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tabRatio="753"/>
  </bookViews>
  <sheets>
    <sheet name="23.09.23" sheetId="35" r:id="rId1"/>
    <sheet name="allocation" sheetId="36" r:id="rId2"/>
    <sheet name="75" sheetId="37" r:id="rId3"/>
    <sheet name="100" sheetId="38" r:id="rId4"/>
    <sheet name="110" sheetId="39" r:id="rId5"/>
    <sheet name="150" sheetId="40" r:id="rId6"/>
    <sheet name="90" sheetId="42" r:id="rId7"/>
    <sheet name="120" sheetId="43" r:id="rId8"/>
    <sheet name="130 " sheetId="50" r:id="rId9"/>
    <sheet name="70" sheetId="57" r:id="rId10"/>
    <sheet name="80" sheetId="49" r:id="rId11"/>
    <sheet name="Sheet1" sheetId="44" r:id="rId12"/>
    <sheet name="Sheet3" sheetId="46" r:id="rId13"/>
    <sheet name="Sheet2" sheetId="51" r:id="rId14"/>
    <sheet name="Sheet4" sheetId="52" r:id="rId15"/>
    <sheet name="Sheet6" sheetId="54" r:id="rId16"/>
    <sheet name="Sheet5" sheetId="53" r:id="rId17"/>
    <sheet name="09.12.23" sheetId="55" r:id="rId18"/>
    <sheet name="Sheet7" sheetId="56" r:id="rId19"/>
    <sheet name="Sheet8" sheetId="58" r:id="rId20"/>
    <sheet name="Sheet9" sheetId="59" r:id="rId21"/>
  </sheets>
  <definedNames>
    <definedName name="_xlnm._FilterDatabase" localSheetId="17" hidden="1">'09.12.23'!$A$3:$N$3</definedName>
    <definedName name="_xlnm._FilterDatabase" localSheetId="3" hidden="1">'100'!$A$795:$R$890</definedName>
    <definedName name="_xlnm._FilterDatabase" localSheetId="4" hidden="1">'110'!$A$418:$S$473</definedName>
    <definedName name="_xlnm._FilterDatabase" localSheetId="7" hidden="1">'120'!$A$633:$S$664</definedName>
    <definedName name="_xlnm._FilterDatabase" localSheetId="8" hidden="1">'130 '!$A$411:$Q$445</definedName>
    <definedName name="_xlnm._FilterDatabase" localSheetId="5" hidden="1">'150'!$A$321:$R$601</definedName>
    <definedName name="_xlnm._FilterDatabase" localSheetId="0" hidden="1">'23.09.23'!$A$3:$X$2678</definedName>
    <definedName name="_xlnm._FilterDatabase" localSheetId="9" hidden="1">'70'!$A$2:$Q$128</definedName>
    <definedName name="_xlnm._FilterDatabase" localSheetId="2" hidden="1">'75'!$A$529:$R$555</definedName>
    <definedName name="_xlnm._FilterDatabase" localSheetId="10" hidden="1">'80'!#REF!</definedName>
    <definedName name="_xlnm._FilterDatabase" localSheetId="6" hidden="1">'90'!$A$696:$R$817</definedName>
    <definedName name="_xlnm._FilterDatabase" localSheetId="1" hidden="1">allocation!$A$4902:$Q$4931</definedName>
    <definedName name="_xlnm._FilterDatabase" localSheetId="16" hidden="1">Sheet5!$A$4:$H$225</definedName>
    <definedName name="_xlnm.Print_Area" localSheetId="17">'09.12.23'!$A$2:$L$2674</definedName>
    <definedName name="_xlnm.Print_Area" localSheetId="3">'100'!$A$36:$R$44</definedName>
    <definedName name="_xlnm.Print_Area" localSheetId="4">'110'!$A$283:$S$303</definedName>
    <definedName name="_xlnm.Print_Area" localSheetId="7">'120'!$A$463:$T$506</definedName>
    <definedName name="_xlnm.Print_Area" localSheetId="8">'130 '!$A$68:$T$86</definedName>
    <definedName name="_xlnm.Print_Area" localSheetId="0">'23.09.23'!$A$440:$Q$2179</definedName>
    <definedName name="_xlnm.Print_Area" localSheetId="9">'70'!$A$97:$T$115</definedName>
    <definedName name="_xlnm.Print_Area" localSheetId="2">'75'!$A$3:$S$12</definedName>
    <definedName name="_xlnm.Print_Area" localSheetId="6">'90'!$A$159:$R$166</definedName>
    <definedName name="_xlnm.Print_Area" localSheetId="1">allocation!$A$6649:$S$6689</definedName>
    <definedName name="_xlnm.Print_Area" localSheetId="11">Sheet1!$A$2:$O$49</definedName>
    <definedName name="_xlnm.Print_Area" localSheetId="12">Sheet3!$E$2:$F$25</definedName>
    <definedName name="_xlnm.Print_Area" localSheetId="16">Sheet5!$A$2:$H$225</definedName>
    <definedName name="_xlnm.Print_Titles" localSheetId="0">'23.09.23'!$3:$3</definedName>
  </definedNames>
  <calcPr calcId="124519"/>
  <pivotCaches>
    <pivotCache cacheId="0" r:id="rId22"/>
    <pivotCache cacheId="1" r:id="rId23"/>
  </pivotCaches>
</workbook>
</file>

<file path=xl/calcChain.xml><?xml version="1.0" encoding="utf-8"?>
<calcChain xmlns="http://schemas.openxmlformats.org/spreadsheetml/2006/main">
  <c r="L532" i="37"/>
  <c r="L548"/>
  <c r="L555"/>
  <c r="I555"/>
  <c r="N554"/>
  <c r="O554" s="1"/>
  <c r="M554"/>
  <c r="J554"/>
  <c r="N553"/>
  <c r="O553" s="1"/>
  <c r="M553"/>
  <c r="J553"/>
  <c r="N552"/>
  <c r="O552" s="1"/>
  <c r="M552"/>
  <c r="J552"/>
  <c r="N551"/>
  <c r="O551" s="1"/>
  <c r="M551"/>
  <c r="J551"/>
  <c r="N550"/>
  <c r="O550" s="1"/>
  <c r="M550"/>
  <c r="J550"/>
  <c r="N549"/>
  <c r="O549" s="1"/>
  <c r="M549"/>
  <c r="J549"/>
  <c r="N548"/>
  <c r="O548" s="1"/>
  <c r="M548"/>
  <c r="J548"/>
  <c r="N547"/>
  <c r="O547" s="1"/>
  <c r="M547"/>
  <c r="J547"/>
  <c r="N546"/>
  <c r="O546" s="1"/>
  <c r="M546"/>
  <c r="J546"/>
  <c r="N545"/>
  <c r="O545" s="1"/>
  <c r="M545"/>
  <c r="J545"/>
  <c r="N544"/>
  <c r="O544" s="1"/>
  <c r="M544"/>
  <c r="J544"/>
  <c r="N543"/>
  <c r="O543" s="1"/>
  <c r="M543"/>
  <c r="J543"/>
  <c r="N542"/>
  <c r="O542" s="1"/>
  <c r="M542"/>
  <c r="J542"/>
  <c r="N541"/>
  <c r="O541" s="1"/>
  <c r="M541"/>
  <c r="J541"/>
  <c r="N540"/>
  <c r="O540" s="1"/>
  <c r="M540"/>
  <c r="J540"/>
  <c r="N539"/>
  <c r="O539" s="1"/>
  <c r="M539"/>
  <c r="J539"/>
  <c r="N538"/>
  <c r="O538" s="1"/>
  <c r="M538"/>
  <c r="J538"/>
  <c r="N537"/>
  <c r="O537" s="1"/>
  <c r="M537"/>
  <c r="J537"/>
  <c r="N536"/>
  <c r="O536" s="1"/>
  <c r="M536"/>
  <c r="J536"/>
  <c r="N535"/>
  <c r="O535" s="1"/>
  <c r="M535"/>
  <c r="J535"/>
  <c r="N534"/>
  <c r="O534" s="1"/>
  <c r="M534"/>
  <c r="J534"/>
  <c r="N533"/>
  <c r="O533" s="1"/>
  <c r="M533"/>
  <c r="J533"/>
  <c r="N532"/>
  <c r="O532" s="1"/>
  <c r="M532"/>
  <c r="J532"/>
  <c r="N531"/>
  <c r="O531" s="1"/>
  <c r="M531"/>
  <c r="J531"/>
  <c r="N530"/>
  <c r="O530" s="1"/>
  <c r="M530"/>
  <c r="J530"/>
  <c r="O526"/>
  <c r="O525"/>
  <c r="O524"/>
  <c r="N526"/>
  <c r="N529"/>
  <c r="O529" s="1"/>
  <c r="M529"/>
  <c r="J529"/>
  <c r="N525"/>
  <c r="O523"/>
  <c r="O522"/>
  <c r="O521"/>
  <c r="L526"/>
  <c r="I526"/>
  <c r="M525"/>
  <c r="J525"/>
  <c r="N524"/>
  <c r="M524"/>
  <c r="J524"/>
  <c r="N523"/>
  <c r="M523"/>
  <c r="J523"/>
  <c r="N522"/>
  <c r="M522"/>
  <c r="J522"/>
  <c r="N521"/>
  <c r="M521"/>
  <c r="J521"/>
  <c r="N520"/>
  <c r="O520" s="1"/>
  <c r="M520"/>
  <c r="J520"/>
  <c r="N519"/>
  <c r="O519" s="1"/>
  <c r="M519"/>
  <c r="J519"/>
  <c r="N518"/>
  <c r="O518" s="1"/>
  <c r="M518"/>
  <c r="J518"/>
  <c r="N517"/>
  <c r="O517" s="1"/>
  <c r="M517"/>
  <c r="J517"/>
  <c r="N516"/>
  <c r="O516" s="1"/>
  <c r="M516"/>
  <c r="J516"/>
  <c r="N515"/>
  <c r="O515" s="1"/>
  <c r="M515"/>
  <c r="J515"/>
  <c r="N514"/>
  <c r="O514" s="1"/>
  <c r="M514"/>
  <c r="J514"/>
  <c r="N513"/>
  <c r="O513" s="1"/>
  <c r="M513"/>
  <c r="J513"/>
  <c r="N512"/>
  <c r="O512" s="1"/>
  <c r="M512"/>
  <c r="J512"/>
  <c r="N511"/>
  <c r="O511" s="1"/>
  <c r="M511"/>
  <c r="J511"/>
  <c r="N510"/>
  <c r="O510" s="1"/>
  <c r="M510"/>
  <c r="J510"/>
  <c r="N509"/>
  <c r="O509" s="1"/>
  <c r="M509"/>
  <c r="J509"/>
  <c r="N508"/>
  <c r="O508" s="1"/>
  <c r="M508"/>
  <c r="J508"/>
  <c r="N507"/>
  <c r="O507" s="1"/>
  <c r="M507"/>
  <c r="J507"/>
  <c r="N506"/>
  <c r="O506" s="1"/>
  <c r="M506"/>
  <c r="J506"/>
  <c r="J555" l="1"/>
  <c r="O555"/>
  <c r="M555"/>
  <c r="N555"/>
  <c r="M526"/>
  <c r="J526"/>
  <c r="L24" l="1"/>
  <c r="L326"/>
  <c r="L504" l="1"/>
  <c r="I504"/>
  <c r="N503"/>
  <c r="O503" s="1"/>
  <c r="M503"/>
  <c r="J503"/>
  <c r="N502"/>
  <c r="O502" s="1"/>
  <c r="M502"/>
  <c r="J502"/>
  <c r="N501"/>
  <c r="O501" s="1"/>
  <c r="M501"/>
  <c r="J501"/>
  <c r="N500"/>
  <c r="O500" s="1"/>
  <c r="M500"/>
  <c r="J500"/>
  <c r="N499"/>
  <c r="O499" s="1"/>
  <c r="M499"/>
  <c r="J499"/>
  <c r="N498"/>
  <c r="O498" s="1"/>
  <c r="M498"/>
  <c r="J498"/>
  <c r="N497"/>
  <c r="O497" s="1"/>
  <c r="M497"/>
  <c r="J497"/>
  <c r="N496"/>
  <c r="O496" s="1"/>
  <c r="M496"/>
  <c r="J496"/>
  <c r="N495"/>
  <c r="O495" s="1"/>
  <c r="M495"/>
  <c r="J495"/>
  <c r="N494"/>
  <c r="O494" s="1"/>
  <c r="M494"/>
  <c r="J494"/>
  <c r="N493"/>
  <c r="O493" s="1"/>
  <c r="M493"/>
  <c r="J493"/>
  <c r="N492"/>
  <c r="O492" s="1"/>
  <c r="M492"/>
  <c r="J492"/>
  <c r="N491"/>
  <c r="O491" s="1"/>
  <c r="M491"/>
  <c r="J491"/>
  <c r="N490"/>
  <c r="O490" s="1"/>
  <c r="M490"/>
  <c r="J490"/>
  <c r="N489"/>
  <c r="O489" s="1"/>
  <c r="M489"/>
  <c r="J489"/>
  <c r="N488"/>
  <c r="O488" s="1"/>
  <c r="M488"/>
  <c r="J488"/>
  <c r="N487"/>
  <c r="O487" s="1"/>
  <c r="M487"/>
  <c r="J487"/>
  <c r="N486"/>
  <c r="O486" s="1"/>
  <c r="M486"/>
  <c r="J486"/>
  <c r="N485"/>
  <c r="O485" s="1"/>
  <c r="M485"/>
  <c r="J485"/>
  <c r="N484"/>
  <c r="O484" s="1"/>
  <c r="M484"/>
  <c r="J484"/>
  <c r="N483"/>
  <c r="O483" s="1"/>
  <c r="M483"/>
  <c r="J483"/>
  <c r="N482"/>
  <c r="O482" s="1"/>
  <c r="M482"/>
  <c r="J482"/>
  <c r="N481"/>
  <c r="O481" s="1"/>
  <c r="M481"/>
  <c r="J481"/>
  <c r="N480"/>
  <c r="O480" s="1"/>
  <c r="M480"/>
  <c r="J480"/>
  <c r="N479"/>
  <c r="O479" s="1"/>
  <c r="M479"/>
  <c r="J479"/>
  <c r="N478"/>
  <c r="O478" s="1"/>
  <c r="M478"/>
  <c r="J478"/>
  <c r="N477"/>
  <c r="O477" s="1"/>
  <c r="M477"/>
  <c r="J477"/>
  <c r="N476"/>
  <c r="O476" s="1"/>
  <c r="M476"/>
  <c r="J476"/>
  <c r="N475"/>
  <c r="O475" s="1"/>
  <c r="M475"/>
  <c r="J475"/>
  <c r="N474"/>
  <c r="O474" s="1"/>
  <c r="M474"/>
  <c r="J474"/>
  <c r="N473"/>
  <c r="O473" s="1"/>
  <c r="M473"/>
  <c r="J473"/>
  <c r="N472"/>
  <c r="O472" s="1"/>
  <c r="M472"/>
  <c r="J472"/>
  <c r="N471"/>
  <c r="O471" s="1"/>
  <c r="M471"/>
  <c r="J471"/>
  <c r="N470"/>
  <c r="O470" s="1"/>
  <c r="M470"/>
  <c r="J470"/>
  <c r="N469"/>
  <c r="O469" s="1"/>
  <c r="M469"/>
  <c r="J469"/>
  <c r="N468"/>
  <c r="O468" s="1"/>
  <c r="M468"/>
  <c r="J468"/>
  <c r="N467"/>
  <c r="O467" s="1"/>
  <c r="M467"/>
  <c r="J467"/>
  <c r="N466"/>
  <c r="O466" s="1"/>
  <c r="M466"/>
  <c r="J466"/>
  <c r="N465"/>
  <c r="O465" s="1"/>
  <c r="M465"/>
  <c r="J465"/>
  <c r="N464"/>
  <c r="O464" s="1"/>
  <c r="M464"/>
  <c r="J464"/>
  <c r="N463"/>
  <c r="O463" s="1"/>
  <c r="M463"/>
  <c r="J463"/>
  <c r="N462"/>
  <c r="O462" s="1"/>
  <c r="M462"/>
  <c r="J462"/>
  <c r="N461"/>
  <c r="O461" s="1"/>
  <c r="M461"/>
  <c r="J461"/>
  <c r="N460"/>
  <c r="O460" s="1"/>
  <c r="M460"/>
  <c r="J460"/>
  <c r="N459"/>
  <c r="O459" s="1"/>
  <c r="M459"/>
  <c r="J459"/>
  <c r="J504" s="1"/>
  <c r="M458"/>
  <c r="J458"/>
  <c r="O456"/>
  <c r="L444"/>
  <c r="O455"/>
  <c r="O454"/>
  <c r="L456"/>
  <c r="J456"/>
  <c r="I456"/>
  <c r="N455"/>
  <c r="M455"/>
  <c r="J455"/>
  <c r="N454"/>
  <c r="M454"/>
  <c r="J454"/>
  <c r="N453"/>
  <c r="O453" s="1"/>
  <c r="M453"/>
  <c r="J453"/>
  <c r="N452"/>
  <c r="O452" s="1"/>
  <c r="M452"/>
  <c r="J452"/>
  <c r="N451"/>
  <c r="O451" s="1"/>
  <c r="M451"/>
  <c r="J451"/>
  <c r="N450"/>
  <c r="O450" s="1"/>
  <c r="M450"/>
  <c r="J450"/>
  <c r="N449"/>
  <c r="O449" s="1"/>
  <c r="M449"/>
  <c r="J449"/>
  <c r="N448"/>
  <c r="O448" s="1"/>
  <c r="M448"/>
  <c r="J448"/>
  <c r="N447"/>
  <c r="O447" s="1"/>
  <c r="M447"/>
  <c r="J447"/>
  <c r="N446"/>
  <c r="O446" s="1"/>
  <c r="M446"/>
  <c r="J446"/>
  <c r="N445"/>
  <c r="O445" s="1"/>
  <c r="M445"/>
  <c r="J445"/>
  <c r="N444"/>
  <c r="O444" s="1"/>
  <c r="M444"/>
  <c r="J444"/>
  <c r="M504" l="1"/>
  <c r="N458"/>
  <c r="O458" s="1"/>
  <c r="O504" s="1"/>
  <c r="M456"/>
  <c r="N456"/>
  <c r="N504" l="1"/>
  <c r="R6689" i="36" l="1"/>
  <c r="N6689"/>
  <c r="N6688"/>
  <c r="O6688" s="1"/>
  <c r="M6688"/>
  <c r="J6688"/>
  <c r="N6687"/>
  <c r="O6687" s="1"/>
  <c r="M6687"/>
  <c r="J6687"/>
  <c r="N6686"/>
  <c r="O6686" s="1"/>
  <c r="M6686"/>
  <c r="J6686"/>
  <c r="L6685"/>
  <c r="M6685" s="1"/>
  <c r="J6685"/>
  <c r="M6684"/>
  <c r="L6684"/>
  <c r="N6684" s="1"/>
  <c r="O6684" s="1"/>
  <c r="J6684"/>
  <c r="N6683"/>
  <c r="O6683" s="1"/>
  <c r="M6683"/>
  <c r="J6683"/>
  <c r="I6683"/>
  <c r="M6682"/>
  <c r="L6682"/>
  <c r="J6682"/>
  <c r="I6682"/>
  <c r="N6682" s="1"/>
  <c r="O6682" s="1"/>
  <c r="M144" i="39"/>
  <c r="P6660" i="36"/>
  <c r="P6655"/>
  <c r="N6685" l="1"/>
  <c r="O6685" s="1"/>
  <c r="N6645" l="1"/>
  <c r="O6645" s="1"/>
  <c r="M6645"/>
  <c r="J6645"/>
  <c r="N6644"/>
  <c r="O6644" s="1"/>
  <c r="M6644"/>
  <c r="J6644"/>
  <c r="N6643"/>
  <c r="O6643" s="1"/>
  <c r="M6643"/>
  <c r="J6643"/>
  <c r="N6642"/>
  <c r="O6642" s="1"/>
  <c r="M6642"/>
  <c r="J6642"/>
  <c r="N6641"/>
  <c r="O6641" s="1"/>
  <c r="M6641"/>
  <c r="J6641"/>
  <c r="N6640"/>
  <c r="O6640" s="1"/>
  <c r="M6640"/>
  <c r="J6640"/>
  <c r="N6639"/>
  <c r="O6639" s="1"/>
  <c r="M6639"/>
  <c r="J6639"/>
  <c r="N6638"/>
  <c r="O6638" s="1"/>
  <c r="M6638"/>
  <c r="J6638"/>
  <c r="N6637"/>
  <c r="O6637" s="1"/>
  <c r="M6637"/>
  <c r="J6637"/>
  <c r="N6636"/>
  <c r="O6636" s="1"/>
  <c r="M6636"/>
  <c r="J6636"/>
  <c r="N6635"/>
  <c r="O6635" s="1"/>
  <c r="M6635"/>
  <c r="J6635"/>
  <c r="N6634"/>
  <c r="O6634" s="1"/>
  <c r="M6634"/>
  <c r="J6634"/>
  <c r="L6633"/>
  <c r="M6633" s="1"/>
  <c r="J6633"/>
  <c r="M6632"/>
  <c r="L6632"/>
  <c r="N6632" s="1"/>
  <c r="O6632" s="1"/>
  <c r="J6632"/>
  <c r="N6631"/>
  <c r="O6631" s="1"/>
  <c r="M6631"/>
  <c r="J6631"/>
  <c r="N6630"/>
  <c r="O6630" s="1"/>
  <c r="M6630"/>
  <c r="J6630"/>
  <c r="Q6629"/>
  <c r="M6629"/>
  <c r="L6629"/>
  <c r="N6629" s="1"/>
  <c r="O6629" s="1"/>
  <c r="J6629"/>
  <c r="N6628"/>
  <c r="O6628" s="1"/>
  <c r="M6628"/>
  <c r="J6628"/>
  <c r="N6627"/>
  <c r="O6627" s="1"/>
  <c r="M6627"/>
  <c r="J6627"/>
  <c r="N6626"/>
  <c r="O6626" s="1"/>
  <c r="M6626"/>
  <c r="J6626"/>
  <c r="N6625"/>
  <c r="O6625" s="1"/>
  <c r="M6625"/>
  <c r="J6625"/>
  <c r="N6624"/>
  <c r="O6624" s="1"/>
  <c r="M6624"/>
  <c r="J6624"/>
  <c r="L6623"/>
  <c r="M6623" s="1"/>
  <c r="J6623"/>
  <c r="O6622"/>
  <c r="N6622"/>
  <c r="M6622"/>
  <c r="J6622"/>
  <c r="M6621"/>
  <c r="L6621"/>
  <c r="N6621" s="1"/>
  <c r="O6621" s="1"/>
  <c r="J6621"/>
  <c r="N6620"/>
  <c r="O6620" s="1"/>
  <c r="M6620"/>
  <c r="J6620"/>
  <c r="I6620"/>
  <c r="T6619"/>
  <c r="T6646" s="1"/>
  <c r="L6619"/>
  <c r="M6619" s="1"/>
  <c r="I6619"/>
  <c r="J6619" s="1"/>
  <c r="L6618"/>
  <c r="M6618" s="1"/>
  <c r="M6646" s="1"/>
  <c r="I6618"/>
  <c r="J6618" s="1"/>
  <c r="J6646" s="1"/>
  <c r="L286" i="37"/>
  <c r="L284"/>
  <c r="T284"/>
  <c r="T311" s="1"/>
  <c r="L288"/>
  <c r="L283"/>
  <c r="Q6616" i="36"/>
  <c r="O6615"/>
  <c r="N6615"/>
  <c r="M6615"/>
  <c r="J6615"/>
  <c r="O6614"/>
  <c r="N6614"/>
  <c r="M6614"/>
  <c r="J6614"/>
  <c r="O6613"/>
  <c r="N6613"/>
  <c r="M6613"/>
  <c r="J6613"/>
  <c r="M6612"/>
  <c r="I6612"/>
  <c r="N6612" s="1"/>
  <c r="O6612" s="1"/>
  <c r="N6611"/>
  <c r="O6611" s="1"/>
  <c r="M6611"/>
  <c r="J6611"/>
  <c r="N6610"/>
  <c r="O6610" s="1"/>
  <c r="M6610"/>
  <c r="J6610"/>
  <c r="N6609"/>
  <c r="O6609" s="1"/>
  <c r="M6609"/>
  <c r="J6609"/>
  <c r="N6608"/>
  <c r="O6608" s="1"/>
  <c r="M6608"/>
  <c r="J6608"/>
  <c r="N6607"/>
  <c r="O6607" s="1"/>
  <c r="M6607"/>
  <c r="J6607"/>
  <c r="I6607"/>
  <c r="M6606"/>
  <c r="M6616" s="1"/>
  <c r="L6606"/>
  <c r="L6616" s="1"/>
  <c r="J6606"/>
  <c r="I6606"/>
  <c r="I6616" s="1"/>
  <c r="L313" i="37"/>
  <c r="Q6603" i="36"/>
  <c r="N6602"/>
  <c r="O6602" s="1"/>
  <c r="M6602"/>
  <c r="J6602"/>
  <c r="N6601"/>
  <c r="O6601" s="1"/>
  <c r="M6601"/>
  <c r="J6601"/>
  <c r="L6600"/>
  <c r="N6600" s="1"/>
  <c r="O6600" s="1"/>
  <c r="J6600"/>
  <c r="O6599"/>
  <c r="N6599"/>
  <c r="M6599"/>
  <c r="J6599"/>
  <c r="O6598"/>
  <c r="N6598"/>
  <c r="M6598"/>
  <c r="J6598"/>
  <c r="O6597"/>
  <c r="N6597"/>
  <c r="M6597"/>
  <c r="J6597"/>
  <c r="O6596"/>
  <c r="N6596"/>
  <c r="M6596"/>
  <c r="J6596"/>
  <c r="O6595"/>
  <c r="N6595"/>
  <c r="M6595"/>
  <c r="J6595"/>
  <c r="O6594"/>
  <c r="N6594"/>
  <c r="M6594"/>
  <c r="J6594"/>
  <c r="O6593"/>
  <c r="N6593"/>
  <c r="M6593"/>
  <c r="J6593"/>
  <c r="O6592"/>
  <c r="N6592"/>
  <c r="M6592"/>
  <c r="J6592"/>
  <c r="O6591"/>
  <c r="N6591"/>
  <c r="M6591"/>
  <c r="J6591"/>
  <c r="M6590"/>
  <c r="L6590"/>
  <c r="N6590" s="1"/>
  <c r="O6590" s="1"/>
  <c r="J6590"/>
  <c r="N6589"/>
  <c r="O6589" s="1"/>
  <c r="M6589"/>
  <c r="J6589"/>
  <c r="N6588"/>
  <c r="O6588" s="1"/>
  <c r="M6588"/>
  <c r="J6588"/>
  <c r="N6587"/>
  <c r="O6587" s="1"/>
  <c r="M6587"/>
  <c r="J6587"/>
  <c r="N6586"/>
  <c r="O6586" s="1"/>
  <c r="M6586"/>
  <c r="J6586"/>
  <c r="N6585"/>
  <c r="O6585" s="1"/>
  <c r="M6585"/>
  <c r="J6585"/>
  <c r="N6584"/>
  <c r="O6584" s="1"/>
  <c r="M6584"/>
  <c r="J6584"/>
  <c r="N6583"/>
  <c r="O6583" s="1"/>
  <c r="M6583"/>
  <c r="J6583"/>
  <c r="N6582"/>
  <c r="O6582" s="1"/>
  <c r="M6582"/>
  <c r="J6582"/>
  <c r="N6581"/>
  <c r="O6581" s="1"/>
  <c r="M6581"/>
  <c r="J6581"/>
  <c r="L6580"/>
  <c r="N6580" s="1"/>
  <c r="O6580" s="1"/>
  <c r="J6580"/>
  <c r="O6579"/>
  <c r="N6579"/>
  <c r="M6579"/>
  <c r="J6579"/>
  <c r="O6578"/>
  <c r="N6578"/>
  <c r="M6578"/>
  <c r="J6578"/>
  <c r="O6577"/>
  <c r="N6577"/>
  <c r="M6577"/>
  <c r="J6577"/>
  <c r="O6576"/>
  <c r="N6576"/>
  <c r="M6576"/>
  <c r="J6576"/>
  <c r="O6575"/>
  <c r="N6575"/>
  <c r="M6575"/>
  <c r="J6575"/>
  <c r="O6574"/>
  <c r="N6574"/>
  <c r="M6574"/>
  <c r="J6574"/>
  <c r="O6573"/>
  <c r="N6573"/>
  <c r="M6573"/>
  <c r="J6573"/>
  <c r="O6572"/>
  <c r="N6572"/>
  <c r="M6572"/>
  <c r="J6572"/>
  <c r="M6571"/>
  <c r="I6571"/>
  <c r="N6571" s="1"/>
  <c r="O6571" s="1"/>
  <c r="L6570"/>
  <c r="M6570" s="1"/>
  <c r="I6570"/>
  <c r="N6570" s="1"/>
  <c r="O6570" s="1"/>
  <c r="L6569"/>
  <c r="M6569" s="1"/>
  <c r="I6569"/>
  <c r="J6569" s="1"/>
  <c r="N6568"/>
  <c r="O6568" s="1"/>
  <c r="M6568"/>
  <c r="J6568"/>
  <c r="L6567"/>
  <c r="L6603" s="1"/>
  <c r="I6567"/>
  <c r="N6567" s="1"/>
  <c r="O6567" s="1"/>
  <c r="N6566"/>
  <c r="M6566"/>
  <c r="J6566"/>
  <c r="I6566"/>
  <c r="I6603" s="1"/>
  <c r="L55" i="37"/>
  <c r="L34"/>
  <c r="P6563" i="36"/>
  <c r="N6618" l="1"/>
  <c r="N6619"/>
  <c r="O6619" s="1"/>
  <c r="N6623"/>
  <c r="O6623" s="1"/>
  <c r="N6633"/>
  <c r="O6633" s="1"/>
  <c r="I6646"/>
  <c r="L6646"/>
  <c r="N6606"/>
  <c r="J6612"/>
  <c r="J6616" s="1"/>
  <c r="N6569"/>
  <c r="O6569" s="1"/>
  <c r="O6566"/>
  <c r="J6567"/>
  <c r="J6603" s="1"/>
  <c r="M6567"/>
  <c r="M6603" s="1"/>
  <c r="J6570"/>
  <c r="J6571"/>
  <c r="M6580"/>
  <c r="M6600"/>
  <c r="O6618" l="1"/>
  <c r="O6646" s="1"/>
  <c r="N6646"/>
  <c r="N6616"/>
  <c r="O6606"/>
  <c r="O6616" s="1"/>
  <c r="N6603"/>
  <c r="O6603"/>
  <c r="Q6547" l="1"/>
  <c r="Q6546"/>
  <c r="I6546"/>
  <c r="N6545"/>
  <c r="O6545" s="1"/>
  <c r="M6545"/>
  <c r="J6545"/>
  <c r="N6544"/>
  <c r="O6544" s="1"/>
  <c r="M6544"/>
  <c r="J6544"/>
  <c r="N6543"/>
  <c r="O6543" s="1"/>
  <c r="M6543"/>
  <c r="J6543"/>
  <c r="N6542"/>
  <c r="O6542" s="1"/>
  <c r="M6542"/>
  <c r="J6542"/>
  <c r="N6541"/>
  <c r="O6541" s="1"/>
  <c r="M6541"/>
  <c r="J6541"/>
  <c r="N6540"/>
  <c r="O6540" s="1"/>
  <c r="M6540"/>
  <c r="J6540"/>
  <c r="N6539"/>
  <c r="O6539" s="1"/>
  <c r="M6539"/>
  <c r="J6539"/>
  <c r="N6538"/>
  <c r="O6538" s="1"/>
  <c r="M6538"/>
  <c r="J6538"/>
  <c r="N6537"/>
  <c r="O6537" s="1"/>
  <c r="M6537"/>
  <c r="J6537"/>
  <c r="N6536"/>
  <c r="O6536" s="1"/>
  <c r="M6536"/>
  <c r="J6536"/>
  <c r="N6535"/>
  <c r="O6535" s="1"/>
  <c r="M6535"/>
  <c r="J6535"/>
  <c r="N6534"/>
  <c r="O6534" s="1"/>
  <c r="M6534"/>
  <c r="J6534"/>
  <c r="N6533"/>
  <c r="O6533" s="1"/>
  <c r="M6533"/>
  <c r="J6533"/>
  <c r="N6532"/>
  <c r="O6532" s="1"/>
  <c r="M6532"/>
  <c r="J6532"/>
  <c r="N6531"/>
  <c r="O6531" s="1"/>
  <c r="M6531"/>
  <c r="J6531"/>
  <c r="N6530"/>
  <c r="O6530" s="1"/>
  <c r="M6530"/>
  <c r="J6530"/>
  <c r="N6529"/>
  <c r="O6529" s="1"/>
  <c r="M6529"/>
  <c r="J6529"/>
  <c r="N6528"/>
  <c r="O6528" s="1"/>
  <c r="M6528"/>
  <c r="J6528"/>
  <c r="N6527"/>
  <c r="O6527" s="1"/>
  <c r="M6527"/>
  <c r="J6527"/>
  <c r="N6526"/>
  <c r="O6526" s="1"/>
  <c r="M6526"/>
  <c r="J6526"/>
  <c r="N6525"/>
  <c r="O6525" s="1"/>
  <c r="M6525"/>
  <c r="J6525"/>
  <c r="N6524"/>
  <c r="O6524" s="1"/>
  <c r="M6524"/>
  <c r="J6524"/>
  <c r="N6523"/>
  <c r="O6523" s="1"/>
  <c r="M6523"/>
  <c r="J6523"/>
  <c r="N6522"/>
  <c r="O6522" s="1"/>
  <c r="M6522"/>
  <c r="J6522"/>
  <c r="N6521"/>
  <c r="O6521" s="1"/>
  <c r="M6521"/>
  <c r="J6521"/>
  <c r="N6520"/>
  <c r="O6520" s="1"/>
  <c r="M6520"/>
  <c r="J6520"/>
  <c r="N6519"/>
  <c r="O6519" s="1"/>
  <c r="M6519"/>
  <c r="J6519"/>
  <c r="N6518"/>
  <c r="O6518" s="1"/>
  <c r="M6518"/>
  <c r="J6518"/>
  <c r="L6517"/>
  <c r="N6517" s="1"/>
  <c r="O6517" s="1"/>
  <c r="J6517"/>
  <c r="O6516"/>
  <c r="N6516"/>
  <c r="M6516"/>
  <c r="J6516"/>
  <c r="O6515"/>
  <c r="N6515"/>
  <c r="M6515"/>
  <c r="J6515"/>
  <c r="O6514"/>
  <c r="N6514"/>
  <c r="M6514"/>
  <c r="J6514"/>
  <c r="O6513"/>
  <c r="N6513"/>
  <c r="M6513"/>
  <c r="J6513"/>
  <c r="O6512"/>
  <c r="N6512"/>
  <c r="M6512"/>
  <c r="J6512"/>
  <c r="O6511"/>
  <c r="N6511"/>
  <c r="M6511"/>
  <c r="J6511"/>
  <c r="O6510"/>
  <c r="N6510"/>
  <c r="M6510"/>
  <c r="J6510"/>
  <c r="M6509"/>
  <c r="L6509"/>
  <c r="N6509" s="1"/>
  <c r="O6509" s="1"/>
  <c r="J6509"/>
  <c r="N6508"/>
  <c r="O6508" s="1"/>
  <c r="M6508"/>
  <c r="J6508"/>
  <c r="N6507"/>
  <c r="O6507" s="1"/>
  <c r="M6507"/>
  <c r="J6507"/>
  <c r="N6506"/>
  <c r="O6506" s="1"/>
  <c r="M6506"/>
  <c r="J6506"/>
  <c r="N6505"/>
  <c r="O6505" s="1"/>
  <c r="M6505"/>
  <c r="J6505"/>
  <c r="N6504"/>
  <c r="O6504" s="1"/>
  <c r="M6504"/>
  <c r="J6504"/>
  <c r="L6503"/>
  <c r="L6546" s="1"/>
  <c r="J6503"/>
  <c r="O6502"/>
  <c r="N6502"/>
  <c r="M6502"/>
  <c r="J6502"/>
  <c r="O6501"/>
  <c r="N6501"/>
  <c r="M6501"/>
  <c r="J6501"/>
  <c r="O6500"/>
  <c r="N6500"/>
  <c r="M6500"/>
  <c r="J6500"/>
  <c r="O6499"/>
  <c r="N6499"/>
  <c r="M6499"/>
  <c r="J6499"/>
  <c r="O6498"/>
  <c r="N6498"/>
  <c r="M6498"/>
  <c r="J6498"/>
  <c r="O6497"/>
  <c r="N6497"/>
  <c r="M6497"/>
  <c r="J6497"/>
  <c r="O6496"/>
  <c r="N6496"/>
  <c r="M6496"/>
  <c r="J6496"/>
  <c r="O6495"/>
  <c r="N6495"/>
  <c r="M6495"/>
  <c r="J6495"/>
  <c r="O6494"/>
  <c r="N6494"/>
  <c r="M6494"/>
  <c r="J6494"/>
  <c r="O6493"/>
  <c r="N6493"/>
  <c r="M6493"/>
  <c r="J6493"/>
  <c r="O6492"/>
  <c r="N6492"/>
  <c r="M6492"/>
  <c r="J6492"/>
  <c r="O6491"/>
  <c r="N6491"/>
  <c r="M6491"/>
  <c r="J6491"/>
  <c r="O6490"/>
  <c r="N6490"/>
  <c r="M6490"/>
  <c r="J6490"/>
  <c r="O6489"/>
  <c r="N6489"/>
  <c r="M6489"/>
  <c r="J6489"/>
  <c r="O6488"/>
  <c r="N6488"/>
  <c r="M6488"/>
  <c r="J6488"/>
  <c r="O6487"/>
  <c r="N6487"/>
  <c r="M6487"/>
  <c r="J6487"/>
  <c r="O6486"/>
  <c r="N6486"/>
  <c r="M6486"/>
  <c r="J6486"/>
  <c r="O6485"/>
  <c r="N6485"/>
  <c r="M6485"/>
  <c r="J6485"/>
  <c r="O6484"/>
  <c r="N6484"/>
  <c r="M6484"/>
  <c r="J6484"/>
  <c r="J6546" s="1"/>
  <c r="P6438"/>
  <c r="L363" i="37"/>
  <c r="S6481" i="36"/>
  <c r="O6480"/>
  <c r="N6480"/>
  <c r="M6480"/>
  <c r="J6480"/>
  <c r="O6479"/>
  <c r="N6479"/>
  <c r="M6479"/>
  <c r="J6479"/>
  <c r="O6478"/>
  <c r="N6478"/>
  <c r="M6478"/>
  <c r="J6478"/>
  <c r="O6477"/>
  <c r="N6477"/>
  <c r="M6477"/>
  <c r="J6477"/>
  <c r="O6476"/>
  <c r="N6476"/>
  <c r="M6476"/>
  <c r="J6476"/>
  <c r="O6475"/>
  <c r="N6475"/>
  <c r="M6475"/>
  <c r="J6475"/>
  <c r="O6474"/>
  <c r="N6474"/>
  <c r="M6474"/>
  <c r="J6474"/>
  <c r="O6473"/>
  <c r="N6473"/>
  <c r="M6473"/>
  <c r="J6473"/>
  <c r="O6472"/>
  <c r="N6472"/>
  <c r="M6472"/>
  <c r="J6472"/>
  <c r="O6471"/>
  <c r="N6471"/>
  <c r="M6471"/>
  <c r="J6471"/>
  <c r="O6470"/>
  <c r="N6470"/>
  <c r="M6470"/>
  <c r="J6470"/>
  <c r="O6469"/>
  <c r="N6469"/>
  <c r="M6469"/>
  <c r="J6469"/>
  <c r="M6468"/>
  <c r="L6468"/>
  <c r="J6468"/>
  <c r="I6468"/>
  <c r="N6468" s="1"/>
  <c r="O6468" s="1"/>
  <c r="M6467"/>
  <c r="I6467"/>
  <c r="N6467" s="1"/>
  <c r="O6467" s="1"/>
  <c r="N6466"/>
  <c r="O6466" s="1"/>
  <c r="M6466"/>
  <c r="J6466"/>
  <c r="N6465"/>
  <c r="O6465" s="1"/>
  <c r="M6465"/>
  <c r="J6465"/>
  <c r="I6465"/>
  <c r="O6464"/>
  <c r="N6464"/>
  <c r="M6464"/>
  <c r="J6464"/>
  <c r="M6463"/>
  <c r="L6463"/>
  <c r="J6463"/>
  <c r="I6463"/>
  <c r="N6463" s="1"/>
  <c r="O6463" s="1"/>
  <c r="O6462"/>
  <c r="N6462"/>
  <c r="M6462"/>
  <c r="J6462"/>
  <c r="O6461"/>
  <c r="N6461"/>
  <c r="M6461"/>
  <c r="J6461"/>
  <c r="O6460"/>
  <c r="N6460"/>
  <c r="M6460"/>
  <c r="J6460"/>
  <c r="O6459"/>
  <c r="N6459"/>
  <c r="M6459"/>
  <c r="J6459"/>
  <c r="O6458"/>
  <c r="N6458"/>
  <c r="M6458"/>
  <c r="J6458"/>
  <c r="O6457"/>
  <c r="N6457"/>
  <c r="M6457"/>
  <c r="J6457"/>
  <c r="O6456"/>
  <c r="N6456"/>
  <c r="M6456"/>
  <c r="J6456"/>
  <c r="O6455"/>
  <c r="N6455"/>
  <c r="M6455"/>
  <c r="J6455"/>
  <c r="O6454"/>
  <c r="N6454"/>
  <c r="M6454"/>
  <c r="J6454"/>
  <c r="O6453"/>
  <c r="N6453"/>
  <c r="M6453"/>
  <c r="J6453"/>
  <c r="O6452"/>
  <c r="N6452"/>
  <c r="M6452"/>
  <c r="J6452"/>
  <c r="O6451"/>
  <c r="N6451"/>
  <c r="M6451"/>
  <c r="J6451"/>
  <c r="O6450"/>
  <c r="N6450"/>
  <c r="M6450"/>
  <c r="J6450"/>
  <c r="O6449"/>
  <c r="N6449"/>
  <c r="M6449"/>
  <c r="J6449"/>
  <c r="O6448"/>
  <c r="N6448"/>
  <c r="M6448"/>
  <c r="J6448"/>
  <c r="O6447"/>
  <c r="N6447"/>
  <c r="M6447"/>
  <c r="J6447"/>
  <c r="Q6446"/>
  <c r="L6446"/>
  <c r="M6446" s="1"/>
  <c r="I6446"/>
  <c r="N6446" s="1"/>
  <c r="O6446" s="1"/>
  <c r="L6445"/>
  <c r="M6445" s="1"/>
  <c r="I6445"/>
  <c r="J6445" s="1"/>
  <c r="N6444"/>
  <c r="O6444" s="1"/>
  <c r="M6444"/>
  <c r="J6444"/>
  <c r="I6444"/>
  <c r="M6443"/>
  <c r="L6443"/>
  <c r="L6481" s="1"/>
  <c r="J6443"/>
  <c r="I6443"/>
  <c r="N6443" s="1"/>
  <c r="O6443" s="1"/>
  <c r="M6442"/>
  <c r="I6442"/>
  <c r="I6481" s="1"/>
  <c r="N6441"/>
  <c r="M6441"/>
  <c r="J6441"/>
  <c r="S150" i="37"/>
  <c r="L132"/>
  <c r="M6503" i="36" l="1"/>
  <c r="M6546" s="1"/>
  <c r="M6517"/>
  <c r="N6503"/>
  <c r="O6503" s="1"/>
  <c r="O6546" s="1"/>
  <c r="M6481"/>
  <c r="N6445"/>
  <c r="O6445" s="1"/>
  <c r="O6441"/>
  <c r="J6442"/>
  <c r="J6481" s="1"/>
  <c r="N6442"/>
  <c r="O6442" s="1"/>
  <c r="J6446"/>
  <c r="J6467"/>
  <c r="N6546" l="1"/>
  <c r="N6481"/>
  <c r="O6481"/>
  <c r="O601" i="40"/>
  <c r="N601"/>
  <c r="O600"/>
  <c r="O599"/>
  <c r="M601"/>
  <c r="J601"/>
  <c r="J600"/>
  <c r="Q6425" i="36" l="1"/>
  <c r="N6426"/>
  <c r="O6426" s="1"/>
  <c r="M6426"/>
  <c r="J6426"/>
  <c r="N6425"/>
  <c r="O6425" s="1"/>
  <c r="M6425"/>
  <c r="J6425"/>
  <c r="N6424"/>
  <c r="O6424" s="1"/>
  <c r="M6424"/>
  <c r="J6424"/>
  <c r="N6423"/>
  <c r="O6423" s="1"/>
  <c r="M6423"/>
  <c r="J6423"/>
  <c r="N6420"/>
  <c r="O6420" s="1"/>
  <c r="M6420"/>
  <c r="J6420"/>
  <c r="N6419"/>
  <c r="O6419" s="1"/>
  <c r="M6419"/>
  <c r="J6419"/>
  <c r="N6418"/>
  <c r="O6418" s="1"/>
  <c r="M6418"/>
  <c r="J6418"/>
  <c r="N6417"/>
  <c r="O6417" s="1"/>
  <c r="M6417"/>
  <c r="J6417"/>
  <c r="U6417"/>
  <c r="U6415"/>
  <c r="Q6415"/>
  <c r="I6415"/>
  <c r="L6414"/>
  <c r="M6414" s="1"/>
  <c r="J6414"/>
  <c r="O6413"/>
  <c r="N6413"/>
  <c r="M6413"/>
  <c r="J6413"/>
  <c r="O6412"/>
  <c r="N6412"/>
  <c r="M6412"/>
  <c r="J6412"/>
  <c r="O6411"/>
  <c r="N6411"/>
  <c r="M6411"/>
  <c r="J6411"/>
  <c r="M6410"/>
  <c r="L6410"/>
  <c r="J6410"/>
  <c r="I6410"/>
  <c r="N6410" s="1"/>
  <c r="O6410" s="1"/>
  <c r="M6409"/>
  <c r="L6409"/>
  <c r="J6409"/>
  <c r="I6409"/>
  <c r="N6409" s="1"/>
  <c r="O6408"/>
  <c r="N6408"/>
  <c r="M6408"/>
  <c r="M6415" s="1"/>
  <c r="J6408"/>
  <c r="J6415" s="1"/>
  <c r="L279" i="40"/>
  <c r="L275"/>
  <c r="U280"/>
  <c r="Q6405" i="36"/>
  <c r="L6405"/>
  <c r="I6405"/>
  <c r="N6404"/>
  <c r="O6404" s="1"/>
  <c r="M6404"/>
  <c r="J6404"/>
  <c r="N6403"/>
  <c r="O6403" s="1"/>
  <c r="M6403"/>
  <c r="J6403"/>
  <c r="N6402"/>
  <c r="O6402" s="1"/>
  <c r="M6402"/>
  <c r="M6405" s="1"/>
  <c r="J6402"/>
  <c r="J6405" s="1"/>
  <c r="I6402"/>
  <c r="O6400"/>
  <c r="L6400"/>
  <c r="O6409" l="1"/>
  <c r="O6415" s="1"/>
  <c r="N6414"/>
  <c r="O6414" s="1"/>
  <c r="L6415"/>
  <c r="O6405"/>
  <c r="N6405"/>
  <c r="N6415" l="1"/>
  <c r="Q6379" l="1"/>
  <c r="I6379"/>
  <c r="N6378"/>
  <c r="O6378" s="1"/>
  <c r="M6378"/>
  <c r="J6378"/>
  <c r="N6377"/>
  <c r="O6377" s="1"/>
  <c r="M6377"/>
  <c r="J6377"/>
  <c r="L6376"/>
  <c r="M6376" s="1"/>
  <c r="M6379" s="1"/>
  <c r="J6376"/>
  <c r="J6379" s="1"/>
  <c r="Q6374"/>
  <c r="I6374"/>
  <c r="N6373"/>
  <c r="O6373" s="1"/>
  <c r="M6373"/>
  <c r="J6373"/>
  <c r="L6372"/>
  <c r="L6374" s="1"/>
  <c r="J6372"/>
  <c r="O6371"/>
  <c r="N6371"/>
  <c r="M6371"/>
  <c r="J6371"/>
  <c r="O6370"/>
  <c r="N6370"/>
  <c r="M6370"/>
  <c r="J6370"/>
  <c r="O6369"/>
  <c r="N6369"/>
  <c r="M6369"/>
  <c r="J6369"/>
  <c r="J6374" s="1"/>
  <c r="Q6367"/>
  <c r="L6367"/>
  <c r="I6367"/>
  <c r="N6366"/>
  <c r="O6366" s="1"/>
  <c r="M6366"/>
  <c r="J6366"/>
  <c r="N6365"/>
  <c r="O6365" s="1"/>
  <c r="M6365"/>
  <c r="J6365"/>
  <c r="N6364"/>
  <c r="O6364" s="1"/>
  <c r="M6364"/>
  <c r="J6364"/>
  <c r="N6363"/>
  <c r="O6363" s="1"/>
  <c r="M6363"/>
  <c r="J6363"/>
  <c r="N6362"/>
  <c r="O6362" s="1"/>
  <c r="M6362"/>
  <c r="J6362"/>
  <c r="N6361"/>
  <c r="O6361" s="1"/>
  <c r="M6361"/>
  <c r="J6361"/>
  <c r="N6360"/>
  <c r="O6360" s="1"/>
  <c r="M6360"/>
  <c r="J6360"/>
  <c r="N6359"/>
  <c r="O6359" s="1"/>
  <c r="M6359"/>
  <c r="J6359"/>
  <c r="N6358"/>
  <c r="O6358" s="1"/>
  <c r="M6358"/>
  <c r="J6358"/>
  <c r="N6357"/>
  <c r="O6357" s="1"/>
  <c r="M6357"/>
  <c r="J6357"/>
  <c r="N6356"/>
  <c r="O6356" s="1"/>
  <c r="M6356"/>
  <c r="J6356"/>
  <c r="N6355"/>
  <c r="O6355" s="1"/>
  <c r="M6355"/>
  <c r="J6355"/>
  <c r="N6354"/>
  <c r="O6354" s="1"/>
  <c r="M6354"/>
  <c r="J6354"/>
  <c r="N6353"/>
  <c r="O6353" s="1"/>
  <c r="M6353"/>
  <c r="J6353"/>
  <c r="N6352"/>
  <c r="O6352" s="1"/>
  <c r="M6352"/>
  <c r="J6352"/>
  <c r="N6351"/>
  <c r="N6367" s="1"/>
  <c r="M6351"/>
  <c r="M6367" s="1"/>
  <c r="J6351"/>
  <c r="J6367" s="1"/>
  <c r="P6349"/>
  <c r="M6349"/>
  <c r="P6336"/>
  <c r="N6313"/>
  <c r="O6313" s="1"/>
  <c r="M6313"/>
  <c r="J6313"/>
  <c r="N6312"/>
  <c r="O6312" s="1"/>
  <c r="M6312"/>
  <c r="J6312"/>
  <c r="N6311"/>
  <c r="O6311" s="1"/>
  <c r="M6311"/>
  <c r="J6311"/>
  <c r="N6310"/>
  <c r="O6310" s="1"/>
  <c r="M6310"/>
  <c r="J6310"/>
  <c r="Q6307"/>
  <c r="N6306"/>
  <c r="O6306" s="1"/>
  <c r="M6306"/>
  <c r="J6306"/>
  <c r="N6305"/>
  <c r="O6305" s="1"/>
  <c r="M6305"/>
  <c r="J6305"/>
  <c r="L6304"/>
  <c r="M6304" s="1"/>
  <c r="M6307" s="1"/>
  <c r="I6304"/>
  <c r="J6304" s="1"/>
  <c r="J6307" s="1"/>
  <c r="N6376" l="1"/>
  <c r="L6379"/>
  <c r="M6372"/>
  <c r="M6374" s="1"/>
  <c r="N6372"/>
  <c r="O6351"/>
  <c r="O6367" s="1"/>
  <c r="N6304"/>
  <c r="I6307"/>
  <c r="L6307"/>
  <c r="I6302"/>
  <c r="N6301"/>
  <c r="O6301" s="1"/>
  <c r="M6301"/>
  <c r="J6301"/>
  <c r="L6300"/>
  <c r="M6300" s="1"/>
  <c r="J6300"/>
  <c r="L6299"/>
  <c r="N6299" s="1"/>
  <c r="O6299" s="1"/>
  <c r="J6299"/>
  <c r="N6298"/>
  <c r="O6298" s="1"/>
  <c r="M6298"/>
  <c r="J6298"/>
  <c r="N6297"/>
  <c r="O6297" s="1"/>
  <c r="M6297"/>
  <c r="J6297"/>
  <c r="N6296"/>
  <c r="M6296"/>
  <c r="J6296"/>
  <c r="L242" i="50"/>
  <c r="Q6293" i="36"/>
  <c r="N6292"/>
  <c r="O6292" s="1"/>
  <c r="M6292"/>
  <c r="J6292"/>
  <c r="N6291"/>
  <c r="O6291" s="1"/>
  <c r="M6291"/>
  <c r="J6291"/>
  <c r="N6290"/>
  <c r="O6290" s="1"/>
  <c r="M6290"/>
  <c r="J6290"/>
  <c r="N6289"/>
  <c r="O6289" s="1"/>
  <c r="M6289"/>
  <c r="J6289"/>
  <c r="L6288"/>
  <c r="M6288" s="1"/>
  <c r="M6293" s="1"/>
  <c r="I6288"/>
  <c r="J6288" s="1"/>
  <c r="L87" i="50"/>
  <c r="P6285" i="36"/>
  <c r="M6285"/>
  <c r="O6376" l="1"/>
  <c r="O6379" s="1"/>
  <c r="N6379"/>
  <c r="N6374"/>
  <c r="O6372"/>
  <c r="O6374" s="1"/>
  <c r="O6304"/>
  <c r="O6307" s="1"/>
  <c r="N6307"/>
  <c r="J6302"/>
  <c r="J6293"/>
  <c r="M6299"/>
  <c r="M6302" s="1"/>
  <c r="N6300"/>
  <c r="O6300" s="1"/>
  <c r="L6302"/>
  <c r="O6296"/>
  <c r="O6302" s="1"/>
  <c r="N6288"/>
  <c r="I6293"/>
  <c r="L6293"/>
  <c r="N6302" l="1"/>
  <c r="O6288"/>
  <c r="O6293" s="1"/>
  <c r="N6293"/>
  <c r="Q6276" l="1"/>
  <c r="L6276"/>
  <c r="I6276"/>
  <c r="O6275"/>
  <c r="N6275"/>
  <c r="M6275"/>
  <c r="J6275"/>
  <c r="O6274"/>
  <c r="N6274"/>
  <c r="M6274"/>
  <c r="J6274"/>
  <c r="O6273"/>
  <c r="N6273"/>
  <c r="M6273"/>
  <c r="J6273"/>
  <c r="O6272"/>
  <c r="N6272"/>
  <c r="M6272"/>
  <c r="J6272"/>
  <c r="O6271"/>
  <c r="N6271"/>
  <c r="M6271"/>
  <c r="J6271"/>
  <c r="O6270"/>
  <c r="N6270"/>
  <c r="M6270"/>
  <c r="J6270"/>
  <c r="O6269"/>
  <c r="N6269"/>
  <c r="M6269"/>
  <c r="J6269"/>
  <c r="O6268"/>
  <c r="O6276" s="1"/>
  <c r="N6268"/>
  <c r="N6276" s="1"/>
  <c r="M6268"/>
  <c r="M6276" s="1"/>
  <c r="J6268"/>
  <c r="J6276" s="1"/>
  <c r="P6266"/>
  <c r="P6243" l="1"/>
  <c r="M6243"/>
  <c r="S6229"/>
  <c r="I6229"/>
  <c r="N6228"/>
  <c r="O6228" s="1"/>
  <c r="M6228"/>
  <c r="J6228"/>
  <c r="N6227"/>
  <c r="O6227" s="1"/>
  <c r="M6227"/>
  <c r="J6227"/>
  <c r="N6226"/>
  <c r="O6226" s="1"/>
  <c r="M6226"/>
  <c r="J6226"/>
  <c r="N6225"/>
  <c r="O6225" s="1"/>
  <c r="M6225"/>
  <c r="J6225"/>
  <c r="N6224"/>
  <c r="O6224" s="1"/>
  <c r="M6224"/>
  <c r="J6224"/>
  <c r="N6223"/>
  <c r="O6223" s="1"/>
  <c r="M6223"/>
  <c r="J6223"/>
  <c r="N6222"/>
  <c r="O6222" s="1"/>
  <c r="M6222"/>
  <c r="J6222"/>
  <c r="N6221"/>
  <c r="O6221" s="1"/>
  <c r="M6221"/>
  <c r="J6221"/>
  <c r="N6220"/>
  <c r="O6220" s="1"/>
  <c r="M6220"/>
  <c r="J6220"/>
  <c r="N6219"/>
  <c r="O6219" s="1"/>
  <c r="M6219"/>
  <c r="J6219"/>
  <c r="O6218"/>
  <c r="N6218"/>
  <c r="M6218"/>
  <c r="J6218"/>
  <c r="O6217"/>
  <c r="N6217"/>
  <c r="M6217"/>
  <c r="J6217"/>
  <c r="O6216"/>
  <c r="N6216"/>
  <c r="M6216"/>
  <c r="J6216"/>
  <c r="M6215"/>
  <c r="L6215"/>
  <c r="N6215" s="1"/>
  <c r="O6215" s="1"/>
  <c r="J6215"/>
  <c r="N6214"/>
  <c r="O6214" s="1"/>
  <c r="M6214"/>
  <c r="J6214"/>
  <c r="N6213"/>
  <c r="O6213" s="1"/>
  <c r="M6213"/>
  <c r="J6213"/>
  <c r="N6212"/>
  <c r="O6212" s="1"/>
  <c r="M6212"/>
  <c r="J6212"/>
  <c r="N6211"/>
  <c r="O6211" s="1"/>
  <c r="M6211"/>
  <c r="J6211"/>
  <c r="N6210"/>
  <c r="O6210" s="1"/>
  <c r="M6210"/>
  <c r="J6210"/>
  <c r="N6209"/>
  <c r="O6209" s="1"/>
  <c r="M6209"/>
  <c r="J6209"/>
  <c r="N6208"/>
  <c r="O6208" s="1"/>
  <c r="M6208"/>
  <c r="J6208"/>
  <c r="N6207"/>
  <c r="O6207" s="1"/>
  <c r="M6207"/>
  <c r="J6207"/>
  <c r="N6206"/>
  <c r="O6206" s="1"/>
  <c r="M6206"/>
  <c r="J6206"/>
  <c r="N6205"/>
  <c r="O6205" s="1"/>
  <c r="M6205"/>
  <c r="J6205"/>
  <c r="N6204"/>
  <c r="O6204" s="1"/>
  <c r="M6204"/>
  <c r="J6204"/>
  <c r="N6203"/>
  <c r="O6203" s="1"/>
  <c r="M6203"/>
  <c r="J6203"/>
  <c r="N6202"/>
  <c r="O6202" s="1"/>
  <c r="M6202"/>
  <c r="J6202"/>
  <c r="N6201"/>
  <c r="O6201" s="1"/>
  <c r="M6201"/>
  <c r="J6201"/>
  <c r="N6200"/>
  <c r="O6200" s="1"/>
  <c r="M6200"/>
  <c r="J6200"/>
  <c r="N6199"/>
  <c r="O6199" s="1"/>
  <c r="M6199"/>
  <c r="J6199"/>
  <c r="N6198"/>
  <c r="O6198" s="1"/>
  <c r="M6198"/>
  <c r="J6198"/>
  <c r="N6197"/>
  <c r="O6197" s="1"/>
  <c r="M6197"/>
  <c r="J6197"/>
  <c r="N6196"/>
  <c r="O6196" s="1"/>
  <c r="M6196"/>
  <c r="J6196"/>
  <c r="N6195"/>
  <c r="O6195" s="1"/>
  <c r="M6195"/>
  <c r="J6195"/>
  <c r="N6194"/>
  <c r="O6194" s="1"/>
  <c r="M6194"/>
  <c r="J6194"/>
  <c r="L6193"/>
  <c r="M6193" s="1"/>
  <c r="J6193"/>
  <c r="N6192"/>
  <c r="O6192" s="1"/>
  <c r="M6192"/>
  <c r="J6192"/>
  <c r="N6191"/>
  <c r="O6191" s="1"/>
  <c r="M6191"/>
  <c r="J6191"/>
  <c r="N6190"/>
  <c r="O6190" s="1"/>
  <c r="M6190"/>
  <c r="J6190"/>
  <c r="O6189"/>
  <c r="N6189"/>
  <c r="M6189"/>
  <c r="J6189"/>
  <c r="O6188"/>
  <c r="N6188"/>
  <c r="M6188"/>
  <c r="J6188"/>
  <c r="O6187"/>
  <c r="N6187"/>
  <c r="M6187"/>
  <c r="J6187"/>
  <c r="O6186"/>
  <c r="N6186"/>
  <c r="M6186"/>
  <c r="J6186"/>
  <c r="O6185"/>
  <c r="N6185"/>
  <c r="M6185"/>
  <c r="J6185"/>
  <c r="O6184"/>
  <c r="N6184"/>
  <c r="M6184"/>
  <c r="J6184"/>
  <c r="M6183"/>
  <c r="L6183"/>
  <c r="N6183" s="1"/>
  <c r="O6183" s="1"/>
  <c r="J6183"/>
  <c r="L6182"/>
  <c r="L6229" s="1"/>
  <c r="J6182"/>
  <c r="N6181"/>
  <c r="O6181" s="1"/>
  <c r="M6181"/>
  <c r="J6181"/>
  <c r="N6180"/>
  <c r="O6180" s="1"/>
  <c r="M6180"/>
  <c r="J6180"/>
  <c r="N6179"/>
  <c r="O6179" s="1"/>
  <c r="M6179"/>
  <c r="J6179"/>
  <c r="J6229" s="1"/>
  <c r="L389" i="43"/>
  <c r="L367"/>
  <c r="L357"/>
  <c r="Q6176" i="36"/>
  <c r="O6175"/>
  <c r="N6175"/>
  <c r="M6175"/>
  <c r="J6175"/>
  <c r="O6174"/>
  <c r="N6174"/>
  <c r="M6174"/>
  <c r="J6174"/>
  <c r="M6173"/>
  <c r="L6173"/>
  <c r="L6176" s="1"/>
  <c r="J6173"/>
  <c r="N6172"/>
  <c r="O6172" s="1"/>
  <c r="M6172"/>
  <c r="J6172"/>
  <c r="M6171"/>
  <c r="I6171"/>
  <c r="N6171" s="1"/>
  <c r="O6171" s="1"/>
  <c r="M6170"/>
  <c r="I6170"/>
  <c r="N6170" s="1"/>
  <c r="O6170" s="1"/>
  <c r="M6169"/>
  <c r="J6169"/>
  <c r="I6169"/>
  <c r="I6176" s="1"/>
  <c r="L111" i="43"/>
  <c r="P6167" i="36"/>
  <c r="R6160"/>
  <c r="R6161" s="1"/>
  <c r="J6160"/>
  <c r="O6159"/>
  <c r="P6159" s="1"/>
  <c r="N6159"/>
  <c r="K6159"/>
  <c r="M6158"/>
  <c r="N6158" s="1"/>
  <c r="K6158"/>
  <c r="O6157"/>
  <c r="P6157" s="1"/>
  <c r="N6157"/>
  <c r="K6157"/>
  <c r="P6156"/>
  <c r="O6156"/>
  <c r="N6156"/>
  <c r="K6156"/>
  <c r="N6155"/>
  <c r="N6160" s="1"/>
  <c r="M6155"/>
  <c r="O6155" s="1"/>
  <c r="K6155"/>
  <c r="K6160" s="1"/>
  <c r="L228" i="43"/>
  <c r="Q6152" i="36"/>
  <c r="L6152"/>
  <c r="N6151"/>
  <c r="O6151" s="1"/>
  <c r="M6151"/>
  <c r="J6151"/>
  <c r="N6150"/>
  <c r="O6150" s="1"/>
  <c r="M6150"/>
  <c r="J6150"/>
  <c r="N6149"/>
  <c r="O6149" s="1"/>
  <c r="M6149"/>
  <c r="J6149"/>
  <c r="N6148"/>
  <c r="O6148" s="1"/>
  <c r="M6148"/>
  <c r="J6148"/>
  <c r="N6147"/>
  <c r="O6147" s="1"/>
  <c r="M6147"/>
  <c r="J6147"/>
  <c r="M6146"/>
  <c r="M6152" s="1"/>
  <c r="I6146"/>
  <c r="I6152" s="1"/>
  <c r="P6144"/>
  <c r="J6146" l="1"/>
  <c r="J6152" s="1"/>
  <c r="N6146"/>
  <c r="O6146" s="1"/>
  <c r="O6152" s="1"/>
  <c r="N6169"/>
  <c r="M6176"/>
  <c r="J6171"/>
  <c r="N6182"/>
  <c r="O6182" s="1"/>
  <c r="N6193"/>
  <c r="O6193" s="1"/>
  <c r="M6182"/>
  <c r="M6229" s="1"/>
  <c r="N6176"/>
  <c r="O6169"/>
  <c r="J6170"/>
  <c r="J6176" s="1"/>
  <c r="N6173"/>
  <c r="O6173" s="1"/>
  <c r="P6155"/>
  <c r="P6160" s="1"/>
  <c r="O6158"/>
  <c r="P6158" s="1"/>
  <c r="M6160"/>
  <c r="N6152" l="1"/>
  <c r="O6229"/>
  <c r="N6229"/>
  <c r="O6176"/>
  <c r="O6160"/>
  <c r="F26" i="58" l="1"/>
  <c r="L26" s="1"/>
  <c r="M26"/>
  <c r="M29" s="1"/>
  <c r="N29" s="1"/>
  <c r="N4"/>
  <c r="N5"/>
  <c r="N7"/>
  <c r="N8"/>
  <c r="N9"/>
  <c r="N10"/>
  <c r="J29"/>
  <c r="G29"/>
  <c r="N25"/>
  <c r="N24"/>
  <c r="N23"/>
  <c r="N21"/>
  <c r="N20"/>
  <c r="N19"/>
  <c r="N18"/>
  <c r="N17"/>
  <c r="N16"/>
  <c r="N15"/>
  <c r="M28"/>
  <c r="N28" s="1"/>
  <c r="I29"/>
  <c r="M27"/>
  <c r="N27" s="1"/>
  <c r="F28"/>
  <c r="L28" s="1"/>
  <c r="F27"/>
  <c r="L27" s="1"/>
  <c r="M11"/>
  <c r="J11"/>
  <c r="L11"/>
  <c r="I11"/>
  <c r="F11"/>
  <c r="G11"/>
  <c r="N11" l="1"/>
  <c r="N26"/>
  <c r="L29"/>
  <c r="F29"/>
  <c r="L601" i="40"/>
  <c r="I601"/>
  <c r="N600"/>
  <c r="M600"/>
  <c r="N599"/>
  <c r="M599"/>
  <c r="J599"/>
  <c r="N598"/>
  <c r="O598" s="1"/>
  <c r="M598"/>
  <c r="J598"/>
  <c r="N597"/>
  <c r="O597" s="1"/>
  <c r="M597"/>
  <c r="J597"/>
  <c r="N596"/>
  <c r="O596" s="1"/>
  <c r="M596"/>
  <c r="J596"/>
  <c r="N595"/>
  <c r="O595" s="1"/>
  <c r="M595"/>
  <c r="J595"/>
  <c r="N594"/>
  <c r="O594" s="1"/>
  <c r="M594"/>
  <c r="J594"/>
  <c r="N593"/>
  <c r="O593" s="1"/>
  <c r="M593"/>
  <c r="J593"/>
  <c r="N592"/>
  <c r="O592" s="1"/>
  <c r="M592"/>
  <c r="J592"/>
  <c r="N591"/>
  <c r="O591" s="1"/>
  <c r="M591"/>
  <c r="J591"/>
  <c r="N590"/>
  <c r="O590" s="1"/>
  <c r="M590"/>
  <c r="J590"/>
  <c r="N589"/>
  <c r="O589" s="1"/>
  <c r="M589"/>
  <c r="J589"/>
  <c r="N588"/>
  <c r="O588" s="1"/>
  <c r="M588"/>
  <c r="J588"/>
  <c r="N587"/>
  <c r="O587" s="1"/>
  <c r="M587"/>
  <c r="J587"/>
  <c r="N586"/>
  <c r="O586" s="1"/>
  <c r="M586"/>
  <c r="J586"/>
  <c r="N585"/>
  <c r="O585" s="1"/>
  <c r="M585"/>
  <c r="J585"/>
  <c r="N584"/>
  <c r="O584" s="1"/>
  <c r="M584"/>
  <c r="J584"/>
  <c r="N583"/>
  <c r="O583" s="1"/>
  <c r="M583"/>
  <c r="J583"/>
  <c r="N582"/>
  <c r="O582" s="1"/>
  <c r="M582"/>
  <c r="J582"/>
  <c r="N581"/>
  <c r="O581" s="1"/>
  <c r="M581"/>
  <c r="J581"/>
  <c r="N580"/>
  <c r="O580" s="1"/>
  <c r="M580"/>
  <c r="J580"/>
  <c r="N579"/>
  <c r="O579" s="1"/>
  <c r="M579"/>
  <c r="J579"/>
  <c r="N578"/>
  <c r="O578" s="1"/>
  <c r="M578"/>
  <c r="J578"/>
  <c r="N577"/>
  <c r="O577" s="1"/>
  <c r="M577"/>
  <c r="J577"/>
  <c r="N576"/>
  <c r="O576" s="1"/>
  <c r="M576"/>
  <c r="J576"/>
  <c r="N575"/>
  <c r="O575" s="1"/>
  <c r="M575"/>
  <c r="J575"/>
  <c r="N574"/>
  <c r="O574" s="1"/>
  <c r="M574"/>
  <c r="J574"/>
  <c r="N573"/>
  <c r="O573" s="1"/>
  <c r="M573"/>
  <c r="J573"/>
  <c r="N572"/>
  <c r="O572" s="1"/>
  <c r="M572"/>
  <c r="J572"/>
  <c r="N571"/>
  <c r="M571"/>
  <c r="J571"/>
  <c r="L569"/>
  <c r="I569"/>
  <c r="N568"/>
  <c r="O568" s="1"/>
  <c r="M568"/>
  <c r="J568"/>
  <c r="N567"/>
  <c r="O567" s="1"/>
  <c r="M567"/>
  <c r="J567"/>
  <c r="N566"/>
  <c r="O566" s="1"/>
  <c r="M566"/>
  <c r="J566"/>
  <c r="N565"/>
  <c r="O565" s="1"/>
  <c r="M565"/>
  <c r="J565"/>
  <c r="N564"/>
  <c r="O564" s="1"/>
  <c r="M564"/>
  <c r="J564"/>
  <c r="L562"/>
  <c r="I562"/>
  <c r="N561"/>
  <c r="O561" s="1"/>
  <c r="M561"/>
  <c r="J561"/>
  <c r="N560"/>
  <c r="O560" s="1"/>
  <c r="M560"/>
  <c r="J560"/>
  <c r="N559"/>
  <c r="O559" s="1"/>
  <c r="M559"/>
  <c r="J559"/>
  <c r="N558"/>
  <c r="O558" s="1"/>
  <c r="M558"/>
  <c r="J558"/>
  <c r="N557"/>
  <c r="O557" s="1"/>
  <c r="M557"/>
  <c r="J557"/>
  <c r="L555"/>
  <c r="I555"/>
  <c r="N554"/>
  <c r="O554" s="1"/>
  <c r="M554"/>
  <c r="J554"/>
  <c r="N553"/>
  <c r="O553" s="1"/>
  <c r="M553"/>
  <c r="J553"/>
  <c r="N552"/>
  <c r="O552" s="1"/>
  <c r="M552"/>
  <c r="J552"/>
  <c r="N551"/>
  <c r="O551" s="1"/>
  <c r="M551"/>
  <c r="J551"/>
  <c r="N550"/>
  <c r="O550" s="1"/>
  <c r="M550"/>
  <c r="J550"/>
  <c r="N549"/>
  <c r="O549" s="1"/>
  <c r="M549"/>
  <c r="J549"/>
  <c r="N548"/>
  <c r="O548" s="1"/>
  <c r="M548"/>
  <c r="J548"/>
  <c r="N547"/>
  <c r="O547" s="1"/>
  <c r="M547"/>
  <c r="J547"/>
  <c r="N546"/>
  <c r="O546" s="1"/>
  <c r="M546"/>
  <c r="J546"/>
  <c r="N545"/>
  <c r="O545" s="1"/>
  <c r="M545"/>
  <c r="J545"/>
  <c r="N544"/>
  <c r="O544" s="1"/>
  <c r="M544"/>
  <c r="J544"/>
  <c r="N543"/>
  <c r="O543" s="1"/>
  <c r="M543"/>
  <c r="J543"/>
  <c r="N542"/>
  <c r="O542" s="1"/>
  <c r="M542"/>
  <c r="J542"/>
  <c r="N541"/>
  <c r="O541" s="1"/>
  <c r="M541"/>
  <c r="J541"/>
  <c r="N540"/>
  <c r="O540" s="1"/>
  <c r="M540"/>
  <c r="J540"/>
  <c r="N539"/>
  <c r="O539" s="1"/>
  <c r="M539"/>
  <c r="J539"/>
  <c r="N538"/>
  <c r="O538" s="1"/>
  <c r="M538"/>
  <c r="J538"/>
  <c r="N537"/>
  <c r="O537" s="1"/>
  <c r="M537"/>
  <c r="J537"/>
  <c r="N536"/>
  <c r="O536" s="1"/>
  <c r="M536"/>
  <c r="J536"/>
  <c r="N535"/>
  <c r="O535" s="1"/>
  <c r="M535"/>
  <c r="J535"/>
  <c r="N534"/>
  <c r="O534" s="1"/>
  <c r="M534"/>
  <c r="J534"/>
  <c r="N533"/>
  <c r="O533" s="1"/>
  <c r="M533"/>
  <c r="J533"/>
  <c r="N532"/>
  <c r="O532" s="1"/>
  <c r="M532"/>
  <c r="J532"/>
  <c r="N531"/>
  <c r="O531" s="1"/>
  <c r="M531"/>
  <c r="J531"/>
  <c r="N530"/>
  <c r="O530" s="1"/>
  <c r="M530"/>
  <c r="J530"/>
  <c r="N529"/>
  <c r="O529" s="1"/>
  <c r="M529"/>
  <c r="J529"/>
  <c r="N528"/>
  <c r="O528" s="1"/>
  <c r="M528"/>
  <c r="J528"/>
  <c r="N527"/>
  <c r="O527" s="1"/>
  <c r="M527"/>
  <c r="J527"/>
  <c r="N526"/>
  <c r="O526" s="1"/>
  <c r="M526"/>
  <c r="J526"/>
  <c r="N525"/>
  <c r="O525" s="1"/>
  <c r="M525"/>
  <c r="J525"/>
  <c r="N524"/>
  <c r="O524" s="1"/>
  <c r="M524"/>
  <c r="J524"/>
  <c r="N523"/>
  <c r="O523" s="1"/>
  <c r="M523"/>
  <c r="J523"/>
  <c r="N522"/>
  <c r="O522" s="1"/>
  <c r="M522"/>
  <c r="J522"/>
  <c r="N521"/>
  <c r="O521" s="1"/>
  <c r="M521"/>
  <c r="J521"/>
  <c r="N520"/>
  <c r="O520" s="1"/>
  <c r="M520"/>
  <c r="J520"/>
  <c r="N519"/>
  <c r="O519" s="1"/>
  <c r="M519"/>
  <c r="J519"/>
  <c r="N518"/>
  <c r="O518" s="1"/>
  <c r="M518"/>
  <c r="J518"/>
  <c r="N517"/>
  <c r="O517" s="1"/>
  <c r="M517"/>
  <c r="J517"/>
  <c r="N516"/>
  <c r="O516" s="1"/>
  <c r="M516"/>
  <c r="J516"/>
  <c r="N515"/>
  <c r="O515" s="1"/>
  <c r="M515"/>
  <c r="J515"/>
  <c r="N514"/>
  <c r="O514" s="1"/>
  <c r="M514"/>
  <c r="J514"/>
  <c r="N513"/>
  <c r="O513" s="1"/>
  <c r="M513"/>
  <c r="J513"/>
  <c r="N512"/>
  <c r="O512" s="1"/>
  <c r="M512"/>
  <c r="J512"/>
  <c r="N511"/>
  <c r="O511" s="1"/>
  <c r="M511"/>
  <c r="J511"/>
  <c r="N510"/>
  <c r="O510" s="1"/>
  <c r="M510"/>
  <c r="J510"/>
  <c r="J562" l="1"/>
  <c r="O562"/>
  <c r="J569"/>
  <c r="O569"/>
  <c r="M562"/>
  <c r="O571"/>
  <c r="M569"/>
  <c r="N569"/>
  <c r="N562"/>
  <c r="O555"/>
  <c r="M555"/>
  <c r="J555"/>
  <c r="N555"/>
  <c r="L499"/>
  <c r="L508" s="1"/>
  <c r="J507"/>
  <c r="J506"/>
  <c r="I508"/>
  <c r="N507"/>
  <c r="O507" s="1"/>
  <c r="M507"/>
  <c r="N506"/>
  <c r="O506" s="1"/>
  <c r="M506"/>
  <c r="N505"/>
  <c r="O505" s="1"/>
  <c r="M505"/>
  <c r="J505"/>
  <c r="N504"/>
  <c r="O504" s="1"/>
  <c r="M504"/>
  <c r="J504"/>
  <c r="N503"/>
  <c r="O503" s="1"/>
  <c r="M503"/>
  <c r="J503"/>
  <c r="N502"/>
  <c r="O502" s="1"/>
  <c r="M502"/>
  <c r="J502"/>
  <c r="N501"/>
  <c r="O501" s="1"/>
  <c r="M501"/>
  <c r="J501"/>
  <c r="N500"/>
  <c r="O500" s="1"/>
  <c r="M500"/>
  <c r="J500"/>
  <c r="N499"/>
  <c r="O499" s="1"/>
  <c r="J499"/>
  <c r="N498"/>
  <c r="O498" s="1"/>
  <c r="M498"/>
  <c r="J498"/>
  <c r="N497"/>
  <c r="O497" s="1"/>
  <c r="M497"/>
  <c r="J497"/>
  <c r="N496"/>
  <c r="O496" s="1"/>
  <c r="M496"/>
  <c r="J496"/>
  <c r="N495"/>
  <c r="O495" s="1"/>
  <c r="M495"/>
  <c r="J495"/>
  <c r="N494"/>
  <c r="O494" s="1"/>
  <c r="M494"/>
  <c r="J494"/>
  <c r="L492"/>
  <c r="I492"/>
  <c r="N491"/>
  <c r="O491" s="1"/>
  <c r="M491"/>
  <c r="J491"/>
  <c r="N490"/>
  <c r="O490" s="1"/>
  <c r="M490"/>
  <c r="J490"/>
  <c r="N489"/>
  <c r="O489" s="1"/>
  <c r="M489"/>
  <c r="J489"/>
  <c r="N488"/>
  <c r="O488" s="1"/>
  <c r="M488"/>
  <c r="J488"/>
  <c r="N487"/>
  <c r="O487" s="1"/>
  <c r="M487"/>
  <c r="J487"/>
  <c r="N486"/>
  <c r="O486" s="1"/>
  <c r="M486"/>
  <c r="J486"/>
  <c r="N485"/>
  <c r="O485" s="1"/>
  <c r="M485"/>
  <c r="J485"/>
  <c r="N484"/>
  <c r="O484" s="1"/>
  <c r="M484"/>
  <c r="J484"/>
  <c r="N483"/>
  <c r="O483" s="1"/>
  <c r="M483"/>
  <c r="J483"/>
  <c r="N482"/>
  <c r="O482" s="1"/>
  <c r="M482"/>
  <c r="J482"/>
  <c r="N481"/>
  <c r="O481" s="1"/>
  <c r="M481"/>
  <c r="J481"/>
  <c r="N480"/>
  <c r="O480" s="1"/>
  <c r="M480"/>
  <c r="J480"/>
  <c r="N479"/>
  <c r="O479" s="1"/>
  <c r="M479"/>
  <c r="J479"/>
  <c r="N478"/>
  <c r="O478" s="1"/>
  <c r="M478"/>
  <c r="J478"/>
  <c r="N477"/>
  <c r="O477" s="1"/>
  <c r="M477"/>
  <c r="J477"/>
  <c r="N476"/>
  <c r="O476" s="1"/>
  <c r="M476"/>
  <c r="J476"/>
  <c r="N475"/>
  <c r="O475" s="1"/>
  <c r="M475"/>
  <c r="J475"/>
  <c r="N474"/>
  <c r="O474" s="1"/>
  <c r="M474"/>
  <c r="J474"/>
  <c r="N473"/>
  <c r="O473" s="1"/>
  <c r="M473"/>
  <c r="J473"/>
  <c r="N472"/>
  <c r="O472" s="1"/>
  <c r="M472"/>
  <c r="J472"/>
  <c r="N471"/>
  <c r="O471" s="1"/>
  <c r="M471"/>
  <c r="J471"/>
  <c r="N470"/>
  <c r="O470" s="1"/>
  <c r="M470"/>
  <c r="J470"/>
  <c r="N469"/>
  <c r="O469" s="1"/>
  <c r="M469"/>
  <c r="J469"/>
  <c r="N468"/>
  <c r="O468" s="1"/>
  <c r="M468"/>
  <c r="J468"/>
  <c r="N467"/>
  <c r="O467" s="1"/>
  <c r="M467"/>
  <c r="J467"/>
  <c r="N466"/>
  <c r="O466" s="1"/>
  <c r="M466"/>
  <c r="J466"/>
  <c r="N465"/>
  <c r="O465" s="1"/>
  <c r="M465"/>
  <c r="J465"/>
  <c r="N464"/>
  <c r="O464" s="1"/>
  <c r="M464"/>
  <c r="J464"/>
  <c r="N463"/>
  <c r="O463" s="1"/>
  <c r="M463"/>
  <c r="J463"/>
  <c r="L461"/>
  <c r="I461"/>
  <c r="N460"/>
  <c r="O460" s="1"/>
  <c r="M460"/>
  <c r="J460"/>
  <c r="N459"/>
  <c r="O459" s="1"/>
  <c r="M459"/>
  <c r="J459"/>
  <c r="N458"/>
  <c r="O458" s="1"/>
  <c r="M458"/>
  <c r="J458"/>
  <c r="N457"/>
  <c r="O457" s="1"/>
  <c r="M457"/>
  <c r="J457"/>
  <c r="N456"/>
  <c r="O456" s="1"/>
  <c r="M456"/>
  <c r="J456"/>
  <c r="N455"/>
  <c r="O455" s="1"/>
  <c r="M455"/>
  <c r="J455"/>
  <c r="N454"/>
  <c r="O454" s="1"/>
  <c r="M454"/>
  <c r="J454"/>
  <c r="N453"/>
  <c r="O453" s="1"/>
  <c r="M453"/>
  <c r="J453"/>
  <c r="N452"/>
  <c r="O452" s="1"/>
  <c r="M452"/>
  <c r="J452"/>
  <c r="N451"/>
  <c r="O451" s="1"/>
  <c r="M451"/>
  <c r="J451"/>
  <c r="N450"/>
  <c r="O450" s="1"/>
  <c r="M450"/>
  <c r="J450"/>
  <c r="N449"/>
  <c r="O449" s="1"/>
  <c r="M449"/>
  <c r="J449"/>
  <c r="N448"/>
  <c r="O448" s="1"/>
  <c r="M448"/>
  <c r="J448"/>
  <c r="N447"/>
  <c r="O447" s="1"/>
  <c r="M447"/>
  <c r="J447"/>
  <c r="N446"/>
  <c r="O446" s="1"/>
  <c r="M446"/>
  <c r="J446"/>
  <c r="N445"/>
  <c r="O445" s="1"/>
  <c r="M445"/>
  <c r="J445"/>
  <c r="L443"/>
  <c r="I443"/>
  <c r="N442"/>
  <c r="O442" s="1"/>
  <c r="M442"/>
  <c r="J442"/>
  <c r="N441"/>
  <c r="O441" s="1"/>
  <c r="M441"/>
  <c r="J441"/>
  <c r="N440"/>
  <c r="O440" s="1"/>
  <c r="M440"/>
  <c r="J440"/>
  <c r="N439"/>
  <c r="O439" s="1"/>
  <c r="M439"/>
  <c r="J439"/>
  <c r="N438"/>
  <c r="O438" s="1"/>
  <c r="M438"/>
  <c r="J438"/>
  <c r="N437"/>
  <c r="O437" s="1"/>
  <c r="M437"/>
  <c r="J437"/>
  <c r="N436"/>
  <c r="O436" s="1"/>
  <c r="M436"/>
  <c r="J436"/>
  <c r="N435"/>
  <c r="O435" s="1"/>
  <c r="M435"/>
  <c r="J435"/>
  <c r="N434"/>
  <c r="O434" s="1"/>
  <c r="M434"/>
  <c r="J434"/>
  <c r="N433"/>
  <c r="O433" s="1"/>
  <c r="M433"/>
  <c r="J433"/>
  <c r="N432"/>
  <c r="O432" s="1"/>
  <c r="M432"/>
  <c r="J432"/>
  <c r="N431"/>
  <c r="O431" s="1"/>
  <c r="M431"/>
  <c r="J431"/>
  <c r="N430"/>
  <c r="O430" s="1"/>
  <c r="M430"/>
  <c r="J430"/>
  <c r="N429"/>
  <c r="O429" s="1"/>
  <c r="M429"/>
  <c r="J429"/>
  <c r="N428"/>
  <c r="O428" s="1"/>
  <c r="M428"/>
  <c r="J428"/>
  <c r="N427"/>
  <c r="O427" s="1"/>
  <c r="M427"/>
  <c r="J427"/>
  <c r="N426"/>
  <c r="O426" s="1"/>
  <c r="M426"/>
  <c r="J426"/>
  <c r="N425"/>
  <c r="O425" s="1"/>
  <c r="M425"/>
  <c r="J425"/>
  <c r="N424"/>
  <c r="O424" s="1"/>
  <c r="M424"/>
  <c r="J424"/>
  <c r="N423"/>
  <c r="O423" s="1"/>
  <c r="M423"/>
  <c r="J423"/>
  <c r="N422"/>
  <c r="O422" s="1"/>
  <c r="M422"/>
  <c r="J422"/>
  <c r="N421"/>
  <c r="O421" s="1"/>
  <c r="M421"/>
  <c r="J421"/>
  <c r="N420"/>
  <c r="O420" s="1"/>
  <c r="M420"/>
  <c r="J420"/>
  <c r="N419"/>
  <c r="O419" s="1"/>
  <c r="M419"/>
  <c r="J419"/>
  <c r="N418"/>
  <c r="O418" s="1"/>
  <c r="M418"/>
  <c r="J418"/>
  <c r="N417"/>
  <c r="O417" s="1"/>
  <c r="M417"/>
  <c r="J417"/>
  <c r="L415"/>
  <c r="I415"/>
  <c r="N414"/>
  <c r="O414" s="1"/>
  <c r="M414"/>
  <c r="J414"/>
  <c r="N413"/>
  <c r="O413" s="1"/>
  <c r="M413"/>
  <c r="J413"/>
  <c r="N412"/>
  <c r="O412" s="1"/>
  <c r="M412"/>
  <c r="J412"/>
  <c r="N411"/>
  <c r="M411"/>
  <c r="J411"/>
  <c r="M408"/>
  <c r="L409"/>
  <c r="I409"/>
  <c r="N408"/>
  <c r="O408" s="1"/>
  <c r="J408"/>
  <c r="N407"/>
  <c r="O407" s="1"/>
  <c r="M407"/>
  <c r="J407"/>
  <c r="N406"/>
  <c r="O406" s="1"/>
  <c r="M406"/>
  <c r="J406"/>
  <c r="N405"/>
  <c r="O405" s="1"/>
  <c r="M405"/>
  <c r="J405"/>
  <c r="N404"/>
  <c r="O404" s="1"/>
  <c r="M404"/>
  <c r="J404"/>
  <c r="N403"/>
  <c r="O403" s="1"/>
  <c r="M403"/>
  <c r="J403"/>
  <c r="N402"/>
  <c r="O402" s="1"/>
  <c r="M402"/>
  <c r="J402"/>
  <c r="N401"/>
  <c r="O401" s="1"/>
  <c r="M401"/>
  <c r="J401"/>
  <c r="N400"/>
  <c r="O400" s="1"/>
  <c r="M400"/>
  <c r="J400"/>
  <c r="N399"/>
  <c r="O399" s="1"/>
  <c r="M399"/>
  <c r="J399"/>
  <c r="N398"/>
  <c r="O398" s="1"/>
  <c r="M398"/>
  <c r="J398"/>
  <c r="N397"/>
  <c r="O397" s="1"/>
  <c r="M397"/>
  <c r="J397"/>
  <c r="N396"/>
  <c r="O396" s="1"/>
  <c r="M396"/>
  <c r="J396"/>
  <c r="N395"/>
  <c r="O395" s="1"/>
  <c r="M395"/>
  <c r="J395"/>
  <c r="N394"/>
  <c r="O394" s="1"/>
  <c r="M394"/>
  <c r="J394"/>
  <c r="N393"/>
  <c r="O393" s="1"/>
  <c r="M393"/>
  <c r="J393"/>
  <c r="N392"/>
  <c r="O392" s="1"/>
  <c r="M392"/>
  <c r="J392"/>
  <c r="N391"/>
  <c r="O391" s="1"/>
  <c r="M391"/>
  <c r="J391"/>
  <c r="N390"/>
  <c r="O390" s="1"/>
  <c r="M390"/>
  <c r="J390"/>
  <c r="N389"/>
  <c r="O389" s="1"/>
  <c r="M389"/>
  <c r="J389"/>
  <c r="N388"/>
  <c r="O388" s="1"/>
  <c r="M388"/>
  <c r="J388"/>
  <c r="N387"/>
  <c r="O387" s="1"/>
  <c r="M387"/>
  <c r="J387"/>
  <c r="N386"/>
  <c r="O386" s="1"/>
  <c r="M386"/>
  <c r="J386"/>
  <c r="N385"/>
  <c r="O385" s="1"/>
  <c r="M385"/>
  <c r="J385"/>
  <c r="N384"/>
  <c r="O384" s="1"/>
  <c r="M384"/>
  <c r="J384"/>
  <c r="N383"/>
  <c r="O383" s="1"/>
  <c r="M383"/>
  <c r="J383"/>
  <c r="N382"/>
  <c r="O382" s="1"/>
  <c r="M382"/>
  <c r="J382"/>
  <c r="N381"/>
  <c r="O381" s="1"/>
  <c r="M381"/>
  <c r="J381"/>
  <c r="N380"/>
  <c r="O380" s="1"/>
  <c r="M380"/>
  <c r="J380"/>
  <c r="N379"/>
  <c r="O379" s="1"/>
  <c r="M379"/>
  <c r="J379"/>
  <c r="N378"/>
  <c r="O378" s="1"/>
  <c r="M378"/>
  <c r="J378"/>
  <c r="N377"/>
  <c r="O377" s="1"/>
  <c r="M377"/>
  <c r="J377"/>
  <c r="N376"/>
  <c r="O376" s="1"/>
  <c r="M376"/>
  <c r="J376"/>
  <c r="N375"/>
  <c r="O375" s="1"/>
  <c r="M375"/>
  <c r="J375"/>
  <c r="N374"/>
  <c r="O374" s="1"/>
  <c r="M374"/>
  <c r="J374"/>
  <c r="N373"/>
  <c r="O373" s="1"/>
  <c r="M373"/>
  <c r="J373"/>
  <c r="N372"/>
  <c r="O372" s="1"/>
  <c r="M372"/>
  <c r="J372"/>
  <c r="J415" l="1"/>
  <c r="N415"/>
  <c r="J461"/>
  <c r="O508"/>
  <c r="J508"/>
  <c r="M415"/>
  <c r="M443"/>
  <c r="M499"/>
  <c r="M508" s="1"/>
  <c r="N508"/>
  <c r="O492"/>
  <c r="M492"/>
  <c r="J492"/>
  <c r="N492"/>
  <c r="M461"/>
  <c r="O461"/>
  <c r="N461"/>
  <c r="J443"/>
  <c r="O443"/>
  <c r="N443"/>
  <c r="O411"/>
  <c r="O415" s="1"/>
  <c r="N371" l="1"/>
  <c r="O371" s="1"/>
  <c r="M371"/>
  <c r="J371"/>
  <c r="N370"/>
  <c r="O370" s="1"/>
  <c r="M370"/>
  <c r="J370"/>
  <c r="N369"/>
  <c r="O369" s="1"/>
  <c r="M369"/>
  <c r="J369"/>
  <c r="N368"/>
  <c r="O368" s="1"/>
  <c r="M368"/>
  <c r="J368"/>
  <c r="N367"/>
  <c r="O367" s="1"/>
  <c r="M367"/>
  <c r="J367"/>
  <c r="N366"/>
  <c r="O366" s="1"/>
  <c r="M366"/>
  <c r="J366"/>
  <c r="N365"/>
  <c r="O365" s="1"/>
  <c r="M365"/>
  <c r="J365"/>
  <c r="N364"/>
  <c r="O364" s="1"/>
  <c r="M364"/>
  <c r="J364"/>
  <c r="N363"/>
  <c r="O363" s="1"/>
  <c r="M363"/>
  <c r="J363"/>
  <c r="N362"/>
  <c r="O362" s="1"/>
  <c r="M362"/>
  <c r="J362"/>
  <c r="N361"/>
  <c r="O361" s="1"/>
  <c r="M361"/>
  <c r="J361"/>
  <c r="N360"/>
  <c r="O360" s="1"/>
  <c r="M360"/>
  <c r="J360"/>
  <c r="N359"/>
  <c r="O359" s="1"/>
  <c r="M359"/>
  <c r="J359"/>
  <c r="N358"/>
  <c r="O358" s="1"/>
  <c r="M358"/>
  <c r="J358"/>
  <c r="N357"/>
  <c r="M357"/>
  <c r="J357"/>
  <c r="N356"/>
  <c r="M356"/>
  <c r="J356"/>
  <c r="L354"/>
  <c r="I354"/>
  <c r="N353"/>
  <c r="O353" s="1"/>
  <c r="M353"/>
  <c r="J353"/>
  <c r="N352"/>
  <c r="O352" s="1"/>
  <c r="M352"/>
  <c r="J352"/>
  <c r="N351"/>
  <c r="O351" s="1"/>
  <c r="M351"/>
  <c r="J351"/>
  <c r="N350"/>
  <c r="O350" s="1"/>
  <c r="M350"/>
  <c r="J350"/>
  <c r="N349"/>
  <c r="O349" s="1"/>
  <c r="M349"/>
  <c r="J349"/>
  <c r="N348"/>
  <c r="O348" s="1"/>
  <c r="M348"/>
  <c r="J348"/>
  <c r="N347"/>
  <c r="O347" s="1"/>
  <c r="M347"/>
  <c r="J347"/>
  <c r="M409" l="1"/>
  <c r="J409"/>
  <c r="O356"/>
  <c r="N409"/>
  <c r="O357"/>
  <c r="O409" l="1"/>
  <c r="J346" l="1"/>
  <c r="M346"/>
  <c r="M345"/>
  <c r="J345"/>
  <c r="M344"/>
  <c r="J344"/>
  <c r="M343"/>
  <c r="J343"/>
  <c r="M342"/>
  <c r="J342"/>
  <c r="M341"/>
  <c r="J341"/>
  <c r="M340"/>
  <c r="J340"/>
  <c r="N340"/>
  <c r="O340" s="1"/>
  <c r="M339"/>
  <c r="J339"/>
  <c r="N339"/>
  <c r="O339" s="1"/>
  <c r="M338"/>
  <c r="J338"/>
  <c r="N338"/>
  <c r="O338" s="1"/>
  <c r="M337"/>
  <c r="J337"/>
  <c r="N337"/>
  <c r="O337" s="1"/>
  <c r="M336"/>
  <c r="J336"/>
  <c r="N336"/>
  <c r="O336" s="1"/>
  <c r="M335"/>
  <c r="J335"/>
  <c r="N335"/>
  <c r="O335" s="1"/>
  <c r="M334"/>
  <c r="J334"/>
  <c r="N334"/>
  <c r="O334" s="1"/>
  <c r="N341" l="1"/>
  <c r="O341" s="1"/>
  <c r="N342"/>
  <c r="O342" s="1"/>
  <c r="N343"/>
  <c r="N344"/>
  <c r="O344" s="1"/>
  <c r="N345"/>
  <c r="O345" s="1"/>
  <c r="N346"/>
  <c r="O346" s="1"/>
  <c r="O343" l="1"/>
  <c r="M333" l="1"/>
  <c r="M354" s="1"/>
  <c r="J333"/>
  <c r="J354" s="1"/>
  <c r="N6137" i="36"/>
  <c r="O6137" s="1"/>
  <c r="M6137"/>
  <c r="J6137"/>
  <c r="N6136"/>
  <c r="O6136" s="1"/>
  <c r="M6136"/>
  <c r="J6136"/>
  <c r="N6135"/>
  <c r="O6135" s="1"/>
  <c r="M6135"/>
  <c r="J6135"/>
  <c r="N6131"/>
  <c r="O6131" s="1"/>
  <c r="M6131"/>
  <c r="J6131"/>
  <c r="N6130"/>
  <c r="O6130" s="1"/>
  <c r="M6130"/>
  <c r="J6130"/>
  <c r="N6129"/>
  <c r="O6129" s="1"/>
  <c r="M6129"/>
  <c r="J6129"/>
  <c r="N6128"/>
  <c r="O6128" s="1"/>
  <c r="M6128"/>
  <c r="J6128"/>
  <c r="N6127"/>
  <c r="O6127" s="1"/>
  <c r="M6127"/>
  <c r="J6127"/>
  <c r="N6126"/>
  <c r="O6126" s="1"/>
  <c r="M6126"/>
  <c r="J6126"/>
  <c r="N6125"/>
  <c r="O6125" s="1"/>
  <c r="M6125"/>
  <c r="J6125"/>
  <c r="N6124"/>
  <c r="O6124" s="1"/>
  <c r="M6124"/>
  <c r="J6124"/>
  <c r="N6123"/>
  <c r="O6123" s="1"/>
  <c r="M6123"/>
  <c r="J6123"/>
  <c r="L6122"/>
  <c r="M6122" s="1"/>
  <c r="J6122"/>
  <c r="N6121"/>
  <c r="O6121" s="1"/>
  <c r="M6121"/>
  <c r="J6121"/>
  <c r="O6120"/>
  <c r="N6120"/>
  <c r="M6120"/>
  <c r="J6120"/>
  <c r="O6119"/>
  <c r="N6119"/>
  <c r="M6119"/>
  <c r="J6119"/>
  <c r="M6118"/>
  <c r="L6118"/>
  <c r="N6118" s="1"/>
  <c r="O6118" s="1"/>
  <c r="J6118"/>
  <c r="L6117"/>
  <c r="N6117" s="1"/>
  <c r="O6117" s="1"/>
  <c r="J6117"/>
  <c r="M6116"/>
  <c r="I6116"/>
  <c r="N6116" s="1"/>
  <c r="O6116" s="1"/>
  <c r="L6115"/>
  <c r="L6132" s="1"/>
  <c r="I6115"/>
  <c r="I6132" s="1"/>
  <c r="L6108"/>
  <c r="M6108" s="1"/>
  <c r="I6108"/>
  <c r="J6108" s="1"/>
  <c r="N6107"/>
  <c r="O6107" s="1"/>
  <c r="M6107"/>
  <c r="J6107"/>
  <c r="N6106"/>
  <c r="O6106" s="1"/>
  <c r="M6106"/>
  <c r="J6106"/>
  <c r="N6105"/>
  <c r="O6105" s="1"/>
  <c r="M6105"/>
  <c r="J6105"/>
  <c r="J6109" s="1"/>
  <c r="L65" i="50"/>
  <c r="N6099" i="36"/>
  <c r="O6099" s="1"/>
  <c r="M6099"/>
  <c r="J6099"/>
  <c r="N6098"/>
  <c r="O6098" s="1"/>
  <c r="M6098"/>
  <c r="J6098"/>
  <c r="N6097"/>
  <c r="O6097" s="1"/>
  <c r="M6097"/>
  <c r="J6097"/>
  <c r="N6096"/>
  <c r="O6096" s="1"/>
  <c r="M6096"/>
  <c r="J6096"/>
  <c r="N6095"/>
  <c r="O6095" s="1"/>
  <c r="M6095"/>
  <c r="J6095"/>
  <c r="M6094"/>
  <c r="I6094"/>
  <c r="N6094" s="1"/>
  <c r="O6094" s="1"/>
  <c r="N6122" l="1"/>
  <c r="O6122" s="1"/>
  <c r="J6094"/>
  <c r="N333" i="40"/>
  <c r="N354" s="1"/>
  <c r="N6115" i="36"/>
  <c r="J6115"/>
  <c r="M6115"/>
  <c r="J6116"/>
  <c r="M6117"/>
  <c r="M6109"/>
  <c r="N6108"/>
  <c r="O6108" s="1"/>
  <c r="O6109" s="1"/>
  <c r="I6109"/>
  <c r="L6109"/>
  <c r="N6109"/>
  <c r="O333" i="40" l="1"/>
  <c r="O354" s="1"/>
  <c r="N6132" i="36"/>
  <c r="O6115"/>
  <c r="O6132" s="1"/>
  <c r="J6132"/>
  <c r="M6132"/>
  <c r="Q5723" l="1"/>
  <c r="I5723"/>
  <c r="M5722"/>
  <c r="L5722"/>
  <c r="N5722" s="1"/>
  <c r="O5722" s="1"/>
  <c r="J5722"/>
  <c r="N5721"/>
  <c r="O5721" s="1"/>
  <c r="M5721"/>
  <c r="J5721"/>
  <c r="N5720"/>
  <c r="O5720" s="1"/>
  <c r="M5720"/>
  <c r="J5720"/>
  <c r="L5719"/>
  <c r="N5719" s="1"/>
  <c r="O5719" s="1"/>
  <c r="J5719"/>
  <c r="O5718"/>
  <c r="N5718"/>
  <c r="M5718"/>
  <c r="J5718"/>
  <c r="O5717"/>
  <c r="N5717"/>
  <c r="M5717"/>
  <c r="J5717"/>
  <c r="O5716"/>
  <c r="N5716"/>
  <c r="M5716"/>
  <c r="J5716"/>
  <c r="O5715"/>
  <c r="N5715"/>
  <c r="M5715"/>
  <c r="J5715"/>
  <c r="O5714"/>
  <c r="N5714"/>
  <c r="M5714"/>
  <c r="J5714"/>
  <c r="O5713"/>
  <c r="N5713"/>
  <c r="M5713"/>
  <c r="J5713"/>
  <c r="O5712"/>
  <c r="O5723" s="1"/>
  <c r="N5712"/>
  <c r="M5712"/>
  <c r="J5712"/>
  <c r="J5723" s="1"/>
  <c r="Q831" i="42"/>
  <c r="Q5874" i="36"/>
  <c r="P5803"/>
  <c r="N5723" l="1"/>
  <c r="M5719"/>
  <c r="M5723" s="1"/>
  <c r="L5723"/>
  <c r="N330" i="40" l="1"/>
  <c r="O330" s="1"/>
  <c r="M330"/>
  <c r="L331"/>
  <c r="I331"/>
  <c r="J330"/>
  <c r="N329"/>
  <c r="O329" s="1"/>
  <c r="M329"/>
  <c r="J329"/>
  <c r="M328"/>
  <c r="N328"/>
  <c r="O328" s="1"/>
  <c r="N327"/>
  <c r="O327" s="1"/>
  <c r="M327"/>
  <c r="J327"/>
  <c r="M326"/>
  <c r="L324"/>
  <c r="J323"/>
  <c r="I322"/>
  <c r="J322" s="1"/>
  <c r="I321"/>
  <c r="J321" s="1"/>
  <c r="N323"/>
  <c r="O323" s="1"/>
  <c r="M323"/>
  <c r="N322"/>
  <c r="O322" s="1"/>
  <c r="M322"/>
  <c r="M321"/>
  <c r="L117" i="57"/>
  <c r="L128"/>
  <c r="I128"/>
  <c r="N127"/>
  <c r="O127" s="1"/>
  <c r="M127"/>
  <c r="J127"/>
  <c r="N126"/>
  <c r="O126" s="1"/>
  <c r="M126"/>
  <c r="J126"/>
  <c r="N125"/>
  <c r="O125" s="1"/>
  <c r="M125"/>
  <c r="J125"/>
  <c r="N124"/>
  <c r="O124" s="1"/>
  <c r="M124"/>
  <c r="J124"/>
  <c r="N123"/>
  <c r="O123" s="1"/>
  <c r="M123"/>
  <c r="J123"/>
  <c r="N122"/>
  <c r="O122" s="1"/>
  <c r="M122"/>
  <c r="J122"/>
  <c r="O121"/>
  <c r="N121"/>
  <c r="M121"/>
  <c r="J121"/>
  <c r="N120"/>
  <c r="O120" s="1"/>
  <c r="M120"/>
  <c r="J120"/>
  <c r="N119"/>
  <c r="O119" s="1"/>
  <c r="M119"/>
  <c r="J119"/>
  <c r="N118"/>
  <c r="O118" s="1"/>
  <c r="M118"/>
  <c r="J118"/>
  <c r="N117"/>
  <c r="O117" s="1"/>
  <c r="M117"/>
  <c r="J117"/>
  <c r="N116"/>
  <c r="O116" s="1"/>
  <c r="M116"/>
  <c r="J116"/>
  <c r="J128" s="1"/>
  <c r="J324" i="40" l="1"/>
  <c r="M331"/>
  <c r="M128" i="57"/>
  <c r="N321" i="40"/>
  <c r="O321" s="1"/>
  <c r="O324" s="1"/>
  <c r="M324"/>
  <c r="I324"/>
  <c r="J328"/>
  <c r="J326"/>
  <c r="N326"/>
  <c r="O326" s="1"/>
  <c r="O331" s="1"/>
  <c r="O128" i="57"/>
  <c r="N128"/>
  <c r="N324" i="40" l="1"/>
  <c r="J331"/>
  <c r="N331"/>
  <c r="L115" i="57"/>
  <c r="I115"/>
  <c r="N114"/>
  <c r="O114" s="1"/>
  <c r="M114"/>
  <c r="J114"/>
  <c r="N113"/>
  <c r="O113" s="1"/>
  <c r="M113"/>
  <c r="J113"/>
  <c r="N112"/>
  <c r="O112" s="1"/>
  <c r="M112"/>
  <c r="J112"/>
  <c r="N111"/>
  <c r="O111" s="1"/>
  <c r="M111"/>
  <c r="J111"/>
  <c r="N110"/>
  <c r="O110" s="1"/>
  <c r="M110"/>
  <c r="J110"/>
  <c r="N109"/>
  <c r="O109" s="1"/>
  <c r="M109"/>
  <c r="J109"/>
  <c r="N108"/>
  <c r="O108" s="1"/>
  <c r="M108"/>
  <c r="J108"/>
  <c r="N107"/>
  <c r="O107" s="1"/>
  <c r="M107"/>
  <c r="J107"/>
  <c r="N106"/>
  <c r="O106" s="1"/>
  <c r="M106"/>
  <c r="J106"/>
  <c r="N105"/>
  <c r="O105" s="1"/>
  <c r="M105"/>
  <c r="J105"/>
  <c r="N104"/>
  <c r="O104" s="1"/>
  <c r="M104"/>
  <c r="J104"/>
  <c r="N103"/>
  <c r="O103" s="1"/>
  <c r="M103"/>
  <c r="J103"/>
  <c r="N102"/>
  <c r="O102" s="1"/>
  <c r="M102"/>
  <c r="J102"/>
  <c r="N101"/>
  <c r="O101" s="1"/>
  <c r="M101"/>
  <c r="J101"/>
  <c r="N100"/>
  <c r="O100" s="1"/>
  <c r="M100"/>
  <c r="J100"/>
  <c r="N99"/>
  <c r="O99" s="1"/>
  <c r="M99"/>
  <c r="J99"/>
  <c r="N98"/>
  <c r="O98" s="1"/>
  <c r="M98"/>
  <c r="J98"/>
  <c r="N97"/>
  <c r="O97" s="1"/>
  <c r="M97"/>
  <c r="M115" s="1"/>
  <c r="J97"/>
  <c r="J115" l="1"/>
  <c r="O115"/>
  <c r="N115"/>
  <c r="L225" i="43"/>
  <c r="L334"/>
  <c r="J334"/>
  <c r="M458" i="39" l="1"/>
  <c r="L511" i="43"/>
  <c r="L508"/>
  <c r="L512"/>
  <c r="L509"/>
  <c r="Q6089" i="36" l="1"/>
  <c r="I6089"/>
  <c r="N6088"/>
  <c r="O6088" s="1"/>
  <c r="M6088"/>
  <c r="J6088"/>
  <c r="N6087"/>
  <c r="O6087" s="1"/>
  <c r="M6087"/>
  <c r="J6087"/>
  <c r="N6086"/>
  <c r="O6086" s="1"/>
  <c r="M6086"/>
  <c r="J6086"/>
  <c r="N6085"/>
  <c r="O6085" s="1"/>
  <c r="M6085"/>
  <c r="J6085"/>
  <c r="N6084"/>
  <c r="O6084" s="1"/>
  <c r="M6084"/>
  <c r="J6084"/>
  <c r="N6083"/>
  <c r="O6083" s="1"/>
  <c r="M6083"/>
  <c r="J6083"/>
  <c r="L6082"/>
  <c r="L6089" s="1"/>
  <c r="J6082"/>
  <c r="N6081"/>
  <c r="O6081" s="1"/>
  <c r="M6081"/>
  <c r="J6081"/>
  <c r="N6080"/>
  <c r="O6080" s="1"/>
  <c r="M6080"/>
  <c r="J6080"/>
  <c r="N6079"/>
  <c r="O6079" s="1"/>
  <c r="M6079"/>
  <c r="J6079"/>
  <c r="N6078"/>
  <c r="O6078" s="1"/>
  <c r="M6078"/>
  <c r="J6078"/>
  <c r="N6077"/>
  <c r="M6077"/>
  <c r="J6077"/>
  <c r="J6089" s="1"/>
  <c r="L553" i="38"/>
  <c r="S6075" i="36"/>
  <c r="I6075"/>
  <c r="N6074"/>
  <c r="O6074" s="1"/>
  <c r="M6074"/>
  <c r="J6074"/>
  <c r="N6073"/>
  <c r="O6073" s="1"/>
  <c r="M6073"/>
  <c r="J6073"/>
  <c r="N6072"/>
  <c r="O6072" s="1"/>
  <c r="M6072"/>
  <c r="J6072"/>
  <c r="N6071"/>
  <c r="O6071" s="1"/>
  <c r="M6071"/>
  <c r="J6071"/>
  <c r="N6070"/>
  <c r="O6070" s="1"/>
  <c r="M6070"/>
  <c r="J6070"/>
  <c r="L6069"/>
  <c r="L6075" s="1"/>
  <c r="J6069"/>
  <c r="N6068"/>
  <c r="O6068" s="1"/>
  <c r="M6068"/>
  <c r="J6068"/>
  <c r="N6067"/>
  <c r="O6067" s="1"/>
  <c r="M6067"/>
  <c r="J6067"/>
  <c r="N6066"/>
  <c r="O6066" s="1"/>
  <c r="M6066"/>
  <c r="J6066"/>
  <c r="L669" i="38"/>
  <c r="Q6063" i="36"/>
  <c r="N6062"/>
  <c r="O6062" s="1"/>
  <c r="M6062"/>
  <c r="J6062"/>
  <c r="N6061"/>
  <c r="O6061" s="1"/>
  <c r="M6061"/>
  <c r="J6061"/>
  <c r="N6060"/>
  <c r="O6060" s="1"/>
  <c r="M6060"/>
  <c r="J6060"/>
  <c r="N6059"/>
  <c r="O6059" s="1"/>
  <c r="M6059"/>
  <c r="J6059"/>
  <c r="N6058"/>
  <c r="O6058" s="1"/>
  <c r="M6058"/>
  <c r="J6058"/>
  <c r="L6057"/>
  <c r="N6057" s="1"/>
  <c r="O6057" s="1"/>
  <c r="J6057"/>
  <c r="N6056"/>
  <c r="O6056" s="1"/>
  <c r="M6056"/>
  <c r="J6056"/>
  <c r="N6055"/>
  <c r="O6055" s="1"/>
  <c r="M6055"/>
  <c r="J6055"/>
  <c r="L6054"/>
  <c r="N6054" s="1"/>
  <c r="O6054" s="1"/>
  <c r="J6054"/>
  <c r="N6053"/>
  <c r="O6053" s="1"/>
  <c r="M6053"/>
  <c r="J6053"/>
  <c r="L6052"/>
  <c r="N6052" s="1"/>
  <c r="O6052" s="1"/>
  <c r="J6052"/>
  <c r="N6051"/>
  <c r="O6051" s="1"/>
  <c r="M6051"/>
  <c r="J6051"/>
  <c r="N6050"/>
  <c r="O6050" s="1"/>
  <c r="M6050"/>
  <c r="J6050"/>
  <c r="N6049"/>
  <c r="O6049" s="1"/>
  <c r="M6049"/>
  <c r="J6049"/>
  <c r="N6048"/>
  <c r="O6048" s="1"/>
  <c r="M6048"/>
  <c r="J6048"/>
  <c r="L6047"/>
  <c r="N6047" s="1"/>
  <c r="O6047" s="1"/>
  <c r="J6047"/>
  <c r="N6046"/>
  <c r="O6046" s="1"/>
  <c r="M6046"/>
  <c r="J6046"/>
  <c r="N6045"/>
  <c r="O6045" s="1"/>
  <c r="M6045"/>
  <c r="J6045"/>
  <c r="N6044"/>
  <c r="O6044" s="1"/>
  <c r="M6044"/>
  <c r="J6044"/>
  <c r="N6043"/>
  <c r="O6043" s="1"/>
  <c r="M6043"/>
  <c r="J6043"/>
  <c r="N6042"/>
  <c r="O6042" s="1"/>
  <c r="M6042"/>
  <c r="J6042"/>
  <c r="N6041"/>
  <c r="O6041" s="1"/>
  <c r="M6041"/>
  <c r="J6041"/>
  <c r="N6040"/>
  <c r="O6040" s="1"/>
  <c r="M6040"/>
  <c r="J6040"/>
  <c r="N6039"/>
  <c r="O6039" s="1"/>
  <c r="M6039"/>
  <c r="J6039"/>
  <c r="L597" i="38"/>
  <c r="L594"/>
  <c r="L592"/>
  <c r="L587"/>
  <c r="S6037" i="36"/>
  <c r="L6036"/>
  <c r="M6036" s="1"/>
  <c r="I6036"/>
  <c r="L6035"/>
  <c r="M6035" s="1"/>
  <c r="I6035"/>
  <c r="M6034"/>
  <c r="I6034"/>
  <c r="N6034" s="1"/>
  <c r="O6034" s="1"/>
  <c r="N6033"/>
  <c r="O6033" s="1"/>
  <c r="M6033"/>
  <c r="J6033"/>
  <c r="N6032"/>
  <c r="O6032" s="1"/>
  <c r="M6032"/>
  <c r="J6032"/>
  <c r="N6031"/>
  <c r="O6031" s="1"/>
  <c r="M6031"/>
  <c r="J6031"/>
  <c r="N6030"/>
  <c r="O6030" s="1"/>
  <c r="M6030"/>
  <c r="J6030"/>
  <c r="N6029"/>
  <c r="O6029" s="1"/>
  <c r="M6029"/>
  <c r="J6029"/>
  <c r="N6028"/>
  <c r="O6028" s="1"/>
  <c r="M6028"/>
  <c r="J6028"/>
  <c r="N6027"/>
  <c r="O6027" s="1"/>
  <c r="M6027"/>
  <c r="J6027"/>
  <c r="M6026"/>
  <c r="I6026"/>
  <c r="N6026" s="1"/>
  <c r="O6026" s="1"/>
  <c r="M6025"/>
  <c r="I6025"/>
  <c r="N6025" s="1"/>
  <c r="O6025" s="1"/>
  <c r="M6024"/>
  <c r="I6024"/>
  <c r="N6024" s="1"/>
  <c r="O6024" s="1"/>
  <c r="N6023"/>
  <c r="O6023" s="1"/>
  <c r="M6023"/>
  <c r="J6023"/>
  <c r="N6022"/>
  <c r="O6022" s="1"/>
  <c r="M6022"/>
  <c r="J6022"/>
  <c r="L6021"/>
  <c r="N6021" s="1"/>
  <c r="O6021" s="1"/>
  <c r="J6021"/>
  <c r="N6020"/>
  <c r="O6020" s="1"/>
  <c r="M6020"/>
  <c r="J6020"/>
  <c r="N6019"/>
  <c r="O6019" s="1"/>
  <c r="M6019"/>
  <c r="J6019"/>
  <c r="N6018"/>
  <c r="O6018" s="1"/>
  <c r="M6018"/>
  <c r="J6018"/>
  <c r="L530" i="38"/>
  <c r="Q5900" i="36"/>
  <c r="I5900"/>
  <c r="N5899"/>
  <c r="O5899" s="1"/>
  <c r="M5899"/>
  <c r="J5899"/>
  <c r="L5898"/>
  <c r="L5900" s="1"/>
  <c r="J5898"/>
  <c r="N5897"/>
  <c r="O5897" s="1"/>
  <c r="M5897"/>
  <c r="J5897"/>
  <c r="N5896"/>
  <c r="O5896" s="1"/>
  <c r="M5896"/>
  <c r="J5896"/>
  <c r="N5895"/>
  <c r="O5895" s="1"/>
  <c r="M5895"/>
  <c r="J5895"/>
  <c r="N5894"/>
  <c r="O5894" s="1"/>
  <c r="M5894"/>
  <c r="J5894"/>
  <c r="N5893"/>
  <c r="O5893" s="1"/>
  <c r="M5893"/>
  <c r="J5893"/>
  <c r="N5892"/>
  <c r="O5892" s="1"/>
  <c r="M5892"/>
  <c r="J5892"/>
  <c r="N5891"/>
  <c r="O5891" s="1"/>
  <c r="M5891"/>
  <c r="J5891"/>
  <c r="N5890"/>
  <c r="O5890" s="1"/>
  <c r="M5890"/>
  <c r="J5890"/>
  <c r="N5889"/>
  <c r="O5889" s="1"/>
  <c r="M5889"/>
  <c r="J5889"/>
  <c r="N5888"/>
  <c r="O5888" s="1"/>
  <c r="M5888"/>
  <c r="J5888"/>
  <c r="N5887"/>
  <c r="O5887" s="1"/>
  <c r="M5887"/>
  <c r="J5887"/>
  <c r="N5886"/>
  <c r="O5886" s="1"/>
  <c r="M5886"/>
  <c r="J5886"/>
  <c r="N5885"/>
  <c r="O5885" s="1"/>
  <c r="M5885"/>
  <c r="J5885"/>
  <c r="N5884"/>
  <c r="O5884" s="1"/>
  <c r="M5884"/>
  <c r="J5884"/>
  <c r="J5900" s="1"/>
  <c r="Q5882"/>
  <c r="N5881"/>
  <c r="O5881" s="1"/>
  <c r="M5881"/>
  <c r="J5881"/>
  <c r="N5880"/>
  <c r="O5880" s="1"/>
  <c r="M5880"/>
  <c r="J5880"/>
  <c r="N5879"/>
  <c r="O5879" s="1"/>
  <c r="M5879"/>
  <c r="J5879"/>
  <c r="N5878"/>
  <c r="O5878" s="1"/>
  <c r="M5878"/>
  <c r="J5878"/>
  <c r="N5877"/>
  <c r="O5877" s="1"/>
  <c r="M5877"/>
  <c r="J5877"/>
  <c r="N5876"/>
  <c r="O5876" s="1"/>
  <c r="M5876"/>
  <c r="J5876"/>
  <c r="S6015"/>
  <c r="L6014"/>
  <c r="N6014" s="1"/>
  <c r="O6014" s="1"/>
  <c r="J6014"/>
  <c r="O6013"/>
  <c r="N6013"/>
  <c r="M6013"/>
  <c r="J6013"/>
  <c r="M6012"/>
  <c r="L6012"/>
  <c r="N6012" s="1"/>
  <c r="O6012" s="1"/>
  <c r="J6012"/>
  <c r="N6011"/>
  <c r="O6011" s="1"/>
  <c r="M6011"/>
  <c r="J6011"/>
  <c r="N6010"/>
  <c r="O6010" s="1"/>
  <c r="M6010"/>
  <c r="J6010"/>
  <c r="N6009"/>
  <c r="O6009" s="1"/>
  <c r="M6009"/>
  <c r="J6009"/>
  <c r="N6008"/>
  <c r="O6008" s="1"/>
  <c r="M6008"/>
  <c r="J6008"/>
  <c r="N6007"/>
  <c r="O6007" s="1"/>
  <c r="M6007"/>
  <c r="J6007"/>
  <c r="N6006"/>
  <c r="O6006" s="1"/>
  <c r="M6006"/>
  <c r="J6006"/>
  <c r="N6005"/>
  <c r="O6005" s="1"/>
  <c r="M6005"/>
  <c r="J6005"/>
  <c r="N6004"/>
  <c r="O6004" s="1"/>
  <c r="M6004"/>
  <c r="J6004"/>
  <c r="N6003"/>
  <c r="O6003" s="1"/>
  <c r="M6003"/>
  <c r="J6003"/>
  <c r="N6002"/>
  <c r="O6002" s="1"/>
  <c r="M6002"/>
  <c r="J6002"/>
  <c r="N6001"/>
  <c r="O6001" s="1"/>
  <c r="M6001"/>
  <c r="J6001"/>
  <c r="N6000"/>
  <c r="O6000" s="1"/>
  <c r="M6000"/>
  <c r="J6000"/>
  <c r="L662" i="38"/>
  <c r="L660"/>
  <c r="Q5998" i="36"/>
  <c r="N5997"/>
  <c r="O5997" s="1"/>
  <c r="M5997"/>
  <c r="J5997"/>
  <c r="L5996"/>
  <c r="N5996" s="1"/>
  <c r="O5996" s="1"/>
  <c r="J5996"/>
  <c r="N5995"/>
  <c r="O5995" s="1"/>
  <c r="M5995"/>
  <c r="J5995"/>
  <c r="N5994"/>
  <c r="O5994" s="1"/>
  <c r="M5994"/>
  <c r="J5994"/>
  <c r="N5993"/>
  <c r="O5993" s="1"/>
  <c r="M5993"/>
  <c r="J5993"/>
  <c r="L5992"/>
  <c r="M5992" s="1"/>
  <c r="I5992"/>
  <c r="J5992" s="1"/>
  <c r="M5991"/>
  <c r="I5991"/>
  <c r="N5991" s="1"/>
  <c r="O5991" s="1"/>
  <c r="L5990"/>
  <c r="L5998" s="1"/>
  <c r="I5990"/>
  <c r="N5990" s="1"/>
  <c r="O5990" s="1"/>
  <c r="M5989"/>
  <c r="I5989"/>
  <c r="I5998" s="1"/>
  <c r="Q486" i="38"/>
  <c r="L484"/>
  <c r="Q5987" i="36"/>
  <c r="N5986"/>
  <c r="O5986" s="1"/>
  <c r="M5986"/>
  <c r="J5986"/>
  <c r="N5985"/>
  <c r="O5985" s="1"/>
  <c r="M5985"/>
  <c r="J5985"/>
  <c r="N5984"/>
  <c r="O5984" s="1"/>
  <c r="M5984"/>
  <c r="J5984"/>
  <c r="N5983"/>
  <c r="O5983" s="1"/>
  <c r="M5983"/>
  <c r="J5983"/>
  <c r="N5982"/>
  <c r="O5982" s="1"/>
  <c r="M5982"/>
  <c r="J5982"/>
  <c r="N5981"/>
  <c r="O5981" s="1"/>
  <c r="M5981"/>
  <c r="J5981"/>
  <c r="N5980"/>
  <c r="O5980" s="1"/>
  <c r="M5980"/>
  <c r="J5980"/>
  <c r="L5979"/>
  <c r="M5979" s="1"/>
  <c r="I5979"/>
  <c r="N5979" s="1"/>
  <c r="O5979" s="1"/>
  <c r="L5978"/>
  <c r="M5978" s="1"/>
  <c r="I5978"/>
  <c r="N5978" s="1"/>
  <c r="O5978" s="1"/>
  <c r="L5977"/>
  <c r="M5977" s="1"/>
  <c r="I5977"/>
  <c r="N5977" s="1"/>
  <c r="O5977" s="1"/>
  <c r="L5976"/>
  <c r="L5987" s="1"/>
  <c r="I5976"/>
  <c r="N5976" s="1"/>
  <c r="O5976" s="1"/>
  <c r="M5975"/>
  <c r="I5975"/>
  <c r="I5987" s="1"/>
  <c r="N5974"/>
  <c r="O5974" s="1"/>
  <c r="M5974"/>
  <c r="J5974"/>
  <c r="N5973"/>
  <c r="O5973" s="1"/>
  <c r="M5973"/>
  <c r="J5973"/>
  <c r="N5972"/>
  <c r="O5972" s="1"/>
  <c r="M5972"/>
  <c r="J5972"/>
  <c r="N5971"/>
  <c r="O5971" s="1"/>
  <c r="M5971"/>
  <c r="J5971"/>
  <c r="N5970"/>
  <c r="M5970"/>
  <c r="J5970"/>
  <c r="Q5968"/>
  <c r="L5968"/>
  <c r="I5968"/>
  <c r="N5967"/>
  <c r="O5967" s="1"/>
  <c r="M5967"/>
  <c r="J5967"/>
  <c r="N5966"/>
  <c r="O5966" s="1"/>
  <c r="M5966"/>
  <c r="J5966"/>
  <c r="N5965"/>
  <c r="O5965" s="1"/>
  <c r="M5965"/>
  <c r="J5965"/>
  <c r="N5964"/>
  <c r="O5964" s="1"/>
  <c r="M5964"/>
  <c r="J5964"/>
  <c r="N5963"/>
  <c r="O5963" s="1"/>
  <c r="M5963"/>
  <c r="J5963"/>
  <c r="N5962"/>
  <c r="O5962" s="1"/>
  <c r="M5962"/>
  <c r="J5962"/>
  <c r="N5961"/>
  <c r="O5961" s="1"/>
  <c r="M5961"/>
  <c r="J5961"/>
  <c r="N5960"/>
  <c r="O5960" s="1"/>
  <c r="M5960"/>
  <c r="J5960"/>
  <c r="N5959"/>
  <c r="O5959" s="1"/>
  <c r="M5959"/>
  <c r="J5959"/>
  <c r="N5958"/>
  <c r="O5958" s="1"/>
  <c r="M5958"/>
  <c r="J5958"/>
  <c r="N5957"/>
  <c r="O5957" s="1"/>
  <c r="M5957"/>
  <c r="J5957"/>
  <c r="N5956"/>
  <c r="O5956" s="1"/>
  <c r="M5956"/>
  <c r="J5956"/>
  <c r="N5955"/>
  <c r="O5955" s="1"/>
  <c r="M5955"/>
  <c r="J5955"/>
  <c r="N5954"/>
  <c r="O5954" s="1"/>
  <c r="M5954"/>
  <c r="J5954"/>
  <c r="N5953"/>
  <c r="O5953" s="1"/>
  <c r="M5953"/>
  <c r="J5953"/>
  <c r="N5952"/>
  <c r="O5952" s="1"/>
  <c r="M5952"/>
  <c r="J5952"/>
  <c r="N5951"/>
  <c r="O5951" s="1"/>
  <c r="M5951"/>
  <c r="J5951"/>
  <c r="N5950"/>
  <c r="O5950" s="1"/>
  <c r="M5950"/>
  <c r="J5950"/>
  <c r="N5949"/>
  <c r="M5949"/>
  <c r="M5968" s="1"/>
  <c r="J5949"/>
  <c r="P5947"/>
  <c r="M5947"/>
  <c r="L426" i="37"/>
  <c r="L425"/>
  <c r="J6025" i="36" l="1"/>
  <c r="J6034"/>
  <c r="M5996"/>
  <c r="J6075"/>
  <c r="J5968"/>
  <c r="N5968"/>
  <c r="J5990"/>
  <c r="M5990"/>
  <c r="M5998" s="1"/>
  <c r="J5991"/>
  <c r="N6015"/>
  <c r="N5882"/>
  <c r="N6035"/>
  <c r="O6035" s="1"/>
  <c r="N6036"/>
  <c r="O6036" s="1"/>
  <c r="M6047"/>
  <c r="M6054"/>
  <c r="N6063"/>
  <c r="M6082"/>
  <c r="M6089" s="1"/>
  <c r="N5992"/>
  <c r="O5992" s="1"/>
  <c r="O6077"/>
  <c r="N6082"/>
  <c r="O6082" s="1"/>
  <c r="M6069"/>
  <c r="M6075" s="1"/>
  <c r="N6069"/>
  <c r="M6052"/>
  <c r="M6057"/>
  <c r="M6021"/>
  <c r="J6024"/>
  <c r="J6026"/>
  <c r="J6035"/>
  <c r="J6036"/>
  <c r="M5898"/>
  <c r="M5900" s="1"/>
  <c r="N5898"/>
  <c r="O5898" s="1"/>
  <c r="O5900" s="1"/>
  <c r="M6014"/>
  <c r="J5989"/>
  <c r="J5998" s="1"/>
  <c r="N5989"/>
  <c r="J5976"/>
  <c r="M5976"/>
  <c r="M5987" s="1"/>
  <c r="J5977"/>
  <c r="J5978"/>
  <c r="J5979"/>
  <c r="O5970"/>
  <c r="J5975"/>
  <c r="N5975"/>
  <c r="O5975" s="1"/>
  <c r="O5949"/>
  <c r="O5968" s="1"/>
  <c r="O6089" l="1"/>
  <c r="N5987"/>
  <c r="N6037"/>
  <c r="J5987"/>
  <c r="N6089"/>
  <c r="N6075"/>
  <c r="O6069"/>
  <c r="O6075" s="1"/>
  <c r="N5900"/>
  <c r="O5989"/>
  <c r="O5998" s="1"/>
  <c r="N5998"/>
  <c r="O5987"/>
  <c r="N5873" l="1"/>
  <c r="O5873" s="1"/>
  <c r="M5873"/>
  <c r="J5873"/>
  <c r="N5872"/>
  <c r="O5872" s="1"/>
  <c r="M5872"/>
  <c r="J5872"/>
  <c r="M5871"/>
  <c r="J5871"/>
  <c r="I5871"/>
  <c r="N5871" s="1"/>
  <c r="O5871" s="1"/>
  <c r="O5869"/>
  <c r="N5869"/>
  <c r="M5869"/>
  <c r="J5869"/>
  <c r="O5868"/>
  <c r="N5868"/>
  <c r="M5868"/>
  <c r="J5868"/>
  <c r="O5867"/>
  <c r="N5867"/>
  <c r="M5867"/>
  <c r="J5867"/>
  <c r="O5866"/>
  <c r="N5866"/>
  <c r="M5866"/>
  <c r="J5866"/>
  <c r="O5865"/>
  <c r="N5865"/>
  <c r="M5865"/>
  <c r="J5865"/>
  <c r="O5864"/>
  <c r="N5864"/>
  <c r="M5864"/>
  <c r="J5864"/>
  <c r="O5863"/>
  <c r="N5863"/>
  <c r="M5863"/>
  <c r="J5863"/>
  <c r="O5862"/>
  <c r="N5862"/>
  <c r="M5862"/>
  <c r="J5862"/>
  <c r="O5861"/>
  <c r="N5861"/>
  <c r="M5861"/>
  <c r="J5861"/>
  <c r="O5860"/>
  <c r="N5860"/>
  <c r="M5860"/>
  <c r="J5860"/>
  <c r="O5859"/>
  <c r="N5859"/>
  <c r="M5859"/>
  <c r="J5859"/>
  <c r="O5858"/>
  <c r="N5858"/>
  <c r="M5858"/>
  <c r="J5858"/>
  <c r="O5857"/>
  <c r="N5857"/>
  <c r="M5857"/>
  <c r="J5857"/>
  <c r="O5856"/>
  <c r="N5856"/>
  <c r="M5856"/>
  <c r="J5856"/>
  <c r="O5855"/>
  <c r="N5855"/>
  <c r="M5855"/>
  <c r="J5855"/>
  <c r="O5854"/>
  <c r="N5854"/>
  <c r="M5854"/>
  <c r="J5854"/>
  <c r="O5853"/>
  <c r="N5853"/>
  <c r="M5853"/>
  <c r="J5853"/>
  <c r="O5852"/>
  <c r="N5852"/>
  <c r="M5852"/>
  <c r="J5852"/>
  <c r="O5851"/>
  <c r="N5851"/>
  <c r="M5851"/>
  <c r="J5851"/>
  <c r="O5850"/>
  <c r="N5850"/>
  <c r="M5850"/>
  <c r="J5850"/>
  <c r="O5849"/>
  <c r="N5849"/>
  <c r="M5849"/>
  <c r="J5849"/>
  <c r="O5848"/>
  <c r="N5848"/>
  <c r="M5848"/>
  <c r="J5848"/>
  <c r="O5847"/>
  <c r="N5847"/>
  <c r="M5847"/>
  <c r="J5847"/>
  <c r="O5846"/>
  <c r="N5846"/>
  <c r="M5846"/>
  <c r="J5846"/>
  <c r="O5845"/>
  <c r="N5845"/>
  <c r="M5845"/>
  <c r="J5845"/>
  <c r="O5844"/>
  <c r="N5844"/>
  <c r="M5844"/>
  <c r="J5844"/>
  <c r="O5843"/>
  <c r="N5843"/>
  <c r="M5843"/>
  <c r="J5843"/>
  <c r="O5842"/>
  <c r="N5842"/>
  <c r="M5842"/>
  <c r="J5842"/>
  <c r="O5841"/>
  <c r="N5841"/>
  <c r="M5841"/>
  <c r="J5841"/>
  <c r="O5840"/>
  <c r="N5840"/>
  <c r="M5840"/>
  <c r="J5840"/>
  <c r="O5839"/>
  <c r="N5839"/>
  <c r="M5839"/>
  <c r="J5839"/>
  <c r="O5838"/>
  <c r="N5838"/>
  <c r="M5838"/>
  <c r="J5838"/>
  <c r="O5837"/>
  <c r="N5837"/>
  <c r="M5837"/>
  <c r="J5837"/>
  <c r="O5836"/>
  <c r="N5836"/>
  <c r="M5836"/>
  <c r="J5836"/>
  <c r="O5835"/>
  <c r="N5835"/>
  <c r="M5835"/>
  <c r="J5835"/>
  <c r="O5834"/>
  <c r="N5834"/>
  <c r="M5834"/>
  <c r="J5834"/>
  <c r="O5833"/>
  <c r="N5833"/>
  <c r="M5833"/>
  <c r="J5833"/>
  <c r="O5832"/>
  <c r="N5832"/>
  <c r="M5832"/>
  <c r="J5832"/>
  <c r="O5831"/>
  <c r="N5831"/>
  <c r="M5831"/>
  <c r="J5831"/>
  <c r="O5830"/>
  <c r="N5830"/>
  <c r="M5830"/>
  <c r="J5830"/>
  <c r="O5829"/>
  <c r="N5829"/>
  <c r="M5829"/>
  <c r="J5829"/>
  <c r="O5828"/>
  <c r="N5828"/>
  <c r="M5828"/>
  <c r="J5828"/>
  <c r="M5827"/>
  <c r="L5827"/>
  <c r="N5827" s="1"/>
  <c r="O5827" s="1"/>
  <c r="J5827"/>
  <c r="N5826"/>
  <c r="O5826" s="1"/>
  <c r="M5826"/>
  <c r="J5826"/>
  <c r="N5825"/>
  <c r="O5825" s="1"/>
  <c r="M5825"/>
  <c r="J5825"/>
  <c r="N5824"/>
  <c r="O5824" s="1"/>
  <c r="M5824"/>
  <c r="J5824"/>
  <c r="N5823"/>
  <c r="O5823" s="1"/>
  <c r="M5823"/>
  <c r="J5823"/>
  <c r="N5822"/>
  <c r="O5822" s="1"/>
  <c r="M5822"/>
  <c r="J5822"/>
  <c r="N5821"/>
  <c r="O5821" s="1"/>
  <c r="M5821"/>
  <c r="J5821"/>
  <c r="N5820"/>
  <c r="O5820" s="1"/>
  <c r="M5820"/>
  <c r="J5820"/>
  <c r="L5819"/>
  <c r="M5819" s="1"/>
  <c r="I5819"/>
  <c r="J5819" s="1"/>
  <c r="N5818"/>
  <c r="O5818" s="1"/>
  <c r="M5818"/>
  <c r="J5818"/>
  <c r="I5818"/>
  <c r="M5817"/>
  <c r="L5817"/>
  <c r="J5817"/>
  <c r="I5817"/>
  <c r="N5817" s="1"/>
  <c r="O5817" s="1"/>
  <c r="M5816"/>
  <c r="I5816"/>
  <c r="N5816" s="1"/>
  <c r="O5816" s="1"/>
  <c r="N5815"/>
  <c r="O5815" s="1"/>
  <c r="M5815"/>
  <c r="J5815"/>
  <c r="I5815"/>
  <c r="M5874" l="1"/>
  <c r="N5819"/>
  <c r="O5819" s="1"/>
  <c r="O5874" s="1"/>
  <c r="I5874"/>
  <c r="L5874"/>
  <c r="J5816"/>
  <c r="J5874" s="1"/>
  <c r="O831" i="42"/>
  <c r="M831"/>
  <c r="L830"/>
  <c r="L827"/>
  <c r="J831"/>
  <c r="I831"/>
  <c r="L831"/>
  <c r="N830"/>
  <c r="O830" s="1"/>
  <c r="M830"/>
  <c r="J830"/>
  <c r="N829"/>
  <c r="O829" s="1"/>
  <c r="M829"/>
  <c r="J829"/>
  <c r="N828"/>
  <c r="O828" s="1"/>
  <c r="M828"/>
  <c r="J828"/>
  <c r="N827"/>
  <c r="O827" s="1"/>
  <c r="M827"/>
  <c r="J827"/>
  <c r="N826"/>
  <c r="O826" s="1"/>
  <c r="M826"/>
  <c r="J826"/>
  <c r="N825"/>
  <c r="O825" s="1"/>
  <c r="M825"/>
  <c r="J825"/>
  <c r="N824"/>
  <c r="O824" s="1"/>
  <c r="M824"/>
  <c r="J824"/>
  <c r="N823"/>
  <c r="O823" s="1"/>
  <c r="M823"/>
  <c r="J823"/>
  <c r="N822"/>
  <c r="O822" s="1"/>
  <c r="M822"/>
  <c r="J822"/>
  <c r="N821"/>
  <c r="O821" s="1"/>
  <c r="M821"/>
  <c r="J821"/>
  <c r="N820"/>
  <c r="O820" s="1"/>
  <c r="M820"/>
  <c r="J820"/>
  <c r="L508"/>
  <c r="P5760" i="36"/>
  <c r="L45" i="37"/>
  <c r="N5874" i="36" l="1"/>
  <c r="N831" i="42"/>
  <c r="M2231" i="35"/>
  <c r="L711" i="42"/>
  <c r="L812" l="1"/>
  <c r="L787"/>
  <c r="L817" s="1"/>
  <c r="I817"/>
  <c r="N816"/>
  <c r="O816" s="1"/>
  <c r="M816"/>
  <c r="J816"/>
  <c r="N815"/>
  <c r="O815" s="1"/>
  <c r="M815"/>
  <c r="J815"/>
  <c r="N814"/>
  <c r="O814" s="1"/>
  <c r="M814"/>
  <c r="J814"/>
  <c r="N813"/>
  <c r="O813" s="1"/>
  <c r="M813"/>
  <c r="J813"/>
  <c r="N812"/>
  <c r="O812" s="1"/>
  <c r="M812"/>
  <c r="J812"/>
  <c r="N811"/>
  <c r="O811" s="1"/>
  <c r="M811"/>
  <c r="J811"/>
  <c r="N810"/>
  <c r="O810" s="1"/>
  <c r="M810"/>
  <c r="J810"/>
  <c r="N809"/>
  <c r="O809" s="1"/>
  <c r="M809"/>
  <c r="J809"/>
  <c r="N808"/>
  <c r="O808" s="1"/>
  <c r="M808"/>
  <c r="J808"/>
  <c r="N807"/>
  <c r="O807" s="1"/>
  <c r="M807"/>
  <c r="J807"/>
  <c r="N806"/>
  <c r="O806" s="1"/>
  <c r="M806"/>
  <c r="J806"/>
  <c r="N805"/>
  <c r="O805" s="1"/>
  <c r="M805"/>
  <c r="J805"/>
  <c r="N804"/>
  <c r="O804" s="1"/>
  <c r="M804"/>
  <c r="J804"/>
  <c r="N803"/>
  <c r="O803" s="1"/>
  <c r="M803"/>
  <c r="J803"/>
  <c r="N802"/>
  <c r="O802" s="1"/>
  <c r="M802"/>
  <c r="J802"/>
  <c r="N801"/>
  <c r="O801" s="1"/>
  <c r="M801"/>
  <c r="J801"/>
  <c r="N800"/>
  <c r="O800" s="1"/>
  <c r="M800"/>
  <c r="J800"/>
  <c r="N799"/>
  <c r="O799" s="1"/>
  <c r="M799"/>
  <c r="J799"/>
  <c r="N798"/>
  <c r="O798" s="1"/>
  <c r="M798"/>
  <c r="J798"/>
  <c r="N797"/>
  <c r="O797" s="1"/>
  <c r="M797"/>
  <c r="J797"/>
  <c r="N796"/>
  <c r="O796" s="1"/>
  <c r="M796"/>
  <c r="J796"/>
  <c r="N795"/>
  <c r="O795" s="1"/>
  <c r="M795"/>
  <c r="J795"/>
  <c r="N794"/>
  <c r="O794" s="1"/>
  <c r="M794"/>
  <c r="J794"/>
  <c r="N793"/>
  <c r="O793" s="1"/>
  <c r="M793"/>
  <c r="J793"/>
  <c r="N792"/>
  <c r="O792" s="1"/>
  <c r="M792"/>
  <c r="J792"/>
  <c r="N791"/>
  <c r="O791" s="1"/>
  <c r="M791"/>
  <c r="J791"/>
  <c r="N790"/>
  <c r="O790" s="1"/>
  <c r="M790"/>
  <c r="J790"/>
  <c r="N789"/>
  <c r="O789" s="1"/>
  <c r="M789"/>
  <c r="J789"/>
  <c r="N788"/>
  <c r="O788" s="1"/>
  <c r="M788"/>
  <c r="J788"/>
  <c r="N787"/>
  <c r="O787" s="1"/>
  <c r="M787"/>
  <c r="J787"/>
  <c r="N786"/>
  <c r="O786" s="1"/>
  <c r="M786"/>
  <c r="J786"/>
  <c r="N785"/>
  <c r="O785" s="1"/>
  <c r="M785"/>
  <c r="J785"/>
  <c r="N784"/>
  <c r="O784" s="1"/>
  <c r="M784"/>
  <c r="J784"/>
  <c r="N783"/>
  <c r="O783" s="1"/>
  <c r="M783"/>
  <c r="J783"/>
  <c r="N782"/>
  <c r="O782" s="1"/>
  <c r="M782"/>
  <c r="J782"/>
  <c r="N781"/>
  <c r="O781" s="1"/>
  <c r="M781"/>
  <c r="J781"/>
  <c r="N780"/>
  <c r="O780" s="1"/>
  <c r="M780"/>
  <c r="J780"/>
  <c r="N779"/>
  <c r="O779" s="1"/>
  <c r="M779"/>
  <c r="J779"/>
  <c r="N778"/>
  <c r="O778" s="1"/>
  <c r="M778"/>
  <c r="J778"/>
  <c r="N777"/>
  <c r="O777" s="1"/>
  <c r="M777"/>
  <c r="J777"/>
  <c r="N776"/>
  <c r="O776" s="1"/>
  <c r="M776"/>
  <c r="J776"/>
  <c r="N775"/>
  <c r="O775" s="1"/>
  <c r="M775"/>
  <c r="J775"/>
  <c r="N774"/>
  <c r="O774" s="1"/>
  <c r="M774"/>
  <c r="J774"/>
  <c r="N773"/>
  <c r="O773" s="1"/>
  <c r="M773"/>
  <c r="J773"/>
  <c r="N772"/>
  <c r="O772" s="1"/>
  <c r="M772"/>
  <c r="J772"/>
  <c r="N771"/>
  <c r="O771" s="1"/>
  <c r="M771"/>
  <c r="J771"/>
  <c r="N770"/>
  <c r="O770" s="1"/>
  <c r="M770"/>
  <c r="J770"/>
  <c r="N769"/>
  <c r="O769" s="1"/>
  <c r="M769"/>
  <c r="J769"/>
  <c r="N768"/>
  <c r="O768" s="1"/>
  <c r="M768"/>
  <c r="J768"/>
  <c r="N767"/>
  <c r="O767" s="1"/>
  <c r="M767"/>
  <c r="J767"/>
  <c r="N766"/>
  <c r="O766" s="1"/>
  <c r="M766"/>
  <c r="J766"/>
  <c r="N765"/>
  <c r="O765" s="1"/>
  <c r="M765"/>
  <c r="J765"/>
  <c r="N764"/>
  <c r="O764" s="1"/>
  <c r="M764"/>
  <c r="J764"/>
  <c r="N763"/>
  <c r="O763" s="1"/>
  <c r="M763"/>
  <c r="J763"/>
  <c r="N762"/>
  <c r="O762" s="1"/>
  <c r="M762"/>
  <c r="J762"/>
  <c r="N761"/>
  <c r="O761" s="1"/>
  <c r="M761"/>
  <c r="J761"/>
  <c r="N760"/>
  <c r="O760" s="1"/>
  <c r="M760"/>
  <c r="J760"/>
  <c r="N759"/>
  <c r="O759" s="1"/>
  <c r="M759"/>
  <c r="J759"/>
  <c r="N758"/>
  <c r="O758" s="1"/>
  <c r="M758"/>
  <c r="J758"/>
  <c r="N757"/>
  <c r="O757" s="1"/>
  <c r="M757"/>
  <c r="J757"/>
  <c r="N756"/>
  <c r="O756" s="1"/>
  <c r="M756"/>
  <c r="J756"/>
  <c r="N755"/>
  <c r="O755" s="1"/>
  <c r="M755"/>
  <c r="J755"/>
  <c r="N754"/>
  <c r="O754" s="1"/>
  <c r="M754"/>
  <c r="J754"/>
  <c r="N753"/>
  <c r="O753" s="1"/>
  <c r="M753"/>
  <c r="J753"/>
  <c r="N752"/>
  <c r="O752" s="1"/>
  <c r="M752"/>
  <c r="J752"/>
  <c r="N751"/>
  <c r="O751" s="1"/>
  <c r="M751"/>
  <c r="J751"/>
  <c r="N750"/>
  <c r="O750" s="1"/>
  <c r="M750"/>
  <c r="J750"/>
  <c r="N749"/>
  <c r="O749" s="1"/>
  <c r="M749"/>
  <c r="J749"/>
  <c r="N748"/>
  <c r="O748" s="1"/>
  <c r="M748"/>
  <c r="J748"/>
  <c r="N747"/>
  <c r="O747" s="1"/>
  <c r="M747"/>
  <c r="J747"/>
  <c r="N746"/>
  <c r="O746" s="1"/>
  <c r="M746"/>
  <c r="J746"/>
  <c r="N745"/>
  <c r="O745" s="1"/>
  <c r="M745"/>
  <c r="J745"/>
  <c r="N744"/>
  <c r="O744" s="1"/>
  <c r="M744"/>
  <c r="J744"/>
  <c r="N743"/>
  <c r="O743" s="1"/>
  <c r="M743"/>
  <c r="J743"/>
  <c r="N742"/>
  <c r="O742" s="1"/>
  <c r="M742"/>
  <c r="J742"/>
  <c r="N741"/>
  <c r="O741" s="1"/>
  <c r="M741"/>
  <c r="J741"/>
  <c r="N740"/>
  <c r="O740" s="1"/>
  <c r="M740"/>
  <c r="J740"/>
  <c r="N739"/>
  <c r="O739" s="1"/>
  <c r="M739"/>
  <c r="J739"/>
  <c r="N738"/>
  <c r="O738" s="1"/>
  <c r="M738"/>
  <c r="J738"/>
  <c r="N737"/>
  <c r="O737" s="1"/>
  <c r="M737"/>
  <c r="J737"/>
  <c r="N736"/>
  <c r="O736" s="1"/>
  <c r="M736"/>
  <c r="J736"/>
  <c r="N735"/>
  <c r="O735" s="1"/>
  <c r="M735"/>
  <c r="J735"/>
  <c r="N734"/>
  <c r="O734" s="1"/>
  <c r="M734"/>
  <c r="J734"/>
  <c r="N733"/>
  <c r="O733" s="1"/>
  <c r="M733"/>
  <c r="J733"/>
  <c r="N732"/>
  <c r="O732" s="1"/>
  <c r="M732"/>
  <c r="J732"/>
  <c r="N731"/>
  <c r="O731" s="1"/>
  <c r="M731"/>
  <c r="J731"/>
  <c r="N730"/>
  <c r="O730" s="1"/>
  <c r="M730"/>
  <c r="J730"/>
  <c r="N729"/>
  <c r="O729" s="1"/>
  <c r="M729"/>
  <c r="J729"/>
  <c r="N728"/>
  <c r="O728" s="1"/>
  <c r="M728"/>
  <c r="J728"/>
  <c r="N727"/>
  <c r="O727" s="1"/>
  <c r="M727"/>
  <c r="J727"/>
  <c r="N726"/>
  <c r="O726" s="1"/>
  <c r="M726"/>
  <c r="J726"/>
  <c r="N725"/>
  <c r="O725" s="1"/>
  <c r="M725"/>
  <c r="J725"/>
  <c r="N724"/>
  <c r="O724" s="1"/>
  <c r="M724"/>
  <c r="J724"/>
  <c r="N723"/>
  <c r="O723" s="1"/>
  <c r="M723"/>
  <c r="J723"/>
  <c r="N722"/>
  <c r="O722" s="1"/>
  <c r="M722"/>
  <c r="J722"/>
  <c r="N721"/>
  <c r="O721" s="1"/>
  <c r="M721"/>
  <c r="J721"/>
  <c r="N720"/>
  <c r="O720" s="1"/>
  <c r="M720"/>
  <c r="J720"/>
  <c r="N719"/>
  <c r="O719" s="1"/>
  <c r="M719"/>
  <c r="J719"/>
  <c r="N718"/>
  <c r="O718" s="1"/>
  <c r="M718"/>
  <c r="J718"/>
  <c r="N717"/>
  <c r="O717" s="1"/>
  <c r="M717"/>
  <c r="J717"/>
  <c r="N716"/>
  <c r="O716" s="1"/>
  <c r="M716"/>
  <c r="J716"/>
  <c r="N715"/>
  <c r="O715" s="1"/>
  <c r="M715"/>
  <c r="J715"/>
  <c r="N714"/>
  <c r="O714" s="1"/>
  <c r="M714"/>
  <c r="J714"/>
  <c r="N713"/>
  <c r="O713" s="1"/>
  <c r="M713"/>
  <c r="J713"/>
  <c r="N712"/>
  <c r="O712" s="1"/>
  <c r="M712"/>
  <c r="J712"/>
  <c r="N711"/>
  <c r="M711"/>
  <c r="J711"/>
  <c r="N710"/>
  <c r="O710" s="1"/>
  <c r="M710"/>
  <c r="J710"/>
  <c r="N709"/>
  <c r="O709" s="1"/>
  <c r="M709"/>
  <c r="J709"/>
  <c r="N708"/>
  <c r="O708" s="1"/>
  <c r="M708"/>
  <c r="J708"/>
  <c r="N707"/>
  <c r="O707" s="1"/>
  <c r="M707"/>
  <c r="J707"/>
  <c r="N706"/>
  <c r="O706" s="1"/>
  <c r="M706"/>
  <c r="J706"/>
  <c r="N705"/>
  <c r="O705" s="1"/>
  <c r="M705"/>
  <c r="J705"/>
  <c r="N704"/>
  <c r="O704" s="1"/>
  <c r="M704"/>
  <c r="J704"/>
  <c r="N703"/>
  <c r="O703" s="1"/>
  <c r="M703"/>
  <c r="J703"/>
  <c r="N702"/>
  <c r="O702" s="1"/>
  <c r="M702"/>
  <c r="J702"/>
  <c r="N701"/>
  <c r="O701" s="1"/>
  <c r="M701"/>
  <c r="J701"/>
  <c r="N700"/>
  <c r="O700" s="1"/>
  <c r="M700"/>
  <c r="J700"/>
  <c r="N699"/>
  <c r="O699" s="1"/>
  <c r="M699"/>
  <c r="J699"/>
  <c r="N698"/>
  <c r="O698" s="1"/>
  <c r="M698"/>
  <c r="J698"/>
  <c r="N697"/>
  <c r="O697" s="1"/>
  <c r="M697"/>
  <c r="J697"/>
  <c r="N696"/>
  <c r="M696"/>
  <c r="J696"/>
  <c r="L84" i="57"/>
  <c r="N84" s="1"/>
  <c r="O84" s="1"/>
  <c r="L88"/>
  <c r="M88" s="1"/>
  <c r="L86"/>
  <c r="L73"/>
  <c r="L70"/>
  <c r="I96"/>
  <c r="N95"/>
  <c r="O95" s="1"/>
  <c r="M95"/>
  <c r="J95"/>
  <c r="N94"/>
  <c r="O94" s="1"/>
  <c r="M94"/>
  <c r="J94"/>
  <c r="N93"/>
  <c r="O93" s="1"/>
  <c r="M93"/>
  <c r="J93"/>
  <c r="N92"/>
  <c r="O92" s="1"/>
  <c r="M92"/>
  <c r="J92"/>
  <c r="N91"/>
  <c r="O91" s="1"/>
  <c r="M91"/>
  <c r="J91"/>
  <c r="N90"/>
  <c r="O90" s="1"/>
  <c r="M90"/>
  <c r="J90"/>
  <c r="N89"/>
  <c r="O89" s="1"/>
  <c r="M89"/>
  <c r="J89"/>
  <c r="N88"/>
  <c r="O88" s="1"/>
  <c r="J88"/>
  <c r="N87"/>
  <c r="O87" s="1"/>
  <c r="M87"/>
  <c r="J87"/>
  <c r="N86"/>
  <c r="O86" s="1"/>
  <c r="M86"/>
  <c r="J86"/>
  <c r="N85"/>
  <c r="O85" s="1"/>
  <c r="M85"/>
  <c r="J85"/>
  <c r="M84"/>
  <c r="J84"/>
  <c r="N83"/>
  <c r="O83" s="1"/>
  <c r="M83"/>
  <c r="J83"/>
  <c r="N82"/>
  <c r="O82" s="1"/>
  <c r="M82"/>
  <c r="J82"/>
  <c r="J81"/>
  <c r="J80"/>
  <c r="J79"/>
  <c r="J78"/>
  <c r="J77"/>
  <c r="J76"/>
  <c r="J75"/>
  <c r="J74"/>
  <c r="J73"/>
  <c r="J72"/>
  <c r="J71"/>
  <c r="J70"/>
  <c r="J69"/>
  <c r="N81"/>
  <c r="O81" s="1"/>
  <c r="M81"/>
  <c r="N80"/>
  <c r="O80" s="1"/>
  <c r="M80"/>
  <c r="N79"/>
  <c r="O79" s="1"/>
  <c r="M79"/>
  <c r="N78"/>
  <c r="O78" s="1"/>
  <c r="M78"/>
  <c r="N77"/>
  <c r="O77" s="1"/>
  <c r="M77"/>
  <c r="N76"/>
  <c r="O76" s="1"/>
  <c r="M76"/>
  <c r="N75"/>
  <c r="O75" s="1"/>
  <c r="M75"/>
  <c r="N74"/>
  <c r="O74" s="1"/>
  <c r="M74"/>
  <c r="N73"/>
  <c r="O73" s="1"/>
  <c r="M73"/>
  <c r="N72"/>
  <c r="O72" s="1"/>
  <c r="M72"/>
  <c r="N71"/>
  <c r="O71" s="1"/>
  <c r="M71"/>
  <c r="N70"/>
  <c r="O70" s="1"/>
  <c r="M70"/>
  <c r="N69"/>
  <c r="M69"/>
  <c r="L68"/>
  <c r="I68"/>
  <c r="N67"/>
  <c r="O67" s="1"/>
  <c r="M67"/>
  <c r="J67"/>
  <c r="N66"/>
  <c r="O66" s="1"/>
  <c r="M66"/>
  <c r="J66"/>
  <c r="N65"/>
  <c r="O65" s="1"/>
  <c r="M65"/>
  <c r="J65"/>
  <c r="N64"/>
  <c r="O64" s="1"/>
  <c r="M64"/>
  <c r="J64"/>
  <c r="N63"/>
  <c r="M63"/>
  <c r="J63"/>
  <c r="L60"/>
  <c r="N60" s="1"/>
  <c r="O60" s="1"/>
  <c r="L61"/>
  <c r="N61" s="1"/>
  <c r="O61" s="1"/>
  <c r="I62"/>
  <c r="M61"/>
  <c r="J61"/>
  <c r="N51"/>
  <c r="O51" s="1"/>
  <c r="M51"/>
  <c r="J51"/>
  <c r="N48"/>
  <c r="O48" s="1"/>
  <c r="M48"/>
  <c r="J48"/>
  <c r="N41"/>
  <c r="O41" s="1"/>
  <c r="M41"/>
  <c r="J41"/>
  <c r="N46"/>
  <c r="O46" s="1"/>
  <c r="M46"/>
  <c r="J46"/>
  <c r="N45"/>
  <c r="O45" s="1"/>
  <c r="M45"/>
  <c r="J45"/>
  <c r="N38"/>
  <c r="O38" s="1"/>
  <c r="M38"/>
  <c r="J38"/>
  <c r="M60"/>
  <c r="J60"/>
  <c r="N40"/>
  <c r="O40" s="1"/>
  <c r="M40"/>
  <c r="J40"/>
  <c r="N56"/>
  <c r="O56" s="1"/>
  <c r="M56"/>
  <c r="J56"/>
  <c r="N44"/>
  <c r="O44" s="1"/>
  <c r="M44"/>
  <c r="J44"/>
  <c r="N36"/>
  <c r="O36" s="1"/>
  <c r="M36"/>
  <c r="J36"/>
  <c r="N50"/>
  <c r="O50" s="1"/>
  <c r="M50"/>
  <c r="J50"/>
  <c r="N43"/>
  <c r="O43" s="1"/>
  <c r="M43"/>
  <c r="J43"/>
  <c r="N59"/>
  <c r="O59" s="1"/>
  <c r="M59"/>
  <c r="J59"/>
  <c r="N58"/>
  <c r="O58" s="1"/>
  <c r="M58"/>
  <c r="J58"/>
  <c r="N55"/>
  <c r="O55" s="1"/>
  <c r="M55"/>
  <c r="J55"/>
  <c r="N47"/>
  <c r="O47" s="1"/>
  <c r="M47"/>
  <c r="J47"/>
  <c r="N35"/>
  <c r="O35" s="1"/>
  <c r="M35"/>
  <c r="J35"/>
  <c r="N52"/>
  <c r="O52" s="1"/>
  <c r="M52"/>
  <c r="J52"/>
  <c r="N42"/>
  <c r="O42" s="1"/>
  <c r="M42"/>
  <c r="J42"/>
  <c r="N49"/>
  <c r="O49" s="1"/>
  <c r="M49"/>
  <c r="J49"/>
  <c r="N39"/>
  <c r="O39" s="1"/>
  <c r="M39"/>
  <c r="J39"/>
  <c r="N37"/>
  <c r="O37" s="1"/>
  <c r="M37"/>
  <c r="J37"/>
  <c r="N54"/>
  <c r="O54" s="1"/>
  <c r="M54"/>
  <c r="J54"/>
  <c r="N53"/>
  <c r="O53" s="1"/>
  <c r="M53"/>
  <c r="J53"/>
  <c r="N57"/>
  <c r="M57"/>
  <c r="J57"/>
  <c r="L22"/>
  <c r="N22" s="1"/>
  <c r="O22" s="1"/>
  <c r="J22"/>
  <c r="I27"/>
  <c r="I26"/>
  <c r="I25"/>
  <c r="I24"/>
  <c r="N33"/>
  <c r="O33" s="1"/>
  <c r="M33"/>
  <c r="J33"/>
  <c r="N32"/>
  <c r="O32" s="1"/>
  <c r="M32"/>
  <c r="J32"/>
  <c r="N31"/>
  <c r="O31" s="1"/>
  <c r="M31"/>
  <c r="J31"/>
  <c r="N30"/>
  <c r="O30" s="1"/>
  <c r="M30"/>
  <c r="J30"/>
  <c r="N29"/>
  <c r="O29" s="1"/>
  <c r="M29"/>
  <c r="J29"/>
  <c r="N28"/>
  <c r="O28" s="1"/>
  <c r="M28"/>
  <c r="J28"/>
  <c r="N27"/>
  <c r="O27" s="1"/>
  <c r="M27"/>
  <c r="J27"/>
  <c r="N26"/>
  <c r="O26" s="1"/>
  <c r="M26"/>
  <c r="J26"/>
  <c r="N25"/>
  <c r="O25" s="1"/>
  <c r="M25"/>
  <c r="J25"/>
  <c r="N24"/>
  <c r="O24" s="1"/>
  <c r="M24"/>
  <c r="J24"/>
  <c r="N23"/>
  <c r="O23" s="1"/>
  <c r="M23"/>
  <c r="J23"/>
  <c r="N21"/>
  <c r="M21"/>
  <c r="J21"/>
  <c r="M96" l="1"/>
  <c r="N34"/>
  <c r="J96"/>
  <c r="O63"/>
  <c r="O68" s="1"/>
  <c r="N68"/>
  <c r="O69"/>
  <c r="O96" s="1"/>
  <c r="N96"/>
  <c r="O696" i="42"/>
  <c r="N817"/>
  <c r="M817"/>
  <c r="M22" i="57"/>
  <c r="M62"/>
  <c r="J68"/>
  <c r="L96"/>
  <c r="J62"/>
  <c r="J34"/>
  <c r="O711" i="42"/>
  <c r="J817"/>
  <c r="L62" i="57"/>
  <c r="M68"/>
  <c r="I34"/>
  <c r="N62"/>
  <c r="O57"/>
  <c r="O62" s="1"/>
  <c r="L34"/>
  <c r="M34"/>
  <c r="O21"/>
  <c r="O34" s="1"/>
  <c r="O817" i="42" l="1"/>
  <c r="L7" i="57"/>
  <c r="M7" s="1"/>
  <c r="L5"/>
  <c r="I11"/>
  <c r="N11" s="1"/>
  <c r="O11" s="1"/>
  <c r="I7"/>
  <c r="I6"/>
  <c r="N6" s="1"/>
  <c r="O6" s="1"/>
  <c r="I5"/>
  <c r="I4"/>
  <c r="N4" s="1"/>
  <c r="O4" s="1"/>
  <c r="I3"/>
  <c r="M19"/>
  <c r="N19"/>
  <c r="O19" s="1"/>
  <c r="M18"/>
  <c r="N18"/>
  <c r="O18" s="1"/>
  <c r="M17"/>
  <c r="N17"/>
  <c r="O17" s="1"/>
  <c r="M16"/>
  <c r="N16"/>
  <c r="O16" s="1"/>
  <c r="M15"/>
  <c r="N15"/>
  <c r="O15" s="1"/>
  <c r="M14"/>
  <c r="N14"/>
  <c r="O14" s="1"/>
  <c r="M13"/>
  <c r="N13"/>
  <c r="O13" s="1"/>
  <c r="M12"/>
  <c r="N12"/>
  <c r="O12" s="1"/>
  <c r="M11"/>
  <c r="M10"/>
  <c r="N10"/>
  <c r="M9"/>
  <c r="N9"/>
  <c r="O9" s="1"/>
  <c r="M8"/>
  <c r="N8"/>
  <c r="O8" s="1"/>
  <c r="M6"/>
  <c r="M5"/>
  <c r="M4"/>
  <c r="M3"/>
  <c r="N3"/>
  <c r="N7" l="1"/>
  <c r="O7" s="1"/>
  <c r="L20"/>
  <c r="O10"/>
  <c r="N5"/>
  <c r="O5" s="1"/>
  <c r="I20"/>
  <c r="M20"/>
  <c r="J5"/>
  <c r="J7"/>
  <c r="J9"/>
  <c r="J11"/>
  <c r="J13"/>
  <c r="J15"/>
  <c r="J17"/>
  <c r="J19"/>
  <c r="J4"/>
  <c r="J6"/>
  <c r="J8"/>
  <c r="J10"/>
  <c r="J12"/>
  <c r="J14"/>
  <c r="J16"/>
  <c r="J18"/>
  <c r="J3"/>
  <c r="O3"/>
  <c r="N20" l="1"/>
  <c r="O20"/>
  <c r="J20"/>
  <c r="L264" i="38" l="1"/>
  <c r="Q5812" i="36"/>
  <c r="N5811"/>
  <c r="O5811" s="1"/>
  <c r="M5811"/>
  <c r="J5811"/>
  <c r="N5810"/>
  <c r="O5810" s="1"/>
  <c r="M5810"/>
  <c r="J5810"/>
  <c r="N5809"/>
  <c r="O5809" s="1"/>
  <c r="M5809"/>
  <c r="J5809"/>
  <c r="N5808"/>
  <c r="O5808" s="1"/>
  <c r="M5808"/>
  <c r="J5808"/>
  <c r="N5807"/>
  <c r="O5807" s="1"/>
  <c r="M5807"/>
  <c r="J5807"/>
  <c r="N5806"/>
  <c r="O5806" s="1"/>
  <c r="M5806"/>
  <c r="J5806"/>
  <c r="M5803"/>
  <c r="Q5789"/>
  <c r="N5788"/>
  <c r="O5788" s="1"/>
  <c r="M5788"/>
  <c r="J5788"/>
  <c r="L5787"/>
  <c r="M5787" s="1"/>
  <c r="M5789" s="1"/>
  <c r="I5787"/>
  <c r="J5787" s="1"/>
  <c r="J5789" s="1"/>
  <c r="L394" i="38"/>
  <c r="P5785" i="36"/>
  <c r="M5785"/>
  <c r="Q5768"/>
  <c r="Q5769" s="1"/>
  <c r="I5768"/>
  <c r="N5767"/>
  <c r="O5767" s="1"/>
  <c r="M5767"/>
  <c r="J5767"/>
  <c r="N5766"/>
  <c r="O5766" s="1"/>
  <c r="M5766"/>
  <c r="J5766"/>
  <c r="N5765"/>
  <c r="O5765" s="1"/>
  <c r="M5765"/>
  <c r="J5765"/>
  <c r="N5764"/>
  <c r="O5764" s="1"/>
  <c r="M5764"/>
  <c r="J5764"/>
  <c r="N5763"/>
  <c r="O5763" s="1"/>
  <c r="M5763"/>
  <c r="J5763"/>
  <c r="L5762"/>
  <c r="M5762" s="1"/>
  <c r="J5762"/>
  <c r="J5768" s="1"/>
  <c r="L695" i="38"/>
  <c r="M5768" i="36" l="1"/>
  <c r="Q5790"/>
  <c r="N5812"/>
  <c r="N5787"/>
  <c r="I5789"/>
  <c r="L5789"/>
  <c r="N5762"/>
  <c r="L5768"/>
  <c r="P5744"/>
  <c r="T5741"/>
  <c r="P5745" s="1"/>
  <c r="I5741"/>
  <c r="N5740"/>
  <c r="O5740" s="1"/>
  <c r="M5740"/>
  <c r="J5740"/>
  <c r="L5739"/>
  <c r="L5741" s="1"/>
  <c r="J5739"/>
  <c r="N5738"/>
  <c r="M5738"/>
  <c r="J5738"/>
  <c r="L408" i="38"/>
  <c r="P5735" i="36"/>
  <c r="M5735"/>
  <c r="J5741" l="1"/>
  <c r="O5787"/>
  <c r="O5789" s="1"/>
  <c r="N5789"/>
  <c r="O5762"/>
  <c r="O5768" s="1"/>
  <c r="N5768"/>
  <c r="M5739"/>
  <c r="M5741" s="1"/>
  <c r="O5738"/>
  <c r="N5739"/>
  <c r="O5739" s="1"/>
  <c r="O5741" l="1"/>
  <c r="N5741"/>
  <c r="S5705"/>
  <c r="M261" i="35"/>
  <c r="P5698" i="36"/>
  <c r="M5698"/>
  <c r="P5680"/>
  <c r="P5667"/>
  <c r="M5667"/>
  <c r="Q5658"/>
  <c r="N5657"/>
  <c r="O5657" s="1"/>
  <c r="M5657"/>
  <c r="J5657"/>
  <c r="N5656"/>
  <c r="O5656" s="1"/>
  <c r="M5656"/>
  <c r="J5656"/>
  <c r="L5655"/>
  <c r="N5655" s="1"/>
  <c r="O5655" s="1"/>
  <c r="J5655"/>
  <c r="N5654"/>
  <c r="O5654" s="1"/>
  <c r="M5654"/>
  <c r="J5654"/>
  <c r="N5653"/>
  <c r="O5653" s="1"/>
  <c r="M5653"/>
  <c r="J5653"/>
  <c r="N5652"/>
  <c r="O5652" s="1"/>
  <c r="M5652"/>
  <c r="J5652"/>
  <c r="L654" i="42"/>
  <c r="N5648" i="36"/>
  <c r="O5648" s="1"/>
  <c r="M5648"/>
  <c r="J5648"/>
  <c r="N5645"/>
  <c r="O5645" s="1"/>
  <c r="M5645"/>
  <c r="J5645"/>
  <c r="Q5643"/>
  <c r="P5589"/>
  <c r="N5642"/>
  <c r="O5642" s="1"/>
  <c r="M5642"/>
  <c r="J5642"/>
  <c r="N5641"/>
  <c r="O5641" s="1"/>
  <c r="M5641"/>
  <c r="J5641"/>
  <c r="N5640"/>
  <c r="O5640" s="1"/>
  <c r="M5640"/>
  <c r="J5640"/>
  <c r="N5639"/>
  <c r="O5639" s="1"/>
  <c r="M5639"/>
  <c r="J5639"/>
  <c r="N5638"/>
  <c r="O5638" s="1"/>
  <c r="M5638"/>
  <c r="J5638"/>
  <c r="N5637"/>
  <c r="O5637" s="1"/>
  <c r="M5637"/>
  <c r="J5637"/>
  <c r="N5636"/>
  <c r="O5636" s="1"/>
  <c r="M5636"/>
  <c r="J5636"/>
  <c r="N5635"/>
  <c r="O5635" s="1"/>
  <c r="M5635"/>
  <c r="J5635"/>
  <c r="N5634"/>
  <c r="O5634" s="1"/>
  <c r="M5634"/>
  <c r="J5634"/>
  <c r="N5633"/>
  <c r="O5633" s="1"/>
  <c r="M5633"/>
  <c r="J5633"/>
  <c r="N5632"/>
  <c r="O5632" s="1"/>
  <c r="M5632"/>
  <c r="J5632"/>
  <c r="N5631"/>
  <c r="O5631" s="1"/>
  <c r="M5631"/>
  <c r="J5631"/>
  <c r="N5630"/>
  <c r="O5630" s="1"/>
  <c r="M5630"/>
  <c r="J5630"/>
  <c r="N5629"/>
  <c r="O5629" s="1"/>
  <c r="M5629"/>
  <c r="J5629"/>
  <c r="N5628"/>
  <c r="O5628" s="1"/>
  <c r="M5628"/>
  <c r="J5628"/>
  <c r="N5627"/>
  <c r="O5627" s="1"/>
  <c r="M5627"/>
  <c r="J5627"/>
  <c r="N5626"/>
  <c r="O5626" s="1"/>
  <c r="M5626"/>
  <c r="J5626"/>
  <c r="N5625"/>
  <c r="O5625" s="1"/>
  <c r="M5625"/>
  <c r="J5625"/>
  <c r="N5624"/>
  <c r="O5624" s="1"/>
  <c r="M5624"/>
  <c r="J5624"/>
  <c r="N5623"/>
  <c r="O5623" s="1"/>
  <c r="M5623"/>
  <c r="J5623"/>
  <c r="N5622"/>
  <c r="O5622" s="1"/>
  <c r="M5622"/>
  <c r="J5622"/>
  <c r="M5621"/>
  <c r="I5621"/>
  <c r="N5621" s="1"/>
  <c r="O5621" s="1"/>
  <c r="L5620"/>
  <c r="M5620" s="1"/>
  <c r="I5620"/>
  <c r="M5619"/>
  <c r="I5619"/>
  <c r="N5619" s="1"/>
  <c r="O5619" s="1"/>
  <c r="M5618"/>
  <c r="I5618"/>
  <c r="N5618" s="1"/>
  <c r="O5618" s="1"/>
  <c r="M5617"/>
  <c r="I5617"/>
  <c r="N5617" s="1"/>
  <c r="O5617" s="1"/>
  <c r="N5616"/>
  <c r="O5616" s="1"/>
  <c r="M5616"/>
  <c r="J5616"/>
  <c r="N5615"/>
  <c r="O5615" s="1"/>
  <c r="M5615"/>
  <c r="J5615"/>
  <c r="N5614"/>
  <c r="O5614" s="1"/>
  <c r="M5614"/>
  <c r="J5614"/>
  <c r="N5613"/>
  <c r="O5613" s="1"/>
  <c r="M5613"/>
  <c r="J5613"/>
  <c r="N5612"/>
  <c r="O5612" s="1"/>
  <c r="M5612"/>
  <c r="J5612"/>
  <c r="N5611"/>
  <c r="O5611" s="1"/>
  <c r="M5611"/>
  <c r="J5611"/>
  <c r="N5610"/>
  <c r="O5610" s="1"/>
  <c r="M5610"/>
  <c r="J5610"/>
  <c r="N5609"/>
  <c r="O5609" s="1"/>
  <c r="M5609"/>
  <c r="J5609"/>
  <c r="L5608"/>
  <c r="L5643" s="1"/>
  <c r="I5608"/>
  <c r="M5607"/>
  <c r="I5607"/>
  <c r="I5643" s="1"/>
  <c r="S5604"/>
  <c r="N5603"/>
  <c r="O5603" s="1"/>
  <c r="M5603"/>
  <c r="J5603"/>
  <c r="N5602"/>
  <c r="O5602" s="1"/>
  <c r="M5602"/>
  <c r="J5602"/>
  <c r="N5601"/>
  <c r="O5601" s="1"/>
  <c r="M5601"/>
  <c r="J5601"/>
  <c r="N5600"/>
  <c r="O5600" s="1"/>
  <c r="M5600"/>
  <c r="J5600"/>
  <c r="N5599"/>
  <c r="O5599" s="1"/>
  <c r="M5599"/>
  <c r="J5599"/>
  <c r="N5598"/>
  <c r="O5598" s="1"/>
  <c r="M5598"/>
  <c r="J5598"/>
  <c r="L5597"/>
  <c r="M5597" s="1"/>
  <c r="I5597"/>
  <c r="N5596"/>
  <c r="O5596" s="1"/>
  <c r="M5596"/>
  <c r="J5596"/>
  <c r="L5595"/>
  <c r="M5595" s="1"/>
  <c r="I5595"/>
  <c r="L5594"/>
  <c r="I5594"/>
  <c r="M5593"/>
  <c r="I5593"/>
  <c r="N5592"/>
  <c r="M5592"/>
  <c r="J5592"/>
  <c r="S15" i="42"/>
  <c r="L6"/>
  <c r="M5589" i="36"/>
  <c r="Q5659" l="1"/>
  <c r="N5658"/>
  <c r="I5604"/>
  <c r="N5594"/>
  <c r="O5594" s="1"/>
  <c r="N5595"/>
  <c r="O5595" s="1"/>
  <c r="L5604"/>
  <c r="N5597"/>
  <c r="O5597" s="1"/>
  <c r="N5608"/>
  <c r="O5608" s="1"/>
  <c r="N5620"/>
  <c r="O5620" s="1"/>
  <c r="J5594"/>
  <c r="M5594"/>
  <c r="M5604" s="1"/>
  <c r="J5595"/>
  <c r="J5597"/>
  <c r="J5607"/>
  <c r="N5607"/>
  <c r="J5618"/>
  <c r="J5620"/>
  <c r="J5621"/>
  <c r="M5655"/>
  <c r="J5608"/>
  <c r="M5608"/>
  <c r="M5643" s="1"/>
  <c r="J5617"/>
  <c r="J5619"/>
  <c r="O5592"/>
  <c r="J5593"/>
  <c r="N5593"/>
  <c r="O5593" s="1"/>
  <c r="N5643" l="1"/>
  <c r="J5604"/>
  <c r="O5607"/>
  <c r="O5643" s="1"/>
  <c r="J5643"/>
  <c r="O5604"/>
  <c r="N5604"/>
  <c r="Q5429" l="1"/>
  <c r="P5577"/>
  <c r="M5577"/>
  <c r="I5568"/>
  <c r="L5567"/>
  <c r="L5568" s="1"/>
  <c r="J5567"/>
  <c r="N5566"/>
  <c r="O5566" s="1"/>
  <c r="M5566"/>
  <c r="J5566"/>
  <c r="L35" i="50"/>
  <c r="L5563" i="36"/>
  <c r="L5564" s="1"/>
  <c r="I5563"/>
  <c r="I5564" s="1"/>
  <c r="N5562"/>
  <c r="O5562" s="1"/>
  <c r="M5562"/>
  <c r="J5562"/>
  <c r="N5561"/>
  <c r="O5561" s="1"/>
  <c r="M5561"/>
  <c r="J5561"/>
  <c r="N5560"/>
  <c r="M5560"/>
  <c r="J5560"/>
  <c r="R5558"/>
  <c r="M1601" i="35"/>
  <c r="P5554" i="36"/>
  <c r="M5554"/>
  <c r="Q5546"/>
  <c r="L5546"/>
  <c r="I5546"/>
  <c r="N5545"/>
  <c r="O5545" s="1"/>
  <c r="M5545"/>
  <c r="J5545"/>
  <c r="N5544"/>
  <c r="O5544" s="1"/>
  <c r="M5544"/>
  <c r="J5544"/>
  <c r="N5543"/>
  <c r="M5543"/>
  <c r="J5543"/>
  <c r="P5541"/>
  <c r="M346" i="35"/>
  <c r="M484"/>
  <c r="P5526" i="36"/>
  <c r="M5526"/>
  <c r="S4937"/>
  <c r="R5495"/>
  <c r="Q5506"/>
  <c r="I5506"/>
  <c r="N5505"/>
  <c r="O5505" s="1"/>
  <c r="M5505"/>
  <c r="J5505"/>
  <c r="N5504"/>
  <c r="O5504" s="1"/>
  <c r="M5504"/>
  <c r="J5504"/>
  <c r="N5503"/>
  <c r="O5503" s="1"/>
  <c r="M5503"/>
  <c r="J5503"/>
  <c r="N5502"/>
  <c r="O5502" s="1"/>
  <c r="M5502"/>
  <c r="J5502"/>
  <c r="N5501"/>
  <c r="O5501" s="1"/>
  <c r="M5501"/>
  <c r="J5501"/>
  <c r="L5500"/>
  <c r="N5500" s="1"/>
  <c r="O5500" s="1"/>
  <c r="J5500"/>
  <c r="L5499"/>
  <c r="L5506" s="1"/>
  <c r="J5499"/>
  <c r="N5498"/>
  <c r="O5498" s="1"/>
  <c r="M5498"/>
  <c r="J5498"/>
  <c r="N5497"/>
  <c r="M5497"/>
  <c r="J5497"/>
  <c r="L131" i="40"/>
  <c r="M5495" i="36"/>
  <c r="O5481"/>
  <c r="H5481"/>
  <c r="M5546" l="1"/>
  <c r="J5546"/>
  <c r="N5546"/>
  <c r="J5568"/>
  <c r="M5567"/>
  <c r="M5568" s="1"/>
  <c r="N5567"/>
  <c r="O5560"/>
  <c r="J5563"/>
  <c r="J5564" s="1"/>
  <c r="M5563"/>
  <c r="M5564" s="1"/>
  <c r="N5563"/>
  <c r="O5563" s="1"/>
  <c r="O5543"/>
  <c r="O5546" s="1"/>
  <c r="J5506"/>
  <c r="M5499"/>
  <c r="O5497"/>
  <c r="N5499"/>
  <c r="O5499" s="1"/>
  <c r="M5500"/>
  <c r="M5506" l="1"/>
  <c r="O5564"/>
  <c r="N5568"/>
  <c r="O5567"/>
  <c r="O5568" s="1"/>
  <c r="N5564"/>
  <c r="N5506"/>
  <c r="O5506"/>
  <c r="P5467" l="1"/>
  <c r="S5456"/>
  <c r="I5456"/>
  <c r="N5455"/>
  <c r="O5455" s="1"/>
  <c r="M5455"/>
  <c r="J5455"/>
  <c r="N5454"/>
  <c r="O5454" s="1"/>
  <c r="M5454"/>
  <c r="J5454"/>
  <c r="N5453"/>
  <c r="O5453" s="1"/>
  <c r="M5453"/>
  <c r="J5453"/>
  <c r="N5452"/>
  <c r="O5452" s="1"/>
  <c r="M5452"/>
  <c r="J5452"/>
  <c r="L5451"/>
  <c r="L5456" s="1"/>
  <c r="J5451"/>
  <c r="N5450"/>
  <c r="O5450" s="1"/>
  <c r="M5450"/>
  <c r="J5450"/>
  <c r="N5449"/>
  <c r="O5449" s="1"/>
  <c r="M5449"/>
  <c r="J5449"/>
  <c r="N5448"/>
  <c r="O5448" s="1"/>
  <c r="M5448"/>
  <c r="J5448"/>
  <c r="N5447"/>
  <c r="O5447" s="1"/>
  <c r="M5447"/>
  <c r="J5447"/>
  <c r="N5446"/>
  <c r="O5446" s="1"/>
  <c r="M5446"/>
  <c r="J5446"/>
  <c r="N5445"/>
  <c r="O5445" s="1"/>
  <c r="M5445"/>
  <c r="J5445"/>
  <c r="N5444"/>
  <c r="O5444" s="1"/>
  <c r="M5444"/>
  <c r="J5444"/>
  <c r="N5443"/>
  <c r="O5443" s="1"/>
  <c r="M5443"/>
  <c r="J5443"/>
  <c r="N5442"/>
  <c r="O5442" s="1"/>
  <c r="M5442"/>
  <c r="J5442"/>
  <c r="N5441"/>
  <c r="O5441" s="1"/>
  <c r="M5441"/>
  <c r="J5441"/>
  <c r="N5440"/>
  <c r="O5440" s="1"/>
  <c r="M5440"/>
  <c r="J5440"/>
  <c r="N5439"/>
  <c r="O5439" s="1"/>
  <c r="M5439"/>
  <c r="J5439"/>
  <c r="N5438"/>
  <c r="O5438" s="1"/>
  <c r="M5438"/>
  <c r="J5438"/>
  <c r="N5437"/>
  <c r="O5437" s="1"/>
  <c r="M5437"/>
  <c r="J5437"/>
  <c r="N5436"/>
  <c r="O5436" s="1"/>
  <c r="M5436"/>
  <c r="J5436"/>
  <c r="N5435"/>
  <c r="O5435" s="1"/>
  <c r="M5435"/>
  <c r="J5435"/>
  <c r="M556" i="43"/>
  <c r="I5429" i="36"/>
  <c r="N5428"/>
  <c r="O5428" s="1"/>
  <c r="M5428"/>
  <c r="J5428"/>
  <c r="N5427"/>
  <c r="O5427" s="1"/>
  <c r="M5427"/>
  <c r="J5427"/>
  <c r="N5426"/>
  <c r="O5426" s="1"/>
  <c r="M5426"/>
  <c r="J5426"/>
  <c r="L5425"/>
  <c r="M5425" s="1"/>
  <c r="J5425"/>
  <c r="N5424"/>
  <c r="O5424" s="1"/>
  <c r="M5424"/>
  <c r="J5424"/>
  <c r="N5423"/>
  <c r="O5423" s="1"/>
  <c r="M5423"/>
  <c r="J5423"/>
  <c r="M163" i="39"/>
  <c r="J5429" i="36" l="1"/>
  <c r="M5429"/>
  <c r="J5456"/>
  <c r="N5451"/>
  <c r="O5451" s="1"/>
  <c r="O5456" s="1"/>
  <c r="M5451"/>
  <c r="M5456" s="1"/>
  <c r="N5425"/>
  <c r="L5429"/>
  <c r="N5456" l="1"/>
  <c r="O5425"/>
  <c r="O5429" s="1"/>
  <c r="N5429"/>
  <c r="M980" i="35" l="1"/>
  <c r="Q5419" i="36" l="1"/>
  <c r="N5418"/>
  <c r="O5418" s="1"/>
  <c r="M5418"/>
  <c r="J5418"/>
  <c r="N5417"/>
  <c r="O5417" s="1"/>
  <c r="M5417"/>
  <c r="J5417"/>
  <c r="N5416"/>
  <c r="O5416" s="1"/>
  <c r="M5416"/>
  <c r="J5416"/>
  <c r="N5415"/>
  <c r="O5415" s="1"/>
  <c r="M5415"/>
  <c r="J5415"/>
  <c r="N5414"/>
  <c r="O5414" s="1"/>
  <c r="M5414"/>
  <c r="J5414"/>
  <c r="N5413"/>
  <c r="O5413" s="1"/>
  <c r="M5413"/>
  <c r="J5413"/>
  <c r="N5412"/>
  <c r="O5412" s="1"/>
  <c r="M5412"/>
  <c r="J5412"/>
  <c r="N5411"/>
  <c r="M5411"/>
  <c r="J5411"/>
  <c r="N5399"/>
  <c r="O5399" s="1"/>
  <c r="M5399"/>
  <c r="J5399"/>
  <c r="N5398"/>
  <c r="O5398" s="1"/>
  <c r="M5398"/>
  <c r="J5398"/>
  <c r="N5397"/>
  <c r="O5397" s="1"/>
  <c r="M5397"/>
  <c r="J5397"/>
  <c r="N5396"/>
  <c r="O5396" s="1"/>
  <c r="M5396"/>
  <c r="J5396"/>
  <c r="L5395"/>
  <c r="M5395" s="1"/>
  <c r="J5395"/>
  <c r="N5394"/>
  <c r="O5394" s="1"/>
  <c r="M5394"/>
  <c r="J5394"/>
  <c r="N5393"/>
  <c r="O5393" s="1"/>
  <c r="M5393"/>
  <c r="J5393"/>
  <c r="N5392"/>
  <c r="O5392" s="1"/>
  <c r="M5392"/>
  <c r="J5392"/>
  <c r="N5391"/>
  <c r="O5391" s="1"/>
  <c r="M5391"/>
  <c r="J5391"/>
  <c r="N5390"/>
  <c r="O5390" s="1"/>
  <c r="M5390"/>
  <c r="J5390"/>
  <c r="N5389"/>
  <c r="O5389" s="1"/>
  <c r="M5389"/>
  <c r="J5389"/>
  <c r="N5388"/>
  <c r="O5388" s="1"/>
  <c r="M5388"/>
  <c r="J5388"/>
  <c r="N5387"/>
  <c r="O5387" s="1"/>
  <c r="M5387"/>
  <c r="J5387"/>
  <c r="L45" i="49"/>
  <c r="P5385" i="36"/>
  <c r="M5385"/>
  <c r="N5419" l="1"/>
  <c r="O5411"/>
  <c r="N5395"/>
  <c r="O5395" s="1"/>
  <c r="M430" i="35"/>
  <c r="S5374" i="36"/>
  <c r="L5374"/>
  <c r="I5374"/>
  <c r="N5373"/>
  <c r="O5373" s="1"/>
  <c r="M5373"/>
  <c r="J5373"/>
  <c r="N5372"/>
  <c r="O5372" s="1"/>
  <c r="M5372"/>
  <c r="J5372"/>
  <c r="N5371"/>
  <c r="O5371" s="1"/>
  <c r="M5371"/>
  <c r="J5371"/>
  <c r="N5370"/>
  <c r="O5370" s="1"/>
  <c r="M5370"/>
  <c r="J5370"/>
  <c r="N5369"/>
  <c r="O5369" s="1"/>
  <c r="M5369"/>
  <c r="J5369"/>
  <c r="N5368"/>
  <c r="O5368" s="1"/>
  <c r="M5368"/>
  <c r="J5368"/>
  <c r="N5367"/>
  <c r="O5367" s="1"/>
  <c r="M5367"/>
  <c r="J5367"/>
  <c r="N5366"/>
  <c r="O5366" s="1"/>
  <c r="M5366"/>
  <c r="J5366"/>
  <c r="N5365"/>
  <c r="M5365"/>
  <c r="J5365"/>
  <c r="T5363"/>
  <c r="N5362"/>
  <c r="O5362" s="1"/>
  <c r="M5362"/>
  <c r="J5362"/>
  <c r="N5361"/>
  <c r="O5361" s="1"/>
  <c r="M5361"/>
  <c r="J5361"/>
  <c r="N5360"/>
  <c r="O5360" s="1"/>
  <c r="M5360"/>
  <c r="J5360"/>
  <c r="L5359"/>
  <c r="M5359" s="1"/>
  <c r="I5359"/>
  <c r="L5358"/>
  <c r="L5363" s="1"/>
  <c r="I5358"/>
  <c r="I5363" s="1"/>
  <c r="T268" i="49"/>
  <c r="L264"/>
  <c r="S5355" i="36"/>
  <c r="Q5355"/>
  <c r="N5354"/>
  <c r="O5354" s="1"/>
  <c r="M5354"/>
  <c r="J5354"/>
  <c r="N5353"/>
  <c r="O5353" s="1"/>
  <c r="M5353"/>
  <c r="J5353"/>
  <c r="N5352"/>
  <c r="O5352" s="1"/>
  <c r="M5352"/>
  <c r="J5352"/>
  <c r="N5351"/>
  <c r="O5351" s="1"/>
  <c r="M5351"/>
  <c r="J5351"/>
  <c r="N5350"/>
  <c r="O5350" s="1"/>
  <c r="M5350"/>
  <c r="J5350"/>
  <c r="N5349"/>
  <c r="O5349" s="1"/>
  <c r="M5349"/>
  <c r="J5349"/>
  <c r="N5348"/>
  <c r="O5348" s="1"/>
  <c r="M5348"/>
  <c r="J5348"/>
  <c r="N5347"/>
  <c r="O5347" s="1"/>
  <c r="M5347"/>
  <c r="J5347"/>
  <c r="L5346"/>
  <c r="M5346" s="1"/>
  <c r="I5346"/>
  <c r="J5346" s="1"/>
  <c r="N5345"/>
  <c r="O5345" s="1"/>
  <c r="M5345"/>
  <c r="J5345"/>
  <c r="N5344"/>
  <c r="O5344" s="1"/>
  <c r="M5344"/>
  <c r="J5344"/>
  <c r="N5343"/>
  <c r="O5343" s="1"/>
  <c r="M5343"/>
  <c r="J5343"/>
  <c r="N5342"/>
  <c r="O5342" s="1"/>
  <c r="M5342"/>
  <c r="J5342"/>
  <c r="N5341"/>
  <c r="O5341" s="1"/>
  <c r="M5341"/>
  <c r="J5341"/>
  <c r="N5340"/>
  <c r="O5340" s="1"/>
  <c r="M5340"/>
  <c r="J5340"/>
  <c r="N5339"/>
  <c r="O5339" s="1"/>
  <c r="M5339"/>
  <c r="J5339"/>
  <c r="M5338"/>
  <c r="I5338"/>
  <c r="N5338" s="1"/>
  <c r="O5338" s="1"/>
  <c r="M5337"/>
  <c r="I5337"/>
  <c r="N5337" s="1"/>
  <c r="O5337" s="1"/>
  <c r="M5336"/>
  <c r="I5336"/>
  <c r="N5336" s="1"/>
  <c r="O5336" s="1"/>
  <c r="P5334"/>
  <c r="M5334"/>
  <c r="M504" i="35"/>
  <c r="M503"/>
  <c r="M501"/>
  <c r="T5321" i="36"/>
  <c r="Q5320"/>
  <c r="L5320"/>
  <c r="N5320" s="1"/>
  <c r="O5320" s="1"/>
  <c r="J5320"/>
  <c r="N5319"/>
  <c r="O5319" s="1"/>
  <c r="M5319"/>
  <c r="J5319"/>
  <c r="N5318"/>
  <c r="O5318" s="1"/>
  <c r="M5318"/>
  <c r="J5318"/>
  <c r="N5317"/>
  <c r="O5317" s="1"/>
  <c r="M5317"/>
  <c r="J5317"/>
  <c r="N5316"/>
  <c r="O5316" s="1"/>
  <c r="M5316"/>
  <c r="J5316"/>
  <c r="N5315"/>
  <c r="O5315" s="1"/>
  <c r="M5315"/>
  <c r="J5315"/>
  <c r="N5314"/>
  <c r="O5314" s="1"/>
  <c r="M5314"/>
  <c r="J5314"/>
  <c r="N5313"/>
  <c r="O5313" s="1"/>
  <c r="M5313"/>
  <c r="J5313"/>
  <c r="N5312"/>
  <c r="O5312" s="1"/>
  <c r="M5312"/>
  <c r="J5312"/>
  <c r="N5311"/>
  <c r="O5311" s="1"/>
  <c r="M5311"/>
  <c r="J5311"/>
  <c r="L5310"/>
  <c r="M5310" s="1"/>
  <c r="I5310"/>
  <c r="L5309"/>
  <c r="M5309" s="1"/>
  <c r="I5309"/>
  <c r="L5308"/>
  <c r="M5308" s="1"/>
  <c r="I5308"/>
  <c r="L5307"/>
  <c r="M5307" s="1"/>
  <c r="I5307"/>
  <c r="N5306"/>
  <c r="O5306" s="1"/>
  <c r="M5306"/>
  <c r="J5306"/>
  <c r="M5305"/>
  <c r="I5305"/>
  <c r="N5305" s="1"/>
  <c r="O5305" s="1"/>
  <c r="L5304"/>
  <c r="I5304"/>
  <c r="M5303"/>
  <c r="I5303"/>
  <c r="N5303" s="1"/>
  <c r="T212" i="49"/>
  <c r="L199"/>
  <c r="L198"/>
  <c r="S5300" i="36"/>
  <c r="N5299"/>
  <c r="O5299" s="1"/>
  <c r="M5299"/>
  <c r="J5299"/>
  <c r="N5298"/>
  <c r="O5298" s="1"/>
  <c r="M5298"/>
  <c r="J5298"/>
  <c r="N5297"/>
  <c r="O5297" s="1"/>
  <c r="M5297"/>
  <c r="J5297"/>
  <c r="N5296"/>
  <c r="O5296" s="1"/>
  <c r="M5296"/>
  <c r="J5296"/>
  <c r="N5295"/>
  <c r="O5295" s="1"/>
  <c r="M5295"/>
  <c r="J5295"/>
  <c r="N5294"/>
  <c r="O5294" s="1"/>
  <c r="M5294"/>
  <c r="J5294"/>
  <c r="N5293"/>
  <c r="O5293" s="1"/>
  <c r="M5293"/>
  <c r="J5293"/>
  <c r="N5292"/>
  <c r="O5292" s="1"/>
  <c r="M5292"/>
  <c r="J5292"/>
  <c r="L5291"/>
  <c r="M5291" s="1"/>
  <c r="I5291"/>
  <c r="L5290"/>
  <c r="M5290" s="1"/>
  <c r="I5290"/>
  <c r="L5289"/>
  <c r="M5289" s="1"/>
  <c r="I5289"/>
  <c r="L5288"/>
  <c r="M5288" s="1"/>
  <c r="I5288"/>
  <c r="L5287"/>
  <c r="L5300" s="1"/>
  <c r="I5287"/>
  <c r="I5300" s="1"/>
  <c r="S192" i="49"/>
  <c r="L179"/>
  <c r="S5285" i="36"/>
  <c r="N5284"/>
  <c r="O5284" s="1"/>
  <c r="M5284"/>
  <c r="J5284"/>
  <c r="N5283"/>
  <c r="O5283" s="1"/>
  <c r="M5283"/>
  <c r="J5283"/>
  <c r="N5282"/>
  <c r="O5282" s="1"/>
  <c r="M5282"/>
  <c r="J5282"/>
  <c r="N5281"/>
  <c r="O5281" s="1"/>
  <c r="M5281"/>
  <c r="J5281"/>
  <c r="N5280"/>
  <c r="O5280" s="1"/>
  <c r="M5280"/>
  <c r="J5280"/>
  <c r="N5279"/>
  <c r="O5279" s="1"/>
  <c r="M5279"/>
  <c r="J5279"/>
  <c r="N5278"/>
  <c r="O5278" s="1"/>
  <c r="M5278"/>
  <c r="J5278"/>
  <c r="N5277"/>
  <c r="O5277" s="1"/>
  <c r="M5277"/>
  <c r="J5277"/>
  <c r="L5276"/>
  <c r="M5276" s="1"/>
  <c r="I5276"/>
  <c r="L5275"/>
  <c r="M5275" s="1"/>
  <c r="I5275"/>
  <c r="M5274"/>
  <c r="I5274"/>
  <c r="N5274" s="1"/>
  <c r="O5274" s="1"/>
  <c r="M5273"/>
  <c r="I5273"/>
  <c r="N5273" s="1"/>
  <c r="O5273" s="1"/>
  <c r="N5272"/>
  <c r="O5272" s="1"/>
  <c r="M5272"/>
  <c r="J5272"/>
  <c r="L5271"/>
  <c r="N5271" s="1"/>
  <c r="O5271" s="1"/>
  <c r="J5271"/>
  <c r="M5270"/>
  <c r="I5270"/>
  <c r="N5270" s="1"/>
  <c r="O5270" s="1"/>
  <c r="L5269"/>
  <c r="M5269" s="1"/>
  <c r="I5269"/>
  <c r="J5269" s="1"/>
  <c r="P5266"/>
  <c r="M5266"/>
  <c r="M2061" i="35"/>
  <c r="P5240" i="36"/>
  <c r="J5223"/>
  <c r="O5222"/>
  <c r="P5222" s="1"/>
  <c r="N5222"/>
  <c r="K5222"/>
  <c r="M5221"/>
  <c r="M5223" s="1"/>
  <c r="K5221"/>
  <c r="O5220"/>
  <c r="N5220"/>
  <c r="K5220"/>
  <c r="L216" i="49"/>
  <c r="R5217" i="36"/>
  <c r="M5217"/>
  <c r="J5217"/>
  <c r="O5216"/>
  <c r="P5216" s="1"/>
  <c r="N5216"/>
  <c r="K5216"/>
  <c r="O5215"/>
  <c r="P5215" s="1"/>
  <c r="N5215"/>
  <c r="K5215"/>
  <c r="O5214"/>
  <c r="P5214" s="1"/>
  <c r="N5214"/>
  <c r="K5214"/>
  <c r="O5213"/>
  <c r="P5213" s="1"/>
  <c r="N5213"/>
  <c r="K5213"/>
  <c r="O5212"/>
  <c r="P5212" s="1"/>
  <c r="N5212"/>
  <c r="K5212"/>
  <c r="O5211"/>
  <c r="P5211" s="1"/>
  <c r="N5211"/>
  <c r="K5211"/>
  <c r="O5210"/>
  <c r="P5210" s="1"/>
  <c r="N5210"/>
  <c r="K5210"/>
  <c r="O5209"/>
  <c r="P5209" s="1"/>
  <c r="N5209"/>
  <c r="K5209"/>
  <c r="J5374" l="1"/>
  <c r="N5374"/>
  <c r="J5303"/>
  <c r="L5321"/>
  <c r="N5307"/>
  <c r="O5307" s="1"/>
  <c r="N5308"/>
  <c r="O5308" s="1"/>
  <c r="N5309"/>
  <c r="O5309" s="1"/>
  <c r="N5310"/>
  <c r="O5310" s="1"/>
  <c r="N5288"/>
  <c r="O5288" s="1"/>
  <c r="N5289"/>
  <c r="O5289" s="1"/>
  <c r="I5321"/>
  <c r="J5307"/>
  <c r="J5308"/>
  <c r="J5309"/>
  <c r="J5310"/>
  <c r="N5290"/>
  <c r="O5290" s="1"/>
  <c r="N5291"/>
  <c r="O5291" s="1"/>
  <c r="K5217"/>
  <c r="P5217"/>
  <c r="K5223"/>
  <c r="J5270"/>
  <c r="N5275"/>
  <c r="O5275" s="1"/>
  <c r="N5276"/>
  <c r="O5276" s="1"/>
  <c r="J5287"/>
  <c r="M5287"/>
  <c r="M5300" s="1"/>
  <c r="J5288"/>
  <c r="J5289"/>
  <c r="J5290"/>
  <c r="J5291"/>
  <c r="J5336"/>
  <c r="M5374"/>
  <c r="O5365"/>
  <c r="O5374" s="1"/>
  <c r="T5322"/>
  <c r="S5375"/>
  <c r="J5338"/>
  <c r="N5359"/>
  <c r="O5359" s="1"/>
  <c r="N5217"/>
  <c r="I5285"/>
  <c r="L5285"/>
  <c r="M5271"/>
  <c r="M5285" s="1"/>
  <c r="J5273"/>
  <c r="J5275"/>
  <c r="J5276"/>
  <c r="N5304"/>
  <c r="O5304" s="1"/>
  <c r="M5355"/>
  <c r="J5358"/>
  <c r="M5358"/>
  <c r="M5363" s="1"/>
  <c r="J5359"/>
  <c r="N5358"/>
  <c r="N5346"/>
  <c r="O5346" s="1"/>
  <c r="O5355" s="1"/>
  <c r="I5355"/>
  <c r="L5355"/>
  <c r="J5337"/>
  <c r="O5303"/>
  <c r="J5304"/>
  <c r="M5304"/>
  <c r="J5305"/>
  <c r="M5320"/>
  <c r="N5287"/>
  <c r="N5269"/>
  <c r="J5274"/>
  <c r="N5221"/>
  <c r="N5223" s="1"/>
  <c r="P5220"/>
  <c r="O5221"/>
  <c r="P5221" s="1"/>
  <c r="O5217"/>
  <c r="O5321" l="1"/>
  <c r="J5355"/>
  <c r="J5285"/>
  <c r="N5321"/>
  <c r="N5355"/>
  <c r="J5300"/>
  <c r="J5321"/>
  <c r="P5223"/>
  <c r="O5223"/>
  <c r="M5321"/>
  <c r="J5363"/>
  <c r="O5358"/>
  <c r="O5363" s="1"/>
  <c r="N5363"/>
  <c r="O5287"/>
  <c r="O5300" s="1"/>
  <c r="N5300"/>
  <c r="O5269"/>
  <c r="O5285" s="1"/>
  <c r="N5285"/>
  <c r="R5207" l="1"/>
  <c r="O5206"/>
  <c r="P5206" s="1"/>
  <c r="N5206"/>
  <c r="K5206"/>
  <c r="O5205"/>
  <c r="P5205" s="1"/>
  <c r="N5205"/>
  <c r="K5205"/>
  <c r="O5204"/>
  <c r="P5204" s="1"/>
  <c r="N5204"/>
  <c r="K5204"/>
  <c r="O5203"/>
  <c r="P5203" s="1"/>
  <c r="N5203"/>
  <c r="K5203"/>
  <c r="O5202"/>
  <c r="P5202" s="1"/>
  <c r="N5202"/>
  <c r="K5202"/>
  <c r="O5201"/>
  <c r="P5201" s="1"/>
  <c r="N5201"/>
  <c r="K5201"/>
  <c r="O5200"/>
  <c r="P5200" s="1"/>
  <c r="N5200"/>
  <c r="K5200"/>
  <c r="O5199"/>
  <c r="P5199" s="1"/>
  <c r="N5199"/>
  <c r="K5199"/>
  <c r="O5198"/>
  <c r="P5198" s="1"/>
  <c r="N5198"/>
  <c r="K5198"/>
  <c r="M5197"/>
  <c r="N5197" s="1"/>
  <c r="J5197"/>
  <c r="N5196"/>
  <c r="J5196"/>
  <c r="O5196" s="1"/>
  <c r="P5196" s="1"/>
  <c r="M5195"/>
  <c r="N5195" s="1"/>
  <c r="J5195"/>
  <c r="K5195" s="1"/>
  <c r="N5194"/>
  <c r="J5194"/>
  <c r="O5194" s="1"/>
  <c r="P5194" s="1"/>
  <c r="N5193"/>
  <c r="J5193"/>
  <c r="J5207" s="1"/>
  <c r="O5192"/>
  <c r="P5192" s="1"/>
  <c r="N5192"/>
  <c r="K5192"/>
  <c r="P5190"/>
  <c r="M2278" i="35"/>
  <c r="O5197" i="36" l="1"/>
  <c r="P5197" s="1"/>
  <c r="N5207"/>
  <c r="K5194"/>
  <c r="K5197"/>
  <c r="O5195"/>
  <c r="P5195" s="1"/>
  <c r="M5207"/>
  <c r="K5193"/>
  <c r="O5193"/>
  <c r="P5193" s="1"/>
  <c r="K5196"/>
  <c r="P5207" l="1"/>
  <c r="K5207"/>
  <c r="O5207"/>
  <c r="L599" i="42" l="1"/>
  <c r="L602"/>
  <c r="L462"/>
  <c r="L652"/>
  <c r="L694"/>
  <c r="I694"/>
  <c r="N693"/>
  <c r="O693" s="1"/>
  <c r="M693"/>
  <c r="J693"/>
  <c r="N692"/>
  <c r="O692" s="1"/>
  <c r="M692"/>
  <c r="J692"/>
  <c r="N691"/>
  <c r="O691" s="1"/>
  <c r="M691"/>
  <c r="J691"/>
  <c r="N690"/>
  <c r="O690" s="1"/>
  <c r="M690"/>
  <c r="J690"/>
  <c r="N689"/>
  <c r="O689" s="1"/>
  <c r="M689"/>
  <c r="J689"/>
  <c r="N688"/>
  <c r="O688" s="1"/>
  <c r="M688"/>
  <c r="J688"/>
  <c r="N687"/>
  <c r="O687" s="1"/>
  <c r="M687"/>
  <c r="J687"/>
  <c r="N686"/>
  <c r="O686" s="1"/>
  <c r="M686"/>
  <c r="J686"/>
  <c r="N685"/>
  <c r="O685" s="1"/>
  <c r="M685"/>
  <c r="J685"/>
  <c r="N684"/>
  <c r="O684" s="1"/>
  <c r="M684"/>
  <c r="J684"/>
  <c r="N683"/>
  <c r="O683" s="1"/>
  <c r="M683"/>
  <c r="J683"/>
  <c r="N682"/>
  <c r="O682" s="1"/>
  <c r="M682"/>
  <c r="J682"/>
  <c r="N681"/>
  <c r="O681" s="1"/>
  <c r="M681"/>
  <c r="J681"/>
  <c r="N680"/>
  <c r="O680" s="1"/>
  <c r="M680"/>
  <c r="J680"/>
  <c r="N679"/>
  <c r="O679" s="1"/>
  <c r="M679"/>
  <c r="J679"/>
  <c r="N678"/>
  <c r="O678" s="1"/>
  <c r="M678"/>
  <c r="J678"/>
  <c r="N677"/>
  <c r="O677" s="1"/>
  <c r="M677"/>
  <c r="J677"/>
  <c r="N676"/>
  <c r="O676" s="1"/>
  <c r="M676"/>
  <c r="J676"/>
  <c r="N675"/>
  <c r="O675" s="1"/>
  <c r="M675"/>
  <c r="J675"/>
  <c r="N674"/>
  <c r="O674" s="1"/>
  <c r="M674"/>
  <c r="J674"/>
  <c r="N673"/>
  <c r="O673" s="1"/>
  <c r="M673"/>
  <c r="J673"/>
  <c r="N672"/>
  <c r="O672" s="1"/>
  <c r="M672"/>
  <c r="J672"/>
  <c r="N671"/>
  <c r="O671" s="1"/>
  <c r="M671"/>
  <c r="J671"/>
  <c r="N670"/>
  <c r="O670" s="1"/>
  <c r="M670"/>
  <c r="J670"/>
  <c r="N669"/>
  <c r="O669" s="1"/>
  <c r="M669"/>
  <c r="J669"/>
  <c r="N668"/>
  <c r="O668" s="1"/>
  <c r="M668"/>
  <c r="J668"/>
  <c r="N667"/>
  <c r="O667" s="1"/>
  <c r="M667"/>
  <c r="J667"/>
  <c r="N666"/>
  <c r="O666" s="1"/>
  <c r="M666"/>
  <c r="J666"/>
  <c r="N665"/>
  <c r="O665" s="1"/>
  <c r="M665"/>
  <c r="J665"/>
  <c r="N664"/>
  <c r="O664" s="1"/>
  <c r="M664"/>
  <c r="J664"/>
  <c r="N663"/>
  <c r="O663" s="1"/>
  <c r="M663"/>
  <c r="J663"/>
  <c r="N662"/>
  <c r="O662" s="1"/>
  <c r="M662"/>
  <c r="J662"/>
  <c r="N661"/>
  <c r="O661" s="1"/>
  <c r="M661"/>
  <c r="J661"/>
  <c r="N660"/>
  <c r="O660" s="1"/>
  <c r="M660"/>
  <c r="J660"/>
  <c r="N659"/>
  <c r="O659" s="1"/>
  <c r="M659"/>
  <c r="J659"/>
  <c r="N658"/>
  <c r="O658" s="1"/>
  <c r="M658"/>
  <c r="J658"/>
  <c r="N657"/>
  <c r="O657" s="1"/>
  <c r="M657"/>
  <c r="J657"/>
  <c r="N656"/>
  <c r="O656" s="1"/>
  <c r="M656"/>
  <c r="J656"/>
  <c r="N655"/>
  <c r="O655" s="1"/>
  <c r="M655"/>
  <c r="J655"/>
  <c r="N654"/>
  <c r="O654" s="1"/>
  <c r="M654"/>
  <c r="J654"/>
  <c r="N653"/>
  <c r="O653" s="1"/>
  <c r="M653"/>
  <c r="J653"/>
  <c r="N652"/>
  <c r="O652" s="1"/>
  <c r="M652"/>
  <c r="J652"/>
  <c r="N651"/>
  <c r="O651" s="1"/>
  <c r="M651"/>
  <c r="J651"/>
  <c r="N650"/>
  <c r="O650" s="1"/>
  <c r="M650"/>
  <c r="J650"/>
  <c r="N649"/>
  <c r="O649" s="1"/>
  <c r="M649"/>
  <c r="J649"/>
  <c r="N648"/>
  <c r="O648" s="1"/>
  <c r="M648"/>
  <c r="J648"/>
  <c r="N647"/>
  <c r="O647" s="1"/>
  <c r="M647"/>
  <c r="J647"/>
  <c r="N646"/>
  <c r="O646" s="1"/>
  <c r="M646"/>
  <c r="J646"/>
  <c r="N645"/>
  <c r="O645" s="1"/>
  <c r="M645"/>
  <c r="J645"/>
  <c r="N644"/>
  <c r="O644" s="1"/>
  <c r="M644"/>
  <c r="J644"/>
  <c r="N643"/>
  <c r="O643" s="1"/>
  <c r="M643"/>
  <c r="J643"/>
  <c r="N642"/>
  <c r="O642" s="1"/>
  <c r="M642"/>
  <c r="J642"/>
  <c r="N641"/>
  <c r="O641" s="1"/>
  <c r="M641"/>
  <c r="J641"/>
  <c r="N640"/>
  <c r="O640" s="1"/>
  <c r="M640"/>
  <c r="J640"/>
  <c r="N639"/>
  <c r="O639" s="1"/>
  <c r="M639"/>
  <c r="J639"/>
  <c r="N638"/>
  <c r="O638" s="1"/>
  <c r="M638"/>
  <c r="J638"/>
  <c r="N637"/>
  <c r="O637" s="1"/>
  <c r="M637"/>
  <c r="J637"/>
  <c r="N636"/>
  <c r="O636" s="1"/>
  <c r="M636"/>
  <c r="J636"/>
  <c r="N635"/>
  <c r="O635" s="1"/>
  <c r="M635"/>
  <c r="J635"/>
  <c r="N634"/>
  <c r="O634" s="1"/>
  <c r="M634"/>
  <c r="J634"/>
  <c r="N633"/>
  <c r="O633" s="1"/>
  <c r="M633"/>
  <c r="J633"/>
  <c r="N632"/>
  <c r="O632" s="1"/>
  <c r="M632"/>
  <c r="J632"/>
  <c r="N631"/>
  <c r="O631" s="1"/>
  <c r="M631"/>
  <c r="J631"/>
  <c r="N630"/>
  <c r="O630" s="1"/>
  <c r="M630"/>
  <c r="J630"/>
  <c r="N629"/>
  <c r="O629" s="1"/>
  <c r="M629"/>
  <c r="J629"/>
  <c r="N628"/>
  <c r="O628" s="1"/>
  <c r="M628"/>
  <c r="J628"/>
  <c r="N627"/>
  <c r="O627" s="1"/>
  <c r="M627"/>
  <c r="J627"/>
  <c r="N626"/>
  <c r="O626" s="1"/>
  <c r="M626"/>
  <c r="J626"/>
  <c r="N625"/>
  <c r="O625" s="1"/>
  <c r="M625"/>
  <c r="J625"/>
  <c r="N624"/>
  <c r="O624" s="1"/>
  <c r="M624"/>
  <c r="J624"/>
  <c r="N623"/>
  <c r="O623" s="1"/>
  <c r="M623"/>
  <c r="J623"/>
  <c r="N622"/>
  <c r="O622" s="1"/>
  <c r="M622"/>
  <c r="J622"/>
  <c r="N621"/>
  <c r="O621" s="1"/>
  <c r="M621"/>
  <c r="J621"/>
  <c r="N620"/>
  <c r="O620" s="1"/>
  <c r="M620"/>
  <c r="J620"/>
  <c r="N619"/>
  <c r="O619" s="1"/>
  <c r="M619"/>
  <c r="J619"/>
  <c r="N618"/>
  <c r="O618" s="1"/>
  <c r="M618"/>
  <c r="J618"/>
  <c r="N617"/>
  <c r="O617" s="1"/>
  <c r="M617"/>
  <c r="J617"/>
  <c r="N616"/>
  <c r="O616" s="1"/>
  <c r="M616"/>
  <c r="J616"/>
  <c r="N615"/>
  <c r="O615" s="1"/>
  <c r="M615"/>
  <c r="J615"/>
  <c r="N614"/>
  <c r="O614" s="1"/>
  <c r="M614"/>
  <c r="J614"/>
  <c r="N613"/>
  <c r="O613" s="1"/>
  <c r="M613"/>
  <c r="J613"/>
  <c r="N612"/>
  <c r="O612" s="1"/>
  <c r="M612"/>
  <c r="J612"/>
  <c r="N611"/>
  <c r="O611" s="1"/>
  <c r="M611"/>
  <c r="J611"/>
  <c r="N610"/>
  <c r="O610" s="1"/>
  <c r="M610"/>
  <c r="J610"/>
  <c r="N609"/>
  <c r="O609" s="1"/>
  <c r="M609"/>
  <c r="J609"/>
  <c r="N608"/>
  <c r="O608" s="1"/>
  <c r="M608"/>
  <c r="J608"/>
  <c r="N607"/>
  <c r="O607" s="1"/>
  <c r="M607"/>
  <c r="J607"/>
  <c r="N606"/>
  <c r="O606" s="1"/>
  <c r="M606"/>
  <c r="J606"/>
  <c r="N605"/>
  <c r="O605" s="1"/>
  <c r="M605"/>
  <c r="J605"/>
  <c r="N604"/>
  <c r="O604" s="1"/>
  <c r="M604"/>
  <c r="J604"/>
  <c r="N603"/>
  <c r="O603" s="1"/>
  <c r="M603"/>
  <c r="J603"/>
  <c r="N602"/>
  <c r="O602" s="1"/>
  <c r="M602"/>
  <c r="J602"/>
  <c r="N601"/>
  <c r="O601" s="1"/>
  <c r="M601"/>
  <c r="J601"/>
  <c r="N600"/>
  <c r="O600" s="1"/>
  <c r="M600"/>
  <c r="J600"/>
  <c r="N599"/>
  <c r="O599" s="1"/>
  <c r="M599"/>
  <c r="J599"/>
  <c r="N598"/>
  <c r="O598" s="1"/>
  <c r="M598"/>
  <c r="J598"/>
  <c r="N597"/>
  <c r="O597" s="1"/>
  <c r="M597"/>
  <c r="J597"/>
  <c r="N596"/>
  <c r="O596" s="1"/>
  <c r="M596"/>
  <c r="J596"/>
  <c r="N595"/>
  <c r="O595" s="1"/>
  <c r="M595"/>
  <c r="J595"/>
  <c r="N594"/>
  <c r="O594" s="1"/>
  <c r="M594"/>
  <c r="J594"/>
  <c r="N593"/>
  <c r="O593" s="1"/>
  <c r="M593"/>
  <c r="J593"/>
  <c r="N592"/>
  <c r="O592" s="1"/>
  <c r="M592"/>
  <c r="J592"/>
  <c r="N591"/>
  <c r="O591" s="1"/>
  <c r="M591"/>
  <c r="J591"/>
  <c r="L585"/>
  <c r="L584"/>
  <c r="L580"/>
  <c r="I585"/>
  <c r="N585" s="1"/>
  <c r="O585" s="1"/>
  <c r="I584"/>
  <c r="I580"/>
  <c r="N580" s="1"/>
  <c r="O580" s="1"/>
  <c r="N587"/>
  <c r="O587" s="1"/>
  <c r="M587"/>
  <c r="J587"/>
  <c r="N586"/>
  <c r="O586" s="1"/>
  <c r="M586"/>
  <c r="J586"/>
  <c r="M585"/>
  <c r="M584"/>
  <c r="J584"/>
  <c r="N583"/>
  <c r="O583" s="1"/>
  <c r="M583"/>
  <c r="J583"/>
  <c r="N582"/>
  <c r="O582" s="1"/>
  <c r="M582"/>
  <c r="J582"/>
  <c r="N581"/>
  <c r="O581" s="1"/>
  <c r="M581"/>
  <c r="J581"/>
  <c r="M580"/>
  <c r="J580"/>
  <c r="N579"/>
  <c r="O579" s="1"/>
  <c r="M579"/>
  <c r="J579"/>
  <c r="L551"/>
  <c r="O694" l="1"/>
  <c r="M694"/>
  <c r="J694"/>
  <c r="N694"/>
  <c r="I588"/>
  <c r="L588"/>
  <c r="M588"/>
  <c r="N584"/>
  <c r="O584" s="1"/>
  <c r="O588"/>
  <c r="N588"/>
  <c r="J585"/>
  <c r="J588" s="1"/>
  <c r="L548" l="1"/>
  <c r="I548"/>
  <c r="I563"/>
  <c r="L576" l="1"/>
  <c r="I551"/>
  <c r="I550"/>
  <c r="I549"/>
  <c r="N575"/>
  <c r="O575" s="1"/>
  <c r="M575"/>
  <c r="J575"/>
  <c r="N574"/>
  <c r="O574" s="1"/>
  <c r="M574"/>
  <c r="J574"/>
  <c r="N573"/>
  <c r="O573" s="1"/>
  <c r="M573"/>
  <c r="J573"/>
  <c r="N572"/>
  <c r="O572" s="1"/>
  <c r="M572"/>
  <c r="J572"/>
  <c r="N571"/>
  <c r="O571" s="1"/>
  <c r="M571"/>
  <c r="J571"/>
  <c r="N570"/>
  <c r="O570" s="1"/>
  <c r="M570"/>
  <c r="J570"/>
  <c r="N569"/>
  <c r="O569" s="1"/>
  <c r="M569"/>
  <c r="J569"/>
  <c r="N568"/>
  <c r="O568" s="1"/>
  <c r="M568"/>
  <c r="J568"/>
  <c r="N567"/>
  <c r="O567" s="1"/>
  <c r="M567"/>
  <c r="J567"/>
  <c r="N566"/>
  <c r="O566" s="1"/>
  <c r="M566"/>
  <c r="J566"/>
  <c r="N565"/>
  <c r="O565" s="1"/>
  <c r="M565"/>
  <c r="J565"/>
  <c r="N564"/>
  <c r="O564" s="1"/>
  <c r="M564"/>
  <c r="J564"/>
  <c r="N563"/>
  <c r="O563" s="1"/>
  <c r="M563"/>
  <c r="J563"/>
  <c r="N562"/>
  <c r="O562" s="1"/>
  <c r="M562"/>
  <c r="J562"/>
  <c r="N561"/>
  <c r="O561" s="1"/>
  <c r="M561"/>
  <c r="J561"/>
  <c r="N560"/>
  <c r="O560" s="1"/>
  <c r="M560"/>
  <c r="J560"/>
  <c r="N559"/>
  <c r="O559" s="1"/>
  <c r="M559"/>
  <c r="J559"/>
  <c r="N558"/>
  <c r="O558" s="1"/>
  <c r="M558"/>
  <c r="J558"/>
  <c r="N557"/>
  <c r="O557" s="1"/>
  <c r="M557"/>
  <c r="J557"/>
  <c r="N556"/>
  <c r="O556" s="1"/>
  <c r="M556"/>
  <c r="J556"/>
  <c r="N555"/>
  <c r="O555" s="1"/>
  <c r="M555"/>
  <c r="J555"/>
  <c r="N554"/>
  <c r="O554" s="1"/>
  <c r="M554"/>
  <c r="J554"/>
  <c r="N553"/>
  <c r="O553" s="1"/>
  <c r="M553"/>
  <c r="J553"/>
  <c r="N552"/>
  <c r="O552" s="1"/>
  <c r="M552"/>
  <c r="J552"/>
  <c r="N551"/>
  <c r="O551" s="1"/>
  <c r="M551"/>
  <c r="J551"/>
  <c r="N550"/>
  <c r="O550" s="1"/>
  <c r="M550"/>
  <c r="J550"/>
  <c r="N549"/>
  <c r="O549" s="1"/>
  <c r="M549"/>
  <c r="J549"/>
  <c r="N548"/>
  <c r="N576" s="1"/>
  <c r="M548"/>
  <c r="M576" s="1"/>
  <c r="J548"/>
  <c r="J576" s="1"/>
  <c r="I576" l="1"/>
  <c r="O548"/>
  <c r="O576" s="1"/>
  <c r="L5016" i="36" l="1"/>
  <c r="O5162" l="1"/>
  <c r="P5162" s="1"/>
  <c r="N5162"/>
  <c r="K5162"/>
  <c r="O5161"/>
  <c r="P5161" s="1"/>
  <c r="N5161"/>
  <c r="K5161"/>
  <c r="O5160"/>
  <c r="P5160" s="1"/>
  <c r="N5160"/>
  <c r="K5160"/>
  <c r="O5159"/>
  <c r="P5159" s="1"/>
  <c r="N5159"/>
  <c r="K5159"/>
  <c r="O5158"/>
  <c r="P5158" s="1"/>
  <c r="N5158"/>
  <c r="K5158"/>
  <c r="O5157"/>
  <c r="P5157" s="1"/>
  <c r="N5157"/>
  <c r="K5157"/>
  <c r="O5156"/>
  <c r="P5156" s="1"/>
  <c r="N5156"/>
  <c r="K5156"/>
  <c r="O5155"/>
  <c r="P5155" s="1"/>
  <c r="N5155"/>
  <c r="K5155"/>
  <c r="O5154"/>
  <c r="P5154" s="1"/>
  <c r="N5154"/>
  <c r="K5154"/>
  <c r="O5153"/>
  <c r="P5153" s="1"/>
  <c r="N5153"/>
  <c r="K5153"/>
  <c r="O5152"/>
  <c r="P5152" s="1"/>
  <c r="N5152"/>
  <c r="K5152"/>
  <c r="O5151"/>
  <c r="P5151" s="1"/>
  <c r="N5151"/>
  <c r="K5151"/>
  <c r="M5150"/>
  <c r="O5150" s="1"/>
  <c r="P5150" s="1"/>
  <c r="K5150"/>
  <c r="M5149"/>
  <c r="O5149" s="1"/>
  <c r="P5149" s="1"/>
  <c r="K5149"/>
  <c r="O5148"/>
  <c r="P5148" s="1"/>
  <c r="N5148"/>
  <c r="K5148"/>
  <c r="O5147"/>
  <c r="P5147" s="1"/>
  <c r="N5147"/>
  <c r="K5147"/>
  <c r="R5146"/>
  <c r="R5163" s="1"/>
  <c r="M5146"/>
  <c r="O5146" s="1"/>
  <c r="P5146" s="1"/>
  <c r="K5146"/>
  <c r="O5145"/>
  <c r="P5145" s="1"/>
  <c r="N5145"/>
  <c r="K5145"/>
  <c r="O5144"/>
  <c r="P5144" s="1"/>
  <c r="N5144"/>
  <c r="K5144"/>
  <c r="O5143"/>
  <c r="P5143" s="1"/>
  <c r="N5143"/>
  <c r="K5143"/>
  <c r="O5142"/>
  <c r="P5142" s="1"/>
  <c r="N5142"/>
  <c r="K5142"/>
  <c r="O5141"/>
  <c r="P5141" s="1"/>
  <c r="N5141"/>
  <c r="K5141"/>
  <c r="O5140"/>
  <c r="P5140" s="1"/>
  <c r="N5140"/>
  <c r="K5140"/>
  <c r="O5139"/>
  <c r="P5139" s="1"/>
  <c r="N5139"/>
  <c r="K5139"/>
  <c r="O5138"/>
  <c r="P5138" s="1"/>
  <c r="N5138"/>
  <c r="K5138"/>
  <c r="N5137"/>
  <c r="J5137"/>
  <c r="O5137" s="1"/>
  <c r="P5137" s="1"/>
  <c r="N5136"/>
  <c r="J5136"/>
  <c r="O5136" s="1"/>
  <c r="P5136" s="1"/>
  <c r="M5135"/>
  <c r="N5135" s="1"/>
  <c r="J5135"/>
  <c r="J5163" s="1"/>
  <c r="N5146" l="1"/>
  <c r="K5137"/>
  <c r="N5149"/>
  <c r="O5135"/>
  <c r="M5163"/>
  <c r="K5135"/>
  <c r="K5136"/>
  <c r="N5150"/>
  <c r="N5163" l="1"/>
  <c r="K5163"/>
  <c r="O5163"/>
  <c r="P5135"/>
  <c r="P5163" s="1"/>
  <c r="L298" i="37" l="1"/>
  <c r="Q294"/>
  <c r="L294"/>
  <c r="M500" i="39"/>
  <c r="L297" i="37"/>
  <c r="S5132" i="36" l="1"/>
  <c r="I5132"/>
  <c r="N5131"/>
  <c r="O5131" s="1"/>
  <c r="M5131"/>
  <c r="J5131"/>
  <c r="N5130"/>
  <c r="O5130" s="1"/>
  <c r="M5130"/>
  <c r="J5130"/>
  <c r="N5129"/>
  <c r="O5129" s="1"/>
  <c r="M5129"/>
  <c r="J5129"/>
  <c r="N5128"/>
  <c r="O5128" s="1"/>
  <c r="M5128"/>
  <c r="J5128"/>
  <c r="N5127"/>
  <c r="O5127" s="1"/>
  <c r="M5127"/>
  <c r="J5127"/>
  <c r="N5126"/>
  <c r="O5126" s="1"/>
  <c r="M5126"/>
  <c r="J5126"/>
  <c r="N5125"/>
  <c r="O5125" s="1"/>
  <c r="M5125"/>
  <c r="J5125"/>
  <c r="N5124"/>
  <c r="O5124" s="1"/>
  <c r="M5124"/>
  <c r="J5124"/>
  <c r="N5123"/>
  <c r="O5123" s="1"/>
  <c r="M5123"/>
  <c r="J5123"/>
  <c r="N5122"/>
  <c r="O5122" s="1"/>
  <c r="M5122"/>
  <c r="J5122"/>
  <c r="N5121"/>
  <c r="O5121" s="1"/>
  <c r="M5121"/>
  <c r="J5121"/>
  <c r="N5120"/>
  <c r="O5120" s="1"/>
  <c r="M5120"/>
  <c r="J5120"/>
  <c r="N5119"/>
  <c r="O5119" s="1"/>
  <c r="M5119"/>
  <c r="J5119"/>
  <c r="N5118"/>
  <c r="O5118" s="1"/>
  <c r="M5118"/>
  <c r="J5118"/>
  <c r="N5117"/>
  <c r="O5117" s="1"/>
  <c r="M5117"/>
  <c r="J5117"/>
  <c r="L5116"/>
  <c r="L5132" s="1"/>
  <c r="J5116"/>
  <c r="N5115"/>
  <c r="O5115" s="1"/>
  <c r="M5115"/>
  <c r="J5115"/>
  <c r="N5114"/>
  <c r="O5114" s="1"/>
  <c r="M5114"/>
  <c r="J5114"/>
  <c r="S5112"/>
  <c r="N5111"/>
  <c r="O5111" s="1"/>
  <c r="M5111"/>
  <c r="J5111"/>
  <c r="N5110"/>
  <c r="O5110" s="1"/>
  <c r="M5110"/>
  <c r="J5110"/>
  <c r="N5109"/>
  <c r="O5109" s="1"/>
  <c r="M5109"/>
  <c r="J5109"/>
  <c r="L5108"/>
  <c r="M5108" s="1"/>
  <c r="I5108"/>
  <c r="L5107"/>
  <c r="M5107" s="1"/>
  <c r="I5107"/>
  <c r="M5106"/>
  <c r="I5106"/>
  <c r="N5106" s="1"/>
  <c r="O5106" s="1"/>
  <c r="L5105"/>
  <c r="M5105" s="1"/>
  <c r="I5105"/>
  <c r="J5105" s="1"/>
  <c r="M5104"/>
  <c r="I5104"/>
  <c r="N5104" s="1"/>
  <c r="O5104" s="1"/>
  <c r="N5103"/>
  <c r="O5103" s="1"/>
  <c r="M5103"/>
  <c r="J5103"/>
  <c r="S5101"/>
  <c r="L5100"/>
  <c r="M5100" s="1"/>
  <c r="I5100"/>
  <c r="L5099"/>
  <c r="M5099" s="1"/>
  <c r="I5099"/>
  <c r="M5098"/>
  <c r="I5098"/>
  <c r="N5098" s="1"/>
  <c r="O5098" s="1"/>
  <c r="L5097"/>
  <c r="M5097" s="1"/>
  <c r="I5097"/>
  <c r="J5097" s="1"/>
  <c r="M5096"/>
  <c r="I5096"/>
  <c r="N5096" s="1"/>
  <c r="O5096" s="1"/>
  <c r="N5095"/>
  <c r="O5095" s="1"/>
  <c r="M5095"/>
  <c r="J5095"/>
  <c r="L112" i="37"/>
  <c r="S5091" i="36"/>
  <c r="I5091"/>
  <c r="N5090"/>
  <c r="O5090" s="1"/>
  <c r="M5090"/>
  <c r="J5090"/>
  <c r="N5089"/>
  <c r="O5089" s="1"/>
  <c r="M5089"/>
  <c r="J5089"/>
  <c r="N5088"/>
  <c r="O5088" s="1"/>
  <c r="M5088"/>
  <c r="J5088"/>
  <c r="N5087"/>
  <c r="O5087" s="1"/>
  <c r="M5087"/>
  <c r="J5087"/>
  <c r="N5086"/>
  <c r="O5086" s="1"/>
  <c r="M5086"/>
  <c r="J5086"/>
  <c r="N5085"/>
  <c r="O5085" s="1"/>
  <c r="M5085"/>
  <c r="J5085"/>
  <c r="N5084"/>
  <c r="O5084" s="1"/>
  <c r="M5084"/>
  <c r="J5084"/>
  <c r="N5083"/>
  <c r="O5083" s="1"/>
  <c r="M5083"/>
  <c r="J5083"/>
  <c r="N5082"/>
  <c r="O5082" s="1"/>
  <c r="M5082"/>
  <c r="J5082"/>
  <c r="N5081"/>
  <c r="O5081" s="1"/>
  <c r="M5081"/>
  <c r="J5081"/>
  <c r="N5080"/>
  <c r="O5080" s="1"/>
  <c r="M5080"/>
  <c r="J5080"/>
  <c r="N5079"/>
  <c r="O5079" s="1"/>
  <c r="M5079"/>
  <c r="J5079"/>
  <c r="N5078"/>
  <c r="O5078" s="1"/>
  <c r="M5078"/>
  <c r="J5078"/>
  <c r="N5077"/>
  <c r="O5077" s="1"/>
  <c r="M5077"/>
  <c r="J5077"/>
  <c r="N5076"/>
  <c r="O5076" s="1"/>
  <c r="M5076"/>
  <c r="J5076"/>
  <c r="L5075"/>
  <c r="L5091" s="1"/>
  <c r="J5075"/>
  <c r="N5074"/>
  <c r="O5074" s="1"/>
  <c r="M5074"/>
  <c r="J5074"/>
  <c r="N5073"/>
  <c r="O5073" s="1"/>
  <c r="M5073"/>
  <c r="J5073"/>
  <c r="N5099" l="1"/>
  <c r="O5099" s="1"/>
  <c r="N5100"/>
  <c r="O5100" s="1"/>
  <c r="J5091"/>
  <c r="J5099"/>
  <c r="J5100"/>
  <c r="N5107"/>
  <c r="O5107" s="1"/>
  <c r="N5108"/>
  <c r="O5108" s="1"/>
  <c r="J5132"/>
  <c r="J5096"/>
  <c r="J5104"/>
  <c r="J5107"/>
  <c r="J5108"/>
  <c r="M5116"/>
  <c r="M5132" s="1"/>
  <c r="N5116"/>
  <c r="O5116" s="1"/>
  <c r="O5132" s="1"/>
  <c r="N5105"/>
  <c r="O5105" s="1"/>
  <c r="J5106"/>
  <c r="N5097"/>
  <c r="O5097" s="1"/>
  <c r="J5098"/>
  <c r="M5075"/>
  <c r="M5091" s="1"/>
  <c r="N5075"/>
  <c r="O5075" s="1"/>
  <c r="O5091" s="1"/>
  <c r="N5132" l="1"/>
  <c r="N5091"/>
  <c r="S5070" l="1"/>
  <c r="N5069"/>
  <c r="O5069" s="1"/>
  <c r="M5069"/>
  <c r="J5069"/>
  <c r="N5068"/>
  <c r="O5068" s="1"/>
  <c r="M5068"/>
  <c r="J5068"/>
  <c r="N5067"/>
  <c r="O5067" s="1"/>
  <c r="M5067"/>
  <c r="J5067"/>
  <c r="N5066"/>
  <c r="O5066" s="1"/>
  <c r="M5066"/>
  <c r="J5066"/>
  <c r="N5065"/>
  <c r="O5065" s="1"/>
  <c r="M5065"/>
  <c r="J5065"/>
  <c r="N5064"/>
  <c r="O5064" s="1"/>
  <c r="M5064"/>
  <c r="J5064"/>
  <c r="N5063"/>
  <c r="O5063" s="1"/>
  <c r="M5063"/>
  <c r="J5063"/>
  <c r="M5062"/>
  <c r="I5062"/>
  <c r="I5070" s="1"/>
  <c r="L5061"/>
  <c r="N5061" s="1"/>
  <c r="J5061"/>
  <c r="Q5059"/>
  <c r="I5059"/>
  <c r="L5058"/>
  <c r="M5058" s="1"/>
  <c r="J5058"/>
  <c r="N5057"/>
  <c r="O5057" s="1"/>
  <c r="M5057"/>
  <c r="J5057"/>
  <c r="N5056"/>
  <c r="O5056" s="1"/>
  <c r="M5056"/>
  <c r="J5056"/>
  <c r="N5055"/>
  <c r="O5055" s="1"/>
  <c r="M5055"/>
  <c r="J5055"/>
  <c r="N5054"/>
  <c r="O5054" s="1"/>
  <c r="M5054"/>
  <c r="J5054"/>
  <c r="N5053"/>
  <c r="O5053" s="1"/>
  <c r="M5053"/>
  <c r="J5053"/>
  <c r="N5052"/>
  <c r="O5052" s="1"/>
  <c r="M5052"/>
  <c r="J5052"/>
  <c r="N5051"/>
  <c r="O5051" s="1"/>
  <c r="M5051"/>
  <c r="J5051"/>
  <c r="N5050"/>
  <c r="O5050" s="1"/>
  <c r="M5050"/>
  <c r="J5050"/>
  <c r="N5049"/>
  <c r="O5049" s="1"/>
  <c r="M5049"/>
  <c r="J5049"/>
  <c r="N5048"/>
  <c r="O5048" s="1"/>
  <c r="M5048"/>
  <c r="J5048"/>
  <c r="N5047"/>
  <c r="O5047" s="1"/>
  <c r="M5047"/>
  <c r="J5047"/>
  <c r="N5046"/>
  <c r="O5046" s="1"/>
  <c r="M5046"/>
  <c r="J5046"/>
  <c r="N5045"/>
  <c r="O5045" s="1"/>
  <c r="M5045"/>
  <c r="M5059" s="1"/>
  <c r="J5045"/>
  <c r="Q213" i="37"/>
  <c r="L212"/>
  <c r="R5043" i="36"/>
  <c r="M5043"/>
  <c r="M701" i="35"/>
  <c r="M695"/>
  <c r="S5032" i="36"/>
  <c r="I5032"/>
  <c r="N5031"/>
  <c r="O5031" s="1"/>
  <c r="M5031"/>
  <c r="J5031"/>
  <c r="N5030"/>
  <c r="O5030" s="1"/>
  <c r="M5030"/>
  <c r="J5030"/>
  <c r="N5029"/>
  <c r="O5029" s="1"/>
  <c r="M5029"/>
  <c r="J5029"/>
  <c r="N5028"/>
  <c r="O5028" s="1"/>
  <c r="M5028"/>
  <c r="J5028"/>
  <c r="N5027"/>
  <c r="O5027" s="1"/>
  <c r="M5027"/>
  <c r="J5027"/>
  <c r="N5026"/>
  <c r="O5026" s="1"/>
  <c r="M5026"/>
  <c r="J5026"/>
  <c r="N5025"/>
  <c r="O5025" s="1"/>
  <c r="M5025"/>
  <c r="J5025"/>
  <c r="N5024"/>
  <c r="O5024" s="1"/>
  <c r="M5024"/>
  <c r="J5024"/>
  <c r="N5023"/>
  <c r="O5023" s="1"/>
  <c r="M5023"/>
  <c r="J5023"/>
  <c r="L5022"/>
  <c r="N5022" s="1"/>
  <c r="O5022" s="1"/>
  <c r="J5022"/>
  <c r="N5021"/>
  <c r="O5021" s="1"/>
  <c r="M5021"/>
  <c r="J5021"/>
  <c r="L5020"/>
  <c r="N5020" s="1"/>
  <c r="O5020" s="1"/>
  <c r="J5020"/>
  <c r="N5019"/>
  <c r="O5019" s="1"/>
  <c r="M5019"/>
  <c r="J5019"/>
  <c r="N5018"/>
  <c r="O5018" s="1"/>
  <c r="M5018"/>
  <c r="J5018"/>
  <c r="N5017"/>
  <c r="O5017" s="1"/>
  <c r="M5017"/>
  <c r="J5017"/>
  <c r="M5016"/>
  <c r="N5016"/>
  <c r="O5016" s="1"/>
  <c r="J5016"/>
  <c r="L5015"/>
  <c r="N5015" s="1"/>
  <c r="O5015" s="1"/>
  <c r="J5015"/>
  <c r="L5014"/>
  <c r="N5014" s="1"/>
  <c r="O5014" s="1"/>
  <c r="J5014"/>
  <c r="L5013"/>
  <c r="N5013" s="1"/>
  <c r="O5013" s="1"/>
  <c r="J5013"/>
  <c r="M5012"/>
  <c r="L5012"/>
  <c r="J5012"/>
  <c r="J5032" s="1"/>
  <c r="S441" i="37"/>
  <c r="L429"/>
  <c r="S5009" i="36"/>
  <c r="I5009"/>
  <c r="N5008"/>
  <c r="O5008" s="1"/>
  <c r="M5008"/>
  <c r="J5008"/>
  <c r="N5007"/>
  <c r="O5007" s="1"/>
  <c r="M5007"/>
  <c r="J5007"/>
  <c r="N5006"/>
  <c r="O5006" s="1"/>
  <c r="M5006"/>
  <c r="J5006"/>
  <c r="L5005"/>
  <c r="L5009" s="1"/>
  <c r="J5005"/>
  <c r="O5004"/>
  <c r="N5004"/>
  <c r="M5004"/>
  <c r="J5004"/>
  <c r="L404" i="37"/>
  <c r="S5001" i="36"/>
  <c r="I5001"/>
  <c r="L5000"/>
  <c r="M5000" s="1"/>
  <c r="J5000"/>
  <c r="N4999"/>
  <c r="O4999" s="1"/>
  <c r="M4999"/>
  <c r="J4999"/>
  <c r="N4998"/>
  <c r="O4998" s="1"/>
  <c r="M4998"/>
  <c r="J4998"/>
  <c r="N4997"/>
  <c r="O4997" s="1"/>
  <c r="M4997"/>
  <c r="J4997"/>
  <c r="N4996"/>
  <c r="O4996" s="1"/>
  <c r="M4996"/>
  <c r="J4996"/>
  <c r="N4995"/>
  <c r="O4995" s="1"/>
  <c r="M4995"/>
  <c r="J4995"/>
  <c r="N4994"/>
  <c r="O4994" s="1"/>
  <c r="M4994"/>
  <c r="J4994"/>
  <c r="L4993"/>
  <c r="N4993" s="1"/>
  <c r="O4993" s="1"/>
  <c r="J4993"/>
  <c r="N4992"/>
  <c r="O4992" s="1"/>
  <c r="M4992"/>
  <c r="J4992"/>
  <c r="N4991"/>
  <c r="O4991" s="1"/>
  <c r="M4991"/>
  <c r="J4991"/>
  <c r="N4990"/>
  <c r="O4990" s="1"/>
  <c r="M4990"/>
  <c r="J4990"/>
  <c r="L4989"/>
  <c r="N4989" s="1"/>
  <c r="J4989"/>
  <c r="N4988"/>
  <c r="O4988" s="1"/>
  <c r="M4988"/>
  <c r="J4988"/>
  <c r="L279" i="37"/>
  <c r="L272"/>
  <c r="P4986" i="36"/>
  <c r="M4986"/>
  <c r="J5059" l="1"/>
  <c r="M4993"/>
  <c r="M5022"/>
  <c r="J5001"/>
  <c r="J5009"/>
  <c r="L5032"/>
  <c r="M5014"/>
  <c r="M5061"/>
  <c r="M5070" s="1"/>
  <c r="J5062"/>
  <c r="J5070" s="1"/>
  <c r="N5062"/>
  <c r="O5062" s="1"/>
  <c r="L5070"/>
  <c r="N5070"/>
  <c r="O5061"/>
  <c r="N5058"/>
  <c r="L5059"/>
  <c r="N5012"/>
  <c r="M5013"/>
  <c r="M5015"/>
  <c r="M5020"/>
  <c r="M5005"/>
  <c r="M5009" s="1"/>
  <c r="N5005"/>
  <c r="O4989"/>
  <c r="N5000"/>
  <c r="O5000" s="1"/>
  <c r="L5001"/>
  <c r="M4989"/>
  <c r="M5001" l="1"/>
  <c r="O5001"/>
  <c r="O5070"/>
  <c r="M5032"/>
  <c r="N5001"/>
  <c r="O5058"/>
  <c r="O5059" s="1"/>
  <c r="N5059"/>
  <c r="O5012"/>
  <c r="O5032" s="1"/>
  <c r="N5032"/>
  <c r="N5009"/>
  <c r="O5005"/>
  <c r="O5009" s="1"/>
  <c r="N4971" l="1"/>
  <c r="O4971" s="1"/>
  <c r="M4971"/>
  <c r="J4971"/>
  <c r="N4970"/>
  <c r="O4970" s="1"/>
  <c r="M4970"/>
  <c r="J4970"/>
  <c r="N4969"/>
  <c r="O4969" s="1"/>
  <c r="M4969"/>
  <c r="J4969"/>
  <c r="N4968"/>
  <c r="O4968" s="1"/>
  <c r="M4968"/>
  <c r="J4968"/>
  <c r="N4967"/>
  <c r="O4967" s="1"/>
  <c r="M4967"/>
  <c r="J4967"/>
  <c r="N4966"/>
  <c r="O4966" s="1"/>
  <c r="M4966"/>
  <c r="J4966"/>
  <c r="N4965"/>
  <c r="O4965" s="1"/>
  <c r="M4965"/>
  <c r="J4965"/>
  <c r="L4964"/>
  <c r="L4972" s="1"/>
  <c r="J4964"/>
  <c r="N4963"/>
  <c r="O4963" s="1"/>
  <c r="M4963"/>
  <c r="J4963"/>
  <c r="N4962"/>
  <c r="O4962" s="1"/>
  <c r="M4962"/>
  <c r="J4962"/>
  <c r="O4961"/>
  <c r="N4961"/>
  <c r="M4961"/>
  <c r="J4961"/>
  <c r="O4960"/>
  <c r="N4960"/>
  <c r="M4960"/>
  <c r="J4960"/>
  <c r="O4959"/>
  <c r="N4959"/>
  <c r="M4959"/>
  <c r="J4959"/>
  <c r="O4958"/>
  <c r="N4958"/>
  <c r="M4958"/>
  <c r="J4958"/>
  <c r="O4957"/>
  <c r="N4957"/>
  <c r="M4957"/>
  <c r="J4957"/>
  <c r="O4956"/>
  <c r="N4956"/>
  <c r="M4956"/>
  <c r="J4956"/>
  <c r="M4955"/>
  <c r="I4955"/>
  <c r="I4972" s="1"/>
  <c r="M4936"/>
  <c r="L4936"/>
  <c r="N4936" s="1"/>
  <c r="O4936" s="1"/>
  <c r="J4936"/>
  <c r="L4935"/>
  <c r="L4937" s="1"/>
  <c r="I4935"/>
  <c r="J4935" s="1"/>
  <c r="M4934"/>
  <c r="I4934"/>
  <c r="N4934" s="1"/>
  <c r="O4934" s="1"/>
  <c r="M4933"/>
  <c r="I4933"/>
  <c r="I4937" s="1"/>
  <c r="L90" i="40"/>
  <c r="P4931" i="36"/>
  <c r="M4931"/>
  <c r="P4899"/>
  <c r="M4899"/>
  <c r="Q4877"/>
  <c r="L4877"/>
  <c r="I4877"/>
  <c r="N4876"/>
  <c r="O4876" s="1"/>
  <c r="M4876"/>
  <c r="J4876"/>
  <c r="N4875"/>
  <c r="O4875" s="1"/>
  <c r="M4875"/>
  <c r="J4875"/>
  <c r="N4874"/>
  <c r="O4874" s="1"/>
  <c r="M4874"/>
  <c r="J4874"/>
  <c r="N4873"/>
  <c r="O4873" s="1"/>
  <c r="M4873"/>
  <c r="J4873"/>
  <c r="N4872"/>
  <c r="M4872"/>
  <c r="M4877" s="1"/>
  <c r="J4872"/>
  <c r="P4870"/>
  <c r="I4870"/>
  <c r="M4870"/>
  <c r="J4877" l="1"/>
  <c r="N4877"/>
  <c r="O4872"/>
  <c r="O4877" s="1"/>
  <c r="J4934"/>
  <c r="J4955"/>
  <c r="J4972" s="1"/>
  <c r="N4955"/>
  <c r="M4964"/>
  <c r="M4972" s="1"/>
  <c r="N4964"/>
  <c r="O4964" s="1"/>
  <c r="N4935"/>
  <c r="O4935" s="1"/>
  <c r="J4933"/>
  <c r="J4937" s="1"/>
  <c r="N4933"/>
  <c r="M4935"/>
  <c r="M4937" s="1"/>
  <c r="N4972" l="1"/>
  <c r="O4955"/>
  <c r="O4972" s="1"/>
  <c r="N4937"/>
  <c r="O4933"/>
  <c r="O4937" s="1"/>
  <c r="Q4855" l="1"/>
  <c r="N4854"/>
  <c r="O4854" s="1"/>
  <c r="M4854"/>
  <c r="J4854"/>
  <c r="N4853"/>
  <c r="O4853" s="1"/>
  <c r="M4853"/>
  <c r="J4853"/>
  <c r="N4852"/>
  <c r="O4852" s="1"/>
  <c r="M4852"/>
  <c r="J4852"/>
  <c r="N4851"/>
  <c r="O4851" s="1"/>
  <c r="M4851"/>
  <c r="J4851"/>
  <c r="N4850"/>
  <c r="O4850" s="1"/>
  <c r="M4850"/>
  <c r="J4850"/>
  <c r="N4849"/>
  <c r="O4849" s="1"/>
  <c r="M4849"/>
  <c r="J4849"/>
  <c r="N4848"/>
  <c r="O4848" s="1"/>
  <c r="M4848"/>
  <c r="J4848"/>
  <c r="N4847"/>
  <c r="O4847" s="1"/>
  <c r="M4847"/>
  <c r="J4847"/>
  <c r="N4846"/>
  <c r="O4846" s="1"/>
  <c r="M4846"/>
  <c r="J4846"/>
  <c r="M4845"/>
  <c r="I4845"/>
  <c r="N4845" s="1"/>
  <c r="O4845" s="1"/>
  <c r="L4844"/>
  <c r="L4855" s="1"/>
  <c r="I4844"/>
  <c r="M4843"/>
  <c r="I4843"/>
  <c r="I4855" s="1"/>
  <c r="L178" i="40"/>
  <c r="P4841" i="36"/>
  <c r="M4841"/>
  <c r="P4826"/>
  <c r="M4826"/>
  <c r="N4844" l="1"/>
  <c r="O4844" s="1"/>
  <c r="J4844"/>
  <c r="M4844"/>
  <c r="M4855" s="1"/>
  <c r="J4845"/>
  <c r="J4843"/>
  <c r="N4843"/>
  <c r="Q4806"/>
  <c r="Q4807" s="1"/>
  <c r="N4805"/>
  <c r="O4805" s="1"/>
  <c r="M4805"/>
  <c r="J4805"/>
  <c r="N4804"/>
  <c r="O4804" s="1"/>
  <c r="M4804"/>
  <c r="J4804"/>
  <c r="L4803"/>
  <c r="M4803" s="1"/>
  <c r="J4803"/>
  <c r="N4802"/>
  <c r="O4802" s="1"/>
  <c r="M4802"/>
  <c r="J4802"/>
  <c r="L4801"/>
  <c r="N4801" s="1"/>
  <c r="O4801" s="1"/>
  <c r="J4801"/>
  <c r="N4800"/>
  <c r="O4800" s="1"/>
  <c r="M4800"/>
  <c r="J4800"/>
  <c r="N4799"/>
  <c r="O4799" s="1"/>
  <c r="M4799"/>
  <c r="J4799"/>
  <c r="N4798"/>
  <c r="O4798" s="1"/>
  <c r="M4798"/>
  <c r="J4798"/>
  <c r="M4797"/>
  <c r="I4797"/>
  <c r="N4797" s="1"/>
  <c r="O4797" s="1"/>
  <c r="M4796"/>
  <c r="I4796"/>
  <c r="N4796" s="1"/>
  <c r="O4796" s="1"/>
  <c r="L4795"/>
  <c r="M4795" s="1"/>
  <c r="I4795"/>
  <c r="N4794"/>
  <c r="M4794"/>
  <c r="J4794"/>
  <c r="L148" i="40"/>
  <c r="L140"/>
  <c r="J4797" i="36" l="1"/>
  <c r="M4801"/>
  <c r="J4855"/>
  <c r="M4806"/>
  <c r="N4795"/>
  <c r="O4795" s="1"/>
  <c r="N4855"/>
  <c r="O4843"/>
  <c r="O4855" s="1"/>
  <c r="N4803"/>
  <c r="O4803" s="1"/>
  <c r="I4806"/>
  <c r="L4806"/>
  <c r="O4794"/>
  <c r="J4795"/>
  <c r="J4796"/>
  <c r="R4787"/>
  <c r="O4787"/>
  <c r="R4774"/>
  <c r="M4774"/>
  <c r="J4774"/>
  <c r="O4773"/>
  <c r="P4773" s="1"/>
  <c r="N4773"/>
  <c r="K4773"/>
  <c r="O4772"/>
  <c r="P4772" s="1"/>
  <c r="N4772"/>
  <c r="K4772"/>
  <c r="O4771"/>
  <c r="P4771" s="1"/>
  <c r="N4771"/>
  <c r="K4771"/>
  <c r="O4770"/>
  <c r="P4770" s="1"/>
  <c r="N4770"/>
  <c r="K4770"/>
  <c r="O4769"/>
  <c r="P4769" s="1"/>
  <c r="N4769"/>
  <c r="K4769"/>
  <c r="O4768"/>
  <c r="P4768" s="1"/>
  <c r="N4768"/>
  <c r="K4768"/>
  <c r="O4767"/>
  <c r="P4767" s="1"/>
  <c r="N4767"/>
  <c r="K4767"/>
  <c r="O4766"/>
  <c r="N4766"/>
  <c r="K4766"/>
  <c r="R4764"/>
  <c r="O4763"/>
  <c r="P4763" s="1"/>
  <c r="N4763"/>
  <c r="K4763"/>
  <c r="O4762"/>
  <c r="P4762" s="1"/>
  <c r="N4762"/>
  <c r="K4762"/>
  <c r="O4761"/>
  <c r="P4761" s="1"/>
  <c r="N4761"/>
  <c r="K4761"/>
  <c r="O4760"/>
  <c r="P4760" s="1"/>
  <c r="N4760"/>
  <c r="K4760"/>
  <c r="O4759"/>
  <c r="P4759" s="1"/>
  <c r="N4759"/>
  <c r="K4759"/>
  <c r="O4758"/>
  <c r="P4758" s="1"/>
  <c r="N4758"/>
  <c r="K4758"/>
  <c r="O4757"/>
  <c r="P4757" s="1"/>
  <c r="N4757"/>
  <c r="K4757"/>
  <c r="O4756"/>
  <c r="N4756"/>
  <c r="K4756"/>
  <c r="R4751"/>
  <c r="O4751"/>
  <c r="R4719"/>
  <c r="O4719"/>
  <c r="R4707"/>
  <c r="P4707"/>
  <c r="O4707"/>
  <c r="K4774" l="1"/>
  <c r="O4764"/>
  <c r="P4756"/>
  <c r="O4774"/>
  <c r="O4806"/>
  <c r="N4806"/>
  <c r="N4774"/>
  <c r="P4766"/>
  <c r="J4806"/>
  <c r="P4774"/>
  <c r="M172" i="39"/>
  <c r="M173"/>
  <c r="M171"/>
  <c r="M645" l="1"/>
  <c r="M666"/>
  <c r="J666"/>
  <c r="O665"/>
  <c r="P665" s="1"/>
  <c r="N665"/>
  <c r="K665"/>
  <c r="O664"/>
  <c r="P664" s="1"/>
  <c r="N664"/>
  <c r="K664"/>
  <c r="O663"/>
  <c r="P663" s="1"/>
  <c r="N663"/>
  <c r="K663"/>
  <c r="O662"/>
  <c r="P662" s="1"/>
  <c r="N662"/>
  <c r="K662"/>
  <c r="O661"/>
  <c r="P661" s="1"/>
  <c r="N661"/>
  <c r="K661"/>
  <c r="O660"/>
  <c r="P660" s="1"/>
  <c r="N660"/>
  <c r="K660"/>
  <c r="O659"/>
  <c r="P659" s="1"/>
  <c r="N659"/>
  <c r="K659"/>
  <c r="O658"/>
  <c r="P658" s="1"/>
  <c r="N658"/>
  <c r="K658"/>
  <c r="O657"/>
  <c r="P657" s="1"/>
  <c r="N657"/>
  <c r="K657"/>
  <c r="O656"/>
  <c r="P656" s="1"/>
  <c r="N656"/>
  <c r="K656"/>
  <c r="O655"/>
  <c r="P655" s="1"/>
  <c r="N655"/>
  <c r="K655"/>
  <c r="O654"/>
  <c r="P654" s="1"/>
  <c r="N654"/>
  <c r="K654"/>
  <c r="O653"/>
  <c r="P653" s="1"/>
  <c r="N653"/>
  <c r="K653"/>
  <c r="O652"/>
  <c r="P652" s="1"/>
  <c r="N652"/>
  <c r="K652"/>
  <c r="O651"/>
  <c r="P651" s="1"/>
  <c r="N651"/>
  <c r="K651"/>
  <c r="O650"/>
  <c r="P650" s="1"/>
  <c r="N650"/>
  <c r="K650"/>
  <c r="O649"/>
  <c r="P649" s="1"/>
  <c r="N649"/>
  <c r="K649"/>
  <c r="O648"/>
  <c r="P648" s="1"/>
  <c r="N648"/>
  <c r="K648"/>
  <c r="O647"/>
  <c r="P647" s="1"/>
  <c r="N647"/>
  <c r="K647"/>
  <c r="O646"/>
  <c r="P646" s="1"/>
  <c r="N646"/>
  <c r="K646"/>
  <c r="O645"/>
  <c r="P645" s="1"/>
  <c r="N645"/>
  <c r="K645"/>
  <c r="O644"/>
  <c r="P644" s="1"/>
  <c r="N644"/>
  <c r="K644"/>
  <c r="O643"/>
  <c r="P643" s="1"/>
  <c r="N643"/>
  <c r="K643"/>
  <c r="O642"/>
  <c r="P642" s="1"/>
  <c r="N642"/>
  <c r="K642"/>
  <c r="O641"/>
  <c r="P641" s="1"/>
  <c r="N641"/>
  <c r="K641"/>
  <c r="O640"/>
  <c r="P640" s="1"/>
  <c r="N640"/>
  <c r="K640"/>
  <c r="O639"/>
  <c r="P639" s="1"/>
  <c r="N639"/>
  <c r="K639"/>
  <c r="O638"/>
  <c r="P638" s="1"/>
  <c r="N638"/>
  <c r="K638"/>
  <c r="O637"/>
  <c r="P637" s="1"/>
  <c r="N637"/>
  <c r="K637"/>
  <c r="O636"/>
  <c r="P636" s="1"/>
  <c r="N636"/>
  <c r="K636"/>
  <c r="O635"/>
  <c r="P635" s="1"/>
  <c r="N635"/>
  <c r="K635"/>
  <c r="O634"/>
  <c r="P634" s="1"/>
  <c r="N634"/>
  <c r="K634"/>
  <c r="O633"/>
  <c r="P633" s="1"/>
  <c r="N633"/>
  <c r="K633"/>
  <c r="O632"/>
  <c r="P632" s="1"/>
  <c r="N632"/>
  <c r="K632"/>
  <c r="O631"/>
  <c r="P631" s="1"/>
  <c r="N631"/>
  <c r="K631"/>
  <c r="O630"/>
  <c r="P630" s="1"/>
  <c r="N630"/>
  <c r="K630"/>
  <c r="O629"/>
  <c r="P629" s="1"/>
  <c r="N629"/>
  <c r="K629"/>
  <c r="O628"/>
  <c r="P628" s="1"/>
  <c r="N628"/>
  <c r="K628"/>
  <c r="I428" i="42"/>
  <c r="N427"/>
  <c r="O427" s="1"/>
  <c r="M427"/>
  <c r="J427"/>
  <c r="L436"/>
  <c r="L445"/>
  <c r="I445"/>
  <c r="N444"/>
  <c r="O444" s="1"/>
  <c r="M444"/>
  <c r="J444"/>
  <c r="N443"/>
  <c r="O443" s="1"/>
  <c r="M443"/>
  <c r="J443"/>
  <c r="N442"/>
  <c r="O442" s="1"/>
  <c r="M442"/>
  <c r="J442"/>
  <c r="N441"/>
  <c r="O441" s="1"/>
  <c r="M441"/>
  <c r="J441"/>
  <c r="N440"/>
  <c r="O440" s="1"/>
  <c r="M440"/>
  <c r="J440"/>
  <c r="N439"/>
  <c r="O439" s="1"/>
  <c r="M439"/>
  <c r="J439"/>
  <c r="O445" i="50"/>
  <c r="N445"/>
  <c r="M445"/>
  <c r="L445"/>
  <c r="J445"/>
  <c r="I445"/>
  <c r="N444"/>
  <c r="O444" s="1"/>
  <c r="M444"/>
  <c r="J444"/>
  <c r="N443"/>
  <c r="O443" s="1"/>
  <c r="M443"/>
  <c r="J443"/>
  <c r="K666" i="39" l="1"/>
  <c r="P666"/>
  <c r="N666"/>
  <c r="O666"/>
  <c r="M604" l="1"/>
  <c r="M517"/>
  <c r="M607"/>
  <c r="M625"/>
  <c r="J625"/>
  <c r="O624"/>
  <c r="P624" s="1"/>
  <c r="N624"/>
  <c r="K624"/>
  <c r="O623"/>
  <c r="P623" s="1"/>
  <c r="N623"/>
  <c r="K623"/>
  <c r="O622"/>
  <c r="P622" s="1"/>
  <c r="N622"/>
  <c r="K622"/>
  <c r="O621"/>
  <c r="P621" s="1"/>
  <c r="N621"/>
  <c r="K621"/>
  <c r="O620"/>
  <c r="P620" s="1"/>
  <c r="N620"/>
  <c r="K620"/>
  <c r="O619"/>
  <c r="P619" s="1"/>
  <c r="N619"/>
  <c r="K619"/>
  <c r="O618"/>
  <c r="P618" s="1"/>
  <c r="N618"/>
  <c r="K618"/>
  <c r="O617"/>
  <c r="P617" s="1"/>
  <c r="N617"/>
  <c r="K617"/>
  <c r="O616"/>
  <c r="P616" s="1"/>
  <c r="N616"/>
  <c r="K616"/>
  <c r="O615"/>
  <c r="P615" s="1"/>
  <c r="N615"/>
  <c r="K615"/>
  <c r="O614"/>
  <c r="P614" s="1"/>
  <c r="N614"/>
  <c r="K614"/>
  <c r="O613"/>
  <c r="P613" s="1"/>
  <c r="N613"/>
  <c r="K613"/>
  <c r="O612"/>
  <c r="P612" s="1"/>
  <c r="N612"/>
  <c r="K612"/>
  <c r="O611"/>
  <c r="P611" s="1"/>
  <c r="N611"/>
  <c r="K611"/>
  <c r="O610"/>
  <c r="P610" s="1"/>
  <c r="N610"/>
  <c r="K610"/>
  <c r="O609"/>
  <c r="P609" s="1"/>
  <c r="N609"/>
  <c r="K609"/>
  <c r="O608"/>
  <c r="P608" s="1"/>
  <c r="N608"/>
  <c r="K608"/>
  <c r="O607"/>
  <c r="P607" s="1"/>
  <c r="N607"/>
  <c r="K607"/>
  <c r="O606"/>
  <c r="P606" s="1"/>
  <c r="N606"/>
  <c r="K606"/>
  <c r="O605"/>
  <c r="P605" s="1"/>
  <c r="N605"/>
  <c r="K605"/>
  <c r="O604"/>
  <c r="P604" s="1"/>
  <c r="N604"/>
  <c r="K604"/>
  <c r="O603"/>
  <c r="P603" s="1"/>
  <c r="N603"/>
  <c r="K603"/>
  <c r="O602"/>
  <c r="P602" s="1"/>
  <c r="N602"/>
  <c r="K602"/>
  <c r="O601"/>
  <c r="P601" s="1"/>
  <c r="N601"/>
  <c r="K601"/>
  <c r="O600"/>
  <c r="P600" s="1"/>
  <c r="N600"/>
  <c r="K600"/>
  <c r="O599"/>
  <c r="P599" s="1"/>
  <c r="N599"/>
  <c r="K599"/>
  <c r="O598"/>
  <c r="P598" s="1"/>
  <c r="N598"/>
  <c r="K598"/>
  <c r="O597"/>
  <c r="P597" s="1"/>
  <c r="N597"/>
  <c r="K597"/>
  <c r="O596"/>
  <c r="P596" s="1"/>
  <c r="N596"/>
  <c r="K596"/>
  <c r="O595"/>
  <c r="P595" s="1"/>
  <c r="N595"/>
  <c r="K595"/>
  <c r="O594"/>
  <c r="P594" s="1"/>
  <c r="N594"/>
  <c r="K594"/>
  <c r="O593"/>
  <c r="P593" s="1"/>
  <c r="N593"/>
  <c r="K593"/>
  <c r="O592"/>
  <c r="P592" s="1"/>
  <c r="N592"/>
  <c r="K592"/>
  <c r="O591"/>
  <c r="P591" s="1"/>
  <c r="N591"/>
  <c r="K591"/>
  <c r="O590"/>
  <c r="P590" s="1"/>
  <c r="N590"/>
  <c r="K590"/>
  <c r="O589"/>
  <c r="P589" s="1"/>
  <c r="N589"/>
  <c r="K589"/>
  <c r="O588"/>
  <c r="P588" s="1"/>
  <c r="N588"/>
  <c r="K588"/>
  <c r="O587"/>
  <c r="P587" s="1"/>
  <c r="N587"/>
  <c r="K587"/>
  <c r="O586"/>
  <c r="P586" s="1"/>
  <c r="N586"/>
  <c r="K586"/>
  <c r="M557"/>
  <c r="K625" l="1"/>
  <c r="N625"/>
  <c r="P625"/>
  <c r="O625"/>
  <c r="M584"/>
  <c r="J584"/>
  <c r="O583"/>
  <c r="P583" s="1"/>
  <c r="N583"/>
  <c r="K583"/>
  <c r="O582"/>
  <c r="P582" s="1"/>
  <c r="N582"/>
  <c r="K582"/>
  <c r="O581"/>
  <c r="P581" s="1"/>
  <c r="N581"/>
  <c r="K581"/>
  <c r="O580"/>
  <c r="P580" s="1"/>
  <c r="N580"/>
  <c r="K580"/>
  <c r="O579"/>
  <c r="P579" s="1"/>
  <c r="N579"/>
  <c r="K579"/>
  <c r="O578"/>
  <c r="P578" s="1"/>
  <c r="N578"/>
  <c r="K578"/>
  <c r="O577"/>
  <c r="P577" s="1"/>
  <c r="N577"/>
  <c r="K577"/>
  <c r="O576"/>
  <c r="P576" s="1"/>
  <c r="N576"/>
  <c r="K576"/>
  <c r="O575"/>
  <c r="P575" s="1"/>
  <c r="N575"/>
  <c r="K575"/>
  <c r="O574"/>
  <c r="P574" s="1"/>
  <c r="N574"/>
  <c r="K574"/>
  <c r="O573"/>
  <c r="P573" s="1"/>
  <c r="N573"/>
  <c r="K573"/>
  <c r="O572"/>
  <c r="P572" s="1"/>
  <c r="N572"/>
  <c r="K572"/>
  <c r="O571"/>
  <c r="P571" s="1"/>
  <c r="N571"/>
  <c r="K571"/>
  <c r="O570"/>
  <c r="P570" s="1"/>
  <c r="N570"/>
  <c r="K570"/>
  <c r="O569"/>
  <c r="P569" s="1"/>
  <c r="N569"/>
  <c r="K569"/>
  <c r="O568"/>
  <c r="P568" s="1"/>
  <c r="N568"/>
  <c r="K568"/>
  <c r="O567"/>
  <c r="P567" s="1"/>
  <c r="N567"/>
  <c r="K567"/>
  <c r="O566"/>
  <c r="P566" s="1"/>
  <c r="N566"/>
  <c r="K566"/>
  <c r="O565"/>
  <c r="P565" s="1"/>
  <c r="N565"/>
  <c r="K565"/>
  <c r="O564"/>
  <c r="P564" s="1"/>
  <c r="N564"/>
  <c r="K564"/>
  <c r="O563"/>
  <c r="P563" s="1"/>
  <c r="N563"/>
  <c r="K563"/>
  <c r="O562"/>
  <c r="P562" s="1"/>
  <c r="N562"/>
  <c r="K562"/>
  <c r="O561"/>
  <c r="P561" s="1"/>
  <c r="N561"/>
  <c r="K561"/>
  <c r="O560"/>
  <c r="P560" s="1"/>
  <c r="N560"/>
  <c r="K560"/>
  <c r="O559"/>
  <c r="P559" s="1"/>
  <c r="N559"/>
  <c r="K559"/>
  <c r="O558"/>
  <c r="P558" s="1"/>
  <c r="N558"/>
  <c r="K558"/>
  <c r="O557"/>
  <c r="P557" s="1"/>
  <c r="N557"/>
  <c r="K557"/>
  <c r="O556"/>
  <c r="P556" s="1"/>
  <c r="N556"/>
  <c r="K556"/>
  <c r="O555"/>
  <c r="P555" s="1"/>
  <c r="N555"/>
  <c r="K555"/>
  <c r="O554"/>
  <c r="P554" s="1"/>
  <c r="N554"/>
  <c r="K554"/>
  <c r="O553"/>
  <c r="P553" s="1"/>
  <c r="N553"/>
  <c r="K553"/>
  <c r="O552"/>
  <c r="P552" s="1"/>
  <c r="N552"/>
  <c r="K552"/>
  <c r="O551"/>
  <c r="P551" s="1"/>
  <c r="N551"/>
  <c r="K551"/>
  <c r="O550"/>
  <c r="P550" s="1"/>
  <c r="N550"/>
  <c r="K550"/>
  <c r="O549"/>
  <c r="P549" s="1"/>
  <c r="N549"/>
  <c r="K549"/>
  <c r="O548"/>
  <c r="P548" s="1"/>
  <c r="N548"/>
  <c r="K548"/>
  <c r="O547"/>
  <c r="P547" s="1"/>
  <c r="N547"/>
  <c r="K547"/>
  <c r="O546"/>
  <c r="P546" s="1"/>
  <c r="N546"/>
  <c r="K546"/>
  <c r="O545"/>
  <c r="P545" s="1"/>
  <c r="N545"/>
  <c r="K545"/>
  <c r="O544"/>
  <c r="P544" s="1"/>
  <c r="N544"/>
  <c r="K544"/>
  <c r="O543"/>
  <c r="P543" s="1"/>
  <c r="N543"/>
  <c r="K543"/>
  <c r="O542"/>
  <c r="P542" s="1"/>
  <c r="N542"/>
  <c r="K542"/>
  <c r="O541"/>
  <c r="P541" s="1"/>
  <c r="N541"/>
  <c r="K541"/>
  <c r="O540"/>
  <c r="P540" s="1"/>
  <c r="N540"/>
  <c r="K540"/>
  <c r="O539"/>
  <c r="P539" s="1"/>
  <c r="N539"/>
  <c r="K539"/>
  <c r="O538"/>
  <c r="P538" s="1"/>
  <c r="N538"/>
  <c r="K538"/>
  <c r="O537"/>
  <c r="P537" s="1"/>
  <c r="N537"/>
  <c r="K537"/>
  <c r="O536"/>
  <c r="P536" s="1"/>
  <c r="N536"/>
  <c r="K536"/>
  <c r="O535"/>
  <c r="P535" s="1"/>
  <c r="N535"/>
  <c r="K535"/>
  <c r="O534"/>
  <c r="P534" s="1"/>
  <c r="N534"/>
  <c r="K534"/>
  <c r="O533"/>
  <c r="P533" s="1"/>
  <c r="N533"/>
  <c r="K533"/>
  <c r="O532"/>
  <c r="P532" s="1"/>
  <c r="N532"/>
  <c r="K532"/>
  <c r="O531"/>
  <c r="P531" s="1"/>
  <c r="N531"/>
  <c r="K531"/>
  <c r="O530"/>
  <c r="P530" s="1"/>
  <c r="N530"/>
  <c r="K530"/>
  <c r="O529"/>
  <c r="P529" s="1"/>
  <c r="N529"/>
  <c r="K529"/>
  <c r="O528"/>
  <c r="P528" s="1"/>
  <c r="N528"/>
  <c r="K528"/>
  <c r="K527"/>
  <c r="O527"/>
  <c r="P527" s="1"/>
  <c r="N527"/>
  <c r="O526"/>
  <c r="P526" s="1"/>
  <c r="N526"/>
  <c r="K526"/>
  <c r="O525"/>
  <c r="P525" s="1"/>
  <c r="N525"/>
  <c r="K525"/>
  <c r="O524"/>
  <c r="P524" s="1"/>
  <c r="N524"/>
  <c r="K524"/>
  <c r="O523"/>
  <c r="P523" s="1"/>
  <c r="N523"/>
  <c r="K523"/>
  <c r="O522"/>
  <c r="P522" s="1"/>
  <c r="N522"/>
  <c r="K522"/>
  <c r="O521"/>
  <c r="P521" s="1"/>
  <c r="N521"/>
  <c r="K521"/>
  <c r="O520"/>
  <c r="P520" s="1"/>
  <c r="N520"/>
  <c r="K520"/>
  <c r="O519"/>
  <c r="P519" s="1"/>
  <c r="N519"/>
  <c r="K519"/>
  <c r="O518"/>
  <c r="P518" s="1"/>
  <c r="N518"/>
  <c r="K518"/>
  <c r="O517"/>
  <c r="P517" s="1"/>
  <c r="N517"/>
  <c r="K517"/>
  <c r="O516"/>
  <c r="P516" s="1"/>
  <c r="N516"/>
  <c r="K516"/>
  <c r="O515"/>
  <c r="P515" s="1"/>
  <c r="N515"/>
  <c r="K515"/>
  <c r="O514"/>
  <c r="P514" s="1"/>
  <c r="N514"/>
  <c r="K514"/>
  <c r="O513"/>
  <c r="P513" s="1"/>
  <c r="N513"/>
  <c r="K513"/>
  <c r="O512"/>
  <c r="P512" s="1"/>
  <c r="N512"/>
  <c r="K512"/>
  <c r="O511"/>
  <c r="P511" s="1"/>
  <c r="N511"/>
  <c r="K511"/>
  <c r="O510"/>
  <c r="P510" s="1"/>
  <c r="N510"/>
  <c r="K510"/>
  <c r="O509"/>
  <c r="P509" s="1"/>
  <c r="N509"/>
  <c r="K509"/>
  <c r="O508"/>
  <c r="P508" s="1"/>
  <c r="N508"/>
  <c r="K508"/>
  <c r="O507"/>
  <c r="P507" s="1"/>
  <c r="N507"/>
  <c r="K507"/>
  <c r="O506"/>
  <c r="P506" s="1"/>
  <c r="N506"/>
  <c r="K506"/>
  <c r="P584" l="1"/>
  <c r="N584"/>
  <c r="K584"/>
  <c r="O584"/>
  <c r="L546" i="42" l="1"/>
  <c r="I546"/>
  <c r="N545"/>
  <c r="O545" s="1"/>
  <c r="M545"/>
  <c r="J545"/>
  <c r="N544"/>
  <c r="O544" s="1"/>
  <c r="M544"/>
  <c r="J544"/>
  <c r="N543"/>
  <c r="O543" s="1"/>
  <c r="M543"/>
  <c r="J543"/>
  <c r="N542"/>
  <c r="O542" s="1"/>
  <c r="M542"/>
  <c r="J542"/>
  <c r="N541"/>
  <c r="O541" s="1"/>
  <c r="M541"/>
  <c r="J541"/>
  <c r="N540"/>
  <c r="O540" s="1"/>
  <c r="M540"/>
  <c r="J540"/>
  <c r="N539"/>
  <c r="O539" s="1"/>
  <c r="M539"/>
  <c r="J539"/>
  <c r="N538"/>
  <c r="O538" s="1"/>
  <c r="J538"/>
  <c r="J546" s="1"/>
  <c r="L520"/>
  <c r="L521"/>
  <c r="M521" s="1"/>
  <c r="L526"/>
  <c r="N526" s="1"/>
  <c r="O526" s="1"/>
  <c r="L515"/>
  <c r="L536" s="1"/>
  <c r="I536"/>
  <c r="N535"/>
  <c r="O535" s="1"/>
  <c r="M535"/>
  <c r="J535"/>
  <c r="N534"/>
  <c r="O534" s="1"/>
  <c r="M534"/>
  <c r="J534"/>
  <c r="N533"/>
  <c r="O533" s="1"/>
  <c r="M533"/>
  <c r="J533"/>
  <c r="N532"/>
  <c r="O532" s="1"/>
  <c r="M532"/>
  <c r="J532"/>
  <c r="N531"/>
  <c r="O531" s="1"/>
  <c r="M531"/>
  <c r="J531"/>
  <c r="N530"/>
  <c r="O530" s="1"/>
  <c r="M530"/>
  <c r="J530"/>
  <c r="N529"/>
  <c r="O529" s="1"/>
  <c r="M529"/>
  <c r="J529"/>
  <c r="N528"/>
  <c r="O528" s="1"/>
  <c r="M528"/>
  <c r="J528"/>
  <c r="N527"/>
  <c r="O527" s="1"/>
  <c r="M527"/>
  <c r="J527"/>
  <c r="M526"/>
  <c r="J526"/>
  <c r="N525"/>
  <c r="O525" s="1"/>
  <c r="M525"/>
  <c r="J525"/>
  <c r="N524"/>
  <c r="O524" s="1"/>
  <c r="M524"/>
  <c r="J524"/>
  <c r="N523"/>
  <c r="O523" s="1"/>
  <c r="M523"/>
  <c r="J523"/>
  <c r="N522"/>
  <c r="O522" s="1"/>
  <c r="M522"/>
  <c r="J522"/>
  <c r="N521"/>
  <c r="O521" s="1"/>
  <c r="J521"/>
  <c r="N520"/>
  <c r="O520" s="1"/>
  <c r="M520"/>
  <c r="J520"/>
  <c r="N519"/>
  <c r="O519" s="1"/>
  <c r="M519"/>
  <c r="J519"/>
  <c r="N518"/>
  <c r="O518" s="1"/>
  <c r="M518"/>
  <c r="J518"/>
  <c r="N517"/>
  <c r="O517" s="1"/>
  <c r="M517"/>
  <c r="J517"/>
  <c r="N516"/>
  <c r="O516" s="1"/>
  <c r="M516"/>
  <c r="J516"/>
  <c r="M515"/>
  <c r="J515"/>
  <c r="N514"/>
  <c r="O514" s="1"/>
  <c r="M514"/>
  <c r="J514"/>
  <c r="N513"/>
  <c r="O513" s="1"/>
  <c r="M513"/>
  <c r="J513"/>
  <c r="N512"/>
  <c r="O512" s="1"/>
  <c r="M512"/>
  <c r="J512"/>
  <c r="N511"/>
  <c r="O511" s="1"/>
  <c r="M511"/>
  <c r="J511"/>
  <c r="N510"/>
  <c r="O510" s="1"/>
  <c r="M510"/>
  <c r="J510"/>
  <c r="N509"/>
  <c r="O509" s="1"/>
  <c r="M509"/>
  <c r="J509"/>
  <c r="N508"/>
  <c r="O508" s="1"/>
  <c r="M508"/>
  <c r="J508"/>
  <c r="N507"/>
  <c r="O507" s="1"/>
  <c r="M507"/>
  <c r="J507"/>
  <c r="N506"/>
  <c r="O506" s="1"/>
  <c r="M506"/>
  <c r="J506"/>
  <c r="N505"/>
  <c r="O505" s="1"/>
  <c r="M505"/>
  <c r="J505"/>
  <c r="N504"/>
  <c r="O504" s="1"/>
  <c r="M504"/>
  <c r="J504"/>
  <c r="N503"/>
  <c r="O503" s="1"/>
  <c r="M503"/>
  <c r="J503"/>
  <c r="N502"/>
  <c r="O502" s="1"/>
  <c r="M502"/>
  <c r="J502"/>
  <c r="N501"/>
  <c r="O501" s="1"/>
  <c r="M501"/>
  <c r="J501"/>
  <c r="N500"/>
  <c r="O500" s="1"/>
  <c r="M500"/>
  <c r="J500"/>
  <c r="N499"/>
  <c r="O499" s="1"/>
  <c r="M499"/>
  <c r="J499"/>
  <c r="N498"/>
  <c r="O498" s="1"/>
  <c r="M498"/>
  <c r="J498"/>
  <c r="N497"/>
  <c r="O497" s="1"/>
  <c r="M497"/>
  <c r="J497"/>
  <c r="N494"/>
  <c r="O494" s="1"/>
  <c r="L495"/>
  <c r="I495"/>
  <c r="M494"/>
  <c r="J494"/>
  <c r="N493"/>
  <c r="O493" s="1"/>
  <c r="M493"/>
  <c r="J493"/>
  <c r="N492"/>
  <c r="O492" s="1"/>
  <c r="M492"/>
  <c r="J492"/>
  <c r="N491"/>
  <c r="O491" s="1"/>
  <c r="M491"/>
  <c r="J491"/>
  <c r="N490"/>
  <c r="O490" s="1"/>
  <c r="M490"/>
  <c r="J490"/>
  <c r="N489"/>
  <c r="O489" s="1"/>
  <c r="M489"/>
  <c r="J489"/>
  <c r="N488"/>
  <c r="O488" s="1"/>
  <c r="M488"/>
  <c r="J488"/>
  <c r="N487"/>
  <c r="O487" s="1"/>
  <c r="M487"/>
  <c r="J487"/>
  <c r="N486"/>
  <c r="O486" s="1"/>
  <c r="M486"/>
  <c r="J486"/>
  <c r="N485"/>
  <c r="O485" s="1"/>
  <c r="M485"/>
  <c r="J485"/>
  <c r="N484"/>
  <c r="O484" s="1"/>
  <c r="M484"/>
  <c r="J484"/>
  <c r="N483"/>
  <c r="O483" s="1"/>
  <c r="M483"/>
  <c r="J483"/>
  <c r="N482"/>
  <c r="O482" s="1"/>
  <c r="M482"/>
  <c r="J482"/>
  <c r="N481"/>
  <c r="O481" s="1"/>
  <c r="M481"/>
  <c r="J481"/>
  <c r="N480"/>
  <c r="O480" s="1"/>
  <c r="M480"/>
  <c r="J480"/>
  <c r="N479"/>
  <c r="O479" s="1"/>
  <c r="M479"/>
  <c r="J479"/>
  <c r="N478"/>
  <c r="O478" s="1"/>
  <c r="M478"/>
  <c r="J478"/>
  <c r="N477"/>
  <c r="O477" s="1"/>
  <c r="M477"/>
  <c r="J477"/>
  <c r="N476"/>
  <c r="O476" s="1"/>
  <c r="M476"/>
  <c r="J476"/>
  <c r="N475"/>
  <c r="O475" s="1"/>
  <c r="M475"/>
  <c r="J475"/>
  <c r="N474"/>
  <c r="O474" s="1"/>
  <c r="M474"/>
  <c r="J474"/>
  <c r="N473"/>
  <c r="O473" s="1"/>
  <c r="M473"/>
  <c r="J473"/>
  <c r="N472"/>
  <c r="O472" s="1"/>
  <c r="M472"/>
  <c r="J472"/>
  <c r="N471"/>
  <c r="O471" s="1"/>
  <c r="M471"/>
  <c r="J471"/>
  <c r="N470"/>
  <c r="O470" s="1"/>
  <c r="M470"/>
  <c r="J470"/>
  <c r="N469"/>
  <c r="O469" s="1"/>
  <c r="M469"/>
  <c r="J469"/>
  <c r="N468"/>
  <c r="O468" s="1"/>
  <c r="M468"/>
  <c r="J468"/>
  <c r="N467"/>
  <c r="O467" s="1"/>
  <c r="M467"/>
  <c r="J467"/>
  <c r="N466"/>
  <c r="O466" s="1"/>
  <c r="M466"/>
  <c r="J466"/>
  <c r="N465"/>
  <c r="O465" s="1"/>
  <c r="M465"/>
  <c r="J465"/>
  <c r="N464"/>
  <c r="O464" s="1"/>
  <c r="M464"/>
  <c r="J464"/>
  <c r="N463"/>
  <c r="O463" s="1"/>
  <c r="M463"/>
  <c r="J463"/>
  <c r="N462"/>
  <c r="O462" s="1"/>
  <c r="M462"/>
  <c r="J462"/>
  <c r="N461"/>
  <c r="O461" s="1"/>
  <c r="M461"/>
  <c r="J461"/>
  <c r="N460"/>
  <c r="O460" s="1"/>
  <c r="M460"/>
  <c r="J460"/>
  <c r="N459"/>
  <c r="O459" s="1"/>
  <c r="M459"/>
  <c r="J459"/>
  <c r="N458"/>
  <c r="O458" s="1"/>
  <c r="M458"/>
  <c r="J458"/>
  <c r="N457"/>
  <c r="O457" s="1"/>
  <c r="M457"/>
  <c r="J457"/>
  <c r="N456"/>
  <c r="O456" s="1"/>
  <c r="M456"/>
  <c r="J456"/>
  <c r="N455"/>
  <c r="O455" s="1"/>
  <c r="M455"/>
  <c r="J455"/>
  <c r="N454"/>
  <c r="O454" s="1"/>
  <c r="M454"/>
  <c r="J454"/>
  <c r="N453"/>
  <c r="O453" s="1"/>
  <c r="M453"/>
  <c r="J453"/>
  <c r="N452"/>
  <c r="O452" s="1"/>
  <c r="M452"/>
  <c r="J452"/>
  <c r="N451"/>
  <c r="O451" s="1"/>
  <c r="M451"/>
  <c r="J451"/>
  <c r="N450"/>
  <c r="O450" s="1"/>
  <c r="M450"/>
  <c r="J450"/>
  <c r="N449"/>
  <c r="O449" s="1"/>
  <c r="M449"/>
  <c r="J449"/>
  <c r="N448"/>
  <c r="O448" s="1"/>
  <c r="M448"/>
  <c r="J448"/>
  <c r="N447"/>
  <c r="O447" s="1"/>
  <c r="M447"/>
  <c r="J447"/>
  <c r="N438"/>
  <c r="O438" s="1"/>
  <c r="M438"/>
  <c r="J438"/>
  <c r="N437"/>
  <c r="O437" s="1"/>
  <c r="M437"/>
  <c r="J437"/>
  <c r="N436"/>
  <c r="J436"/>
  <c r="N435"/>
  <c r="O435" s="1"/>
  <c r="M435"/>
  <c r="J435"/>
  <c r="N434"/>
  <c r="O434" s="1"/>
  <c r="M434"/>
  <c r="J434"/>
  <c r="N433"/>
  <c r="O433" s="1"/>
  <c r="M433"/>
  <c r="J433"/>
  <c r="N432"/>
  <c r="O432" s="1"/>
  <c r="M432"/>
  <c r="J432"/>
  <c r="N431"/>
  <c r="O431" s="1"/>
  <c r="M431"/>
  <c r="J431"/>
  <c r="N430"/>
  <c r="O430" s="1"/>
  <c r="M430"/>
  <c r="J430"/>
  <c r="J445" l="1"/>
  <c r="N515"/>
  <c r="O515" s="1"/>
  <c r="O536" s="1"/>
  <c r="O436"/>
  <c r="O445" s="1"/>
  <c r="N445"/>
  <c r="O546"/>
  <c r="N546"/>
  <c r="M436"/>
  <c r="M445" s="1"/>
  <c r="M538"/>
  <c r="M546" s="1"/>
  <c r="J536"/>
  <c r="M536"/>
  <c r="N536"/>
  <c r="J495"/>
  <c r="O495"/>
  <c r="M495"/>
  <c r="N495"/>
  <c r="L420"/>
  <c r="L418"/>
  <c r="N426"/>
  <c r="O426" s="1"/>
  <c r="L428" l="1"/>
  <c r="M426"/>
  <c r="J426"/>
  <c r="N425"/>
  <c r="O425" s="1"/>
  <c r="M425"/>
  <c r="J425"/>
  <c r="N424"/>
  <c r="O424" s="1"/>
  <c r="M424"/>
  <c r="J424"/>
  <c r="N423"/>
  <c r="O423" s="1"/>
  <c r="M423"/>
  <c r="J423"/>
  <c r="N422"/>
  <c r="O422" s="1"/>
  <c r="M422"/>
  <c r="J422"/>
  <c r="N421"/>
  <c r="O421" s="1"/>
  <c r="M421"/>
  <c r="J421"/>
  <c r="N420"/>
  <c r="O420" s="1"/>
  <c r="M420"/>
  <c r="J420"/>
  <c r="N419"/>
  <c r="O419" s="1"/>
  <c r="M419"/>
  <c r="J419"/>
  <c r="N418"/>
  <c r="O418" s="1"/>
  <c r="M418"/>
  <c r="J418"/>
  <c r="N417"/>
  <c r="O417" s="1"/>
  <c r="M417"/>
  <c r="J417"/>
  <c r="N416"/>
  <c r="O416" s="1"/>
  <c r="M416"/>
  <c r="J416"/>
  <c r="N415"/>
  <c r="O415" s="1"/>
  <c r="M415"/>
  <c r="J415"/>
  <c r="N414"/>
  <c r="O414" s="1"/>
  <c r="M414"/>
  <c r="J414"/>
  <c r="N413"/>
  <c r="O413" s="1"/>
  <c r="M413"/>
  <c r="J413"/>
  <c r="N412"/>
  <c r="O412" s="1"/>
  <c r="M412"/>
  <c r="J412"/>
  <c r="N411"/>
  <c r="O411" s="1"/>
  <c r="M411"/>
  <c r="J411"/>
  <c r="N410"/>
  <c r="O410" s="1"/>
  <c r="M410"/>
  <c r="J410"/>
  <c r="N409"/>
  <c r="M409"/>
  <c r="M428" s="1"/>
  <c r="J409"/>
  <c r="L405"/>
  <c r="L406"/>
  <c r="L377"/>
  <c r="L385"/>
  <c r="J428" l="1"/>
  <c r="N428"/>
  <c r="O409"/>
  <c r="O428" s="1"/>
  <c r="L407" l="1"/>
  <c r="I407"/>
  <c r="N406"/>
  <c r="O406" s="1"/>
  <c r="M406"/>
  <c r="J406"/>
  <c r="N405"/>
  <c r="O405" s="1"/>
  <c r="M405"/>
  <c r="J405"/>
  <c r="N404"/>
  <c r="O404" s="1"/>
  <c r="M404"/>
  <c r="J404"/>
  <c r="N403"/>
  <c r="O403" s="1"/>
  <c r="M403"/>
  <c r="J403"/>
  <c r="N402"/>
  <c r="O402" s="1"/>
  <c r="M402"/>
  <c r="J402"/>
  <c r="N401"/>
  <c r="O401" s="1"/>
  <c r="M401"/>
  <c r="J401"/>
  <c r="N400"/>
  <c r="O400" s="1"/>
  <c r="M400"/>
  <c r="J400"/>
  <c r="N399"/>
  <c r="O399" s="1"/>
  <c r="M399"/>
  <c r="J399"/>
  <c r="N398"/>
  <c r="O398" s="1"/>
  <c r="M398"/>
  <c r="J398"/>
  <c r="N397"/>
  <c r="O397" s="1"/>
  <c r="M397"/>
  <c r="J397"/>
  <c r="N396"/>
  <c r="O396" s="1"/>
  <c r="M396"/>
  <c r="J396"/>
  <c r="N395"/>
  <c r="O395" s="1"/>
  <c r="M395"/>
  <c r="J395"/>
  <c r="N394"/>
  <c r="O394" s="1"/>
  <c r="M394"/>
  <c r="J394"/>
  <c r="N393"/>
  <c r="O393" s="1"/>
  <c r="M393"/>
  <c r="J393"/>
  <c r="N392"/>
  <c r="O392" s="1"/>
  <c r="M392"/>
  <c r="J392"/>
  <c r="N391"/>
  <c r="M391"/>
  <c r="J391"/>
  <c r="N390"/>
  <c r="O390" s="1"/>
  <c r="M390"/>
  <c r="J390"/>
  <c r="N389"/>
  <c r="O389" s="1"/>
  <c r="M389"/>
  <c r="J389"/>
  <c r="N388"/>
  <c r="O388" s="1"/>
  <c r="M388"/>
  <c r="J388"/>
  <c r="N387"/>
  <c r="O387" s="1"/>
  <c r="M387"/>
  <c r="J387"/>
  <c r="N386"/>
  <c r="O386" s="1"/>
  <c r="M386"/>
  <c r="J386"/>
  <c r="N385"/>
  <c r="O385" s="1"/>
  <c r="M385"/>
  <c r="J385"/>
  <c r="N384"/>
  <c r="O384" s="1"/>
  <c r="M384"/>
  <c r="J384"/>
  <c r="N383"/>
  <c r="O383" s="1"/>
  <c r="M383"/>
  <c r="J383"/>
  <c r="N382"/>
  <c r="O382" s="1"/>
  <c r="M382"/>
  <c r="J382"/>
  <c r="N381"/>
  <c r="O381" s="1"/>
  <c r="M381"/>
  <c r="J381"/>
  <c r="N380"/>
  <c r="O380" s="1"/>
  <c r="M380"/>
  <c r="J380"/>
  <c r="N379"/>
  <c r="O379" s="1"/>
  <c r="M379"/>
  <c r="J379"/>
  <c r="N378"/>
  <c r="O378" s="1"/>
  <c r="M378"/>
  <c r="J378"/>
  <c r="N377"/>
  <c r="O377" s="1"/>
  <c r="M377"/>
  <c r="J377"/>
  <c r="N376"/>
  <c r="O376" s="1"/>
  <c r="M376"/>
  <c r="J376"/>
  <c r="N375"/>
  <c r="O375" s="1"/>
  <c r="M375"/>
  <c r="J375"/>
  <c r="R4620" i="36"/>
  <c r="J4620"/>
  <c r="O4619"/>
  <c r="P4619" s="1"/>
  <c r="N4619"/>
  <c r="K4619"/>
  <c r="O4618"/>
  <c r="P4618" s="1"/>
  <c r="N4618"/>
  <c r="K4618"/>
  <c r="M4617"/>
  <c r="M4620" s="1"/>
  <c r="K4617"/>
  <c r="O4616"/>
  <c r="P4616" s="1"/>
  <c r="N4616"/>
  <c r="K4616"/>
  <c r="O4615"/>
  <c r="P4615" s="1"/>
  <c r="N4615"/>
  <c r="K4615"/>
  <c r="O4614"/>
  <c r="P4614" s="1"/>
  <c r="N4614"/>
  <c r="K4614"/>
  <c r="O4613"/>
  <c r="P4613" s="1"/>
  <c r="N4613"/>
  <c r="K4613"/>
  <c r="O4612"/>
  <c r="P4612" s="1"/>
  <c r="N4612"/>
  <c r="K4612"/>
  <c r="O4611"/>
  <c r="P4611" s="1"/>
  <c r="N4611"/>
  <c r="K4611"/>
  <c r="O4610"/>
  <c r="N4610"/>
  <c r="K4610"/>
  <c r="R4607"/>
  <c r="M4607"/>
  <c r="J4607"/>
  <c r="O4606"/>
  <c r="P4606" s="1"/>
  <c r="N4606"/>
  <c r="K4606"/>
  <c r="O4605"/>
  <c r="P4605" s="1"/>
  <c r="N4605"/>
  <c r="K4605"/>
  <c r="O4604"/>
  <c r="P4604" s="1"/>
  <c r="N4604"/>
  <c r="K4604"/>
  <c r="O4603"/>
  <c r="P4603" s="1"/>
  <c r="N4603"/>
  <c r="K4603"/>
  <c r="O4602"/>
  <c r="P4602" s="1"/>
  <c r="N4602"/>
  <c r="K4602"/>
  <c r="O4601"/>
  <c r="P4601" s="1"/>
  <c r="N4601"/>
  <c r="K4601"/>
  <c r="O4600"/>
  <c r="P4600" s="1"/>
  <c r="N4600"/>
  <c r="K4600"/>
  <c r="O4599"/>
  <c r="P4599" s="1"/>
  <c r="N4599"/>
  <c r="K4599"/>
  <c r="O4598"/>
  <c r="P4598" s="1"/>
  <c r="N4598"/>
  <c r="K4598"/>
  <c r="O4597"/>
  <c r="P4597" s="1"/>
  <c r="N4597"/>
  <c r="K4597"/>
  <c r="O4596"/>
  <c r="P4596" s="1"/>
  <c r="N4596"/>
  <c r="K4596"/>
  <c r="O4595"/>
  <c r="P4595" s="1"/>
  <c r="N4595"/>
  <c r="K4595"/>
  <c r="O4594"/>
  <c r="O4607" s="1"/>
  <c r="N4594"/>
  <c r="K4594"/>
  <c r="K4607" s="1"/>
  <c r="R4592"/>
  <c r="J4592"/>
  <c r="O4591"/>
  <c r="P4591" s="1"/>
  <c r="N4591"/>
  <c r="K4591"/>
  <c r="O4590"/>
  <c r="P4590" s="1"/>
  <c r="N4590"/>
  <c r="K4590"/>
  <c r="O4589"/>
  <c r="P4589" s="1"/>
  <c r="N4589"/>
  <c r="K4589"/>
  <c r="O4588"/>
  <c r="P4588" s="1"/>
  <c r="N4588"/>
  <c r="K4588"/>
  <c r="O4587"/>
  <c r="P4587" s="1"/>
  <c r="N4587"/>
  <c r="K4587"/>
  <c r="O4586"/>
  <c r="P4586" s="1"/>
  <c r="N4586"/>
  <c r="K4586"/>
  <c r="O4585"/>
  <c r="P4585" s="1"/>
  <c r="N4585"/>
  <c r="K4585"/>
  <c r="O4584"/>
  <c r="P4584" s="1"/>
  <c r="N4584"/>
  <c r="K4584"/>
  <c r="O4583"/>
  <c r="P4583" s="1"/>
  <c r="N4583"/>
  <c r="K4583"/>
  <c r="O4582"/>
  <c r="P4582" s="1"/>
  <c r="N4582"/>
  <c r="K4582"/>
  <c r="O4581"/>
  <c r="P4581" s="1"/>
  <c r="N4581"/>
  <c r="K4581"/>
  <c r="O4580"/>
  <c r="P4580" s="1"/>
  <c r="N4580"/>
  <c r="K4580"/>
  <c r="O4579"/>
  <c r="P4579" s="1"/>
  <c r="N4579"/>
  <c r="K4579"/>
  <c r="O4578"/>
  <c r="P4578" s="1"/>
  <c r="N4578"/>
  <c r="K4578"/>
  <c r="M4577"/>
  <c r="N4577" s="1"/>
  <c r="K4577"/>
  <c r="O4576"/>
  <c r="P4576" s="1"/>
  <c r="N4576"/>
  <c r="K4576"/>
  <c r="O4575"/>
  <c r="P4575" s="1"/>
  <c r="N4575"/>
  <c r="K4575"/>
  <c r="O4574"/>
  <c r="P4574" s="1"/>
  <c r="N4574"/>
  <c r="K4574"/>
  <c r="O4573"/>
  <c r="P4573" s="1"/>
  <c r="N4573"/>
  <c r="K4573"/>
  <c r="R4570"/>
  <c r="O4569"/>
  <c r="P4569" s="1"/>
  <c r="N4569"/>
  <c r="K4569"/>
  <c r="O4568"/>
  <c r="P4568" s="1"/>
  <c r="N4568"/>
  <c r="K4568"/>
  <c r="O4567"/>
  <c r="P4567" s="1"/>
  <c r="N4567"/>
  <c r="K4567"/>
  <c r="O4566"/>
  <c r="P4566" s="1"/>
  <c r="N4566"/>
  <c r="K4566"/>
  <c r="O4565"/>
  <c r="P4565" s="1"/>
  <c r="N4565"/>
  <c r="K4565"/>
  <c r="N4564"/>
  <c r="J4564"/>
  <c r="O4564" s="1"/>
  <c r="P4564" s="1"/>
  <c r="N4563"/>
  <c r="J4563"/>
  <c r="O4563" s="1"/>
  <c r="P4563" s="1"/>
  <c r="O4562"/>
  <c r="P4562" s="1"/>
  <c r="N4562"/>
  <c r="K4562"/>
  <c r="O4561"/>
  <c r="P4561" s="1"/>
  <c r="N4561"/>
  <c r="K4561"/>
  <c r="O4560"/>
  <c r="P4560" s="1"/>
  <c r="N4560"/>
  <c r="K4560"/>
  <c r="M4559"/>
  <c r="N4559" s="1"/>
  <c r="J4559"/>
  <c r="K4559" s="1"/>
  <c r="R4556"/>
  <c r="O4555"/>
  <c r="P4555" s="1"/>
  <c r="N4555"/>
  <c r="K4555"/>
  <c r="O4554"/>
  <c r="P4554" s="1"/>
  <c r="N4554"/>
  <c r="K4554"/>
  <c r="O4553"/>
  <c r="P4553" s="1"/>
  <c r="N4553"/>
  <c r="K4553"/>
  <c r="O4552"/>
  <c r="P4552" s="1"/>
  <c r="N4552"/>
  <c r="K4552"/>
  <c r="O4551"/>
  <c r="P4551" s="1"/>
  <c r="N4551"/>
  <c r="K4551"/>
  <c r="O4550"/>
  <c r="P4550" s="1"/>
  <c r="N4550"/>
  <c r="K4550"/>
  <c r="O4549"/>
  <c r="P4549" s="1"/>
  <c r="N4549"/>
  <c r="K4549"/>
  <c r="O4548"/>
  <c r="P4548" s="1"/>
  <c r="N4548"/>
  <c r="K4548"/>
  <c r="O4547"/>
  <c r="N4607" l="1"/>
  <c r="N4617"/>
  <c r="N4620" s="1"/>
  <c r="K4564"/>
  <c r="N4592"/>
  <c r="P4594"/>
  <c r="P4607" s="1"/>
  <c r="N4570"/>
  <c r="K4592"/>
  <c r="K4620"/>
  <c r="J407" i="42"/>
  <c r="O391"/>
  <c r="N407"/>
  <c r="O407"/>
  <c r="M407"/>
  <c r="O4559" i="36"/>
  <c r="J4570"/>
  <c r="M4570"/>
  <c r="O4577"/>
  <c r="M4592"/>
  <c r="K4563"/>
  <c r="P4610"/>
  <c r="O4617"/>
  <c r="P4617" s="1"/>
  <c r="M497" i="39"/>
  <c r="J498"/>
  <c r="J500"/>
  <c r="J497"/>
  <c r="J490"/>
  <c r="L72" i="50"/>
  <c r="L80"/>
  <c r="K4570" i="36" l="1"/>
  <c r="P4620"/>
  <c r="P4559"/>
  <c r="P4570" s="1"/>
  <c r="O4570"/>
  <c r="P4577"/>
  <c r="P4592" s="1"/>
  <c r="O4592"/>
  <c r="O4620"/>
  <c r="L318" i="50"/>
  <c r="L74"/>
  <c r="L70"/>
  <c r="L69"/>
  <c r="M454" i="39" l="1"/>
  <c r="M71" i="35"/>
  <c r="O4528" i="36" l="1"/>
  <c r="P4528" s="1"/>
  <c r="N4528"/>
  <c r="K4528"/>
  <c r="O4525"/>
  <c r="P4525" s="1"/>
  <c r="N4525"/>
  <c r="K4525"/>
  <c r="O4524"/>
  <c r="P4524" s="1"/>
  <c r="N4524"/>
  <c r="K4524"/>
  <c r="N4509" l="1"/>
  <c r="O4509" s="1"/>
  <c r="M4509"/>
  <c r="J4509"/>
  <c r="N4508"/>
  <c r="O4508" s="1"/>
  <c r="M4508"/>
  <c r="J4508"/>
  <c r="N4507"/>
  <c r="O4507" s="1"/>
  <c r="M4507"/>
  <c r="J4507"/>
  <c r="N4506"/>
  <c r="O4506" s="1"/>
  <c r="M4506"/>
  <c r="J4506"/>
  <c r="Q4497"/>
  <c r="N4496"/>
  <c r="O4496" s="1"/>
  <c r="M4496"/>
  <c r="J4496"/>
  <c r="N4495"/>
  <c r="O4495" s="1"/>
  <c r="M4495"/>
  <c r="J4495"/>
  <c r="N4494"/>
  <c r="O4494" s="1"/>
  <c r="M4494"/>
  <c r="J4494"/>
  <c r="N4493"/>
  <c r="O4493" s="1"/>
  <c r="M4493"/>
  <c r="J4493"/>
  <c r="N4492"/>
  <c r="O4492" s="1"/>
  <c r="M4492"/>
  <c r="J4492"/>
  <c r="N4491"/>
  <c r="O4491" s="1"/>
  <c r="M4491"/>
  <c r="J4491"/>
  <c r="R4489" l="1"/>
  <c r="L4480"/>
  <c r="I4480"/>
  <c r="N4479"/>
  <c r="O4479" s="1"/>
  <c r="M4479"/>
  <c r="J4479"/>
  <c r="N4478"/>
  <c r="O4478" s="1"/>
  <c r="M4478"/>
  <c r="J4478"/>
  <c r="R4476"/>
  <c r="O4476"/>
  <c r="L191" i="50"/>
  <c r="M4480" i="36" l="1"/>
  <c r="J4480"/>
  <c r="O4480"/>
  <c r="N4480"/>
  <c r="L335" i="37" l="1"/>
  <c r="I314"/>
  <c r="I327"/>
  <c r="I335" s="1"/>
  <c r="N334"/>
  <c r="O334" s="1"/>
  <c r="M334"/>
  <c r="J334"/>
  <c r="M333"/>
  <c r="N333"/>
  <c r="O333" s="1"/>
  <c r="M332"/>
  <c r="N332"/>
  <c r="O332" s="1"/>
  <c r="N331"/>
  <c r="O331" s="1"/>
  <c r="M331"/>
  <c r="J331"/>
  <c r="M330"/>
  <c r="N330"/>
  <c r="O330" s="1"/>
  <c r="N329"/>
  <c r="O329" s="1"/>
  <c r="M329"/>
  <c r="J329"/>
  <c r="M328"/>
  <c r="N328"/>
  <c r="O328" s="1"/>
  <c r="N327"/>
  <c r="O327" s="1"/>
  <c r="M327"/>
  <c r="J327"/>
  <c r="N326"/>
  <c r="O326" s="1"/>
  <c r="M326"/>
  <c r="J326"/>
  <c r="T89" i="50"/>
  <c r="T88"/>
  <c r="T87"/>
  <c r="T321"/>
  <c r="T86"/>
  <c r="T85"/>
  <c r="T84"/>
  <c r="T83"/>
  <c r="T82"/>
  <c r="T81"/>
  <c r="T80"/>
  <c r="T79"/>
  <c r="T78"/>
  <c r="T77"/>
  <c r="T76"/>
  <c r="T75"/>
  <c r="T74"/>
  <c r="T72"/>
  <c r="T70"/>
  <c r="T69"/>
  <c r="S86"/>
  <c r="S70"/>
  <c r="R4464" i="36"/>
  <c r="O4464"/>
  <c r="M1265" i="35"/>
  <c r="R1265"/>
  <c r="P398" i="39"/>
  <c r="P397"/>
  <c r="R4432" i="36"/>
  <c r="O4432"/>
  <c r="O335" i="37" l="1"/>
  <c r="M335"/>
  <c r="N335"/>
  <c r="J328"/>
  <c r="J330"/>
  <c r="J332"/>
  <c r="J333"/>
  <c r="P4420" i="36"/>
  <c r="R4420"/>
  <c r="O4420"/>
  <c r="J335" i="37" l="1"/>
  <c r="M491" i="39"/>
  <c r="M490"/>
  <c r="M503" l="1"/>
  <c r="J503"/>
  <c r="K502"/>
  <c r="O502"/>
  <c r="P502" s="1"/>
  <c r="N502"/>
  <c r="O501"/>
  <c r="P501" s="1"/>
  <c r="N501"/>
  <c r="K501"/>
  <c r="O500"/>
  <c r="P500" s="1"/>
  <c r="N500"/>
  <c r="K500"/>
  <c r="O499"/>
  <c r="P499" s="1"/>
  <c r="N499"/>
  <c r="K499"/>
  <c r="O498"/>
  <c r="P498" s="1"/>
  <c r="N498"/>
  <c r="K498"/>
  <c r="O497"/>
  <c r="P497" s="1"/>
  <c r="N497"/>
  <c r="K497"/>
  <c r="O496"/>
  <c r="P496" s="1"/>
  <c r="N496"/>
  <c r="K496"/>
  <c r="O495"/>
  <c r="P495" s="1"/>
  <c r="N495"/>
  <c r="K495"/>
  <c r="O494"/>
  <c r="P494" s="1"/>
  <c r="N494"/>
  <c r="K494"/>
  <c r="O493"/>
  <c r="P493" s="1"/>
  <c r="N493"/>
  <c r="K493"/>
  <c r="O492"/>
  <c r="P492" s="1"/>
  <c r="N492"/>
  <c r="K492"/>
  <c r="O491"/>
  <c r="P491" s="1"/>
  <c r="N491"/>
  <c r="K491"/>
  <c r="O490"/>
  <c r="P490" s="1"/>
  <c r="N490"/>
  <c r="K490"/>
  <c r="O489"/>
  <c r="P489" s="1"/>
  <c r="N489"/>
  <c r="K489"/>
  <c r="O488"/>
  <c r="P488" s="1"/>
  <c r="N488"/>
  <c r="K488"/>
  <c r="O487"/>
  <c r="P487" s="1"/>
  <c r="N487"/>
  <c r="K487"/>
  <c r="O486"/>
  <c r="P486" s="1"/>
  <c r="N486"/>
  <c r="K486"/>
  <c r="O485"/>
  <c r="P485" s="1"/>
  <c r="N485"/>
  <c r="K485"/>
  <c r="O484"/>
  <c r="P484" s="1"/>
  <c r="N484"/>
  <c r="K484"/>
  <c r="O483"/>
  <c r="P483" s="1"/>
  <c r="N483"/>
  <c r="K483"/>
  <c r="O482"/>
  <c r="P482" s="1"/>
  <c r="N482"/>
  <c r="K482"/>
  <c r="O481"/>
  <c r="P481" s="1"/>
  <c r="N481"/>
  <c r="K481"/>
  <c r="O480"/>
  <c r="P480" s="1"/>
  <c r="N480"/>
  <c r="K480"/>
  <c r="O479"/>
  <c r="P479" s="1"/>
  <c r="N479"/>
  <c r="K479"/>
  <c r="O478"/>
  <c r="P478" s="1"/>
  <c r="N478"/>
  <c r="K478"/>
  <c r="O477"/>
  <c r="P477" s="1"/>
  <c r="N477"/>
  <c r="K477"/>
  <c r="O476"/>
  <c r="P476" s="1"/>
  <c r="N476"/>
  <c r="K476"/>
  <c r="O475"/>
  <c r="P475" s="1"/>
  <c r="N475"/>
  <c r="K475"/>
  <c r="M462"/>
  <c r="M461"/>
  <c r="M473"/>
  <c r="J473"/>
  <c r="O472"/>
  <c r="P472" s="1"/>
  <c r="N472"/>
  <c r="K472"/>
  <c r="O471"/>
  <c r="P471" s="1"/>
  <c r="N471"/>
  <c r="K471"/>
  <c r="O470"/>
  <c r="P470" s="1"/>
  <c r="N470"/>
  <c r="K470"/>
  <c r="O469"/>
  <c r="P469" s="1"/>
  <c r="N469"/>
  <c r="K469"/>
  <c r="O468"/>
  <c r="P468" s="1"/>
  <c r="N468"/>
  <c r="K468"/>
  <c r="O467"/>
  <c r="P467" s="1"/>
  <c r="N467"/>
  <c r="K467"/>
  <c r="O466"/>
  <c r="P466" s="1"/>
  <c r="N466"/>
  <c r="K466"/>
  <c r="O465"/>
  <c r="P465" s="1"/>
  <c r="N465"/>
  <c r="K465"/>
  <c r="O464"/>
  <c r="P464" s="1"/>
  <c r="N464"/>
  <c r="K464"/>
  <c r="O463"/>
  <c r="P463" s="1"/>
  <c r="N463"/>
  <c r="K463"/>
  <c r="O462"/>
  <c r="P462" s="1"/>
  <c r="N462"/>
  <c r="K462"/>
  <c r="O461"/>
  <c r="P461" s="1"/>
  <c r="N461"/>
  <c r="K461"/>
  <c r="O460"/>
  <c r="P460" s="1"/>
  <c r="N460"/>
  <c r="K460"/>
  <c r="O459"/>
  <c r="P459" s="1"/>
  <c r="N459"/>
  <c r="K459"/>
  <c r="O458"/>
  <c r="P458" s="1"/>
  <c r="N458"/>
  <c r="K458"/>
  <c r="O457"/>
  <c r="P457" s="1"/>
  <c r="N457"/>
  <c r="K457"/>
  <c r="O456"/>
  <c r="P456" s="1"/>
  <c r="N456"/>
  <c r="K456"/>
  <c r="O455"/>
  <c r="P455" s="1"/>
  <c r="N455"/>
  <c r="K455"/>
  <c r="O454"/>
  <c r="P454" s="1"/>
  <c r="N454"/>
  <c r="K454"/>
  <c r="O453"/>
  <c r="P453" s="1"/>
  <c r="N453"/>
  <c r="K453"/>
  <c r="O452"/>
  <c r="P452" s="1"/>
  <c r="N452"/>
  <c r="K452"/>
  <c r="O451"/>
  <c r="P451" s="1"/>
  <c r="N451"/>
  <c r="K451"/>
  <c r="O450"/>
  <c r="P450" s="1"/>
  <c r="N450"/>
  <c r="K450"/>
  <c r="O449"/>
  <c r="P449" s="1"/>
  <c r="N449"/>
  <c r="K449"/>
  <c r="O448"/>
  <c r="P448" s="1"/>
  <c r="N448"/>
  <c r="K448"/>
  <c r="O447"/>
  <c r="P447" s="1"/>
  <c r="N447"/>
  <c r="K447"/>
  <c r="O446"/>
  <c r="P446" s="1"/>
  <c r="N446"/>
  <c r="K446"/>
  <c r="O445"/>
  <c r="P445" s="1"/>
  <c r="N445"/>
  <c r="K445"/>
  <c r="O444"/>
  <c r="P444" s="1"/>
  <c r="N444"/>
  <c r="K444"/>
  <c r="O443"/>
  <c r="P443" s="1"/>
  <c r="N443"/>
  <c r="K443"/>
  <c r="O442"/>
  <c r="P442" s="1"/>
  <c r="N442"/>
  <c r="K442"/>
  <c r="O441"/>
  <c r="P441" s="1"/>
  <c r="N441"/>
  <c r="K441"/>
  <c r="O440"/>
  <c r="P440" s="1"/>
  <c r="N440"/>
  <c r="K440"/>
  <c r="O439"/>
  <c r="P439" s="1"/>
  <c r="N439"/>
  <c r="K439"/>
  <c r="O438"/>
  <c r="P438" s="1"/>
  <c r="N438"/>
  <c r="K438"/>
  <c r="O437"/>
  <c r="P437" s="1"/>
  <c r="N437"/>
  <c r="K437"/>
  <c r="O436"/>
  <c r="P436" s="1"/>
  <c r="N436"/>
  <c r="K436"/>
  <c r="O435"/>
  <c r="P435" s="1"/>
  <c r="N435"/>
  <c r="K435"/>
  <c r="O434"/>
  <c r="P434" s="1"/>
  <c r="N434"/>
  <c r="K434"/>
  <c r="O433"/>
  <c r="P433" s="1"/>
  <c r="N433"/>
  <c r="K433"/>
  <c r="O432"/>
  <c r="P432" s="1"/>
  <c r="N432"/>
  <c r="K432"/>
  <c r="O431"/>
  <c r="P431" s="1"/>
  <c r="N431"/>
  <c r="K431"/>
  <c r="O430"/>
  <c r="P430" s="1"/>
  <c r="N430"/>
  <c r="K430"/>
  <c r="O429"/>
  <c r="P429" s="1"/>
  <c r="N429"/>
  <c r="K429"/>
  <c r="O428"/>
  <c r="P428" s="1"/>
  <c r="N428"/>
  <c r="K428"/>
  <c r="O427"/>
  <c r="P427" s="1"/>
  <c r="N427"/>
  <c r="K427"/>
  <c r="O426"/>
  <c r="P426" s="1"/>
  <c r="N426"/>
  <c r="K426"/>
  <c r="O425"/>
  <c r="P425" s="1"/>
  <c r="N425"/>
  <c r="K425"/>
  <c r="O424"/>
  <c r="P424" s="1"/>
  <c r="N424"/>
  <c r="K424"/>
  <c r="O423"/>
  <c r="P423" s="1"/>
  <c r="N423"/>
  <c r="K423"/>
  <c r="O422"/>
  <c r="P422" s="1"/>
  <c r="N422"/>
  <c r="K422"/>
  <c r="O421"/>
  <c r="P421" s="1"/>
  <c r="N421"/>
  <c r="K421"/>
  <c r="O420"/>
  <c r="P420" s="1"/>
  <c r="N420"/>
  <c r="K420"/>
  <c r="O419"/>
  <c r="P419" s="1"/>
  <c r="N419"/>
  <c r="K419"/>
  <c r="O418"/>
  <c r="P418" s="1"/>
  <c r="N418"/>
  <c r="K418"/>
  <c r="L690" i="43"/>
  <c r="I690"/>
  <c r="J690"/>
  <c r="N689"/>
  <c r="O689" s="1"/>
  <c r="M689"/>
  <c r="J689"/>
  <c r="N688"/>
  <c r="O688" s="1"/>
  <c r="M688"/>
  <c r="J688"/>
  <c r="N687"/>
  <c r="O687" s="1"/>
  <c r="M687"/>
  <c r="J687"/>
  <c r="N686"/>
  <c r="O686" s="1"/>
  <c r="M686"/>
  <c r="J686"/>
  <c r="N685"/>
  <c r="O685" s="1"/>
  <c r="M685"/>
  <c r="J685"/>
  <c r="N684"/>
  <c r="O684" s="1"/>
  <c r="M684"/>
  <c r="J684"/>
  <c r="N683"/>
  <c r="O683" s="1"/>
  <c r="M683"/>
  <c r="J683"/>
  <c r="N682"/>
  <c r="O682" s="1"/>
  <c r="M682"/>
  <c r="J682"/>
  <c r="L675"/>
  <c r="L680" s="1"/>
  <c r="I680"/>
  <c r="N679"/>
  <c r="O679" s="1"/>
  <c r="M679"/>
  <c r="J679"/>
  <c r="N678"/>
  <c r="O678" s="1"/>
  <c r="M678"/>
  <c r="J678"/>
  <c r="N677"/>
  <c r="O677" s="1"/>
  <c r="M677"/>
  <c r="J677"/>
  <c r="N676"/>
  <c r="O676" s="1"/>
  <c r="M676"/>
  <c r="J676"/>
  <c r="N675"/>
  <c r="O675" s="1"/>
  <c r="J675"/>
  <c r="N674"/>
  <c r="O674" s="1"/>
  <c r="M674"/>
  <c r="J674"/>
  <c r="N673"/>
  <c r="O673" s="1"/>
  <c r="M673"/>
  <c r="J673"/>
  <c r="N672"/>
  <c r="O672" s="1"/>
  <c r="M672"/>
  <c r="J672"/>
  <c r="N671"/>
  <c r="O671" s="1"/>
  <c r="M671"/>
  <c r="J671"/>
  <c r="N670"/>
  <c r="O670" s="1"/>
  <c r="M670"/>
  <c r="J670"/>
  <c r="N669"/>
  <c r="O669" s="1"/>
  <c r="M669"/>
  <c r="J669"/>
  <c r="N668"/>
  <c r="O668" s="1"/>
  <c r="M668"/>
  <c r="J668"/>
  <c r="N667"/>
  <c r="O667" s="1"/>
  <c r="M667"/>
  <c r="J667"/>
  <c r="N666"/>
  <c r="O666" s="1"/>
  <c r="M666"/>
  <c r="J666"/>
  <c r="J680" s="1"/>
  <c r="O690" l="1"/>
  <c r="K503" i="39"/>
  <c r="P503"/>
  <c r="N503"/>
  <c r="O503"/>
  <c r="P473"/>
  <c r="N473"/>
  <c r="K473"/>
  <c r="O473"/>
  <c r="M690" i="43"/>
  <c r="N690"/>
  <c r="M675"/>
  <c r="O680"/>
  <c r="M680"/>
  <c r="N680"/>
  <c r="L459" i="50" l="1"/>
  <c r="I459"/>
  <c r="J459"/>
  <c r="N458"/>
  <c r="O458" s="1"/>
  <c r="M458"/>
  <c r="J458"/>
  <c r="N457"/>
  <c r="O457" s="1"/>
  <c r="M457"/>
  <c r="J457"/>
  <c r="N456"/>
  <c r="O456" s="1"/>
  <c r="M456"/>
  <c r="J456"/>
  <c r="N455"/>
  <c r="O455" s="1"/>
  <c r="M455"/>
  <c r="J455"/>
  <c r="N454"/>
  <c r="O454" s="1"/>
  <c r="M454"/>
  <c r="J454"/>
  <c r="N453"/>
  <c r="O453" s="1"/>
  <c r="M453"/>
  <c r="J453"/>
  <c r="N452"/>
  <c r="O452" s="1"/>
  <c r="M452"/>
  <c r="J452"/>
  <c r="N451" l="1"/>
  <c r="O451" s="1"/>
  <c r="M451"/>
  <c r="J451"/>
  <c r="N450"/>
  <c r="O450" s="1"/>
  <c r="M450"/>
  <c r="J450"/>
  <c r="N449"/>
  <c r="O449" s="1"/>
  <c r="M449"/>
  <c r="J449"/>
  <c r="N448"/>
  <c r="O448" s="1"/>
  <c r="M448"/>
  <c r="J448"/>
  <c r="N447"/>
  <c r="M447"/>
  <c r="M459" s="1"/>
  <c r="J447"/>
  <c r="O447" l="1"/>
  <c r="O459" s="1"/>
  <c r="N459"/>
  <c r="L645" i="43" l="1"/>
  <c r="L664" l="1"/>
  <c r="I664"/>
  <c r="N663"/>
  <c r="O663" s="1"/>
  <c r="M663"/>
  <c r="J663"/>
  <c r="N662"/>
  <c r="O662" s="1"/>
  <c r="M662"/>
  <c r="J662"/>
  <c r="N661"/>
  <c r="O661" s="1"/>
  <c r="M661"/>
  <c r="J661"/>
  <c r="N660"/>
  <c r="O660" s="1"/>
  <c r="M660"/>
  <c r="J660"/>
  <c r="N659"/>
  <c r="O659" s="1"/>
  <c r="M659"/>
  <c r="J659"/>
  <c r="N658"/>
  <c r="O658" s="1"/>
  <c r="M658"/>
  <c r="J658"/>
  <c r="N657"/>
  <c r="O657" s="1"/>
  <c r="M657"/>
  <c r="J657"/>
  <c r="N656"/>
  <c r="O656" s="1"/>
  <c r="M656"/>
  <c r="J656"/>
  <c r="N655"/>
  <c r="O655" s="1"/>
  <c r="M655"/>
  <c r="J655"/>
  <c r="N654"/>
  <c r="O654" s="1"/>
  <c r="M654"/>
  <c r="J654"/>
  <c r="N653"/>
  <c r="O653" s="1"/>
  <c r="M653"/>
  <c r="J653"/>
  <c r="N652"/>
  <c r="O652" s="1"/>
  <c r="M652"/>
  <c r="J652"/>
  <c r="N651"/>
  <c r="O651" s="1"/>
  <c r="M651"/>
  <c r="J651"/>
  <c r="N650"/>
  <c r="O650" s="1"/>
  <c r="M650"/>
  <c r="J650"/>
  <c r="N649"/>
  <c r="O649" s="1"/>
  <c r="M649"/>
  <c r="J649"/>
  <c r="N648"/>
  <c r="O648" s="1"/>
  <c r="M648"/>
  <c r="J648"/>
  <c r="N647"/>
  <c r="O647" s="1"/>
  <c r="M647"/>
  <c r="J647"/>
  <c r="N646"/>
  <c r="O646" s="1"/>
  <c r="M646"/>
  <c r="J646"/>
  <c r="N645"/>
  <c r="O645" s="1"/>
  <c r="M645"/>
  <c r="J645"/>
  <c r="N644"/>
  <c r="O644" s="1"/>
  <c r="M644"/>
  <c r="J644"/>
  <c r="N643"/>
  <c r="O643" s="1"/>
  <c r="M643"/>
  <c r="J643"/>
  <c r="N642"/>
  <c r="O642" s="1"/>
  <c r="M642"/>
  <c r="J642"/>
  <c r="N641"/>
  <c r="O641" s="1"/>
  <c r="M641"/>
  <c r="J641"/>
  <c r="N640"/>
  <c r="O640" s="1"/>
  <c r="M640"/>
  <c r="J640"/>
  <c r="N639"/>
  <c r="O639" s="1"/>
  <c r="M639"/>
  <c r="J639"/>
  <c r="N638"/>
  <c r="O638" s="1"/>
  <c r="M638"/>
  <c r="J638"/>
  <c r="N637"/>
  <c r="O637" s="1"/>
  <c r="M637"/>
  <c r="J637"/>
  <c r="N636"/>
  <c r="O636" s="1"/>
  <c r="M636"/>
  <c r="J636"/>
  <c r="N635"/>
  <c r="O635" s="1"/>
  <c r="M635"/>
  <c r="J635"/>
  <c r="N634"/>
  <c r="O634" s="1"/>
  <c r="M634"/>
  <c r="J634"/>
  <c r="N633"/>
  <c r="O633" s="1"/>
  <c r="M633"/>
  <c r="J633"/>
  <c r="M1483" i="35"/>
  <c r="L627" i="43"/>
  <c r="L626"/>
  <c r="L614"/>
  <c r="I630"/>
  <c r="M664" l="1"/>
  <c r="O664"/>
  <c r="N664"/>
  <c r="J664"/>
  <c r="L630"/>
  <c r="N629"/>
  <c r="O629" s="1"/>
  <c r="M629"/>
  <c r="N628"/>
  <c r="O628" s="1"/>
  <c r="M628"/>
  <c r="N627"/>
  <c r="O627" s="1"/>
  <c r="M627"/>
  <c r="N626"/>
  <c r="O626" s="1"/>
  <c r="M626"/>
  <c r="N625"/>
  <c r="O625" s="1"/>
  <c r="M625"/>
  <c r="N624"/>
  <c r="O624" s="1"/>
  <c r="M624"/>
  <c r="N623"/>
  <c r="O623" s="1"/>
  <c r="M623"/>
  <c r="N622"/>
  <c r="O622" s="1"/>
  <c r="M622"/>
  <c r="N621"/>
  <c r="O621" s="1"/>
  <c r="M621"/>
  <c r="N620"/>
  <c r="O620" s="1"/>
  <c r="M620"/>
  <c r="N619"/>
  <c r="O619" s="1"/>
  <c r="M619"/>
  <c r="J629"/>
  <c r="J628"/>
  <c r="J627"/>
  <c r="J626"/>
  <c r="J625"/>
  <c r="J624"/>
  <c r="J623"/>
  <c r="J622"/>
  <c r="J621"/>
  <c r="J620"/>
  <c r="J619"/>
  <c r="N618"/>
  <c r="O618" s="1"/>
  <c r="M618"/>
  <c r="J618"/>
  <c r="N617"/>
  <c r="O617" s="1"/>
  <c r="M617"/>
  <c r="J617"/>
  <c r="N616"/>
  <c r="O616" s="1"/>
  <c r="M616"/>
  <c r="J616"/>
  <c r="N615"/>
  <c r="O615" s="1"/>
  <c r="M615"/>
  <c r="J615"/>
  <c r="N614"/>
  <c r="O614" s="1"/>
  <c r="M614"/>
  <c r="J614"/>
  <c r="N613"/>
  <c r="O613" s="1"/>
  <c r="M613"/>
  <c r="J613"/>
  <c r="N612"/>
  <c r="O612" s="1"/>
  <c r="M612"/>
  <c r="J612"/>
  <c r="N611"/>
  <c r="O611" s="1"/>
  <c r="M611"/>
  <c r="J611"/>
  <c r="N610"/>
  <c r="O610" s="1"/>
  <c r="M610"/>
  <c r="J610"/>
  <c r="N609"/>
  <c r="O609" s="1"/>
  <c r="M609"/>
  <c r="J609"/>
  <c r="N608"/>
  <c r="O608" s="1"/>
  <c r="M608"/>
  <c r="J608"/>
  <c r="N607"/>
  <c r="O607" s="1"/>
  <c r="M607"/>
  <c r="J607"/>
  <c r="N606"/>
  <c r="O606" s="1"/>
  <c r="M606"/>
  <c r="J606"/>
  <c r="N605"/>
  <c r="O605" s="1"/>
  <c r="M605"/>
  <c r="J605"/>
  <c r="N604"/>
  <c r="O604" s="1"/>
  <c r="M604"/>
  <c r="J604"/>
  <c r="N603"/>
  <c r="O603" s="1"/>
  <c r="M603"/>
  <c r="J603"/>
  <c r="N602"/>
  <c r="O602" s="1"/>
  <c r="M602"/>
  <c r="J602"/>
  <c r="N601"/>
  <c r="O601" s="1"/>
  <c r="M601"/>
  <c r="J601"/>
  <c r="N600"/>
  <c r="O600" s="1"/>
  <c r="M600"/>
  <c r="J600"/>
  <c r="N599"/>
  <c r="O599" s="1"/>
  <c r="M599"/>
  <c r="J599"/>
  <c r="N598"/>
  <c r="O598" s="1"/>
  <c r="M598"/>
  <c r="J598"/>
  <c r="N597"/>
  <c r="O597" s="1"/>
  <c r="M597"/>
  <c r="J597"/>
  <c r="N596"/>
  <c r="O596" s="1"/>
  <c r="M596"/>
  <c r="J596"/>
  <c r="N595"/>
  <c r="O595" s="1"/>
  <c r="M595"/>
  <c r="J595"/>
  <c r="N594"/>
  <c r="O594" s="1"/>
  <c r="M594"/>
  <c r="J594"/>
  <c r="N593"/>
  <c r="O593" s="1"/>
  <c r="M593"/>
  <c r="J593"/>
  <c r="N592"/>
  <c r="O592" s="1"/>
  <c r="M592"/>
  <c r="J592"/>
  <c r="N591"/>
  <c r="O591" s="1"/>
  <c r="M591"/>
  <c r="J591"/>
  <c r="N590"/>
  <c r="O590" s="1"/>
  <c r="M590"/>
  <c r="J590"/>
  <c r="N589"/>
  <c r="O589" s="1"/>
  <c r="M589"/>
  <c r="J589"/>
  <c r="N588"/>
  <c r="O588" s="1"/>
  <c r="M588"/>
  <c r="J588"/>
  <c r="N587"/>
  <c r="O587" s="1"/>
  <c r="M587"/>
  <c r="J587"/>
  <c r="N586"/>
  <c r="O586" s="1"/>
  <c r="M586"/>
  <c r="J586"/>
  <c r="N585"/>
  <c r="O585" s="1"/>
  <c r="M585"/>
  <c r="J585"/>
  <c r="N584"/>
  <c r="O584" s="1"/>
  <c r="M584"/>
  <c r="J584"/>
  <c r="N583"/>
  <c r="O583" s="1"/>
  <c r="M583"/>
  <c r="J583"/>
  <c r="N582"/>
  <c r="M582"/>
  <c r="J582"/>
  <c r="N581"/>
  <c r="O581" s="1"/>
  <c r="M581"/>
  <c r="J581"/>
  <c r="N442" i="50"/>
  <c r="O442" s="1"/>
  <c r="M442"/>
  <c r="J442"/>
  <c r="N441"/>
  <c r="O441" s="1"/>
  <c r="M441"/>
  <c r="J441"/>
  <c r="N440"/>
  <c r="O440" s="1"/>
  <c r="M440"/>
  <c r="J440"/>
  <c r="N439"/>
  <c r="O439" s="1"/>
  <c r="M439"/>
  <c r="J439"/>
  <c r="N438"/>
  <c r="O438" s="1"/>
  <c r="M438"/>
  <c r="J438"/>
  <c r="N437"/>
  <c r="O437" s="1"/>
  <c r="M437"/>
  <c r="J437"/>
  <c r="N436"/>
  <c r="O436" s="1"/>
  <c r="M436"/>
  <c r="J436"/>
  <c r="N435"/>
  <c r="O435" s="1"/>
  <c r="M435"/>
  <c r="J435"/>
  <c r="N434"/>
  <c r="O434" s="1"/>
  <c r="M434"/>
  <c r="J434"/>
  <c r="N433"/>
  <c r="O433" s="1"/>
  <c r="M433"/>
  <c r="J433"/>
  <c r="N432"/>
  <c r="O432" s="1"/>
  <c r="M432"/>
  <c r="J432"/>
  <c r="N431"/>
  <c r="O431" s="1"/>
  <c r="M431"/>
  <c r="J431"/>
  <c r="N430"/>
  <c r="O430" s="1"/>
  <c r="M430"/>
  <c r="J430"/>
  <c r="N429"/>
  <c r="O429" s="1"/>
  <c r="M429"/>
  <c r="J429"/>
  <c r="N428"/>
  <c r="O428" s="1"/>
  <c r="M428"/>
  <c r="J428"/>
  <c r="N427"/>
  <c r="O427" s="1"/>
  <c r="M427"/>
  <c r="J427"/>
  <c r="N426"/>
  <c r="O426" s="1"/>
  <c r="M426"/>
  <c r="J426"/>
  <c r="N425"/>
  <c r="O425" s="1"/>
  <c r="M425"/>
  <c r="J425"/>
  <c r="N424"/>
  <c r="O424" s="1"/>
  <c r="M424"/>
  <c r="J424"/>
  <c r="N423"/>
  <c r="O423" s="1"/>
  <c r="M423"/>
  <c r="J423"/>
  <c r="N422"/>
  <c r="O422" s="1"/>
  <c r="M422"/>
  <c r="J422"/>
  <c r="N421"/>
  <c r="O421" s="1"/>
  <c r="M421"/>
  <c r="J421"/>
  <c r="N420"/>
  <c r="O420" s="1"/>
  <c r="M420"/>
  <c r="J420"/>
  <c r="N419"/>
  <c r="O419" s="1"/>
  <c r="M419"/>
  <c r="J419"/>
  <c r="N418"/>
  <c r="O418" s="1"/>
  <c r="M418"/>
  <c r="J418"/>
  <c r="N417"/>
  <c r="O417" s="1"/>
  <c r="M417"/>
  <c r="J417"/>
  <c r="N416"/>
  <c r="O416" s="1"/>
  <c r="M416"/>
  <c r="J416"/>
  <c r="N415"/>
  <c r="O415" s="1"/>
  <c r="M415"/>
  <c r="J415"/>
  <c r="N414"/>
  <c r="O414" s="1"/>
  <c r="M414"/>
  <c r="J414"/>
  <c r="N413"/>
  <c r="O413" s="1"/>
  <c r="M413"/>
  <c r="J413"/>
  <c r="N412"/>
  <c r="O412" s="1"/>
  <c r="M412"/>
  <c r="J412"/>
  <c r="N411"/>
  <c r="O411" s="1"/>
  <c r="M411"/>
  <c r="J411"/>
  <c r="N408"/>
  <c r="O408" s="1"/>
  <c r="L409"/>
  <c r="I409"/>
  <c r="M630" i="43" l="1"/>
  <c r="J630"/>
  <c r="O582"/>
  <c r="O630" s="1"/>
  <c r="N630"/>
  <c r="M408" i="50" l="1"/>
  <c r="J408"/>
  <c r="N407"/>
  <c r="O407" s="1"/>
  <c r="M407"/>
  <c r="J407"/>
  <c r="N406"/>
  <c r="O406" s="1"/>
  <c r="M406"/>
  <c r="J406"/>
  <c r="N405"/>
  <c r="O405" s="1"/>
  <c r="M405"/>
  <c r="J405"/>
  <c r="N404"/>
  <c r="O404" s="1"/>
  <c r="M404"/>
  <c r="J404"/>
  <c r="N403"/>
  <c r="O403" s="1"/>
  <c r="M403"/>
  <c r="J403"/>
  <c r="N402"/>
  <c r="O402" s="1"/>
  <c r="M402"/>
  <c r="J402"/>
  <c r="N401"/>
  <c r="O401" s="1"/>
  <c r="M401"/>
  <c r="J401"/>
  <c r="N400"/>
  <c r="O400" s="1"/>
  <c r="M400"/>
  <c r="J400"/>
  <c r="N399"/>
  <c r="O399" s="1"/>
  <c r="M399"/>
  <c r="J399"/>
  <c r="N398"/>
  <c r="M398"/>
  <c r="M409" s="1"/>
  <c r="J398"/>
  <c r="L175" i="49"/>
  <c r="J409" i="50" l="1"/>
  <c r="O398"/>
  <c r="O409" s="1"/>
  <c r="N409"/>
  <c r="P4338" i="36"/>
  <c r="O4338"/>
  <c r="Q4400"/>
  <c r="N4399"/>
  <c r="O4399" s="1"/>
  <c r="M4399"/>
  <c r="J4399"/>
  <c r="N4398"/>
  <c r="O4398" s="1"/>
  <c r="M4398"/>
  <c r="J4398"/>
  <c r="N4397"/>
  <c r="O4397" s="1"/>
  <c r="M4397"/>
  <c r="J4397"/>
  <c r="N4396"/>
  <c r="O4396" s="1"/>
  <c r="M4396"/>
  <c r="J4396"/>
  <c r="L4395"/>
  <c r="L4400" s="1"/>
  <c r="J4395"/>
  <c r="N4394"/>
  <c r="O4394" s="1"/>
  <c r="M4394"/>
  <c r="J4394"/>
  <c r="N4393"/>
  <c r="O4393" s="1"/>
  <c r="M4393"/>
  <c r="J4393"/>
  <c r="N4392"/>
  <c r="O4392" s="1"/>
  <c r="M4392"/>
  <c r="J4392"/>
  <c r="M4391"/>
  <c r="I4391"/>
  <c r="N4391" s="1"/>
  <c r="O4391" s="1"/>
  <c r="M4390"/>
  <c r="I4390"/>
  <c r="N4390" s="1"/>
  <c r="O4390" s="1"/>
  <c r="M4389"/>
  <c r="I4389"/>
  <c r="I4400" s="1"/>
  <c r="N4388"/>
  <c r="O4388" s="1"/>
  <c r="M4388"/>
  <c r="J4388"/>
  <c r="Q4386"/>
  <c r="N4385"/>
  <c r="O4385" s="1"/>
  <c r="M4385"/>
  <c r="J4385"/>
  <c r="N4384"/>
  <c r="O4384" s="1"/>
  <c r="M4384"/>
  <c r="J4384"/>
  <c r="N4383"/>
  <c r="O4383" s="1"/>
  <c r="M4383"/>
  <c r="J4383"/>
  <c r="N4382"/>
  <c r="O4382" s="1"/>
  <c r="M4382"/>
  <c r="J4382"/>
  <c r="L4381"/>
  <c r="M4381" s="1"/>
  <c r="I4381"/>
  <c r="L4380"/>
  <c r="L4386" s="1"/>
  <c r="I4380"/>
  <c r="I4386" s="1"/>
  <c r="N4379"/>
  <c r="M4379"/>
  <c r="J4379"/>
  <c r="Q4377"/>
  <c r="L4377"/>
  <c r="I4377"/>
  <c r="N4376"/>
  <c r="O4376" s="1"/>
  <c r="M4376"/>
  <c r="J4376"/>
  <c r="N4375"/>
  <c r="O4375" s="1"/>
  <c r="M4375"/>
  <c r="J4375"/>
  <c r="N4374"/>
  <c r="O4374" s="1"/>
  <c r="M4374"/>
  <c r="J4374"/>
  <c r="N4373"/>
  <c r="O4373" s="1"/>
  <c r="M4373"/>
  <c r="J4373"/>
  <c r="N4372"/>
  <c r="M4372"/>
  <c r="J4372"/>
  <c r="Q4370"/>
  <c r="N4369"/>
  <c r="O4369" s="1"/>
  <c r="M4369"/>
  <c r="J4369"/>
  <c r="N4368"/>
  <c r="O4368" s="1"/>
  <c r="M4368"/>
  <c r="J4368"/>
  <c r="N4367"/>
  <c r="O4367" s="1"/>
  <c r="M4367"/>
  <c r="J4367"/>
  <c r="N4366"/>
  <c r="O4366" s="1"/>
  <c r="M4366"/>
  <c r="J4366"/>
  <c r="N4365"/>
  <c r="O4365" s="1"/>
  <c r="M4365"/>
  <c r="J4365"/>
  <c r="N4364"/>
  <c r="O4364" s="1"/>
  <c r="M4364"/>
  <c r="J4364"/>
  <c r="N4363"/>
  <c r="O4363" s="1"/>
  <c r="M4363"/>
  <c r="J4363"/>
  <c r="L4362"/>
  <c r="L4370" s="1"/>
  <c r="I4362"/>
  <c r="M4361"/>
  <c r="I4361"/>
  <c r="I4370" s="1"/>
  <c r="Q4359"/>
  <c r="N4358"/>
  <c r="O4358" s="1"/>
  <c r="M4358"/>
  <c r="J4358"/>
  <c r="N4357"/>
  <c r="O4357" s="1"/>
  <c r="M4357"/>
  <c r="J4357"/>
  <c r="N4356"/>
  <c r="O4356" s="1"/>
  <c r="M4356"/>
  <c r="J4356"/>
  <c r="R4353"/>
  <c r="R4347"/>
  <c r="J4347"/>
  <c r="O4346"/>
  <c r="P4346" s="1"/>
  <c r="N4346"/>
  <c r="K4346"/>
  <c r="O4345"/>
  <c r="P4345" s="1"/>
  <c r="N4345"/>
  <c r="K4345"/>
  <c r="O4344"/>
  <c r="P4344" s="1"/>
  <c r="N4344"/>
  <c r="K4344"/>
  <c r="O4343"/>
  <c r="P4343" s="1"/>
  <c r="N4343"/>
  <c r="K4343"/>
  <c r="M4342"/>
  <c r="M4347" s="1"/>
  <c r="K4342"/>
  <c r="O4341"/>
  <c r="P4341" s="1"/>
  <c r="N4341"/>
  <c r="K4341"/>
  <c r="O4340"/>
  <c r="N4340"/>
  <c r="K4340"/>
  <c r="R4338"/>
  <c r="R4324"/>
  <c r="J4324"/>
  <c r="O4323"/>
  <c r="P4323" s="1"/>
  <c r="N4323"/>
  <c r="K4323"/>
  <c r="M4322"/>
  <c r="N4322" s="1"/>
  <c r="K4322"/>
  <c r="M4321"/>
  <c r="O4321" s="1"/>
  <c r="P4321" s="1"/>
  <c r="K4321"/>
  <c r="M4320"/>
  <c r="N4320" s="1"/>
  <c r="K4320"/>
  <c r="O4319"/>
  <c r="P4319" s="1"/>
  <c r="N4319"/>
  <c r="K4319"/>
  <c r="O4318"/>
  <c r="P4318" s="1"/>
  <c r="N4318"/>
  <c r="K4318"/>
  <c r="K4347" l="1"/>
  <c r="N4342"/>
  <c r="N4362"/>
  <c r="O4362" s="1"/>
  <c r="K4324"/>
  <c r="N4321"/>
  <c r="N4324" s="1"/>
  <c r="J4362"/>
  <c r="M4362"/>
  <c r="M4370" s="1"/>
  <c r="J4377"/>
  <c r="N4377"/>
  <c r="N4347"/>
  <c r="M4377"/>
  <c r="Q4378"/>
  <c r="N4381"/>
  <c r="O4381" s="1"/>
  <c r="J4389"/>
  <c r="N4389"/>
  <c r="O4389" s="1"/>
  <c r="J4391"/>
  <c r="M4395"/>
  <c r="M4400" s="1"/>
  <c r="J4361"/>
  <c r="J4370" s="1"/>
  <c r="N4361"/>
  <c r="O4372"/>
  <c r="O4377" s="1"/>
  <c r="O4379"/>
  <c r="J4380"/>
  <c r="M4380"/>
  <c r="M4386" s="1"/>
  <c r="J4381"/>
  <c r="J4390"/>
  <c r="N4395"/>
  <c r="O4395" s="1"/>
  <c r="N4380"/>
  <c r="O4380" s="1"/>
  <c r="P4340"/>
  <c r="O4342"/>
  <c r="P4342" s="1"/>
  <c r="O4320"/>
  <c r="O4322"/>
  <c r="P4322" s="1"/>
  <c r="M4324"/>
  <c r="P4347" l="1"/>
  <c r="O4400"/>
  <c r="J4386"/>
  <c r="J4400"/>
  <c r="O4361"/>
  <c r="O4370" s="1"/>
  <c r="N4370"/>
  <c r="O4386"/>
  <c r="N4400"/>
  <c r="N4386"/>
  <c r="O4347"/>
  <c r="P4320"/>
  <c r="P4324" s="1"/>
  <c r="O4324"/>
  <c r="O4310" l="1"/>
  <c r="P4310" s="1"/>
  <c r="N4310"/>
  <c r="K4310"/>
  <c r="O4309"/>
  <c r="P4309" s="1"/>
  <c r="N4309"/>
  <c r="K4309"/>
  <c r="O4308"/>
  <c r="P4308" s="1"/>
  <c r="N4308"/>
  <c r="K4308"/>
  <c r="Q4305" l="1"/>
  <c r="R4300"/>
  <c r="O4300"/>
  <c r="O4304"/>
  <c r="P4304" s="1"/>
  <c r="N4304"/>
  <c r="K4304"/>
  <c r="O4303"/>
  <c r="P4303" s="1"/>
  <c r="N4303"/>
  <c r="K4303"/>
  <c r="O4302"/>
  <c r="P4302" s="1"/>
  <c r="N4302"/>
  <c r="K4302"/>
  <c r="O4301"/>
  <c r="P4301" s="1"/>
  <c r="N4301"/>
  <c r="K4301"/>
  <c r="R4286"/>
  <c r="O4286"/>
  <c r="Q4264"/>
  <c r="I4264"/>
  <c r="N4263"/>
  <c r="O4263" s="1"/>
  <c r="M4263"/>
  <c r="J4263"/>
  <c r="N4262"/>
  <c r="O4262" s="1"/>
  <c r="M4262"/>
  <c r="J4262"/>
  <c r="N4261"/>
  <c r="O4261" s="1"/>
  <c r="M4261"/>
  <c r="J4261"/>
  <c r="N4260"/>
  <c r="O4260" s="1"/>
  <c r="M4260"/>
  <c r="J4260"/>
  <c r="N4259"/>
  <c r="O4259" s="1"/>
  <c r="M4259"/>
  <c r="J4259"/>
  <c r="N4258"/>
  <c r="O4258" s="1"/>
  <c r="M4258"/>
  <c r="J4258"/>
  <c r="L4257"/>
  <c r="L4264" s="1"/>
  <c r="J4257"/>
  <c r="N4256"/>
  <c r="O4256" s="1"/>
  <c r="M4256"/>
  <c r="J4256"/>
  <c r="N4255"/>
  <c r="O4255" s="1"/>
  <c r="M4255"/>
  <c r="J4255"/>
  <c r="N4254"/>
  <c r="O4254" s="1"/>
  <c r="M4254"/>
  <c r="J4254"/>
  <c r="N4253"/>
  <c r="O4253" s="1"/>
  <c r="M4253"/>
  <c r="J4253"/>
  <c r="N4252"/>
  <c r="M4252"/>
  <c r="J4252"/>
  <c r="Q4250"/>
  <c r="N4249"/>
  <c r="O4249" s="1"/>
  <c r="M4249"/>
  <c r="J4249"/>
  <c r="N4248"/>
  <c r="O4248" s="1"/>
  <c r="M4248"/>
  <c r="J4248"/>
  <c r="N4247"/>
  <c r="O4247" s="1"/>
  <c r="M4247"/>
  <c r="J4247"/>
  <c r="N4246"/>
  <c r="O4246" s="1"/>
  <c r="M4246"/>
  <c r="J4246"/>
  <c r="L4245"/>
  <c r="L4250" s="1"/>
  <c r="J4245"/>
  <c r="M4244"/>
  <c r="I4244"/>
  <c r="I4250" s="1"/>
  <c r="Q4242"/>
  <c r="I4242"/>
  <c r="L4241"/>
  <c r="N4241" s="1"/>
  <c r="O4241" s="1"/>
  <c r="J4241"/>
  <c r="L4240"/>
  <c r="L4242" s="1"/>
  <c r="J4240"/>
  <c r="N4239"/>
  <c r="O4239" s="1"/>
  <c r="M4239"/>
  <c r="J4239"/>
  <c r="N4238"/>
  <c r="O4238" s="1"/>
  <c r="M4238"/>
  <c r="J4238"/>
  <c r="N4237"/>
  <c r="O4237" s="1"/>
  <c r="M4237"/>
  <c r="J4237"/>
  <c r="N4236"/>
  <c r="O4236" s="1"/>
  <c r="M4236"/>
  <c r="J4236"/>
  <c r="Q560" i="38"/>
  <c r="L400"/>
  <c r="L347"/>
  <c r="L348"/>
  <c r="M4241" i="36" l="1"/>
  <c r="J4244"/>
  <c r="J4250" s="1"/>
  <c r="N4244"/>
  <c r="O4244" s="1"/>
  <c r="M4257"/>
  <c r="M4264" s="1"/>
  <c r="R4306"/>
  <c r="Q4265"/>
  <c r="R4287" s="1"/>
  <c r="M4245"/>
  <c r="M4250" s="1"/>
  <c r="J4264"/>
  <c r="J4242"/>
  <c r="O4252"/>
  <c r="N4257"/>
  <c r="O4257" s="1"/>
  <c r="N4245"/>
  <c r="O4245" s="1"/>
  <c r="N4240"/>
  <c r="O4240" s="1"/>
  <c r="O4242" s="1"/>
  <c r="M4240"/>
  <c r="M4242" s="1"/>
  <c r="O4250" l="1"/>
  <c r="O4264"/>
  <c r="N4264"/>
  <c r="N4250"/>
  <c r="N4242"/>
  <c r="L395" i="50" l="1"/>
  <c r="I395"/>
  <c r="J394"/>
  <c r="J393"/>
  <c r="N394"/>
  <c r="O394" s="1"/>
  <c r="M394"/>
  <c r="N393"/>
  <c r="O393" s="1"/>
  <c r="M393"/>
  <c r="N392"/>
  <c r="O392" s="1"/>
  <c r="M392"/>
  <c r="J392"/>
  <c r="N391"/>
  <c r="O391" s="1"/>
  <c r="M391"/>
  <c r="J391"/>
  <c r="N390"/>
  <c r="O390" s="1"/>
  <c r="M390"/>
  <c r="J390"/>
  <c r="N389"/>
  <c r="O389" s="1"/>
  <c r="M389"/>
  <c r="J389"/>
  <c r="N388"/>
  <c r="O388" s="1"/>
  <c r="M388"/>
  <c r="J388"/>
  <c r="N387"/>
  <c r="O387" s="1"/>
  <c r="M387"/>
  <c r="J387"/>
  <c r="N386"/>
  <c r="O386" s="1"/>
  <c r="M386"/>
  <c r="J386"/>
  <c r="N385"/>
  <c r="O385" s="1"/>
  <c r="M385"/>
  <c r="J385"/>
  <c r="N384"/>
  <c r="O384" s="1"/>
  <c r="M384"/>
  <c r="J384"/>
  <c r="N383"/>
  <c r="O383" s="1"/>
  <c r="M383"/>
  <c r="J383"/>
  <c r="N382"/>
  <c r="O382" s="1"/>
  <c r="M382"/>
  <c r="J382"/>
  <c r="N381"/>
  <c r="O381" s="1"/>
  <c r="M381"/>
  <c r="J381"/>
  <c r="N380"/>
  <c r="O380" s="1"/>
  <c r="M380"/>
  <c r="J380"/>
  <c r="N379"/>
  <c r="O379" s="1"/>
  <c r="M379"/>
  <c r="J379"/>
  <c r="N378"/>
  <c r="O378" s="1"/>
  <c r="M378"/>
  <c r="J378"/>
  <c r="N377"/>
  <c r="O377" s="1"/>
  <c r="M377"/>
  <c r="J377"/>
  <c r="N376"/>
  <c r="O376" s="1"/>
  <c r="M376"/>
  <c r="J376"/>
  <c r="N375"/>
  <c r="O375" s="1"/>
  <c r="M375"/>
  <c r="J375"/>
  <c r="N374"/>
  <c r="O374" s="1"/>
  <c r="M374"/>
  <c r="J374"/>
  <c r="N373"/>
  <c r="O373" s="1"/>
  <c r="O395" s="1"/>
  <c r="M373"/>
  <c r="J373"/>
  <c r="L370"/>
  <c r="L371" s="1"/>
  <c r="I371"/>
  <c r="N370"/>
  <c r="O370" s="1"/>
  <c r="M370"/>
  <c r="J370"/>
  <c r="N369"/>
  <c r="O369" s="1"/>
  <c r="M369"/>
  <c r="J369"/>
  <c r="N368"/>
  <c r="O368" s="1"/>
  <c r="M368"/>
  <c r="J368"/>
  <c r="N367"/>
  <c r="O367" s="1"/>
  <c r="M367"/>
  <c r="J367"/>
  <c r="N366"/>
  <c r="O366" s="1"/>
  <c r="M366"/>
  <c r="J366"/>
  <c r="N365"/>
  <c r="O365" s="1"/>
  <c r="M365"/>
  <c r="J365"/>
  <c r="N364"/>
  <c r="O364" s="1"/>
  <c r="M364"/>
  <c r="J364"/>
  <c r="N363"/>
  <c r="O363" s="1"/>
  <c r="M363"/>
  <c r="J363"/>
  <c r="N362"/>
  <c r="O362" s="1"/>
  <c r="M362"/>
  <c r="J362"/>
  <c r="N361"/>
  <c r="O361" s="1"/>
  <c r="M361"/>
  <c r="J361"/>
  <c r="N360"/>
  <c r="O360" s="1"/>
  <c r="M360"/>
  <c r="J360"/>
  <c r="N359"/>
  <c r="O359" s="1"/>
  <c r="M359"/>
  <c r="J359"/>
  <c r="N358"/>
  <c r="O358" s="1"/>
  <c r="M358"/>
  <c r="J358"/>
  <c r="N357"/>
  <c r="O357" s="1"/>
  <c r="M357"/>
  <c r="J357"/>
  <c r="N356"/>
  <c r="O356" s="1"/>
  <c r="M356"/>
  <c r="J356"/>
  <c r="N355"/>
  <c r="O355" s="1"/>
  <c r="M355"/>
  <c r="J355"/>
  <c r="M354"/>
  <c r="N354"/>
  <c r="O354" s="1"/>
  <c r="J354"/>
  <c r="J371" s="1"/>
  <c r="L351"/>
  <c r="L339"/>
  <c r="L352" s="1"/>
  <c r="L349"/>
  <c r="I346"/>
  <c r="I352"/>
  <c r="N351"/>
  <c r="O351" s="1"/>
  <c r="M351"/>
  <c r="J351"/>
  <c r="N350"/>
  <c r="O350" s="1"/>
  <c r="M350"/>
  <c r="J350"/>
  <c r="N349"/>
  <c r="O349" s="1"/>
  <c r="M349"/>
  <c r="J349"/>
  <c r="N348"/>
  <c r="O348" s="1"/>
  <c r="M348"/>
  <c r="J348"/>
  <c r="N347"/>
  <c r="O347" s="1"/>
  <c r="M347"/>
  <c r="J347"/>
  <c r="N346"/>
  <c r="O346" s="1"/>
  <c r="M346"/>
  <c r="J346"/>
  <c r="M345"/>
  <c r="N345"/>
  <c r="O345" s="1"/>
  <c r="N344"/>
  <c r="O344" s="1"/>
  <c r="M344"/>
  <c r="J344"/>
  <c r="M343"/>
  <c r="N343"/>
  <c r="O343" s="1"/>
  <c r="N342"/>
  <c r="O342" s="1"/>
  <c r="M342"/>
  <c r="J342"/>
  <c r="M341"/>
  <c r="N341"/>
  <c r="O341" s="1"/>
  <c r="N340"/>
  <c r="O340" s="1"/>
  <c r="M340"/>
  <c r="J340"/>
  <c r="M339"/>
  <c r="N339"/>
  <c r="O339" s="1"/>
  <c r="N338"/>
  <c r="O338" s="1"/>
  <c r="M338"/>
  <c r="J338"/>
  <c r="M337"/>
  <c r="N337"/>
  <c r="O337" s="1"/>
  <c r="N336"/>
  <c r="O336" s="1"/>
  <c r="M336"/>
  <c r="J336"/>
  <c r="M335"/>
  <c r="N335"/>
  <c r="O335" s="1"/>
  <c r="N334"/>
  <c r="O334" s="1"/>
  <c r="M334"/>
  <c r="J334"/>
  <c r="M333"/>
  <c r="N333"/>
  <c r="O333" s="1"/>
  <c r="N332"/>
  <c r="O332" s="1"/>
  <c r="M332"/>
  <c r="J332"/>
  <c r="M331"/>
  <c r="N331"/>
  <c r="O331" s="1"/>
  <c r="N330"/>
  <c r="O330" s="1"/>
  <c r="M330"/>
  <c r="J330"/>
  <c r="M329"/>
  <c r="J329"/>
  <c r="N329"/>
  <c r="O329" s="1"/>
  <c r="L323"/>
  <c r="L326" s="1"/>
  <c r="I323"/>
  <c r="I326" s="1"/>
  <c r="N325"/>
  <c r="O325" s="1"/>
  <c r="M325"/>
  <c r="J325"/>
  <c r="N324"/>
  <c r="O324" s="1"/>
  <c r="M324"/>
  <c r="J324"/>
  <c r="N323"/>
  <c r="O323" s="1"/>
  <c r="M323"/>
  <c r="M326" s="1"/>
  <c r="J323"/>
  <c r="M320"/>
  <c r="M319"/>
  <c r="M318"/>
  <c r="L321"/>
  <c r="I321"/>
  <c r="N320"/>
  <c r="O320" s="1"/>
  <c r="J320"/>
  <c r="N319"/>
  <c r="O319" s="1"/>
  <c r="J319"/>
  <c r="N318"/>
  <c r="O318" s="1"/>
  <c r="J318"/>
  <c r="J321" s="1"/>
  <c r="L874" i="38"/>
  <c r="L878"/>
  <c r="L880"/>
  <c r="Q869"/>
  <c r="L869"/>
  <c r="Q849"/>
  <c r="L849"/>
  <c r="L843"/>
  <c r="O321" i="50" l="1"/>
  <c r="J395"/>
  <c r="M321"/>
  <c r="J326"/>
  <c r="O326"/>
  <c r="N321"/>
  <c r="N326"/>
  <c r="N395"/>
  <c r="M395"/>
  <c r="O371"/>
  <c r="M371"/>
  <c r="N371"/>
  <c r="O352"/>
  <c r="M352"/>
  <c r="N352"/>
  <c r="J331"/>
  <c r="J333"/>
  <c r="J335"/>
  <c r="J337"/>
  <c r="J339"/>
  <c r="J341"/>
  <c r="J343"/>
  <c r="J345"/>
  <c r="L808" i="38"/>
  <c r="J352" i="50" l="1"/>
  <c r="L890" i="38" l="1"/>
  <c r="I890"/>
  <c r="N889"/>
  <c r="O889" s="1"/>
  <c r="J889"/>
  <c r="M889"/>
  <c r="N888"/>
  <c r="O888" s="1"/>
  <c r="M888"/>
  <c r="J888"/>
  <c r="N887"/>
  <c r="O887" s="1"/>
  <c r="M887"/>
  <c r="J887"/>
  <c r="N886"/>
  <c r="O886" s="1"/>
  <c r="M886"/>
  <c r="J886"/>
  <c r="N885"/>
  <c r="O885" s="1"/>
  <c r="M885"/>
  <c r="J885"/>
  <c r="N884"/>
  <c r="O884" s="1"/>
  <c r="M884"/>
  <c r="J884"/>
  <c r="N883"/>
  <c r="O883" s="1"/>
  <c r="M883"/>
  <c r="J883"/>
  <c r="N882"/>
  <c r="O882" s="1"/>
  <c r="M882"/>
  <c r="J882"/>
  <c r="N881"/>
  <c r="O881" s="1"/>
  <c r="M881"/>
  <c r="J881"/>
  <c r="N880"/>
  <c r="O880" s="1"/>
  <c r="M880"/>
  <c r="J880"/>
  <c r="N879"/>
  <c r="O879" s="1"/>
  <c r="M879"/>
  <c r="J879"/>
  <c r="N878"/>
  <c r="O878" s="1"/>
  <c r="M878"/>
  <c r="J878"/>
  <c r="N877"/>
  <c r="O877" s="1"/>
  <c r="M877"/>
  <c r="J877"/>
  <c r="N876"/>
  <c r="O876" s="1"/>
  <c r="M876"/>
  <c r="J876"/>
  <c r="N875"/>
  <c r="O875" s="1"/>
  <c r="M875"/>
  <c r="J875"/>
  <c r="N874"/>
  <c r="O874" s="1"/>
  <c r="M874"/>
  <c r="J874"/>
  <c r="N873"/>
  <c r="O873" s="1"/>
  <c r="M873"/>
  <c r="J873"/>
  <c r="N872"/>
  <c r="O872" s="1"/>
  <c r="M872"/>
  <c r="J872"/>
  <c r="N871"/>
  <c r="O871" s="1"/>
  <c r="M871"/>
  <c r="J871"/>
  <c r="O4230" i="36" l="1"/>
  <c r="P4230" s="1"/>
  <c r="N4230"/>
  <c r="K4230"/>
  <c r="O4227" l="1"/>
  <c r="P4227" s="1"/>
  <c r="N4227"/>
  <c r="K4227"/>
  <c r="O4226"/>
  <c r="P4226" s="1"/>
  <c r="N4226"/>
  <c r="K4226"/>
  <c r="O4223"/>
  <c r="P4223" s="1"/>
  <c r="N4223"/>
  <c r="K4223"/>
  <c r="O4222"/>
  <c r="P4222" s="1"/>
  <c r="N4222"/>
  <c r="K4222"/>
  <c r="O4221"/>
  <c r="P4221" s="1"/>
  <c r="N4221"/>
  <c r="K4221"/>
  <c r="O4220"/>
  <c r="P4220" s="1"/>
  <c r="N4220"/>
  <c r="K4220"/>
  <c r="O4219"/>
  <c r="P4219" s="1"/>
  <c r="N4219"/>
  <c r="K4219"/>
  <c r="M8" i="40"/>
  <c r="M7"/>
  <c r="M6"/>
  <c r="M4214" i="36"/>
  <c r="J4214"/>
  <c r="O4213"/>
  <c r="P4213" s="1"/>
  <c r="N4213"/>
  <c r="K4213"/>
  <c r="O4212"/>
  <c r="P4212" s="1"/>
  <c r="N4212"/>
  <c r="K4212"/>
  <c r="O4211"/>
  <c r="P4211" s="1"/>
  <c r="N4211"/>
  <c r="K4211"/>
  <c r="O4210"/>
  <c r="P4210" s="1"/>
  <c r="N4210"/>
  <c r="K4210"/>
  <c r="O4209"/>
  <c r="P4209" s="1"/>
  <c r="N4209"/>
  <c r="K4209"/>
  <c r="O4208"/>
  <c r="P4208" s="1"/>
  <c r="N4208"/>
  <c r="K4208"/>
  <c r="O4207"/>
  <c r="P4207" s="1"/>
  <c r="N4207"/>
  <c r="K4207"/>
  <c r="O4206"/>
  <c r="P4206" s="1"/>
  <c r="N4206"/>
  <c r="K4206"/>
  <c r="O4205"/>
  <c r="P4205" s="1"/>
  <c r="N4205"/>
  <c r="K4205"/>
  <c r="O4204"/>
  <c r="P4204" s="1"/>
  <c r="N4204"/>
  <c r="K4204"/>
  <c r="O4203"/>
  <c r="P4203" s="1"/>
  <c r="N4203"/>
  <c r="K4203"/>
  <c r="O4202"/>
  <c r="P4202" s="1"/>
  <c r="N4202"/>
  <c r="K4202"/>
  <c r="O4201"/>
  <c r="P4201" s="1"/>
  <c r="N4201"/>
  <c r="K4201"/>
  <c r="O4200"/>
  <c r="P4200" s="1"/>
  <c r="N4200"/>
  <c r="K4200"/>
  <c r="O4199"/>
  <c r="P4199" s="1"/>
  <c r="N4199"/>
  <c r="K4199"/>
  <c r="O4198"/>
  <c r="P4198" s="1"/>
  <c r="N4198"/>
  <c r="K4198"/>
  <c r="O4197"/>
  <c r="P4197" s="1"/>
  <c r="N4197"/>
  <c r="K4197"/>
  <c r="O4196"/>
  <c r="P4196" s="1"/>
  <c r="N4196"/>
  <c r="K4196"/>
  <c r="O4195"/>
  <c r="P4195" s="1"/>
  <c r="N4195"/>
  <c r="K4195"/>
  <c r="O4194"/>
  <c r="P4194" s="1"/>
  <c r="N4194"/>
  <c r="K4194"/>
  <c r="O4193"/>
  <c r="N4193"/>
  <c r="K4193"/>
  <c r="O4190"/>
  <c r="P4190" s="1"/>
  <c r="N4190"/>
  <c r="K4190"/>
  <c r="O4189"/>
  <c r="P4189" s="1"/>
  <c r="N4189"/>
  <c r="K4189"/>
  <c r="O4188"/>
  <c r="P4188" s="1"/>
  <c r="N4188"/>
  <c r="K4188"/>
  <c r="O4187"/>
  <c r="P4187" s="1"/>
  <c r="N4187"/>
  <c r="K4187"/>
  <c r="O4186"/>
  <c r="P4186" s="1"/>
  <c r="N4186"/>
  <c r="K4186"/>
  <c r="O4185"/>
  <c r="P4185" s="1"/>
  <c r="N4185"/>
  <c r="K4185"/>
  <c r="O4184"/>
  <c r="P4184" s="1"/>
  <c r="N4184"/>
  <c r="K4184"/>
  <c r="O4183"/>
  <c r="P4183" s="1"/>
  <c r="N4183"/>
  <c r="K4183"/>
  <c r="O4182"/>
  <c r="P4182" s="1"/>
  <c r="N4182"/>
  <c r="K4182"/>
  <c r="M4181"/>
  <c r="N4181" s="1"/>
  <c r="K4181"/>
  <c r="O4180"/>
  <c r="P4180" s="1"/>
  <c r="N4180"/>
  <c r="K4180"/>
  <c r="O4179"/>
  <c r="P4179" s="1"/>
  <c r="N4179"/>
  <c r="K4179"/>
  <c r="O4178"/>
  <c r="P4178" s="1"/>
  <c r="N4178"/>
  <c r="K4178"/>
  <c r="M4177"/>
  <c r="O4177" s="1"/>
  <c r="P4177" s="1"/>
  <c r="K4177"/>
  <c r="M4176"/>
  <c r="N4176" s="1"/>
  <c r="K4176"/>
  <c r="N4175"/>
  <c r="J4175"/>
  <c r="O4175" s="1"/>
  <c r="P4175" s="1"/>
  <c r="M4174"/>
  <c r="J4174"/>
  <c r="J4191" s="1"/>
  <c r="T4156"/>
  <c r="J4156"/>
  <c r="O4155"/>
  <c r="P4155" s="1"/>
  <c r="N4155"/>
  <c r="K4155"/>
  <c r="O4154"/>
  <c r="P4154" s="1"/>
  <c r="N4154"/>
  <c r="K4154"/>
  <c r="O4153"/>
  <c r="P4153" s="1"/>
  <c r="N4153"/>
  <c r="K4153"/>
  <c r="M4152"/>
  <c r="O4152" s="1"/>
  <c r="P4152" s="1"/>
  <c r="K4152"/>
  <c r="M4151"/>
  <c r="N4151" s="1"/>
  <c r="K4151"/>
  <c r="M4150"/>
  <c r="O4150" s="1"/>
  <c r="P4150" s="1"/>
  <c r="K4150"/>
  <c r="M4149"/>
  <c r="N4149" s="1"/>
  <c r="K4149"/>
  <c r="M4148"/>
  <c r="O4148" s="1"/>
  <c r="P4148" s="1"/>
  <c r="K4148"/>
  <c r="O4147"/>
  <c r="P4147" s="1"/>
  <c r="N4147"/>
  <c r="K4147"/>
  <c r="O4146"/>
  <c r="P4146" s="1"/>
  <c r="N4146"/>
  <c r="K4146"/>
  <c r="O4145"/>
  <c r="P4145" s="1"/>
  <c r="N4145"/>
  <c r="K4145"/>
  <c r="M4144"/>
  <c r="O4144" s="1"/>
  <c r="P4144" s="1"/>
  <c r="K4144"/>
  <c r="O4143"/>
  <c r="P4143" s="1"/>
  <c r="N4143"/>
  <c r="K4143"/>
  <c r="O4142"/>
  <c r="P4142" s="1"/>
  <c r="N4142"/>
  <c r="K4142"/>
  <c r="J4128"/>
  <c r="O4127"/>
  <c r="P4127" s="1"/>
  <c r="N4127"/>
  <c r="K4127"/>
  <c r="O4126"/>
  <c r="P4126" s="1"/>
  <c r="N4126"/>
  <c r="K4126"/>
  <c r="M4125"/>
  <c r="O4125" s="1"/>
  <c r="P4125" s="1"/>
  <c r="K4125"/>
  <c r="O4124"/>
  <c r="P4124" s="1"/>
  <c r="N4124"/>
  <c r="K4124"/>
  <c r="O4123"/>
  <c r="P4123" s="1"/>
  <c r="N4123"/>
  <c r="K4123"/>
  <c r="O4122"/>
  <c r="P4122" s="1"/>
  <c r="N4122"/>
  <c r="K4122"/>
  <c r="O4121"/>
  <c r="P4121" s="1"/>
  <c r="N4121"/>
  <c r="K4121"/>
  <c r="O4120"/>
  <c r="P4120" s="1"/>
  <c r="N4120"/>
  <c r="K4120"/>
  <c r="O4119"/>
  <c r="P4119" s="1"/>
  <c r="N4119"/>
  <c r="K4119"/>
  <c r="M4118"/>
  <c r="M4128" s="1"/>
  <c r="K4118"/>
  <c r="O4117"/>
  <c r="P4117" s="1"/>
  <c r="N4117"/>
  <c r="K4117"/>
  <c r="R3946"/>
  <c r="M3935"/>
  <c r="M950" i="35"/>
  <c r="K4214" i="36" l="1"/>
  <c r="O4214"/>
  <c r="M4191"/>
  <c r="N4214"/>
  <c r="N4148"/>
  <c r="N4150"/>
  <c r="N4177"/>
  <c r="N4152"/>
  <c r="K4128"/>
  <c r="N4125"/>
  <c r="K4156"/>
  <c r="P4193"/>
  <c r="P4214" s="1"/>
  <c r="O4174"/>
  <c r="O4176"/>
  <c r="P4176" s="1"/>
  <c r="O4181"/>
  <c r="P4181" s="1"/>
  <c r="K4174"/>
  <c r="N4174"/>
  <c r="N4191" s="1"/>
  <c r="K4175"/>
  <c r="O4149"/>
  <c r="P4149" s="1"/>
  <c r="O4151"/>
  <c r="P4151" s="1"/>
  <c r="N4144"/>
  <c r="M4156"/>
  <c r="O4118"/>
  <c r="P4118" s="1"/>
  <c r="P4128" s="1"/>
  <c r="N4118"/>
  <c r="N4128" s="1"/>
  <c r="O4103"/>
  <c r="P4103" s="1"/>
  <c r="N4103"/>
  <c r="K4103"/>
  <c r="O4102"/>
  <c r="P4102" s="1"/>
  <c r="N4102"/>
  <c r="K4102"/>
  <c r="O4101"/>
  <c r="P4101" s="1"/>
  <c r="N4101"/>
  <c r="K4101"/>
  <c r="O4100"/>
  <c r="P4100" s="1"/>
  <c r="N4100"/>
  <c r="K4100"/>
  <c r="O4099"/>
  <c r="P4099" s="1"/>
  <c r="N4099"/>
  <c r="K4099"/>
  <c r="R4078"/>
  <c r="O4077"/>
  <c r="P4077" s="1"/>
  <c r="N4077"/>
  <c r="K4077"/>
  <c r="O4076"/>
  <c r="P4076" s="1"/>
  <c r="N4076"/>
  <c r="K4076"/>
  <c r="O4075"/>
  <c r="P4075" s="1"/>
  <c r="N4075"/>
  <c r="K4075"/>
  <c r="M4074"/>
  <c r="O4074" s="1"/>
  <c r="P4074" s="1"/>
  <c r="K4074"/>
  <c r="O4073"/>
  <c r="P4073" s="1"/>
  <c r="N4073"/>
  <c r="K4073"/>
  <c r="O4072"/>
  <c r="P4072" s="1"/>
  <c r="N4072"/>
  <c r="K4072"/>
  <c r="O4071"/>
  <c r="P4071" s="1"/>
  <c r="N4071"/>
  <c r="K4071"/>
  <c r="M4070"/>
  <c r="O4070" s="1"/>
  <c r="P4070" s="1"/>
  <c r="K4070"/>
  <c r="O4069"/>
  <c r="P4069" s="1"/>
  <c r="N4069"/>
  <c r="K4069"/>
  <c r="O4068"/>
  <c r="P4068" s="1"/>
  <c r="N4068"/>
  <c r="K4068"/>
  <c r="O4067"/>
  <c r="P4067" s="1"/>
  <c r="N4067"/>
  <c r="K4067"/>
  <c r="M4066"/>
  <c r="O4066" s="1"/>
  <c r="P4066" s="1"/>
  <c r="K4066"/>
  <c r="O4065"/>
  <c r="P4065" s="1"/>
  <c r="N4065"/>
  <c r="K4065"/>
  <c r="O4064"/>
  <c r="P4064" s="1"/>
  <c r="N4064"/>
  <c r="K4064"/>
  <c r="O4063"/>
  <c r="P4063" s="1"/>
  <c r="N4063"/>
  <c r="K4063"/>
  <c r="O4062"/>
  <c r="P4062" s="1"/>
  <c r="N4062"/>
  <c r="K4062"/>
  <c r="O4061"/>
  <c r="P4061" s="1"/>
  <c r="N4061"/>
  <c r="K4061"/>
  <c r="O4060"/>
  <c r="P4060" s="1"/>
  <c r="N4060"/>
  <c r="K4060"/>
  <c r="O4059"/>
  <c r="P4059" s="1"/>
  <c r="N4059"/>
  <c r="K4059"/>
  <c r="O4058"/>
  <c r="P4058" s="1"/>
  <c r="N4058"/>
  <c r="K4058"/>
  <c r="M4057"/>
  <c r="N4057" s="1"/>
  <c r="J4057"/>
  <c r="N4056"/>
  <c r="J4056"/>
  <c r="O4056" s="1"/>
  <c r="P4056" s="1"/>
  <c r="M4055"/>
  <c r="N4055" s="1"/>
  <c r="J4055"/>
  <c r="N4054"/>
  <c r="J4054"/>
  <c r="O4054" s="1"/>
  <c r="P4054" s="1"/>
  <c r="M4053"/>
  <c r="N4053" s="1"/>
  <c r="J4053"/>
  <c r="N4052"/>
  <c r="J4052"/>
  <c r="O4052" s="1"/>
  <c r="P4052" s="1"/>
  <c r="M4051"/>
  <c r="N4051" s="1"/>
  <c r="J4051"/>
  <c r="N4050"/>
  <c r="J4050"/>
  <c r="O4050" s="1"/>
  <c r="P4050" s="1"/>
  <c r="N4049"/>
  <c r="J4049"/>
  <c r="O4049" s="1"/>
  <c r="P4049" s="1"/>
  <c r="O4048"/>
  <c r="P4048" s="1"/>
  <c r="N4048"/>
  <c r="K4048"/>
  <c r="N4047"/>
  <c r="J4047"/>
  <c r="O4047" s="1"/>
  <c r="P4047" s="1"/>
  <c r="M4046"/>
  <c r="J4046"/>
  <c r="L159" i="42"/>
  <c r="L163"/>
  <c r="L155"/>
  <c r="L135"/>
  <c r="R4043" i="36"/>
  <c r="J4043"/>
  <c r="O4042"/>
  <c r="P4042" s="1"/>
  <c r="N4042"/>
  <c r="K4042"/>
  <c r="O4041"/>
  <c r="P4041" s="1"/>
  <c r="N4041"/>
  <c r="K4041"/>
  <c r="O4040"/>
  <c r="P4040" s="1"/>
  <c r="N4040"/>
  <c r="K4040"/>
  <c r="O4039"/>
  <c r="P4039" s="1"/>
  <c r="N4039"/>
  <c r="K4039"/>
  <c r="O4038"/>
  <c r="P4038" s="1"/>
  <c r="N4038"/>
  <c r="K4038"/>
  <c r="O4037"/>
  <c r="P4037" s="1"/>
  <c r="N4037"/>
  <c r="K4037"/>
  <c r="O4036"/>
  <c r="P4036" s="1"/>
  <c r="N4036"/>
  <c r="K4036"/>
  <c r="O4035"/>
  <c r="P4035" s="1"/>
  <c r="N4035"/>
  <c r="K4035"/>
  <c r="O4034"/>
  <c r="P4034" s="1"/>
  <c r="N4034"/>
  <c r="K4034"/>
  <c r="O4033"/>
  <c r="P4033" s="1"/>
  <c r="N4033"/>
  <c r="K4033"/>
  <c r="O4032"/>
  <c r="P4032" s="1"/>
  <c r="N4032"/>
  <c r="K4032"/>
  <c r="O4031"/>
  <c r="P4031" s="1"/>
  <c r="N4031"/>
  <c r="K4031"/>
  <c r="O4030"/>
  <c r="P4030" s="1"/>
  <c r="N4030"/>
  <c r="K4030"/>
  <c r="O4029"/>
  <c r="P4029" s="1"/>
  <c r="N4029"/>
  <c r="K4029"/>
  <c r="M4028"/>
  <c r="M4043" s="1"/>
  <c r="K4028"/>
  <c r="O4027"/>
  <c r="P4027" s="1"/>
  <c r="N4027"/>
  <c r="K4027"/>
  <c r="O4026"/>
  <c r="P4026" s="1"/>
  <c r="N4026"/>
  <c r="K4026"/>
  <c r="O4025"/>
  <c r="P4025" s="1"/>
  <c r="N4025"/>
  <c r="K4025"/>
  <c r="O4024"/>
  <c r="P4024" s="1"/>
  <c r="N4024"/>
  <c r="K4024"/>
  <c r="O4023"/>
  <c r="P4023" s="1"/>
  <c r="N4023"/>
  <c r="K4023"/>
  <c r="O4022"/>
  <c r="P4022" s="1"/>
  <c r="N4022"/>
  <c r="K4022"/>
  <c r="O4021"/>
  <c r="P4021" s="1"/>
  <c r="N4021"/>
  <c r="K4021"/>
  <c r="O4020"/>
  <c r="P4020" s="1"/>
  <c r="N4020"/>
  <c r="K4020"/>
  <c r="O4019"/>
  <c r="P4019" s="1"/>
  <c r="N4019"/>
  <c r="K4019"/>
  <c r="O4018"/>
  <c r="P4018" s="1"/>
  <c r="N4018"/>
  <c r="K4018"/>
  <c r="O4017"/>
  <c r="P4017" s="1"/>
  <c r="N4017"/>
  <c r="K4017"/>
  <c r="O4016"/>
  <c r="P4016" s="1"/>
  <c r="N4016"/>
  <c r="K4016"/>
  <c r="O4015"/>
  <c r="P4015" s="1"/>
  <c r="N4015"/>
  <c r="K4015"/>
  <c r="O4014"/>
  <c r="P4014" s="1"/>
  <c r="N4014"/>
  <c r="K4014"/>
  <c r="O4013"/>
  <c r="P4013" s="1"/>
  <c r="N4013"/>
  <c r="K4013"/>
  <c r="O4012"/>
  <c r="P4012" s="1"/>
  <c r="N4012"/>
  <c r="K4012"/>
  <c r="O4011"/>
  <c r="P4011" s="1"/>
  <c r="N4011"/>
  <c r="K4011"/>
  <c r="O4010"/>
  <c r="P4010" s="1"/>
  <c r="N4010"/>
  <c r="K4010"/>
  <c r="O4009"/>
  <c r="P4009" s="1"/>
  <c r="N4009"/>
  <c r="K4009"/>
  <c r="O4008"/>
  <c r="P4008" s="1"/>
  <c r="N4008"/>
  <c r="K4008"/>
  <c r="O4007"/>
  <c r="P4007" s="1"/>
  <c r="N4007"/>
  <c r="K4007"/>
  <c r="O4006"/>
  <c r="P4006" s="1"/>
  <c r="N4006"/>
  <c r="K4006"/>
  <c r="O4005"/>
  <c r="P4005" s="1"/>
  <c r="N4005"/>
  <c r="K4005"/>
  <c r="O4004"/>
  <c r="P4004" s="1"/>
  <c r="N4004"/>
  <c r="K4004"/>
  <c r="O4003"/>
  <c r="P4003" s="1"/>
  <c r="N4003"/>
  <c r="K4003"/>
  <c r="O4002"/>
  <c r="P4002" s="1"/>
  <c r="N4002"/>
  <c r="K4002"/>
  <c r="O4001"/>
  <c r="P4001" s="1"/>
  <c r="N4001"/>
  <c r="K4001"/>
  <c r="O4000"/>
  <c r="P4000" s="1"/>
  <c r="N4000"/>
  <c r="K4000"/>
  <c r="O3999"/>
  <c r="P3999" s="1"/>
  <c r="N3999"/>
  <c r="K3999"/>
  <c r="R4096"/>
  <c r="R4097" s="1"/>
  <c r="O4095"/>
  <c r="P4095" s="1"/>
  <c r="N4095"/>
  <c r="K4095"/>
  <c r="O4094"/>
  <c r="P4094" s="1"/>
  <c r="N4094"/>
  <c r="K4094"/>
  <c r="O4093"/>
  <c r="P4093" s="1"/>
  <c r="N4093"/>
  <c r="K4093"/>
  <c r="M4092"/>
  <c r="N4092" s="1"/>
  <c r="J4092"/>
  <c r="K4092" s="1"/>
  <c r="O4091"/>
  <c r="P4091" s="1"/>
  <c r="N4091"/>
  <c r="K4091"/>
  <c r="O4090"/>
  <c r="P4090" s="1"/>
  <c r="N4090"/>
  <c r="K4090"/>
  <c r="O4089"/>
  <c r="P4089" s="1"/>
  <c r="N4089"/>
  <c r="K4089"/>
  <c r="O4088"/>
  <c r="P4088" s="1"/>
  <c r="N4088"/>
  <c r="K4088"/>
  <c r="O4087"/>
  <c r="P4087" s="1"/>
  <c r="N4087"/>
  <c r="K4087"/>
  <c r="O4086"/>
  <c r="P4086" s="1"/>
  <c r="N4086"/>
  <c r="K4086"/>
  <c r="O4085"/>
  <c r="P4085" s="1"/>
  <c r="N4085"/>
  <c r="K4085"/>
  <c r="O4084"/>
  <c r="P4084" s="1"/>
  <c r="N4084"/>
  <c r="K4084"/>
  <c r="M4083"/>
  <c r="N4083" s="1"/>
  <c r="J4083"/>
  <c r="M4082"/>
  <c r="N4082" s="1"/>
  <c r="J4082"/>
  <c r="M4081"/>
  <c r="M4096" s="1"/>
  <c r="J4081"/>
  <c r="N4080"/>
  <c r="J4080"/>
  <c r="J4096" s="1"/>
  <c r="L331" i="42"/>
  <c r="O4053" i="36" l="1"/>
  <c r="P4053" s="1"/>
  <c r="N4156"/>
  <c r="N4070"/>
  <c r="J4078"/>
  <c r="K4053"/>
  <c r="K4054"/>
  <c r="O4057"/>
  <c r="P4057" s="1"/>
  <c r="O4081"/>
  <c r="P4081" s="1"/>
  <c r="O4082"/>
  <c r="P4082" s="1"/>
  <c r="O4083"/>
  <c r="P4083" s="1"/>
  <c r="K4043"/>
  <c r="M4078"/>
  <c r="K4057"/>
  <c r="K4050"/>
  <c r="P4156"/>
  <c r="O4191"/>
  <c r="P4174"/>
  <c r="P4191" s="1"/>
  <c r="K4191"/>
  <c r="O4156"/>
  <c r="O4128"/>
  <c r="K4080"/>
  <c r="O4080"/>
  <c r="K4046"/>
  <c r="N4046"/>
  <c r="K4047"/>
  <c r="O4051"/>
  <c r="P4051" s="1"/>
  <c r="O4055"/>
  <c r="P4055" s="1"/>
  <c r="O4046"/>
  <c r="K4049"/>
  <c r="K4051"/>
  <c r="K4052"/>
  <c r="K4055"/>
  <c r="K4056"/>
  <c r="N4066"/>
  <c r="N4074"/>
  <c r="N4028"/>
  <c r="N4043" s="1"/>
  <c r="O4028"/>
  <c r="P4028" s="1"/>
  <c r="P4043" s="1"/>
  <c r="O4092"/>
  <c r="P4092" s="1"/>
  <c r="K4081"/>
  <c r="N4081"/>
  <c r="N4096" s="1"/>
  <c r="K4082"/>
  <c r="K4083"/>
  <c r="K4096" l="1"/>
  <c r="O4096"/>
  <c r="P4080"/>
  <c r="P4096" s="1"/>
  <c r="N4078"/>
  <c r="K4078"/>
  <c r="O4078"/>
  <c r="P4046"/>
  <c r="P4078" s="1"/>
  <c r="O4043"/>
  <c r="R695" i="35" l="1"/>
  <c r="T3995" i="36" l="1"/>
  <c r="R4044" s="1"/>
  <c r="J3995"/>
  <c r="O3994"/>
  <c r="P3994" s="1"/>
  <c r="N3994"/>
  <c r="K3994"/>
  <c r="O3993"/>
  <c r="P3993" s="1"/>
  <c r="N3993"/>
  <c r="K3993"/>
  <c r="O3992"/>
  <c r="P3992" s="1"/>
  <c r="N3992"/>
  <c r="K3992"/>
  <c r="M3991"/>
  <c r="O3991" s="1"/>
  <c r="P3991" s="1"/>
  <c r="K3991"/>
  <c r="M3990"/>
  <c r="O3990" s="1"/>
  <c r="P3990" s="1"/>
  <c r="K3990"/>
  <c r="M3989"/>
  <c r="O3989" s="1"/>
  <c r="P3989" s="1"/>
  <c r="K3989"/>
  <c r="M3988"/>
  <c r="N3988" s="1"/>
  <c r="K3988"/>
  <c r="M3987"/>
  <c r="O3987" s="1"/>
  <c r="P3987" s="1"/>
  <c r="K3987"/>
  <c r="O3986"/>
  <c r="P3986" s="1"/>
  <c r="N3986"/>
  <c r="K3986"/>
  <c r="O3985"/>
  <c r="P3985" s="1"/>
  <c r="N3985"/>
  <c r="K3985"/>
  <c r="O3984"/>
  <c r="P3984" s="1"/>
  <c r="N3984"/>
  <c r="K3984"/>
  <c r="M3983"/>
  <c r="O3983" s="1"/>
  <c r="P3983" s="1"/>
  <c r="K3983"/>
  <c r="O3982"/>
  <c r="P3982" s="1"/>
  <c r="N3982"/>
  <c r="K3982"/>
  <c r="O3981"/>
  <c r="P3981" s="1"/>
  <c r="N3981"/>
  <c r="K3981"/>
  <c r="L129" i="42"/>
  <c r="L128"/>
  <c r="L126"/>
  <c r="L125"/>
  <c r="S133"/>
  <c r="R3979" i="36"/>
  <c r="O3979"/>
  <c r="R3962"/>
  <c r="O3962"/>
  <c r="O3946"/>
  <c r="N3987" l="1"/>
  <c r="N3991"/>
  <c r="K3995"/>
  <c r="N3989"/>
  <c r="O3988"/>
  <c r="P3988" s="1"/>
  <c r="P3995" s="1"/>
  <c r="N3983"/>
  <c r="N3990"/>
  <c r="M3995"/>
  <c r="N3995" l="1"/>
  <c r="O3995"/>
  <c r="M792" i="38" l="1"/>
  <c r="L773"/>
  <c r="L770"/>
  <c r="L793" s="1"/>
  <c r="I793"/>
  <c r="N792"/>
  <c r="O792" s="1"/>
  <c r="J792"/>
  <c r="N791"/>
  <c r="O791" s="1"/>
  <c r="M791"/>
  <c r="J791"/>
  <c r="N790"/>
  <c r="O790" s="1"/>
  <c r="M790"/>
  <c r="J790"/>
  <c r="N789"/>
  <c r="O789" s="1"/>
  <c r="M789"/>
  <c r="J789"/>
  <c r="N788"/>
  <c r="O788" s="1"/>
  <c r="M788"/>
  <c r="J788"/>
  <c r="N787"/>
  <c r="O787" s="1"/>
  <c r="M787"/>
  <c r="J787"/>
  <c r="N786"/>
  <c r="O786" s="1"/>
  <c r="M786"/>
  <c r="J786"/>
  <c r="N785"/>
  <c r="O785" s="1"/>
  <c r="M785"/>
  <c r="J785"/>
  <c r="N784"/>
  <c r="O784" s="1"/>
  <c r="M784"/>
  <c r="J784"/>
  <c r="N783"/>
  <c r="O783" s="1"/>
  <c r="M783"/>
  <c r="J783"/>
  <c r="N782"/>
  <c r="O782" s="1"/>
  <c r="M782"/>
  <c r="J782"/>
  <c r="N781"/>
  <c r="O781" s="1"/>
  <c r="M781"/>
  <c r="J781"/>
  <c r="N780"/>
  <c r="O780" s="1"/>
  <c r="M780"/>
  <c r="J780"/>
  <c r="N779"/>
  <c r="O779" s="1"/>
  <c r="M779"/>
  <c r="J779"/>
  <c r="N778"/>
  <c r="O778" s="1"/>
  <c r="M778"/>
  <c r="J778"/>
  <c r="N777"/>
  <c r="O777" s="1"/>
  <c r="M777"/>
  <c r="J777"/>
  <c r="N776"/>
  <c r="O776" s="1"/>
  <c r="M776"/>
  <c r="J776"/>
  <c r="N775"/>
  <c r="O775" s="1"/>
  <c r="M775"/>
  <c r="J775"/>
  <c r="N774"/>
  <c r="O774" s="1"/>
  <c r="M774"/>
  <c r="J774"/>
  <c r="N773"/>
  <c r="O773" s="1"/>
  <c r="M773"/>
  <c r="J773"/>
  <c r="N772"/>
  <c r="O772" s="1"/>
  <c r="M772"/>
  <c r="J772"/>
  <c r="N771"/>
  <c r="O771" s="1"/>
  <c r="M771"/>
  <c r="J771"/>
  <c r="N770"/>
  <c r="O770" s="1"/>
  <c r="M770"/>
  <c r="J770"/>
  <c r="N769"/>
  <c r="O769" s="1"/>
  <c r="M769"/>
  <c r="J769"/>
  <c r="N768"/>
  <c r="O768" s="1"/>
  <c r="M768"/>
  <c r="J768"/>
  <c r="N767"/>
  <c r="O767" s="1"/>
  <c r="M767"/>
  <c r="J767"/>
  <c r="N766"/>
  <c r="O766" s="1"/>
  <c r="M766"/>
  <c r="J766"/>
  <c r="N765"/>
  <c r="O765" s="1"/>
  <c r="M765"/>
  <c r="J765"/>
  <c r="N764"/>
  <c r="O764" s="1"/>
  <c r="M764"/>
  <c r="J764"/>
  <c r="N763"/>
  <c r="O763" s="1"/>
  <c r="M763"/>
  <c r="J763"/>
  <c r="N762"/>
  <c r="O762" s="1"/>
  <c r="M762"/>
  <c r="J762"/>
  <c r="N761"/>
  <c r="O761" s="1"/>
  <c r="M761"/>
  <c r="J761"/>
  <c r="N760"/>
  <c r="O760" s="1"/>
  <c r="M760"/>
  <c r="J760"/>
  <c r="N759" l="1"/>
  <c r="O759" s="1"/>
  <c r="M759"/>
  <c r="J759"/>
  <c r="N758"/>
  <c r="O758" s="1"/>
  <c r="M758"/>
  <c r="J758"/>
  <c r="N757"/>
  <c r="O757" s="1"/>
  <c r="M757"/>
  <c r="J757"/>
  <c r="N756"/>
  <c r="O756" s="1"/>
  <c r="M756"/>
  <c r="J756"/>
  <c r="N755"/>
  <c r="O755" s="1"/>
  <c r="M755"/>
  <c r="J755"/>
  <c r="N754"/>
  <c r="O754" s="1"/>
  <c r="M754"/>
  <c r="J754"/>
  <c r="N753"/>
  <c r="O753" s="1"/>
  <c r="M753"/>
  <c r="J753"/>
  <c r="N752"/>
  <c r="O752" s="1"/>
  <c r="M752"/>
  <c r="J752"/>
  <c r="N751"/>
  <c r="O751" s="1"/>
  <c r="M751"/>
  <c r="J751"/>
  <c r="N750"/>
  <c r="O750" s="1"/>
  <c r="M750"/>
  <c r="J750"/>
  <c r="N749"/>
  <c r="O749" s="1"/>
  <c r="M749"/>
  <c r="J749"/>
  <c r="N748"/>
  <c r="O748" s="1"/>
  <c r="M748"/>
  <c r="J748"/>
  <c r="N747"/>
  <c r="O747" s="1"/>
  <c r="M747"/>
  <c r="J747"/>
  <c r="N746"/>
  <c r="O746" s="1"/>
  <c r="M746"/>
  <c r="J746"/>
  <c r="N745"/>
  <c r="O745" s="1"/>
  <c r="M745"/>
  <c r="J745"/>
  <c r="N744"/>
  <c r="O744" s="1"/>
  <c r="M744"/>
  <c r="J744"/>
  <c r="N743"/>
  <c r="O743" s="1"/>
  <c r="M743"/>
  <c r="J743"/>
  <c r="N742"/>
  <c r="O742" s="1"/>
  <c r="M742"/>
  <c r="J742"/>
  <c r="N741"/>
  <c r="O741" s="1"/>
  <c r="M741"/>
  <c r="J741"/>
  <c r="N740"/>
  <c r="O740" s="1"/>
  <c r="M740"/>
  <c r="J740"/>
  <c r="N739"/>
  <c r="O739" s="1"/>
  <c r="M739"/>
  <c r="J739"/>
  <c r="N738"/>
  <c r="O738" s="1"/>
  <c r="M738"/>
  <c r="J738"/>
  <c r="N737"/>
  <c r="O737" s="1"/>
  <c r="M737"/>
  <c r="J737"/>
  <c r="N736"/>
  <c r="O736" s="1"/>
  <c r="M736"/>
  <c r="J736"/>
  <c r="N735"/>
  <c r="O735" s="1"/>
  <c r="M735"/>
  <c r="J735"/>
  <c r="N734"/>
  <c r="O734" s="1"/>
  <c r="M734"/>
  <c r="J734"/>
  <c r="N733"/>
  <c r="O733" s="1"/>
  <c r="M733"/>
  <c r="J733"/>
  <c r="N732"/>
  <c r="O732" s="1"/>
  <c r="M732"/>
  <c r="J732"/>
  <c r="N731"/>
  <c r="M731"/>
  <c r="J731"/>
  <c r="N730"/>
  <c r="M730"/>
  <c r="M793" s="1"/>
  <c r="J730"/>
  <c r="L716"/>
  <c r="L721"/>
  <c r="I728"/>
  <c r="N725"/>
  <c r="O725" s="1"/>
  <c r="M725"/>
  <c r="J725"/>
  <c r="N724"/>
  <c r="O724" s="1"/>
  <c r="M724"/>
  <c r="J724"/>
  <c r="N723"/>
  <c r="O723" s="1"/>
  <c r="M723"/>
  <c r="J723"/>
  <c r="N722"/>
  <c r="O722" s="1"/>
  <c r="M722"/>
  <c r="J722"/>
  <c r="N721"/>
  <c r="O721" s="1"/>
  <c r="M721"/>
  <c r="J721"/>
  <c r="N720"/>
  <c r="O720" s="1"/>
  <c r="M720"/>
  <c r="J720"/>
  <c r="N719"/>
  <c r="O719" s="1"/>
  <c r="M719"/>
  <c r="J719"/>
  <c r="N727"/>
  <c r="O727" s="1"/>
  <c r="M727"/>
  <c r="J727"/>
  <c r="N726"/>
  <c r="O726" s="1"/>
  <c r="M726"/>
  <c r="J726"/>
  <c r="N718"/>
  <c r="O718" s="1"/>
  <c r="M718"/>
  <c r="J718"/>
  <c r="N717"/>
  <c r="O717" s="1"/>
  <c r="M717"/>
  <c r="J717"/>
  <c r="N716"/>
  <c r="O716" s="1"/>
  <c r="M716"/>
  <c r="J716"/>
  <c r="N715"/>
  <c r="O715" s="1"/>
  <c r="M715"/>
  <c r="J715"/>
  <c r="N714"/>
  <c r="O714" s="1"/>
  <c r="M714"/>
  <c r="J714"/>
  <c r="N713"/>
  <c r="O713" s="1"/>
  <c r="M713"/>
  <c r="J713"/>
  <c r="N712"/>
  <c r="O712" s="1"/>
  <c r="M712"/>
  <c r="J712"/>
  <c r="N711"/>
  <c r="O711" s="1"/>
  <c r="M711"/>
  <c r="J711"/>
  <c r="N710"/>
  <c r="O710" s="1"/>
  <c r="M710"/>
  <c r="J710"/>
  <c r="N709"/>
  <c r="O709" s="1"/>
  <c r="M709"/>
  <c r="J709"/>
  <c r="N708"/>
  <c r="O708" s="1"/>
  <c r="M708"/>
  <c r="J708"/>
  <c r="N707"/>
  <c r="O707" s="1"/>
  <c r="M707"/>
  <c r="J707"/>
  <c r="N706"/>
  <c r="O706" s="1"/>
  <c r="M706"/>
  <c r="J706"/>
  <c r="N705"/>
  <c r="O705" s="1"/>
  <c r="M705"/>
  <c r="J705"/>
  <c r="N704"/>
  <c r="O704" s="1"/>
  <c r="M704"/>
  <c r="J704"/>
  <c r="N703"/>
  <c r="O703" s="1"/>
  <c r="M703"/>
  <c r="J703"/>
  <c r="L701"/>
  <c r="I701"/>
  <c r="N700"/>
  <c r="O700" s="1"/>
  <c r="M700"/>
  <c r="J700"/>
  <c r="N699"/>
  <c r="O699" s="1"/>
  <c r="M699"/>
  <c r="J699"/>
  <c r="N698"/>
  <c r="O698" s="1"/>
  <c r="M698"/>
  <c r="J698"/>
  <c r="N697"/>
  <c r="O697" s="1"/>
  <c r="M697"/>
  <c r="J697"/>
  <c r="N696"/>
  <c r="O696" s="1"/>
  <c r="M696"/>
  <c r="J696"/>
  <c r="N695"/>
  <c r="O695" s="1"/>
  <c r="M695"/>
  <c r="J695"/>
  <c r="L691"/>
  <c r="L693"/>
  <c r="I693"/>
  <c r="N691"/>
  <c r="O691" s="1"/>
  <c r="M691"/>
  <c r="J691"/>
  <c r="N690"/>
  <c r="O690" s="1"/>
  <c r="M690"/>
  <c r="J690"/>
  <c r="N689"/>
  <c r="O689" s="1"/>
  <c r="M689"/>
  <c r="J689"/>
  <c r="N688"/>
  <c r="O688" s="1"/>
  <c r="M688"/>
  <c r="J688"/>
  <c r="N687"/>
  <c r="O687" s="1"/>
  <c r="M687"/>
  <c r="J687"/>
  <c r="N686"/>
  <c r="O686" s="1"/>
  <c r="M686"/>
  <c r="J686"/>
  <c r="N685"/>
  <c r="O685" s="1"/>
  <c r="M685"/>
  <c r="J685"/>
  <c r="N684"/>
  <c r="O684" s="1"/>
  <c r="M684"/>
  <c r="J684"/>
  <c r="N683"/>
  <c r="O683" s="1"/>
  <c r="M683"/>
  <c r="J683"/>
  <c r="N692"/>
  <c r="O692" s="1"/>
  <c r="M692"/>
  <c r="J692"/>
  <c r="N682"/>
  <c r="O682" s="1"/>
  <c r="M682"/>
  <c r="J682"/>
  <c r="N681"/>
  <c r="O681" s="1"/>
  <c r="M681"/>
  <c r="J681"/>
  <c r="N680"/>
  <c r="O680" s="1"/>
  <c r="M680"/>
  <c r="J680"/>
  <c r="N679"/>
  <c r="O679" s="1"/>
  <c r="M679"/>
  <c r="J679"/>
  <c r="N678"/>
  <c r="O678" s="1"/>
  <c r="M678"/>
  <c r="J678"/>
  <c r="N677"/>
  <c r="O677" s="1"/>
  <c r="M677"/>
  <c r="J677"/>
  <c r="M667"/>
  <c r="L675"/>
  <c r="I675"/>
  <c r="N674"/>
  <c r="O674" s="1"/>
  <c r="M674"/>
  <c r="J674"/>
  <c r="N673"/>
  <c r="O673" s="1"/>
  <c r="M673"/>
  <c r="J673"/>
  <c r="N672"/>
  <c r="O672" s="1"/>
  <c r="M672"/>
  <c r="J672"/>
  <c r="N671"/>
  <c r="O671" s="1"/>
  <c r="M671"/>
  <c r="J671"/>
  <c r="N670"/>
  <c r="O670" s="1"/>
  <c r="M670"/>
  <c r="J670"/>
  <c r="N669"/>
  <c r="O669" s="1"/>
  <c r="M669"/>
  <c r="J669"/>
  <c r="N668"/>
  <c r="O668" s="1"/>
  <c r="M668"/>
  <c r="J668"/>
  <c r="N667"/>
  <c r="O667" s="1"/>
  <c r="J667"/>
  <c r="N666"/>
  <c r="O666" s="1"/>
  <c r="M666"/>
  <c r="J666"/>
  <c r="L728" l="1"/>
  <c r="O730"/>
  <c r="N793"/>
  <c r="O728"/>
  <c r="J793"/>
  <c r="O731"/>
  <c r="M728"/>
  <c r="J728"/>
  <c r="N728"/>
  <c r="O701"/>
  <c r="M701"/>
  <c r="N701"/>
  <c r="J701"/>
  <c r="J693"/>
  <c r="O693"/>
  <c r="M693"/>
  <c r="N693"/>
  <c r="J675"/>
  <c r="N675"/>
  <c r="M675"/>
  <c r="O675"/>
  <c r="O793" l="1"/>
  <c r="N869"/>
  <c r="O869" s="1"/>
  <c r="M869"/>
  <c r="J869"/>
  <c r="N868"/>
  <c r="O868" s="1"/>
  <c r="M868"/>
  <c r="J868"/>
  <c r="N867"/>
  <c r="O867" s="1"/>
  <c r="M867"/>
  <c r="J867"/>
  <c r="N866"/>
  <c r="O866" s="1"/>
  <c r="M866"/>
  <c r="J866"/>
  <c r="N865"/>
  <c r="O865" s="1"/>
  <c r="M865"/>
  <c r="J865"/>
  <c r="N864"/>
  <c r="O864" s="1"/>
  <c r="M864"/>
  <c r="J864"/>
  <c r="N863"/>
  <c r="O863" s="1"/>
  <c r="M863"/>
  <c r="J863"/>
  <c r="N862"/>
  <c r="O862" s="1"/>
  <c r="M862"/>
  <c r="J862"/>
  <c r="N861"/>
  <c r="O861" s="1"/>
  <c r="M861"/>
  <c r="J861"/>
  <c r="N860"/>
  <c r="O860" s="1"/>
  <c r="M860"/>
  <c r="J860"/>
  <c r="N854"/>
  <c r="O854" s="1"/>
  <c r="M854"/>
  <c r="J854"/>
  <c r="N853"/>
  <c r="O853" s="1"/>
  <c r="M853"/>
  <c r="J853"/>
  <c r="N852"/>
  <c r="O852" s="1"/>
  <c r="M852"/>
  <c r="J852"/>
  <c r="N851"/>
  <c r="O851" s="1"/>
  <c r="M851"/>
  <c r="J851"/>
  <c r="N850"/>
  <c r="O850" s="1"/>
  <c r="M850"/>
  <c r="J850"/>
  <c r="N849"/>
  <c r="O849" s="1"/>
  <c r="M849"/>
  <c r="J849"/>
  <c r="N848"/>
  <c r="O848" s="1"/>
  <c r="M848"/>
  <c r="J848"/>
  <c r="N847"/>
  <c r="O847" s="1"/>
  <c r="M847"/>
  <c r="J847"/>
  <c r="N846"/>
  <c r="O846" s="1"/>
  <c r="M846"/>
  <c r="J846"/>
  <c r="N845"/>
  <c r="O845" s="1"/>
  <c r="M845"/>
  <c r="J845"/>
  <c r="N844"/>
  <c r="O844" s="1"/>
  <c r="M844"/>
  <c r="J844"/>
  <c r="N843"/>
  <c r="O843" s="1"/>
  <c r="M843"/>
  <c r="J843"/>
  <c r="N842"/>
  <c r="O842" s="1"/>
  <c r="M842"/>
  <c r="J842"/>
  <c r="N841"/>
  <c r="O841" s="1"/>
  <c r="M841"/>
  <c r="J841"/>
  <c r="N857" l="1"/>
  <c r="O857" s="1"/>
  <c r="M857"/>
  <c r="J857"/>
  <c r="N856"/>
  <c r="O856" s="1"/>
  <c r="M856"/>
  <c r="J856"/>
  <c r="N855"/>
  <c r="O855" s="1"/>
  <c r="M855"/>
  <c r="J855"/>
  <c r="N840"/>
  <c r="O840" s="1"/>
  <c r="M840"/>
  <c r="J840"/>
  <c r="N839"/>
  <c r="O839" s="1"/>
  <c r="M839"/>
  <c r="J839"/>
  <c r="N838"/>
  <c r="O838" s="1"/>
  <c r="M838"/>
  <c r="J838"/>
  <c r="N837"/>
  <c r="O837" s="1"/>
  <c r="M837"/>
  <c r="J837"/>
  <c r="N836"/>
  <c r="O836" s="1"/>
  <c r="M836"/>
  <c r="J836"/>
  <c r="N835"/>
  <c r="O835" s="1"/>
  <c r="M835"/>
  <c r="J835"/>
  <c r="N834"/>
  <c r="O834" s="1"/>
  <c r="M834"/>
  <c r="J834"/>
  <c r="N833"/>
  <c r="O833" s="1"/>
  <c r="M833"/>
  <c r="J833"/>
  <c r="N832"/>
  <c r="O832" s="1"/>
  <c r="M832"/>
  <c r="J832"/>
  <c r="N831"/>
  <c r="O831" s="1"/>
  <c r="M831"/>
  <c r="J831"/>
  <c r="N830"/>
  <c r="O830" s="1"/>
  <c r="M830"/>
  <c r="J830"/>
  <c r="N829"/>
  <c r="O829" s="1"/>
  <c r="M829"/>
  <c r="J829"/>
  <c r="N828"/>
  <c r="O828" s="1"/>
  <c r="M828"/>
  <c r="J828"/>
  <c r="N827"/>
  <c r="O827" s="1"/>
  <c r="M827"/>
  <c r="J827"/>
  <c r="N826"/>
  <c r="O826" s="1"/>
  <c r="M826"/>
  <c r="J826"/>
  <c r="N825"/>
  <c r="O825" s="1"/>
  <c r="M825"/>
  <c r="J825"/>
  <c r="N824"/>
  <c r="O824" s="1"/>
  <c r="M824"/>
  <c r="J824"/>
  <c r="N823"/>
  <c r="O823" s="1"/>
  <c r="M823"/>
  <c r="J823"/>
  <c r="N822"/>
  <c r="O822" s="1"/>
  <c r="M822"/>
  <c r="J822"/>
  <c r="N821"/>
  <c r="O821" s="1"/>
  <c r="M821"/>
  <c r="J821"/>
  <c r="N820"/>
  <c r="O820" s="1"/>
  <c r="M820"/>
  <c r="J820"/>
  <c r="N819"/>
  <c r="O819" s="1"/>
  <c r="M819"/>
  <c r="J819"/>
  <c r="N870"/>
  <c r="O870" s="1"/>
  <c r="M870"/>
  <c r="J870"/>
  <c r="N859"/>
  <c r="O859" s="1"/>
  <c r="M859"/>
  <c r="J859"/>
  <c r="N858"/>
  <c r="O858" s="1"/>
  <c r="M858"/>
  <c r="J858"/>
  <c r="N818"/>
  <c r="O818" s="1"/>
  <c r="M818"/>
  <c r="J818"/>
  <c r="N817"/>
  <c r="O817" s="1"/>
  <c r="M817"/>
  <c r="J817"/>
  <c r="N816"/>
  <c r="O816" s="1"/>
  <c r="M816"/>
  <c r="J816"/>
  <c r="N815"/>
  <c r="O815" s="1"/>
  <c r="M815"/>
  <c r="J815"/>
  <c r="N814"/>
  <c r="O814" s="1"/>
  <c r="M814"/>
  <c r="J814"/>
  <c r="N813"/>
  <c r="O813" s="1"/>
  <c r="M813"/>
  <c r="J813"/>
  <c r="N812"/>
  <c r="O812" s="1"/>
  <c r="M812"/>
  <c r="J812"/>
  <c r="N811"/>
  <c r="O811" s="1"/>
  <c r="M811"/>
  <c r="J811"/>
  <c r="N810"/>
  <c r="O810" s="1"/>
  <c r="M810"/>
  <c r="J810"/>
  <c r="N809"/>
  <c r="O809" s="1"/>
  <c r="M809"/>
  <c r="J809"/>
  <c r="N808"/>
  <c r="O808" s="1"/>
  <c r="M808"/>
  <c r="J808"/>
  <c r="N807"/>
  <c r="O807" s="1"/>
  <c r="M807"/>
  <c r="J807"/>
  <c r="M806"/>
  <c r="J806"/>
  <c r="N805"/>
  <c r="O805" s="1"/>
  <c r="M805"/>
  <c r="J805"/>
  <c r="N804"/>
  <c r="O804" s="1"/>
  <c r="M804"/>
  <c r="J804"/>
  <c r="N803"/>
  <c r="O803" s="1"/>
  <c r="M803"/>
  <c r="J803"/>
  <c r="N802"/>
  <c r="O802" s="1"/>
  <c r="M802"/>
  <c r="J802"/>
  <c r="N801"/>
  <c r="O801" s="1"/>
  <c r="M801"/>
  <c r="J801"/>
  <c r="N800"/>
  <c r="O800" s="1"/>
  <c r="M800"/>
  <c r="J800"/>
  <c r="N799"/>
  <c r="O799" s="1"/>
  <c r="M799"/>
  <c r="J799"/>
  <c r="N798"/>
  <c r="O798" s="1"/>
  <c r="M798"/>
  <c r="J798"/>
  <c r="N797"/>
  <c r="O797" s="1"/>
  <c r="M797"/>
  <c r="J797"/>
  <c r="N796"/>
  <c r="O796" s="1"/>
  <c r="M796"/>
  <c r="J796"/>
  <c r="N795"/>
  <c r="M795"/>
  <c r="J795"/>
  <c r="J890" l="1"/>
  <c r="M890"/>
  <c r="O795"/>
  <c r="N806"/>
  <c r="O806" s="1"/>
  <c r="T3927" i="36"/>
  <c r="J3927"/>
  <c r="O3926"/>
  <c r="P3926" s="1"/>
  <c r="N3926"/>
  <c r="K3926"/>
  <c r="O3925"/>
  <c r="P3925" s="1"/>
  <c r="N3925"/>
  <c r="K3925"/>
  <c r="O3924"/>
  <c r="P3924" s="1"/>
  <c r="N3924"/>
  <c r="K3924"/>
  <c r="M3923"/>
  <c r="O3923" s="1"/>
  <c r="P3923" s="1"/>
  <c r="K3923"/>
  <c r="O3922"/>
  <c r="P3922" s="1"/>
  <c r="N3922"/>
  <c r="K3922"/>
  <c r="O3921"/>
  <c r="P3921" s="1"/>
  <c r="N3921"/>
  <c r="K3921"/>
  <c r="O3920"/>
  <c r="P3920" s="1"/>
  <c r="N3920"/>
  <c r="K3920"/>
  <c r="O3919"/>
  <c r="P3919" s="1"/>
  <c r="N3919"/>
  <c r="K3919"/>
  <c r="O3918"/>
  <c r="P3918" s="1"/>
  <c r="N3918"/>
  <c r="K3918"/>
  <c r="O3917"/>
  <c r="P3917" s="1"/>
  <c r="N3917"/>
  <c r="K3917"/>
  <c r="O3916"/>
  <c r="P3916" s="1"/>
  <c r="N3916"/>
  <c r="K3916"/>
  <c r="O3915"/>
  <c r="P3915" s="1"/>
  <c r="N3915"/>
  <c r="K3915"/>
  <c r="O3914"/>
  <c r="P3914" s="1"/>
  <c r="N3914"/>
  <c r="K3914"/>
  <c r="M3913"/>
  <c r="O3913" s="1"/>
  <c r="P3913" s="1"/>
  <c r="K3913"/>
  <c r="O3912"/>
  <c r="P3912" s="1"/>
  <c r="N3912"/>
  <c r="K3912"/>
  <c r="M3911"/>
  <c r="N3911" s="1"/>
  <c r="K3911"/>
  <c r="O3910"/>
  <c r="P3910" s="1"/>
  <c r="N3910"/>
  <c r="K3910"/>
  <c r="O3909"/>
  <c r="P3909" s="1"/>
  <c r="N3909"/>
  <c r="K3909"/>
  <c r="O3908"/>
  <c r="P3908" s="1"/>
  <c r="N3908"/>
  <c r="K3908"/>
  <c r="O3907"/>
  <c r="P3907" s="1"/>
  <c r="N3907"/>
  <c r="K3907"/>
  <c r="O3906"/>
  <c r="P3906" s="1"/>
  <c r="N3906"/>
  <c r="K3906"/>
  <c r="O3905"/>
  <c r="N3905"/>
  <c r="K3905"/>
  <c r="T370" i="39"/>
  <c r="M366"/>
  <c r="M356"/>
  <c r="R3903" i="36"/>
  <c r="O3902"/>
  <c r="P3902" s="1"/>
  <c r="N3902"/>
  <c r="K3902"/>
  <c r="O3901"/>
  <c r="P3901" s="1"/>
  <c r="N3901"/>
  <c r="K3901"/>
  <c r="O3900"/>
  <c r="P3900" s="1"/>
  <c r="N3900"/>
  <c r="K3900"/>
  <c r="O3899"/>
  <c r="P3899" s="1"/>
  <c r="N3899"/>
  <c r="K3899"/>
  <c r="O3898"/>
  <c r="P3898" s="1"/>
  <c r="N3898"/>
  <c r="K3898"/>
  <c r="O3897"/>
  <c r="P3897" s="1"/>
  <c r="N3897"/>
  <c r="K3897"/>
  <c r="R3849"/>
  <c r="O3849"/>
  <c r="R1065" i="35"/>
  <c r="M1065"/>
  <c r="K3927" i="36" l="1"/>
  <c r="O890" i="38"/>
  <c r="N890"/>
  <c r="N3923" i="36"/>
  <c r="O3903"/>
  <c r="M3927"/>
  <c r="P3905"/>
  <c r="O3911"/>
  <c r="P3911" s="1"/>
  <c r="N3913"/>
  <c r="N3927" l="1"/>
  <c r="O3927"/>
  <c r="P3927"/>
  <c r="R3880" l="1"/>
  <c r="J3880"/>
  <c r="O3879"/>
  <c r="P3879" s="1"/>
  <c r="N3879"/>
  <c r="K3879"/>
  <c r="O3878"/>
  <c r="P3878" s="1"/>
  <c r="N3878"/>
  <c r="K3878"/>
  <c r="O3877"/>
  <c r="P3877" s="1"/>
  <c r="N3877"/>
  <c r="K3877"/>
  <c r="O3876"/>
  <c r="P3876" s="1"/>
  <c r="N3876"/>
  <c r="K3876"/>
  <c r="M3875"/>
  <c r="M3880" s="1"/>
  <c r="K3875"/>
  <c r="O3874"/>
  <c r="P3874" s="1"/>
  <c r="N3874"/>
  <c r="K3874"/>
  <c r="O3873"/>
  <c r="N3873"/>
  <c r="K3873"/>
  <c r="R184" i="39"/>
  <c r="K3880" i="36" l="1"/>
  <c r="N3875"/>
  <c r="N3880" s="1"/>
  <c r="P3873"/>
  <c r="O3875"/>
  <c r="P3875" s="1"/>
  <c r="P3880" l="1"/>
  <c r="O3880"/>
  <c r="R3827"/>
  <c r="O3826"/>
  <c r="P3826" s="1"/>
  <c r="N3826"/>
  <c r="K3826"/>
  <c r="O3825"/>
  <c r="P3825" s="1"/>
  <c r="N3825"/>
  <c r="K3825"/>
  <c r="O3824"/>
  <c r="P3824" s="1"/>
  <c r="N3824"/>
  <c r="K3824"/>
  <c r="O3823"/>
  <c r="P3823" s="1"/>
  <c r="N3823"/>
  <c r="K3823"/>
  <c r="M3822"/>
  <c r="N3822" s="1"/>
  <c r="J3822"/>
  <c r="O3821"/>
  <c r="P3821" s="1"/>
  <c r="N3821"/>
  <c r="K3821"/>
  <c r="M3820"/>
  <c r="N3820" s="1"/>
  <c r="J3820"/>
  <c r="O3819"/>
  <c r="P3819" s="1"/>
  <c r="N3819"/>
  <c r="K3819"/>
  <c r="M3818"/>
  <c r="J3818"/>
  <c r="N3817"/>
  <c r="J3817"/>
  <c r="O3817" s="1"/>
  <c r="P3817" s="1"/>
  <c r="N3816"/>
  <c r="J3816"/>
  <c r="J3827" s="1"/>
  <c r="O3815"/>
  <c r="N3815"/>
  <c r="K3815"/>
  <c r="L123" i="43"/>
  <c r="L121"/>
  <c r="R3812" i="36"/>
  <c r="J3812"/>
  <c r="O3811"/>
  <c r="P3811" s="1"/>
  <c r="N3811"/>
  <c r="K3811"/>
  <c r="O3810"/>
  <c r="P3810" s="1"/>
  <c r="N3810"/>
  <c r="K3810"/>
  <c r="M3809"/>
  <c r="M3812" s="1"/>
  <c r="K3809"/>
  <c r="O3808"/>
  <c r="P3808" s="1"/>
  <c r="N3808"/>
  <c r="K3808"/>
  <c r="O3807"/>
  <c r="P3807" s="1"/>
  <c r="N3807"/>
  <c r="K3807"/>
  <c r="O3806"/>
  <c r="P3806" s="1"/>
  <c r="N3806"/>
  <c r="K3806"/>
  <c r="O3805"/>
  <c r="P3805" s="1"/>
  <c r="N3805"/>
  <c r="K3805"/>
  <c r="O3804"/>
  <c r="P3804" s="1"/>
  <c r="N3804"/>
  <c r="K3804"/>
  <c r="O3803"/>
  <c r="P3803" s="1"/>
  <c r="N3803"/>
  <c r="K3803"/>
  <c r="O3802"/>
  <c r="P3802" s="1"/>
  <c r="N3802"/>
  <c r="K3802"/>
  <c r="L575" i="43"/>
  <c r="R3747" i="36"/>
  <c r="J3747"/>
  <c r="O3746"/>
  <c r="P3746" s="1"/>
  <c r="N3746"/>
  <c r="K3746"/>
  <c r="O3745"/>
  <c r="P3745" s="1"/>
  <c r="N3745"/>
  <c r="K3745"/>
  <c r="O3744"/>
  <c r="P3744" s="1"/>
  <c r="N3744"/>
  <c r="K3744"/>
  <c r="O3743"/>
  <c r="P3743" s="1"/>
  <c r="N3743"/>
  <c r="K3743"/>
  <c r="O3742"/>
  <c r="P3742" s="1"/>
  <c r="N3742"/>
  <c r="K3742"/>
  <c r="O3741"/>
  <c r="P3741" s="1"/>
  <c r="N3741"/>
  <c r="K3741"/>
  <c r="O3740"/>
  <c r="P3740" s="1"/>
  <c r="N3740"/>
  <c r="K3740"/>
  <c r="O3739"/>
  <c r="P3739" s="1"/>
  <c r="N3739"/>
  <c r="K3739"/>
  <c r="O3738"/>
  <c r="P3738" s="1"/>
  <c r="N3738"/>
  <c r="K3738"/>
  <c r="O3737"/>
  <c r="P3737" s="1"/>
  <c r="N3737"/>
  <c r="K3737"/>
  <c r="O3736"/>
  <c r="P3736" s="1"/>
  <c r="N3736"/>
  <c r="K3736"/>
  <c r="O3735"/>
  <c r="P3735" s="1"/>
  <c r="N3735"/>
  <c r="K3735"/>
  <c r="O3734"/>
  <c r="P3734" s="1"/>
  <c r="N3734"/>
  <c r="K3734"/>
  <c r="O3733"/>
  <c r="P3733" s="1"/>
  <c r="N3733"/>
  <c r="K3733"/>
  <c r="O3732"/>
  <c r="P3732" s="1"/>
  <c r="N3732"/>
  <c r="K3732"/>
  <c r="O3731"/>
  <c r="P3731" s="1"/>
  <c r="N3731"/>
  <c r="K3731"/>
  <c r="O3730"/>
  <c r="P3730" s="1"/>
  <c r="N3730"/>
  <c r="K3730"/>
  <c r="O3729"/>
  <c r="P3729" s="1"/>
  <c r="N3729"/>
  <c r="K3729"/>
  <c r="O3728"/>
  <c r="P3728" s="1"/>
  <c r="N3728"/>
  <c r="K3728"/>
  <c r="M3727"/>
  <c r="N3727" s="1"/>
  <c r="K3727"/>
  <c r="O3726"/>
  <c r="P3726" s="1"/>
  <c r="N3726"/>
  <c r="K3726"/>
  <c r="O3725"/>
  <c r="P3725" s="1"/>
  <c r="N3725"/>
  <c r="K3725"/>
  <c r="O3724"/>
  <c r="P3724" s="1"/>
  <c r="N3724"/>
  <c r="K3724"/>
  <c r="O3723"/>
  <c r="P3723" s="1"/>
  <c r="N3723"/>
  <c r="K3723"/>
  <c r="O3722"/>
  <c r="P3722" s="1"/>
  <c r="N3722"/>
  <c r="K3722"/>
  <c r="O3721"/>
  <c r="P3721" s="1"/>
  <c r="N3721"/>
  <c r="K3721"/>
  <c r="O3720"/>
  <c r="P3720" s="1"/>
  <c r="N3720"/>
  <c r="K3720"/>
  <c r="O3719"/>
  <c r="P3719" s="1"/>
  <c r="N3719"/>
  <c r="K3719"/>
  <c r="O3718"/>
  <c r="P3718" s="1"/>
  <c r="N3718"/>
  <c r="K3718"/>
  <c r="M3717"/>
  <c r="O3717" s="1"/>
  <c r="P3717" s="1"/>
  <c r="K3717"/>
  <c r="O3716"/>
  <c r="P3716" s="1"/>
  <c r="N3716"/>
  <c r="K3716"/>
  <c r="R3799"/>
  <c r="M3799"/>
  <c r="J3799"/>
  <c r="O3798"/>
  <c r="P3798" s="1"/>
  <c r="N3798"/>
  <c r="K3798"/>
  <c r="O3797"/>
  <c r="P3797" s="1"/>
  <c r="N3797"/>
  <c r="K3797"/>
  <c r="O3796"/>
  <c r="P3796" s="1"/>
  <c r="N3796"/>
  <c r="K3796"/>
  <c r="O3795"/>
  <c r="P3795" s="1"/>
  <c r="N3795"/>
  <c r="K3795"/>
  <c r="O3794"/>
  <c r="P3794" s="1"/>
  <c r="N3794"/>
  <c r="K3794"/>
  <c r="O3793"/>
  <c r="P3793" s="1"/>
  <c r="N3793"/>
  <c r="K3793"/>
  <c r="O3792"/>
  <c r="P3792" s="1"/>
  <c r="N3792"/>
  <c r="K3792"/>
  <c r="O3791"/>
  <c r="P3791" s="1"/>
  <c r="N3791"/>
  <c r="K3791"/>
  <c r="O3790"/>
  <c r="P3790" s="1"/>
  <c r="N3790"/>
  <c r="K3790"/>
  <c r="O3789"/>
  <c r="P3789" s="1"/>
  <c r="N3789"/>
  <c r="K3789"/>
  <c r="O3788"/>
  <c r="P3788" s="1"/>
  <c r="N3788"/>
  <c r="K3788"/>
  <c r="O3787"/>
  <c r="P3787" s="1"/>
  <c r="N3787"/>
  <c r="K3787"/>
  <c r="O3786"/>
  <c r="N3786"/>
  <c r="K3786"/>
  <c r="R3784"/>
  <c r="J3784"/>
  <c r="O3783"/>
  <c r="P3783" s="1"/>
  <c r="N3783"/>
  <c r="K3783"/>
  <c r="O3782"/>
  <c r="P3782" s="1"/>
  <c r="N3782"/>
  <c r="K3782"/>
  <c r="O3781"/>
  <c r="P3781" s="1"/>
  <c r="N3781"/>
  <c r="K3781"/>
  <c r="O3780"/>
  <c r="P3780" s="1"/>
  <c r="N3780"/>
  <c r="K3780"/>
  <c r="O3779"/>
  <c r="P3779" s="1"/>
  <c r="N3779"/>
  <c r="K3779"/>
  <c r="O3778"/>
  <c r="P3778" s="1"/>
  <c r="N3778"/>
  <c r="K3778"/>
  <c r="O3777"/>
  <c r="P3777" s="1"/>
  <c r="N3777"/>
  <c r="K3777"/>
  <c r="O3776"/>
  <c r="P3776" s="1"/>
  <c r="N3776"/>
  <c r="K3776"/>
  <c r="O3775"/>
  <c r="P3775" s="1"/>
  <c r="N3775"/>
  <c r="K3775"/>
  <c r="O3774"/>
  <c r="P3774" s="1"/>
  <c r="N3774"/>
  <c r="K3774"/>
  <c r="O3773"/>
  <c r="P3773" s="1"/>
  <c r="N3773"/>
  <c r="K3773"/>
  <c r="O3772"/>
  <c r="P3772" s="1"/>
  <c r="N3772"/>
  <c r="K3772"/>
  <c r="O3771"/>
  <c r="P3771" s="1"/>
  <c r="N3771"/>
  <c r="K3771"/>
  <c r="O3770"/>
  <c r="P3770" s="1"/>
  <c r="N3770"/>
  <c r="K3770"/>
  <c r="M3769"/>
  <c r="M3784" s="1"/>
  <c r="K3769"/>
  <c r="O3768"/>
  <c r="P3768" s="1"/>
  <c r="N3768"/>
  <c r="K3768"/>
  <c r="O3767"/>
  <c r="P3767" s="1"/>
  <c r="N3767"/>
  <c r="K3767"/>
  <c r="O3766"/>
  <c r="P3766" s="1"/>
  <c r="N3766"/>
  <c r="K3766"/>
  <c r="O3765"/>
  <c r="P3765" s="1"/>
  <c r="N3765"/>
  <c r="K3765"/>
  <c r="R3762"/>
  <c r="O3761"/>
  <c r="P3761" s="1"/>
  <c r="N3761"/>
  <c r="K3761"/>
  <c r="O3760"/>
  <c r="P3760" s="1"/>
  <c r="N3760"/>
  <c r="K3760"/>
  <c r="O3759"/>
  <c r="P3759" s="1"/>
  <c r="N3759"/>
  <c r="K3759"/>
  <c r="O3758"/>
  <c r="P3758" s="1"/>
  <c r="N3758"/>
  <c r="K3758"/>
  <c r="O3757"/>
  <c r="P3757" s="1"/>
  <c r="N3757"/>
  <c r="K3757"/>
  <c r="N3756"/>
  <c r="J3756"/>
  <c r="O3756" s="1"/>
  <c r="P3756" s="1"/>
  <c r="N3755"/>
  <c r="J3755"/>
  <c r="O3755" s="1"/>
  <c r="P3755" s="1"/>
  <c r="O3754"/>
  <c r="P3754" s="1"/>
  <c r="N3754"/>
  <c r="K3754"/>
  <c r="O3753"/>
  <c r="P3753" s="1"/>
  <c r="N3753"/>
  <c r="K3753"/>
  <c r="O3752"/>
  <c r="P3752" s="1"/>
  <c r="N3752"/>
  <c r="K3752"/>
  <c r="M3751"/>
  <c r="M3762" s="1"/>
  <c r="J3751"/>
  <c r="L3" i="43"/>
  <c r="O3818" i="36" l="1"/>
  <c r="P3818" s="1"/>
  <c r="O3822"/>
  <c r="P3822" s="1"/>
  <c r="N3717"/>
  <c r="N3747" s="1"/>
  <c r="K3784"/>
  <c r="K3799"/>
  <c r="O3799"/>
  <c r="K3817"/>
  <c r="M3827"/>
  <c r="O3820"/>
  <c r="P3820" s="1"/>
  <c r="P3815"/>
  <c r="K3816"/>
  <c r="O3816"/>
  <c r="P3816" s="1"/>
  <c r="K3818"/>
  <c r="N3818"/>
  <c r="N3827" s="1"/>
  <c r="K3820"/>
  <c r="K3822"/>
  <c r="J3762"/>
  <c r="K3756"/>
  <c r="N3799"/>
  <c r="P3786"/>
  <c r="P3799" s="1"/>
  <c r="K3747"/>
  <c r="K3812"/>
  <c r="N3809"/>
  <c r="N3812" s="1"/>
  <c r="O3809"/>
  <c r="O3727"/>
  <c r="P3727" s="1"/>
  <c r="P3747" s="1"/>
  <c r="M3747"/>
  <c r="O3747"/>
  <c r="N3769"/>
  <c r="N3784" s="1"/>
  <c r="O3769"/>
  <c r="P3769" s="1"/>
  <c r="P3784" s="1"/>
  <c r="K3751"/>
  <c r="N3751"/>
  <c r="N3762" s="1"/>
  <c r="K3755"/>
  <c r="O3751"/>
  <c r="K3827" l="1"/>
  <c r="P3827"/>
  <c r="O3827"/>
  <c r="O3812"/>
  <c r="P3809"/>
  <c r="P3812" s="1"/>
  <c r="O3784"/>
  <c r="O3762"/>
  <c r="P3751"/>
  <c r="P3762" s="1"/>
  <c r="K3762"/>
  <c r="R3704" l="1"/>
  <c r="O3703"/>
  <c r="P3703" s="1"/>
  <c r="N3703"/>
  <c r="K3703"/>
  <c r="O3702"/>
  <c r="P3702" s="1"/>
  <c r="N3702"/>
  <c r="K3702"/>
  <c r="O3701"/>
  <c r="P3701" s="1"/>
  <c r="N3701"/>
  <c r="K3701"/>
  <c r="O3700"/>
  <c r="P3700" s="1"/>
  <c r="N3700"/>
  <c r="K3700"/>
  <c r="O3699"/>
  <c r="P3699" s="1"/>
  <c r="N3699"/>
  <c r="K3699"/>
  <c r="O3698"/>
  <c r="P3698" s="1"/>
  <c r="N3698"/>
  <c r="K3698"/>
  <c r="O3697"/>
  <c r="P3697" s="1"/>
  <c r="N3697"/>
  <c r="K3697"/>
  <c r="O3696"/>
  <c r="P3696" s="1"/>
  <c r="N3696"/>
  <c r="K3696"/>
  <c r="O3695"/>
  <c r="P3695" s="1"/>
  <c r="N3695"/>
  <c r="K3695"/>
  <c r="O3694"/>
  <c r="P3694" s="1"/>
  <c r="N3694"/>
  <c r="K3694"/>
  <c r="O3693"/>
  <c r="P3693" s="1"/>
  <c r="N3693"/>
  <c r="K3693"/>
  <c r="M3692"/>
  <c r="J3692"/>
  <c r="N3691"/>
  <c r="J3691"/>
  <c r="O3691" s="1"/>
  <c r="P3691" s="1"/>
  <c r="M3690"/>
  <c r="N3690" s="1"/>
  <c r="J3690"/>
  <c r="N3689"/>
  <c r="J3689"/>
  <c r="O3689" s="1"/>
  <c r="P3689" s="1"/>
  <c r="N3688"/>
  <c r="J3688"/>
  <c r="O3688" s="1"/>
  <c r="P3688" s="1"/>
  <c r="M3687"/>
  <c r="N3687" s="1"/>
  <c r="J3687"/>
  <c r="N3686"/>
  <c r="J3686"/>
  <c r="J3704" s="1"/>
  <c r="Q3641"/>
  <c r="I3641"/>
  <c r="N3640"/>
  <c r="O3640" s="1"/>
  <c r="M3640"/>
  <c r="J3640"/>
  <c r="L3639"/>
  <c r="N3639" s="1"/>
  <c r="O3639" s="1"/>
  <c r="J3639"/>
  <c r="N3638"/>
  <c r="O3638" s="1"/>
  <c r="M3638"/>
  <c r="J3638"/>
  <c r="N3637"/>
  <c r="O3637" s="1"/>
  <c r="M3637"/>
  <c r="J3637"/>
  <c r="N3636"/>
  <c r="O3636" s="1"/>
  <c r="M3636"/>
  <c r="J3636"/>
  <c r="N3635"/>
  <c r="O3635" s="1"/>
  <c r="M3635"/>
  <c r="J3635"/>
  <c r="N3634"/>
  <c r="O3634" s="1"/>
  <c r="M3634"/>
  <c r="J3634"/>
  <c r="N3633"/>
  <c r="O3633" s="1"/>
  <c r="M3633"/>
  <c r="J3633"/>
  <c r="N3632"/>
  <c r="O3632" s="1"/>
  <c r="M3632"/>
  <c r="J3632"/>
  <c r="N3631"/>
  <c r="O3631" s="1"/>
  <c r="M3631"/>
  <c r="J3631"/>
  <c r="L3630"/>
  <c r="N3630" s="1"/>
  <c r="O3630" s="1"/>
  <c r="J3630"/>
  <c r="N3629"/>
  <c r="O3629" s="1"/>
  <c r="M3629"/>
  <c r="J3629"/>
  <c r="N3628"/>
  <c r="O3628" s="1"/>
  <c r="M3628"/>
  <c r="J3628"/>
  <c r="N3627"/>
  <c r="O3627" s="1"/>
  <c r="M3627"/>
  <c r="J3627"/>
  <c r="N3626"/>
  <c r="O3626" s="1"/>
  <c r="M3626"/>
  <c r="J3626"/>
  <c r="N3625"/>
  <c r="O3625" s="1"/>
  <c r="M3625"/>
  <c r="J3625"/>
  <c r="N3624"/>
  <c r="O3624" s="1"/>
  <c r="M3624"/>
  <c r="J3624"/>
  <c r="N3623"/>
  <c r="O3623" s="1"/>
  <c r="M3623"/>
  <c r="J3623"/>
  <c r="N3622"/>
  <c r="O3622" s="1"/>
  <c r="M3622"/>
  <c r="J3622"/>
  <c r="N3621"/>
  <c r="O3621" s="1"/>
  <c r="M3621"/>
  <c r="J3621"/>
  <c r="N3620"/>
  <c r="O3620" s="1"/>
  <c r="M3620"/>
  <c r="J3620"/>
  <c r="N3619"/>
  <c r="O3619" s="1"/>
  <c r="M3619"/>
  <c r="J3619"/>
  <c r="N3618"/>
  <c r="O3618" s="1"/>
  <c r="M3618"/>
  <c r="J3618"/>
  <c r="R3615"/>
  <c r="O3615"/>
  <c r="R3598"/>
  <c r="Q156" i="50"/>
  <c r="L154"/>
  <c r="L145"/>
  <c r="Q302"/>
  <c r="M743" i="35"/>
  <c r="O3687" i="36" l="1"/>
  <c r="P3687" s="1"/>
  <c r="O3690"/>
  <c r="P3690" s="1"/>
  <c r="O3692"/>
  <c r="P3692" s="1"/>
  <c r="K3687"/>
  <c r="K3688"/>
  <c r="K3690"/>
  <c r="K3691"/>
  <c r="M3704"/>
  <c r="K3686"/>
  <c r="O3686"/>
  <c r="K3689"/>
  <c r="K3692"/>
  <c r="N3692"/>
  <c r="N3704" s="1"/>
  <c r="J3641"/>
  <c r="M3639"/>
  <c r="O3641"/>
  <c r="N3641"/>
  <c r="M3630"/>
  <c r="L3641"/>
  <c r="M3641" l="1"/>
  <c r="O3704"/>
  <c r="P3686"/>
  <c r="P3704" s="1"/>
  <c r="K3704"/>
  <c r="M1144" i="35" l="1"/>
  <c r="O3598" i="36" l="1"/>
  <c r="R3684" l="1"/>
  <c r="R3705" s="1"/>
  <c r="O3684"/>
  <c r="R3650"/>
  <c r="J3651"/>
  <c r="O3650"/>
  <c r="P3650" s="1"/>
  <c r="N3650"/>
  <c r="K3650"/>
  <c r="O3649"/>
  <c r="P3649" s="1"/>
  <c r="N3649"/>
  <c r="K3649"/>
  <c r="M3648"/>
  <c r="M3651" s="1"/>
  <c r="K3648"/>
  <c r="O3647"/>
  <c r="P3647" s="1"/>
  <c r="N3647"/>
  <c r="K3647"/>
  <c r="O3646"/>
  <c r="P3646" s="1"/>
  <c r="N3646"/>
  <c r="K3646"/>
  <c r="O3645"/>
  <c r="P3645" s="1"/>
  <c r="N3645"/>
  <c r="K3645"/>
  <c r="R3577"/>
  <c r="Q3642" s="1"/>
  <c r="J3577"/>
  <c r="M3576"/>
  <c r="O3576" s="1"/>
  <c r="P3576" s="1"/>
  <c r="K3576"/>
  <c r="O3575"/>
  <c r="P3575" s="1"/>
  <c r="N3575"/>
  <c r="K3575"/>
  <c r="O3574"/>
  <c r="P3574" s="1"/>
  <c r="N3574"/>
  <c r="K3574"/>
  <c r="O3573"/>
  <c r="P3573" s="1"/>
  <c r="N3573"/>
  <c r="K3573"/>
  <c r="O3572"/>
  <c r="P3572" s="1"/>
  <c r="N3572"/>
  <c r="K3572"/>
  <c r="O3571"/>
  <c r="P3571" s="1"/>
  <c r="N3571"/>
  <c r="K3571"/>
  <c r="O3570"/>
  <c r="P3570" s="1"/>
  <c r="N3570"/>
  <c r="K3570"/>
  <c r="O3569"/>
  <c r="P3569" s="1"/>
  <c r="N3569"/>
  <c r="K3569"/>
  <c r="O3568"/>
  <c r="P3568" s="1"/>
  <c r="N3568"/>
  <c r="K3568"/>
  <c r="O3567"/>
  <c r="P3567" s="1"/>
  <c r="N3567"/>
  <c r="K3567"/>
  <c r="O3566"/>
  <c r="P3566" s="1"/>
  <c r="N3566"/>
  <c r="K3566"/>
  <c r="O3565"/>
  <c r="P3565" s="1"/>
  <c r="N3565"/>
  <c r="K3565"/>
  <c r="O3564"/>
  <c r="P3564" s="1"/>
  <c r="N3564"/>
  <c r="K3564"/>
  <c r="O3563"/>
  <c r="P3563" s="1"/>
  <c r="N3563"/>
  <c r="K3563"/>
  <c r="O3562"/>
  <c r="P3562" s="1"/>
  <c r="N3562"/>
  <c r="K3562"/>
  <c r="O3561"/>
  <c r="P3561" s="1"/>
  <c r="N3561"/>
  <c r="K3561"/>
  <c r="O3560"/>
  <c r="P3560" s="1"/>
  <c r="N3560"/>
  <c r="K3560"/>
  <c r="O3559"/>
  <c r="P3559" s="1"/>
  <c r="N3559"/>
  <c r="K3559"/>
  <c r="O3558"/>
  <c r="P3558" s="1"/>
  <c r="N3558"/>
  <c r="K3558"/>
  <c r="O3557"/>
  <c r="P3557" s="1"/>
  <c r="N3557"/>
  <c r="K3557"/>
  <c r="O3556"/>
  <c r="P3556" s="1"/>
  <c r="N3556"/>
  <c r="K3556"/>
  <c r="O3555"/>
  <c r="P3555" s="1"/>
  <c r="N3555"/>
  <c r="K3555"/>
  <c r="M3554"/>
  <c r="K3554"/>
  <c r="O3553"/>
  <c r="P3553" s="1"/>
  <c r="N3553"/>
  <c r="K3553"/>
  <c r="O3552"/>
  <c r="P3552" s="1"/>
  <c r="N3552"/>
  <c r="K3552"/>
  <c r="O3551"/>
  <c r="P3551" s="1"/>
  <c r="N3551"/>
  <c r="K3551"/>
  <c r="O3550"/>
  <c r="P3550" s="1"/>
  <c r="N3550"/>
  <c r="K3550"/>
  <c r="O3549"/>
  <c r="P3549" s="1"/>
  <c r="N3549"/>
  <c r="K3549"/>
  <c r="O3548"/>
  <c r="P3548" s="1"/>
  <c r="N3548"/>
  <c r="K3548"/>
  <c r="O3547"/>
  <c r="P3547" s="1"/>
  <c r="N3547"/>
  <c r="K3547"/>
  <c r="O3546"/>
  <c r="P3546" s="1"/>
  <c r="N3546"/>
  <c r="K3546"/>
  <c r="O3545"/>
  <c r="P3545" s="1"/>
  <c r="N3545"/>
  <c r="K3545"/>
  <c r="O3544"/>
  <c r="P3544" s="1"/>
  <c r="N3544"/>
  <c r="K3544"/>
  <c r="O3543"/>
  <c r="P3543" s="1"/>
  <c r="N3543"/>
  <c r="K3543"/>
  <c r="O3542"/>
  <c r="P3542" s="1"/>
  <c r="N3542"/>
  <c r="K3542"/>
  <c r="O3541"/>
  <c r="P3541" s="1"/>
  <c r="N3541"/>
  <c r="K3541"/>
  <c r="O3540"/>
  <c r="P3540" s="1"/>
  <c r="N3540"/>
  <c r="K3540"/>
  <c r="O3539"/>
  <c r="P3539" s="1"/>
  <c r="N3539"/>
  <c r="K3539"/>
  <c r="O3538"/>
  <c r="P3538" s="1"/>
  <c r="N3538"/>
  <c r="K3538"/>
  <c r="O3537"/>
  <c r="P3537" s="1"/>
  <c r="N3537"/>
  <c r="K3537"/>
  <c r="O3536"/>
  <c r="P3536" s="1"/>
  <c r="N3536"/>
  <c r="K3536"/>
  <c r="O3535"/>
  <c r="P3535" s="1"/>
  <c r="N3535"/>
  <c r="K3535"/>
  <c r="O3534"/>
  <c r="P3534" s="1"/>
  <c r="N3534"/>
  <c r="K3534"/>
  <c r="O3533"/>
  <c r="P3533" s="1"/>
  <c r="N3533"/>
  <c r="K3533"/>
  <c r="O3532"/>
  <c r="P3532" s="1"/>
  <c r="N3532"/>
  <c r="K3532"/>
  <c r="O3531"/>
  <c r="P3531" s="1"/>
  <c r="N3531"/>
  <c r="K3531"/>
  <c r="O3530"/>
  <c r="P3530" s="1"/>
  <c r="N3530"/>
  <c r="K3530"/>
  <c r="O3529"/>
  <c r="P3529" s="1"/>
  <c r="N3529"/>
  <c r="K3529"/>
  <c r="O3528"/>
  <c r="P3528" s="1"/>
  <c r="N3528"/>
  <c r="K3528"/>
  <c r="O3527"/>
  <c r="P3527" s="1"/>
  <c r="N3527"/>
  <c r="K3527"/>
  <c r="O3526"/>
  <c r="P3526" s="1"/>
  <c r="N3526"/>
  <c r="K3526"/>
  <c r="O3525"/>
  <c r="P3525" s="1"/>
  <c r="N3525"/>
  <c r="K3525"/>
  <c r="O3524"/>
  <c r="P3524" s="1"/>
  <c r="N3524"/>
  <c r="K3524"/>
  <c r="O3523"/>
  <c r="P3523" s="1"/>
  <c r="N3523"/>
  <c r="K3523"/>
  <c r="O3522"/>
  <c r="P3522" s="1"/>
  <c r="N3522"/>
  <c r="K3522"/>
  <c r="O3521"/>
  <c r="P3521" s="1"/>
  <c r="N3521"/>
  <c r="K3521"/>
  <c r="K3577" l="1"/>
  <c r="M3577"/>
  <c r="K3651"/>
  <c r="N3554"/>
  <c r="N3648"/>
  <c r="N3651" s="1"/>
  <c r="O3648"/>
  <c r="P3648" s="1"/>
  <c r="P3651" s="1"/>
  <c r="O3554"/>
  <c r="P3554" s="1"/>
  <c r="P3577" s="1"/>
  <c r="N3576"/>
  <c r="N3577" s="1"/>
  <c r="O3577" l="1"/>
  <c r="O3651"/>
  <c r="K2686" i="55" l="1"/>
  <c r="K2685"/>
  <c r="K2684"/>
  <c r="K2683"/>
  <c r="K2682"/>
  <c r="K2681"/>
  <c r="K2680"/>
  <c r="R3516" i="36"/>
  <c r="O3516"/>
  <c r="P3516" s="1"/>
  <c r="N3516"/>
  <c r="K3516"/>
  <c r="O3515"/>
  <c r="P3515" s="1"/>
  <c r="N3515"/>
  <c r="K3515"/>
  <c r="O3514"/>
  <c r="P3514" s="1"/>
  <c r="N3514"/>
  <c r="K3514"/>
  <c r="O3513"/>
  <c r="P3513" s="1"/>
  <c r="N3513"/>
  <c r="K3513"/>
  <c r="O3512"/>
  <c r="P3512" s="1"/>
  <c r="N3512"/>
  <c r="K3512"/>
  <c r="O3511"/>
  <c r="P3511" s="1"/>
  <c r="N3511"/>
  <c r="K3511"/>
  <c r="R3509"/>
  <c r="J3509"/>
  <c r="O3508"/>
  <c r="P3508" s="1"/>
  <c r="N3508"/>
  <c r="K3508"/>
  <c r="O3507"/>
  <c r="P3507" s="1"/>
  <c r="N3507"/>
  <c r="K3507"/>
  <c r="O3506"/>
  <c r="P3506" s="1"/>
  <c r="N3506"/>
  <c r="K3506"/>
  <c r="O3505"/>
  <c r="P3505" s="1"/>
  <c r="N3505"/>
  <c r="K3505"/>
  <c r="O3504"/>
  <c r="P3504" s="1"/>
  <c r="N3504"/>
  <c r="K3504"/>
  <c r="O3503"/>
  <c r="P3503" s="1"/>
  <c r="N3503"/>
  <c r="K3503"/>
  <c r="O3502"/>
  <c r="P3502" s="1"/>
  <c r="N3502"/>
  <c r="K3502"/>
  <c r="O3501"/>
  <c r="P3501" s="1"/>
  <c r="N3501"/>
  <c r="K3501"/>
  <c r="O3500"/>
  <c r="P3500" s="1"/>
  <c r="N3500"/>
  <c r="K3500"/>
  <c r="O3499"/>
  <c r="P3499" s="1"/>
  <c r="N3499"/>
  <c r="K3499"/>
  <c r="O3498"/>
  <c r="P3498" s="1"/>
  <c r="N3498"/>
  <c r="K3498"/>
  <c r="O3497"/>
  <c r="P3497" s="1"/>
  <c r="N3497"/>
  <c r="K3497"/>
  <c r="O3496"/>
  <c r="P3496" s="1"/>
  <c r="N3496"/>
  <c r="K3496"/>
  <c r="O3495"/>
  <c r="P3495" s="1"/>
  <c r="N3495"/>
  <c r="K3495"/>
  <c r="M3494"/>
  <c r="M3509" s="1"/>
  <c r="K3494"/>
  <c r="O3493"/>
  <c r="P3493" s="1"/>
  <c r="N3493"/>
  <c r="K3493"/>
  <c r="O3492"/>
  <c r="P3492" s="1"/>
  <c r="N3492"/>
  <c r="K3492"/>
  <c r="O3491"/>
  <c r="P3491" s="1"/>
  <c r="N3491"/>
  <c r="K3491"/>
  <c r="L213" i="50"/>
  <c r="K3509" i="36" l="1"/>
  <c r="N3494"/>
  <c r="N3509" s="1"/>
  <c r="O3494"/>
  <c r="O3509" l="1"/>
  <c r="P3494"/>
  <c r="P3509" s="1"/>
  <c r="L647" i="38" l="1"/>
  <c r="L663" s="1"/>
  <c r="I663"/>
  <c r="N662"/>
  <c r="O662" s="1"/>
  <c r="M662"/>
  <c r="J662"/>
  <c r="N661"/>
  <c r="O661" s="1"/>
  <c r="M661"/>
  <c r="J661"/>
  <c r="N660"/>
  <c r="O660" s="1"/>
  <c r="M660"/>
  <c r="J660"/>
  <c r="N659"/>
  <c r="O659" s="1"/>
  <c r="M659"/>
  <c r="J659"/>
  <c r="N658"/>
  <c r="O658" s="1"/>
  <c r="M658"/>
  <c r="J658"/>
  <c r="N657"/>
  <c r="O657" s="1"/>
  <c r="M657"/>
  <c r="J657"/>
  <c r="N656"/>
  <c r="O656" s="1"/>
  <c r="M656"/>
  <c r="J656"/>
  <c r="N655"/>
  <c r="O655" s="1"/>
  <c r="M655"/>
  <c r="J655"/>
  <c r="N654"/>
  <c r="O654" s="1"/>
  <c r="M654"/>
  <c r="J654"/>
  <c r="N653"/>
  <c r="O653" s="1"/>
  <c r="M653"/>
  <c r="J653"/>
  <c r="M652"/>
  <c r="N652"/>
  <c r="O652" s="1"/>
  <c r="N651"/>
  <c r="O651" s="1"/>
  <c r="M651"/>
  <c r="J651"/>
  <c r="M650"/>
  <c r="N650"/>
  <c r="O650" s="1"/>
  <c r="N649"/>
  <c r="O649" s="1"/>
  <c r="M649"/>
  <c r="J649"/>
  <c r="M648"/>
  <c r="N648"/>
  <c r="O648" s="1"/>
  <c r="M647"/>
  <c r="J647"/>
  <c r="M646"/>
  <c r="N646"/>
  <c r="O646" s="1"/>
  <c r="N645"/>
  <c r="O645" s="1"/>
  <c r="M645"/>
  <c r="J645"/>
  <c r="M644"/>
  <c r="N644"/>
  <c r="O644" s="1"/>
  <c r="N643"/>
  <c r="O643" s="1"/>
  <c r="M643"/>
  <c r="J643"/>
  <c r="M642"/>
  <c r="N642"/>
  <c r="O642" s="1"/>
  <c r="N641"/>
  <c r="O641" s="1"/>
  <c r="M641"/>
  <c r="J641"/>
  <c r="M640"/>
  <c r="N640"/>
  <c r="O640" s="1"/>
  <c r="N639"/>
  <c r="O639" s="1"/>
  <c r="M639"/>
  <c r="J639"/>
  <c r="N638"/>
  <c r="O638" s="1"/>
  <c r="M638"/>
  <c r="J638"/>
  <c r="M637"/>
  <c r="J637"/>
  <c r="N637"/>
  <c r="O637" s="1"/>
  <c r="M636"/>
  <c r="N636"/>
  <c r="O636" s="1"/>
  <c r="L608"/>
  <c r="M608" s="1"/>
  <c r="I608"/>
  <c r="L612"/>
  <c r="M612" s="1"/>
  <c r="L619"/>
  <c r="L605"/>
  <c r="N605" s="1"/>
  <c r="O605" s="1"/>
  <c r="L606"/>
  <c r="I633"/>
  <c r="N631"/>
  <c r="O631" s="1"/>
  <c r="M631"/>
  <c r="J631"/>
  <c r="L633"/>
  <c r="N632"/>
  <c r="O632" s="1"/>
  <c r="M632"/>
  <c r="J632"/>
  <c r="N630"/>
  <c r="O630" s="1"/>
  <c r="M630"/>
  <c r="J630"/>
  <c r="N629"/>
  <c r="O629" s="1"/>
  <c r="M629"/>
  <c r="J629"/>
  <c r="N628"/>
  <c r="O628" s="1"/>
  <c r="M628"/>
  <c r="J628"/>
  <c r="N627"/>
  <c r="O627" s="1"/>
  <c r="M627"/>
  <c r="J627"/>
  <c r="N626"/>
  <c r="O626" s="1"/>
  <c r="M626"/>
  <c r="J626"/>
  <c r="N625"/>
  <c r="O625" s="1"/>
  <c r="M625"/>
  <c r="J625"/>
  <c r="N624"/>
  <c r="O624" s="1"/>
  <c r="M624"/>
  <c r="J624"/>
  <c r="N623"/>
  <c r="O623" s="1"/>
  <c r="M623"/>
  <c r="J623"/>
  <c r="N622"/>
  <c r="O622" s="1"/>
  <c r="M622"/>
  <c r="J622"/>
  <c r="N621"/>
  <c r="O621" s="1"/>
  <c r="M621"/>
  <c r="J621"/>
  <c r="N620"/>
  <c r="O620" s="1"/>
  <c r="M620"/>
  <c r="J620"/>
  <c r="N619"/>
  <c r="O619" s="1"/>
  <c r="M619"/>
  <c r="J619"/>
  <c r="N618"/>
  <c r="O618" s="1"/>
  <c r="M618"/>
  <c r="J618"/>
  <c r="N617"/>
  <c r="O617" s="1"/>
  <c r="M617"/>
  <c r="J617"/>
  <c r="N616"/>
  <c r="O616" s="1"/>
  <c r="M616"/>
  <c r="J616"/>
  <c r="N615"/>
  <c r="O615" s="1"/>
  <c r="M615"/>
  <c r="J615"/>
  <c r="N614"/>
  <c r="O614" s="1"/>
  <c r="M614"/>
  <c r="J614"/>
  <c r="N613"/>
  <c r="O613" s="1"/>
  <c r="M613"/>
  <c r="J613"/>
  <c r="N612"/>
  <c r="O612" s="1"/>
  <c r="J612"/>
  <c r="N611"/>
  <c r="O611" s="1"/>
  <c r="M611"/>
  <c r="J611"/>
  <c r="N610"/>
  <c r="O610" s="1"/>
  <c r="M610"/>
  <c r="J610"/>
  <c r="N609"/>
  <c r="O609" s="1"/>
  <c r="M609"/>
  <c r="J609"/>
  <c r="N607"/>
  <c r="O607" s="1"/>
  <c r="M607"/>
  <c r="J607"/>
  <c r="N606"/>
  <c r="O606" s="1"/>
  <c r="M606"/>
  <c r="J606"/>
  <c r="J605"/>
  <c r="M592"/>
  <c r="L571"/>
  <c r="I603"/>
  <c r="N602"/>
  <c r="O602" s="1"/>
  <c r="M602"/>
  <c r="J602"/>
  <c r="N601"/>
  <c r="O601" s="1"/>
  <c r="M601"/>
  <c r="J601"/>
  <c r="N600"/>
  <c r="O600" s="1"/>
  <c r="M600"/>
  <c r="J600"/>
  <c r="N599"/>
  <c r="O599" s="1"/>
  <c r="M599"/>
  <c r="J599"/>
  <c r="N598"/>
  <c r="O598" s="1"/>
  <c r="M598"/>
  <c r="J598"/>
  <c r="N597"/>
  <c r="O597" s="1"/>
  <c r="M597"/>
  <c r="J597"/>
  <c r="N596"/>
  <c r="O596" s="1"/>
  <c r="M596"/>
  <c r="J596"/>
  <c r="N595"/>
  <c r="O595" s="1"/>
  <c r="M595"/>
  <c r="J595"/>
  <c r="N594"/>
  <c r="O594" s="1"/>
  <c r="M594"/>
  <c r="J594"/>
  <c r="N593"/>
  <c r="O593" s="1"/>
  <c r="M593"/>
  <c r="J593"/>
  <c r="N592"/>
  <c r="O592" s="1"/>
  <c r="J592"/>
  <c r="N591"/>
  <c r="O591" s="1"/>
  <c r="M591"/>
  <c r="J591"/>
  <c r="N590"/>
  <c r="O590" s="1"/>
  <c r="M590"/>
  <c r="J590"/>
  <c r="N589"/>
  <c r="O589" s="1"/>
  <c r="M589"/>
  <c r="J589"/>
  <c r="N588"/>
  <c r="O588" s="1"/>
  <c r="M588"/>
  <c r="J588"/>
  <c r="N587"/>
  <c r="O587" s="1"/>
  <c r="M587"/>
  <c r="J587"/>
  <c r="N586"/>
  <c r="O586" s="1"/>
  <c r="M586"/>
  <c r="J586"/>
  <c r="N585"/>
  <c r="O585" s="1"/>
  <c r="M585"/>
  <c r="J585"/>
  <c r="N584"/>
  <c r="O584" s="1"/>
  <c r="M584"/>
  <c r="J584"/>
  <c r="N583"/>
  <c r="O583" s="1"/>
  <c r="M583"/>
  <c r="J583"/>
  <c r="N582"/>
  <c r="O582" s="1"/>
  <c r="M582"/>
  <c r="J582"/>
  <c r="N581"/>
  <c r="O581" s="1"/>
  <c r="M581"/>
  <c r="J581"/>
  <c r="N580"/>
  <c r="O580" s="1"/>
  <c r="M580"/>
  <c r="J580"/>
  <c r="N579"/>
  <c r="O579" s="1"/>
  <c r="M579"/>
  <c r="J579"/>
  <c r="N578"/>
  <c r="O578" s="1"/>
  <c r="M578"/>
  <c r="J578"/>
  <c r="N577"/>
  <c r="O577" s="1"/>
  <c r="M577"/>
  <c r="J577"/>
  <c r="N576"/>
  <c r="O576" s="1"/>
  <c r="M576"/>
  <c r="J576"/>
  <c r="N575"/>
  <c r="O575" s="1"/>
  <c r="M575"/>
  <c r="J575"/>
  <c r="N574"/>
  <c r="O574" s="1"/>
  <c r="M574"/>
  <c r="J574"/>
  <c r="N573"/>
  <c r="O573" s="1"/>
  <c r="M573"/>
  <c r="J573"/>
  <c r="N572"/>
  <c r="O572" s="1"/>
  <c r="M572"/>
  <c r="J572"/>
  <c r="M571"/>
  <c r="J571"/>
  <c r="N570"/>
  <c r="O570" s="1"/>
  <c r="M570"/>
  <c r="J570"/>
  <c r="N569"/>
  <c r="O569" s="1"/>
  <c r="M569"/>
  <c r="J569"/>
  <c r="N568"/>
  <c r="O568" s="1"/>
  <c r="M568"/>
  <c r="J568"/>
  <c r="N567"/>
  <c r="O567" s="1"/>
  <c r="M567"/>
  <c r="J567"/>
  <c r="N566"/>
  <c r="O566" s="1"/>
  <c r="M566"/>
  <c r="J566"/>
  <c r="N565"/>
  <c r="O565" s="1"/>
  <c r="M565"/>
  <c r="J565"/>
  <c r="N564"/>
  <c r="O564" s="1"/>
  <c r="M564"/>
  <c r="J564"/>
  <c r="N563"/>
  <c r="O563" s="1"/>
  <c r="M563"/>
  <c r="J563"/>
  <c r="N562"/>
  <c r="O562" s="1"/>
  <c r="M562"/>
  <c r="J562"/>
  <c r="P414" i="39"/>
  <c r="P413"/>
  <c r="M411"/>
  <c r="M415"/>
  <c r="J415"/>
  <c r="O414"/>
  <c r="N414"/>
  <c r="K414"/>
  <c r="O413"/>
  <c r="N413"/>
  <c r="K413"/>
  <c r="P412"/>
  <c r="O412"/>
  <c r="N412"/>
  <c r="K412"/>
  <c r="P411"/>
  <c r="O411"/>
  <c r="N411"/>
  <c r="K411"/>
  <c r="P410"/>
  <c r="O410"/>
  <c r="N410"/>
  <c r="K410"/>
  <c r="P409"/>
  <c r="O409"/>
  <c r="N409"/>
  <c r="K409"/>
  <c r="K408"/>
  <c r="O408"/>
  <c r="P408" s="1"/>
  <c r="N408"/>
  <c r="O407"/>
  <c r="P407" s="1"/>
  <c r="N407"/>
  <c r="K407"/>
  <c r="O406"/>
  <c r="P406" s="1"/>
  <c r="N406"/>
  <c r="K406"/>
  <c r="O405"/>
  <c r="P405" s="1"/>
  <c r="N405"/>
  <c r="K405"/>
  <c r="O404"/>
  <c r="P404" s="1"/>
  <c r="N404"/>
  <c r="K404"/>
  <c r="O403"/>
  <c r="P403" s="1"/>
  <c r="N403"/>
  <c r="K403"/>
  <c r="O402"/>
  <c r="P402" s="1"/>
  <c r="N402"/>
  <c r="K402"/>
  <c r="O401"/>
  <c r="P401" s="1"/>
  <c r="P415" s="1"/>
  <c r="N401"/>
  <c r="K401"/>
  <c r="M398"/>
  <c r="K415" l="1"/>
  <c r="L603" i="38"/>
  <c r="N571"/>
  <c r="O571" s="1"/>
  <c r="M605"/>
  <c r="N647"/>
  <c r="O647" s="1"/>
  <c r="N608"/>
  <c r="O608" s="1"/>
  <c r="O663"/>
  <c r="M663"/>
  <c r="N663"/>
  <c r="J640"/>
  <c r="J642"/>
  <c r="J644"/>
  <c r="J646"/>
  <c r="J648"/>
  <c r="J650"/>
  <c r="J652"/>
  <c r="J636"/>
  <c r="J608"/>
  <c r="M633"/>
  <c r="J633"/>
  <c r="O633"/>
  <c r="N633"/>
  <c r="J603"/>
  <c r="M603"/>
  <c r="O603"/>
  <c r="N415" i="39"/>
  <c r="O415"/>
  <c r="N603" i="38" l="1"/>
  <c r="J663"/>
  <c r="J398" i="39" l="1"/>
  <c r="O397"/>
  <c r="N397"/>
  <c r="K397"/>
  <c r="P396"/>
  <c r="O396"/>
  <c r="N396"/>
  <c r="K396"/>
  <c r="O395"/>
  <c r="P395" s="1"/>
  <c r="N395"/>
  <c r="K395"/>
  <c r="O394"/>
  <c r="P394" s="1"/>
  <c r="N394"/>
  <c r="K394"/>
  <c r="P393"/>
  <c r="O393"/>
  <c r="N393"/>
  <c r="K393"/>
  <c r="O392"/>
  <c r="O398" s="1"/>
  <c r="N392"/>
  <c r="N398" s="1"/>
  <c r="K392"/>
  <c r="O391"/>
  <c r="P391" s="1"/>
  <c r="N391"/>
  <c r="K391"/>
  <c r="O390"/>
  <c r="P390" s="1"/>
  <c r="N390"/>
  <c r="K390"/>
  <c r="O389"/>
  <c r="P389" s="1"/>
  <c r="N389"/>
  <c r="K389"/>
  <c r="O388"/>
  <c r="P388" s="1"/>
  <c r="N388"/>
  <c r="K388"/>
  <c r="O387"/>
  <c r="P387" s="1"/>
  <c r="N387"/>
  <c r="K387"/>
  <c r="O386"/>
  <c r="P386" s="1"/>
  <c r="N386"/>
  <c r="K386"/>
  <c r="O385"/>
  <c r="P385" s="1"/>
  <c r="N385"/>
  <c r="K385"/>
  <c r="O384"/>
  <c r="P384" s="1"/>
  <c r="N384"/>
  <c r="K384"/>
  <c r="O383"/>
  <c r="P383" s="1"/>
  <c r="N383"/>
  <c r="K383"/>
  <c r="O382"/>
  <c r="P382" s="1"/>
  <c r="N382"/>
  <c r="K382"/>
  <c r="O381"/>
  <c r="P381" s="1"/>
  <c r="N381"/>
  <c r="K381"/>
  <c r="O380"/>
  <c r="P380" s="1"/>
  <c r="N380"/>
  <c r="K380"/>
  <c r="O379"/>
  <c r="P379" s="1"/>
  <c r="N379"/>
  <c r="K379"/>
  <c r="O378"/>
  <c r="P378" s="1"/>
  <c r="N378"/>
  <c r="K378"/>
  <c r="O377"/>
  <c r="P377" s="1"/>
  <c r="N377"/>
  <c r="K377"/>
  <c r="O376"/>
  <c r="P376" s="1"/>
  <c r="N376"/>
  <c r="K376"/>
  <c r="O375"/>
  <c r="P375" s="1"/>
  <c r="N375"/>
  <c r="K375"/>
  <c r="O374"/>
  <c r="P374" s="1"/>
  <c r="N374"/>
  <c r="K374"/>
  <c r="O373"/>
  <c r="P373" s="1"/>
  <c r="N373"/>
  <c r="K373"/>
  <c r="L341" i="43"/>
  <c r="L200" i="49"/>
  <c r="P392" i="39" l="1"/>
  <c r="K398"/>
  <c r="M354"/>
  <c r="M370"/>
  <c r="J370"/>
  <c r="O369"/>
  <c r="P369" s="1"/>
  <c r="N369"/>
  <c r="K369"/>
  <c r="O368"/>
  <c r="P368" s="1"/>
  <c r="N368"/>
  <c r="K368"/>
  <c r="O367"/>
  <c r="P367" s="1"/>
  <c r="N367"/>
  <c r="K367"/>
  <c r="O366"/>
  <c r="P366" s="1"/>
  <c r="N366"/>
  <c r="K366"/>
  <c r="O365"/>
  <c r="P365" s="1"/>
  <c r="N365"/>
  <c r="K365"/>
  <c r="O364"/>
  <c r="P364" s="1"/>
  <c r="N364"/>
  <c r="K364"/>
  <c r="O363"/>
  <c r="P363" s="1"/>
  <c r="N363"/>
  <c r="K363"/>
  <c r="O362"/>
  <c r="P362" s="1"/>
  <c r="N362"/>
  <c r="K362"/>
  <c r="O361"/>
  <c r="P361" s="1"/>
  <c r="N361"/>
  <c r="K361"/>
  <c r="O360"/>
  <c r="P360" s="1"/>
  <c r="N360"/>
  <c r="K360"/>
  <c r="O359"/>
  <c r="P359" s="1"/>
  <c r="N359"/>
  <c r="K359"/>
  <c r="O358"/>
  <c r="P358" s="1"/>
  <c r="N358"/>
  <c r="K358"/>
  <c r="O357"/>
  <c r="P357" s="1"/>
  <c r="N357"/>
  <c r="K357"/>
  <c r="O356"/>
  <c r="P356" s="1"/>
  <c r="N356"/>
  <c r="K356"/>
  <c r="O355"/>
  <c r="P355" s="1"/>
  <c r="N355"/>
  <c r="K355"/>
  <c r="O354"/>
  <c r="P354" s="1"/>
  <c r="N354"/>
  <c r="K354"/>
  <c r="O353"/>
  <c r="P353" s="1"/>
  <c r="N353"/>
  <c r="K353"/>
  <c r="O352"/>
  <c r="P352" s="1"/>
  <c r="N352"/>
  <c r="K352"/>
  <c r="O351"/>
  <c r="P351" s="1"/>
  <c r="N351"/>
  <c r="K351"/>
  <c r="O350"/>
  <c r="P350" s="1"/>
  <c r="N350"/>
  <c r="K350"/>
  <c r="O349"/>
  <c r="P349" s="1"/>
  <c r="N349"/>
  <c r="K349"/>
  <c r="K370" s="1"/>
  <c r="O348"/>
  <c r="P348" s="1"/>
  <c r="N348"/>
  <c r="K348"/>
  <c r="M346"/>
  <c r="J346"/>
  <c r="O345"/>
  <c r="P345" s="1"/>
  <c r="N345"/>
  <c r="K345"/>
  <c r="O344"/>
  <c r="P344" s="1"/>
  <c r="P346" s="1"/>
  <c r="N344"/>
  <c r="N346" s="1"/>
  <c r="K344"/>
  <c r="O343"/>
  <c r="P343" s="1"/>
  <c r="N343"/>
  <c r="K343"/>
  <c r="O342"/>
  <c r="P342" s="1"/>
  <c r="N342"/>
  <c r="K342"/>
  <c r="O341"/>
  <c r="P341" s="1"/>
  <c r="N341"/>
  <c r="K341"/>
  <c r="O340"/>
  <c r="P340" s="1"/>
  <c r="N340"/>
  <c r="K340"/>
  <c r="O339"/>
  <c r="P339" s="1"/>
  <c r="N339"/>
  <c r="K339"/>
  <c r="O338"/>
  <c r="P338" s="1"/>
  <c r="N338"/>
  <c r="K338"/>
  <c r="O337"/>
  <c r="P337" s="1"/>
  <c r="N337"/>
  <c r="K337"/>
  <c r="O336"/>
  <c r="P336" s="1"/>
  <c r="N336"/>
  <c r="K336"/>
  <c r="O335"/>
  <c r="P335" s="1"/>
  <c r="N335"/>
  <c r="K335"/>
  <c r="O334"/>
  <c r="P334" s="1"/>
  <c r="N334"/>
  <c r="K334"/>
  <c r="O333"/>
  <c r="P333" s="1"/>
  <c r="N333"/>
  <c r="K333"/>
  <c r="O332"/>
  <c r="P332" s="1"/>
  <c r="N332"/>
  <c r="K332"/>
  <c r="O331"/>
  <c r="P331" s="1"/>
  <c r="N331"/>
  <c r="K331"/>
  <c r="O330"/>
  <c r="P330" s="1"/>
  <c r="N330"/>
  <c r="K330"/>
  <c r="O329"/>
  <c r="P329" s="1"/>
  <c r="N329"/>
  <c r="K329"/>
  <c r="O328"/>
  <c r="P328" s="1"/>
  <c r="N328"/>
  <c r="K328"/>
  <c r="O327"/>
  <c r="P327" s="1"/>
  <c r="N327"/>
  <c r="K327"/>
  <c r="O326"/>
  <c r="P326" s="1"/>
  <c r="N326"/>
  <c r="K326"/>
  <c r="K346" s="1"/>
  <c r="M216"/>
  <c r="O325"/>
  <c r="P325" s="1"/>
  <c r="N325"/>
  <c r="K325"/>
  <c r="M322"/>
  <c r="J322"/>
  <c r="M316"/>
  <c r="J316"/>
  <c r="O315"/>
  <c r="P315" s="1"/>
  <c r="N315"/>
  <c r="K315"/>
  <c r="O314"/>
  <c r="P314" s="1"/>
  <c r="N314"/>
  <c r="K314"/>
  <c r="O321"/>
  <c r="P321" s="1"/>
  <c r="N321"/>
  <c r="K321"/>
  <c r="O320"/>
  <c r="P320" s="1"/>
  <c r="N320"/>
  <c r="K320"/>
  <c r="O319"/>
  <c r="P319" s="1"/>
  <c r="N319"/>
  <c r="K319"/>
  <c r="O318"/>
  <c r="P318" s="1"/>
  <c r="N318"/>
  <c r="N322" s="1"/>
  <c r="K318"/>
  <c r="K322" s="1"/>
  <c r="O313"/>
  <c r="P313" s="1"/>
  <c r="N313"/>
  <c r="K313"/>
  <c r="O312"/>
  <c r="P312" s="1"/>
  <c r="N312"/>
  <c r="K312"/>
  <c r="O311"/>
  <c r="P311" s="1"/>
  <c r="N311"/>
  <c r="K311"/>
  <c r="O310"/>
  <c r="P310" s="1"/>
  <c r="N310"/>
  <c r="K310"/>
  <c r="O309"/>
  <c r="P309" s="1"/>
  <c r="N309"/>
  <c r="K309"/>
  <c r="O308"/>
  <c r="P308" s="1"/>
  <c r="N308"/>
  <c r="K308"/>
  <c r="O307"/>
  <c r="P307" s="1"/>
  <c r="N307"/>
  <c r="K307"/>
  <c r="O306"/>
  <c r="P306" s="1"/>
  <c r="P316" s="1"/>
  <c r="N306"/>
  <c r="N316" s="1"/>
  <c r="K306"/>
  <c r="K316" s="1"/>
  <c r="M283"/>
  <c r="M303" s="1"/>
  <c r="J303"/>
  <c r="O302"/>
  <c r="P302" s="1"/>
  <c r="N302"/>
  <c r="K302"/>
  <c r="O301"/>
  <c r="P301" s="1"/>
  <c r="N301"/>
  <c r="K301"/>
  <c r="O300"/>
  <c r="P300" s="1"/>
  <c r="N300"/>
  <c r="K300"/>
  <c r="O299"/>
  <c r="P299" s="1"/>
  <c r="N299"/>
  <c r="K299"/>
  <c r="O298"/>
  <c r="P298" s="1"/>
  <c r="N298"/>
  <c r="K298"/>
  <c r="O297"/>
  <c r="P297" s="1"/>
  <c r="N297"/>
  <c r="K297"/>
  <c r="N296"/>
  <c r="O296"/>
  <c r="P296" s="1"/>
  <c r="O295"/>
  <c r="P295" s="1"/>
  <c r="N295"/>
  <c r="K295"/>
  <c r="N294"/>
  <c r="O294"/>
  <c r="P294" s="1"/>
  <c r="O293"/>
  <c r="P293" s="1"/>
  <c r="N293"/>
  <c r="K293"/>
  <c r="N292"/>
  <c r="O292"/>
  <c r="P292" s="1"/>
  <c r="O291"/>
  <c r="P291" s="1"/>
  <c r="N291"/>
  <c r="K291"/>
  <c r="N290"/>
  <c r="O290"/>
  <c r="P290" s="1"/>
  <c r="O289"/>
  <c r="P289" s="1"/>
  <c r="N289"/>
  <c r="K289"/>
  <c r="N288"/>
  <c r="O288"/>
  <c r="P288" s="1"/>
  <c r="O287"/>
  <c r="P287" s="1"/>
  <c r="N287"/>
  <c r="K287"/>
  <c r="N286"/>
  <c r="O286"/>
  <c r="P286" s="1"/>
  <c r="O285"/>
  <c r="P285" s="1"/>
  <c r="N285"/>
  <c r="K285"/>
  <c r="N284"/>
  <c r="O284"/>
  <c r="P284" s="1"/>
  <c r="N283"/>
  <c r="K283"/>
  <c r="O283"/>
  <c r="P283" s="1"/>
  <c r="L315" i="50"/>
  <c r="I315"/>
  <c r="N314"/>
  <c r="O314" s="1"/>
  <c r="M314"/>
  <c r="J314"/>
  <c r="N313"/>
  <c r="O313" s="1"/>
  <c r="M313"/>
  <c r="J313"/>
  <c r="N312"/>
  <c r="O312" s="1"/>
  <c r="M312"/>
  <c r="J312"/>
  <c r="N311"/>
  <c r="O311" s="1"/>
  <c r="M311"/>
  <c r="J311"/>
  <c r="N310"/>
  <c r="O310" s="1"/>
  <c r="M310"/>
  <c r="J310"/>
  <c r="N309"/>
  <c r="O309" s="1"/>
  <c r="M309"/>
  <c r="J309"/>
  <c r="N308"/>
  <c r="O308" s="1"/>
  <c r="M308"/>
  <c r="J308"/>
  <c r="N307"/>
  <c r="O307" s="1"/>
  <c r="M307"/>
  <c r="J307"/>
  <c r="N306"/>
  <c r="O306" s="1"/>
  <c r="M306"/>
  <c r="J306"/>
  <c r="N305"/>
  <c r="O305" s="1"/>
  <c r="M305"/>
  <c r="J305"/>
  <c r="N304"/>
  <c r="O304" s="1"/>
  <c r="M304"/>
  <c r="J304"/>
  <c r="L279"/>
  <c r="L302" s="1"/>
  <c r="N301"/>
  <c r="O301" s="1"/>
  <c r="I302"/>
  <c r="M301"/>
  <c r="J301"/>
  <c r="N300"/>
  <c r="O300" s="1"/>
  <c r="M300"/>
  <c r="J300"/>
  <c r="N299"/>
  <c r="O299" s="1"/>
  <c r="M299"/>
  <c r="J299"/>
  <c r="N298"/>
  <c r="O298" s="1"/>
  <c r="M298"/>
  <c r="J298"/>
  <c r="N297"/>
  <c r="O297" s="1"/>
  <c r="M297"/>
  <c r="J297"/>
  <c r="N296"/>
  <c r="O296" s="1"/>
  <c r="M296"/>
  <c r="J296"/>
  <c r="N295"/>
  <c r="O295" s="1"/>
  <c r="M295"/>
  <c r="J295"/>
  <c r="N294"/>
  <c r="O294" s="1"/>
  <c r="M294"/>
  <c r="J294"/>
  <c r="N293"/>
  <c r="O293" s="1"/>
  <c r="M293"/>
  <c r="J293"/>
  <c r="N292"/>
  <c r="O292" s="1"/>
  <c r="M292"/>
  <c r="J292"/>
  <c r="N291"/>
  <c r="O291" s="1"/>
  <c r="M291"/>
  <c r="J291"/>
  <c r="N290"/>
  <c r="O290" s="1"/>
  <c r="M290"/>
  <c r="J290"/>
  <c r="N289"/>
  <c r="O289" s="1"/>
  <c r="M289"/>
  <c r="J289"/>
  <c r="N288"/>
  <c r="O288" s="1"/>
  <c r="M288"/>
  <c r="J288"/>
  <c r="N287"/>
  <c r="O287" s="1"/>
  <c r="M287"/>
  <c r="J287"/>
  <c r="N286"/>
  <c r="O286" s="1"/>
  <c r="M286"/>
  <c r="J286"/>
  <c r="N285"/>
  <c r="O285" s="1"/>
  <c r="M285"/>
  <c r="J285"/>
  <c r="N284"/>
  <c r="O284" s="1"/>
  <c r="M284"/>
  <c r="J284"/>
  <c r="N283"/>
  <c r="O283" s="1"/>
  <c r="M283"/>
  <c r="J283"/>
  <c r="N282"/>
  <c r="O282" s="1"/>
  <c r="M282"/>
  <c r="J282"/>
  <c r="N281"/>
  <c r="O281" s="1"/>
  <c r="M281"/>
  <c r="J281"/>
  <c r="N280"/>
  <c r="O280" s="1"/>
  <c r="M280"/>
  <c r="J280"/>
  <c r="M279"/>
  <c r="J279"/>
  <c r="N278"/>
  <c r="O278" s="1"/>
  <c r="M278"/>
  <c r="J278"/>
  <c r="N277"/>
  <c r="O277" s="1"/>
  <c r="M277"/>
  <c r="J277"/>
  <c r="N276"/>
  <c r="O276" s="1"/>
  <c r="M276"/>
  <c r="J276"/>
  <c r="N275"/>
  <c r="O275" s="1"/>
  <c r="M275"/>
  <c r="J275"/>
  <c r="N274"/>
  <c r="O274" s="1"/>
  <c r="M274"/>
  <c r="J274"/>
  <c r="N273"/>
  <c r="O273" s="1"/>
  <c r="M273"/>
  <c r="J273"/>
  <c r="N272"/>
  <c r="O272" s="1"/>
  <c r="M272"/>
  <c r="J272"/>
  <c r="N271"/>
  <c r="O271" s="1"/>
  <c r="M271"/>
  <c r="J271"/>
  <c r="N270"/>
  <c r="O270" s="1"/>
  <c r="M270"/>
  <c r="J270"/>
  <c r="N269"/>
  <c r="O269" s="1"/>
  <c r="M269"/>
  <c r="J269"/>
  <c r="N268"/>
  <c r="O268" s="1"/>
  <c r="M268"/>
  <c r="J268"/>
  <c r="N267"/>
  <c r="O267" s="1"/>
  <c r="M267"/>
  <c r="J267"/>
  <c r="N266"/>
  <c r="O266" s="1"/>
  <c r="M266"/>
  <c r="J266"/>
  <c r="N265"/>
  <c r="O265" s="1"/>
  <c r="M265"/>
  <c r="J265"/>
  <c r="N264"/>
  <c r="O264" s="1"/>
  <c r="M264"/>
  <c r="J264"/>
  <c r="N263"/>
  <c r="O263" s="1"/>
  <c r="M263"/>
  <c r="J263"/>
  <c r="N262"/>
  <c r="O262" s="1"/>
  <c r="M262"/>
  <c r="J262"/>
  <c r="N261"/>
  <c r="O261" s="1"/>
  <c r="M261"/>
  <c r="J261"/>
  <c r="N260"/>
  <c r="O260" s="1"/>
  <c r="M260"/>
  <c r="J260"/>
  <c r="N259"/>
  <c r="O259" s="1"/>
  <c r="M259"/>
  <c r="J259"/>
  <c r="N258"/>
  <c r="O258" s="1"/>
  <c r="M258"/>
  <c r="J258"/>
  <c r="N257"/>
  <c r="O257" s="1"/>
  <c r="M257"/>
  <c r="J257"/>
  <c r="N256"/>
  <c r="O256" s="1"/>
  <c r="M256"/>
  <c r="J256"/>
  <c r="N255"/>
  <c r="O255" s="1"/>
  <c r="M255"/>
  <c r="J255"/>
  <c r="N254"/>
  <c r="O254" s="1"/>
  <c r="M254"/>
  <c r="J254"/>
  <c r="N253"/>
  <c r="O253" s="1"/>
  <c r="M253"/>
  <c r="J253"/>
  <c r="N252"/>
  <c r="O252" s="1"/>
  <c r="M252"/>
  <c r="J252"/>
  <c r="N251"/>
  <c r="O251" s="1"/>
  <c r="M251"/>
  <c r="J251"/>
  <c r="N250"/>
  <c r="O250" s="1"/>
  <c r="M250"/>
  <c r="J250"/>
  <c r="N249"/>
  <c r="O249" s="1"/>
  <c r="M249"/>
  <c r="J249"/>
  <c r="N248"/>
  <c r="O248" s="1"/>
  <c r="M248"/>
  <c r="J248"/>
  <c r="N247"/>
  <c r="O247" s="1"/>
  <c r="M247"/>
  <c r="J247"/>
  <c r="L241"/>
  <c r="L244" s="1"/>
  <c r="I244"/>
  <c r="N243"/>
  <c r="O243" s="1"/>
  <c r="M243"/>
  <c r="J243"/>
  <c r="N242"/>
  <c r="O242" s="1"/>
  <c r="M242"/>
  <c r="J242"/>
  <c r="N241"/>
  <c r="O241" s="1"/>
  <c r="J241"/>
  <c r="N240"/>
  <c r="O240" s="1"/>
  <c r="M240"/>
  <c r="J240"/>
  <c r="N239"/>
  <c r="O239" s="1"/>
  <c r="M239"/>
  <c r="J239"/>
  <c r="N238"/>
  <c r="O238" s="1"/>
  <c r="O244" s="1"/>
  <c r="M238"/>
  <c r="J238"/>
  <c r="J244" s="1"/>
  <c r="L234"/>
  <c r="M234" s="1"/>
  <c r="L236"/>
  <c r="I236"/>
  <c r="J235"/>
  <c r="J234"/>
  <c r="J233"/>
  <c r="J232"/>
  <c r="J231"/>
  <c r="N235"/>
  <c r="O235" s="1"/>
  <c r="M235"/>
  <c r="N234"/>
  <c r="O234" s="1"/>
  <c r="N233"/>
  <c r="O233" s="1"/>
  <c r="M233"/>
  <c r="N232"/>
  <c r="O232" s="1"/>
  <c r="M232"/>
  <c r="N231"/>
  <c r="O231" s="1"/>
  <c r="M231"/>
  <c r="I228"/>
  <c r="J227"/>
  <c r="J226"/>
  <c r="L228"/>
  <c r="J212"/>
  <c r="J211"/>
  <c r="J210"/>
  <c r="N227"/>
  <c r="O227" s="1"/>
  <c r="M227"/>
  <c r="N226"/>
  <c r="O226" s="1"/>
  <c r="M226"/>
  <c r="N225"/>
  <c r="O225" s="1"/>
  <c r="M225"/>
  <c r="J225"/>
  <c r="N224"/>
  <c r="O224" s="1"/>
  <c r="M224"/>
  <c r="J224"/>
  <c r="N223"/>
  <c r="O223" s="1"/>
  <c r="M223"/>
  <c r="J223"/>
  <c r="N222"/>
  <c r="O222" s="1"/>
  <c r="M222"/>
  <c r="J222"/>
  <c r="N221"/>
  <c r="O221" s="1"/>
  <c r="M221"/>
  <c r="J221"/>
  <c r="N220"/>
  <c r="O220" s="1"/>
  <c r="M220"/>
  <c r="J220"/>
  <c r="N219"/>
  <c r="O219" s="1"/>
  <c r="M219"/>
  <c r="J219"/>
  <c r="N218"/>
  <c r="O218" s="1"/>
  <c r="M218"/>
  <c r="J218"/>
  <c r="N217"/>
  <c r="O217" s="1"/>
  <c r="M217"/>
  <c r="J217"/>
  <c r="N216"/>
  <c r="O216" s="1"/>
  <c r="M216"/>
  <c r="J216"/>
  <c r="N215"/>
  <c r="O215" s="1"/>
  <c r="M215"/>
  <c r="J215"/>
  <c r="N214"/>
  <c r="O214" s="1"/>
  <c r="M214"/>
  <c r="J214"/>
  <c r="N213"/>
  <c r="O213" s="1"/>
  <c r="M213"/>
  <c r="J213"/>
  <c r="N212"/>
  <c r="O212" s="1"/>
  <c r="M212"/>
  <c r="N211"/>
  <c r="O211" s="1"/>
  <c r="M211"/>
  <c r="N210"/>
  <c r="O210" s="1"/>
  <c r="M210"/>
  <c r="L578" i="43"/>
  <c r="I578"/>
  <c r="N577"/>
  <c r="O577" s="1"/>
  <c r="M577"/>
  <c r="J577"/>
  <c r="N576"/>
  <c r="O576" s="1"/>
  <c r="M576"/>
  <c r="J576"/>
  <c r="N575"/>
  <c r="O575" s="1"/>
  <c r="M575"/>
  <c r="J575"/>
  <c r="N574"/>
  <c r="O574" s="1"/>
  <c r="M574"/>
  <c r="J574"/>
  <c r="N573"/>
  <c r="O573" s="1"/>
  <c r="M573"/>
  <c r="J573"/>
  <c r="N572"/>
  <c r="O572" s="1"/>
  <c r="M572"/>
  <c r="J572"/>
  <c r="N571"/>
  <c r="O571" s="1"/>
  <c r="M571"/>
  <c r="J571"/>
  <c r="N570"/>
  <c r="O570" s="1"/>
  <c r="M570"/>
  <c r="J570"/>
  <c r="N569"/>
  <c r="O569" s="1"/>
  <c r="M569"/>
  <c r="J569"/>
  <c r="J578" s="1"/>
  <c r="N568"/>
  <c r="O568" s="1"/>
  <c r="M568"/>
  <c r="J568"/>
  <c r="O346" i="39" l="1"/>
  <c r="N279" i="50"/>
  <c r="O279" s="1"/>
  <c r="J315"/>
  <c r="J228"/>
  <c r="J236"/>
  <c r="P370" i="39"/>
  <c r="N370"/>
  <c r="O370"/>
  <c r="P322"/>
  <c r="O322"/>
  <c r="O316"/>
  <c r="P303"/>
  <c r="N303"/>
  <c r="O303"/>
  <c r="K284"/>
  <c r="K286"/>
  <c r="K288"/>
  <c r="K290"/>
  <c r="K292"/>
  <c r="K294"/>
  <c r="K296"/>
  <c r="O315" i="50"/>
  <c r="N315"/>
  <c r="M315"/>
  <c r="M241"/>
  <c r="N244"/>
  <c r="J302"/>
  <c r="O228"/>
  <c r="O236"/>
  <c r="O302"/>
  <c r="N302"/>
  <c r="M302"/>
  <c r="M244"/>
  <c r="M236"/>
  <c r="N236"/>
  <c r="M228"/>
  <c r="N228"/>
  <c r="O578" i="43"/>
  <c r="M578"/>
  <c r="N578"/>
  <c r="K303" i="39" l="1"/>
  <c r="R3488" i="36" l="1"/>
  <c r="O3487"/>
  <c r="P3487" s="1"/>
  <c r="N3487"/>
  <c r="K3487"/>
  <c r="O3486"/>
  <c r="P3486" s="1"/>
  <c r="N3486"/>
  <c r="K3486"/>
  <c r="O3485"/>
  <c r="P3485" s="1"/>
  <c r="N3485"/>
  <c r="K3485"/>
  <c r="O3484"/>
  <c r="P3484" s="1"/>
  <c r="N3484"/>
  <c r="K3484"/>
  <c r="O3483"/>
  <c r="P3483" s="1"/>
  <c r="N3483"/>
  <c r="K3483"/>
  <c r="R3463"/>
  <c r="O3462"/>
  <c r="P3462" s="1"/>
  <c r="N3462"/>
  <c r="K3462"/>
  <c r="O3461"/>
  <c r="P3461" s="1"/>
  <c r="N3461"/>
  <c r="K3461"/>
  <c r="O3460"/>
  <c r="P3460" s="1"/>
  <c r="N3460"/>
  <c r="K3460"/>
  <c r="O3459"/>
  <c r="P3459" s="1"/>
  <c r="N3459"/>
  <c r="K3459"/>
  <c r="O3458"/>
  <c r="P3458" s="1"/>
  <c r="N3458"/>
  <c r="K3458"/>
  <c r="O3457"/>
  <c r="P3457" s="1"/>
  <c r="N3457"/>
  <c r="K3457"/>
  <c r="N3456"/>
  <c r="J3456"/>
  <c r="O3456" s="1"/>
  <c r="P3456" s="1"/>
  <c r="N3455"/>
  <c r="J3455"/>
  <c r="O3455" s="1"/>
  <c r="P3455" s="1"/>
  <c r="M3454"/>
  <c r="M3463" s="1"/>
  <c r="J3454"/>
  <c r="J3463" s="1"/>
  <c r="O3453"/>
  <c r="P3453" s="1"/>
  <c r="N3453"/>
  <c r="K3453"/>
  <c r="O3452"/>
  <c r="P3452" s="1"/>
  <c r="N3452"/>
  <c r="K3452"/>
  <c r="Q50" i="50"/>
  <c r="K3454" i="36" l="1"/>
  <c r="N3454"/>
  <c r="N3463" s="1"/>
  <c r="K3455"/>
  <c r="O3454"/>
  <c r="P3454" s="1"/>
  <c r="P3463" s="1"/>
  <c r="K3456"/>
  <c r="K3463" l="1"/>
  <c r="O3463"/>
  <c r="R3434" l="1"/>
  <c r="O3434"/>
  <c r="Q3414"/>
  <c r="I3414"/>
  <c r="L3413"/>
  <c r="N3413" s="1"/>
  <c r="O3413" s="1"/>
  <c r="J3413"/>
  <c r="L3412"/>
  <c r="N3412" s="1"/>
  <c r="O3412" s="1"/>
  <c r="J3412"/>
  <c r="N3411"/>
  <c r="O3411" s="1"/>
  <c r="M3411"/>
  <c r="J3411"/>
  <c r="N3410"/>
  <c r="O3410" s="1"/>
  <c r="M3410"/>
  <c r="J3410"/>
  <c r="N3409"/>
  <c r="O3409" s="1"/>
  <c r="M3409"/>
  <c r="J3409"/>
  <c r="N3408"/>
  <c r="M3408"/>
  <c r="J3408"/>
  <c r="Q349" i="38"/>
  <c r="M347"/>
  <c r="Q3406" i="36"/>
  <c r="N3405"/>
  <c r="O3405" s="1"/>
  <c r="M3405"/>
  <c r="J3405"/>
  <c r="N3404"/>
  <c r="O3404" s="1"/>
  <c r="M3404"/>
  <c r="J3404"/>
  <c r="N3403"/>
  <c r="O3403" s="1"/>
  <c r="M3403"/>
  <c r="J3403"/>
  <c r="N3402"/>
  <c r="O3402" s="1"/>
  <c r="M3402"/>
  <c r="J3402"/>
  <c r="L3401"/>
  <c r="L3406" s="1"/>
  <c r="J3401"/>
  <c r="M3400"/>
  <c r="I3400"/>
  <c r="I3406" s="1"/>
  <c r="Q405" i="38"/>
  <c r="Q3398" i="36"/>
  <c r="I3398"/>
  <c r="N3397"/>
  <c r="O3397" s="1"/>
  <c r="M3397"/>
  <c r="J3397"/>
  <c r="N3396"/>
  <c r="O3396" s="1"/>
  <c r="M3396"/>
  <c r="J3396"/>
  <c r="N3395"/>
  <c r="O3395" s="1"/>
  <c r="M3395"/>
  <c r="J3395"/>
  <c r="N3394"/>
  <c r="O3394" s="1"/>
  <c r="M3394"/>
  <c r="J3394"/>
  <c r="N3393"/>
  <c r="O3393" s="1"/>
  <c r="M3393"/>
  <c r="J3393"/>
  <c r="N3392"/>
  <c r="O3392" s="1"/>
  <c r="M3392"/>
  <c r="J3392"/>
  <c r="L3391"/>
  <c r="L3398" s="1"/>
  <c r="J3391"/>
  <c r="N3390"/>
  <c r="O3390" s="1"/>
  <c r="M3390"/>
  <c r="J3390"/>
  <c r="N3389"/>
  <c r="O3389" s="1"/>
  <c r="M3389"/>
  <c r="J3389"/>
  <c r="N3388"/>
  <c r="O3388" s="1"/>
  <c r="M3388"/>
  <c r="J3388"/>
  <c r="N3387"/>
  <c r="O3387" s="1"/>
  <c r="M3387"/>
  <c r="J3387"/>
  <c r="N3386"/>
  <c r="O3386" s="1"/>
  <c r="M3386"/>
  <c r="J3386"/>
  <c r="O165" i="49"/>
  <c r="N165"/>
  <c r="N3382" i="36"/>
  <c r="O3382" s="1"/>
  <c r="M3382"/>
  <c r="J3382"/>
  <c r="N3381"/>
  <c r="O3381" s="1"/>
  <c r="M3381"/>
  <c r="J3381"/>
  <c r="N3380"/>
  <c r="O3380" s="1"/>
  <c r="M3380"/>
  <c r="J3380"/>
  <c r="N3379"/>
  <c r="O3379" s="1"/>
  <c r="M3379"/>
  <c r="J3379"/>
  <c r="N3378"/>
  <c r="O3378" s="1"/>
  <c r="M3378"/>
  <c r="J3378"/>
  <c r="N3377"/>
  <c r="O3377" s="1"/>
  <c r="M3377"/>
  <c r="J3377"/>
  <c r="N3376"/>
  <c r="O3376" s="1"/>
  <c r="M3376"/>
  <c r="J3376"/>
  <c r="N3375"/>
  <c r="O3375" s="1"/>
  <c r="M3375"/>
  <c r="J3375"/>
  <c r="N3374"/>
  <c r="O3374" s="1"/>
  <c r="M3374"/>
  <c r="J3374"/>
  <c r="N3373"/>
  <c r="O3373" s="1"/>
  <c r="M3373"/>
  <c r="J3373"/>
  <c r="N3372"/>
  <c r="O3372" s="1"/>
  <c r="M3372"/>
  <c r="J3372"/>
  <c r="N3371"/>
  <c r="O3371" s="1"/>
  <c r="M3371"/>
  <c r="J3371"/>
  <c r="Q3367"/>
  <c r="N3366"/>
  <c r="O3366" s="1"/>
  <c r="M3366"/>
  <c r="J3366"/>
  <c r="N3365"/>
  <c r="O3365" s="1"/>
  <c r="M3365"/>
  <c r="J3365"/>
  <c r="N3364"/>
  <c r="O3364" s="1"/>
  <c r="M3364"/>
  <c r="J3364"/>
  <c r="N3363"/>
  <c r="O3363" s="1"/>
  <c r="M3363"/>
  <c r="J3363"/>
  <c r="L3362"/>
  <c r="L3367" s="1"/>
  <c r="J3362"/>
  <c r="N3361"/>
  <c r="O3361" s="1"/>
  <c r="M3361"/>
  <c r="J3361"/>
  <c r="N3360"/>
  <c r="O3360" s="1"/>
  <c r="M3360"/>
  <c r="J3360"/>
  <c r="N3359"/>
  <c r="O3359" s="1"/>
  <c r="M3359"/>
  <c r="J3359"/>
  <c r="M3358"/>
  <c r="I3358"/>
  <c r="N3358" s="1"/>
  <c r="O3358" s="1"/>
  <c r="M3357"/>
  <c r="I3357"/>
  <c r="N3357" s="1"/>
  <c r="O3357" s="1"/>
  <c r="M3356"/>
  <c r="I3356"/>
  <c r="I3367" s="1"/>
  <c r="N3355"/>
  <c r="O3355" s="1"/>
  <c r="M3355"/>
  <c r="J3355"/>
  <c r="L146" i="40"/>
  <c r="Q3353" i="36"/>
  <c r="N3352"/>
  <c r="O3352" s="1"/>
  <c r="M3352"/>
  <c r="J3352"/>
  <c r="N3351"/>
  <c r="O3351" s="1"/>
  <c r="M3351"/>
  <c r="J3351"/>
  <c r="N3350"/>
  <c r="O3350" s="1"/>
  <c r="M3350"/>
  <c r="J3350"/>
  <c r="N3349"/>
  <c r="O3349" s="1"/>
  <c r="M3349"/>
  <c r="J3349"/>
  <c r="L3348"/>
  <c r="M3348" s="1"/>
  <c r="I3348"/>
  <c r="L3347"/>
  <c r="L3353" s="1"/>
  <c r="I3347"/>
  <c r="I3353" s="1"/>
  <c r="N3346"/>
  <c r="O3346" s="1"/>
  <c r="M3346"/>
  <c r="J3346"/>
  <c r="Q3344"/>
  <c r="L3344"/>
  <c r="I3344"/>
  <c r="N3343"/>
  <c r="O3343" s="1"/>
  <c r="M3343"/>
  <c r="J3343"/>
  <c r="N3342"/>
  <c r="O3342" s="1"/>
  <c r="M3342"/>
  <c r="J3342"/>
  <c r="N3341"/>
  <c r="O3341" s="1"/>
  <c r="M3341"/>
  <c r="J3341"/>
  <c r="N3340"/>
  <c r="O3340" s="1"/>
  <c r="M3340"/>
  <c r="J3340"/>
  <c r="N3339"/>
  <c r="M3339"/>
  <c r="J3339"/>
  <c r="Q3326"/>
  <c r="Q3337"/>
  <c r="N3336"/>
  <c r="O3336" s="1"/>
  <c r="M3336"/>
  <c r="J3336"/>
  <c r="N3335"/>
  <c r="O3335" s="1"/>
  <c r="M3335"/>
  <c r="J3335"/>
  <c r="N3334"/>
  <c r="O3334" s="1"/>
  <c r="M3334"/>
  <c r="J3334"/>
  <c r="N3333"/>
  <c r="O3333" s="1"/>
  <c r="M3333"/>
  <c r="J3333"/>
  <c r="N3332"/>
  <c r="O3332" s="1"/>
  <c r="M3332"/>
  <c r="J3332"/>
  <c r="N3331"/>
  <c r="O3331" s="1"/>
  <c r="M3331"/>
  <c r="J3331"/>
  <c r="N3330"/>
  <c r="O3330" s="1"/>
  <c r="M3330"/>
  <c r="J3330"/>
  <c r="L3329"/>
  <c r="L3337" s="1"/>
  <c r="I3329"/>
  <c r="M3328"/>
  <c r="I3328"/>
  <c r="N3328" s="1"/>
  <c r="N3325"/>
  <c r="O3325" s="1"/>
  <c r="M3325"/>
  <c r="J3325"/>
  <c r="N3324"/>
  <c r="O3324" s="1"/>
  <c r="M3324"/>
  <c r="J3324"/>
  <c r="N3323"/>
  <c r="O3323" s="1"/>
  <c r="M3323"/>
  <c r="J3323"/>
  <c r="R3320"/>
  <c r="O3713"/>
  <c r="P3713" s="1"/>
  <c r="N3713"/>
  <c r="K3713"/>
  <c r="O3712"/>
  <c r="P3712" s="1"/>
  <c r="N3712"/>
  <c r="K3712"/>
  <c r="O3711"/>
  <c r="P3711" s="1"/>
  <c r="N3711"/>
  <c r="K3711"/>
  <c r="M1228" i="35"/>
  <c r="J3398" i="36" l="1"/>
  <c r="J3414"/>
  <c r="Q3345"/>
  <c r="J3344"/>
  <c r="N3414"/>
  <c r="N3344"/>
  <c r="N3348"/>
  <c r="O3348" s="1"/>
  <c r="M3413"/>
  <c r="M3401"/>
  <c r="M3406" s="1"/>
  <c r="O3408"/>
  <c r="J3328"/>
  <c r="O3414"/>
  <c r="I3337"/>
  <c r="M3344"/>
  <c r="J3347"/>
  <c r="M3347"/>
  <c r="M3353" s="1"/>
  <c r="J3348"/>
  <c r="J3356"/>
  <c r="N3356"/>
  <c r="O3356" s="1"/>
  <c r="J3358"/>
  <c r="M3362"/>
  <c r="M3367" s="1"/>
  <c r="J3400"/>
  <c r="J3406" s="1"/>
  <c r="N3400"/>
  <c r="O3400" s="1"/>
  <c r="M3412"/>
  <c r="L3414"/>
  <c r="N3401"/>
  <c r="O3401" s="1"/>
  <c r="M3391"/>
  <c r="M3398" s="1"/>
  <c r="N3391"/>
  <c r="J3357"/>
  <c r="J3367" s="1"/>
  <c r="N3362"/>
  <c r="O3362" s="1"/>
  <c r="O3367" s="1"/>
  <c r="N3347"/>
  <c r="O3347" s="1"/>
  <c r="O3339"/>
  <c r="O3344" s="1"/>
  <c r="N3329"/>
  <c r="O3329" s="1"/>
  <c r="O3328"/>
  <c r="J3329"/>
  <c r="M3329"/>
  <c r="M3337" s="1"/>
  <c r="M3414" l="1"/>
  <c r="J3337"/>
  <c r="O3353"/>
  <c r="O3406"/>
  <c r="N3353"/>
  <c r="J3353"/>
  <c r="N3406"/>
  <c r="N3398"/>
  <c r="O3391"/>
  <c r="O3398" s="1"/>
  <c r="N3367"/>
  <c r="N3337"/>
  <c r="O3337"/>
  <c r="R3871" l="1"/>
  <c r="O3871"/>
  <c r="M1853" i="35"/>
  <c r="R3857" i="36"/>
  <c r="J3857"/>
  <c r="O3856"/>
  <c r="P3856" s="1"/>
  <c r="N3856"/>
  <c r="K3856"/>
  <c r="M3855"/>
  <c r="O3855" s="1"/>
  <c r="P3855" s="1"/>
  <c r="K3855"/>
  <c r="M3854"/>
  <c r="N3854" s="1"/>
  <c r="K3854"/>
  <c r="M3853"/>
  <c r="M3857" s="1"/>
  <c r="K3853"/>
  <c r="O3852"/>
  <c r="P3852" s="1"/>
  <c r="N3852"/>
  <c r="K3852"/>
  <c r="O3851"/>
  <c r="N3851"/>
  <c r="K3851"/>
  <c r="R175" i="39"/>
  <c r="K3857" i="36" l="1"/>
  <c r="N3855"/>
  <c r="N3853"/>
  <c r="O3854"/>
  <c r="P3854" s="1"/>
  <c r="P3851"/>
  <c r="O3853"/>
  <c r="P3853" s="1"/>
  <c r="R3315"/>
  <c r="M3314"/>
  <c r="O3314" s="1"/>
  <c r="P3314" s="1"/>
  <c r="K3314"/>
  <c r="O3313"/>
  <c r="P3313" s="1"/>
  <c r="N3313"/>
  <c r="K3313"/>
  <c r="O3312"/>
  <c r="P3312" s="1"/>
  <c r="N3312"/>
  <c r="K3312"/>
  <c r="O3311"/>
  <c r="P3311" s="1"/>
  <c r="N3311"/>
  <c r="K3311"/>
  <c r="O3310"/>
  <c r="P3310" s="1"/>
  <c r="N3310"/>
  <c r="K3310"/>
  <c r="O3309"/>
  <c r="P3309" s="1"/>
  <c r="N3309"/>
  <c r="K3309"/>
  <c r="O3308"/>
  <c r="P3308" s="1"/>
  <c r="N3308"/>
  <c r="K3308"/>
  <c r="O3307"/>
  <c r="P3307" s="1"/>
  <c r="N3307"/>
  <c r="K3307"/>
  <c r="O3306"/>
  <c r="P3306" s="1"/>
  <c r="N3306"/>
  <c r="K3306"/>
  <c r="M1094" i="35"/>
  <c r="R3302" i="36"/>
  <c r="O3302"/>
  <c r="P3302" s="1"/>
  <c r="N3302"/>
  <c r="K3302"/>
  <c r="O3301"/>
  <c r="P3301" s="1"/>
  <c r="N3301"/>
  <c r="K3301"/>
  <c r="O3300"/>
  <c r="P3300" s="1"/>
  <c r="N3300"/>
  <c r="K3300"/>
  <c r="O3299"/>
  <c r="P3299" s="1"/>
  <c r="N3299"/>
  <c r="K3299"/>
  <c r="O3298"/>
  <c r="P3298" s="1"/>
  <c r="N3298"/>
  <c r="K3298"/>
  <c r="O3297"/>
  <c r="P3297" s="1"/>
  <c r="N3297"/>
  <c r="K3297"/>
  <c r="O3296"/>
  <c r="P3296" s="1"/>
  <c r="N3296"/>
  <c r="K3296"/>
  <c r="O3295"/>
  <c r="P3295" s="1"/>
  <c r="N3295"/>
  <c r="K3295"/>
  <c r="O3294"/>
  <c r="P3294" s="1"/>
  <c r="N3294"/>
  <c r="K3294"/>
  <c r="O3293"/>
  <c r="P3293" s="1"/>
  <c r="N3293"/>
  <c r="K3293"/>
  <c r="O3292"/>
  <c r="P3292" s="1"/>
  <c r="N3292"/>
  <c r="K3292"/>
  <c r="R3288"/>
  <c r="R3284"/>
  <c r="O3283"/>
  <c r="P3283" s="1"/>
  <c r="N3283"/>
  <c r="K3283"/>
  <c r="O3282"/>
  <c r="P3282" s="1"/>
  <c r="N3282"/>
  <c r="K3282"/>
  <c r="O3281"/>
  <c r="P3281" s="1"/>
  <c r="N3281"/>
  <c r="K3281"/>
  <c r="O3280"/>
  <c r="P3280" s="1"/>
  <c r="N3280"/>
  <c r="K3280"/>
  <c r="O3279"/>
  <c r="P3279" s="1"/>
  <c r="N3279"/>
  <c r="K3279"/>
  <c r="O3278"/>
  <c r="P3278" s="1"/>
  <c r="N3278"/>
  <c r="K3278"/>
  <c r="O3277"/>
  <c r="P3277" s="1"/>
  <c r="N3277"/>
  <c r="K3277"/>
  <c r="R3274"/>
  <c r="O3273"/>
  <c r="P3273" s="1"/>
  <c r="N3273"/>
  <c r="K3273"/>
  <c r="O3272"/>
  <c r="P3272" s="1"/>
  <c r="N3272"/>
  <c r="K3272"/>
  <c r="O3271"/>
  <c r="P3271" s="1"/>
  <c r="N3271"/>
  <c r="K3271"/>
  <c r="O3270"/>
  <c r="P3270" s="1"/>
  <c r="N3270"/>
  <c r="K3270"/>
  <c r="O3269"/>
  <c r="P3269" s="1"/>
  <c r="N3269"/>
  <c r="K3269"/>
  <c r="O3268"/>
  <c r="P3268" s="1"/>
  <c r="N3268"/>
  <c r="K3268"/>
  <c r="R3266"/>
  <c r="O3266"/>
  <c r="R3253"/>
  <c r="M3253"/>
  <c r="J3253"/>
  <c r="O3252"/>
  <c r="P3252" s="1"/>
  <c r="N3252"/>
  <c r="K3252"/>
  <c r="O3251"/>
  <c r="P3251" s="1"/>
  <c r="N3251"/>
  <c r="K3251"/>
  <c r="O3250"/>
  <c r="P3250" s="1"/>
  <c r="N3250"/>
  <c r="K3250"/>
  <c r="O3249"/>
  <c r="P3249" s="1"/>
  <c r="N3249"/>
  <c r="K3249"/>
  <c r="O3248"/>
  <c r="P3248" s="1"/>
  <c r="N3248"/>
  <c r="K3248"/>
  <c r="O3247"/>
  <c r="P3247" s="1"/>
  <c r="N3247"/>
  <c r="K3247"/>
  <c r="O3246"/>
  <c r="P3246" s="1"/>
  <c r="N3246"/>
  <c r="K3246"/>
  <c r="O3245"/>
  <c r="N3245"/>
  <c r="K3245"/>
  <c r="Q51" i="40"/>
  <c r="R3243" i="36"/>
  <c r="O3242"/>
  <c r="P3242" s="1"/>
  <c r="N3242"/>
  <c r="K3242"/>
  <c r="O3241"/>
  <c r="P3241" s="1"/>
  <c r="N3241"/>
  <c r="K3241"/>
  <c r="O3240"/>
  <c r="P3240" s="1"/>
  <c r="N3240"/>
  <c r="K3240"/>
  <c r="O3239"/>
  <c r="P3239" s="1"/>
  <c r="N3239"/>
  <c r="K3239"/>
  <c r="O3238"/>
  <c r="P3238" s="1"/>
  <c r="N3238"/>
  <c r="K3238"/>
  <c r="O3237"/>
  <c r="P3237" s="1"/>
  <c r="N3237"/>
  <c r="K3237"/>
  <c r="O3236"/>
  <c r="P3236" s="1"/>
  <c r="N3236"/>
  <c r="K3236"/>
  <c r="O3235"/>
  <c r="P3235" s="1"/>
  <c r="N3235"/>
  <c r="K3235"/>
  <c r="R3481"/>
  <c r="M3481"/>
  <c r="O3480"/>
  <c r="P3480" s="1"/>
  <c r="N3480"/>
  <c r="K3480"/>
  <c r="O3479"/>
  <c r="P3479" s="1"/>
  <c r="N3479"/>
  <c r="K3479"/>
  <c r="O3478"/>
  <c r="P3478" s="1"/>
  <c r="N3478"/>
  <c r="K3478"/>
  <c r="N3477"/>
  <c r="J3477"/>
  <c r="O3477" s="1"/>
  <c r="P3477" s="1"/>
  <c r="O3476"/>
  <c r="P3476" s="1"/>
  <c r="N3476"/>
  <c r="K3476"/>
  <c r="N3475"/>
  <c r="J3475"/>
  <c r="O3474"/>
  <c r="P3474" s="1"/>
  <c r="N3474"/>
  <c r="K3474"/>
  <c r="N3473"/>
  <c r="J3473"/>
  <c r="O3473" s="1"/>
  <c r="R3471"/>
  <c r="O3894"/>
  <c r="P3894" s="1"/>
  <c r="N3894"/>
  <c r="K3894"/>
  <c r="R3211"/>
  <c r="R3228"/>
  <c r="Q3227"/>
  <c r="O3227"/>
  <c r="P3227" s="1"/>
  <c r="N3227"/>
  <c r="K3227"/>
  <c r="Q3226"/>
  <c r="O3226"/>
  <c r="P3226" s="1"/>
  <c r="N3226"/>
  <c r="K3226"/>
  <c r="Q3225"/>
  <c r="O3225"/>
  <c r="P3225" s="1"/>
  <c r="N3225"/>
  <c r="K3225"/>
  <c r="Q3224"/>
  <c r="O3224"/>
  <c r="P3224" s="1"/>
  <c r="N3224"/>
  <c r="K3224"/>
  <c r="Q3223"/>
  <c r="O3223"/>
  <c r="P3223" s="1"/>
  <c r="N3223"/>
  <c r="K3223"/>
  <c r="Q3222"/>
  <c r="O3222"/>
  <c r="P3222" s="1"/>
  <c r="N3222"/>
  <c r="K3222"/>
  <c r="Q3221"/>
  <c r="O3221"/>
  <c r="P3221" s="1"/>
  <c r="N3221"/>
  <c r="K3221"/>
  <c r="Q3220"/>
  <c r="O3220"/>
  <c r="P3220" s="1"/>
  <c r="N3220"/>
  <c r="K3220"/>
  <c r="Q3219"/>
  <c r="O3219"/>
  <c r="P3219" s="1"/>
  <c r="N3219"/>
  <c r="K3219"/>
  <c r="Q3218"/>
  <c r="O3218"/>
  <c r="P3218" s="1"/>
  <c r="N3218"/>
  <c r="K3218"/>
  <c r="Q3217"/>
  <c r="O3217"/>
  <c r="P3217" s="1"/>
  <c r="N3217"/>
  <c r="K3217"/>
  <c r="Q3216"/>
  <c r="O3216"/>
  <c r="P3216" s="1"/>
  <c r="N3216"/>
  <c r="K3216"/>
  <c r="Q3215"/>
  <c r="O3215"/>
  <c r="P3215" s="1"/>
  <c r="N3215"/>
  <c r="K3215"/>
  <c r="Q3214"/>
  <c r="O3214"/>
  <c r="P3214" s="1"/>
  <c r="N3214"/>
  <c r="K3214"/>
  <c r="P310" i="43"/>
  <c r="M3211" i="36"/>
  <c r="J3211"/>
  <c r="Q3210"/>
  <c r="O3210"/>
  <c r="P3210" s="1"/>
  <c r="N3210"/>
  <c r="K3210"/>
  <c r="Q3209"/>
  <c r="O3209"/>
  <c r="P3209" s="1"/>
  <c r="N3209"/>
  <c r="K3209"/>
  <c r="Q3208"/>
  <c r="O3208"/>
  <c r="P3208" s="1"/>
  <c r="N3208"/>
  <c r="K3208"/>
  <c r="Q3207"/>
  <c r="O3207"/>
  <c r="P3207" s="1"/>
  <c r="N3207"/>
  <c r="K3207"/>
  <c r="Q3206"/>
  <c r="O3206"/>
  <c r="P3206" s="1"/>
  <c r="N3206"/>
  <c r="K3206"/>
  <c r="Q3205"/>
  <c r="O3205"/>
  <c r="P3205" s="1"/>
  <c r="N3205"/>
  <c r="K3205"/>
  <c r="O3204"/>
  <c r="P3204" s="1"/>
  <c r="N3204"/>
  <c r="K3204"/>
  <c r="O3203"/>
  <c r="P3203" s="1"/>
  <c r="N3203"/>
  <c r="K3203"/>
  <c r="O3202"/>
  <c r="P3202" s="1"/>
  <c r="N3202"/>
  <c r="K3202"/>
  <c r="Q3201"/>
  <c r="O3201"/>
  <c r="P3201" s="1"/>
  <c r="N3201"/>
  <c r="K3201"/>
  <c r="Q3200"/>
  <c r="O3200"/>
  <c r="P3200" s="1"/>
  <c r="N3200"/>
  <c r="K3200"/>
  <c r="O3199"/>
  <c r="P3199" s="1"/>
  <c r="N3199"/>
  <c r="K3199"/>
  <c r="O3198"/>
  <c r="P3198" s="1"/>
  <c r="N3198"/>
  <c r="K3198"/>
  <c r="O3197"/>
  <c r="N3197"/>
  <c r="K3197"/>
  <c r="Q350" i="43"/>
  <c r="P349"/>
  <c r="P344"/>
  <c r="P348"/>
  <c r="P347"/>
  <c r="P346"/>
  <c r="P345"/>
  <c r="Q324"/>
  <c r="P323"/>
  <c r="P322"/>
  <c r="P321"/>
  <c r="P320"/>
  <c r="P319"/>
  <c r="P318"/>
  <c r="P317"/>
  <c r="P316"/>
  <c r="P315"/>
  <c r="P314"/>
  <c r="P313"/>
  <c r="P312"/>
  <c r="P311"/>
  <c r="I324"/>
  <c r="N323"/>
  <c r="O323" s="1"/>
  <c r="M323"/>
  <c r="J323"/>
  <c r="N322"/>
  <c r="O322" s="1"/>
  <c r="M322"/>
  <c r="J322"/>
  <c r="N321"/>
  <c r="O321" s="1"/>
  <c r="M321"/>
  <c r="J321"/>
  <c r="N320"/>
  <c r="O320" s="1"/>
  <c r="M320"/>
  <c r="J320"/>
  <c r="N319"/>
  <c r="O319" s="1"/>
  <c r="M319"/>
  <c r="J319"/>
  <c r="N318"/>
  <c r="O318" s="1"/>
  <c r="M318"/>
  <c r="J318"/>
  <c r="R3194" i="36"/>
  <c r="J3194"/>
  <c r="O3193"/>
  <c r="P3193" s="1"/>
  <c r="N3193"/>
  <c r="K3193"/>
  <c r="O3192"/>
  <c r="P3192" s="1"/>
  <c r="N3192"/>
  <c r="K3192"/>
  <c r="O3191"/>
  <c r="P3191" s="1"/>
  <c r="N3191"/>
  <c r="K3191"/>
  <c r="Q3190"/>
  <c r="O3190"/>
  <c r="P3190" s="1"/>
  <c r="N3190"/>
  <c r="K3190"/>
  <c r="O3189"/>
  <c r="P3189" s="1"/>
  <c r="N3189"/>
  <c r="K3189"/>
  <c r="O3188"/>
  <c r="P3188" s="1"/>
  <c r="N3188"/>
  <c r="K3188"/>
  <c r="O3187"/>
  <c r="P3187" s="1"/>
  <c r="N3187"/>
  <c r="K3187"/>
  <c r="O3186"/>
  <c r="P3186" s="1"/>
  <c r="N3186"/>
  <c r="K3186"/>
  <c r="O3185"/>
  <c r="P3185" s="1"/>
  <c r="N3185"/>
  <c r="K3185"/>
  <c r="O3184"/>
  <c r="P3184" s="1"/>
  <c r="N3184"/>
  <c r="K3184"/>
  <c r="O3183"/>
  <c r="P3183" s="1"/>
  <c r="N3183"/>
  <c r="K3183"/>
  <c r="O3182"/>
  <c r="P3182" s="1"/>
  <c r="N3182"/>
  <c r="K3182"/>
  <c r="O3181"/>
  <c r="P3181" s="1"/>
  <c r="N3181"/>
  <c r="K3181"/>
  <c r="O3180"/>
  <c r="P3180" s="1"/>
  <c r="N3180"/>
  <c r="K3180"/>
  <c r="O3179"/>
  <c r="P3179" s="1"/>
  <c r="N3179"/>
  <c r="K3179"/>
  <c r="O3178"/>
  <c r="P3178" s="1"/>
  <c r="N3178"/>
  <c r="K3178"/>
  <c r="O3177"/>
  <c r="P3177" s="1"/>
  <c r="N3177"/>
  <c r="K3177"/>
  <c r="O3176"/>
  <c r="P3176" s="1"/>
  <c r="N3176"/>
  <c r="K3176"/>
  <c r="O3175"/>
  <c r="P3175" s="1"/>
  <c r="N3175"/>
  <c r="K3175"/>
  <c r="O3174"/>
  <c r="P3174" s="1"/>
  <c r="N3174"/>
  <c r="K3174"/>
  <c r="Q3173"/>
  <c r="O3173"/>
  <c r="P3173" s="1"/>
  <c r="N3173"/>
  <c r="K3173"/>
  <c r="Q3172"/>
  <c r="O3172"/>
  <c r="P3172" s="1"/>
  <c r="N3172"/>
  <c r="K3172"/>
  <c r="O3171"/>
  <c r="P3171" s="1"/>
  <c r="N3171"/>
  <c r="K3171"/>
  <c r="O3170"/>
  <c r="P3170" s="1"/>
  <c r="N3170"/>
  <c r="K3170"/>
  <c r="O3169"/>
  <c r="P3169" s="1"/>
  <c r="N3169"/>
  <c r="K3169"/>
  <c r="O3168"/>
  <c r="P3168" s="1"/>
  <c r="N3168"/>
  <c r="K3168"/>
  <c r="O3167"/>
  <c r="P3167" s="1"/>
  <c r="N3167"/>
  <c r="K3167"/>
  <c r="O3166"/>
  <c r="P3166" s="1"/>
  <c r="N3166"/>
  <c r="K3166"/>
  <c r="O3165"/>
  <c r="P3165" s="1"/>
  <c r="N3165"/>
  <c r="K3165"/>
  <c r="M3164"/>
  <c r="M3194" s="1"/>
  <c r="K3164"/>
  <c r="O3163"/>
  <c r="P3163" s="1"/>
  <c r="N3163"/>
  <c r="K3163"/>
  <c r="O3162"/>
  <c r="N3162"/>
  <c r="K3162"/>
  <c r="P100" i="43"/>
  <c r="P83"/>
  <c r="P82"/>
  <c r="Q3159" i="36"/>
  <c r="P3158"/>
  <c r="N3158"/>
  <c r="O3158" s="1"/>
  <c r="M3158"/>
  <c r="J3158"/>
  <c r="P3157"/>
  <c r="N3157"/>
  <c r="O3157" s="1"/>
  <c r="M3157"/>
  <c r="J3157"/>
  <c r="P3156"/>
  <c r="N3156"/>
  <c r="O3156" s="1"/>
  <c r="M3156"/>
  <c r="J3156"/>
  <c r="N3155"/>
  <c r="O3155" s="1"/>
  <c r="M3155"/>
  <c r="J3155"/>
  <c r="N3154"/>
  <c r="O3154" s="1"/>
  <c r="M3154"/>
  <c r="J3154"/>
  <c r="N3153"/>
  <c r="O3153" s="1"/>
  <c r="M3153"/>
  <c r="J3153"/>
  <c r="N3152"/>
  <c r="O3152" s="1"/>
  <c r="M3152"/>
  <c r="J3152"/>
  <c r="N3151"/>
  <c r="O3151" s="1"/>
  <c r="M3151"/>
  <c r="J3151"/>
  <c r="N3150"/>
  <c r="O3150" s="1"/>
  <c r="M3150"/>
  <c r="J3150"/>
  <c r="N3149"/>
  <c r="O3149" s="1"/>
  <c r="M3149"/>
  <c r="J3149"/>
  <c r="N3148"/>
  <c r="O3148" s="1"/>
  <c r="M3148"/>
  <c r="J3148"/>
  <c r="N3147"/>
  <c r="O3147" s="1"/>
  <c r="M3147"/>
  <c r="J3147"/>
  <c r="P3146"/>
  <c r="N3146"/>
  <c r="O3146" s="1"/>
  <c r="M3146"/>
  <c r="J3146"/>
  <c r="P3145"/>
  <c r="N3145"/>
  <c r="O3145" s="1"/>
  <c r="M3145"/>
  <c r="J3145"/>
  <c r="N3144"/>
  <c r="O3144" s="1"/>
  <c r="M3144"/>
  <c r="J3144"/>
  <c r="M3143"/>
  <c r="I3143"/>
  <c r="N3143" s="1"/>
  <c r="O3143" s="1"/>
  <c r="L3142"/>
  <c r="L3159" s="1"/>
  <c r="I3142"/>
  <c r="I3159" s="1"/>
  <c r="P69" i="43"/>
  <c r="P68"/>
  <c r="P67"/>
  <c r="P57"/>
  <c r="P56"/>
  <c r="N3857" i="36" l="1"/>
  <c r="N3211"/>
  <c r="N3481"/>
  <c r="K3253"/>
  <c r="O3253"/>
  <c r="N3253"/>
  <c r="P3245"/>
  <c r="P3253" s="1"/>
  <c r="K3477"/>
  <c r="K3211"/>
  <c r="O3211"/>
  <c r="R3229"/>
  <c r="K3194"/>
  <c r="N3164"/>
  <c r="P3197"/>
  <c r="P3211" s="1"/>
  <c r="K3473"/>
  <c r="J3481"/>
  <c r="N3194"/>
  <c r="O3243"/>
  <c r="P3857"/>
  <c r="O3857"/>
  <c r="N3314"/>
  <c r="P3473"/>
  <c r="K3475"/>
  <c r="O3475"/>
  <c r="P3475" s="1"/>
  <c r="P3162"/>
  <c r="O3164"/>
  <c r="P3164" s="1"/>
  <c r="J3142"/>
  <c r="M3142"/>
  <c r="M3159" s="1"/>
  <c r="J3143"/>
  <c r="N3142"/>
  <c r="N3159" s="1"/>
  <c r="L560" i="43"/>
  <c r="L565"/>
  <c r="I565"/>
  <c r="N564"/>
  <c r="O564" s="1"/>
  <c r="M564"/>
  <c r="J564"/>
  <c r="N563"/>
  <c r="O563" s="1"/>
  <c r="M563"/>
  <c r="J563"/>
  <c r="N562"/>
  <c r="O562" s="1"/>
  <c r="M562"/>
  <c r="J562"/>
  <c r="N561"/>
  <c r="O561" s="1"/>
  <c r="M561"/>
  <c r="J561"/>
  <c r="N560"/>
  <c r="O560" s="1"/>
  <c r="M560"/>
  <c r="J560"/>
  <c r="N559"/>
  <c r="O559" s="1"/>
  <c r="M559"/>
  <c r="J559"/>
  <c r="N558"/>
  <c r="O558" s="1"/>
  <c r="M558"/>
  <c r="J558"/>
  <c r="N557"/>
  <c r="O557" s="1"/>
  <c r="M557"/>
  <c r="J557"/>
  <c r="N556"/>
  <c r="O556" s="1"/>
  <c r="J556"/>
  <c r="N555"/>
  <c r="O555" s="1"/>
  <c r="M555"/>
  <c r="J555"/>
  <c r="N554"/>
  <c r="O554" s="1"/>
  <c r="M554"/>
  <c r="J554"/>
  <c r="N553"/>
  <c r="O553" s="1"/>
  <c r="M553"/>
  <c r="J553"/>
  <c r="N552"/>
  <c r="O552" s="1"/>
  <c r="M552"/>
  <c r="J552"/>
  <c r="N551"/>
  <c r="O551" s="1"/>
  <c r="M551"/>
  <c r="J551"/>
  <c r="N550"/>
  <c r="O550" s="1"/>
  <c r="M550"/>
  <c r="J550"/>
  <c r="N549"/>
  <c r="O549" s="1"/>
  <c r="M549"/>
  <c r="J549"/>
  <c r="N548"/>
  <c r="O548" s="1"/>
  <c r="M548"/>
  <c r="J548"/>
  <c r="N547"/>
  <c r="O547" s="1"/>
  <c r="M547"/>
  <c r="J547"/>
  <c r="N546"/>
  <c r="O546" s="1"/>
  <c r="M546"/>
  <c r="J546"/>
  <c r="N545"/>
  <c r="O545" s="1"/>
  <c r="M545"/>
  <c r="J545"/>
  <c r="N544"/>
  <c r="O544" s="1"/>
  <c r="M544"/>
  <c r="J544"/>
  <c r="J565" s="1"/>
  <c r="L540"/>
  <c r="I540"/>
  <c r="N539"/>
  <c r="O539" s="1"/>
  <c r="M539"/>
  <c r="J539"/>
  <c r="J538"/>
  <c r="N538"/>
  <c r="O538" s="1"/>
  <c r="M538"/>
  <c r="N537"/>
  <c r="O537" s="1"/>
  <c r="M537"/>
  <c r="J537"/>
  <c r="N536"/>
  <c r="O536" s="1"/>
  <c r="M536"/>
  <c r="J536"/>
  <c r="N535"/>
  <c r="O535" s="1"/>
  <c r="M535"/>
  <c r="J535"/>
  <c r="N534"/>
  <c r="O534" s="1"/>
  <c r="M534"/>
  <c r="J534"/>
  <c r="N533"/>
  <c r="O533" s="1"/>
  <c r="M533"/>
  <c r="J533"/>
  <c r="N532"/>
  <c r="O532" s="1"/>
  <c r="M532"/>
  <c r="J532"/>
  <c r="N531"/>
  <c r="O531" s="1"/>
  <c r="M531"/>
  <c r="J531"/>
  <c r="N530"/>
  <c r="O530" s="1"/>
  <c r="M530"/>
  <c r="J530"/>
  <c r="N529"/>
  <c r="O529" s="1"/>
  <c r="M529"/>
  <c r="J529"/>
  <c r="N528"/>
  <c r="O528" s="1"/>
  <c r="M528"/>
  <c r="J528"/>
  <c r="N527"/>
  <c r="O527" s="1"/>
  <c r="M527"/>
  <c r="J527"/>
  <c r="N526"/>
  <c r="O526" s="1"/>
  <c r="M526"/>
  <c r="J526"/>
  <c r="M511"/>
  <c r="N508"/>
  <c r="O508" s="1"/>
  <c r="L466"/>
  <c r="L465"/>
  <c r="M465" s="1"/>
  <c r="L519"/>
  <c r="L524"/>
  <c r="I524"/>
  <c r="N523"/>
  <c r="O523" s="1"/>
  <c r="M523"/>
  <c r="J523"/>
  <c r="N522"/>
  <c r="O522" s="1"/>
  <c r="M522"/>
  <c r="J522"/>
  <c r="N521"/>
  <c r="O521" s="1"/>
  <c r="M521"/>
  <c r="J521"/>
  <c r="N520"/>
  <c r="O520" s="1"/>
  <c r="M520"/>
  <c r="J520"/>
  <c r="N519"/>
  <c r="O519" s="1"/>
  <c r="M519"/>
  <c r="J519"/>
  <c r="N518"/>
  <c r="O518" s="1"/>
  <c r="M518"/>
  <c r="J518"/>
  <c r="N517"/>
  <c r="O517" s="1"/>
  <c r="M517"/>
  <c r="J517"/>
  <c r="N516"/>
  <c r="O516" s="1"/>
  <c r="M516"/>
  <c r="J516"/>
  <c r="N515"/>
  <c r="O515" s="1"/>
  <c r="M515"/>
  <c r="J515"/>
  <c r="N514"/>
  <c r="O514" s="1"/>
  <c r="M514"/>
  <c r="J514"/>
  <c r="N513"/>
  <c r="O513" s="1"/>
  <c r="M513"/>
  <c r="J513"/>
  <c r="N512"/>
  <c r="O512" s="1"/>
  <c r="M512"/>
  <c r="J512"/>
  <c r="N511"/>
  <c r="O511" s="1"/>
  <c r="J511"/>
  <c r="N510"/>
  <c r="O510" s="1"/>
  <c r="M510"/>
  <c r="J510"/>
  <c r="N509"/>
  <c r="O509" s="1"/>
  <c r="M509"/>
  <c r="J509"/>
  <c r="M508"/>
  <c r="J508"/>
  <c r="L471"/>
  <c r="M471" s="1"/>
  <c r="I506"/>
  <c r="N505"/>
  <c r="O505" s="1"/>
  <c r="M505"/>
  <c r="J505"/>
  <c r="N504"/>
  <c r="O504" s="1"/>
  <c r="M504"/>
  <c r="J504"/>
  <c r="N503"/>
  <c r="O503" s="1"/>
  <c r="M503"/>
  <c r="J503"/>
  <c r="N502"/>
  <c r="O502" s="1"/>
  <c r="M502"/>
  <c r="J502"/>
  <c r="N501"/>
  <c r="O501" s="1"/>
  <c r="M501"/>
  <c r="J501"/>
  <c r="N500"/>
  <c r="O500" s="1"/>
  <c r="M500"/>
  <c r="J500"/>
  <c r="N499"/>
  <c r="O499" s="1"/>
  <c r="M499"/>
  <c r="J499"/>
  <c r="N498"/>
  <c r="O498" s="1"/>
  <c r="M498"/>
  <c r="J498"/>
  <c r="N497"/>
  <c r="O497" s="1"/>
  <c r="M497"/>
  <c r="J497"/>
  <c r="N496"/>
  <c r="O496" s="1"/>
  <c r="M496"/>
  <c r="J496"/>
  <c r="N495"/>
  <c r="O495" s="1"/>
  <c r="M495"/>
  <c r="J495"/>
  <c r="N494"/>
  <c r="O494" s="1"/>
  <c r="M494"/>
  <c r="J494"/>
  <c r="N493"/>
  <c r="O493" s="1"/>
  <c r="M493"/>
  <c r="J493"/>
  <c r="N492"/>
  <c r="O492" s="1"/>
  <c r="M492"/>
  <c r="J492"/>
  <c r="N491"/>
  <c r="O491" s="1"/>
  <c r="M491"/>
  <c r="J491"/>
  <c r="N490"/>
  <c r="O490" s="1"/>
  <c r="M490"/>
  <c r="J490"/>
  <c r="N489"/>
  <c r="O489" s="1"/>
  <c r="M489"/>
  <c r="J489"/>
  <c r="N488"/>
  <c r="O488" s="1"/>
  <c r="M488"/>
  <c r="J488"/>
  <c r="N487"/>
  <c r="O487" s="1"/>
  <c r="M487"/>
  <c r="J487"/>
  <c r="N486"/>
  <c r="O486" s="1"/>
  <c r="M486"/>
  <c r="J486"/>
  <c r="N485"/>
  <c r="O485" s="1"/>
  <c r="M485"/>
  <c r="J485"/>
  <c r="L406"/>
  <c r="N484"/>
  <c r="O484" s="1"/>
  <c r="M484"/>
  <c r="J484"/>
  <c r="N483"/>
  <c r="O483" s="1"/>
  <c r="M483"/>
  <c r="J483"/>
  <c r="N482"/>
  <c r="O482" s="1"/>
  <c r="M482"/>
  <c r="J482"/>
  <c r="N481"/>
  <c r="O481" s="1"/>
  <c r="M481"/>
  <c r="J481"/>
  <c r="N480"/>
  <c r="O480" s="1"/>
  <c r="M480"/>
  <c r="J480"/>
  <c r="N479"/>
  <c r="O479" s="1"/>
  <c r="M479"/>
  <c r="J479"/>
  <c r="N478"/>
  <c r="O478" s="1"/>
  <c r="M478"/>
  <c r="J478"/>
  <c r="N477"/>
  <c r="O477" s="1"/>
  <c r="M477"/>
  <c r="J477"/>
  <c r="N476"/>
  <c r="O476" s="1"/>
  <c r="M476"/>
  <c r="J476"/>
  <c r="N475"/>
  <c r="O475" s="1"/>
  <c r="M475"/>
  <c r="J475"/>
  <c r="N474"/>
  <c r="O474" s="1"/>
  <c r="M474"/>
  <c r="J474"/>
  <c r="N473"/>
  <c r="O473" s="1"/>
  <c r="M473"/>
  <c r="J473"/>
  <c r="N472"/>
  <c r="O472" s="1"/>
  <c r="M472"/>
  <c r="J472"/>
  <c r="N471"/>
  <c r="O471" s="1"/>
  <c r="J471"/>
  <c r="N470"/>
  <c r="O470" s="1"/>
  <c r="M470"/>
  <c r="J470"/>
  <c r="N469"/>
  <c r="O469" s="1"/>
  <c r="M469"/>
  <c r="J469"/>
  <c r="N468"/>
  <c r="O468" s="1"/>
  <c r="M468"/>
  <c r="J468"/>
  <c r="N467"/>
  <c r="O467" s="1"/>
  <c r="M467"/>
  <c r="J467"/>
  <c r="N466"/>
  <c r="O466" s="1"/>
  <c r="M466"/>
  <c r="J466"/>
  <c r="N465"/>
  <c r="O465" s="1"/>
  <c r="J465"/>
  <c r="N464"/>
  <c r="O464" s="1"/>
  <c r="M464"/>
  <c r="J464"/>
  <c r="N463"/>
  <c r="O463" s="1"/>
  <c r="M463"/>
  <c r="J463"/>
  <c r="L441"/>
  <c r="N460"/>
  <c r="O460" s="1"/>
  <c r="L461"/>
  <c r="I461"/>
  <c r="M460"/>
  <c r="J460"/>
  <c r="N459"/>
  <c r="O459" s="1"/>
  <c r="M459"/>
  <c r="J459"/>
  <c r="N458"/>
  <c r="O458" s="1"/>
  <c r="M458"/>
  <c r="J458"/>
  <c r="N457"/>
  <c r="O457" s="1"/>
  <c r="M457"/>
  <c r="J457"/>
  <c r="N456"/>
  <c r="O456" s="1"/>
  <c r="M456"/>
  <c r="J456"/>
  <c r="N455"/>
  <c r="O455" s="1"/>
  <c r="M455"/>
  <c r="J455"/>
  <c r="N454"/>
  <c r="O454" s="1"/>
  <c r="M454"/>
  <c r="J454"/>
  <c r="N453"/>
  <c r="O453" s="1"/>
  <c r="M453"/>
  <c r="J453"/>
  <c r="N452"/>
  <c r="O452" s="1"/>
  <c r="M452"/>
  <c r="J452"/>
  <c r="N451"/>
  <c r="O451" s="1"/>
  <c r="M451"/>
  <c r="J451"/>
  <c r="N450"/>
  <c r="O450" s="1"/>
  <c r="M450"/>
  <c r="J450"/>
  <c r="J449"/>
  <c r="J448"/>
  <c r="J447"/>
  <c r="J446"/>
  <c r="J445"/>
  <c r="J444"/>
  <c r="J443"/>
  <c r="N449"/>
  <c r="O449" s="1"/>
  <c r="M449"/>
  <c r="N448"/>
  <c r="O448" s="1"/>
  <c r="M448"/>
  <c r="N447"/>
  <c r="O447" s="1"/>
  <c r="M447"/>
  <c r="N446"/>
  <c r="O446" s="1"/>
  <c r="M446"/>
  <c r="N445"/>
  <c r="O445" s="1"/>
  <c r="M445"/>
  <c r="N444"/>
  <c r="O444" s="1"/>
  <c r="M444"/>
  <c r="N443"/>
  <c r="O443" s="1"/>
  <c r="M443"/>
  <c r="P3194" i="36" l="1"/>
  <c r="J540" i="43"/>
  <c r="L506"/>
  <c r="K3481" i="36"/>
  <c r="O3481"/>
  <c r="P3481"/>
  <c r="O3194"/>
  <c r="O3142"/>
  <c r="O3159" s="1"/>
  <c r="J3159"/>
  <c r="O565" i="43"/>
  <c r="M565"/>
  <c r="N565"/>
  <c r="O540"/>
  <c r="M540"/>
  <c r="N540"/>
  <c r="J524"/>
  <c r="O524"/>
  <c r="M524"/>
  <c r="N524"/>
  <c r="O506"/>
  <c r="N506"/>
  <c r="M506"/>
  <c r="J506"/>
  <c r="N442"/>
  <c r="O442" s="1"/>
  <c r="M442"/>
  <c r="J442"/>
  <c r="N441"/>
  <c r="O441" s="1"/>
  <c r="M441"/>
  <c r="J441"/>
  <c r="N440"/>
  <c r="O440" s="1"/>
  <c r="M440"/>
  <c r="J440"/>
  <c r="N439"/>
  <c r="M439"/>
  <c r="J439"/>
  <c r="N438"/>
  <c r="O438" s="1"/>
  <c r="M438"/>
  <c r="J438"/>
  <c r="M461" l="1"/>
  <c r="O439"/>
  <c r="N461"/>
  <c r="O461"/>
  <c r="J461"/>
  <c r="L416"/>
  <c r="I436" l="1"/>
  <c r="L436"/>
  <c r="J435"/>
  <c r="J434"/>
  <c r="J433"/>
  <c r="J432"/>
  <c r="J431"/>
  <c r="N435"/>
  <c r="O435" s="1"/>
  <c r="M435"/>
  <c r="N434"/>
  <c r="O434" s="1"/>
  <c r="M434"/>
  <c r="N433"/>
  <c r="O433" s="1"/>
  <c r="M433"/>
  <c r="N432"/>
  <c r="O432" s="1"/>
  <c r="M432"/>
  <c r="N431"/>
  <c r="O431" s="1"/>
  <c r="M431"/>
  <c r="N430"/>
  <c r="O430" s="1"/>
  <c r="M430"/>
  <c r="J430"/>
  <c r="N429"/>
  <c r="O429" s="1"/>
  <c r="M429"/>
  <c r="J429"/>
  <c r="N428"/>
  <c r="O428" s="1"/>
  <c r="M428"/>
  <c r="J428"/>
  <c r="N427"/>
  <c r="O427" s="1"/>
  <c r="M427"/>
  <c r="J427"/>
  <c r="N426"/>
  <c r="O426" s="1"/>
  <c r="M426"/>
  <c r="J426"/>
  <c r="N425"/>
  <c r="O425" s="1"/>
  <c r="M425"/>
  <c r="J425"/>
  <c r="N424"/>
  <c r="O424" s="1"/>
  <c r="M424"/>
  <c r="J424"/>
  <c r="N423"/>
  <c r="O423" s="1"/>
  <c r="M423"/>
  <c r="J423"/>
  <c r="N422"/>
  <c r="O422" s="1"/>
  <c r="M422"/>
  <c r="J422"/>
  <c r="N421"/>
  <c r="O421" s="1"/>
  <c r="M421"/>
  <c r="J421"/>
  <c r="N420"/>
  <c r="O420" s="1"/>
  <c r="M420"/>
  <c r="J420"/>
  <c r="N419"/>
  <c r="O419" s="1"/>
  <c r="M419"/>
  <c r="J419"/>
  <c r="N418"/>
  <c r="O418" s="1"/>
  <c r="M418"/>
  <c r="J418"/>
  <c r="N417"/>
  <c r="O417" s="1"/>
  <c r="M417"/>
  <c r="J417"/>
  <c r="N416"/>
  <c r="O416" s="1"/>
  <c r="M416"/>
  <c r="J416"/>
  <c r="N415"/>
  <c r="O415" s="1"/>
  <c r="M415"/>
  <c r="J415"/>
  <c r="N414"/>
  <c r="O414" s="1"/>
  <c r="M414"/>
  <c r="J414"/>
  <c r="N413"/>
  <c r="O413" s="1"/>
  <c r="M413"/>
  <c r="J413"/>
  <c r="N412"/>
  <c r="O412" s="1"/>
  <c r="M412"/>
  <c r="J412"/>
  <c r="N411"/>
  <c r="O411" s="1"/>
  <c r="M411"/>
  <c r="J411"/>
  <c r="N410"/>
  <c r="O410" s="1"/>
  <c r="M410"/>
  <c r="J410"/>
  <c r="N409"/>
  <c r="O409" s="1"/>
  <c r="M409"/>
  <c r="J409"/>
  <c r="N408"/>
  <c r="O408" s="1"/>
  <c r="M408"/>
  <c r="J408"/>
  <c r="N407"/>
  <c r="O407" s="1"/>
  <c r="M407"/>
  <c r="J407"/>
  <c r="N406"/>
  <c r="O406" s="1"/>
  <c r="M406"/>
  <c r="J406"/>
  <c r="N405"/>
  <c r="O405" s="1"/>
  <c r="M405"/>
  <c r="J405"/>
  <c r="L356"/>
  <c r="O436" l="1"/>
  <c r="J436"/>
  <c r="M436"/>
  <c r="N436"/>
  <c r="L403"/>
  <c r="I403"/>
  <c r="N402"/>
  <c r="O402" s="1"/>
  <c r="M402"/>
  <c r="J402"/>
  <c r="N401"/>
  <c r="O401" s="1"/>
  <c r="M401"/>
  <c r="J401"/>
  <c r="N400"/>
  <c r="O400" s="1"/>
  <c r="M400"/>
  <c r="J400"/>
  <c r="N399"/>
  <c r="O399" s="1"/>
  <c r="M399"/>
  <c r="J399"/>
  <c r="N398"/>
  <c r="O398" s="1"/>
  <c r="M398"/>
  <c r="J398"/>
  <c r="N397"/>
  <c r="O397" s="1"/>
  <c r="M397"/>
  <c r="J397"/>
  <c r="N396"/>
  <c r="O396" s="1"/>
  <c r="M396"/>
  <c r="J396"/>
  <c r="N395"/>
  <c r="O395" s="1"/>
  <c r="M395"/>
  <c r="J395"/>
  <c r="N394"/>
  <c r="O394" s="1"/>
  <c r="M394"/>
  <c r="J394"/>
  <c r="N393"/>
  <c r="O393" s="1"/>
  <c r="M393"/>
  <c r="J393"/>
  <c r="N392"/>
  <c r="O392" s="1"/>
  <c r="M392"/>
  <c r="J392"/>
  <c r="N391"/>
  <c r="O391" s="1"/>
  <c r="M391"/>
  <c r="J391"/>
  <c r="N390"/>
  <c r="O390" s="1"/>
  <c r="M390"/>
  <c r="J390"/>
  <c r="N389"/>
  <c r="O389" s="1"/>
  <c r="M389"/>
  <c r="J389"/>
  <c r="N388"/>
  <c r="O388" s="1"/>
  <c r="M388"/>
  <c r="J388"/>
  <c r="N387"/>
  <c r="O387" s="1"/>
  <c r="M387"/>
  <c r="J387"/>
  <c r="N386"/>
  <c r="O386" s="1"/>
  <c r="M386"/>
  <c r="J386"/>
  <c r="N385"/>
  <c r="O385" s="1"/>
  <c r="M385"/>
  <c r="J385"/>
  <c r="N384"/>
  <c r="O384" s="1"/>
  <c r="M384"/>
  <c r="J384"/>
  <c r="N383"/>
  <c r="O383" s="1"/>
  <c r="M383"/>
  <c r="J383"/>
  <c r="N382"/>
  <c r="O382" s="1"/>
  <c r="M382"/>
  <c r="J382"/>
  <c r="N381"/>
  <c r="O381" s="1"/>
  <c r="M381"/>
  <c r="J381"/>
  <c r="N380"/>
  <c r="O380" s="1"/>
  <c r="M380"/>
  <c r="J380"/>
  <c r="N379"/>
  <c r="O379" s="1"/>
  <c r="M379"/>
  <c r="J379"/>
  <c r="N378"/>
  <c r="O378" s="1"/>
  <c r="M378"/>
  <c r="J378"/>
  <c r="N377"/>
  <c r="O377" s="1"/>
  <c r="M377"/>
  <c r="J377"/>
  <c r="N376"/>
  <c r="O376" s="1"/>
  <c r="M376"/>
  <c r="J376"/>
  <c r="N375"/>
  <c r="O375" s="1"/>
  <c r="M375"/>
  <c r="J375"/>
  <c r="N374"/>
  <c r="O374" s="1"/>
  <c r="M374"/>
  <c r="J374"/>
  <c r="N373"/>
  <c r="O373" s="1"/>
  <c r="M373"/>
  <c r="J373"/>
  <c r="N372"/>
  <c r="O372" s="1"/>
  <c r="M372"/>
  <c r="J372"/>
  <c r="N371"/>
  <c r="O371" s="1"/>
  <c r="M371"/>
  <c r="J371"/>
  <c r="N370"/>
  <c r="O370" s="1"/>
  <c r="M370"/>
  <c r="J370"/>
  <c r="N369"/>
  <c r="O369" s="1"/>
  <c r="M369"/>
  <c r="J369"/>
  <c r="N368"/>
  <c r="O368" s="1"/>
  <c r="M368"/>
  <c r="J368"/>
  <c r="N367"/>
  <c r="O367" s="1"/>
  <c r="M367"/>
  <c r="J367"/>
  <c r="N366"/>
  <c r="O366" s="1"/>
  <c r="M366"/>
  <c r="J366"/>
  <c r="N365"/>
  <c r="O365" s="1"/>
  <c r="M365"/>
  <c r="J365"/>
  <c r="N364"/>
  <c r="O364" s="1"/>
  <c r="M364"/>
  <c r="J364"/>
  <c r="N363"/>
  <c r="O363" s="1"/>
  <c r="M363"/>
  <c r="J363"/>
  <c r="N362"/>
  <c r="O362" s="1"/>
  <c r="M362"/>
  <c r="J362"/>
  <c r="N361"/>
  <c r="O361" s="1"/>
  <c r="M361"/>
  <c r="J361"/>
  <c r="N360"/>
  <c r="O360" s="1"/>
  <c r="M360"/>
  <c r="J360"/>
  <c r="N359"/>
  <c r="O359" s="1"/>
  <c r="M359"/>
  <c r="J359"/>
  <c r="N358"/>
  <c r="O358" s="1"/>
  <c r="M358"/>
  <c r="J358"/>
  <c r="N357"/>
  <c r="O357" s="1"/>
  <c r="M357"/>
  <c r="J357"/>
  <c r="N356"/>
  <c r="O356" s="1"/>
  <c r="M356"/>
  <c r="J356"/>
  <c r="N355"/>
  <c r="O355" s="1"/>
  <c r="M355"/>
  <c r="J355"/>
  <c r="N354"/>
  <c r="O354" s="1"/>
  <c r="M354"/>
  <c r="J354"/>
  <c r="N353"/>
  <c r="O353" s="1"/>
  <c r="M353"/>
  <c r="J353"/>
  <c r="L350"/>
  <c r="I350"/>
  <c r="N349"/>
  <c r="O349" s="1"/>
  <c r="M349"/>
  <c r="J349"/>
  <c r="N348"/>
  <c r="O348" s="1"/>
  <c r="M348"/>
  <c r="J348"/>
  <c r="N347"/>
  <c r="O347" s="1"/>
  <c r="M347"/>
  <c r="J347"/>
  <c r="N346"/>
  <c r="O346" s="1"/>
  <c r="M346"/>
  <c r="J346"/>
  <c r="N345"/>
  <c r="O345" s="1"/>
  <c r="M345"/>
  <c r="J345"/>
  <c r="N344"/>
  <c r="O344" s="1"/>
  <c r="M344"/>
  <c r="J344"/>
  <c r="N343"/>
  <c r="O343" s="1"/>
  <c r="M343"/>
  <c r="J343"/>
  <c r="N342"/>
  <c r="O342" s="1"/>
  <c r="M342"/>
  <c r="J342"/>
  <c r="N341"/>
  <c r="O341" s="1"/>
  <c r="M341"/>
  <c r="J341"/>
  <c r="N340"/>
  <c r="O340" s="1"/>
  <c r="M340"/>
  <c r="J340"/>
  <c r="N339"/>
  <c r="O339" s="1"/>
  <c r="M339"/>
  <c r="J339"/>
  <c r="N338"/>
  <c r="O338" s="1"/>
  <c r="M338"/>
  <c r="J338"/>
  <c r="N337"/>
  <c r="O337" s="1"/>
  <c r="M337"/>
  <c r="J337"/>
  <c r="N336"/>
  <c r="O336" s="1"/>
  <c r="M336"/>
  <c r="J336"/>
  <c r="N317"/>
  <c r="O317" s="1"/>
  <c r="M317"/>
  <c r="J317"/>
  <c r="N316"/>
  <c r="O316" s="1"/>
  <c r="M316"/>
  <c r="J316"/>
  <c r="N315"/>
  <c r="O315" s="1"/>
  <c r="M315"/>
  <c r="J315"/>
  <c r="N314"/>
  <c r="O314" s="1"/>
  <c r="M314"/>
  <c r="J314"/>
  <c r="N313"/>
  <c r="O313" s="1"/>
  <c r="M313"/>
  <c r="J313"/>
  <c r="N312"/>
  <c r="O312" s="1"/>
  <c r="M312"/>
  <c r="J312"/>
  <c r="N311"/>
  <c r="M311"/>
  <c r="J311"/>
  <c r="I334"/>
  <c r="N333"/>
  <c r="O333" s="1"/>
  <c r="M333"/>
  <c r="J333"/>
  <c r="N332"/>
  <c r="O332" s="1"/>
  <c r="M332"/>
  <c r="J332"/>
  <c r="N331"/>
  <c r="O331" s="1"/>
  <c r="M331"/>
  <c r="J331"/>
  <c r="M350" l="1"/>
  <c r="O311"/>
  <c r="J350"/>
  <c r="O350"/>
  <c r="N350"/>
  <c r="O403"/>
  <c r="N403"/>
  <c r="J403"/>
  <c r="M403"/>
  <c r="N330" l="1"/>
  <c r="O330" s="1"/>
  <c r="M330"/>
  <c r="J330"/>
  <c r="N329"/>
  <c r="O329" s="1"/>
  <c r="M329"/>
  <c r="J329"/>
  <c r="N328"/>
  <c r="O328" s="1"/>
  <c r="M328"/>
  <c r="J328"/>
  <c r="N327"/>
  <c r="M327"/>
  <c r="J327"/>
  <c r="N326"/>
  <c r="M326"/>
  <c r="J326"/>
  <c r="L246"/>
  <c r="L324" s="1"/>
  <c r="L277"/>
  <c r="N310"/>
  <c r="O310" s="1"/>
  <c r="M310"/>
  <c r="J310"/>
  <c r="N309"/>
  <c r="O309" s="1"/>
  <c r="M309"/>
  <c r="J309"/>
  <c r="N308"/>
  <c r="O308" s="1"/>
  <c r="M308"/>
  <c r="J308"/>
  <c r="N307"/>
  <c r="O307" s="1"/>
  <c r="M307"/>
  <c r="J307"/>
  <c r="N306"/>
  <c r="O306" s="1"/>
  <c r="M306"/>
  <c r="J306"/>
  <c r="N305"/>
  <c r="O305" s="1"/>
  <c r="M305"/>
  <c r="J305"/>
  <c r="N304"/>
  <c r="O304" s="1"/>
  <c r="M304"/>
  <c r="J304"/>
  <c r="N303"/>
  <c r="O303" s="1"/>
  <c r="M303"/>
  <c r="J303"/>
  <c r="N302"/>
  <c r="O302" s="1"/>
  <c r="M302"/>
  <c r="J302"/>
  <c r="N301"/>
  <c r="O301" s="1"/>
  <c r="M301"/>
  <c r="J301"/>
  <c r="N300"/>
  <c r="O300" s="1"/>
  <c r="M300"/>
  <c r="J300"/>
  <c r="N299"/>
  <c r="O299" s="1"/>
  <c r="M299"/>
  <c r="J299"/>
  <c r="N298"/>
  <c r="O298" s="1"/>
  <c r="M298"/>
  <c r="J298"/>
  <c r="N297"/>
  <c r="O297" s="1"/>
  <c r="M297"/>
  <c r="J297"/>
  <c r="N296"/>
  <c r="O296" s="1"/>
  <c r="M296"/>
  <c r="J296"/>
  <c r="N295"/>
  <c r="O295" s="1"/>
  <c r="M295"/>
  <c r="J295"/>
  <c r="N294"/>
  <c r="O294" s="1"/>
  <c r="M294"/>
  <c r="J294"/>
  <c r="N293"/>
  <c r="O293" s="1"/>
  <c r="M293"/>
  <c r="J293"/>
  <c r="N292"/>
  <c r="O292" s="1"/>
  <c r="M292"/>
  <c r="J292"/>
  <c r="N291"/>
  <c r="O291" s="1"/>
  <c r="M291"/>
  <c r="J291"/>
  <c r="N290"/>
  <c r="O290" s="1"/>
  <c r="M290"/>
  <c r="J290"/>
  <c r="N289"/>
  <c r="O289" s="1"/>
  <c r="M289"/>
  <c r="J289"/>
  <c r="N288"/>
  <c r="O288" s="1"/>
  <c r="M288"/>
  <c r="J288"/>
  <c r="N287"/>
  <c r="O287" s="1"/>
  <c r="M287"/>
  <c r="J287"/>
  <c r="N286"/>
  <c r="O286" s="1"/>
  <c r="M286"/>
  <c r="J286"/>
  <c r="N285"/>
  <c r="O285" s="1"/>
  <c r="M285"/>
  <c r="J285"/>
  <c r="N284"/>
  <c r="O284" s="1"/>
  <c r="M284"/>
  <c r="J284"/>
  <c r="N283"/>
  <c r="O283" s="1"/>
  <c r="M283"/>
  <c r="J283"/>
  <c r="N282"/>
  <c r="O282" s="1"/>
  <c r="M282"/>
  <c r="J282"/>
  <c r="N281"/>
  <c r="O281" s="1"/>
  <c r="M281"/>
  <c r="J281"/>
  <c r="N280"/>
  <c r="O280" s="1"/>
  <c r="M280"/>
  <c r="J280"/>
  <c r="N279"/>
  <c r="O279" s="1"/>
  <c r="M279"/>
  <c r="J279"/>
  <c r="N278"/>
  <c r="O278" s="1"/>
  <c r="M278"/>
  <c r="J278"/>
  <c r="N277"/>
  <c r="O277" s="1"/>
  <c r="M277"/>
  <c r="J277"/>
  <c r="N276"/>
  <c r="O276" s="1"/>
  <c r="M276"/>
  <c r="J276"/>
  <c r="N275"/>
  <c r="O275" s="1"/>
  <c r="M275"/>
  <c r="J275"/>
  <c r="N274"/>
  <c r="O274" s="1"/>
  <c r="M274"/>
  <c r="J274"/>
  <c r="N273"/>
  <c r="O273" s="1"/>
  <c r="M273"/>
  <c r="J273"/>
  <c r="N272"/>
  <c r="O272" s="1"/>
  <c r="M272"/>
  <c r="J272"/>
  <c r="N271"/>
  <c r="O271" s="1"/>
  <c r="M271"/>
  <c r="J271"/>
  <c r="N270"/>
  <c r="O270" s="1"/>
  <c r="M270"/>
  <c r="J270"/>
  <c r="N269"/>
  <c r="O269" s="1"/>
  <c r="M269"/>
  <c r="J269"/>
  <c r="N268"/>
  <c r="O268" s="1"/>
  <c r="M268"/>
  <c r="J268"/>
  <c r="N267"/>
  <c r="O267" s="1"/>
  <c r="M267"/>
  <c r="J267"/>
  <c r="N266"/>
  <c r="O266" s="1"/>
  <c r="M266"/>
  <c r="J266"/>
  <c r="N265"/>
  <c r="O265" s="1"/>
  <c r="M265"/>
  <c r="J265"/>
  <c r="N264"/>
  <c r="O264" s="1"/>
  <c r="M264"/>
  <c r="J264"/>
  <c r="N263"/>
  <c r="O263" s="1"/>
  <c r="M263"/>
  <c r="J263"/>
  <c r="N262"/>
  <c r="O262" s="1"/>
  <c r="M262"/>
  <c r="J262"/>
  <c r="N261"/>
  <c r="O261" s="1"/>
  <c r="M261"/>
  <c r="J261"/>
  <c r="N260"/>
  <c r="O260" s="1"/>
  <c r="M260"/>
  <c r="J260"/>
  <c r="N259"/>
  <c r="O259" s="1"/>
  <c r="M259"/>
  <c r="J259"/>
  <c r="N258"/>
  <c r="O258" s="1"/>
  <c r="M258"/>
  <c r="J258"/>
  <c r="N257"/>
  <c r="O257" s="1"/>
  <c r="M257"/>
  <c r="J257"/>
  <c r="N256"/>
  <c r="O256" s="1"/>
  <c r="M256"/>
  <c r="J256"/>
  <c r="N255"/>
  <c r="O255" s="1"/>
  <c r="M255"/>
  <c r="J255"/>
  <c r="N254"/>
  <c r="O254" s="1"/>
  <c r="M254"/>
  <c r="J254"/>
  <c r="N253"/>
  <c r="O253" s="1"/>
  <c r="M253"/>
  <c r="J253"/>
  <c r="N252"/>
  <c r="O252" s="1"/>
  <c r="M252"/>
  <c r="J252"/>
  <c r="N251"/>
  <c r="O251" s="1"/>
  <c r="M251"/>
  <c r="J251"/>
  <c r="N250"/>
  <c r="O250" s="1"/>
  <c r="M250"/>
  <c r="J250"/>
  <c r="N249"/>
  <c r="O249" s="1"/>
  <c r="M249"/>
  <c r="J249"/>
  <c r="N248"/>
  <c r="O248" s="1"/>
  <c r="M248"/>
  <c r="J248"/>
  <c r="N247"/>
  <c r="O247" s="1"/>
  <c r="M247"/>
  <c r="J247"/>
  <c r="N246"/>
  <c r="O246" s="1"/>
  <c r="M246"/>
  <c r="J246"/>
  <c r="N245"/>
  <c r="M245"/>
  <c r="J245"/>
  <c r="N244"/>
  <c r="M244"/>
  <c r="J244"/>
  <c r="L242"/>
  <c r="I242"/>
  <c r="N241"/>
  <c r="O241" s="1"/>
  <c r="M241"/>
  <c r="J241"/>
  <c r="N240"/>
  <c r="O240" s="1"/>
  <c r="M240"/>
  <c r="J240"/>
  <c r="N239"/>
  <c r="O239" s="1"/>
  <c r="M239"/>
  <c r="J239"/>
  <c r="N238"/>
  <c r="O238" s="1"/>
  <c r="M238"/>
  <c r="J238"/>
  <c r="N237"/>
  <c r="O237" s="1"/>
  <c r="M237"/>
  <c r="J237"/>
  <c r="N236"/>
  <c r="O236" s="1"/>
  <c r="M236"/>
  <c r="J236"/>
  <c r="M324" l="1"/>
  <c r="O245"/>
  <c r="N324"/>
  <c r="J324"/>
  <c r="N334"/>
  <c r="O244"/>
  <c r="O326"/>
  <c r="M334"/>
  <c r="O327"/>
  <c r="O324" l="1"/>
  <c r="O334"/>
  <c r="N235"/>
  <c r="O235" s="1"/>
  <c r="M235"/>
  <c r="J235"/>
  <c r="N234"/>
  <c r="M234"/>
  <c r="J234"/>
  <c r="N233"/>
  <c r="O233" s="1"/>
  <c r="M233"/>
  <c r="J233"/>
  <c r="N232"/>
  <c r="O232" s="1"/>
  <c r="M232"/>
  <c r="J232"/>
  <c r="J242" l="1"/>
  <c r="M242"/>
  <c r="O234"/>
  <c r="O242" s="1"/>
  <c r="N242"/>
  <c r="R3139" i="36"/>
  <c r="O3139"/>
  <c r="M310" i="35"/>
  <c r="M305"/>
  <c r="O3122" i="36"/>
  <c r="P3122" s="1"/>
  <c r="N3122"/>
  <c r="K3122"/>
  <c r="O3121"/>
  <c r="P3121" s="1"/>
  <c r="N3121"/>
  <c r="K3121"/>
  <c r="Q3118"/>
  <c r="N3117"/>
  <c r="O3117" s="1"/>
  <c r="M3117"/>
  <c r="J3117"/>
  <c r="N3116"/>
  <c r="O3116" s="1"/>
  <c r="M3116"/>
  <c r="J3116"/>
  <c r="N3115"/>
  <c r="O3115" s="1"/>
  <c r="M3115"/>
  <c r="J3115"/>
  <c r="N3114"/>
  <c r="O3114" s="1"/>
  <c r="M3114"/>
  <c r="J3114"/>
  <c r="N3113"/>
  <c r="O3113" s="1"/>
  <c r="M3113"/>
  <c r="J3113"/>
  <c r="L3112"/>
  <c r="I3112"/>
  <c r="M3111"/>
  <c r="I3111"/>
  <c r="N3111" s="1"/>
  <c r="O3111" s="1"/>
  <c r="L3110"/>
  <c r="M3110" s="1"/>
  <c r="I3110"/>
  <c r="M3109"/>
  <c r="I3109"/>
  <c r="I3118" s="1"/>
  <c r="Q3107"/>
  <c r="N3106"/>
  <c r="O3106" s="1"/>
  <c r="M3106"/>
  <c r="J3106"/>
  <c r="N3105"/>
  <c r="O3105" s="1"/>
  <c r="M3105"/>
  <c r="J3105"/>
  <c r="N3104"/>
  <c r="O3104" s="1"/>
  <c r="M3104"/>
  <c r="J3104"/>
  <c r="N3103"/>
  <c r="O3103" s="1"/>
  <c r="M3103"/>
  <c r="J3103"/>
  <c r="N3102"/>
  <c r="O3102" s="1"/>
  <c r="M3102"/>
  <c r="J3102"/>
  <c r="N3101"/>
  <c r="O3101" s="1"/>
  <c r="M3101"/>
  <c r="J3101"/>
  <c r="L3100"/>
  <c r="M3100" s="1"/>
  <c r="J3100"/>
  <c r="N3099"/>
  <c r="O3099" s="1"/>
  <c r="M3099"/>
  <c r="J3099"/>
  <c r="N3098"/>
  <c r="O3098" s="1"/>
  <c r="M3098"/>
  <c r="J3098"/>
  <c r="L3097"/>
  <c r="M3097" s="1"/>
  <c r="I3097"/>
  <c r="L3096"/>
  <c r="M3096" s="1"/>
  <c r="I3096"/>
  <c r="L3095"/>
  <c r="M3095" s="1"/>
  <c r="I3095"/>
  <c r="N3094"/>
  <c r="O3094" s="1"/>
  <c r="M3094"/>
  <c r="J3094"/>
  <c r="N3093"/>
  <c r="O3093" s="1"/>
  <c r="M3093"/>
  <c r="J3093"/>
  <c r="N3092"/>
  <c r="O3092" s="1"/>
  <c r="M3092"/>
  <c r="J3092"/>
  <c r="N3091"/>
  <c r="O3091" s="1"/>
  <c r="M3091"/>
  <c r="J3091"/>
  <c r="N3090"/>
  <c r="O3090" s="1"/>
  <c r="M3090"/>
  <c r="J3090"/>
  <c r="N3089"/>
  <c r="O3089" s="1"/>
  <c r="M3089"/>
  <c r="J3089"/>
  <c r="N3088"/>
  <c r="O3088" s="1"/>
  <c r="M3088"/>
  <c r="J3088"/>
  <c r="N3087"/>
  <c r="O3087" s="1"/>
  <c r="M3087"/>
  <c r="J3087"/>
  <c r="N3086"/>
  <c r="O3086" s="1"/>
  <c r="M3086"/>
  <c r="J3086"/>
  <c r="N3085"/>
  <c r="O3085" s="1"/>
  <c r="M3085"/>
  <c r="J3085"/>
  <c r="L3084"/>
  <c r="M3084" s="1"/>
  <c r="I3084"/>
  <c r="L3083"/>
  <c r="M3083" s="1"/>
  <c r="I3083"/>
  <c r="L3082"/>
  <c r="M3082" s="1"/>
  <c r="I3082"/>
  <c r="N3079"/>
  <c r="O3079" s="1"/>
  <c r="M3079"/>
  <c r="J3079"/>
  <c r="N3078"/>
  <c r="O3078" s="1"/>
  <c r="M3078"/>
  <c r="J3078"/>
  <c r="N3077"/>
  <c r="O3077" s="1"/>
  <c r="M3077"/>
  <c r="J3077"/>
  <c r="N3076"/>
  <c r="O3076" s="1"/>
  <c r="M3076"/>
  <c r="J3076"/>
  <c r="N3075"/>
  <c r="O3075" s="1"/>
  <c r="M3075"/>
  <c r="J3075"/>
  <c r="S3074"/>
  <c r="S3080" s="1"/>
  <c r="N3074"/>
  <c r="O3074" s="1"/>
  <c r="M3074"/>
  <c r="J3074"/>
  <c r="N3073"/>
  <c r="O3073" s="1"/>
  <c r="M3073"/>
  <c r="J3073"/>
  <c r="N3072"/>
  <c r="O3072" s="1"/>
  <c r="M3072"/>
  <c r="J3072"/>
  <c r="N3071"/>
  <c r="O3071" s="1"/>
  <c r="M3071"/>
  <c r="J3071"/>
  <c r="N3070"/>
  <c r="O3070" s="1"/>
  <c r="M3070"/>
  <c r="J3070"/>
  <c r="N3069"/>
  <c r="O3069" s="1"/>
  <c r="M3069"/>
  <c r="J3069"/>
  <c r="L3068"/>
  <c r="N3068" s="1"/>
  <c r="O3068" s="1"/>
  <c r="J3068"/>
  <c r="N3067"/>
  <c r="O3067" s="1"/>
  <c r="M3067"/>
  <c r="J3067"/>
  <c r="N3066"/>
  <c r="O3066" s="1"/>
  <c r="M3066"/>
  <c r="J3066"/>
  <c r="N3065"/>
  <c r="O3065" s="1"/>
  <c r="M3065"/>
  <c r="J3065"/>
  <c r="N3064"/>
  <c r="O3064" s="1"/>
  <c r="M3064"/>
  <c r="J3064"/>
  <c r="L3063"/>
  <c r="M3063" s="1"/>
  <c r="I3063"/>
  <c r="L3062"/>
  <c r="M3062" s="1"/>
  <c r="I3062"/>
  <c r="N3061"/>
  <c r="O3061" s="1"/>
  <c r="M3061"/>
  <c r="J3061"/>
  <c r="L3060"/>
  <c r="I3060"/>
  <c r="N3059"/>
  <c r="O3059" s="1"/>
  <c r="M3059"/>
  <c r="J3059"/>
  <c r="N3058"/>
  <c r="M3058"/>
  <c r="J3058"/>
  <c r="L3080" l="1"/>
  <c r="N3082"/>
  <c r="O3082" s="1"/>
  <c r="N3083"/>
  <c r="O3083" s="1"/>
  <c r="I3080"/>
  <c r="M3107"/>
  <c r="N3110"/>
  <c r="O3110" s="1"/>
  <c r="N3112"/>
  <c r="O3112" s="1"/>
  <c r="N3062"/>
  <c r="O3062" s="1"/>
  <c r="N3063"/>
  <c r="O3063" s="1"/>
  <c r="N3084"/>
  <c r="O3084" s="1"/>
  <c r="N3095"/>
  <c r="O3095" s="1"/>
  <c r="N3096"/>
  <c r="O3096" s="1"/>
  <c r="N3097"/>
  <c r="O3097" s="1"/>
  <c r="M3068"/>
  <c r="J3082"/>
  <c r="J3083"/>
  <c r="J3084"/>
  <c r="J3095"/>
  <c r="J3096"/>
  <c r="J3097"/>
  <c r="J3110"/>
  <c r="J3111"/>
  <c r="L3118"/>
  <c r="I3107"/>
  <c r="J3109"/>
  <c r="N3109"/>
  <c r="J3112"/>
  <c r="M3112"/>
  <c r="M3118" s="1"/>
  <c r="N3100"/>
  <c r="O3100" s="1"/>
  <c r="L3107"/>
  <c r="N3060"/>
  <c r="O3060" s="1"/>
  <c r="O3058"/>
  <c r="J3060"/>
  <c r="M3060"/>
  <c r="J3062"/>
  <c r="J3063"/>
  <c r="M3080" l="1"/>
  <c r="O3107"/>
  <c r="J3107"/>
  <c r="J3080"/>
  <c r="N3118"/>
  <c r="O3109"/>
  <c r="O3118" s="1"/>
  <c r="J3118"/>
  <c r="N3107"/>
  <c r="N3080"/>
  <c r="O3080"/>
  <c r="R3046" l="1"/>
  <c r="R3055"/>
  <c r="O3054"/>
  <c r="P3054" s="1"/>
  <c r="N3054"/>
  <c r="K3054"/>
  <c r="O3053"/>
  <c r="P3053" s="1"/>
  <c r="N3053"/>
  <c r="K3053"/>
  <c r="O3052"/>
  <c r="P3052" s="1"/>
  <c r="N3052"/>
  <c r="K3052"/>
  <c r="O3051"/>
  <c r="P3051" s="1"/>
  <c r="N3051"/>
  <c r="K3051"/>
  <c r="O3050"/>
  <c r="P3050" s="1"/>
  <c r="N3050"/>
  <c r="K3050"/>
  <c r="O3049"/>
  <c r="P3049" s="1"/>
  <c r="N3049"/>
  <c r="K3049"/>
  <c r="M3046"/>
  <c r="O3055" l="1"/>
  <c r="S171" i="38" l="1"/>
  <c r="L357" i="37" l="1"/>
  <c r="L424"/>
  <c r="L423"/>
  <c r="L421"/>
  <c r="L441" s="1"/>
  <c r="L431"/>
  <c r="L422"/>
  <c r="I441"/>
  <c r="J440"/>
  <c r="J439"/>
  <c r="J438"/>
  <c r="J437"/>
  <c r="N440"/>
  <c r="O440" s="1"/>
  <c r="M440"/>
  <c r="N439"/>
  <c r="O439" s="1"/>
  <c r="M439"/>
  <c r="N438"/>
  <c r="O438" s="1"/>
  <c r="M438"/>
  <c r="N437"/>
  <c r="O437" s="1"/>
  <c r="M437"/>
  <c r="N436"/>
  <c r="O436" s="1"/>
  <c r="M436"/>
  <c r="J436"/>
  <c r="N435"/>
  <c r="O435" s="1"/>
  <c r="M435"/>
  <c r="J435"/>
  <c r="N434"/>
  <c r="O434" s="1"/>
  <c r="M434"/>
  <c r="J434"/>
  <c r="N433"/>
  <c r="O433" s="1"/>
  <c r="M433"/>
  <c r="J433"/>
  <c r="N432"/>
  <c r="O432" s="1"/>
  <c r="M432"/>
  <c r="J432"/>
  <c r="N431"/>
  <c r="O431" s="1"/>
  <c r="M431"/>
  <c r="J431"/>
  <c r="N430"/>
  <c r="O430" s="1"/>
  <c r="M430"/>
  <c r="J430"/>
  <c r="N429"/>
  <c r="O429" s="1"/>
  <c r="M429"/>
  <c r="J429"/>
  <c r="N428"/>
  <c r="O428" s="1"/>
  <c r="M428"/>
  <c r="J428"/>
  <c r="N427"/>
  <c r="O427" s="1"/>
  <c r="M427"/>
  <c r="J427"/>
  <c r="N426"/>
  <c r="O426" s="1"/>
  <c r="M426"/>
  <c r="J426"/>
  <c r="N425"/>
  <c r="O425" s="1"/>
  <c r="M425"/>
  <c r="J425"/>
  <c r="N424"/>
  <c r="O424" s="1"/>
  <c r="M424"/>
  <c r="J424"/>
  <c r="N423"/>
  <c r="O423" s="1"/>
  <c r="M423"/>
  <c r="J423"/>
  <c r="N422"/>
  <c r="O422" s="1"/>
  <c r="M422"/>
  <c r="J422"/>
  <c r="N421"/>
  <c r="O421" s="1"/>
  <c r="M421"/>
  <c r="J421"/>
  <c r="L418"/>
  <c r="I418"/>
  <c r="J417"/>
  <c r="J416"/>
  <c r="J415"/>
  <c r="J414"/>
  <c r="J413"/>
  <c r="J412"/>
  <c r="J411"/>
  <c r="J410"/>
  <c r="J418" l="1"/>
  <c r="O441"/>
  <c r="M441"/>
  <c r="J441"/>
  <c r="N441"/>
  <c r="N417"/>
  <c r="O417" s="1"/>
  <c r="M417"/>
  <c r="N416"/>
  <c r="O416" s="1"/>
  <c r="M416"/>
  <c r="N415"/>
  <c r="O415" s="1"/>
  <c r="M415"/>
  <c r="N414"/>
  <c r="O414" s="1"/>
  <c r="M414"/>
  <c r="N413"/>
  <c r="O413" s="1"/>
  <c r="M413"/>
  <c r="N412"/>
  <c r="O412" s="1"/>
  <c r="M412"/>
  <c r="N410"/>
  <c r="M410"/>
  <c r="L408"/>
  <c r="I408"/>
  <c r="N407"/>
  <c r="O407" s="1"/>
  <c r="M407"/>
  <c r="J407"/>
  <c r="N406"/>
  <c r="O406" s="1"/>
  <c r="M406"/>
  <c r="J406"/>
  <c r="N405"/>
  <c r="O405" s="1"/>
  <c r="M405"/>
  <c r="J405"/>
  <c r="N404"/>
  <c r="O404" s="1"/>
  <c r="M404"/>
  <c r="J404"/>
  <c r="N403"/>
  <c r="O403" s="1"/>
  <c r="M403"/>
  <c r="J403"/>
  <c r="J408" s="1"/>
  <c r="L371"/>
  <c r="L400"/>
  <c r="I400"/>
  <c r="N399"/>
  <c r="O399" s="1"/>
  <c r="M399"/>
  <c r="J399"/>
  <c r="N398"/>
  <c r="O398" s="1"/>
  <c r="M398"/>
  <c r="J398"/>
  <c r="N397"/>
  <c r="O397" s="1"/>
  <c r="M397"/>
  <c r="J397"/>
  <c r="N396"/>
  <c r="O396" s="1"/>
  <c r="M396"/>
  <c r="J396"/>
  <c r="N395"/>
  <c r="O395" s="1"/>
  <c r="M395"/>
  <c r="J395"/>
  <c r="N394"/>
  <c r="O394" s="1"/>
  <c r="M394"/>
  <c r="J394"/>
  <c r="N393"/>
  <c r="O393" s="1"/>
  <c r="M393"/>
  <c r="J393"/>
  <c r="N392"/>
  <c r="O392" s="1"/>
  <c r="M392"/>
  <c r="J392"/>
  <c r="N391"/>
  <c r="O391" s="1"/>
  <c r="M391"/>
  <c r="J391"/>
  <c r="N390"/>
  <c r="O390" s="1"/>
  <c r="M390"/>
  <c r="J390"/>
  <c r="N389"/>
  <c r="O389" s="1"/>
  <c r="M389"/>
  <c r="J389"/>
  <c r="N388"/>
  <c r="O388" s="1"/>
  <c r="M388"/>
  <c r="J388"/>
  <c r="N387"/>
  <c r="O387" s="1"/>
  <c r="M387"/>
  <c r="J387"/>
  <c r="N386"/>
  <c r="O386" s="1"/>
  <c r="M386"/>
  <c r="J386"/>
  <c r="N385"/>
  <c r="O385" s="1"/>
  <c r="M385"/>
  <c r="J385"/>
  <c r="N384"/>
  <c r="O384" s="1"/>
  <c r="M384"/>
  <c r="J384"/>
  <c r="N383"/>
  <c r="O383" s="1"/>
  <c r="M383"/>
  <c r="J383"/>
  <c r="N382"/>
  <c r="O382" s="1"/>
  <c r="M382"/>
  <c r="J382"/>
  <c r="N381"/>
  <c r="O381" s="1"/>
  <c r="M381"/>
  <c r="J381"/>
  <c r="N380"/>
  <c r="O380" s="1"/>
  <c r="M380"/>
  <c r="J380"/>
  <c r="N379"/>
  <c r="O379" s="1"/>
  <c r="M379"/>
  <c r="J379"/>
  <c r="N378"/>
  <c r="O378" s="1"/>
  <c r="M378"/>
  <c r="J378"/>
  <c r="N377"/>
  <c r="O377" s="1"/>
  <c r="M377"/>
  <c r="J377"/>
  <c r="N376"/>
  <c r="O376" s="1"/>
  <c r="M376"/>
  <c r="J376"/>
  <c r="N375"/>
  <c r="O375" s="1"/>
  <c r="M375"/>
  <c r="J375"/>
  <c r="N374"/>
  <c r="O374" s="1"/>
  <c r="M374"/>
  <c r="J374"/>
  <c r="N373"/>
  <c r="O373" s="1"/>
  <c r="M373"/>
  <c r="J373"/>
  <c r="N372"/>
  <c r="O372" s="1"/>
  <c r="M372"/>
  <c r="J372"/>
  <c r="N371"/>
  <c r="O371" s="1"/>
  <c r="M371"/>
  <c r="J371"/>
  <c r="N370"/>
  <c r="O370" s="1"/>
  <c r="M370"/>
  <c r="J370"/>
  <c r="N369"/>
  <c r="O369" s="1"/>
  <c r="M369"/>
  <c r="J369"/>
  <c r="N368"/>
  <c r="O368" s="1"/>
  <c r="M368"/>
  <c r="J368"/>
  <c r="N367"/>
  <c r="O367" s="1"/>
  <c r="M367"/>
  <c r="J367"/>
  <c r="N366"/>
  <c r="O366" s="1"/>
  <c r="M366"/>
  <c r="J366"/>
  <c r="N365"/>
  <c r="O365" s="1"/>
  <c r="M365"/>
  <c r="J365"/>
  <c r="N364"/>
  <c r="O364" s="1"/>
  <c r="M364"/>
  <c r="J364"/>
  <c r="N363"/>
  <c r="M363"/>
  <c r="J363"/>
  <c r="L230" i="43"/>
  <c r="I230"/>
  <c r="N229"/>
  <c r="O229" s="1"/>
  <c r="M229"/>
  <c r="J229"/>
  <c r="N228"/>
  <c r="O228" s="1"/>
  <c r="M228"/>
  <c r="J228"/>
  <c r="N227"/>
  <c r="O227" s="1"/>
  <c r="M227"/>
  <c r="J227"/>
  <c r="N226"/>
  <c r="O226" s="1"/>
  <c r="M226"/>
  <c r="J226"/>
  <c r="N225"/>
  <c r="O225" s="1"/>
  <c r="M225"/>
  <c r="J225"/>
  <c r="J230" s="1"/>
  <c r="L193"/>
  <c r="O363" i="37" l="1"/>
  <c r="O410"/>
  <c r="M411"/>
  <c r="M418" s="1"/>
  <c r="N411"/>
  <c r="N418" s="1"/>
  <c r="O408"/>
  <c r="N408"/>
  <c r="M408"/>
  <c r="M230" i="43"/>
  <c r="O230"/>
  <c r="N230"/>
  <c r="L223"/>
  <c r="I223"/>
  <c r="N222"/>
  <c r="O222" s="1"/>
  <c r="M222"/>
  <c r="J222"/>
  <c r="N221"/>
  <c r="O221" s="1"/>
  <c r="M221"/>
  <c r="J221"/>
  <c r="N220"/>
  <c r="O220" s="1"/>
  <c r="M220"/>
  <c r="J220"/>
  <c r="N219"/>
  <c r="O219" s="1"/>
  <c r="M219"/>
  <c r="J219"/>
  <c r="N218"/>
  <c r="O218" s="1"/>
  <c r="M218"/>
  <c r="J218"/>
  <c r="N217"/>
  <c r="O217" s="1"/>
  <c r="M217"/>
  <c r="J217"/>
  <c r="N216"/>
  <c r="O216" s="1"/>
  <c r="M216"/>
  <c r="J216"/>
  <c r="N215"/>
  <c r="O215" s="1"/>
  <c r="M215"/>
  <c r="J215"/>
  <c r="N214"/>
  <c r="O214" s="1"/>
  <c r="M214"/>
  <c r="J214"/>
  <c r="N213"/>
  <c r="O213" s="1"/>
  <c r="M213"/>
  <c r="J213"/>
  <c r="N212"/>
  <c r="O212" s="1"/>
  <c r="M212"/>
  <c r="J212"/>
  <c r="N211"/>
  <c r="O211" s="1"/>
  <c r="M211"/>
  <c r="J211"/>
  <c r="N210"/>
  <c r="O210" s="1"/>
  <c r="M210"/>
  <c r="J210"/>
  <c r="L208"/>
  <c r="I208"/>
  <c r="N207"/>
  <c r="O207" s="1"/>
  <c r="M207"/>
  <c r="J207"/>
  <c r="N206"/>
  <c r="O206" s="1"/>
  <c r="M206"/>
  <c r="J206"/>
  <c r="N205"/>
  <c r="O205" s="1"/>
  <c r="M205"/>
  <c r="J205"/>
  <c r="N204"/>
  <c r="O204" s="1"/>
  <c r="M204"/>
  <c r="J204"/>
  <c r="N203"/>
  <c r="O203" s="1"/>
  <c r="M203"/>
  <c r="J203"/>
  <c r="N202"/>
  <c r="O202" s="1"/>
  <c r="M202"/>
  <c r="J202"/>
  <c r="N201"/>
  <c r="O201" s="1"/>
  <c r="M201"/>
  <c r="J201"/>
  <c r="N200"/>
  <c r="O200" s="1"/>
  <c r="M200"/>
  <c r="J200"/>
  <c r="N199"/>
  <c r="O199" s="1"/>
  <c r="M199"/>
  <c r="J199"/>
  <c r="N198"/>
  <c r="O198" s="1"/>
  <c r="M198"/>
  <c r="J198"/>
  <c r="N197"/>
  <c r="O197" s="1"/>
  <c r="M197"/>
  <c r="J197"/>
  <c r="N196"/>
  <c r="O196" s="1"/>
  <c r="M196"/>
  <c r="J196"/>
  <c r="N195"/>
  <c r="O195" s="1"/>
  <c r="M195"/>
  <c r="J195"/>
  <c r="N194"/>
  <c r="O194" s="1"/>
  <c r="M194"/>
  <c r="J194"/>
  <c r="N193"/>
  <c r="O193" s="1"/>
  <c r="M193"/>
  <c r="J193"/>
  <c r="N192"/>
  <c r="O192" s="1"/>
  <c r="M192"/>
  <c r="J192"/>
  <c r="N191"/>
  <c r="O191" s="1"/>
  <c r="M191"/>
  <c r="J191"/>
  <c r="N190"/>
  <c r="O190" s="1"/>
  <c r="M190"/>
  <c r="J190"/>
  <c r="N189"/>
  <c r="O189" s="1"/>
  <c r="M189"/>
  <c r="J189"/>
  <c r="N362" i="37"/>
  <c r="O362" s="1"/>
  <c r="M362"/>
  <c r="J362"/>
  <c r="M361"/>
  <c r="N361"/>
  <c r="O361" s="1"/>
  <c r="N360"/>
  <c r="O360" s="1"/>
  <c r="M360"/>
  <c r="J360"/>
  <c r="M359"/>
  <c r="N359"/>
  <c r="O359" s="1"/>
  <c r="N358"/>
  <c r="O358" s="1"/>
  <c r="M358"/>
  <c r="J358"/>
  <c r="M357"/>
  <c r="N357"/>
  <c r="O357" s="1"/>
  <c r="N356"/>
  <c r="O356" s="1"/>
  <c r="M356"/>
  <c r="J356"/>
  <c r="M355"/>
  <c r="N355"/>
  <c r="O355" s="1"/>
  <c r="N354"/>
  <c r="O354" s="1"/>
  <c r="M354"/>
  <c r="J354"/>
  <c r="M353"/>
  <c r="N353"/>
  <c r="O353" s="1"/>
  <c r="N352"/>
  <c r="O352" s="1"/>
  <c r="M352"/>
  <c r="J352"/>
  <c r="M351"/>
  <c r="N351"/>
  <c r="O351" s="1"/>
  <c r="N350"/>
  <c r="O350" s="1"/>
  <c r="M350"/>
  <c r="J350"/>
  <c r="M349"/>
  <c r="N349"/>
  <c r="O349" s="1"/>
  <c r="N348"/>
  <c r="O348" s="1"/>
  <c r="M348"/>
  <c r="J348"/>
  <c r="M347"/>
  <c r="N347"/>
  <c r="O347" s="1"/>
  <c r="N346"/>
  <c r="O346" s="1"/>
  <c r="M346"/>
  <c r="J346"/>
  <c r="M345"/>
  <c r="N345"/>
  <c r="O345" s="1"/>
  <c r="N344"/>
  <c r="O344" s="1"/>
  <c r="M344"/>
  <c r="J344"/>
  <c r="M343"/>
  <c r="N343"/>
  <c r="O343" s="1"/>
  <c r="N342"/>
  <c r="O342" s="1"/>
  <c r="M342"/>
  <c r="J342"/>
  <c r="M341"/>
  <c r="N341"/>
  <c r="O341" s="1"/>
  <c r="N340"/>
  <c r="O340" s="1"/>
  <c r="M340"/>
  <c r="J340"/>
  <c r="M339"/>
  <c r="N339"/>
  <c r="M338"/>
  <c r="J338"/>
  <c r="I285"/>
  <c r="M400" l="1"/>
  <c r="J223" i="43"/>
  <c r="O411" i="37"/>
  <c r="O418" s="1"/>
  <c r="O339"/>
  <c r="O223" i="43"/>
  <c r="M223"/>
  <c r="N223"/>
  <c r="M208"/>
  <c r="J208"/>
  <c r="O208"/>
  <c r="N208"/>
  <c r="J339" i="37"/>
  <c r="J341"/>
  <c r="J343"/>
  <c r="J345"/>
  <c r="J347"/>
  <c r="J349"/>
  <c r="J351"/>
  <c r="J353"/>
  <c r="J355"/>
  <c r="J357"/>
  <c r="J359"/>
  <c r="J361"/>
  <c r="N338"/>
  <c r="N400" s="1"/>
  <c r="L323"/>
  <c r="I319"/>
  <c r="N319" s="1"/>
  <c r="O319" s="1"/>
  <c r="I313"/>
  <c r="N322"/>
  <c r="O322" s="1"/>
  <c r="M322"/>
  <c r="J322"/>
  <c r="N321"/>
  <c r="O321" s="1"/>
  <c r="M321"/>
  <c r="J321"/>
  <c r="N320"/>
  <c r="O320" s="1"/>
  <c r="M320"/>
  <c r="J320"/>
  <c r="M319"/>
  <c r="N318"/>
  <c r="O318" s="1"/>
  <c r="M318"/>
  <c r="J318"/>
  <c r="N317"/>
  <c r="O317" s="1"/>
  <c r="M317"/>
  <c r="J317"/>
  <c r="N316"/>
  <c r="O316" s="1"/>
  <c r="M316"/>
  <c r="J316"/>
  <c r="N315"/>
  <c r="O315" s="1"/>
  <c r="M315"/>
  <c r="J315"/>
  <c r="N314"/>
  <c r="O314" s="1"/>
  <c r="M314"/>
  <c r="J314"/>
  <c r="M313"/>
  <c r="L311"/>
  <c r="N310"/>
  <c r="O310" s="1"/>
  <c r="M310"/>
  <c r="J310"/>
  <c r="N309"/>
  <c r="O309" s="1"/>
  <c r="M309"/>
  <c r="J309"/>
  <c r="N308"/>
  <c r="O308" s="1"/>
  <c r="M308"/>
  <c r="J308"/>
  <c r="N307"/>
  <c r="O307" s="1"/>
  <c r="M307"/>
  <c r="J307"/>
  <c r="I284"/>
  <c r="I283"/>
  <c r="N306"/>
  <c r="O306" s="1"/>
  <c r="M306"/>
  <c r="J306"/>
  <c r="N305"/>
  <c r="O305" s="1"/>
  <c r="M305"/>
  <c r="J305"/>
  <c r="N304"/>
  <c r="O304" s="1"/>
  <c r="M304"/>
  <c r="J304"/>
  <c r="N303"/>
  <c r="O303" s="1"/>
  <c r="M303"/>
  <c r="J303"/>
  <c r="N302"/>
  <c r="O302" s="1"/>
  <c r="M302"/>
  <c r="J302"/>
  <c r="N301"/>
  <c r="O301" s="1"/>
  <c r="M301"/>
  <c r="J301"/>
  <c r="N300"/>
  <c r="O300" s="1"/>
  <c r="M300"/>
  <c r="J300"/>
  <c r="N299"/>
  <c r="O299" s="1"/>
  <c r="M299"/>
  <c r="J299"/>
  <c r="N298"/>
  <c r="O298" s="1"/>
  <c r="M298"/>
  <c r="J298"/>
  <c r="N297"/>
  <c r="O297" s="1"/>
  <c r="M297"/>
  <c r="J297"/>
  <c r="N296"/>
  <c r="O296" s="1"/>
  <c r="M296"/>
  <c r="J296"/>
  <c r="N295"/>
  <c r="O295" s="1"/>
  <c r="M295"/>
  <c r="J295"/>
  <c r="N294"/>
  <c r="O294" s="1"/>
  <c r="M294"/>
  <c r="J294"/>
  <c r="N293"/>
  <c r="O293" s="1"/>
  <c r="M293"/>
  <c r="J293"/>
  <c r="N292"/>
  <c r="O292" s="1"/>
  <c r="M292"/>
  <c r="J292"/>
  <c r="N291"/>
  <c r="O291" s="1"/>
  <c r="M291"/>
  <c r="J291"/>
  <c r="N290"/>
  <c r="O290" s="1"/>
  <c r="M290"/>
  <c r="J290"/>
  <c r="N289"/>
  <c r="O289" s="1"/>
  <c r="M289"/>
  <c r="J289"/>
  <c r="N288"/>
  <c r="O288" s="1"/>
  <c r="M288"/>
  <c r="J288"/>
  <c r="N287"/>
  <c r="O287" s="1"/>
  <c r="M287"/>
  <c r="J287"/>
  <c r="N286"/>
  <c r="O286" s="1"/>
  <c r="M286"/>
  <c r="J286"/>
  <c r="N285"/>
  <c r="O285" s="1"/>
  <c r="M285"/>
  <c r="J285"/>
  <c r="N284"/>
  <c r="O284" s="1"/>
  <c r="M284"/>
  <c r="J284"/>
  <c r="N283"/>
  <c r="O283" s="1"/>
  <c r="M283"/>
  <c r="J283"/>
  <c r="L263" i="49"/>
  <c r="N288"/>
  <c r="N287"/>
  <c r="O288"/>
  <c r="O287"/>
  <c r="L289"/>
  <c r="J289"/>
  <c r="I289"/>
  <c r="M288"/>
  <c r="J288"/>
  <c r="M287"/>
  <c r="J287"/>
  <c r="N286"/>
  <c r="O286" s="1"/>
  <c r="M286"/>
  <c r="J286"/>
  <c r="N285"/>
  <c r="O285" s="1"/>
  <c r="M285"/>
  <c r="J285"/>
  <c r="N284"/>
  <c r="M284"/>
  <c r="J284"/>
  <c r="N283"/>
  <c r="O283" s="1"/>
  <c r="M283"/>
  <c r="J283"/>
  <c r="N282"/>
  <c r="O282" s="1"/>
  <c r="M282"/>
  <c r="J282"/>
  <c r="N281"/>
  <c r="O281" s="1"/>
  <c r="M281"/>
  <c r="J281"/>
  <c r="N280"/>
  <c r="O280" s="1"/>
  <c r="M280"/>
  <c r="J280"/>
  <c r="L272"/>
  <c r="L271"/>
  <c r="J277"/>
  <c r="J276"/>
  <c r="J275"/>
  <c r="L278"/>
  <c r="I274"/>
  <c r="I273"/>
  <c r="N273" s="1"/>
  <c r="O273" s="1"/>
  <c r="I272"/>
  <c r="I271"/>
  <c r="N271" s="1"/>
  <c r="I270"/>
  <c r="N277"/>
  <c r="O277" s="1"/>
  <c r="M277"/>
  <c r="N276"/>
  <c r="O276" s="1"/>
  <c r="M276"/>
  <c r="N275"/>
  <c r="O275" s="1"/>
  <c r="M275"/>
  <c r="N274"/>
  <c r="O274" s="1"/>
  <c r="M274"/>
  <c r="J274"/>
  <c r="M273"/>
  <c r="N272"/>
  <c r="O272" s="1"/>
  <c r="M272"/>
  <c r="J272"/>
  <c r="M271"/>
  <c r="N270"/>
  <c r="O270" s="1"/>
  <c r="M270"/>
  <c r="J270"/>
  <c r="L268"/>
  <c r="I264"/>
  <c r="I263"/>
  <c r="I268" s="1"/>
  <c r="L182"/>
  <c r="L180"/>
  <c r="L201"/>
  <c r="Q211"/>
  <c r="L211"/>
  <c r="M267"/>
  <c r="N267"/>
  <c r="O267" s="1"/>
  <c r="N266"/>
  <c r="O266" s="1"/>
  <c r="M266"/>
  <c r="J266"/>
  <c r="M265"/>
  <c r="N265"/>
  <c r="O265" s="1"/>
  <c r="N264"/>
  <c r="O264" s="1"/>
  <c r="M264"/>
  <c r="J264"/>
  <c r="M263"/>
  <c r="J263"/>
  <c r="Q252"/>
  <c r="L252"/>
  <c r="Q233"/>
  <c r="L233"/>
  <c r="L251"/>
  <c r="L248"/>
  <c r="L247"/>
  <c r="I252"/>
  <c r="O284" l="1"/>
  <c r="O289" s="1"/>
  <c r="N289"/>
  <c r="J311" i="37"/>
  <c r="I323"/>
  <c r="M311"/>
  <c r="J313"/>
  <c r="N313"/>
  <c r="O313" s="1"/>
  <c r="J319"/>
  <c r="I311"/>
  <c r="J323"/>
  <c r="J400"/>
  <c r="O338"/>
  <c r="O400" s="1"/>
  <c r="O323"/>
  <c r="O311"/>
  <c r="M323"/>
  <c r="N311"/>
  <c r="M289" i="49"/>
  <c r="O271"/>
  <c r="N278"/>
  <c r="O278"/>
  <c r="I278"/>
  <c r="J271"/>
  <c r="J278" s="1"/>
  <c r="J273"/>
  <c r="M278"/>
  <c r="M268"/>
  <c r="J265"/>
  <c r="J268" s="1"/>
  <c r="J267"/>
  <c r="N263"/>
  <c r="N323" i="37" l="1"/>
  <c r="O263" i="49"/>
  <c r="O268" s="1"/>
  <c r="N268"/>
  <c r="L261" l="1"/>
  <c r="I251"/>
  <c r="I249"/>
  <c r="I248"/>
  <c r="I247"/>
  <c r="I246" l="1"/>
  <c r="I261" s="1"/>
  <c r="N260"/>
  <c r="O260" s="1"/>
  <c r="M260"/>
  <c r="J260"/>
  <c r="N259"/>
  <c r="O259" s="1"/>
  <c r="M259"/>
  <c r="J259"/>
  <c r="N258"/>
  <c r="O258" s="1"/>
  <c r="M258"/>
  <c r="J258"/>
  <c r="N257"/>
  <c r="O257" s="1"/>
  <c r="M257"/>
  <c r="J257"/>
  <c r="N256"/>
  <c r="O256" s="1"/>
  <c r="M256"/>
  <c r="J256"/>
  <c r="N255"/>
  <c r="O255" s="1"/>
  <c r="M255"/>
  <c r="J255"/>
  <c r="N254"/>
  <c r="O254" s="1"/>
  <c r="M254"/>
  <c r="J254"/>
  <c r="N253"/>
  <c r="O253" s="1"/>
  <c r="M253"/>
  <c r="J253"/>
  <c r="N252"/>
  <c r="O252" s="1"/>
  <c r="M252"/>
  <c r="J252"/>
  <c r="N251"/>
  <c r="O251" s="1"/>
  <c r="M251"/>
  <c r="J251"/>
  <c r="N250"/>
  <c r="O250" s="1"/>
  <c r="M250"/>
  <c r="J250"/>
  <c r="N249"/>
  <c r="O249" s="1"/>
  <c r="M249"/>
  <c r="J249"/>
  <c r="N248"/>
  <c r="O248" s="1"/>
  <c r="M248"/>
  <c r="J248"/>
  <c r="N247"/>
  <c r="O247" s="1"/>
  <c r="M247"/>
  <c r="J247"/>
  <c r="N246"/>
  <c r="O246" s="1"/>
  <c r="M246"/>
  <c r="J246"/>
  <c r="N245"/>
  <c r="M245"/>
  <c r="J245"/>
  <c r="L231"/>
  <c r="L243" s="1"/>
  <c r="I233"/>
  <c r="I232"/>
  <c r="I231"/>
  <c r="I230"/>
  <c r="I229"/>
  <c r="N242"/>
  <c r="O242" s="1"/>
  <c r="M242"/>
  <c r="J242"/>
  <c r="N241"/>
  <c r="O241" s="1"/>
  <c r="M241"/>
  <c r="J241"/>
  <c r="N240"/>
  <c r="O240" s="1"/>
  <c r="M240"/>
  <c r="J240"/>
  <c r="N239"/>
  <c r="O239" s="1"/>
  <c r="M239"/>
  <c r="J239"/>
  <c r="N238"/>
  <c r="O238" s="1"/>
  <c r="M238"/>
  <c r="J238"/>
  <c r="N237"/>
  <c r="O237" s="1"/>
  <c r="M237"/>
  <c r="J237"/>
  <c r="N236"/>
  <c r="O236" s="1"/>
  <c r="M236"/>
  <c r="J236"/>
  <c r="N235"/>
  <c r="O235" s="1"/>
  <c r="M235"/>
  <c r="J235"/>
  <c r="N234"/>
  <c r="O234" s="1"/>
  <c r="M234"/>
  <c r="J234"/>
  <c r="N233"/>
  <c r="O233" s="1"/>
  <c r="M233"/>
  <c r="J233"/>
  <c r="N232"/>
  <c r="O232" s="1"/>
  <c r="M232"/>
  <c r="J232"/>
  <c r="N231"/>
  <c r="O231" s="1"/>
  <c r="J231"/>
  <c r="N230"/>
  <c r="O230" s="1"/>
  <c r="M230"/>
  <c r="J230"/>
  <c r="N229"/>
  <c r="O229" s="1"/>
  <c r="M229"/>
  <c r="J229"/>
  <c r="N228"/>
  <c r="O228" s="1"/>
  <c r="M228"/>
  <c r="J228"/>
  <c r="L225"/>
  <c r="N224"/>
  <c r="O224" s="1"/>
  <c r="M224"/>
  <c r="J224"/>
  <c r="N223"/>
  <c r="O223" s="1"/>
  <c r="M223"/>
  <c r="J223"/>
  <c r="N222"/>
  <c r="O222" s="1"/>
  <c r="M222"/>
  <c r="J222"/>
  <c r="I225"/>
  <c r="N221"/>
  <c r="O221" s="1"/>
  <c r="M221"/>
  <c r="J221"/>
  <c r="N220"/>
  <c r="M220"/>
  <c r="J220"/>
  <c r="J225" s="1"/>
  <c r="I218"/>
  <c r="L218"/>
  <c r="N217"/>
  <c r="O217" s="1"/>
  <c r="M217"/>
  <c r="J217"/>
  <c r="N216"/>
  <c r="O216" s="1"/>
  <c r="M216"/>
  <c r="J216"/>
  <c r="N215"/>
  <c r="O215" s="1"/>
  <c r="M215"/>
  <c r="J215"/>
  <c r="M231" l="1"/>
  <c r="M225"/>
  <c r="I243"/>
  <c r="J261"/>
  <c r="M261"/>
  <c r="O245"/>
  <c r="O261" s="1"/>
  <c r="N261"/>
  <c r="J218"/>
  <c r="O243"/>
  <c r="J243"/>
  <c r="M243"/>
  <c r="N243"/>
  <c r="M218"/>
  <c r="N225"/>
  <c r="O220"/>
  <c r="O225" s="1"/>
  <c r="O218"/>
  <c r="N218"/>
  <c r="L195" l="1"/>
  <c r="L212" l="1"/>
  <c r="I201"/>
  <c r="I200"/>
  <c r="N200" s="1"/>
  <c r="O200" s="1"/>
  <c r="I199"/>
  <c r="I198"/>
  <c r="N198" s="1"/>
  <c r="I196"/>
  <c r="I195"/>
  <c r="I194"/>
  <c r="N211"/>
  <c r="O211" s="1"/>
  <c r="M211"/>
  <c r="J211"/>
  <c r="N210"/>
  <c r="O210" s="1"/>
  <c r="M210"/>
  <c r="J210"/>
  <c r="N209"/>
  <c r="O209" s="1"/>
  <c r="M209"/>
  <c r="J209"/>
  <c r="N208"/>
  <c r="O208" s="1"/>
  <c r="M208"/>
  <c r="J208"/>
  <c r="N207"/>
  <c r="O207" s="1"/>
  <c r="M207"/>
  <c r="J207"/>
  <c r="N206"/>
  <c r="O206" s="1"/>
  <c r="M206"/>
  <c r="J206"/>
  <c r="N205"/>
  <c r="O205" s="1"/>
  <c r="M205"/>
  <c r="J205"/>
  <c r="N204"/>
  <c r="O204" s="1"/>
  <c r="M204"/>
  <c r="J204"/>
  <c r="N203"/>
  <c r="O203" s="1"/>
  <c r="M203"/>
  <c r="J203"/>
  <c r="N202"/>
  <c r="O202" s="1"/>
  <c r="M202"/>
  <c r="J202"/>
  <c r="N201"/>
  <c r="O201" s="1"/>
  <c r="M201"/>
  <c r="J201"/>
  <c r="M200"/>
  <c r="N199"/>
  <c r="O199" s="1"/>
  <c r="M199"/>
  <c r="J199"/>
  <c r="M198"/>
  <c r="N197"/>
  <c r="O197" s="1"/>
  <c r="M197"/>
  <c r="J197"/>
  <c r="N196"/>
  <c r="O196" s="1"/>
  <c r="M196"/>
  <c r="J196"/>
  <c r="N195"/>
  <c r="O195" s="1"/>
  <c r="M195"/>
  <c r="J195"/>
  <c r="N194"/>
  <c r="M194"/>
  <c r="J194"/>
  <c r="J198" l="1"/>
  <c r="J200"/>
  <c r="I212"/>
  <c r="O194"/>
  <c r="N212"/>
  <c r="M212"/>
  <c r="O198"/>
  <c r="R2995" i="36"/>
  <c r="O2994"/>
  <c r="P2994" s="1"/>
  <c r="N2994"/>
  <c r="K2994"/>
  <c r="O2993"/>
  <c r="P2993" s="1"/>
  <c r="N2993"/>
  <c r="K2993"/>
  <c r="O2992"/>
  <c r="P2992" s="1"/>
  <c r="N2992"/>
  <c r="K2992"/>
  <c r="R2990"/>
  <c r="O2990"/>
  <c r="R2982"/>
  <c r="R2978"/>
  <c r="J212" i="49" l="1"/>
  <c r="O212"/>
  <c r="O2978" i="36"/>
  <c r="R2951"/>
  <c r="J2951"/>
  <c r="O2950"/>
  <c r="P2950" s="1"/>
  <c r="N2950"/>
  <c r="K2950"/>
  <c r="O2949"/>
  <c r="P2949" s="1"/>
  <c r="N2949"/>
  <c r="K2949"/>
  <c r="O2948"/>
  <c r="P2948" s="1"/>
  <c r="N2948"/>
  <c r="K2948"/>
  <c r="O2947"/>
  <c r="P2947" s="1"/>
  <c r="N2947"/>
  <c r="K2947"/>
  <c r="O2946"/>
  <c r="P2946" s="1"/>
  <c r="N2946"/>
  <c r="K2946"/>
  <c r="O2945"/>
  <c r="P2945" s="1"/>
  <c r="N2945"/>
  <c r="K2945"/>
  <c r="O2944"/>
  <c r="P2944" s="1"/>
  <c r="N2944"/>
  <c r="K2944"/>
  <c r="M2943"/>
  <c r="K2943"/>
  <c r="O2942"/>
  <c r="P2942" s="1"/>
  <c r="N2942"/>
  <c r="K2942"/>
  <c r="O2941"/>
  <c r="P2941" s="1"/>
  <c r="N2941"/>
  <c r="K2941"/>
  <c r="O2940"/>
  <c r="P2940" s="1"/>
  <c r="N2940"/>
  <c r="K2940"/>
  <c r="O2939"/>
  <c r="P2939" s="1"/>
  <c r="N2939"/>
  <c r="K2939"/>
  <c r="M2938"/>
  <c r="O2938" s="1"/>
  <c r="K2938"/>
  <c r="R2936"/>
  <c r="O2935"/>
  <c r="P2935" s="1"/>
  <c r="N2935"/>
  <c r="K2935"/>
  <c r="O2934"/>
  <c r="P2934" s="1"/>
  <c r="N2934"/>
  <c r="K2934"/>
  <c r="O2933"/>
  <c r="P2933" s="1"/>
  <c r="N2933"/>
  <c r="K2933"/>
  <c r="O2932"/>
  <c r="P2932" s="1"/>
  <c r="N2932"/>
  <c r="K2932"/>
  <c r="O2931"/>
  <c r="P2931" s="1"/>
  <c r="N2931"/>
  <c r="K2931"/>
  <c r="O2930"/>
  <c r="P2930" s="1"/>
  <c r="N2930"/>
  <c r="K2930"/>
  <c r="O2929"/>
  <c r="P2929" s="1"/>
  <c r="N2929"/>
  <c r="K2929"/>
  <c r="O2928"/>
  <c r="P2928" s="1"/>
  <c r="N2928"/>
  <c r="K2928"/>
  <c r="O2927"/>
  <c r="P2927" s="1"/>
  <c r="N2927"/>
  <c r="K2927"/>
  <c r="O2926"/>
  <c r="P2926" s="1"/>
  <c r="N2926"/>
  <c r="K2926"/>
  <c r="O2925"/>
  <c r="P2925" s="1"/>
  <c r="N2925"/>
  <c r="K2925"/>
  <c r="O2924"/>
  <c r="P2924" s="1"/>
  <c r="N2924"/>
  <c r="K2924"/>
  <c r="O2923"/>
  <c r="P2923" s="1"/>
  <c r="N2923"/>
  <c r="K2923"/>
  <c r="O2922"/>
  <c r="P2922" s="1"/>
  <c r="N2922"/>
  <c r="K2922"/>
  <c r="M2921"/>
  <c r="N2921" s="1"/>
  <c r="J2921"/>
  <c r="K2921" s="1"/>
  <c r="N2920"/>
  <c r="J2920"/>
  <c r="O2920" s="1"/>
  <c r="P2920" s="1"/>
  <c r="M2919"/>
  <c r="N2919" s="1"/>
  <c r="J2919"/>
  <c r="N2918"/>
  <c r="J2918"/>
  <c r="J2936" s="1"/>
  <c r="M46" i="39"/>
  <c r="O2919" i="36" l="1"/>
  <c r="P2919" s="1"/>
  <c r="K2951"/>
  <c r="N2936"/>
  <c r="K2919"/>
  <c r="K2920"/>
  <c r="N2938"/>
  <c r="M2951"/>
  <c r="M2936"/>
  <c r="P2938"/>
  <c r="O2943"/>
  <c r="P2943" s="1"/>
  <c r="N2943"/>
  <c r="O2921"/>
  <c r="P2921" s="1"/>
  <c r="K2918"/>
  <c r="O2918"/>
  <c r="K2936" l="1"/>
  <c r="N2951"/>
  <c r="P2951"/>
  <c r="O2951"/>
  <c r="O2936"/>
  <c r="P2918"/>
  <c r="P2936" s="1"/>
  <c r="R2916" l="1"/>
  <c r="O2916"/>
  <c r="O2906" l="1"/>
  <c r="P2906" s="1"/>
  <c r="N2906"/>
  <c r="K2906"/>
  <c r="O2905"/>
  <c r="P2905" s="1"/>
  <c r="N2905"/>
  <c r="K2905"/>
  <c r="R2624" l="1"/>
  <c r="O2624"/>
  <c r="L199" i="42"/>
  <c r="L188"/>
  <c r="L100"/>
  <c r="L209"/>
  <c r="L181" i="49"/>
  <c r="L183"/>
  <c r="I183"/>
  <c r="I182"/>
  <c r="N182" s="1"/>
  <c r="O182" s="1"/>
  <c r="I181"/>
  <c r="N181" s="1"/>
  <c r="O181" s="1"/>
  <c r="I180"/>
  <c r="N180" s="1"/>
  <c r="O180" s="1"/>
  <c r="I179"/>
  <c r="N179" s="1"/>
  <c r="N191"/>
  <c r="O191" s="1"/>
  <c r="M191"/>
  <c r="J191"/>
  <c r="N190"/>
  <c r="O190" s="1"/>
  <c r="M190"/>
  <c r="J190"/>
  <c r="N189"/>
  <c r="O189" s="1"/>
  <c r="M189"/>
  <c r="J189"/>
  <c r="N188"/>
  <c r="O188" s="1"/>
  <c r="M188"/>
  <c r="J188"/>
  <c r="N187"/>
  <c r="O187" s="1"/>
  <c r="M187"/>
  <c r="J187"/>
  <c r="N186"/>
  <c r="O186" s="1"/>
  <c r="M186"/>
  <c r="J186"/>
  <c r="N185"/>
  <c r="O185" s="1"/>
  <c r="M185"/>
  <c r="J185"/>
  <c r="N184"/>
  <c r="O184" s="1"/>
  <c r="M184"/>
  <c r="J184"/>
  <c r="M183"/>
  <c r="M182"/>
  <c r="M181"/>
  <c r="M180"/>
  <c r="M179"/>
  <c r="L350" i="42"/>
  <c r="L338"/>
  <c r="I351"/>
  <c r="I350"/>
  <c r="I349"/>
  <c r="I348"/>
  <c r="I347"/>
  <c r="I338"/>
  <c r="I337"/>
  <c r="N372"/>
  <c r="O372" s="1"/>
  <c r="M372"/>
  <c r="J372"/>
  <c r="N371"/>
  <c r="O371" s="1"/>
  <c r="M371"/>
  <c r="J371"/>
  <c r="N370"/>
  <c r="O370" s="1"/>
  <c r="M370"/>
  <c r="J370"/>
  <c r="N369"/>
  <c r="O369" s="1"/>
  <c r="M369"/>
  <c r="J369"/>
  <c r="N368"/>
  <c r="O368" s="1"/>
  <c r="M368"/>
  <c r="J368"/>
  <c r="N367"/>
  <c r="O367" s="1"/>
  <c r="M367"/>
  <c r="J367"/>
  <c r="N366"/>
  <c r="O366" s="1"/>
  <c r="M366"/>
  <c r="J366"/>
  <c r="N365"/>
  <c r="O365" s="1"/>
  <c r="M365"/>
  <c r="J365"/>
  <c r="N364"/>
  <c r="O364" s="1"/>
  <c r="M364"/>
  <c r="J364"/>
  <c r="N363"/>
  <c r="O363" s="1"/>
  <c r="M363"/>
  <c r="J363"/>
  <c r="N362"/>
  <c r="O362" s="1"/>
  <c r="M362"/>
  <c r="J362"/>
  <c r="N361"/>
  <c r="O361" s="1"/>
  <c r="M361"/>
  <c r="J361"/>
  <c r="N360"/>
  <c r="O360" s="1"/>
  <c r="M360"/>
  <c r="J360"/>
  <c r="N359"/>
  <c r="O359" s="1"/>
  <c r="M359"/>
  <c r="J359"/>
  <c r="N358"/>
  <c r="O358" s="1"/>
  <c r="M358"/>
  <c r="J358"/>
  <c r="N357"/>
  <c r="O357" s="1"/>
  <c r="M357"/>
  <c r="J357"/>
  <c r="N356"/>
  <c r="O356" s="1"/>
  <c r="M356"/>
  <c r="J356"/>
  <c r="N355"/>
  <c r="O355" s="1"/>
  <c r="M355"/>
  <c r="J355"/>
  <c r="N354"/>
  <c r="O354" s="1"/>
  <c r="M354"/>
  <c r="J354"/>
  <c r="N353"/>
  <c r="O353" s="1"/>
  <c r="M353"/>
  <c r="J353"/>
  <c r="N352"/>
  <c r="O352" s="1"/>
  <c r="M352"/>
  <c r="J352"/>
  <c r="N351"/>
  <c r="O351" s="1"/>
  <c r="M351"/>
  <c r="J351"/>
  <c r="N350"/>
  <c r="O350" s="1"/>
  <c r="M350"/>
  <c r="J350"/>
  <c r="N349"/>
  <c r="O349" s="1"/>
  <c r="M349"/>
  <c r="J349"/>
  <c r="N348"/>
  <c r="O348" s="1"/>
  <c r="M348"/>
  <c r="J348"/>
  <c r="N347"/>
  <c r="O347" s="1"/>
  <c r="M347"/>
  <c r="J347"/>
  <c r="N346"/>
  <c r="O346" s="1"/>
  <c r="M346"/>
  <c r="J346"/>
  <c r="N345"/>
  <c r="O345" s="1"/>
  <c r="M345"/>
  <c r="J345"/>
  <c r="N344"/>
  <c r="O344" s="1"/>
  <c r="M344"/>
  <c r="J344"/>
  <c r="N343"/>
  <c r="O343" s="1"/>
  <c r="M343"/>
  <c r="J343"/>
  <c r="N342"/>
  <c r="O342" s="1"/>
  <c r="M342"/>
  <c r="J342"/>
  <c r="N341"/>
  <c r="O341" s="1"/>
  <c r="M341"/>
  <c r="J341"/>
  <c r="N340"/>
  <c r="O340" s="1"/>
  <c r="M340"/>
  <c r="J340"/>
  <c r="N339"/>
  <c r="O339" s="1"/>
  <c r="M339"/>
  <c r="J339"/>
  <c r="N338"/>
  <c r="O338" s="1"/>
  <c r="M338"/>
  <c r="J338"/>
  <c r="N337"/>
  <c r="O337" s="1"/>
  <c r="M337"/>
  <c r="J337"/>
  <c r="L321"/>
  <c r="L322"/>
  <c r="L320"/>
  <c r="L373" l="1"/>
  <c r="J373"/>
  <c r="I373"/>
  <c r="O373"/>
  <c r="N183" i="49"/>
  <c r="O183" s="1"/>
  <c r="J179"/>
  <c r="J181"/>
  <c r="J183"/>
  <c r="L192"/>
  <c r="M192"/>
  <c r="I192"/>
  <c r="O179"/>
  <c r="O192" s="1"/>
  <c r="N192"/>
  <c r="J180"/>
  <c r="J182"/>
  <c r="M373" i="42"/>
  <c r="N373"/>
  <c r="J192" i="49" l="1"/>
  <c r="L335" i="42"/>
  <c r="I331"/>
  <c r="I322"/>
  <c r="N322" s="1"/>
  <c r="O322" s="1"/>
  <c r="L22" i="50"/>
  <c r="I321" i="42"/>
  <c r="I320"/>
  <c r="I319"/>
  <c r="I335" s="1"/>
  <c r="N334"/>
  <c r="O334" s="1"/>
  <c r="M334"/>
  <c r="J334"/>
  <c r="N333"/>
  <c r="O333" s="1"/>
  <c r="M333"/>
  <c r="J333"/>
  <c r="N332"/>
  <c r="O332" s="1"/>
  <c r="M332"/>
  <c r="J332"/>
  <c r="N331"/>
  <c r="O331" s="1"/>
  <c r="M331"/>
  <c r="J331"/>
  <c r="N330"/>
  <c r="O330" s="1"/>
  <c r="M330"/>
  <c r="J330"/>
  <c r="N329"/>
  <c r="O329" s="1"/>
  <c r="M329"/>
  <c r="J329"/>
  <c r="N328"/>
  <c r="O328" s="1"/>
  <c r="M328"/>
  <c r="J328"/>
  <c r="N327"/>
  <c r="O327" s="1"/>
  <c r="M327"/>
  <c r="J327"/>
  <c r="N326"/>
  <c r="O326" s="1"/>
  <c r="M326"/>
  <c r="J326"/>
  <c r="N325"/>
  <c r="O325" s="1"/>
  <c r="M325"/>
  <c r="J325"/>
  <c r="N324"/>
  <c r="O324" s="1"/>
  <c r="M324"/>
  <c r="J324"/>
  <c r="N323"/>
  <c r="O323" s="1"/>
  <c r="M323"/>
  <c r="J323"/>
  <c r="M322"/>
  <c r="N321"/>
  <c r="M321"/>
  <c r="J321"/>
  <c r="N320"/>
  <c r="O320" s="1"/>
  <c r="M320"/>
  <c r="J320"/>
  <c r="N319"/>
  <c r="M319"/>
  <c r="J319"/>
  <c r="M335" l="1"/>
  <c r="O319"/>
  <c r="N335"/>
  <c r="O321"/>
  <c r="J322"/>
  <c r="J335" s="1"/>
  <c r="O335" l="1"/>
  <c r="J2" i="55"/>
  <c r="K2"/>
  <c r="M8" i="35"/>
  <c r="M187" i="39"/>
  <c r="M1146" i="35" l="1"/>
  <c r="M1148"/>
  <c r="L301" i="42"/>
  <c r="N301" s="1"/>
  <c r="O301" s="1"/>
  <c r="I316"/>
  <c r="L316"/>
  <c r="N315"/>
  <c r="O315" s="1"/>
  <c r="M315"/>
  <c r="J315"/>
  <c r="N314"/>
  <c r="O314" s="1"/>
  <c r="M314"/>
  <c r="J314"/>
  <c r="N313"/>
  <c r="O313" s="1"/>
  <c r="M313"/>
  <c r="J313"/>
  <c r="N312"/>
  <c r="O312" s="1"/>
  <c r="M312"/>
  <c r="J312"/>
  <c r="N311"/>
  <c r="O311" s="1"/>
  <c r="M311"/>
  <c r="J311"/>
  <c r="N310"/>
  <c r="O310" s="1"/>
  <c r="M310"/>
  <c r="J310"/>
  <c r="N309"/>
  <c r="O309" s="1"/>
  <c r="M309"/>
  <c r="J309"/>
  <c r="N308"/>
  <c r="O308" s="1"/>
  <c r="M308"/>
  <c r="J308"/>
  <c r="N307"/>
  <c r="O307" s="1"/>
  <c r="M307"/>
  <c r="J307"/>
  <c r="N306"/>
  <c r="O306" s="1"/>
  <c r="M306"/>
  <c r="J306"/>
  <c r="N305"/>
  <c r="O305" s="1"/>
  <c r="M305"/>
  <c r="J305"/>
  <c r="N304"/>
  <c r="O304" s="1"/>
  <c r="M304"/>
  <c r="J304"/>
  <c r="N303"/>
  <c r="O303" s="1"/>
  <c r="M303"/>
  <c r="J303"/>
  <c r="N302"/>
  <c r="O302" s="1"/>
  <c r="M302"/>
  <c r="J302"/>
  <c r="M301"/>
  <c r="J301"/>
  <c r="N300"/>
  <c r="O300" s="1"/>
  <c r="M300"/>
  <c r="J300"/>
  <c r="N299"/>
  <c r="O299" s="1"/>
  <c r="M299"/>
  <c r="J299"/>
  <c r="N298"/>
  <c r="O298" s="1"/>
  <c r="M298"/>
  <c r="J298"/>
  <c r="N297"/>
  <c r="O297" s="1"/>
  <c r="M297"/>
  <c r="J297"/>
  <c r="N296"/>
  <c r="O296" s="1"/>
  <c r="M296"/>
  <c r="J296"/>
  <c r="N295"/>
  <c r="O295" s="1"/>
  <c r="M295"/>
  <c r="J295"/>
  <c r="N294"/>
  <c r="O294" s="1"/>
  <c r="M294"/>
  <c r="J294"/>
  <c r="N293"/>
  <c r="O293" s="1"/>
  <c r="M293"/>
  <c r="J293"/>
  <c r="N292"/>
  <c r="O292" s="1"/>
  <c r="M292"/>
  <c r="J292"/>
  <c r="N291"/>
  <c r="O291" s="1"/>
  <c r="M291"/>
  <c r="J291"/>
  <c r="N290"/>
  <c r="O290" s="1"/>
  <c r="M290"/>
  <c r="J290"/>
  <c r="N289"/>
  <c r="O289" s="1"/>
  <c r="M289"/>
  <c r="J289"/>
  <c r="N288"/>
  <c r="O288" s="1"/>
  <c r="M288"/>
  <c r="J288"/>
  <c r="N287"/>
  <c r="O287" s="1"/>
  <c r="M287"/>
  <c r="J287"/>
  <c r="N286"/>
  <c r="O286" s="1"/>
  <c r="M286"/>
  <c r="J286"/>
  <c r="N285"/>
  <c r="O285" s="1"/>
  <c r="M285"/>
  <c r="J285"/>
  <c r="N284"/>
  <c r="O284" s="1"/>
  <c r="M284"/>
  <c r="J284"/>
  <c r="N283"/>
  <c r="O283" s="1"/>
  <c r="M283"/>
  <c r="J283"/>
  <c r="N282"/>
  <c r="O282" s="1"/>
  <c r="M282"/>
  <c r="J282"/>
  <c r="N281"/>
  <c r="O281" s="1"/>
  <c r="M281"/>
  <c r="J281"/>
  <c r="N280"/>
  <c r="O280" s="1"/>
  <c r="M280"/>
  <c r="J280"/>
  <c r="N279"/>
  <c r="O279" s="1"/>
  <c r="M279"/>
  <c r="J279"/>
  <c r="N278"/>
  <c r="O278" s="1"/>
  <c r="M278"/>
  <c r="J278"/>
  <c r="N277"/>
  <c r="O277" s="1"/>
  <c r="M277"/>
  <c r="J277"/>
  <c r="N276"/>
  <c r="O276" s="1"/>
  <c r="M276"/>
  <c r="J276"/>
  <c r="N275"/>
  <c r="O275" s="1"/>
  <c r="M275"/>
  <c r="J275"/>
  <c r="N274"/>
  <c r="O274" s="1"/>
  <c r="M274"/>
  <c r="J274"/>
  <c r="N273"/>
  <c r="O273" s="1"/>
  <c r="M273"/>
  <c r="J273"/>
  <c r="N272"/>
  <c r="O272" s="1"/>
  <c r="M272"/>
  <c r="J272"/>
  <c r="J316" l="1"/>
  <c r="M316"/>
  <c r="O316"/>
  <c r="N316"/>
  <c r="I270"/>
  <c r="L270"/>
  <c r="N269"/>
  <c r="O269" s="1"/>
  <c r="M269"/>
  <c r="J269"/>
  <c r="N268"/>
  <c r="O268" s="1"/>
  <c r="M268"/>
  <c r="J268"/>
  <c r="N267"/>
  <c r="O267" s="1"/>
  <c r="M267"/>
  <c r="J267"/>
  <c r="N266"/>
  <c r="O266" s="1"/>
  <c r="M266"/>
  <c r="J266"/>
  <c r="N265"/>
  <c r="O265" s="1"/>
  <c r="M265"/>
  <c r="J265"/>
  <c r="N264"/>
  <c r="O264" s="1"/>
  <c r="M264"/>
  <c r="J264"/>
  <c r="N263"/>
  <c r="O263" s="1"/>
  <c r="M263"/>
  <c r="J263"/>
  <c r="N262"/>
  <c r="O262" s="1"/>
  <c r="M262"/>
  <c r="J262"/>
  <c r="N261"/>
  <c r="O261" s="1"/>
  <c r="M261"/>
  <c r="J261"/>
  <c r="N260"/>
  <c r="O260" s="1"/>
  <c r="M260"/>
  <c r="J260"/>
  <c r="N259"/>
  <c r="O259" s="1"/>
  <c r="M259"/>
  <c r="J259"/>
  <c r="N258"/>
  <c r="O258" s="1"/>
  <c r="M258"/>
  <c r="J258"/>
  <c r="N257"/>
  <c r="O257" s="1"/>
  <c r="M257"/>
  <c r="J257"/>
  <c r="N256"/>
  <c r="O256" s="1"/>
  <c r="M256"/>
  <c r="J256"/>
  <c r="N255"/>
  <c r="O255" s="1"/>
  <c r="M255"/>
  <c r="J255"/>
  <c r="N254"/>
  <c r="O254" s="1"/>
  <c r="M254"/>
  <c r="J254"/>
  <c r="N253"/>
  <c r="O253" s="1"/>
  <c r="M253"/>
  <c r="J253"/>
  <c r="N252"/>
  <c r="O252" s="1"/>
  <c r="M252"/>
  <c r="J252"/>
  <c r="N251"/>
  <c r="O251" s="1"/>
  <c r="M251"/>
  <c r="J251"/>
  <c r="N250"/>
  <c r="O250" s="1"/>
  <c r="M250"/>
  <c r="J250"/>
  <c r="N249"/>
  <c r="O249" s="1"/>
  <c r="M249"/>
  <c r="J249"/>
  <c r="N248"/>
  <c r="O248" s="1"/>
  <c r="M248"/>
  <c r="J248"/>
  <c r="N247"/>
  <c r="O247" s="1"/>
  <c r="M247"/>
  <c r="J247"/>
  <c r="N246"/>
  <c r="O246" s="1"/>
  <c r="M246"/>
  <c r="J246"/>
  <c r="N245"/>
  <c r="O245" s="1"/>
  <c r="M245"/>
  <c r="J245"/>
  <c r="N244"/>
  <c r="O244" s="1"/>
  <c r="M244"/>
  <c r="J244"/>
  <c r="N243"/>
  <c r="O243" s="1"/>
  <c r="M243"/>
  <c r="J243"/>
  <c r="N242"/>
  <c r="O242" s="1"/>
  <c r="M242"/>
  <c r="J242"/>
  <c r="N241"/>
  <c r="O241" s="1"/>
  <c r="M241"/>
  <c r="J241"/>
  <c r="N240"/>
  <c r="O240" s="1"/>
  <c r="M240"/>
  <c r="J240"/>
  <c r="N239"/>
  <c r="O239" s="1"/>
  <c r="M239"/>
  <c r="J239"/>
  <c r="N238"/>
  <c r="O238" s="1"/>
  <c r="M238"/>
  <c r="J238"/>
  <c r="N237"/>
  <c r="O237" s="1"/>
  <c r="M237"/>
  <c r="J237"/>
  <c r="N236"/>
  <c r="O236" s="1"/>
  <c r="M236"/>
  <c r="J236"/>
  <c r="N235"/>
  <c r="O235" s="1"/>
  <c r="M235"/>
  <c r="J235"/>
  <c r="N234"/>
  <c r="O234" s="1"/>
  <c r="M234"/>
  <c r="J234"/>
  <c r="N233"/>
  <c r="O233" s="1"/>
  <c r="M233"/>
  <c r="J233"/>
  <c r="J270" l="1"/>
  <c r="O270"/>
  <c r="M270"/>
  <c r="N270"/>
  <c r="L231" l="1"/>
  <c r="I231"/>
  <c r="N230"/>
  <c r="O230" s="1"/>
  <c r="M230"/>
  <c r="J230"/>
  <c r="N229"/>
  <c r="O229" s="1"/>
  <c r="M229"/>
  <c r="J229"/>
  <c r="N228"/>
  <c r="O228" s="1"/>
  <c r="M228"/>
  <c r="J228"/>
  <c r="N227"/>
  <c r="O227" s="1"/>
  <c r="M227"/>
  <c r="J227"/>
  <c r="N226"/>
  <c r="O226" s="1"/>
  <c r="M226"/>
  <c r="J226"/>
  <c r="N225"/>
  <c r="N231" s="1"/>
  <c r="M225"/>
  <c r="J225"/>
  <c r="J231" s="1"/>
  <c r="M231" l="1"/>
  <c r="O225"/>
  <c r="O231" s="1"/>
  <c r="I221" l="1"/>
  <c r="L221"/>
  <c r="N220"/>
  <c r="O220" s="1"/>
  <c r="M220"/>
  <c r="J220"/>
  <c r="N219"/>
  <c r="O219" s="1"/>
  <c r="M219"/>
  <c r="J219"/>
  <c r="N218"/>
  <c r="O218" s="1"/>
  <c r="M218"/>
  <c r="J218"/>
  <c r="N217"/>
  <c r="M217"/>
  <c r="J217"/>
  <c r="M221" l="1"/>
  <c r="J221"/>
  <c r="N221"/>
  <c r="O217"/>
  <c r="O221" s="1"/>
  <c r="L545" i="38" l="1"/>
  <c r="M545" s="1"/>
  <c r="L520"/>
  <c r="L544"/>
  <c r="M544" s="1"/>
  <c r="L519"/>
  <c r="I545"/>
  <c r="N545" s="1"/>
  <c r="O545" s="1"/>
  <c r="I544"/>
  <c r="I543"/>
  <c r="N543" s="1"/>
  <c r="O543" s="1"/>
  <c r="J544"/>
  <c r="M543"/>
  <c r="I518"/>
  <c r="J542"/>
  <c r="J541"/>
  <c r="J540"/>
  <c r="J539"/>
  <c r="J538"/>
  <c r="J537"/>
  <c r="J536"/>
  <c r="N542"/>
  <c r="O542" s="1"/>
  <c r="I535"/>
  <c r="J535" s="1"/>
  <c r="I534"/>
  <c r="J534" s="1"/>
  <c r="I533"/>
  <c r="I520"/>
  <c r="I519"/>
  <c r="N544" l="1"/>
  <c r="O544" s="1"/>
  <c r="I546"/>
  <c r="L546"/>
  <c r="J543"/>
  <c r="J545"/>
  <c r="M542"/>
  <c r="N541"/>
  <c r="O541" s="1"/>
  <c r="M541"/>
  <c r="N540"/>
  <c r="O540" s="1"/>
  <c r="M540"/>
  <c r="N539"/>
  <c r="O539" s="1"/>
  <c r="M539"/>
  <c r="N538"/>
  <c r="O538" s="1"/>
  <c r="M538"/>
  <c r="N537"/>
  <c r="O537" s="1"/>
  <c r="M537"/>
  <c r="N536"/>
  <c r="O536" s="1"/>
  <c r="M536"/>
  <c r="N535"/>
  <c r="O535" s="1"/>
  <c r="M535"/>
  <c r="N534"/>
  <c r="O534" s="1"/>
  <c r="M534"/>
  <c r="N533"/>
  <c r="O533" s="1"/>
  <c r="M533"/>
  <c r="J533"/>
  <c r="N532"/>
  <c r="O532" s="1"/>
  <c r="M532"/>
  <c r="J532"/>
  <c r="N531"/>
  <c r="M531"/>
  <c r="J531"/>
  <c r="N530"/>
  <c r="O530" s="1"/>
  <c r="M530"/>
  <c r="J530"/>
  <c r="N529"/>
  <c r="O529" s="1"/>
  <c r="M529"/>
  <c r="J529"/>
  <c r="N528"/>
  <c r="O528" s="1"/>
  <c r="M528"/>
  <c r="J528"/>
  <c r="N527"/>
  <c r="O527" s="1"/>
  <c r="M527"/>
  <c r="J527"/>
  <c r="N526"/>
  <c r="O526" s="1"/>
  <c r="M526"/>
  <c r="J526"/>
  <c r="N525"/>
  <c r="O525" s="1"/>
  <c r="M525"/>
  <c r="J525"/>
  <c r="N524"/>
  <c r="O524" s="1"/>
  <c r="M524"/>
  <c r="J524"/>
  <c r="N523"/>
  <c r="O523" s="1"/>
  <c r="M523"/>
  <c r="J523"/>
  <c r="N522"/>
  <c r="O522" s="1"/>
  <c r="M522"/>
  <c r="J522"/>
  <c r="N521"/>
  <c r="O521" s="1"/>
  <c r="M521"/>
  <c r="J521"/>
  <c r="N520"/>
  <c r="O520" s="1"/>
  <c r="M520"/>
  <c r="J520"/>
  <c r="N519"/>
  <c r="O519" s="1"/>
  <c r="M519"/>
  <c r="J519"/>
  <c r="N518"/>
  <c r="M518"/>
  <c r="J518"/>
  <c r="N546" l="1"/>
  <c r="M546"/>
  <c r="J546"/>
  <c r="O518"/>
  <c r="O531"/>
  <c r="R2873" i="36"/>
  <c r="O2872"/>
  <c r="P2872" s="1"/>
  <c r="N2872"/>
  <c r="K2872"/>
  <c r="O2871"/>
  <c r="P2871" s="1"/>
  <c r="N2871"/>
  <c r="K2871"/>
  <c r="O2870"/>
  <c r="P2870" s="1"/>
  <c r="N2870"/>
  <c r="K2870"/>
  <c r="O2869"/>
  <c r="P2869" s="1"/>
  <c r="N2869"/>
  <c r="K2869"/>
  <c r="O2868"/>
  <c r="P2868" s="1"/>
  <c r="N2868"/>
  <c r="K2868"/>
  <c r="O2867"/>
  <c r="P2867" s="1"/>
  <c r="N2867"/>
  <c r="K2867"/>
  <c r="O2866"/>
  <c r="P2866" s="1"/>
  <c r="N2866"/>
  <c r="K2866"/>
  <c r="O2865"/>
  <c r="P2865" s="1"/>
  <c r="N2865"/>
  <c r="K2865"/>
  <c r="O2864"/>
  <c r="P2864" s="1"/>
  <c r="N2864"/>
  <c r="K2864"/>
  <c r="O2863"/>
  <c r="P2863" s="1"/>
  <c r="N2863"/>
  <c r="K2863"/>
  <c r="O2862"/>
  <c r="P2862" s="1"/>
  <c r="N2862"/>
  <c r="K2862"/>
  <c r="O2861"/>
  <c r="P2861" s="1"/>
  <c r="N2861"/>
  <c r="K2861"/>
  <c r="O2860"/>
  <c r="P2860" s="1"/>
  <c r="N2860"/>
  <c r="K2860"/>
  <c r="M2859"/>
  <c r="N2859" s="1"/>
  <c r="J2859"/>
  <c r="N2858"/>
  <c r="J2858"/>
  <c r="O2858" s="1"/>
  <c r="P2858" s="1"/>
  <c r="N2857"/>
  <c r="J2857"/>
  <c r="O2857" s="1"/>
  <c r="P2857" s="1"/>
  <c r="N2856"/>
  <c r="J2856"/>
  <c r="O2856" s="1"/>
  <c r="P2856" s="1"/>
  <c r="O2855"/>
  <c r="P2855" s="1"/>
  <c r="N2855"/>
  <c r="K2855"/>
  <c r="O2854"/>
  <c r="P2854" s="1"/>
  <c r="N2854"/>
  <c r="K2854"/>
  <c r="O2853"/>
  <c r="P2853" s="1"/>
  <c r="N2853"/>
  <c r="K2853"/>
  <c r="N2852"/>
  <c r="J2852"/>
  <c r="O2852" s="1"/>
  <c r="P2852" s="1"/>
  <c r="O2851"/>
  <c r="P2851" s="1"/>
  <c r="N2851"/>
  <c r="K2851"/>
  <c r="O2850"/>
  <c r="P2850" s="1"/>
  <c r="N2850"/>
  <c r="K2850"/>
  <c r="O2849"/>
  <c r="P2849" s="1"/>
  <c r="N2849"/>
  <c r="K2849"/>
  <c r="O2848"/>
  <c r="P2848" s="1"/>
  <c r="N2848"/>
  <c r="K2848"/>
  <c r="O2847"/>
  <c r="P2847" s="1"/>
  <c r="N2847"/>
  <c r="K2847"/>
  <c r="O2846"/>
  <c r="P2846" s="1"/>
  <c r="N2846"/>
  <c r="K2846"/>
  <c r="O2845"/>
  <c r="P2845" s="1"/>
  <c r="N2845"/>
  <c r="K2845"/>
  <c r="O2844"/>
  <c r="P2844" s="1"/>
  <c r="N2844"/>
  <c r="K2844"/>
  <c r="O2843"/>
  <c r="P2843" s="1"/>
  <c r="N2843"/>
  <c r="K2843"/>
  <c r="O2842"/>
  <c r="P2842" s="1"/>
  <c r="N2842"/>
  <c r="K2842"/>
  <c r="O2841"/>
  <c r="P2841" s="1"/>
  <c r="N2841"/>
  <c r="K2841"/>
  <c r="M2840"/>
  <c r="N2840" s="1"/>
  <c r="J2840"/>
  <c r="K2840" s="1"/>
  <c r="N2839"/>
  <c r="J2839"/>
  <c r="O2839" s="1"/>
  <c r="P2839" s="1"/>
  <c r="M2838"/>
  <c r="M2873" s="1"/>
  <c r="J2838"/>
  <c r="J2873" s="1"/>
  <c r="R2836"/>
  <c r="O2836"/>
  <c r="N2838" l="1"/>
  <c r="N2873" s="1"/>
  <c r="K2856"/>
  <c r="K2858"/>
  <c r="K2838"/>
  <c r="K2839"/>
  <c r="O2859"/>
  <c r="P2859" s="1"/>
  <c r="O546" i="38"/>
  <c r="O2840" i="36"/>
  <c r="P2840" s="1"/>
  <c r="O2838"/>
  <c r="K2852"/>
  <c r="K2857"/>
  <c r="K2859"/>
  <c r="O2873" l="1"/>
  <c r="K2873"/>
  <c r="P2838"/>
  <c r="P2873" s="1"/>
  <c r="R2815" l="1"/>
  <c r="O2814"/>
  <c r="P2814" s="1"/>
  <c r="N2814"/>
  <c r="K2814"/>
  <c r="O2813"/>
  <c r="P2813" s="1"/>
  <c r="N2813"/>
  <c r="K2813"/>
  <c r="O2812"/>
  <c r="P2812" s="1"/>
  <c r="N2812"/>
  <c r="K2812"/>
  <c r="O2811"/>
  <c r="P2811" s="1"/>
  <c r="N2811"/>
  <c r="K2811"/>
  <c r="O2810"/>
  <c r="P2810" s="1"/>
  <c r="N2810"/>
  <c r="K2810"/>
  <c r="O2809"/>
  <c r="P2809" s="1"/>
  <c r="N2809"/>
  <c r="K2809"/>
  <c r="O2808"/>
  <c r="P2808" s="1"/>
  <c r="N2808"/>
  <c r="K2808"/>
  <c r="O2807"/>
  <c r="P2807" s="1"/>
  <c r="N2807"/>
  <c r="K2807"/>
  <c r="O2806"/>
  <c r="P2806" s="1"/>
  <c r="N2806"/>
  <c r="K2806"/>
  <c r="O2805"/>
  <c r="P2805" s="1"/>
  <c r="N2805"/>
  <c r="K2805"/>
  <c r="O2804"/>
  <c r="P2804" s="1"/>
  <c r="N2804"/>
  <c r="K2804"/>
  <c r="O2803"/>
  <c r="P2803" s="1"/>
  <c r="N2803"/>
  <c r="K2803"/>
  <c r="O2802"/>
  <c r="P2802" s="1"/>
  <c r="N2802"/>
  <c r="K2802"/>
  <c r="O2801"/>
  <c r="P2801" s="1"/>
  <c r="N2801"/>
  <c r="K2801"/>
  <c r="O2800"/>
  <c r="P2800" s="1"/>
  <c r="N2800"/>
  <c r="K2800"/>
  <c r="O2799"/>
  <c r="P2799" s="1"/>
  <c r="N2799"/>
  <c r="K2799"/>
  <c r="O2798"/>
  <c r="P2798" s="1"/>
  <c r="N2798"/>
  <c r="K2798"/>
  <c r="N2797"/>
  <c r="J2797"/>
  <c r="J2815" s="1"/>
  <c r="M2796"/>
  <c r="M2815" s="1"/>
  <c r="K2796"/>
  <c r="Q271" i="40"/>
  <c r="R2777" i="36"/>
  <c r="T2756"/>
  <c r="S2755"/>
  <c r="U2755" s="1"/>
  <c r="O2755"/>
  <c r="P2755" s="1"/>
  <c r="N2755"/>
  <c r="K2755"/>
  <c r="S2754"/>
  <c r="U2754" s="1"/>
  <c r="O2754"/>
  <c r="P2754" s="1"/>
  <c r="N2754"/>
  <c r="K2754"/>
  <c r="S2753"/>
  <c r="U2753" s="1"/>
  <c r="O2753"/>
  <c r="P2753" s="1"/>
  <c r="N2753"/>
  <c r="K2753"/>
  <c r="S2752"/>
  <c r="U2752" s="1"/>
  <c r="O2752"/>
  <c r="P2752" s="1"/>
  <c r="N2752"/>
  <c r="K2752"/>
  <c r="S2751"/>
  <c r="U2751" s="1"/>
  <c r="O2751"/>
  <c r="P2751" s="1"/>
  <c r="N2751"/>
  <c r="K2751"/>
  <c r="O2750"/>
  <c r="P2750" s="1"/>
  <c r="N2750"/>
  <c r="K2750"/>
  <c r="O2749"/>
  <c r="P2749" s="1"/>
  <c r="N2749"/>
  <c r="K2749"/>
  <c r="O2748"/>
  <c r="P2748" s="1"/>
  <c r="N2748"/>
  <c r="K2748"/>
  <c r="S2747"/>
  <c r="U2747" s="1"/>
  <c r="O2747"/>
  <c r="P2747" s="1"/>
  <c r="N2747"/>
  <c r="K2747"/>
  <c r="O2746"/>
  <c r="P2746" s="1"/>
  <c r="N2746"/>
  <c r="K2746"/>
  <c r="O2745"/>
  <c r="P2745" s="1"/>
  <c r="N2745"/>
  <c r="K2745"/>
  <c r="N2744"/>
  <c r="J2744"/>
  <c r="O2744" s="1"/>
  <c r="P2744" s="1"/>
  <c r="N2743"/>
  <c r="J2743"/>
  <c r="O2743" s="1"/>
  <c r="P2743" s="1"/>
  <c r="O2742"/>
  <c r="P2742" s="1"/>
  <c r="N2742"/>
  <c r="K2742"/>
  <c r="O2741"/>
  <c r="P2741" s="1"/>
  <c r="N2741"/>
  <c r="K2741"/>
  <c r="O2740"/>
  <c r="P2740" s="1"/>
  <c r="N2740"/>
  <c r="K2740"/>
  <c r="S2739"/>
  <c r="U2739" s="1"/>
  <c r="O2739"/>
  <c r="P2739" s="1"/>
  <c r="N2739"/>
  <c r="K2739"/>
  <c r="S2738"/>
  <c r="U2738" s="1"/>
  <c r="O2738"/>
  <c r="P2738" s="1"/>
  <c r="N2738"/>
  <c r="K2738"/>
  <c r="S2737"/>
  <c r="U2737" s="1"/>
  <c r="O2737"/>
  <c r="P2737" s="1"/>
  <c r="N2737"/>
  <c r="K2737"/>
  <c r="S2736"/>
  <c r="U2736" s="1"/>
  <c r="O2736"/>
  <c r="P2736" s="1"/>
  <c r="N2736"/>
  <c r="K2736"/>
  <c r="S2735"/>
  <c r="U2735" s="1"/>
  <c r="O2735"/>
  <c r="P2735" s="1"/>
  <c r="N2735"/>
  <c r="K2735"/>
  <c r="S2734"/>
  <c r="U2734" s="1"/>
  <c r="O2734"/>
  <c r="P2734" s="1"/>
  <c r="N2734"/>
  <c r="K2734"/>
  <c r="M2733"/>
  <c r="N2733" s="1"/>
  <c r="J2733"/>
  <c r="M2732"/>
  <c r="M2756" s="1"/>
  <c r="J2732"/>
  <c r="N2731"/>
  <c r="J2731"/>
  <c r="J2756" s="1"/>
  <c r="S2730"/>
  <c r="U2730" s="1"/>
  <c r="O2730"/>
  <c r="N2730"/>
  <c r="K2730"/>
  <c r="O2732" l="1"/>
  <c r="P2732" s="1"/>
  <c r="O2733"/>
  <c r="P2733" s="1"/>
  <c r="U2756"/>
  <c r="K2732"/>
  <c r="N2732"/>
  <c r="N2756" s="1"/>
  <c r="K2733"/>
  <c r="K2743"/>
  <c r="O2796"/>
  <c r="N2796"/>
  <c r="N2815" s="1"/>
  <c r="K2797"/>
  <c r="K2815" s="1"/>
  <c r="O2797"/>
  <c r="P2797" s="1"/>
  <c r="P2730"/>
  <c r="K2731"/>
  <c r="O2731"/>
  <c r="P2731" s="1"/>
  <c r="K2744"/>
  <c r="K2756" l="1"/>
  <c r="O2756"/>
  <c r="O2815"/>
  <c r="P2796"/>
  <c r="P2815" s="1"/>
  <c r="P2756"/>
  <c r="R2726" l="1"/>
  <c r="O2726"/>
  <c r="R2713"/>
  <c r="O2713"/>
  <c r="R2695" l="1"/>
  <c r="O2695"/>
  <c r="T2675"/>
  <c r="O2674"/>
  <c r="P2674" s="1"/>
  <c r="N2674"/>
  <c r="K2674"/>
  <c r="O2673"/>
  <c r="P2673" s="1"/>
  <c r="N2673"/>
  <c r="K2673"/>
  <c r="M2672"/>
  <c r="O2672" s="1"/>
  <c r="P2672" s="1"/>
  <c r="K2672"/>
  <c r="O2671"/>
  <c r="P2671" s="1"/>
  <c r="N2671"/>
  <c r="K2671"/>
  <c r="O2670"/>
  <c r="P2670" s="1"/>
  <c r="N2670"/>
  <c r="K2670"/>
  <c r="O2669"/>
  <c r="P2669" s="1"/>
  <c r="N2669"/>
  <c r="K2669"/>
  <c r="O2668"/>
  <c r="P2668" s="1"/>
  <c r="N2668"/>
  <c r="K2668"/>
  <c r="O2667"/>
  <c r="P2667" s="1"/>
  <c r="N2667"/>
  <c r="K2667"/>
  <c r="O2666"/>
  <c r="P2666" s="1"/>
  <c r="N2666"/>
  <c r="K2666"/>
  <c r="O2665"/>
  <c r="P2665" s="1"/>
  <c r="N2665"/>
  <c r="K2665"/>
  <c r="O2664"/>
  <c r="P2664" s="1"/>
  <c r="N2664"/>
  <c r="K2664"/>
  <c r="O2663"/>
  <c r="P2663" s="1"/>
  <c r="N2663"/>
  <c r="K2663"/>
  <c r="O2662"/>
  <c r="P2662" s="1"/>
  <c r="N2662"/>
  <c r="K2662"/>
  <c r="O2661"/>
  <c r="P2661" s="1"/>
  <c r="N2661"/>
  <c r="K2661"/>
  <c r="O2660"/>
  <c r="P2660" s="1"/>
  <c r="N2660"/>
  <c r="K2660"/>
  <c r="O2659"/>
  <c r="P2659" s="1"/>
  <c r="N2659"/>
  <c r="K2659"/>
  <c r="O2658"/>
  <c r="P2658" s="1"/>
  <c r="N2658"/>
  <c r="K2658"/>
  <c r="O2657"/>
  <c r="P2657" s="1"/>
  <c r="N2657"/>
  <c r="K2657"/>
  <c r="O2656"/>
  <c r="P2656" s="1"/>
  <c r="N2656"/>
  <c r="K2656"/>
  <c r="O2655"/>
  <c r="P2655" s="1"/>
  <c r="N2655"/>
  <c r="K2655"/>
  <c r="O2654"/>
  <c r="P2654" s="1"/>
  <c r="N2654"/>
  <c r="K2654"/>
  <c r="O2653"/>
  <c r="P2653" s="1"/>
  <c r="N2653"/>
  <c r="K2653"/>
  <c r="M2652"/>
  <c r="O2652" s="1"/>
  <c r="P2652" s="1"/>
  <c r="K2652"/>
  <c r="O2651"/>
  <c r="P2651" s="1"/>
  <c r="N2651"/>
  <c r="K2651"/>
  <c r="O2650"/>
  <c r="P2650" s="1"/>
  <c r="N2650"/>
  <c r="K2650"/>
  <c r="O2649"/>
  <c r="P2649" s="1"/>
  <c r="N2649"/>
  <c r="K2649"/>
  <c r="O2648"/>
  <c r="P2648" s="1"/>
  <c r="N2648"/>
  <c r="K2648"/>
  <c r="O2647"/>
  <c r="P2647" s="1"/>
  <c r="N2647"/>
  <c r="K2647"/>
  <c r="O2646"/>
  <c r="P2646" s="1"/>
  <c r="N2646"/>
  <c r="K2646"/>
  <c r="O2645"/>
  <c r="P2645" s="1"/>
  <c r="N2645"/>
  <c r="K2645"/>
  <c r="O2644"/>
  <c r="P2644" s="1"/>
  <c r="N2644"/>
  <c r="K2644"/>
  <c r="N2643"/>
  <c r="J2643"/>
  <c r="O2643" s="1"/>
  <c r="P2643" s="1"/>
  <c r="M2642"/>
  <c r="N2642" s="1"/>
  <c r="J2642"/>
  <c r="K2642" s="1"/>
  <c r="N2641"/>
  <c r="J2641"/>
  <c r="O2641" s="1"/>
  <c r="P2641" s="1"/>
  <c r="O2640"/>
  <c r="P2640" s="1"/>
  <c r="N2640"/>
  <c r="K2640"/>
  <c r="M2639"/>
  <c r="J2639"/>
  <c r="N2638"/>
  <c r="J2638"/>
  <c r="S68" i="37"/>
  <c r="J2675" i="36" l="1"/>
  <c r="M2675"/>
  <c r="O2639"/>
  <c r="P2639" s="1"/>
  <c r="K2639"/>
  <c r="N2639"/>
  <c r="K2641"/>
  <c r="N2672"/>
  <c r="O2642"/>
  <c r="P2642" s="1"/>
  <c r="K2638"/>
  <c r="O2638"/>
  <c r="K2643"/>
  <c r="N2652"/>
  <c r="N2675" l="1"/>
  <c r="O2675"/>
  <c r="P2638"/>
  <c r="P2675" s="1"/>
  <c r="K2675"/>
  <c r="L35" i="37" l="1"/>
  <c r="R2636" i="36" l="1"/>
  <c r="M2636"/>
  <c r="N2635"/>
  <c r="J2635"/>
  <c r="O2635" s="1"/>
  <c r="P2635" s="1"/>
  <c r="O2634"/>
  <c r="P2634" s="1"/>
  <c r="N2634"/>
  <c r="K2634"/>
  <c r="O2633"/>
  <c r="P2633" s="1"/>
  <c r="N2633"/>
  <c r="K2633"/>
  <c r="O2632"/>
  <c r="P2632" s="1"/>
  <c r="N2632"/>
  <c r="K2632"/>
  <c r="R2596"/>
  <c r="O2596"/>
  <c r="N2636" l="1"/>
  <c r="P2636"/>
  <c r="J2636"/>
  <c r="K2635"/>
  <c r="K2636" s="1"/>
  <c r="O2636"/>
  <c r="R2562"/>
  <c r="O2562"/>
  <c r="R2471"/>
  <c r="O2535" l="1"/>
  <c r="P2535" s="1"/>
  <c r="N2535"/>
  <c r="K2535"/>
  <c r="O2534"/>
  <c r="P2534" s="1"/>
  <c r="N2534"/>
  <c r="K2534"/>
  <c r="O2533"/>
  <c r="P2533" s="1"/>
  <c r="N2533"/>
  <c r="K2533"/>
  <c r="O2532"/>
  <c r="P2532" s="1"/>
  <c r="N2532"/>
  <c r="K2532"/>
  <c r="O2531"/>
  <c r="P2531" s="1"/>
  <c r="N2531"/>
  <c r="K2531"/>
  <c r="O2528"/>
  <c r="P2528" s="1"/>
  <c r="N2528"/>
  <c r="K2528"/>
  <c r="O2527"/>
  <c r="P2527" s="1"/>
  <c r="N2527"/>
  <c r="K2527"/>
  <c r="Q2557" i="35"/>
  <c r="Q2556"/>
  <c r="Q2488"/>
  <c r="Q2464"/>
  <c r="Q2463"/>
  <c r="Q2380"/>
  <c r="Q2379"/>
  <c r="Q2364"/>
  <c r="Q2363"/>
  <c r="Q2357"/>
  <c r="Q2356"/>
  <c r="Q2333"/>
  <c r="Q2332"/>
  <c r="Q2323"/>
  <c r="Q2304"/>
  <c r="Q2110"/>
  <c r="Q586"/>
  <c r="S318" i="40"/>
  <c r="L294"/>
  <c r="R297"/>
  <c r="V297" s="1"/>
  <c r="L295"/>
  <c r="R317"/>
  <c r="T317" s="1"/>
  <c r="R316"/>
  <c r="V316" s="1"/>
  <c r="R315"/>
  <c r="V315" s="1"/>
  <c r="R314"/>
  <c r="V314" s="1"/>
  <c r="R313"/>
  <c r="V313" s="1"/>
  <c r="R309"/>
  <c r="V309" s="1"/>
  <c r="R301"/>
  <c r="V301" s="1"/>
  <c r="R300"/>
  <c r="V300" s="1"/>
  <c r="R299"/>
  <c r="V299" s="1"/>
  <c r="R298"/>
  <c r="V298" s="1"/>
  <c r="R296"/>
  <c r="T296" s="1"/>
  <c r="R292"/>
  <c r="T292" s="1"/>
  <c r="L205" i="42"/>
  <c r="N205" s="1"/>
  <c r="O205" s="1"/>
  <c r="J213"/>
  <c r="J212"/>
  <c r="I214"/>
  <c r="L214"/>
  <c r="N213"/>
  <c r="O213" s="1"/>
  <c r="M213"/>
  <c r="N212"/>
  <c r="O212" s="1"/>
  <c r="M212"/>
  <c r="N211"/>
  <c r="O211" s="1"/>
  <c r="M211"/>
  <c r="J211"/>
  <c r="N210"/>
  <c r="O210" s="1"/>
  <c r="M210"/>
  <c r="J210"/>
  <c r="N209"/>
  <c r="O209" s="1"/>
  <c r="M209"/>
  <c r="J209"/>
  <c r="N208"/>
  <c r="O208" s="1"/>
  <c r="M208"/>
  <c r="J208"/>
  <c r="N207"/>
  <c r="O207" s="1"/>
  <c r="M207"/>
  <c r="J207"/>
  <c r="N206"/>
  <c r="O206" s="1"/>
  <c r="M206"/>
  <c r="J206"/>
  <c r="M205"/>
  <c r="J205"/>
  <c r="N204"/>
  <c r="O204" s="1"/>
  <c r="M204"/>
  <c r="J204"/>
  <c r="N203"/>
  <c r="O203" s="1"/>
  <c r="M203"/>
  <c r="J203"/>
  <c r="N202"/>
  <c r="O202" s="1"/>
  <c r="M202"/>
  <c r="J202"/>
  <c r="N201"/>
  <c r="O201" s="1"/>
  <c r="M201"/>
  <c r="J201"/>
  <c r="N200"/>
  <c r="O200" s="1"/>
  <c r="M200"/>
  <c r="J200"/>
  <c r="N199"/>
  <c r="O199" s="1"/>
  <c r="M199"/>
  <c r="J199"/>
  <c r="N198"/>
  <c r="O198" s="1"/>
  <c r="M198"/>
  <c r="J198"/>
  <c r="N197"/>
  <c r="O197" s="1"/>
  <c r="M197"/>
  <c r="J197"/>
  <c r="N196"/>
  <c r="O196" s="1"/>
  <c r="M196"/>
  <c r="J196"/>
  <c r="N195"/>
  <c r="O195" s="1"/>
  <c r="M195"/>
  <c r="J195"/>
  <c r="N194"/>
  <c r="O194" s="1"/>
  <c r="M194"/>
  <c r="J194"/>
  <c r="N193"/>
  <c r="O193" s="1"/>
  <c r="M193"/>
  <c r="J193"/>
  <c r="N192"/>
  <c r="O192" s="1"/>
  <c r="M192"/>
  <c r="J192"/>
  <c r="N191"/>
  <c r="O191" s="1"/>
  <c r="M191"/>
  <c r="J191"/>
  <c r="N190"/>
  <c r="O190" s="1"/>
  <c r="M190"/>
  <c r="J190"/>
  <c r="N189"/>
  <c r="O189" s="1"/>
  <c r="M189"/>
  <c r="J189"/>
  <c r="N188"/>
  <c r="O188" s="1"/>
  <c r="M188"/>
  <c r="J188"/>
  <c r="N187"/>
  <c r="O187" s="1"/>
  <c r="M187"/>
  <c r="J187"/>
  <c r="N186"/>
  <c r="O186" s="1"/>
  <c r="M186"/>
  <c r="J186"/>
  <c r="N185"/>
  <c r="O185" s="1"/>
  <c r="M185"/>
  <c r="J185"/>
  <c r="N184"/>
  <c r="O184" s="1"/>
  <c r="M184"/>
  <c r="J184"/>
  <c r="N183"/>
  <c r="O183" s="1"/>
  <c r="M183"/>
  <c r="J183"/>
  <c r="N182"/>
  <c r="O182" s="1"/>
  <c r="M182"/>
  <c r="J182"/>
  <c r="N181"/>
  <c r="O181" s="1"/>
  <c r="M181"/>
  <c r="J181"/>
  <c r="N180"/>
  <c r="M180"/>
  <c r="J180"/>
  <c r="N179"/>
  <c r="O179" s="1"/>
  <c r="M179"/>
  <c r="J179"/>
  <c r="N178"/>
  <c r="O178" s="1"/>
  <c r="M178"/>
  <c r="J178"/>
  <c r="N177"/>
  <c r="O177" s="1"/>
  <c r="M177"/>
  <c r="J177"/>
  <c r="N176"/>
  <c r="O176" s="1"/>
  <c r="M176"/>
  <c r="J176"/>
  <c r="N175"/>
  <c r="O175" s="1"/>
  <c r="M175"/>
  <c r="J175"/>
  <c r="N174"/>
  <c r="O174" s="1"/>
  <c r="M174"/>
  <c r="J174"/>
  <c r="N173"/>
  <c r="O173" s="1"/>
  <c r="M173"/>
  <c r="J173"/>
  <c r="N172"/>
  <c r="O172" s="1"/>
  <c r="M172"/>
  <c r="J172"/>
  <c r="N171"/>
  <c r="O171" s="1"/>
  <c r="M171"/>
  <c r="J171"/>
  <c r="N170"/>
  <c r="O170" s="1"/>
  <c r="M170"/>
  <c r="J170"/>
  <c r="N169"/>
  <c r="O169" s="1"/>
  <c r="M169"/>
  <c r="J169"/>
  <c r="T297" i="40" l="1"/>
  <c r="T299"/>
  <c r="T301"/>
  <c r="T313"/>
  <c r="T315"/>
  <c r="V292"/>
  <c r="V317"/>
  <c r="T298"/>
  <c r="T300"/>
  <c r="T309"/>
  <c r="T314"/>
  <c r="T316"/>
  <c r="V296"/>
  <c r="O180" i="42"/>
  <c r="O214" s="1"/>
  <c r="N214"/>
  <c r="J214"/>
  <c r="M214"/>
  <c r="L560" i="38"/>
  <c r="I560"/>
  <c r="N559"/>
  <c r="O559" s="1"/>
  <c r="N558"/>
  <c r="O558" s="1"/>
  <c r="M559"/>
  <c r="J559"/>
  <c r="M558"/>
  <c r="J558"/>
  <c r="N557"/>
  <c r="O557" s="1"/>
  <c r="M557"/>
  <c r="J557"/>
  <c r="N556"/>
  <c r="O556" s="1"/>
  <c r="M556"/>
  <c r="J556"/>
  <c r="N555"/>
  <c r="O555" s="1"/>
  <c r="M555"/>
  <c r="J555"/>
  <c r="N554"/>
  <c r="O554" s="1"/>
  <c r="M554"/>
  <c r="J554"/>
  <c r="N553"/>
  <c r="O553" s="1"/>
  <c r="M553"/>
  <c r="J553"/>
  <c r="N552"/>
  <c r="O552" s="1"/>
  <c r="M552"/>
  <c r="J552"/>
  <c r="N551"/>
  <c r="O551" s="1"/>
  <c r="M551"/>
  <c r="J551"/>
  <c r="N550"/>
  <c r="O550" s="1"/>
  <c r="M550"/>
  <c r="J550"/>
  <c r="N549"/>
  <c r="O549" s="1"/>
  <c r="M549"/>
  <c r="J549"/>
  <c r="N548"/>
  <c r="O548" s="1"/>
  <c r="M548"/>
  <c r="J548"/>
  <c r="L498"/>
  <c r="T318" i="40" l="1"/>
  <c r="V318"/>
  <c r="J560" i="38"/>
  <c r="M560"/>
  <c r="O560"/>
  <c r="N560"/>
  <c r="L516" l="1"/>
  <c r="I516"/>
  <c r="N515"/>
  <c r="O515" s="1"/>
  <c r="M515"/>
  <c r="J515"/>
  <c r="N514"/>
  <c r="O514" s="1"/>
  <c r="M514"/>
  <c r="J514"/>
  <c r="N513"/>
  <c r="O513" s="1"/>
  <c r="M513"/>
  <c r="J513"/>
  <c r="N512"/>
  <c r="O512" s="1"/>
  <c r="M512"/>
  <c r="J512"/>
  <c r="N511"/>
  <c r="O511" s="1"/>
  <c r="M511"/>
  <c r="J511"/>
  <c r="N510"/>
  <c r="O510" s="1"/>
  <c r="M510"/>
  <c r="J510"/>
  <c r="N509"/>
  <c r="O509" s="1"/>
  <c r="M509"/>
  <c r="J509"/>
  <c r="N508"/>
  <c r="O508" s="1"/>
  <c r="M508"/>
  <c r="J508"/>
  <c r="N507"/>
  <c r="O507" s="1"/>
  <c r="M507"/>
  <c r="J507"/>
  <c r="N506"/>
  <c r="O506" s="1"/>
  <c r="M506"/>
  <c r="J506"/>
  <c r="N505"/>
  <c r="O505" s="1"/>
  <c r="M505"/>
  <c r="J505"/>
  <c r="M504"/>
  <c r="N504"/>
  <c r="O504" s="1"/>
  <c r="N503"/>
  <c r="O503" s="1"/>
  <c r="M503"/>
  <c r="J503"/>
  <c r="M502"/>
  <c r="N502"/>
  <c r="O502" s="1"/>
  <c r="N501"/>
  <c r="O501" s="1"/>
  <c r="M501"/>
  <c r="J501"/>
  <c r="M500"/>
  <c r="N500"/>
  <c r="O500" s="1"/>
  <c r="N499"/>
  <c r="O499" s="1"/>
  <c r="M499"/>
  <c r="J499"/>
  <c r="M498"/>
  <c r="N498"/>
  <c r="O498" s="1"/>
  <c r="N497"/>
  <c r="O497" s="1"/>
  <c r="M497"/>
  <c r="J497"/>
  <c r="M496"/>
  <c r="N496"/>
  <c r="O496" s="1"/>
  <c r="N495"/>
  <c r="O495" s="1"/>
  <c r="M495"/>
  <c r="J495"/>
  <c r="M494"/>
  <c r="N494"/>
  <c r="O494" s="1"/>
  <c r="N493"/>
  <c r="O493" s="1"/>
  <c r="M493"/>
  <c r="J493"/>
  <c r="M492"/>
  <c r="N492"/>
  <c r="O492" s="1"/>
  <c r="N491"/>
  <c r="O491" s="1"/>
  <c r="M491"/>
  <c r="J491"/>
  <c r="M490"/>
  <c r="N490"/>
  <c r="O490" s="1"/>
  <c r="M489"/>
  <c r="M516" l="1"/>
  <c r="J490"/>
  <c r="J492"/>
  <c r="J494"/>
  <c r="J496"/>
  <c r="J498"/>
  <c r="J500"/>
  <c r="J502"/>
  <c r="J504"/>
  <c r="J489"/>
  <c r="N489"/>
  <c r="N516" s="1"/>
  <c r="J516" l="1"/>
  <c r="O489"/>
  <c r="O516" s="1"/>
  <c r="L282" i="40" l="1"/>
  <c r="L290" s="1"/>
  <c r="M281" i="39"/>
  <c r="J281"/>
  <c r="O280"/>
  <c r="P280" s="1"/>
  <c r="N280"/>
  <c r="K280"/>
  <c r="O279"/>
  <c r="P279" s="1"/>
  <c r="N279"/>
  <c r="K279"/>
  <c r="O278"/>
  <c r="P278" s="1"/>
  <c r="N278"/>
  <c r="K278"/>
  <c r="O277"/>
  <c r="P277" s="1"/>
  <c r="N277"/>
  <c r="K277"/>
  <c r="O276"/>
  <c r="P276" s="1"/>
  <c r="N276"/>
  <c r="K276"/>
  <c r="O275"/>
  <c r="P275" s="1"/>
  <c r="N275"/>
  <c r="K275"/>
  <c r="O274"/>
  <c r="P274" s="1"/>
  <c r="N274"/>
  <c r="K274"/>
  <c r="O273"/>
  <c r="P273" s="1"/>
  <c r="N273"/>
  <c r="K273"/>
  <c r="O272"/>
  <c r="P272" s="1"/>
  <c r="N272"/>
  <c r="K272"/>
  <c r="O271"/>
  <c r="P271" s="1"/>
  <c r="N271"/>
  <c r="K271"/>
  <c r="O270"/>
  <c r="P270" s="1"/>
  <c r="N270"/>
  <c r="K270"/>
  <c r="O269"/>
  <c r="P269" s="1"/>
  <c r="N269"/>
  <c r="K269"/>
  <c r="O268"/>
  <c r="P268" s="1"/>
  <c r="N268"/>
  <c r="K268"/>
  <c r="O267"/>
  <c r="P267" s="1"/>
  <c r="N267"/>
  <c r="K267"/>
  <c r="O266"/>
  <c r="P266" s="1"/>
  <c r="N266"/>
  <c r="K266"/>
  <c r="O265"/>
  <c r="P265" s="1"/>
  <c r="N265"/>
  <c r="K265"/>
  <c r="O264"/>
  <c r="P264" s="1"/>
  <c r="N264"/>
  <c r="K264"/>
  <c r="O263"/>
  <c r="P263" s="1"/>
  <c r="N263"/>
  <c r="K263"/>
  <c r="O262"/>
  <c r="P262" s="1"/>
  <c r="N262"/>
  <c r="K262"/>
  <c r="O261"/>
  <c r="P261" s="1"/>
  <c r="N261"/>
  <c r="K261"/>
  <c r="O260"/>
  <c r="P260" s="1"/>
  <c r="N260"/>
  <c r="K260"/>
  <c r="O259"/>
  <c r="P259" s="1"/>
  <c r="N259"/>
  <c r="K259"/>
  <c r="O258"/>
  <c r="P258" s="1"/>
  <c r="N258"/>
  <c r="K258"/>
  <c r="O257"/>
  <c r="P257" s="1"/>
  <c r="N257"/>
  <c r="K257"/>
  <c r="O256"/>
  <c r="P256" s="1"/>
  <c r="N256"/>
  <c r="K256"/>
  <c r="O255"/>
  <c r="P255" s="1"/>
  <c r="N255"/>
  <c r="K255"/>
  <c r="O254"/>
  <c r="P254" s="1"/>
  <c r="N254"/>
  <c r="K254"/>
  <c r="O253"/>
  <c r="P253" s="1"/>
  <c r="N253"/>
  <c r="K253"/>
  <c r="O252"/>
  <c r="P252" s="1"/>
  <c r="N252"/>
  <c r="K252"/>
  <c r="O251"/>
  <c r="P251" s="1"/>
  <c r="N251"/>
  <c r="K251"/>
  <c r="O250"/>
  <c r="P250" s="1"/>
  <c r="N250"/>
  <c r="K250"/>
  <c r="O249"/>
  <c r="P249" s="1"/>
  <c r="N249"/>
  <c r="K249"/>
  <c r="O248"/>
  <c r="P248" s="1"/>
  <c r="N248"/>
  <c r="K248"/>
  <c r="O247"/>
  <c r="P247" s="1"/>
  <c r="N247"/>
  <c r="K247"/>
  <c r="O246"/>
  <c r="P246" s="1"/>
  <c r="N246"/>
  <c r="K246"/>
  <c r="O245"/>
  <c r="P245" s="1"/>
  <c r="N245"/>
  <c r="K245"/>
  <c r="O244"/>
  <c r="P244" s="1"/>
  <c r="N244"/>
  <c r="K244"/>
  <c r="O243"/>
  <c r="P243" s="1"/>
  <c r="N243"/>
  <c r="K243"/>
  <c r="O242"/>
  <c r="P242" s="1"/>
  <c r="N242"/>
  <c r="K242"/>
  <c r="O241"/>
  <c r="P241" s="1"/>
  <c r="N241"/>
  <c r="K241"/>
  <c r="O240"/>
  <c r="P240" s="1"/>
  <c r="N240"/>
  <c r="K240"/>
  <c r="O239"/>
  <c r="P239" s="1"/>
  <c r="P281" s="1"/>
  <c r="N239"/>
  <c r="K239"/>
  <c r="M199"/>
  <c r="M237"/>
  <c r="J237"/>
  <c r="O236"/>
  <c r="P236" s="1"/>
  <c r="N236"/>
  <c r="K236"/>
  <c r="O235"/>
  <c r="P235" s="1"/>
  <c r="N235"/>
  <c r="K235"/>
  <c r="O234"/>
  <c r="P234" s="1"/>
  <c r="N234"/>
  <c r="K234"/>
  <c r="O233"/>
  <c r="P233" s="1"/>
  <c r="N233"/>
  <c r="K233"/>
  <c r="O232"/>
  <c r="P232" s="1"/>
  <c r="N232"/>
  <c r="K232"/>
  <c r="O231"/>
  <c r="P231" s="1"/>
  <c r="N231"/>
  <c r="K231"/>
  <c r="O230"/>
  <c r="P230" s="1"/>
  <c r="N230"/>
  <c r="K230"/>
  <c r="O229"/>
  <c r="P229" s="1"/>
  <c r="N229"/>
  <c r="K229"/>
  <c r="O228"/>
  <c r="P228" s="1"/>
  <c r="N228"/>
  <c r="K228"/>
  <c r="O227"/>
  <c r="P227" s="1"/>
  <c r="N227"/>
  <c r="K227"/>
  <c r="O226"/>
  <c r="P226" s="1"/>
  <c r="N226"/>
  <c r="K226"/>
  <c r="O225"/>
  <c r="P225" s="1"/>
  <c r="N225"/>
  <c r="K225"/>
  <c r="O224"/>
  <c r="P224" s="1"/>
  <c r="N224"/>
  <c r="K224"/>
  <c r="O223"/>
  <c r="P223" s="1"/>
  <c r="N223"/>
  <c r="K223"/>
  <c r="O222"/>
  <c r="P222" s="1"/>
  <c r="N222"/>
  <c r="K222"/>
  <c r="O221"/>
  <c r="P221" s="1"/>
  <c r="N221"/>
  <c r="K221"/>
  <c r="O220"/>
  <c r="P220" s="1"/>
  <c r="N220"/>
  <c r="K220"/>
  <c r="O219"/>
  <c r="P219" s="1"/>
  <c r="N219"/>
  <c r="K219"/>
  <c r="O218"/>
  <c r="P218" s="1"/>
  <c r="N218"/>
  <c r="K218"/>
  <c r="O217"/>
  <c r="P217" s="1"/>
  <c r="N217"/>
  <c r="K217"/>
  <c r="O216"/>
  <c r="P216" s="1"/>
  <c r="N216"/>
  <c r="K216"/>
  <c r="O215"/>
  <c r="P215" s="1"/>
  <c r="N215"/>
  <c r="K215"/>
  <c r="O214"/>
  <c r="P214" s="1"/>
  <c r="N214"/>
  <c r="K214"/>
  <c r="O213"/>
  <c r="P213" s="1"/>
  <c r="N213"/>
  <c r="K213"/>
  <c r="O212"/>
  <c r="P212" s="1"/>
  <c r="N212"/>
  <c r="K212"/>
  <c r="O211"/>
  <c r="P211" s="1"/>
  <c r="N211"/>
  <c r="K211"/>
  <c r="O210"/>
  <c r="P210" s="1"/>
  <c r="N210"/>
  <c r="K210"/>
  <c r="O209"/>
  <c r="P209" s="1"/>
  <c r="N209"/>
  <c r="K209"/>
  <c r="O208"/>
  <c r="P208" s="1"/>
  <c r="N208"/>
  <c r="K208"/>
  <c r="O207"/>
  <c r="P207" s="1"/>
  <c r="N207"/>
  <c r="K207"/>
  <c r="O206"/>
  <c r="P206" s="1"/>
  <c r="N206"/>
  <c r="K206"/>
  <c r="O205"/>
  <c r="P205" s="1"/>
  <c r="N205"/>
  <c r="K205"/>
  <c r="O204"/>
  <c r="P204" s="1"/>
  <c r="N204"/>
  <c r="K204"/>
  <c r="O203"/>
  <c r="P203" s="1"/>
  <c r="N203"/>
  <c r="K203"/>
  <c r="O202"/>
  <c r="P202" s="1"/>
  <c r="N202"/>
  <c r="K202"/>
  <c r="O201"/>
  <c r="P201" s="1"/>
  <c r="N201"/>
  <c r="K201"/>
  <c r="O200"/>
  <c r="P200" s="1"/>
  <c r="N200"/>
  <c r="K200"/>
  <c r="O199"/>
  <c r="P199" s="1"/>
  <c r="N199"/>
  <c r="K199"/>
  <c r="O198"/>
  <c r="P198" s="1"/>
  <c r="N198"/>
  <c r="K198"/>
  <c r="O197"/>
  <c r="P197" s="1"/>
  <c r="N197"/>
  <c r="K197"/>
  <c r="O196"/>
  <c r="P196" s="1"/>
  <c r="N196"/>
  <c r="K196"/>
  <c r="O195"/>
  <c r="P195" s="1"/>
  <c r="N195"/>
  <c r="K195"/>
  <c r="O194"/>
  <c r="P194" s="1"/>
  <c r="N194"/>
  <c r="K194"/>
  <c r="K237" l="1"/>
  <c r="K281"/>
  <c r="O281"/>
  <c r="N281"/>
  <c r="P237"/>
  <c r="N237"/>
  <c r="O237"/>
  <c r="R1112" i="35" l="1"/>
  <c r="R2517" i="36" l="1"/>
  <c r="O2517"/>
  <c r="J2471" l="1"/>
  <c r="O2470"/>
  <c r="P2470" s="1"/>
  <c r="N2470"/>
  <c r="K2470"/>
  <c r="M2469"/>
  <c r="M2471" s="1"/>
  <c r="K2469"/>
  <c r="O2468"/>
  <c r="P2468" s="1"/>
  <c r="N2468"/>
  <c r="K2468"/>
  <c r="L177" i="43"/>
  <c r="R2491" i="36"/>
  <c r="M2491"/>
  <c r="J2491"/>
  <c r="O2490"/>
  <c r="P2490" s="1"/>
  <c r="N2490"/>
  <c r="K2490"/>
  <c r="O2489"/>
  <c r="P2489" s="1"/>
  <c r="N2489"/>
  <c r="K2489"/>
  <c r="O2488"/>
  <c r="N2488"/>
  <c r="K2488"/>
  <c r="L147" i="43"/>
  <c r="T2485" i="36"/>
  <c r="M2484"/>
  <c r="O2484" s="1"/>
  <c r="P2484" s="1"/>
  <c r="K2484"/>
  <c r="O2483"/>
  <c r="P2483" s="1"/>
  <c r="N2483"/>
  <c r="K2483"/>
  <c r="O2482"/>
  <c r="P2482" s="1"/>
  <c r="N2482"/>
  <c r="K2482"/>
  <c r="O2481"/>
  <c r="P2481" s="1"/>
  <c r="N2481"/>
  <c r="K2481"/>
  <c r="O2480"/>
  <c r="P2480" s="1"/>
  <c r="N2480"/>
  <c r="K2480"/>
  <c r="O2479"/>
  <c r="P2479" s="1"/>
  <c r="N2479"/>
  <c r="K2479"/>
  <c r="O2478"/>
  <c r="P2478" s="1"/>
  <c r="N2478"/>
  <c r="K2478"/>
  <c r="O2477"/>
  <c r="P2477" s="1"/>
  <c r="N2477"/>
  <c r="K2477"/>
  <c r="N2476"/>
  <c r="J2476"/>
  <c r="O2476" s="1"/>
  <c r="P2476" s="1"/>
  <c r="M2475"/>
  <c r="J2475"/>
  <c r="N2474"/>
  <c r="J2474"/>
  <c r="J2485" s="1"/>
  <c r="O2473"/>
  <c r="N2473"/>
  <c r="K2473"/>
  <c r="S142" i="43"/>
  <c r="L141"/>
  <c r="R2466" i="36"/>
  <c r="O2465"/>
  <c r="P2465" s="1"/>
  <c r="N2465"/>
  <c r="K2465"/>
  <c r="O2464"/>
  <c r="P2464" s="1"/>
  <c r="N2464"/>
  <c r="K2464"/>
  <c r="O2463"/>
  <c r="P2463" s="1"/>
  <c r="N2463"/>
  <c r="K2463"/>
  <c r="O2462"/>
  <c r="P2462" s="1"/>
  <c r="N2462"/>
  <c r="K2462"/>
  <c r="O2461"/>
  <c r="P2461" s="1"/>
  <c r="N2461"/>
  <c r="K2461"/>
  <c r="O2460"/>
  <c r="P2460" s="1"/>
  <c r="N2460"/>
  <c r="K2460"/>
  <c r="O2459"/>
  <c r="P2459" s="1"/>
  <c r="N2459"/>
  <c r="K2459"/>
  <c r="O2458"/>
  <c r="P2458" s="1"/>
  <c r="N2458"/>
  <c r="K2458"/>
  <c r="O2457"/>
  <c r="P2457" s="1"/>
  <c r="N2457"/>
  <c r="K2457"/>
  <c r="O2456"/>
  <c r="P2456" s="1"/>
  <c r="N2456"/>
  <c r="K2456"/>
  <c r="O2455"/>
  <c r="P2455" s="1"/>
  <c r="N2455"/>
  <c r="K2455"/>
  <c r="O2454"/>
  <c r="P2454" s="1"/>
  <c r="N2454"/>
  <c r="K2454"/>
  <c r="O2453"/>
  <c r="P2453" s="1"/>
  <c r="N2453"/>
  <c r="K2453"/>
  <c r="O2452"/>
  <c r="P2452" s="1"/>
  <c r="N2452"/>
  <c r="K2452"/>
  <c r="O2451"/>
  <c r="P2451" s="1"/>
  <c r="N2451"/>
  <c r="K2451"/>
  <c r="N2450"/>
  <c r="J2450"/>
  <c r="O2450" s="1"/>
  <c r="P2450" s="1"/>
  <c r="M2449"/>
  <c r="M2466" s="1"/>
  <c r="J2449"/>
  <c r="R2446"/>
  <c r="M2446"/>
  <c r="O2445"/>
  <c r="P2445" s="1"/>
  <c r="N2445"/>
  <c r="K2445"/>
  <c r="O2444"/>
  <c r="P2444" s="1"/>
  <c r="N2444"/>
  <c r="K2444"/>
  <c r="O2443"/>
  <c r="P2443" s="1"/>
  <c r="N2443"/>
  <c r="K2443"/>
  <c r="O2442"/>
  <c r="P2442" s="1"/>
  <c r="N2442"/>
  <c r="K2442"/>
  <c r="N2441"/>
  <c r="J2441"/>
  <c r="J2446" s="1"/>
  <c r="O2440"/>
  <c r="N2440"/>
  <c r="K2440"/>
  <c r="Q51" i="43"/>
  <c r="R2437" i="36"/>
  <c r="O2436"/>
  <c r="P2436" s="1"/>
  <c r="N2436"/>
  <c r="K2436"/>
  <c r="O2435"/>
  <c r="P2435" s="1"/>
  <c r="N2435"/>
  <c r="K2435"/>
  <c r="M2434"/>
  <c r="O2434" s="1"/>
  <c r="P2434" s="1"/>
  <c r="K2434"/>
  <c r="N2433"/>
  <c r="J2433"/>
  <c r="O2433" s="1"/>
  <c r="P2433" s="1"/>
  <c r="M2432"/>
  <c r="M2437" s="1"/>
  <c r="J2432"/>
  <c r="J2437" s="1"/>
  <c r="L40" i="43"/>
  <c r="O2475" i="36" l="1"/>
  <c r="P2475" s="1"/>
  <c r="N2491"/>
  <c r="K2471"/>
  <c r="O2449"/>
  <c r="O2466" s="1"/>
  <c r="M2485"/>
  <c r="O2491"/>
  <c r="K2491"/>
  <c r="N2475"/>
  <c r="K2476"/>
  <c r="K2475"/>
  <c r="N2446"/>
  <c r="K2449"/>
  <c r="N2449"/>
  <c r="N2466" s="1"/>
  <c r="K2450"/>
  <c r="J2466"/>
  <c r="N2484"/>
  <c r="N2485" s="1"/>
  <c r="N2469"/>
  <c r="N2471" s="1"/>
  <c r="O2469"/>
  <c r="P2488"/>
  <c r="P2491" s="1"/>
  <c r="P2473"/>
  <c r="K2474"/>
  <c r="O2474"/>
  <c r="P2474" s="1"/>
  <c r="P2449"/>
  <c r="P2466" s="1"/>
  <c r="P2440"/>
  <c r="K2441"/>
  <c r="K2446" s="1"/>
  <c r="O2441"/>
  <c r="P2441" s="1"/>
  <c r="K2432"/>
  <c r="N2432"/>
  <c r="K2433"/>
  <c r="N2434"/>
  <c r="O2432"/>
  <c r="K2485" l="1"/>
  <c r="O2446"/>
  <c r="O2485"/>
  <c r="K2466"/>
  <c r="O2471"/>
  <c r="P2469"/>
  <c r="P2471" s="1"/>
  <c r="P2485"/>
  <c r="P2446"/>
  <c r="O2437"/>
  <c r="P2432"/>
  <c r="P2437" s="1"/>
  <c r="N2437"/>
  <c r="K2437"/>
  <c r="R2426" l="1"/>
  <c r="J2405"/>
  <c r="K2405" s="1"/>
  <c r="N2405"/>
  <c r="K2406"/>
  <c r="N2406"/>
  <c r="O2406"/>
  <c r="P2406" s="1"/>
  <c r="K2407"/>
  <c r="N2407"/>
  <c r="O2407"/>
  <c r="P2407" s="1"/>
  <c r="K2408"/>
  <c r="N2408"/>
  <c r="O2408"/>
  <c r="P2408" s="1"/>
  <c r="K2409"/>
  <c r="N2409"/>
  <c r="O2409"/>
  <c r="P2409" s="1"/>
  <c r="K2410"/>
  <c r="N2410"/>
  <c r="O2410"/>
  <c r="P2410" s="1"/>
  <c r="M2411"/>
  <c r="R2411"/>
  <c r="O2425"/>
  <c r="P2425" s="1"/>
  <c r="N2425"/>
  <c r="K2425"/>
  <c r="O2424"/>
  <c r="P2424" s="1"/>
  <c r="N2424"/>
  <c r="K2424"/>
  <c r="O2423"/>
  <c r="P2423" s="1"/>
  <c r="N2423"/>
  <c r="K2423"/>
  <c r="O2422"/>
  <c r="P2422" s="1"/>
  <c r="N2422"/>
  <c r="K2422"/>
  <c r="N2421"/>
  <c r="J2421"/>
  <c r="O2421" s="1"/>
  <c r="P2421" s="1"/>
  <c r="O2420"/>
  <c r="P2420" s="1"/>
  <c r="N2420"/>
  <c r="K2420"/>
  <c r="M2419"/>
  <c r="N2419" s="1"/>
  <c r="J2419"/>
  <c r="O2418"/>
  <c r="P2418" s="1"/>
  <c r="N2418"/>
  <c r="K2418"/>
  <c r="M2417"/>
  <c r="J2417"/>
  <c r="N2416"/>
  <c r="J2416"/>
  <c r="N2415"/>
  <c r="J2415"/>
  <c r="O2415" s="1"/>
  <c r="O2414"/>
  <c r="P2414" s="1"/>
  <c r="N2414"/>
  <c r="K2414"/>
  <c r="O2428"/>
  <c r="P2428" s="1"/>
  <c r="N2428"/>
  <c r="K2428"/>
  <c r="M2426" l="1"/>
  <c r="O2419"/>
  <c r="P2419" s="1"/>
  <c r="N2411"/>
  <c r="O2417"/>
  <c r="P2417" s="1"/>
  <c r="J2411"/>
  <c r="O2405"/>
  <c r="K2415"/>
  <c r="K2417"/>
  <c r="N2417"/>
  <c r="N2426" s="1"/>
  <c r="K2419"/>
  <c r="K2421"/>
  <c r="K2411"/>
  <c r="J2426"/>
  <c r="P2415"/>
  <c r="K2416"/>
  <c r="O2416"/>
  <c r="P2416" s="1"/>
  <c r="P2405" l="1"/>
  <c r="P2411" s="1"/>
  <c r="O2411"/>
  <c r="K2426"/>
  <c r="P2426"/>
  <c r="O2426"/>
  <c r="L74" i="43" l="1"/>
  <c r="L53"/>
  <c r="L104"/>
  <c r="I104"/>
  <c r="N103"/>
  <c r="O103" s="1"/>
  <c r="M103"/>
  <c r="J103"/>
  <c r="N102"/>
  <c r="O102" s="1"/>
  <c r="M102"/>
  <c r="J102"/>
  <c r="N101"/>
  <c r="O101" s="1"/>
  <c r="M101"/>
  <c r="J101"/>
  <c r="N100"/>
  <c r="O100" s="1"/>
  <c r="M100"/>
  <c r="J100"/>
  <c r="N99"/>
  <c r="O99" s="1"/>
  <c r="M99"/>
  <c r="J99"/>
  <c r="N98"/>
  <c r="O98" s="1"/>
  <c r="M98"/>
  <c r="J98"/>
  <c r="N97"/>
  <c r="O97" s="1"/>
  <c r="M97"/>
  <c r="J97"/>
  <c r="N96"/>
  <c r="O96" s="1"/>
  <c r="M96"/>
  <c r="J96"/>
  <c r="N95"/>
  <c r="O95" s="1"/>
  <c r="M95"/>
  <c r="J95"/>
  <c r="N94"/>
  <c r="O94" s="1"/>
  <c r="M94"/>
  <c r="J94"/>
  <c r="N93"/>
  <c r="O93" s="1"/>
  <c r="M93"/>
  <c r="J93"/>
  <c r="N92"/>
  <c r="O92" s="1"/>
  <c r="M92"/>
  <c r="J92"/>
  <c r="N91"/>
  <c r="O91" s="1"/>
  <c r="M91"/>
  <c r="J91"/>
  <c r="N90"/>
  <c r="O90" s="1"/>
  <c r="M90"/>
  <c r="J90"/>
  <c r="N89"/>
  <c r="O89" s="1"/>
  <c r="M89"/>
  <c r="J89"/>
  <c r="N88"/>
  <c r="O88" s="1"/>
  <c r="M88"/>
  <c r="J88"/>
  <c r="L139" i="49" l="1"/>
  <c r="N87" i="43"/>
  <c r="O87" s="1"/>
  <c r="M87"/>
  <c r="J87"/>
  <c r="N86"/>
  <c r="O86" s="1"/>
  <c r="M86"/>
  <c r="J86"/>
  <c r="N85"/>
  <c r="O85" s="1"/>
  <c r="M85"/>
  <c r="J85"/>
  <c r="N84"/>
  <c r="O84" s="1"/>
  <c r="M84"/>
  <c r="J84"/>
  <c r="N83"/>
  <c r="O83" s="1"/>
  <c r="M83"/>
  <c r="J83"/>
  <c r="N82"/>
  <c r="O82" s="1"/>
  <c r="M82"/>
  <c r="J82"/>
  <c r="N81"/>
  <c r="O81" s="1"/>
  <c r="M81"/>
  <c r="J81"/>
  <c r="N80"/>
  <c r="O80" s="1"/>
  <c r="M80"/>
  <c r="J80"/>
  <c r="N79"/>
  <c r="O79" s="1"/>
  <c r="M79"/>
  <c r="J79"/>
  <c r="N78"/>
  <c r="O78" s="1"/>
  <c r="M78"/>
  <c r="J78"/>
  <c r="N77"/>
  <c r="O77" s="1"/>
  <c r="M77"/>
  <c r="J77"/>
  <c r="N76"/>
  <c r="O76" s="1"/>
  <c r="M76"/>
  <c r="J76"/>
  <c r="N75"/>
  <c r="O75" s="1"/>
  <c r="M75"/>
  <c r="J75"/>
  <c r="N74"/>
  <c r="O74" s="1"/>
  <c r="M74"/>
  <c r="J74"/>
  <c r="N73"/>
  <c r="O73" s="1"/>
  <c r="M73"/>
  <c r="J73"/>
  <c r="N72"/>
  <c r="N104" s="1"/>
  <c r="M72"/>
  <c r="J72"/>
  <c r="J104" s="1"/>
  <c r="M104" l="1"/>
  <c r="O72"/>
  <c r="O104" s="1"/>
  <c r="T2374" i="36"/>
  <c r="M2374"/>
  <c r="J2374"/>
  <c r="O2373"/>
  <c r="P2373" s="1"/>
  <c r="N2373"/>
  <c r="K2373"/>
  <c r="O2372"/>
  <c r="P2372" s="1"/>
  <c r="N2372"/>
  <c r="K2372"/>
  <c r="O2371"/>
  <c r="P2371" s="1"/>
  <c r="N2371"/>
  <c r="K2371"/>
  <c r="O2370"/>
  <c r="P2370" s="1"/>
  <c r="N2370"/>
  <c r="K2370"/>
  <c r="O2369"/>
  <c r="P2369" s="1"/>
  <c r="N2369"/>
  <c r="K2369"/>
  <c r="O2368"/>
  <c r="P2368" s="1"/>
  <c r="N2368"/>
  <c r="K2368"/>
  <c r="O2367"/>
  <c r="P2367" s="1"/>
  <c r="N2367"/>
  <c r="K2367"/>
  <c r="O2366"/>
  <c r="P2366" s="1"/>
  <c r="N2366"/>
  <c r="K2366"/>
  <c r="O2365"/>
  <c r="P2365" s="1"/>
  <c r="N2365"/>
  <c r="K2365"/>
  <c r="O2364"/>
  <c r="N2364"/>
  <c r="K2364"/>
  <c r="T2361"/>
  <c r="O2361"/>
  <c r="P2361" s="1"/>
  <c r="N2361"/>
  <c r="K2361"/>
  <c r="O2360"/>
  <c r="P2360" s="1"/>
  <c r="N2360"/>
  <c r="K2360"/>
  <c r="O2359"/>
  <c r="P2359" s="1"/>
  <c r="N2359"/>
  <c r="K2359"/>
  <c r="M2358"/>
  <c r="N2358" s="1"/>
  <c r="J2358"/>
  <c r="M2357"/>
  <c r="N2357" s="1"/>
  <c r="J2357"/>
  <c r="M2356"/>
  <c r="N2356" s="1"/>
  <c r="J2356"/>
  <c r="K2356" s="1"/>
  <c r="N2355"/>
  <c r="J2355"/>
  <c r="O2355" s="1"/>
  <c r="P2355" s="1"/>
  <c r="M2354"/>
  <c r="N2354" s="1"/>
  <c r="J2354"/>
  <c r="N2353"/>
  <c r="J2353"/>
  <c r="O2353" s="1"/>
  <c r="P2353" s="1"/>
  <c r="M2352"/>
  <c r="N2352" s="1"/>
  <c r="J2352"/>
  <c r="K2352" s="1"/>
  <c r="M2351"/>
  <c r="M2362" s="1"/>
  <c r="J2351"/>
  <c r="N2350"/>
  <c r="J2350"/>
  <c r="O2350" s="1"/>
  <c r="P2350" s="1"/>
  <c r="N2349"/>
  <c r="J2349"/>
  <c r="O2349" s="1"/>
  <c r="P2349" s="1"/>
  <c r="N2348"/>
  <c r="J2348"/>
  <c r="O2348" s="1"/>
  <c r="P2348" s="1"/>
  <c r="N2347"/>
  <c r="J2347"/>
  <c r="J2362" s="1"/>
  <c r="L480" i="38"/>
  <c r="M480" s="1"/>
  <c r="L478"/>
  <c r="I480"/>
  <c r="N480" s="1"/>
  <c r="O480" s="1"/>
  <c r="I479"/>
  <c r="N479" s="1"/>
  <c r="O479" s="1"/>
  <c r="I478"/>
  <c r="I477"/>
  <c r="N485"/>
  <c r="O485" s="1"/>
  <c r="M485"/>
  <c r="J485"/>
  <c r="N484"/>
  <c r="O484" s="1"/>
  <c r="M484"/>
  <c r="J484"/>
  <c r="N483"/>
  <c r="O483" s="1"/>
  <c r="M483"/>
  <c r="J483"/>
  <c r="N482"/>
  <c r="O482" s="1"/>
  <c r="M482"/>
  <c r="J482"/>
  <c r="N481"/>
  <c r="O481" s="1"/>
  <c r="M481"/>
  <c r="J481"/>
  <c r="J480"/>
  <c r="M479"/>
  <c r="N478"/>
  <c r="O478" s="1"/>
  <c r="J478"/>
  <c r="M477"/>
  <c r="L451"/>
  <c r="L468"/>
  <c r="M1112" i="35"/>
  <c r="Q475" i="38"/>
  <c r="L465"/>
  <c r="L452"/>
  <c r="L464"/>
  <c r="L463"/>
  <c r="L450"/>
  <c r="L486" l="1"/>
  <c r="M478"/>
  <c r="M486" s="1"/>
  <c r="I486"/>
  <c r="N2374" i="36"/>
  <c r="O2351"/>
  <c r="P2351" s="1"/>
  <c r="J477" i="38"/>
  <c r="N477"/>
  <c r="O477" s="1"/>
  <c r="O486" s="1"/>
  <c r="J479"/>
  <c r="O2354" i="36"/>
  <c r="P2354" s="1"/>
  <c r="O2357"/>
  <c r="P2357" s="1"/>
  <c r="O2358"/>
  <c r="P2358" s="1"/>
  <c r="K2374"/>
  <c r="O2374"/>
  <c r="K2348"/>
  <c r="K2350"/>
  <c r="K2354"/>
  <c r="K2355"/>
  <c r="L475" i="38"/>
  <c r="P2364" i="36"/>
  <c r="P2374" s="1"/>
  <c r="O2352"/>
  <c r="P2352" s="1"/>
  <c r="O2356"/>
  <c r="P2356" s="1"/>
  <c r="K2347"/>
  <c r="O2347"/>
  <c r="K2349"/>
  <c r="K2351"/>
  <c r="N2351"/>
  <c r="N2362" s="1"/>
  <c r="K2353"/>
  <c r="K2357"/>
  <c r="K2358"/>
  <c r="N486" i="38"/>
  <c r="J486" l="1"/>
  <c r="O2362" i="36"/>
  <c r="P2347"/>
  <c r="P2362" s="1"/>
  <c r="K2362"/>
  <c r="J474" i="38"/>
  <c r="J473"/>
  <c r="J472"/>
  <c r="J471"/>
  <c r="J470"/>
  <c r="J469"/>
  <c r="J468"/>
  <c r="I465"/>
  <c r="I464"/>
  <c r="I463"/>
  <c r="N474"/>
  <c r="O474" s="1"/>
  <c r="M474"/>
  <c r="N473"/>
  <c r="O473" s="1"/>
  <c r="M473"/>
  <c r="N472"/>
  <c r="O472" s="1"/>
  <c r="M472"/>
  <c r="N471"/>
  <c r="O471" s="1"/>
  <c r="M471"/>
  <c r="N470"/>
  <c r="O470" s="1"/>
  <c r="M470"/>
  <c r="N469"/>
  <c r="O469" s="1"/>
  <c r="M469"/>
  <c r="N468"/>
  <c r="O468" s="1"/>
  <c r="M468"/>
  <c r="N467"/>
  <c r="O467" s="1"/>
  <c r="M467"/>
  <c r="J467"/>
  <c r="I452" l="1"/>
  <c r="N452" s="1"/>
  <c r="O452" s="1"/>
  <c r="I451"/>
  <c r="I450"/>
  <c r="N450" s="1"/>
  <c r="O450" s="1"/>
  <c r="N466"/>
  <c r="O466" s="1"/>
  <c r="M466"/>
  <c r="J466"/>
  <c r="N465"/>
  <c r="O465" s="1"/>
  <c r="M465"/>
  <c r="J465"/>
  <c r="N464"/>
  <c r="O464" s="1"/>
  <c r="M464"/>
  <c r="J464"/>
  <c r="N463"/>
  <c r="O463" s="1"/>
  <c r="M463"/>
  <c r="J463"/>
  <c r="N462"/>
  <c r="O462" s="1"/>
  <c r="M462"/>
  <c r="J462"/>
  <c r="N461"/>
  <c r="O461" s="1"/>
  <c r="M461"/>
  <c r="J461"/>
  <c r="N460"/>
  <c r="O460" s="1"/>
  <c r="M460"/>
  <c r="J460"/>
  <c r="N459"/>
  <c r="O459" s="1"/>
  <c r="M459"/>
  <c r="J459"/>
  <c r="N458"/>
  <c r="O458" s="1"/>
  <c r="M458"/>
  <c r="J458"/>
  <c r="N457"/>
  <c r="O457" s="1"/>
  <c r="M457"/>
  <c r="J457"/>
  <c r="N456"/>
  <c r="O456" s="1"/>
  <c r="M456"/>
  <c r="J456"/>
  <c r="N455"/>
  <c r="O455" s="1"/>
  <c r="M455"/>
  <c r="J455"/>
  <c r="N454"/>
  <c r="O454" s="1"/>
  <c r="M454"/>
  <c r="J454"/>
  <c r="N453"/>
  <c r="O453" s="1"/>
  <c r="M453"/>
  <c r="J453"/>
  <c r="M452"/>
  <c r="N451"/>
  <c r="M451"/>
  <c r="J451"/>
  <c r="M450"/>
  <c r="J450" l="1"/>
  <c r="J452"/>
  <c r="I475"/>
  <c r="N475"/>
  <c r="M475"/>
  <c r="O451"/>
  <c r="O475" s="1"/>
  <c r="J2379" i="36"/>
  <c r="M2379"/>
  <c r="J475" i="38" l="1"/>
  <c r="M2385" i="36"/>
  <c r="J2385"/>
  <c r="O2384"/>
  <c r="P2384" s="1"/>
  <c r="N2384"/>
  <c r="K2384"/>
  <c r="O2383"/>
  <c r="P2383" s="1"/>
  <c r="N2383"/>
  <c r="K2383"/>
  <c r="O2382"/>
  <c r="P2382" s="1"/>
  <c r="P2385" s="1"/>
  <c r="N2382"/>
  <c r="K2382"/>
  <c r="K2385" s="1"/>
  <c r="N2379"/>
  <c r="K2379"/>
  <c r="N2378"/>
  <c r="J2378"/>
  <c r="O2378" s="1"/>
  <c r="P2378" s="1"/>
  <c r="N272" i="37"/>
  <c r="O272" s="1"/>
  <c r="L268"/>
  <c r="L280"/>
  <c r="I280"/>
  <c r="N279"/>
  <c r="O279" s="1"/>
  <c r="M279"/>
  <c r="J279"/>
  <c r="N278"/>
  <c r="O278" s="1"/>
  <c r="M278"/>
  <c r="J278"/>
  <c r="N277"/>
  <c r="O277" s="1"/>
  <c r="M277"/>
  <c r="J277"/>
  <c r="N276"/>
  <c r="O276" s="1"/>
  <c r="M276"/>
  <c r="J276"/>
  <c r="N275"/>
  <c r="O275" s="1"/>
  <c r="M275"/>
  <c r="J275"/>
  <c r="N274"/>
  <c r="O274" s="1"/>
  <c r="M274"/>
  <c r="J274"/>
  <c r="N273"/>
  <c r="O273" s="1"/>
  <c r="M273"/>
  <c r="J273"/>
  <c r="M272"/>
  <c r="J272"/>
  <c r="N271"/>
  <c r="O271" s="1"/>
  <c r="M271"/>
  <c r="J271"/>
  <c r="N270"/>
  <c r="O270" s="1"/>
  <c r="M270"/>
  <c r="J270"/>
  <c r="N269"/>
  <c r="O269" s="1"/>
  <c r="M269"/>
  <c r="J269"/>
  <c r="N268"/>
  <c r="O268" s="1"/>
  <c r="M268"/>
  <c r="J268"/>
  <c r="N267"/>
  <c r="O267" s="1"/>
  <c r="M267"/>
  <c r="J267"/>
  <c r="L229"/>
  <c r="N229" s="1"/>
  <c r="O229" s="1"/>
  <c r="L262"/>
  <c r="I265"/>
  <c r="N264"/>
  <c r="O264" s="1"/>
  <c r="M264"/>
  <c r="J264"/>
  <c r="N263"/>
  <c r="O263" s="1"/>
  <c r="M263"/>
  <c r="J263"/>
  <c r="M262"/>
  <c r="J262"/>
  <c r="N261"/>
  <c r="O261" s="1"/>
  <c r="M261"/>
  <c r="J261"/>
  <c r="N260"/>
  <c r="O260" s="1"/>
  <c r="M260"/>
  <c r="J260"/>
  <c r="N259"/>
  <c r="O259" s="1"/>
  <c r="M259"/>
  <c r="J259"/>
  <c r="N258"/>
  <c r="O258" s="1"/>
  <c r="M258"/>
  <c r="J258"/>
  <c r="N257"/>
  <c r="O257" s="1"/>
  <c r="M257"/>
  <c r="J257"/>
  <c r="N256"/>
  <c r="O256" s="1"/>
  <c r="M256"/>
  <c r="J256"/>
  <c r="N255"/>
  <c r="O255" s="1"/>
  <c r="M255"/>
  <c r="J255"/>
  <c r="N254"/>
  <c r="O254" s="1"/>
  <c r="M254"/>
  <c r="J254"/>
  <c r="N253"/>
  <c r="O253" s="1"/>
  <c r="M253"/>
  <c r="J253"/>
  <c r="N252"/>
  <c r="O252" s="1"/>
  <c r="M252"/>
  <c r="J252"/>
  <c r="N251"/>
  <c r="O251" s="1"/>
  <c r="M251"/>
  <c r="J251"/>
  <c r="N250"/>
  <c r="O250" s="1"/>
  <c r="M250"/>
  <c r="J250"/>
  <c r="N249"/>
  <c r="O249" s="1"/>
  <c r="M249"/>
  <c r="J249"/>
  <c r="N248"/>
  <c r="O248" s="1"/>
  <c r="M248"/>
  <c r="J248"/>
  <c r="N247"/>
  <c r="O247" s="1"/>
  <c r="M247"/>
  <c r="J247"/>
  <c r="N246"/>
  <c r="O246" s="1"/>
  <c r="M246"/>
  <c r="J246"/>
  <c r="N245"/>
  <c r="O245" s="1"/>
  <c r="M245"/>
  <c r="J245"/>
  <c r="N244"/>
  <c r="O244" s="1"/>
  <c r="M244"/>
  <c r="J244"/>
  <c r="N243"/>
  <c r="O243" s="1"/>
  <c r="M243"/>
  <c r="J243"/>
  <c r="N242"/>
  <c r="O242" s="1"/>
  <c r="M242"/>
  <c r="J242"/>
  <c r="N241"/>
  <c r="O241" s="1"/>
  <c r="M241"/>
  <c r="J241"/>
  <c r="N240"/>
  <c r="O240" s="1"/>
  <c r="M240"/>
  <c r="J240"/>
  <c r="N239"/>
  <c r="O239" s="1"/>
  <c r="M239"/>
  <c r="J239"/>
  <c r="N238"/>
  <c r="O238" s="1"/>
  <c r="M238"/>
  <c r="J238"/>
  <c r="N237"/>
  <c r="O237" s="1"/>
  <c r="M237"/>
  <c r="J237"/>
  <c r="N236"/>
  <c r="O236" s="1"/>
  <c r="M236"/>
  <c r="J236"/>
  <c r="N235"/>
  <c r="O235" s="1"/>
  <c r="M235"/>
  <c r="J235"/>
  <c r="N234"/>
  <c r="O234" s="1"/>
  <c r="M234"/>
  <c r="J234"/>
  <c r="N233"/>
  <c r="O233" s="1"/>
  <c r="M233"/>
  <c r="J233"/>
  <c r="N232"/>
  <c r="O232" s="1"/>
  <c r="M232"/>
  <c r="J232"/>
  <c r="N231"/>
  <c r="O231" s="1"/>
  <c r="M231"/>
  <c r="J231"/>
  <c r="N230"/>
  <c r="O230" s="1"/>
  <c r="M230"/>
  <c r="J230"/>
  <c r="M229"/>
  <c r="J229"/>
  <c r="L265" l="1"/>
  <c r="J280"/>
  <c r="N2385" i="36"/>
  <c r="K2378"/>
  <c r="K2380" s="1"/>
  <c r="N2380"/>
  <c r="O2385"/>
  <c r="O2379"/>
  <c r="P2379" s="1"/>
  <c r="P2380" s="1"/>
  <c r="J2380"/>
  <c r="M2380"/>
  <c r="O280" i="37"/>
  <c r="M280"/>
  <c r="N280"/>
  <c r="N262"/>
  <c r="O262" s="1"/>
  <c r="O2380" i="36" l="1"/>
  <c r="N228" i="37"/>
  <c r="O228" s="1"/>
  <c r="M228"/>
  <c r="J228"/>
  <c r="N227"/>
  <c r="O227" s="1"/>
  <c r="M227"/>
  <c r="J227"/>
  <c r="N226"/>
  <c r="O226" s="1"/>
  <c r="M226"/>
  <c r="J226"/>
  <c r="N225"/>
  <c r="O225" s="1"/>
  <c r="M225"/>
  <c r="J225"/>
  <c r="N224"/>
  <c r="O224" s="1"/>
  <c r="M224"/>
  <c r="J224"/>
  <c r="N223"/>
  <c r="O223" s="1"/>
  <c r="M223"/>
  <c r="J223"/>
  <c r="N222"/>
  <c r="O222" s="1"/>
  <c r="M222"/>
  <c r="J222"/>
  <c r="N221"/>
  <c r="O221" s="1"/>
  <c r="M221"/>
  <c r="J221"/>
  <c r="N220"/>
  <c r="O220" s="1"/>
  <c r="M220"/>
  <c r="J220"/>
  <c r="N219"/>
  <c r="O219" s="1"/>
  <c r="M219"/>
  <c r="J219"/>
  <c r="N218"/>
  <c r="O218" s="1"/>
  <c r="M218"/>
  <c r="J218"/>
  <c r="N217"/>
  <c r="O217" s="1"/>
  <c r="M217"/>
  <c r="J217"/>
  <c r="N216"/>
  <c r="M216"/>
  <c r="J216"/>
  <c r="N215"/>
  <c r="M215"/>
  <c r="J215"/>
  <c r="J317" i="40"/>
  <c r="J316"/>
  <c r="N265" i="37" l="1"/>
  <c r="J265"/>
  <c r="M265"/>
  <c r="O216"/>
  <c r="O215"/>
  <c r="I305" i="40"/>
  <c r="N305" s="1"/>
  <c r="L318"/>
  <c r="I306"/>
  <c r="N306" s="1"/>
  <c r="O306" s="1"/>
  <c r="I295"/>
  <c r="N295" s="1"/>
  <c r="O295" s="1"/>
  <c r="I294"/>
  <c r="N294" s="1"/>
  <c r="O294" s="1"/>
  <c r="I293"/>
  <c r="N317"/>
  <c r="O317" s="1"/>
  <c r="M317"/>
  <c r="N316"/>
  <c r="O316" s="1"/>
  <c r="M316"/>
  <c r="N315"/>
  <c r="O315" s="1"/>
  <c r="M315"/>
  <c r="J315"/>
  <c r="N314"/>
  <c r="O314" s="1"/>
  <c r="M314"/>
  <c r="J314"/>
  <c r="N313"/>
  <c r="O313" s="1"/>
  <c r="M313"/>
  <c r="J313"/>
  <c r="N312"/>
  <c r="O312" s="1"/>
  <c r="M312"/>
  <c r="J312"/>
  <c r="N311"/>
  <c r="O311" s="1"/>
  <c r="M311"/>
  <c r="J311"/>
  <c r="N310"/>
  <c r="O310" s="1"/>
  <c r="M310"/>
  <c r="J310"/>
  <c r="N309"/>
  <c r="O309" s="1"/>
  <c r="M309"/>
  <c r="J309"/>
  <c r="N308"/>
  <c r="O308" s="1"/>
  <c r="M308"/>
  <c r="J308"/>
  <c r="N307"/>
  <c r="O307" s="1"/>
  <c r="M307"/>
  <c r="J307"/>
  <c r="M306"/>
  <c r="M305"/>
  <c r="N304"/>
  <c r="O304" s="1"/>
  <c r="M304"/>
  <c r="J304"/>
  <c r="N303"/>
  <c r="O303" s="1"/>
  <c r="M303"/>
  <c r="J303"/>
  <c r="N302"/>
  <c r="O302" s="1"/>
  <c r="M302"/>
  <c r="J302"/>
  <c r="N301"/>
  <c r="O301" s="1"/>
  <c r="M301"/>
  <c r="J301"/>
  <c r="N300"/>
  <c r="O300" s="1"/>
  <c r="M300"/>
  <c r="J300"/>
  <c r="N299"/>
  <c r="O299" s="1"/>
  <c r="M299"/>
  <c r="J299"/>
  <c r="N298"/>
  <c r="O298" s="1"/>
  <c r="M298"/>
  <c r="J298"/>
  <c r="N297"/>
  <c r="O297" s="1"/>
  <c r="M297"/>
  <c r="J297"/>
  <c r="N296"/>
  <c r="O296" s="1"/>
  <c r="M296"/>
  <c r="J296"/>
  <c r="M295"/>
  <c r="M294"/>
  <c r="M293"/>
  <c r="J294" l="1"/>
  <c r="J306"/>
  <c r="O265" i="37"/>
  <c r="N293" i="40"/>
  <c r="I318"/>
  <c r="O293"/>
  <c r="O305"/>
  <c r="J305"/>
  <c r="J293"/>
  <c r="J295"/>
  <c r="N292" l="1"/>
  <c r="M292"/>
  <c r="M318" s="1"/>
  <c r="J292"/>
  <c r="J318" s="1"/>
  <c r="O292" l="1"/>
  <c r="O318" s="1"/>
  <c r="N318"/>
  <c r="N289"/>
  <c r="O289" s="1"/>
  <c r="J289"/>
  <c r="J288"/>
  <c r="I282"/>
  <c r="I290" s="1"/>
  <c r="M289"/>
  <c r="M288"/>
  <c r="N288"/>
  <c r="O288" s="1"/>
  <c r="N287"/>
  <c r="O287" s="1"/>
  <c r="M287"/>
  <c r="J287"/>
  <c r="M286"/>
  <c r="N286"/>
  <c r="O286" s="1"/>
  <c r="N285"/>
  <c r="O285" s="1"/>
  <c r="M285"/>
  <c r="J285"/>
  <c r="N284"/>
  <c r="O284" s="1"/>
  <c r="M284"/>
  <c r="J284"/>
  <c r="M283"/>
  <c r="J283"/>
  <c r="N283"/>
  <c r="N282"/>
  <c r="O282" s="1"/>
  <c r="M282"/>
  <c r="J282"/>
  <c r="Q280"/>
  <c r="L274"/>
  <c r="M274" s="1"/>
  <c r="I275"/>
  <c r="I274"/>
  <c r="N279"/>
  <c r="O279" s="1"/>
  <c r="M279"/>
  <c r="J279"/>
  <c r="N278"/>
  <c r="O278" s="1"/>
  <c r="M278"/>
  <c r="J278"/>
  <c r="N277"/>
  <c r="O277" s="1"/>
  <c r="M277"/>
  <c r="J277"/>
  <c r="N276"/>
  <c r="O276" s="1"/>
  <c r="M276"/>
  <c r="J276"/>
  <c r="N275"/>
  <c r="O275" s="1"/>
  <c r="M275"/>
  <c r="J275"/>
  <c r="N274"/>
  <c r="O274" s="1"/>
  <c r="I280" l="1"/>
  <c r="M290"/>
  <c r="O283"/>
  <c r="O290" s="1"/>
  <c r="N290"/>
  <c r="J274"/>
  <c r="L280"/>
  <c r="J286"/>
  <c r="J290" s="1"/>
  <c r="N273" l="1"/>
  <c r="M273"/>
  <c r="M280" s="1"/>
  <c r="J273"/>
  <c r="J280" s="1"/>
  <c r="N122" i="43"/>
  <c r="O122" s="1"/>
  <c r="M122"/>
  <c r="J122"/>
  <c r="O273" i="40" l="1"/>
  <c r="O280" s="1"/>
  <c r="N280"/>
  <c r="L252"/>
  <c r="L271" l="1"/>
  <c r="I253"/>
  <c r="I271" s="1"/>
  <c r="N270"/>
  <c r="O270" s="1"/>
  <c r="M270"/>
  <c r="J270"/>
  <c r="M269"/>
  <c r="N269"/>
  <c r="O269" s="1"/>
  <c r="N268"/>
  <c r="O268" s="1"/>
  <c r="M268"/>
  <c r="J268"/>
  <c r="M267"/>
  <c r="N267"/>
  <c r="O267" s="1"/>
  <c r="N266"/>
  <c r="O266" s="1"/>
  <c r="M266"/>
  <c r="J266"/>
  <c r="M265"/>
  <c r="N265"/>
  <c r="O265" s="1"/>
  <c r="N264"/>
  <c r="O264" s="1"/>
  <c r="M264"/>
  <c r="J264"/>
  <c r="M263"/>
  <c r="N263"/>
  <c r="O263" s="1"/>
  <c r="N262"/>
  <c r="O262" s="1"/>
  <c r="M262"/>
  <c r="J262"/>
  <c r="M261"/>
  <c r="N261"/>
  <c r="O261" s="1"/>
  <c r="N260"/>
  <c r="O260" s="1"/>
  <c r="M260"/>
  <c r="J260"/>
  <c r="M259"/>
  <c r="N259"/>
  <c r="O259" s="1"/>
  <c r="N258"/>
  <c r="O258" s="1"/>
  <c r="M258"/>
  <c r="J258"/>
  <c r="M257"/>
  <c r="N257"/>
  <c r="O257" s="1"/>
  <c r="N256"/>
  <c r="O256" s="1"/>
  <c r="M256"/>
  <c r="J256"/>
  <c r="M255"/>
  <c r="N255"/>
  <c r="O255" s="1"/>
  <c r="N254"/>
  <c r="O254" s="1"/>
  <c r="M254"/>
  <c r="J254"/>
  <c r="M253"/>
  <c r="M252"/>
  <c r="N252"/>
  <c r="O252" s="1"/>
  <c r="L412" i="38"/>
  <c r="L433"/>
  <c r="L414"/>
  <c r="N253" i="40" l="1"/>
  <c r="O253" s="1"/>
  <c r="M271"/>
  <c r="O271"/>
  <c r="J267"/>
  <c r="J269"/>
  <c r="J253"/>
  <c r="J255"/>
  <c r="J257"/>
  <c r="J259"/>
  <c r="J261"/>
  <c r="J263"/>
  <c r="J265"/>
  <c r="J252"/>
  <c r="L447" i="38"/>
  <c r="I433"/>
  <c r="N433" s="1"/>
  <c r="O433" s="1"/>
  <c r="I432"/>
  <c r="N432" s="1"/>
  <c r="O432" s="1"/>
  <c r="I431"/>
  <c r="N431" s="1"/>
  <c r="O431" s="1"/>
  <c r="I430"/>
  <c r="N430" s="1"/>
  <c r="O430" s="1"/>
  <c r="I426"/>
  <c r="I414"/>
  <c r="N414" s="1"/>
  <c r="O414" s="1"/>
  <c r="I413"/>
  <c r="N413" s="1"/>
  <c r="O413" s="1"/>
  <c r="I412"/>
  <c r="N446"/>
  <c r="O446" s="1"/>
  <c r="M446"/>
  <c r="J446"/>
  <c r="N445"/>
  <c r="O445" s="1"/>
  <c r="M445"/>
  <c r="J445"/>
  <c r="N444"/>
  <c r="O444" s="1"/>
  <c r="M444"/>
  <c r="J444"/>
  <c r="N443"/>
  <c r="O443" s="1"/>
  <c r="M443"/>
  <c r="J443"/>
  <c r="N442"/>
  <c r="O442" s="1"/>
  <c r="M442"/>
  <c r="J442"/>
  <c r="N441"/>
  <c r="O441" s="1"/>
  <c r="M441"/>
  <c r="J441"/>
  <c r="N440"/>
  <c r="O440" s="1"/>
  <c r="M440"/>
  <c r="J440"/>
  <c r="N439"/>
  <c r="O439" s="1"/>
  <c r="M439"/>
  <c r="J439"/>
  <c r="N438"/>
  <c r="O438" s="1"/>
  <c r="M438"/>
  <c r="J438"/>
  <c r="N437"/>
  <c r="O437" s="1"/>
  <c r="M437"/>
  <c r="J437"/>
  <c r="N436"/>
  <c r="O436" s="1"/>
  <c r="M436"/>
  <c r="J436"/>
  <c r="N435"/>
  <c r="O435" s="1"/>
  <c r="M435"/>
  <c r="J435"/>
  <c r="N434"/>
  <c r="O434" s="1"/>
  <c r="M434"/>
  <c r="J434"/>
  <c r="M433"/>
  <c r="M432"/>
  <c r="M431"/>
  <c r="M430"/>
  <c r="N429"/>
  <c r="O429" s="1"/>
  <c r="M429"/>
  <c r="J429"/>
  <c r="N428"/>
  <c r="O428" s="1"/>
  <c r="M428"/>
  <c r="J428"/>
  <c r="N427"/>
  <c r="O427" s="1"/>
  <c r="M427"/>
  <c r="J427"/>
  <c r="N426"/>
  <c r="O426" s="1"/>
  <c r="M426"/>
  <c r="J426"/>
  <c r="N425"/>
  <c r="O425" s="1"/>
  <c r="M425"/>
  <c r="J425"/>
  <c r="N424"/>
  <c r="O424" s="1"/>
  <c r="M424"/>
  <c r="J424"/>
  <c r="N423"/>
  <c r="O423" s="1"/>
  <c r="M423"/>
  <c r="J423"/>
  <c r="N422"/>
  <c r="O422" s="1"/>
  <c r="M422"/>
  <c r="J422"/>
  <c r="N421"/>
  <c r="O421" s="1"/>
  <c r="M421"/>
  <c r="J421"/>
  <c r="N420"/>
  <c r="O420" s="1"/>
  <c r="M420"/>
  <c r="J420"/>
  <c r="N419"/>
  <c r="O419" s="1"/>
  <c r="M419"/>
  <c r="J419"/>
  <c r="N418"/>
  <c r="O418" s="1"/>
  <c r="M418"/>
  <c r="J418"/>
  <c r="N417"/>
  <c r="O417" s="1"/>
  <c r="M417"/>
  <c r="J417"/>
  <c r="N416"/>
  <c r="O416" s="1"/>
  <c r="M416"/>
  <c r="J416"/>
  <c r="N415"/>
  <c r="O415" s="1"/>
  <c r="M415"/>
  <c r="J415"/>
  <c r="M414"/>
  <c r="M413"/>
  <c r="M412"/>
  <c r="N271" i="40" l="1"/>
  <c r="J413" i="38"/>
  <c r="J431"/>
  <c r="J433"/>
  <c r="I447"/>
  <c r="J412"/>
  <c r="N412"/>
  <c r="J430"/>
  <c r="J432"/>
  <c r="M447"/>
  <c r="N447"/>
  <c r="J271" i="40"/>
  <c r="O412" i="38"/>
  <c r="O447" s="1"/>
  <c r="J414"/>
  <c r="J447" s="1"/>
  <c r="T2345" i="36" l="1"/>
  <c r="O2344"/>
  <c r="P2344" s="1"/>
  <c r="N2344"/>
  <c r="K2344"/>
  <c r="O2343"/>
  <c r="P2343" s="1"/>
  <c r="N2343"/>
  <c r="K2343"/>
  <c r="O2342"/>
  <c r="P2342" s="1"/>
  <c r="N2342"/>
  <c r="K2342"/>
  <c r="O2341"/>
  <c r="P2341" s="1"/>
  <c r="N2341"/>
  <c r="K2341"/>
  <c r="O2340"/>
  <c r="P2340" s="1"/>
  <c r="N2340"/>
  <c r="K2340"/>
  <c r="O2339"/>
  <c r="P2339" s="1"/>
  <c r="N2339"/>
  <c r="K2339"/>
  <c r="O2338"/>
  <c r="P2338" s="1"/>
  <c r="N2338"/>
  <c r="K2338"/>
  <c r="O2337"/>
  <c r="P2337" s="1"/>
  <c r="N2337"/>
  <c r="K2337"/>
  <c r="M2336"/>
  <c r="N2336" s="1"/>
  <c r="J2336"/>
  <c r="M2335"/>
  <c r="N2335" s="1"/>
  <c r="J2335"/>
  <c r="N2334"/>
  <c r="J2334"/>
  <c r="O2334" s="1"/>
  <c r="P2334" s="1"/>
  <c r="N2333"/>
  <c r="J2333"/>
  <c r="O2333" s="1"/>
  <c r="P2333" s="1"/>
  <c r="O2332"/>
  <c r="P2332" s="1"/>
  <c r="N2332"/>
  <c r="K2332"/>
  <c r="M2331"/>
  <c r="O2331" s="1"/>
  <c r="P2331" s="1"/>
  <c r="K2331"/>
  <c r="N2330"/>
  <c r="J2330"/>
  <c r="O2330" s="1"/>
  <c r="P2330" s="1"/>
  <c r="M2329"/>
  <c r="M2345" s="1"/>
  <c r="J2329"/>
  <c r="S92" i="49"/>
  <c r="L78"/>
  <c r="L76"/>
  <c r="R2326" i="36"/>
  <c r="O2325"/>
  <c r="P2325" s="1"/>
  <c r="N2325"/>
  <c r="K2325"/>
  <c r="O2324"/>
  <c r="P2324" s="1"/>
  <c r="N2324"/>
  <c r="K2324"/>
  <c r="O2323"/>
  <c r="P2323" s="1"/>
  <c r="N2323"/>
  <c r="K2323"/>
  <c r="O2322"/>
  <c r="P2322" s="1"/>
  <c r="N2322"/>
  <c r="K2322"/>
  <c r="O2321"/>
  <c r="P2321" s="1"/>
  <c r="N2321"/>
  <c r="K2321"/>
  <c r="O2320"/>
  <c r="P2320" s="1"/>
  <c r="N2320"/>
  <c r="K2320"/>
  <c r="O2319"/>
  <c r="P2319" s="1"/>
  <c r="N2319"/>
  <c r="K2319"/>
  <c r="O2318"/>
  <c r="P2318" s="1"/>
  <c r="N2318"/>
  <c r="K2318"/>
  <c r="O2317"/>
  <c r="P2317" s="1"/>
  <c r="N2317"/>
  <c r="K2317"/>
  <c r="O2316"/>
  <c r="P2316" s="1"/>
  <c r="N2316"/>
  <c r="K2316"/>
  <c r="O2315"/>
  <c r="P2315" s="1"/>
  <c r="N2315"/>
  <c r="K2315"/>
  <c r="O2314"/>
  <c r="P2314" s="1"/>
  <c r="N2314"/>
  <c r="K2314"/>
  <c r="O2313"/>
  <c r="P2313" s="1"/>
  <c r="N2313"/>
  <c r="K2313"/>
  <c r="N2312"/>
  <c r="J2312"/>
  <c r="O2312" s="1"/>
  <c r="P2312" s="1"/>
  <c r="O2311"/>
  <c r="P2311" s="1"/>
  <c r="N2311"/>
  <c r="K2311"/>
  <c r="O2310"/>
  <c r="P2310" s="1"/>
  <c r="N2310"/>
  <c r="K2310"/>
  <c r="O2309"/>
  <c r="P2309" s="1"/>
  <c r="N2309"/>
  <c r="K2309"/>
  <c r="O2308"/>
  <c r="P2308" s="1"/>
  <c r="N2308"/>
  <c r="K2308"/>
  <c r="O2307"/>
  <c r="P2307" s="1"/>
  <c r="N2307"/>
  <c r="K2307"/>
  <c r="O2306"/>
  <c r="P2306" s="1"/>
  <c r="N2306"/>
  <c r="K2306"/>
  <c r="O2305"/>
  <c r="P2305" s="1"/>
  <c r="N2305"/>
  <c r="K2305"/>
  <c r="O2304"/>
  <c r="P2304" s="1"/>
  <c r="N2304"/>
  <c r="K2304"/>
  <c r="O2303"/>
  <c r="P2303" s="1"/>
  <c r="N2303"/>
  <c r="K2303"/>
  <c r="O2302"/>
  <c r="P2302" s="1"/>
  <c r="N2302"/>
  <c r="K2302"/>
  <c r="M2301"/>
  <c r="N2301" s="1"/>
  <c r="J2301"/>
  <c r="K2301" s="1"/>
  <c r="M2300"/>
  <c r="M2326" s="1"/>
  <c r="J2300"/>
  <c r="J2326" s="1"/>
  <c r="R2297"/>
  <c r="O2296"/>
  <c r="P2296" s="1"/>
  <c r="N2296"/>
  <c r="K2296"/>
  <c r="O2295"/>
  <c r="P2295" s="1"/>
  <c r="N2295"/>
  <c r="K2295"/>
  <c r="O2294"/>
  <c r="P2294" s="1"/>
  <c r="N2294"/>
  <c r="K2294"/>
  <c r="O2293"/>
  <c r="P2293" s="1"/>
  <c r="N2293"/>
  <c r="K2293"/>
  <c r="O2292"/>
  <c r="P2292" s="1"/>
  <c r="N2292"/>
  <c r="K2292"/>
  <c r="O2291"/>
  <c r="P2291" s="1"/>
  <c r="N2291"/>
  <c r="K2291"/>
  <c r="O2290"/>
  <c r="P2290" s="1"/>
  <c r="N2290"/>
  <c r="K2290"/>
  <c r="O2289"/>
  <c r="P2289" s="1"/>
  <c r="N2289"/>
  <c r="K2289"/>
  <c r="M2288"/>
  <c r="M2297" s="1"/>
  <c r="J2288"/>
  <c r="O2287"/>
  <c r="P2287" s="1"/>
  <c r="N2287"/>
  <c r="K2287"/>
  <c r="O2286"/>
  <c r="P2286" s="1"/>
  <c r="N2286"/>
  <c r="K2286"/>
  <c r="O2285"/>
  <c r="P2285" s="1"/>
  <c r="N2285"/>
  <c r="K2285"/>
  <c r="O2284"/>
  <c r="P2284" s="1"/>
  <c r="N2284"/>
  <c r="K2284"/>
  <c r="O2283"/>
  <c r="P2283" s="1"/>
  <c r="N2283"/>
  <c r="K2283"/>
  <c r="O2282"/>
  <c r="P2282" s="1"/>
  <c r="N2282"/>
  <c r="K2282"/>
  <c r="O2281"/>
  <c r="P2281" s="1"/>
  <c r="N2281"/>
  <c r="K2281"/>
  <c r="N2280"/>
  <c r="J2280"/>
  <c r="O2280" s="1"/>
  <c r="P2280" s="1"/>
  <c r="N2279"/>
  <c r="J2279"/>
  <c r="O2279" s="1"/>
  <c r="P2279" s="1"/>
  <c r="N2278"/>
  <c r="J2278"/>
  <c r="Q22" i="49"/>
  <c r="R2276" i="36"/>
  <c r="O2276"/>
  <c r="M1987" i="35"/>
  <c r="M1503"/>
  <c r="M1502"/>
  <c r="M1069"/>
  <c r="R2262" i="36"/>
  <c r="O2261"/>
  <c r="P2261" s="1"/>
  <c r="N2261"/>
  <c r="K2261"/>
  <c r="O2260"/>
  <c r="P2260" s="1"/>
  <c r="N2260"/>
  <c r="K2260"/>
  <c r="O2259"/>
  <c r="P2259" s="1"/>
  <c r="N2259"/>
  <c r="K2259"/>
  <c r="O2258"/>
  <c r="P2258" s="1"/>
  <c r="N2258"/>
  <c r="K2258"/>
  <c r="R2256"/>
  <c r="O2256"/>
  <c r="M2091" i="35"/>
  <c r="J2345" i="36" l="1"/>
  <c r="O2288"/>
  <c r="P2288" s="1"/>
  <c r="O2335"/>
  <c r="P2335" s="1"/>
  <c r="O2336"/>
  <c r="P2336" s="1"/>
  <c r="J2297"/>
  <c r="K2329"/>
  <c r="N2329"/>
  <c r="K2330"/>
  <c r="K2335"/>
  <c r="K2336"/>
  <c r="K2279"/>
  <c r="K2288"/>
  <c r="N2288"/>
  <c r="N2297" s="1"/>
  <c r="N2331"/>
  <c r="K2333"/>
  <c r="O2329"/>
  <c r="K2334"/>
  <c r="O2300"/>
  <c r="O2301"/>
  <c r="P2301" s="1"/>
  <c r="K2300"/>
  <c r="N2300"/>
  <c r="N2326" s="1"/>
  <c r="K2312"/>
  <c r="K2278"/>
  <c r="O2278"/>
  <c r="K2280"/>
  <c r="R2241"/>
  <c r="R2228"/>
  <c r="M2227"/>
  <c r="N2227" s="1"/>
  <c r="J2227"/>
  <c r="K2227" s="1"/>
  <c r="M2226"/>
  <c r="N2226" s="1"/>
  <c r="N2228" s="1"/>
  <c r="J2226"/>
  <c r="K2226" s="1"/>
  <c r="K2228" s="1"/>
  <c r="L18" i="42"/>
  <c r="L17"/>
  <c r="L103"/>
  <c r="M149" i="39"/>
  <c r="L19" i="42" l="1"/>
  <c r="K2345" i="36"/>
  <c r="N2345"/>
  <c r="O2345"/>
  <c r="P2329"/>
  <c r="P2345" s="1"/>
  <c r="O2326"/>
  <c r="P2300"/>
  <c r="P2326" s="1"/>
  <c r="K2326"/>
  <c r="O2297"/>
  <c r="P2278"/>
  <c r="P2297" s="1"/>
  <c r="K2297"/>
  <c r="O2226"/>
  <c r="O2227"/>
  <c r="P2227" s="1"/>
  <c r="J2228"/>
  <c r="M2228"/>
  <c r="R2224"/>
  <c r="O2223"/>
  <c r="P2223" s="1"/>
  <c r="N2223"/>
  <c r="K2223"/>
  <c r="O2222"/>
  <c r="P2222" s="1"/>
  <c r="N2222"/>
  <c r="K2222"/>
  <c r="O2221"/>
  <c r="P2221" s="1"/>
  <c r="N2221"/>
  <c r="K2221"/>
  <c r="O2220"/>
  <c r="P2220" s="1"/>
  <c r="N2220"/>
  <c r="K2220"/>
  <c r="O2219"/>
  <c r="P2219" s="1"/>
  <c r="N2219"/>
  <c r="K2219"/>
  <c r="O2218"/>
  <c r="P2218" s="1"/>
  <c r="N2218"/>
  <c r="K2218"/>
  <c r="N2217"/>
  <c r="J2217"/>
  <c r="O2217" s="1"/>
  <c r="P2217" s="1"/>
  <c r="N2216"/>
  <c r="J2216"/>
  <c r="O2216" s="1"/>
  <c r="P2216" s="1"/>
  <c r="N2215"/>
  <c r="J2215"/>
  <c r="O2215" s="1"/>
  <c r="P2215" s="1"/>
  <c r="M2214"/>
  <c r="M2224" s="1"/>
  <c r="J2214"/>
  <c r="J2224" s="1"/>
  <c r="L35" i="42"/>
  <c r="K2214" i="36" l="1"/>
  <c r="N2214"/>
  <c r="N2224" s="1"/>
  <c r="K2215"/>
  <c r="K2217"/>
  <c r="P2226"/>
  <c r="P2228" s="1"/>
  <c r="O2228"/>
  <c r="O2214"/>
  <c r="K2216"/>
  <c r="K2224" l="1"/>
  <c r="O2224"/>
  <c r="P2214"/>
  <c r="P2224" s="1"/>
  <c r="Q109" i="50"/>
  <c r="L109"/>
  <c r="T1971" i="36"/>
  <c r="O1970"/>
  <c r="P1970" s="1"/>
  <c r="N1970"/>
  <c r="K1970"/>
  <c r="O1967"/>
  <c r="P1967" s="1"/>
  <c r="N1967"/>
  <c r="K1967"/>
  <c r="S2069"/>
  <c r="G224" i="53" l="1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Q207" i="50"/>
  <c r="L207" l="1"/>
  <c r="J206"/>
  <c r="J205"/>
  <c r="I198"/>
  <c r="I197"/>
  <c r="N197" s="1"/>
  <c r="O197" s="1"/>
  <c r="I196"/>
  <c r="I195"/>
  <c r="N195" s="1"/>
  <c r="O195" s="1"/>
  <c r="I194"/>
  <c r="N206"/>
  <c r="O206" s="1"/>
  <c r="M206"/>
  <c r="N205"/>
  <c r="O205" s="1"/>
  <c r="M205"/>
  <c r="N204"/>
  <c r="O204" s="1"/>
  <c r="M204"/>
  <c r="J204"/>
  <c r="N203"/>
  <c r="M203"/>
  <c r="J203"/>
  <c r="N202"/>
  <c r="O202" s="1"/>
  <c r="M202"/>
  <c r="J202"/>
  <c r="N201"/>
  <c r="O201" s="1"/>
  <c r="M201"/>
  <c r="J201"/>
  <c r="N200"/>
  <c r="O200" s="1"/>
  <c r="M200"/>
  <c r="J200"/>
  <c r="N199"/>
  <c r="O199" s="1"/>
  <c r="M199"/>
  <c r="J199"/>
  <c r="N198"/>
  <c r="O198" s="1"/>
  <c r="M198"/>
  <c r="J198"/>
  <c r="M197"/>
  <c r="N196"/>
  <c r="O196" s="1"/>
  <c r="M196"/>
  <c r="J196"/>
  <c r="M195"/>
  <c r="N194"/>
  <c r="O194" s="1"/>
  <c r="M194"/>
  <c r="J194"/>
  <c r="I207" l="1"/>
  <c r="M207"/>
  <c r="J195"/>
  <c r="J197"/>
  <c r="O203"/>
  <c r="O207" s="1"/>
  <c r="N207"/>
  <c r="L213" i="37"/>
  <c r="I213"/>
  <c r="N212"/>
  <c r="O212" s="1"/>
  <c r="M212"/>
  <c r="J212"/>
  <c r="N211"/>
  <c r="O211" s="1"/>
  <c r="M211"/>
  <c r="J211"/>
  <c r="N210"/>
  <c r="O210" s="1"/>
  <c r="M210"/>
  <c r="J210"/>
  <c r="N209"/>
  <c r="O209" s="1"/>
  <c r="M209"/>
  <c r="J209"/>
  <c r="N208"/>
  <c r="O208" s="1"/>
  <c r="M208"/>
  <c r="J208"/>
  <c r="N207"/>
  <c r="O207" s="1"/>
  <c r="M207"/>
  <c r="J207"/>
  <c r="N206"/>
  <c r="O206" s="1"/>
  <c r="M206"/>
  <c r="J206"/>
  <c r="N205"/>
  <c r="O205" s="1"/>
  <c r="M205"/>
  <c r="J205"/>
  <c r="N204"/>
  <c r="O204" s="1"/>
  <c r="M204"/>
  <c r="J204"/>
  <c r="N203"/>
  <c r="O203" s="1"/>
  <c r="M203"/>
  <c r="J203"/>
  <c r="N202"/>
  <c r="O202" s="1"/>
  <c r="M202"/>
  <c r="J202"/>
  <c r="N201"/>
  <c r="O201" s="1"/>
  <c r="M201"/>
  <c r="J201"/>
  <c r="N200"/>
  <c r="O200" s="1"/>
  <c r="M200"/>
  <c r="J200"/>
  <c r="N199"/>
  <c r="O199" s="1"/>
  <c r="M199"/>
  <c r="J199"/>
  <c r="I197"/>
  <c r="J196"/>
  <c r="J195"/>
  <c r="J194"/>
  <c r="J193"/>
  <c r="J192"/>
  <c r="L181"/>
  <c r="L197" s="1"/>
  <c r="J207" i="50" l="1"/>
  <c r="J213" i="37"/>
  <c r="O213"/>
  <c r="M213"/>
  <c r="N213"/>
  <c r="N196" l="1"/>
  <c r="O196" s="1"/>
  <c r="M196"/>
  <c r="N195"/>
  <c r="O195" s="1"/>
  <c r="M195"/>
  <c r="N194"/>
  <c r="O194" s="1"/>
  <c r="M194"/>
  <c r="N193"/>
  <c r="O193" s="1"/>
  <c r="M193"/>
  <c r="N192"/>
  <c r="O192" s="1"/>
  <c r="M192"/>
  <c r="N191"/>
  <c r="O191" s="1"/>
  <c r="M191"/>
  <c r="J191"/>
  <c r="N190"/>
  <c r="O190" s="1"/>
  <c r="M190"/>
  <c r="J190"/>
  <c r="N189"/>
  <c r="O189" s="1"/>
  <c r="M189"/>
  <c r="J189"/>
  <c r="N188"/>
  <c r="O188" s="1"/>
  <c r="M188"/>
  <c r="J188"/>
  <c r="N187"/>
  <c r="O187" s="1"/>
  <c r="M187"/>
  <c r="J187"/>
  <c r="N186"/>
  <c r="O186" s="1"/>
  <c r="M186"/>
  <c r="J186"/>
  <c r="N185"/>
  <c r="O185" s="1"/>
  <c r="M185"/>
  <c r="J185"/>
  <c r="N184"/>
  <c r="O184" s="1"/>
  <c r="M184"/>
  <c r="J184"/>
  <c r="N183"/>
  <c r="O183" s="1"/>
  <c r="M183"/>
  <c r="J183"/>
  <c r="N182"/>
  <c r="O182" s="1"/>
  <c r="M182"/>
  <c r="J182"/>
  <c r="N181"/>
  <c r="O181" s="1"/>
  <c r="M181"/>
  <c r="J181"/>
  <c r="N180"/>
  <c r="M180"/>
  <c r="J180"/>
  <c r="N179"/>
  <c r="M179"/>
  <c r="J179"/>
  <c r="J197" s="1"/>
  <c r="N175" i="49"/>
  <c r="O175" s="1"/>
  <c r="M176"/>
  <c r="L177"/>
  <c r="I177"/>
  <c r="N176"/>
  <c r="O176" s="1"/>
  <c r="J176"/>
  <c r="M175"/>
  <c r="J175"/>
  <c r="N174"/>
  <c r="O174" s="1"/>
  <c r="M174"/>
  <c r="J174"/>
  <c r="N173"/>
  <c r="O173" s="1"/>
  <c r="M173"/>
  <c r="J173"/>
  <c r="N172"/>
  <c r="O172" s="1"/>
  <c r="M172"/>
  <c r="J172"/>
  <c r="N171"/>
  <c r="O171" s="1"/>
  <c r="M171"/>
  <c r="J171"/>
  <c r="N170"/>
  <c r="M170"/>
  <c r="J170"/>
  <c r="N169"/>
  <c r="O169" s="1"/>
  <c r="M169"/>
  <c r="J169"/>
  <c r="N168"/>
  <c r="O168" s="1"/>
  <c r="M168"/>
  <c r="J168"/>
  <c r="N167"/>
  <c r="O167" s="1"/>
  <c r="M167"/>
  <c r="J167"/>
  <c r="L192" i="50"/>
  <c r="I190"/>
  <c r="I191"/>
  <c r="N191" s="1"/>
  <c r="O191" s="1"/>
  <c r="M191"/>
  <c r="J191"/>
  <c r="N190"/>
  <c r="O190" s="1"/>
  <c r="M190"/>
  <c r="J190"/>
  <c r="N197" i="37" l="1"/>
  <c r="J192" i="50"/>
  <c r="I192"/>
  <c r="J177" i="49"/>
  <c r="M177"/>
  <c r="N177"/>
  <c r="O170"/>
  <c r="O177" s="1"/>
  <c r="M197" i="37"/>
  <c r="O179"/>
  <c r="O180"/>
  <c r="O192" i="50"/>
  <c r="M192"/>
  <c r="N192"/>
  <c r="O197" i="37" l="1"/>
  <c r="N185" i="50"/>
  <c r="O185" s="1"/>
  <c r="M185"/>
  <c r="J185"/>
  <c r="L188" l="1"/>
  <c r="I188"/>
  <c r="N187"/>
  <c r="O187" s="1"/>
  <c r="M187"/>
  <c r="N186"/>
  <c r="O186" s="1"/>
  <c r="M186"/>
  <c r="N184"/>
  <c r="O184" s="1"/>
  <c r="M184"/>
  <c r="N183"/>
  <c r="O183" s="1"/>
  <c r="M183"/>
  <c r="N182"/>
  <c r="O182" s="1"/>
  <c r="M182"/>
  <c r="N181"/>
  <c r="O181" s="1"/>
  <c r="M181"/>
  <c r="J187"/>
  <c r="J186"/>
  <c r="J184"/>
  <c r="J183"/>
  <c r="J182"/>
  <c r="J181"/>
  <c r="N180"/>
  <c r="O180" s="1"/>
  <c r="M180"/>
  <c r="J180"/>
  <c r="N179"/>
  <c r="O179" s="1"/>
  <c r="M179"/>
  <c r="J179"/>
  <c r="N178"/>
  <c r="O178" s="1"/>
  <c r="M178"/>
  <c r="J178"/>
  <c r="N177"/>
  <c r="O177" s="1"/>
  <c r="M177"/>
  <c r="J177"/>
  <c r="N176"/>
  <c r="O176" s="1"/>
  <c r="M176"/>
  <c r="J176"/>
  <c r="N175"/>
  <c r="O175" s="1"/>
  <c r="M175"/>
  <c r="J175"/>
  <c r="N174"/>
  <c r="O174" s="1"/>
  <c r="M174"/>
  <c r="J174"/>
  <c r="N173"/>
  <c r="O173" s="1"/>
  <c r="M173"/>
  <c r="J173"/>
  <c r="N172"/>
  <c r="O172" s="1"/>
  <c r="M172"/>
  <c r="J172"/>
  <c r="N171"/>
  <c r="O171" s="1"/>
  <c r="M171"/>
  <c r="J171"/>
  <c r="N170"/>
  <c r="O170" s="1"/>
  <c r="M170"/>
  <c r="J170"/>
  <c r="N169"/>
  <c r="O169" s="1"/>
  <c r="M169"/>
  <c r="J169"/>
  <c r="N168"/>
  <c r="O168" s="1"/>
  <c r="M168"/>
  <c r="J168"/>
  <c r="N167"/>
  <c r="O167" s="1"/>
  <c r="M167"/>
  <c r="J167"/>
  <c r="N166"/>
  <c r="O166" s="1"/>
  <c r="M166"/>
  <c r="J166"/>
  <c r="N165"/>
  <c r="O165" s="1"/>
  <c r="M165"/>
  <c r="J165"/>
  <c r="N164"/>
  <c r="O164" s="1"/>
  <c r="M164"/>
  <c r="J164"/>
  <c r="N163"/>
  <c r="O163" s="1"/>
  <c r="M163"/>
  <c r="J163"/>
  <c r="N162"/>
  <c r="O162" s="1"/>
  <c r="M162"/>
  <c r="J162"/>
  <c r="N161"/>
  <c r="O161" s="1"/>
  <c r="M161"/>
  <c r="J161"/>
  <c r="N160"/>
  <c r="O160" s="1"/>
  <c r="M160"/>
  <c r="J160"/>
  <c r="N159"/>
  <c r="O159" s="1"/>
  <c r="M159"/>
  <c r="J159"/>
  <c r="N158"/>
  <c r="O158" s="1"/>
  <c r="M158"/>
  <c r="J158"/>
  <c r="L156"/>
  <c r="J155"/>
  <c r="J154"/>
  <c r="J153"/>
  <c r="I156"/>
  <c r="N155"/>
  <c r="O155" s="1"/>
  <c r="M155"/>
  <c r="N154"/>
  <c r="O154" s="1"/>
  <c r="N153"/>
  <c r="O153" s="1"/>
  <c r="M153"/>
  <c r="N152"/>
  <c r="O152" s="1"/>
  <c r="M152"/>
  <c r="J152"/>
  <c r="N151"/>
  <c r="O151" s="1"/>
  <c r="M151"/>
  <c r="J151"/>
  <c r="J188" l="1"/>
  <c r="M154"/>
  <c r="M188"/>
  <c r="O188"/>
  <c r="N188"/>
  <c r="N150" l="1"/>
  <c r="O150" s="1"/>
  <c r="M150"/>
  <c r="J150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N145"/>
  <c r="O145" s="1"/>
  <c r="M145"/>
  <c r="J145"/>
  <c r="N144"/>
  <c r="O144" s="1"/>
  <c r="M144"/>
  <c r="J144"/>
  <c r="N143"/>
  <c r="O143" s="1"/>
  <c r="M143"/>
  <c r="J143"/>
  <c r="N142"/>
  <c r="O142" s="1"/>
  <c r="M142"/>
  <c r="J142"/>
  <c r="N141"/>
  <c r="O141" s="1"/>
  <c r="M141"/>
  <c r="J141"/>
  <c r="N140"/>
  <c r="O140" s="1"/>
  <c r="M140"/>
  <c r="J140"/>
  <c r="N139"/>
  <c r="O139" s="1"/>
  <c r="M139"/>
  <c r="J139"/>
  <c r="N138"/>
  <c r="O138" s="1"/>
  <c r="M138"/>
  <c r="J138"/>
  <c r="N137"/>
  <c r="O137" s="1"/>
  <c r="M137"/>
  <c r="J137"/>
  <c r="N136"/>
  <c r="O136" s="1"/>
  <c r="M136"/>
  <c r="J136"/>
  <c r="N135"/>
  <c r="O135" s="1"/>
  <c r="M135"/>
  <c r="J135"/>
  <c r="N134"/>
  <c r="M134"/>
  <c r="J134"/>
  <c r="N133"/>
  <c r="O133" s="1"/>
  <c r="M133"/>
  <c r="J133"/>
  <c r="J156" l="1"/>
  <c r="M156"/>
  <c r="O134"/>
  <c r="O156" s="1"/>
  <c r="N156"/>
  <c r="M130"/>
  <c r="Q131"/>
  <c r="L129"/>
  <c r="L108" l="1"/>
  <c r="L131" s="1"/>
  <c r="J130"/>
  <c r="I131"/>
  <c r="N130"/>
  <c r="O130" s="1"/>
  <c r="N129"/>
  <c r="O129" s="1"/>
  <c r="M129"/>
  <c r="J129"/>
  <c r="N128"/>
  <c r="O128" s="1"/>
  <c r="M128"/>
  <c r="J128"/>
  <c r="N127"/>
  <c r="O127" s="1"/>
  <c r="M127"/>
  <c r="J127"/>
  <c r="N126"/>
  <c r="O126" s="1"/>
  <c r="M126"/>
  <c r="J126"/>
  <c r="N125"/>
  <c r="O125" s="1"/>
  <c r="M125"/>
  <c r="J125"/>
  <c r="N124"/>
  <c r="O124" s="1"/>
  <c r="M124"/>
  <c r="J124"/>
  <c r="N123"/>
  <c r="O123" s="1"/>
  <c r="M123"/>
  <c r="J123"/>
  <c r="N122"/>
  <c r="O122" s="1"/>
  <c r="M122"/>
  <c r="J122"/>
  <c r="N121"/>
  <c r="O121" s="1"/>
  <c r="M121"/>
  <c r="J121"/>
  <c r="N120"/>
  <c r="O120" s="1"/>
  <c r="M120"/>
  <c r="J120"/>
  <c r="N119"/>
  <c r="O119" s="1"/>
  <c r="M119"/>
  <c r="J119"/>
  <c r="N118"/>
  <c r="O118" s="1"/>
  <c r="M118"/>
  <c r="J118"/>
  <c r="N117"/>
  <c r="O117" s="1"/>
  <c r="M117"/>
  <c r="J117"/>
  <c r="N116"/>
  <c r="O116" s="1"/>
  <c r="M116"/>
  <c r="J116"/>
  <c r="N115"/>
  <c r="O115" s="1"/>
  <c r="M115"/>
  <c r="J115"/>
  <c r="N114"/>
  <c r="O114" s="1"/>
  <c r="M114"/>
  <c r="J114"/>
  <c r="N113"/>
  <c r="O113" s="1"/>
  <c r="M113"/>
  <c r="J113"/>
  <c r="N112"/>
  <c r="O112" s="1"/>
  <c r="M112"/>
  <c r="J112"/>
  <c r="N111"/>
  <c r="O111" s="1"/>
  <c r="M111"/>
  <c r="J111"/>
  <c r="N110"/>
  <c r="O110" s="1"/>
  <c r="M110"/>
  <c r="J110"/>
  <c r="N109" l="1"/>
  <c r="O109" s="1"/>
  <c r="M109"/>
  <c r="J109"/>
  <c r="N108"/>
  <c r="O108" s="1"/>
  <c r="M108"/>
  <c r="J108"/>
  <c r="N107"/>
  <c r="O107" s="1"/>
  <c r="M107"/>
  <c r="J107"/>
  <c r="N106"/>
  <c r="O106" s="1"/>
  <c r="M106"/>
  <c r="J106"/>
  <c r="N105"/>
  <c r="O105" s="1"/>
  <c r="M105"/>
  <c r="J105"/>
  <c r="N104"/>
  <c r="O104" s="1"/>
  <c r="M104"/>
  <c r="J104"/>
  <c r="N103"/>
  <c r="O103" s="1"/>
  <c r="M103"/>
  <c r="J103"/>
  <c r="N102"/>
  <c r="O102" s="1"/>
  <c r="M102"/>
  <c r="J102"/>
  <c r="N101"/>
  <c r="O101" s="1"/>
  <c r="M101"/>
  <c r="J101"/>
  <c r="N100"/>
  <c r="O100" s="1"/>
  <c r="M100"/>
  <c r="J100"/>
  <c r="N99"/>
  <c r="O99" s="1"/>
  <c r="M99"/>
  <c r="J99"/>
  <c r="N98"/>
  <c r="O98" s="1"/>
  <c r="M98"/>
  <c r="J98"/>
  <c r="N97"/>
  <c r="O97" s="1"/>
  <c r="M97"/>
  <c r="J97"/>
  <c r="N96"/>
  <c r="O96" s="1"/>
  <c r="M96"/>
  <c r="J96"/>
  <c r="N95"/>
  <c r="M95"/>
  <c r="J95"/>
  <c r="O95" l="1"/>
  <c r="N94" l="1"/>
  <c r="M94"/>
  <c r="M131" s="1"/>
  <c r="J94"/>
  <c r="J131" s="1"/>
  <c r="R2212" i="36"/>
  <c r="L2200"/>
  <c r="N2199"/>
  <c r="O2199" s="1"/>
  <c r="M2199"/>
  <c r="J2199"/>
  <c r="N2198"/>
  <c r="O2198" s="1"/>
  <c r="M2198"/>
  <c r="J2198"/>
  <c r="N2197"/>
  <c r="O2197" s="1"/>
  <c r="M2197"/>
  <c r="J2197"/>
  <c r="N2196"/>
  <c r="O2196" s="1"/>
  <c r="M2196"/>
  <c r="J2196"/>
  <c r="N2195"/>
  <c r="O2195" s="1"/>
  <c r="M2195"/>
  <c r="J2195"/>
  <c r="N2194"/>
  <c r="O2194" s="1"/>
  <c r="M2194"/>
  <c r="J2194"/>
  <c r="N2193"/>
  <c r="O2193" s="1"/>
  <c r="M2193"/>
  <c r="J2193"/>
  <c r="N2192"/>
  <c r="O2192" s="1"/>
  <c r="M2192"/>
  <c r="J2192"/>
  <c r="N2191"/>
  <c r="O2191" s="1"/>
  <c r="M2191"/>
  <c r="J2191"/>
  <c r="M2190"/>
  <c r="I2190"/>
  <c r="N2190" s="1"/>
  <c r="O2190" s="1"/>
  <c r="M2189"/>
  <c r="I2189"/>
  <c r="M2188"/>
  <c r="I2188"/>
  <c r="N2188" s="1"/>
  <c r="R2186"/>
  <c r="N2185"/>
  <c r="O2185" s="1"/>
  <c r="M2185"/>
  <c r="J2185"/>
  <c r="N2184"/>
  <c r="O2184" s="1"/>
  <c r="M2184"/>
  <c r="J2184"/>
  <c r="N2183"/>
  <c r="O2183" s="1"/>
  <c r="M2183"/>
  <c r="J2183"/>
  <c r="N2182"/>
  <c r="O2182" s="1"/>
  <c r="M2182"/>
  <c r="J2182"/>
  <c r="N2181"/>
  <c r="O2181" s="1"/>
  <c r="M2181"/>
  <c r="J2181"/>
  <c r="L2180"/>
  <c r="L2186" s="1"/>
  <c r="J2180"/>
  <c r="M2179"/>
  <c r="I2179"/>
  <c r="I2186" s="1"/>
  <c r="L60" i="40"/>
  <c r="R2177" i="36"/>
  <c r="O2177"/>
  <c r="Q2165"/>
  <c r="N2164"/>
  <c r="O2164" s="1"/>
  <c r="M2164"/>
  <c r="J2164"/>
  <c r="N2163"/>
  <c r="O2163" s="1"/>
  <c r="M2163"/>
  <c r="J2163"/>
  <c r="N2162"/>
  <c r="O2162" s="1"/>
  <c r="M2162"/>
  <c r="J2162"/>
  <c r="N2161"/>
  <c r="O2161" s="1"/>
  <c r="M2161"/>
  <c r="J2161"/>
  <c r="N2160"/>
  <c r="O2160" s="1"/>
  <c r="M2160"/>
  <c r="J2160"/>
  <c r="N2159"/>
  <c r="O2159" s="1"/>
  <c r="M2159"/>
  <c r="J2159"/>
  <c r="N2158"/>
  <c r="O2158" s="1"/>
  <c r="M2158"/>
  <c r="J2158"/>
  <c r="L2157"/>
  <c r="L2165" s="1"/>
  <c r="I2157"/>
  <c r="M2156"/>
  <c r="I2156"/>
  <c r="N2156" s="1"/>
  <c r="R2154"/>
  <c r="L2154"/>
  <c r="N2153"/>
  <c r="O2153" s="1"/>
  <c r="M2153"/>
  <c r="J2153"/>
  <c r="N2152"/>
  <c r="O2152" s="1"/>
  <c r="M2152"/>
  <c r="J2152"/>
  <c r="N2151"/>
  <c r="O2151" s="1"/>
  <c r="M2151"/>
  <c r="J2151"/>
  <c r="N2150"/>
  <c r="O2150" s="1"/>
  <c r="M2150"/>
  <c r="J2150"/>
  <c r="N2149"/>
  <c r="O2149" s="1"/>
  <c r="M2149"/>
  <c r="J2149"/>
  <c r="N2148"/>
  <c r="O2148" s="1"/>
  <c r="M2148"/>
  <c r="J2148"/>
  <c r="M2147"/>
  <c r="I2147"/>
  <c r="I2154" s="1"/>
  <c r="R2145"/>
  <c r="N2144"/>
  <c r="O2144" s="1"/>
  <c r="M2144"/>
  <c r="J2144"/>
  <c r="N2143"/>
  <c r="O2143" s="1"/>
  <c r="M2143"/>
  <c r="J2143"/>
  <c r="N2142"/>
  <c r="O2142" s="1"/>
  <c r="M2142"/>
  <c r="J2142"/>
  <c r="N2141"/>
  <c r="O2141" s="1"/>
  <c r="M2141"/>
  <c r="J2141"/>
  <c r="N2140"/>
  <c r="O2140" s="1"/>
  <c r="M2140"/>
  <c r="J2140"/>
  <c r="N2139"/>
  <c r="O2139" s="1"/>
  <c r="M2139"/>
  <c r="J2139"/>
  <c r="N2138"/>
  <c r="O2138" s="1"/>
  <c r="M2138"/>
  <c r="J2138"/>
  <c r="L2137"/>
  <c r="L2145" s="1"/>
  <c r="J2137"/>
  <c r="N2136"/>
  <c r="O2136" s="1"/>
  <c r="M2136"/>
  <c r="J2136"/>
  <c r="N2135"/>
  <c r="O2135" s="1"/>
  <c r="M2135"/>
  <c r="J2135"/>
  <c r="N2134"/>
  <c r="O2134" s="1"/>
  <c r="M2134"/>
  <c r="J2134"/>
  <c r="N2133"/>
  <c r="O2133" s="1"/>
  <c r="M2133"/>
  <c r="J2133"/>
  <c r="N2132"/>
  <c r="O2132" s="1"/>
  <c r="M2132"/>
  <c r="J2132"/>
  <c r="N2131"/>
  <c r="O2131" s="1"/>
  <c r="M2131"/>
  <c r="J2131"/>
  <c r="N2130"/>
  <c r="O2130" s="1"/>
  <c r="M2130"/>
  <c r="J2130"/>
  <c r="N2129"/>
  <c r="O2129" s="1"/>
  <c r="M2129"/>
  <c r="J2129"/>
  <c r="M2128"/>
  <c r="I2128"/>
  <c r="I2145" s="1"/>
  <c r="Q2126"/>
  <c r="N2125"/>
  <c r="O2125" s="1"/>
  <c r="M2125"/>
  <c r="J2125"/>
  <c r="M2180" l="1"/>
  <c r="J2156"/>
  <c r="M2200"/>
  <c r="J2147"/>
  <c r="J2154" s="1"/>
  <c r="M2186"/>
  <c r="M2154"/>
  <c r="I2165"/>
  <c r="J2179"/>
  <c r="J2186" s="1"/>
  <c r="N2179"/>
  <c r="J2188"/>
  <c r="J2190"/>
  <c r="N2147"/>
  <c r="N2154" s="1"/>
  <c r="I2200"/>
  <c r="O94" i="50"/>
  <c r="O131" s="1"/>
  <c r="N131"/>
  <c r="O2188" i="36"/>
  <c r="J2189"/>
  <c r="N2189"/>
  <c r="O2189" s="1"/>
  <c r="O2179"/>
  <c r="N2180"/>
  <c r="O2180" s="1"/>
  <c r="O2156"/>
  <c r="J2157"/>
  <c r="J2165" s="1"/>
  <c r="M2157"/>
  <c r="M2165" s="1"/>
  <c r="N2157"/>
  <c r="O2157" s="1"/>
  <c r="N2137"/>
  <c r="O2137" s="1"/>
  <c r="J2128"/>
  <c r="J2145" s="1"/>
  <c r="N2128"/>
  <c r="N2145" s="1"/>
  <c r="M2137"/>
  <c r="M2145" s="1"/>
  <c r="O2147" l="1"/>
  <c r="O2154" s="1"/>
  <c r="J2200"/>
  <c r="O2186"/>
  <c r="N2165"/>
  <c r="N2200"/>
  <c r="O2165"/>
  <c r="O2200"/>
  <c r="N2186"/>
  <c r="O2128"/>
  <c r="O2145" s="1"/>
  <c r="N2124" l="1"/>
  <c r="O2124" s="1"/>
  <c r="M2124"/>
  <c r="J2124"/>
  <c r="N2123"/>
  <c r="O2123" s="1"/>
  <c r="M2123"/>
  <c r="J2123"/>
  <c r="N2122"/>
  <c r="O2122" s="1"/>
  <c r="M2122"/>
  <c r="J2122"/>
  <c r="R2120"/>
  <c r="O2120"/>
  <c r="O2106"/>
  <c r="P2106" s="1"/>
  <c r="N2106"/>
  <c r="K2106"/>
  <c r="O2105"/>
  <c r="P2105" s="1"/>
  <c r="N2105"/>
  <c r="K2105"/>
  <c r="O2104"/>
  <c r="P2104" s="1"/>
  <c r="N2104"/>
  <c r="K2104"/>
  <c r="O2103"/>
  <c r="P2103" s="1"/>
  <c r="N2103"/>
  <c r="K2103"/>
  <c r="O2102"/>
  <c r="P2102" s="1"/>
  <c r="N2102"/>
  <c r="K2102"/>
  <c r="O2101"/>
  <c r="P2101" s="1"/>
  <c r="N2101"/>
  <c r="K2101"/>
  <c r="O2100"/>
  <c r="P2100" s="1"/>
  <c r="N2100"/>
  <c r="K2100"/>
  <c r="O2099"/>
  <c r="P2099" s="1"/>
  <c r="N2099"/>
  <c r="K2099"/>
  <c r="L146" i="42"/>
  <c r="L82"/>
  <c r="L85"/>
  <c r="L87"/>
  <c r="L107" i="49" l="1"/>
  <c r="L144" i="42"/>
  <c r="L142"/>
  <c r="L140"/>
  <c r="N161"/>
  <c r="O161" s="1"/>
  <c r="L167" l="1"/>
  <c r="J166"/>
  <c r="J165"/>
  <c r="J164"/>
  <c r="J163"/>
  <c r="J162"/>
  <c r="I146"/>
  <c r="I145"/>
  <c r="N145" s="1"/>
  <c r="O145" s="1"/>
  <c r="I143"/>
  <c r="I141"/>
  <c r="I140"/>
  <c r="N166"/>
  <c r="O166" s="1"/>
  <c r="M166"/>
  <c r="N165"/>
  <c r="O165" s="1"/>
  <c r="M165"/>
  <c r="N164"/>
  <c r="O164" s="1"/>
  <c r="M164"/>
  <c r="N163"/>
  <c r="O163" s="1"/>
  <c r="M163"/>
  <c r="N162"/>
  <c r="O162" s="1"/>
  <c r="M162"/>
  <c r="M161"/>
  <c r="J161"/>
  <c r="N160"/>
  <c r="O160" s="1"/>
  <c r="M160"/>
  <c r="J160"/>
  <c r="N159"/>
  <c r="O159" s="1"/>
  <c r="M159"/>
  <c r="J159"/>
  <c r="N158"/>
  <c r="O158" s="1"/>
  <c r="M158"/>
  <c r="J158"/>
  <c r="N157"/>
  <c r="O157" s="1"/>
  <c r="M157"/>
  <c r="J157"/>
  <c r="N156"/>
  <c r="O156" s="1"/>
  <c r="M156"/>
  <c r="J156"/>
  <c r="N155"/>
  <c r="O155" s="1"/>
  <c r="M155"/>
  <c r="J155"/>
  <c r="N154"/>
  <c r="O154" s="1"/>
  <c r="M154"/>
  <c r="J154"/>
  <c r="N153"/>
  <c r="O153" s="1"/>
  <c r="M153"/>
  <c r="J153"/>
  <c r="N152"/>
  <c r="O152" s="1"/>
  <c r="M152"/>
  <c r="J152"/>
  <c r="I144"/>
  <c r="I142"/>
  <c r="N142" s="1"/>
  <c r="O142" s="1"/>
  <c r="I139"/>
  <c r="I138"/>
  <c r="N138" s="1"/>
  <c r="O138" s="1"/>
  <c r="I136"/>
  <c r="I135"/>
  <c r="N151"/>
  <c r="O151" s="1"/>
  <c r="M151"/>
  <c r="J151"/>
  <c r="N150"/>
  <c r="O150" s="1"/>
  <c r="M150"/>
  <c r="J150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M145"/>
  <c r="J145"/>
  <c r="N144"/>
  <c r="O144" s="1"/>
  <c r="M144"/>
  <c r="J144"/>
  <c r="N143"/>
  <c r="O143" s="1"/>
  <c r="M143"/>
  <c r="J143"/>
  <c r="M142"/>
  <c r="N141"/>
  <c r="O141" s="1"/>
  <c r="M141"/>
  <c r="J141"/>
  <c r="N140"/>
  <c r="O140" s="1"/>
  <c r="M140"/>
  <c r="J140"/>
  <c r="N139"/>
  <c r="O139" s="1"/>
  <c r="M139"/>
  <c r="J139"/>
  <c r="M138"/>
  <c r="N137"/>
  <c r="O137" s="1"/>
  <c r="M137"/>
  <c r="J137"/>
  <c r="M136"/>
  <c r="J138" l="1"/>
  <c r="J142"/>
  <c r="I167"/>
  <c r="J136"/>
  <c r="N136"/>
  <c r="O136" s="1"/>
  <c r="N135" l="1"/>
  <c r="N167" s="1"/>
  <c r="M135"/>
  <c r="M167" s="1"/>
  <c r="J135"/>
  <c r="J167" s="1"/>
  <c r="L92" i="50"/>
  <c r="J91"/>
  <c r="J90"/>
  <c r="J89"/>
  <c r="I87"/>
  <c r="I92" s="1"/>
  <c r="N91"/>
  <c r="O91" s="1"/>
  <c r="M91"/>
  <c r="N90"/>
  <c r="O90" s="1"/>
  <c r="M90"/>
  <c r="N89"/>
  <c r="O89" s="1"/>
  <c r="M89"/>
  <c r="N88"/>
  <c r="O88" s="1"/>
  <c r="M88"/>
  <c r="J88"/>
  <c r="N87"/>
  <c r="M87"/>
  <c r="M92" s="1"/>
  <c r="J87"/>
  <c r="L86"/>
  <c r="J85"/>
  <c r="J84"/>
  <c r="N85"/>
  <c r="O85" s="1"/>
  <c r="M85"/>
  <c r="N84"/>
  <c r="O84" s="1"/>
  <c r="M84"/>
  <c r="N83"/>
  <c r="O83" s="1"/>
  <c r="M83"/>
  <c r="J83"/>
  <c r="N82"/>
  <c r="O82" s="1"/>
  <c r="M82"/>
  <c r="J82"/>
  <c r="N81"/>
  <c r="O81" s="1"/>
  <c r="M81"/>
  <c r="J81"/>
  <c r="N80"/>
  <c r="O80" s="1"/>
  <c r="M80"/>
  <c r="J80"/>
  <c r="N79"/>
  <c r="O79" s="1"/>
  <c r="M79"/>
  <c r="J79"/>
  <c r="I72"/>
  <c r="I71"/>
  <c r="I70"/>
  <c r="I68"/>
  <c r="J92" l="1"/>
  <c r="O135" i="42"/>
  <c r="O167" s="1"/>
  <c r="N92" i="50"/>
  <c r="O87"/>
  <c r="O92" s="1"/>
  <c r="R2097" i="36" l="1"/>
  <c r="O2097"/>
  <c r="M675" i="35"/>
  <c r="N2068" i="36"/>
  <c r="O2068" s="1"/>
  <c r="M2068"/>
  <c r="J2068"/>
  <c r="N2067"/>
  <c r="O2067" s="1"/>
  <c r="M2067"/>
  <c r="J2067"/>
  <c r="N2066"/>
  <c r="O2066" s="1"/>
  <c r="M2066"/>
  <c r="J2066"/>
  <c r="N2065"/>
  <c r="O2065" s="1"/>
  <c r="M2065"/>
  <c r="J2065"/>
  <c r="L2064"/>
  <c r="L2069" s="1"/>
  <c r="J2064"/>
  <c r="N2063"/>
  <c r="O2063" s="1"/>
  <c r="M2063"/>
  <c r="J2063"/>
  <c r="N2062"/>
  <c r="O2062" s="1"/>
  <c r="M2062"/>
  <c r="J2062"/>
  <c r="N2061"/>
  <c r="O2061" s="1"/>
  <c r="M2061"/>
  <c r="J2061"/>
  <c r="N2060"/>
  <c r="O2060" s="1"/>
  <c r="M2060"/>
  <c r="J2060"/>
  <c r="N2059"/>
  <c r="O2059" s="1"/>
  <c r="M2059"/>
  <c r="J2059"/>
  <c r="N2058"/>
  <c r="O2058" s="1"/>
  <c r="M2058"/>
  <c r="J2058"/>
  <c r="N2057"/>
  <c r="O2057" s="1"/>
  <c r="M2057"/>
  <c r="J2057"/>
  <c r="M2056"/>
  <c r="I2056"/>
  <c r="N2056" s="1"/>
  <c r="O2056" s="1"/>
  <c r="M2055"/>
  <c r="I2055"/>
  <c r="N2055" s="1"/>
  <c r="O2055" s="1"/>
  <c r="M2054"/>
  <c r="I2054"/>
  <c r="N2054" s="1"/>
  <c r="O2054" s="1"/>
  <c r="M2053"/>
  <c r="I2053"/>
  <c r="I2069" s="1"/>
  <c r="J2055" l="1"/>
  <c r="J2053"/>
  <c r="N2053"/>
  <c r="N2064"/>
  <c r="O2064" s="1"/>
  <c r="O2053"/>
  <c r="J2054"/>
  <c r="J2056"/>
  <c r="M2064"/>
  <c r="M2069" s="1"/>
  <c r="J2069" l="1"/>
  <c r="O2069"/>
  <c r="N2069"/>
  <c r="S2051"/>
  <c r="N2050"/>
  <c r="O2050" s="1"/>
  <c r="M2050"/>
  <c r="J2050"/>
  <c r="N2049"/>
  <c r="O2049" s="1"/>
  <c r="M2049"/>
  <c r="J2049"/>
  <c r="M2048"/>
  <c r="I2048"/>
  <c r="N2048" s="1"/>
  <c r="O2048" s="1"/>
  <c r="N2046"/>
  <c r="O2046" s="1"/>
  <c r="M2046"/>
  <c r="J2046"/>
  <c r="N2045"/>
  <c r="O2045" s="1"/>
  <c r="M2045"/>
  <c r="J2045"/>
  <c r="N2044"/>
  <c r="O2044" s="1"/>
  <c r="M2044"/>
  <c r="J2044"/>
  <c r="N2043"/>
  <c r="O2043" s="1"/>
  <c r="M2043"/>
  <c r="J2043"/>
  <c r="N2042"/>
  <c r="O2042" s="1"/>
  <c r="M2042"/>
  <c r="J2042"/>
  <c r="N2041"/>
  <c r="O2041" s="1"/>
  <c r="M2041"/>
  <c r="J2041"/>
  <c r="N2040"/>
  <c r="O2040" s="1"/>
  <c r="M2040"/>
  <c r="J2040"/>
  <c r="N2039"/>
  <c r="O2039" s="1"/>
  <c r="M2039"/>
  <c r="J2039"/>
  <c r="N2038"/>
  <c r="O2038" s="1"/>
  <c r="M2038"/>
  <c r="J2038"/>
  <c r="N2037"/>
  <c r="O2037" s="1"/>
  <c r="M2037"/>
  <c r="J2037"/>
  <c r="N2036"/>
  <c r="O2036" s="1"/>
  <c r="M2036"/>
  <c r="J2036"/>
  <c r="N2035"/>
  <c r="O2035" s="1"/>
  <c r="M2035"/>
  <c r="J2035"/>
  <c r="N2034"/>
  <c r="O2034" s="1"/>
  <c r="M2034"/>
  <c r="J2034"/>
  <c r="N2033"/>
  <c r="O2033" s="1"/>
  <c r="M2033"/>
  <c r="J2033"/>
  <c r="N2032"/>
  <c r="O2032" s="1"/>
  <c r="M2032"/>
  <c r="J2032"/>
  <c r="N2031"/>
  <c r="O2031" s="1"/>
  <c r="M2031"/>
  <c r="J2031"/>
  <c r="N2030"/>
  <c r="O2030" s="1"/>
  <c r="M2030"/>
  <c r="J2030"/>
  <c r="N2029"/>
  <c r="O2029" s="1"/>
  <c r="M2029"/>
  <c r="J2029"/>
  <c r="N2028"/>
  <c r="O2028" s="1"/>
  <c r="M2028"/>
  <c r="J2028"/>
  <c r="N2027"/>
  <c r="O2027" s="1"/>
  <c r="M2027"/>
  <c r="J2027"/>
  <c r="N2026"/>
  <c r="O2026" s="1"/>
  <c r="M2026"/>
  <c r="J2026"/>
  <c r="N2025"/>
  <c r="O2025" s="1"/>
  <c r="M2025"/>
  <c r="J2025"/>
  <c r="N2024"/>
  <c r="O2024" s="1"/>
  <c r="M2024"/>
  <c r="J2024"/>
  <c r="N2023"/>
  <c r="O2023" s="1"/>
  <c r="M2023"/>
  <c r="J2023"/>
  <c r="N2022"/>
  <c r="O2022" s="1"/>
  <c r="M2022"/>
  <c r="J2022"/>
  <c r="N2021"/>
  <c r="O2021" s="1"/>
  <c r="M2021"/>
  <c r="J2021"/>
  <c r="N2020"/>
  <c r="O2020" s="1"/>
  <c r="M2020"/>
  <c r="J2020"/>
  <c r="N2019"/>
  <c r="O2019" s="1"/>
  <c r="M2019"/>
  <c r="J2019"/>
  <c r="N2018"/>
  <c r="O2018" s="1"/>
  <c r="M2018"/>
  <c r="J2018"/>
  <c r="N2017"/>
  <c r="O2017" s="1"/>
  <c r="M2017"/>
  <c r="J2017"/>
  <c r="N2016"/>
  <c r="O2016" s="1"/>
  <c r="M2016"/>
  <c r="J2016"/>
  <c r="N2015"/>
  <c r="O2015" s="1"/>
  <c r="M2015"/>
  <c r="J2015"/>
  <c r="N2014"/>
  <c r="O2014" s="1"/>
  <c r="M2014"/>
  <c r="J2014"/>
  <c r="N2013"/>
  <c r="O2013" s="1"/>
  <c r="M2013"/>
  <c r="J2013"/>
  <c r="N2012"/>
  <c r="O2012" s="1"/>
  <c r="M2012"/>
  <c r="J2012"/>
  <c r="N2011"/>
  <c r="O2011" s="1"/>
  <c r="M2011"/>
  <c r="J2011"/>
  <c r="N2010"/>
  <c r="O2010" s="1"/>
  <c r="M2010"/>
  <c r="J2010"/>
  <c r="N2009"/>
  <c r="O2009" s="1"/>
  <c r="M2009"/>
  <c r="J2009"/>
  <c r="N2008"/>
  <c r="O2008" s="1"/>
  <c r="M2008"/>
  <c r="J2008"/>
  <c r="N2007"/>
  <c r="O2007" s="1"/>
  <c r="M2007"/>
  <c r="J2007"/>
  <c r="N2006"/>
  <c r="O2006" s="1"/>
  <c r="M2006"/>
  <c r="J2006"/>
  <c r="N2005"/>
  <c r="O2005" s="1"/>
  <c r="M2005"/>
  <c r="J2005"/>
  <c r="N2004"/>
  <c r="O2004" s="1"/>
  <c r="M2004"/>
  <c r="J2004"/>
  <c r="N2003"/>
  <c r="O2003" s="1"/>
  <c r="M2003"/>
  <c r="J2003"/>
  <c r="N2002"/>
  <c r="O2002" s="1"/>
  <c r="M2002"/>
  <c r="J2002"/>
  <c r="N2001"/>
  <c r="O2001" s="1"/>
  <c r="M2001"/>
  <c r="J2001"/>
  <c r="N2000"/>
  <c r="O2000" s="1"/>
  <c r="M2000"/>
  <c r="J2000"/>
  <c r="N1999"/>
  <c r="O1999" s="1"/>
  <c r="M1999"/>
  <c r="J1999"/>
  <c r="N1998"/>
  <c r="O1998" s="1"/>
  <c r="M1998"/>
  <c r="J1998"/>
  <c r="N1997"/>
  <c r="O1997" s="1"/>
  <c r="M1997"/>
  <c r="J1997"/>
  <c r="L1996"/>
  <c r="M1996" s="1"/>
  <c r="I1996"/>
  <c r="M1995"/>
  <c r="I1995"/>
  <c r="N1995" s="1"/>
  <c r="O1995" s="1"/>
  <c r="L1994"/>
  <c r="L2051" s="1"/>
  <c r="I1994"/>
  <c r="M1993"/>
  <c r="I1993"/>
  <c r="N1993" s="1"/>
  <c r="O1993" s="1"/>
  <c r="M1992"/>
  <c r="I1992"/>
  <c r="I2051" s="1"/>
  <c r="T311" i="38"/>
  <c r="S311"/>
  <c r="L254"/>
  <c r="Q1990" i="36"/>
  <c r="N1989"/>
  <c r="O1989" s="1"/>
  <c r="M1989"/>
  <c r="J1989"/>
  <c r="N1988"/>
  <c r="O1988" s="1"/>
  <c r="M1988"/>
  <c r="J1988"/>
  <c r="N1987"/>
  <c r="O1987" s="1"/>
  <c r="M1987"/>
  <c r="J1987"/>
  <c r="N1986"/>
  <c r="O1986" s="1"/>
  <c r="M1986"/>
  <c r="J1986"/>
  <c r="N1985"/>
  <c r="O1985" s="1"/>
  <c r="M1985"/>
  <c r="J1985"/>
  <c r="N1984"/>
  <c r="O1984" s="1"/>
  <c r="M1984"/>
  <c r="J1984"/>
  <c r="N1983"/>
  <c r="O1983" s="1"/>
  <c r="M1983"/>
  <c r="J1983"/>
  <c r="L1982"/>
  <c r="M1982" s="1"/>
  <c r="I1982"/>
  <c r="L1981"/>
  <c r="M1981" s="1"/>
  <c r="I1981"/>
  <c r="J1981" s="1"/>
  <c r="L1980"/>
  <c r="M1980" s="1"/>
  <c r="I1980"/>
  <c r="J1980" s="1"/>
  <c r="L1979"/>
  <c r="L1990" s="1"/>
  <c r="I1979"/>
  <c r="J1979" s="1"/>
  <c r="M1978"/>
  <c r="I1978"/>
  <c r="I1990" s="1"/>
  <c r="N1977"/>
  <c r="O1977" s="1"/>
  <c r="M1977"/>
  <c r="J1977"/>
  <c r="N1976"/>
  <c r="O1976" s="1"/>
  <c r="M1976"/>
  <c r="J1976"/>
  <c r="N1975"/>
  <c r="O1975" s="1"/>
  <c r="M1975"/>
  <c r="J1975"/>
  <c r="N1974"/>
  <c r="O1974" s="1"/>
  <c r="M1974"/>
  <c r="J1974"/>
  <c r="N1973"/>
  <c r="O1973" s="1"/>
  <c r="M1973"/>
  <c r="J1973"/>
  <c r="L240" i="38"/>
  <c r="L239"/>
  <c r="O1971" i="36"/>
  <c r="J1978" l="1"/>
  <c r="N1978"/>
  <c r="O1978" s="1"/>
  <c r="N1994"/>
  <c r="O1994" s="1"/>
  <c r="N1996"/>
  <c r="O1996" s="1"/>
  <c r="N1982"/>
  <c r="O1982" s="1"/>
  <c r="J1992"/>
  <c r="N1992"/>
  <c r="J1994"/>
  <c r="M1994"/>
  <c r="J1995"/>
  <c r="M2051"/>
  <c r="J1993"/>
  <c r="J1996"/>
  <c r="J2048"/>
  <c r="N1979"/>
  <c r="O1979" s="1"/>
  <c r="N1980"/>
  <c r="O1980" s="1"/>
  <c r="N1981"/>
  <c r="O1981" s="1"/>
  <c r="M1979"/>
  <c r="M1990" s="1"/>
  <c r="J1982"/>
  <c r="J1990" s="1"/>
  <c r="N2051" l="1"/>
  <c r="O1992"/>
  <c r="O2051" s="1"/>
  <c r="O1990"/>
  <c r="J2051"/>
  <c r="N1990"/>
  <c r="L155" i="37" l="1"/>
  <c r="M17" i="35"/>
  <c r="L153" i="37"/>
  <c r="M153" s="1"/>
  <c r="L175"/>
  <c r="L156"/>
  <c r="M156" s="1"/>
  <c r="L154"/>
  <c r="I156"/>
  <c r="I155"/>
  <c r="I152"/>
  <c r="N175"/>
  <c r="O175" s="1"/>
  <c r="M175"/>
  <c r="J175"/>
  <c r="M174"/>
  <c r="N174"/>
  <c r="O174" s="1"/>
  <c r="N173"/>
  <c r="O173" s="1"/>
  <c r="M173"/>
  <c r="J173"/>
  <c r="M172"/>
  <c r="N172"/>
  <c r="O172" s="1"/>
  <c r="N171"/>
  <c r="O171" s="1"/>
  <c r="M171"/>
  <c r="J171"/>
  <c r="M170"/>
  <c r="N170"/>
  <c r="O170" s="1"/>
  <c r="N169"/>
  <c r="O169" s="1"/>
  <c r="M169"/>
  <c r="J169"/>
  <c r="M168"/>
  <c r="N168"/>
  <c r="O168" s="1"/>
  <c r="N167"/>
  <c r="O167" s="1"/>
  <c r="M167"/>
  <c r="J167"/>
  <c r="M166"/>
  <c r="N166"/>
  <c r="O166" s="1"/>
  <c r="N165"/>
  <c r="O165" s="1"/>
  <c r="M165"/>
  <c r="J165"/>
  <c r="M164"/>
  <c r="N164"/>
  <c r="O164" s="1"/>
  <c r="N163"/>
  <c r="O163" s="1"/>
  <c r="M163"/>
  <c r="J163"/>
  <c r="M162"/>
  <c r="N162"/>
  <c r="O162" s="1"/>
  <c r="N161"/>
  <c r="O161" s="1"/>
  <c r="M161"/>
  <c r="J161"/>
  <c r="M160"/>
  <c r="N160"/>
  <c r="O160" s="1"/>
  <c r="N159"/>
  <c r="O159" s="1"/>
  <c r="M159"/>
  <c r="J159"/>
  <c r="M158"/>
  <c r="N158"/>
  <c r="O158" s="1"/>
  <c r="N157"/>
  <c r="O157" s="1"/>
  <c r="M157"/>
  <c r="J157"/>
  <c r="N156"/>
  <c r="O156" s="1"/>
  <c r="M155"/>
  <c r="J155"/>
  <c r="M154"/>
  <c r="N154"/>
  <c r="O154" s="1"/>
  <c r="N153"/>
  <c r="O153" s="1"/>
  <c r="J153"/>
  <c r="M152"/>
  <c r="J152"/>
  <c r="O2625" i="35"/>
  <c r="N155" i="37" l="1"/>
  <c r="O155" s="1"/>
  <c r="L176"/>
  <c r="I176"/>
  <c r="M176"/>
  <c r="J166"/>
  <c r="J168"/>
  <c r="J170"/>
  <c r="J172"/>
  <c r="J174"/>
  <c r="J154"/>
  <c r="J156"/>
  <c r="J158"/>
  <c r="J160"/>
  <c r="J162"/>
  <c r="J164"/>
  <c r="N152"/>
  <c r="N176" s="1"/>
  <c r="J176" l="1"/>
  <c r="O152"/>
  <c r="O176" s="1"/>
  <c r="T1948" i="36" l="1"/>
  <c r="L14" i="52" l="1"/>
  <c r="N13"/>
  <c r="O13" s="1"/>
  <c r="M13"/>
  <c r="J13"/>
  <c r="N12"/>
  <c r="O12" s="1"/>
  <c r="M12"/>
  <c r="J12"/>
  <c r="N11"/>
  <c r="O11" s="1"/>
  <c r="M11"/>
  <c r="J11"/>
  <c r="N10"/>
  <c r="O10" s="1"/>
  <c r="M10"/>
  <c r="J10"/>
  <c r="N9"/>
  <c r="O9" s="1"/>
  <c r="M9"/>
  <c r="J9"/>
  <c r="N8"/>
  <c r="O8" s="1"/>
  <c r="M8"/>
  <c r="J8"/>
  <c r="N7"/>
  <c r="O7" s="1"/>
  <c r="M7"/>
  <c r="J7"/>
  <c r="I7"/>
  <c r="M6"/>
  <c r="M14" s="1"/>
  <c r="I6"/>
  <c r="I14" s="1"/>
  <c r="L101" i="40"/>
  <c r="L95"/>
  <c r="J6" i="52" l="1"/>
  <c r="J14" s="1"/>
  <c r="N6"/>
  <c r="I19" i="50"/>
  <c r="I74"/>
  <c r="I73"/>
  <c r="I69"/>
  <c r="N78"/>
  <c r="O78" s="1"/>
  <c r="M78"/>
  <c r="J78"/>
  <c r="N77"/>
  <c r="O77" s="1"/>
  <c r="M77"/>
  <c r="J77"/>
  <c r="N76"/>
  <c r="O76" s="1"/>
  <c r="M76"/>
  <c r="J76"/>
  <c r="N75"/>
  <c r="O75" s="1"/>
  <c r="M75"/>
  <c r="J75"/>
  <c r="N74"/>
  <c r="O74" s="1"/>
  <c r="M74"/>
  <c r="J74"/>
  <c r="N73"/>
  <c r="O73" s="1"/>
  <c r="M73"/>
  <c r="J73"/>
  <c r="N72"/>
  <c r="O72" s="1"/>
  <c r="M72"/>
  <c r="J72"/>
  <c r="N71"/>
  <c r="O71" s="1"/>
  <c r="M71"/>
  <c r="J71"/>
  <c r="N70"/>
  <c r="O70" s="1"/>
  <c r="M70"/>
  <c r="J70"/>
  <c r="N69"/>
  <c r="O69" s="1"/>
  <c r="M69"/>
  <c r="J69"/>
  <c r="N68"/>
  <c r="N86" s="1"/>
  <c r="M68"/>
  <c r="J68"/>
  <c r="J86" s="1"/>
  <c r="L19"/>
  <c r="I32"/>
  <c r="J31"/>
  <c r="J30"/>
  <c r="L66"/>
  <c r="I65"/>
  <c r="I66" s="1"/>
  <c r="M65"/>
  <c r="N64"/>
  <c r="O64" s="1"/>
  <c r="M64"/>
  <c r="J64"/>
  <c r="N63"/>
  <c r="O63" s="1"/>
  <c r="M63"/>
  <c r="J63"/>
  <c r="N62"/>
  <c r="O62" s="1"/>
  <c r="M62"/>
  <c r="J62"/>
  <c r="I54"/>
  <c r="N54" s="1"/>
  <c r="O54" s="1"/>
  <c r="L60"/>
  <c r="I56"/>
  <c r="N56" s="1"/>
  <c r="O56" s="1"/>
  <c r="I52"/>
  <c r="N59"/>
  <c r="O59" s="1"/>
  <c r="M59"/>
  <c r="J59"/>
  <c r="N58"/>
  <c r="O58" s="1"/>
  <c r="M58"/>
  <c r="J58"/>
  <c r="N57"/>
  <c r="O57" s="1"/>
  <c r="M57"/>
  <c r="J57"/>
  <c r="M56"/>
  <c r="N55"/>
  <c r="O55" s="1"/>
  <c r="M55"/>
  <c r="J55"/>
  <c r="M54"/>
  <c r="N53"/>
  <c r="O53" s="1"/>
  <c r="M53"/>
  <c r="J53"/>
  <c r="N52"/>
  <c r="O52" s="1"/>
  <c r="M52"/>
  <c r="J52"/>
  <c r="L41"/>
  <c r="M41" s="1"/>
  <c r="I43"/>
  <c r="I42"/>
  <c r="N42" s="1"/>
  <c r="O42" s="1"/>
  <c r="I41"/>
  <c r="J41" s="1"/>
  <c r="N49"/>
  <c r="O49" s="1"/>
  <c r="M49"/>
  <c r="J49"/>
  <c r="N48"/>
  <c r="O48" s="1"/>
  <c r="M48"/>
  <c r="J48"/>
  <c r="N47"/>
  <c r="O47" s="1"/>
  <c r="M47"/>
  <c r="J47"/>
  <c r="N46"/>
  <c r="O46" s="1"/>
  <c r="M46"/>
  <c r="J46"/>
  <c r="N45"/>
  <c r="O45" s="1"/>
  <c r="M45"/>
  <c r="J45"/>
  <c r="M44"/>
  <c r="J44"/>
  <c r="N43"/>
  <c r="O43" s="1"/>
  <c r="M43"/>
  <c r="J43"/>
  <c r="M42"/>
  <c r="N41"/>
  <c r="O41" s="1"/>
  <c r="N40"/>
  <c r="M40"/>
  <c r="J40"/>
  <c r="N39"/>
  <c r="O39" s="1"/>
  <c r="M39"/>
  <c r="J39"/>
  <c r="L161" i="49"/>
  <c r="L164"/>
  <c r="M164" s="1"/>
  <c r="L160"/>
  <c r="L159"/>
  <c r="J164"/>
  <c r="J163"/>
  <c r="N164" l="1"/>
  <c r="O164" s="1"/>
  <c r="M86" i="50"/>
  <c r="J65"/>
  <c r="N65"/>
  <c r="O65" s="1"/>
  <c r="O66" s="1"/>
  <c r="I86"/>
  <c r="O68"/>
  <c r="O86" s="1"/>
  <c r="I60"/>
  <c r="J66"/>
  <c r="N14" i="52"/>
  <c r="O6"/>
  <c r="O14" s="1"/>
  <c r="M50" i="50"/>
  <c r="O60"/>
  <c r="J54"/>
  <c r="J56"/>
  <c r="M66"/>
  <c r="M60"/>
  <c r="N60"/>
  <c r="I50"/>
  <c r="L50"/>
  <c r="J42"/>
  <c r="J50" s="1"/>
  <c r="O40"/>
  <c r="N44"/>
  <c r="O44" s="1"/>
  <c r="L163" i="49"/>
  <c r="M163" s="1"/>
  <c r="I162"/>
  <c r="I161"/>
  <c r="I160"/>
  <c r="N160" s="1"/>
  <c r="O160" s="1"/>
  <c r="I159"/>
  <c r="N159" s="1"/>
  <c r="O159" s="1"/>
  <c r="I158"/>
  <c r="I157"/>
  <c r="N157" s="1"/>
  <c r="O157" s="1"/>
  <c r="I156"/>
  <c r="I153"/>
  <c r="N153" s="1"/>
  <c r="M162"/>
  <c r="M161"/>
  <c r="M160"/>
  <c r="M159"/>
  <c r="M158"/>
  <c r="N158"/>
  <c r="O158" s="1"/>
  <c r="M157"/>
  <c r="M156"/>
  <c r="N156"/>
  <c r="O156" s="1"/>
  <c r="N155"/>
  <c r="O155" s="1"/>
  <c r="M155"/>
  <c r="J155"/>
  <c r="M154"/>
  <c r="N154"/>
  <c r="O154" s="1"/>
  <c r="M153"/>
  <c r="L151"/>
  <c r="I151"/>
  <c r="N150"/>
  <c r="O150" s="1"/>
  <c r="M150"/>
  <c r="J150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M139"/>
  <c r="L138"/>
  <c r="M138" s="1"/>
  <c r="L137"/>
  <c r="L135"/>
  <c r="L133"/>
  <c r="L132"/>
  <c r="M132" s="1"/>
  <c r="I139"/>
  <c r="N139" s="1"/>
  <c r="O139" s="1"/>
  <c r="I138"/>
  <c r="I137"/>
  <c r="N137" s="1"/>
  <c r="O137" s="1"/>
  <c r="I136"/>
  <c r="N136" s="1"/>
  <c r="O136" s="1"/>
  <c r="I135"/>
  <c r="I134"/>
  <c r="N134" s="1"/>
  <c r="O134" s="1"/>
  <c r="I133"/>
  <c r="N133" s="1"/>
  <c r="O133" s="1"/>
  <c r="I132"/>
  <c r="I131"/>
  <c r="N131" s="1"/>
  <c r="O131" s="1"/>
  <c r="I130"/>
  <c r="I129"/>
  <c r="N129" s="1"/>
  <c r="O129" s="1"/>
  <c r="I128"/>
  <c r="N142"/>
  <c r="O142" s="1"/>
  <c r="M142"/>
  <c r="J142"/>
  <c r="N141"/>
  <c r="O141" s="1"/>
  <c r="M141"/>
  <c r="J141"/>
  <c r="N140"/>
  <c r="O140" s="1"/>
  <c r="M140"/>
  <c r="J140"/>
  <c r="M137"/>
  <c r="M136"/>
  <c r="M135"/>
  <c r="M134"/>
  <c r="J134"/>
  <c r="M133"/>
  <c r="J132"/>
  <c r="M131"/>
  <c r="N130"/>
  <c r="O130" s="1"/>
  <c r="M130"/>
  <c r="J130"/>
  <c r="M129"/>
  <c r="N128"/>
  <c r="O128" s="1"/>
  <c r="M128"/>
  <c r="J128"/>
  <c r="L25"/>
  <c r="L24"/>
  <c r="I36"/>
  <c r="I25"/>
  <c r="I24"/>
  <c r="L13"/>
  <c r="L22" s="1"/>
  <c r="I13"/>
  <c r="I5"/>
  <c r="I4"/>
  <c r="I3"/>
  <c r="L118" i="40"/>
  <c r="I126" i="49"/>
  <c r="L126"/>
  <c r="N125"/>
  <c r="O125" s="1"/>
  <c r="M125"/>
  <c r="J125"/>
  <c r="N124"/>
  <c r="O124" s="1"/>
  <c r="M124"/>
  <c r="J124"/>
  <c r="N123"/>
  <c r="O123" s="1"/>
  <c r="M123"/>
  <c r="J123"/>
  <c r="N122"/>
  <c r="O122" s="1"/>
  <c r="M122"/>
  <c r="J122"/>
  <c r="N121"/>
  <c r="O121" s="1"/>
  <c r="M121"/>
  <c r="J121"/>
  <c r="N120"/>
  <c r="O120" s="1"/>
  <c r="M120"/>
  <c r="J120"/>
  <c r="N119"/>
  <c r="O119" s="1"/>
  <c r="M119"/>
  <c r="J119"/>
  <c r="N118"/>
  <c r="O118" s="1"/>
  <c r="M118"/>
  <c r="J118"/>
  <c r="M99"/>
  <c r="L98"/>
  <c r="L102"/>
  <c r="N102" s="1"/>
  <c r="O102" s="1"/>
  <c r="L104"/>
  <c r="M104" s="1"/>
  <c r="I107"/>
  <c r="N107" s="1"/>
  <c r="O107" s="1"/>
  <c r="I106"/>
  <c r="I105"/>
  <c r="N105" s="1"/>
  <c r="O105" s="1"/>
  <c r="I104"/>
  <c r="I99"/>
  <c r="N99" s="1"/>
  <c r="O99" s="1"/>
  <c r="I98"/>
  <c r="J98" s="1"/>
  <c r="I96"/>
  <c r="N96" s="1"/>
  <c r="O96" s="1"/>
  <c r="I95"/>
  <c r="N95" s="1"/>
  <c r="O95" s="1"/>
  <c r="I94"/>
  <c r="N115"/>
  <c r="O115" s="1"/>
  <c r="M115"/>
  <c r="J115"/>
  <c r="N114"/>
  <c r="O114" s="1"/>
  <c r="M114"/>
  <c r="J114"/>
  <c r="N113"/>
  <c r="O113" s="1"/>
  <c r="M113"/>
  <c r="J113"/>
  <c r="N112"/>
  <c r="O112" s="1"/>
  <c r="M112"/>
  <c r="J112"/>
  <c r="N111"/>
  <c r="O111" s="1"/>
  <c r="M111"/>
  <c r="J111"/>
  <c r="N110"/>
  <c r="O110" s="1"/>
  <c r="M110"/>
  <c r="J110"/>
  <c r="N109"/>
  <c r="O109" s="1"/>
  <c r="M109"/>
  <c r="J109"/>
  <c r="N108"/>
  <c r="O108" s="1"/>
  <c r="M108"/>
  <c r="J108"/>
  <c r="M107"/>
  <c r="M106"/>
  <c r="M105"/>
  <c r="N103"/>
  <c r="O103" s="1"/>
  <c r="M103"/>
  <c r="J103"/>
  <c r="M102"/>
  <c r="J102"/>
  <c r="M101"/>
  <c r="J101"/>
  <c r="N101"/>
  <c r="O101" s="1"/>
  <c r="M100"/>
  <c r="J100"/>
  <c r="N100"/>
  <c r="O100" s="1"/>
  <c r="M98"/>
  <c r="N97"/>
  <c r="O97" s="1"/>
  <c r="M97"/>
  <c r="J97"/>
  <c r="M96"/>
  <c r="M95"/>
  <c r="L83"/>
  <c r="M83" s="1"/>
  <c r="L82"/>
  <c r="M82" s="1"/>
  <c r="N91"/>
  <c r="O91" s="1"/>
  <c r="M91"/>
  <c r="J91"/>
  <c r="N90"/>
  <c r="O90" s="1"/>
  <c r="M90"/>
  <c r="J90"/>
  <c r="N89"/>
  <c r="O89" s="1"/>
  <c r="M89"/>
  <c r="J89"/>
  <c r="I83"/>
  <c r="I82"/>
  <c r="I81"/>
  <c r="N81" s="1"/>
  <c r="O81" s="1"/>
  <c r="I80"/>
  <c r="N80" s="1"/>
  <c r="O80" s="1"/>
  <c r="I77"/>
  <c r="N77" s="1"/>
  <c r="O77" s="1"/>
  <c r="I76"/>
  <c r="N86"/>
  <c r="O86" s="1"/>
  <c r="N88"/>
  <c r="O88" s="1"/>
  <c r="M88"/>
  <c r="J88"/>
  <c r="N87"/>
  <c r="O87" s="1"/>
  <c r="M87"/>
  <c r="J87"/>
  <c r="M86"/>
  <c r="N85"/>
  <c r="O85" s="1"/>
  <c r="M85"/>
  <c r="J85"/>
  <c r="N84"/>
  <c r="O84" s="1"/>
  <c r="M84"/>
  <c r="J84"/>
  <c r="M81"/>
  <c r="M80"/>
  <c r="N79"/>
  <c r="O79" s="1"/>
  <c r="M79"/>
  <c r="J79"/>
  <c r="N78"/>
  <c r="O78" s="1"/>
  <c r="M78"/>
  <c r="J78"/>
  <c r="M77"/>
  <c r="M143" l="1"/>
  <c r="J153"/>
  <c r="J157"/>
  <c r="N82"/>
  <c r="O82" s="1"/>
  <c r="M165"/>
  <c r="I165"/>
  <c r="O153"/>
  <c r="N66" i="50"/>
  <c r="J60"/>
  <c r="O50"/>
  <c r="N50"/>
  <c r="J162" i="49"/>
  <c r="N162"/>
  <c r="O162" s="1"/>
  <c r="N163"/>
  <c r="O163" s="1"/>
  <c r="L165"/>
  <c r="J151"/>
  <c r="J159"/>
  <c r="N161"/>
  <c r="J161"/>
  <c r="J133"/>
  <c r="J154"/>
  <c r="J156"/>
  <c r="J158"/>
  <c r="J160"/>
  <c r="O151"/>
  <c r="N151"/>
  <c r="M151"/>
  <c r="N135"/>
  <c r="O135" s="1"/>
  <c r="J129"/>
  <c r="J131"/>
  <c r="N132"/>
  <c r="O132" s="1"/>
  <c r="J135"/>
  <c r="J137"/>
  <c r="J139"/>
  <c r="I143"/>
  <c r="N138"/>
  <c r="O138" s="1"/>
  <c r="L143"/>
  <c r="J136"/>
  <c r="J138"/>
  <c r="I92"/>
  <c r="I116"/>
  <c r="L116"/>
  <c r="N98"/>
  <c r="O98" s="1"/>
  <c r="M126"/>
  <c r="I22"/>
  <c r="N83"/>
  <c r="O83" s="1"/>
  <c r="L92"/>
  <c r="J96"/>
  <c r="J105"/>
  <c r="J107"/>
  <c r="N104"/>
  <c r="O104" s="1"/>
  <c r="N106"/>
  <c r="O106" s="1"/>
  <c r="J126"/>
  <c r="J104"/>
  <c r="J106"/>
  <c r="O126"/>
  <c r="N126"/>
  <c r="N94"/>
  <c r="J94"/>
  <c r="M94"/>
  <c r="M116" s="1"/>
  <c r="J95"/>
  <c r="J99"/>
  <c r="J80"/>
  <c r="J82"/>
  <c r="J77"/>
  <c r="J81"/>
  <c r="J83"/>
  <c r="J86"/>
  <c r="O143" l="1"/>
  <c r="J143"/>
  <c r="J165"/>
  <c r="O161"/>
  <c r="N143"/>
  <c r="N116"/>
  <c r="J116"/>
  <c r="O94"/>
  <c r="O116" s="1"/>
  <c r="N76" l="1"/>
  <c r="N92" s="1"/>
  <c r="M76"/>
  <c r="M92" s="1"/>
  <c r="J76"/>
  <c r="J92" s="1"/>
  <c r="O76" l="1"/>
  <c r="O92" s="1"/>
  <c r="L314" i="38" l="1"/>
  <c r="I140" i="40" l="1"/>
  <c r="J300" i="51"/>
  <c r="O299"/>
  <c r="P299" s="1"/>
  <c r="N299"/>
  <c r="K299"/>
  <c r="O298"/>
  <c r="P298" s="1"/>
  <c r="N298"/>
  <c r="K298"/>
  <c r="O297"/>
  <c r="P297" s="1"/>
  <c r="N297"/>
  <c r="K297"/>
  <c r="O296"/>
  <c r="P296" s="1"/>
  <c r="N296"/>
  <c r="K296"/>
  <c r="O295"/>
  <c r="P295" s="1"/>
  <c r="N295"/>
  <c r="K295"/>
  <c r="M294"/>
  <c r="O294" s="1"/>
  <c r="P294" s="1"/>
  <c r="K294"/>
  <c r="N293"/>
  <c r="M293"/>
  <c r="O293" s="1"/>
  <c r="P293" s="1"/>
  <c r="K293"/>
  <c r="O292"/>
  <c r="P292" s="1"/>
  <c r="N292"/>
  <c r="K292"/>
  <c r="O291"/>
  <c r="P291" s="1"/>
  <c r="N291"/>
  <c r="K291"/>
  <c r="O290"/>
  <c r="P290" s="1"/>
  <c r="N290"/>
  <c r="K290"/>
  <c r="O289"/>
  <c r="P289" s="1"/>
  <c r="N289"/>
  <c r="K289"/>
  <c r="O288"/>
  <c r="O300" s="1"/>
  <c r="M288"/>
  <c r="N288" s="1"/>
  <c r="K288"/>
  <c r="P287"/>
  <c r="O287"/>
  <c r="N287"/>
  <c r="K287"/>
  <c r="P286"/>
  <c r="O286"/>
  <c r="N286"/>
  <c r="K286"/>
  <c r="K300" s="1"/>
  <c r="O283"/>
  <c r="P283" s="1"/>
  <c r="N283"/>
  <c r="K283"/>
  <c r="M262"/>
  <c r="O261"/>
  <c r="P261" s="1"/>
  <c r="N261"/>
  <c r="K261"/>
  <c r="O260"/>
  <c r="P260" s="1"/>
  <c r="N260"/>
  <c r="K260"/>
  <c r="O259"/>
  <c r="P259" s="1"/>
  <c r="N259"/>
  <c r="K259"/>
  <c r="O258"/>
  <c r="P258" s="1"/>
  <c r="N258"/>
  <c r="K258"/>
  <c r="O257"/>
  <c r="P257" s="1"/>
  <c r="N257"/>
  <c r="K257"/>
  <c r="O256"/>
  <c r="P256" s="1"/>
  <c r="N256"/>
  <c r="K256"/>
  <c r="O255"/>
  <c r="P255" s="1"/>
  <c r="N255"/>
  <c r="K255"/>
  <c r="J255"/>
  <c r="N254"/>
  <c r="N262" s="1"/>
  <c r="J254"/>
  <c r="O254" s="1"/>
  <c r="M300" l="1"/>
  <c r="P288"/>
  <c r="P300" s="1"/>
  <c r="N294"/>
  <c r="N300" s="1"/>
  <c r="O262"/>
  <c r="P254"/>
  <c r="P262" s="1"/>
  <c r="J262"/>
  <c r="K254"/>
  <c r="K262" s="1"/>
  <c r="O251" l="1"/>
  <c r="P251" s="1"/>
  <c r="N251"/>
  <c r="K251"/>
  <c r="O250"/>
  <c r="P250" s="1"/>
  <c r="N250"/>
  <c r="K250"/>
  <c r="O249"/>
  <c r="P249" s="1"/>
  <c r="N249"/>
  <c r="K249"/>
  <c r="O248"/>
  <c r="P248" s="1"/>
  <c r="N248"/>
  <c r="K248"/>
  <c r="O235"/>
  <c r="P235" s="1"/>
  <c r="N235"/>
  <c r="K235"/>
  <c r="M234"/>
  <c r="O234" s="1"/>
  <c r="P234" s="1"/>
  <c r="K234"/>
  <c r="P233"/>
  <c r="O233"/>
  <c r="N233"/>
  <c r="K233"/>
  <c r="P232"/>
  <c r="O232"/>
  <c r="N232"/>
  <c r="K232"/>
  <c r="P231"/>
  <c r="O231"/>
  <c r="N231"/>
  <c r="K231"/>
  <c r="P230"/>
  <c r="O230"/>
  <c r="N230"/>
  <c r="K230"/>
  <c r="O228"/>
  <c r="P228" s="1"/>
  <c r="N228"/>
  <c r="K228"/>
  <c r="O209"/>
  <c r="P209" s="1"/>
  <c r="N209"/>
  <c r="K209"/>
  <c r="O208"/>
  <c r="P208" s="1"/>
  <c r="N208"/>
  <c r="K208"/>
  <c r="O207"/>
  <c r="P207" s="1"/>
  <c r="N207"/>
  <c r="K207"/>
  <c r="O206"/>
  <c r="P206" s="1"/>
  <c r="N206"/>
  <c r="K206"/>
  <c r="O204"/>
  <c r="P204" s="1"/>
  <c r="N204"/>
  <c r="K204"/>
  <c r="O203"/>
  <c r="P203" s="1"/>
  <c r="N203"/>
  <c r="K203"/>
  <c r="O202"/>
  <c r="P202" s="1"/>
  <c r="N202"/>
  <c r="K202"/>
  <c r="O201"/>
  <c r="P201" s="1"/>
  <c r="N201"/>
  <c r="K201"/>
  <c r="O200"/>
  <c r="P200" s="1"/>
  <c r="N200"/>
  <c r="K200"/>
  <c r="O199"/>
  <c r="P199" s="1"/>
  <c r="N199"/>
  <c r="K199"/>
  <c r="O198"/>
  <c r="P198" s="1"/>
  <c r="N198"/>
  <c r="K198"/>
  <c r="O197"/>
  <c r="P197" s="1"/>
  <c r="N197"/>
  <c r="K197"/>
  <c r="M193"/>
  <c r="N193" s="1"/>
  <c r="J193"/>
  <c r="O193" s="1"/>
  <c r="P193" s="1"/>
  <c r="M192"/>
  <c r="N192" s="1"/>
  <c r="J192"/>
  <c r="O192" s="1"/>
  <c r="P192" s="1"/>
  <c r="O191"/>
  <c r="P191" s="1"/>
  <c r="N191"/>
  <c r="K191"/>
  <c r="O190"/>
  <c r="P190" s="1"/>
  <c r="N190"/>
  <c r="K190"/>
  <c r="O189"/>
  <c r="P189" s="1"/>
  <c r="N189"/>
  <c r="K189"/>
  <c r="O188"/>
  <c r="P188" s="1"/>
  <c r="N188"/>
  <c r="K188"/>
  <c r="O187"/>
  <c r="P187" s="1"/>
  <c r="N187"/>
  <c r="K187"/>
  <c r="O186"/>
  <c r="P186" s="1"/>
  <c r="N186"/>
  <c r="K186"/>
  <c r="O185"/>
  <c r="P185" s="1"/>
  <c r="N185"/>
  <c r="K185"/>
  <c r="O184"/>
  <c r="P184" s="1"/>
  <c r="N184"/>
  <c r="K184"/>
  <c r="O161"/>
  <c r="P161" s="1"/>
  <c r="N161"/>
  <c r="K161"/>
  <c r="O160"/>
  <c r="P160" s="1"/>
  <c r="N160"/>
  <c r="K160"/>
  <c r="M159"/>
  <c r="O159" s="1"/>
  <c r="P159" s="1"/>
  <c r="K159"/>
  <c r="O158"/>
  <c r="P158" s="1"/>
  <c r="N158"/>
  <c r="K158"/>
  <c r="O157"/>
  <c r="P157" s="1"/>
  <c r="N157"/>
  <c r="K157"/>
  <c r="O156"/>
  <c r="P156" s="1"/>
  <c r="N156"/>
  <c r="K156"/>
  <c r="O155"/>
  <c r="P155" s="1"/>
  <c r="N155"/>
  <c r="K155"/>
  <c r="O154"/>
  <c r="P154" s="1"/>
  <c r="N154"/>
  <c r="K154"/>
  <c r="O153"/>
  <c r="P153" s="1"/>
  <c r="N153"/>
  <c r="K153"/>
  <c r="O152"/>
  <c r="P152" s="1"/>
  <c r="N152"/>
  <c r="K152"/>
  <c r="O151"/>
  <c r="P151" s="1"/>
  <c r="N151"/>
  <c r="K151"/>
  <c r="O150"/>
  <c r="P150" s="1"/>
  <c r="N150"/>
  <c r="K150"/>
  <c r="O149"/>
  <c r="P149" s="1"/>
  <c r="N149"/>
  <c r="K149"/>
  <c r="O148"/>
  <c r="P148" s="1"/>
  <c r="N148"/>
  <c r="K148"/>
  <c r="O147"/>
  <c r="P147" s="1"/>
  <c r="N147"/>
  <c r="K147"/>
  <c r="O146"/>
  <c r="P146" s="1"/>
  <c r="N146"/>
  <c r="K146"/>
  <c r="O145"/>
  <c r="P145" s="1"/>
  <c r="N145"/>
  <c r="K145"/>
  <c r="O144"/>
  <c r="P144" s="1"/>
  <c r="N144"/>
  <c r="K144"/>
  <c r="O143"/>
  <c r="P143" s="1"/>
  <c r="N143"/>
  <c r="K143"/>
  <c r="O142"/>
  <c r="P142" s="1"/>
  <c r="N142"/>
  <c r="K142"/>
  <c r="O141"/>
  <c r="P141" s="1"/>
  <c r="N141"/>
  <c r="K141"/>
  <c r="O140"/>
  <c r="P140" s="1"/>
  <c r="N140"/>
  <c r="K140"/>
  <c r="O139"/>
  <c r="P139" s="1"/>
  <c r="N139"/>
  <c r="K139"/>
  <c r="O138"/>
  <c r="P138" s="1"/>
  <c r="N138"/>
  <c r="K138"/>
  <c r="O137"/>
  <c r="P137" s="1"/>
  <c r="N137"/>
  <c r="K137"/>
  <c r="O136"/>
  <c r="P136" s="1"/>
  <c r="N136"/>
  <c r="K136"/>
  <c r="O135"/>
  <c r="P135" s="1"/>
  <c r="N135"/>
  <c r="K135"/>
  <c r="O134"/>
  <c r="P134" s="1"/>
  <c r="N134"/>
  <c r="K134"/>
  <c r="O133"/>
  <c r="P133" s="1"/>
  <c r="N133"/>
  <c r="K133"/>
  <c r="O132"/>
  <c r="P132" s="1"/>
  <c r="N132"/>
  <c r="K132"/>
  <c r="O131"/>
  <c r="P131" s="1"/>
  <c r="N131"/>
  <c r="K131"/>
  <c r="N130"/>
  <c r="J130"/>
  <c r="O130" s="1"/>
  <c r="P130" s="1"/>
  <c r="N129"/>
  <c r="J129"/>
  <c r="O129" s="1"/>
  <c r="P129" s="1"/>
  <c r="N128"/>
  <c r="J128"/>
  <c r="O128" s="1"/>
  <c r="P128" s="1"/>
  <c r="O127"/>
  <c r="P127" s="1"/>
  <c r="N127"/>
  <c r="K127"/>
  <c r="M126"/>
  <c r="M162" s="1"/>
  <c r="J126"/>
  <c r="O125"/>
  <c r="N125"/>
  <c r="K125"/>
  <c r="J125"/>
  <c r="O122"/>
  <c r="P122" s="1"/>
  <c r="N122"/>
  <c r="K122"/>
  <c r="O119"/>
  <c r="P119" s="1"/>
  <c r="N119"/>
  <c r="K119"/>
  <c r="O118"/>
  <c r="P118" s="1"/>
  <c r="N118"/>
  <c r="K118"/>
  <c r="O117"/>
  <c r="P117" s="1"/>
  <c r="N117"/>
  <c r="K117"/>
  <c r="P115"/>
  <c r="O105"/>
  <c r="P105" s="1"/>
  <c r="N105"/>
  <c r="K105"/>
  <c r="O104"/>
  <c r="P104" s="1"/>
  <c r="N104"/>
  <c r="K104"/>
  <c r="O103"/>
  <c r="P103" s="1"/>
  <c r="N103"/>
  <c r="K103"/>
  <c r="O102"/>
  <c r="P102" s="1"/>
  <c r="N102"/>
  <c r="K102"/>
  <c r="O101"/>
  <c r="P101" s="1"/>
  <c r="N101"/>
  <c r="K101"/>
  <c r="O100"/>
  <c r="P100" s="1"/>
  <c r="N100"/>
  <c r="K100"/>
  <c r="O99"/>
  <c r="P99" s="1"/>
  <c r="N99"/>
  <c r="K99"/>
  <c r="O98"/>
  <c r="P98" s="1"/>
  <c r="N98"/>
  <c r="K98"/>
  <c r="O97"/>
  <c r="P97" s="1"/>
  <c r="N97"/>
  <c r="K97"/>
  <c r="O92"/>
  <c r="P92" s="1"/>
  <c r="N92"/>
  <c r="K92"/>
  <c r="O91"/>
  <c r="P91" s="1"/>
  <c r="N91"/>
  <c r="K91"/>
  <c r="O90"/>
  <c r="P90" s="1"/>
  <c r="N90"/>
  <c r="K90"/>
  <c r="O89"/>
  <c r="P89" s="1"/>
  <c r="N89"/>
  <c r="K89"/>
  <c r="O88"/>
  <c r="P88" s="1"/>
  <c r="N88"/>
  <c r="K88"/>
  <c r="O87"/>
  <c r="P87" s="1"/>
  <c r="N87"/>
  <c r="K87"/>
  <c r="O86"/>
  <c r="P86" s="1"/>
  <c r="N86"/>
  <c r="K86"/>
  <c r="O85"/>
  <c r="P85" s="1"/>
  <c r="N85"/>
  <c r="K85"/>
  <c r="O84"/>
  <c r="P84" s="1"/>
  <c r="N84"/>
  <c r="K84"/>
  <c r="O83"/>
  <c r="P83" s="1"/>
  <c r="N83"/>
  <c r="K83"/>
  <c r="O82"/>
  <c r="P82" s="1"/>
  <c r="N82"/>
  <c r="K82"/>
  <c r="M81"/>
  <c r="N81" s="1"/>
  <c r="K81"/>
  <c r="O80"/>
  <c r="P80" s="1"/>
  <c r="N80"/>
  <c r="K80"/>
  <c r="O79"/>
  <c r="P79" s="1"/>
  <c r="N79"/>
  <c r="K79"/>
  <c r="O78"/>
  <c r="P78" s="1"/>
  <c r="N78"/>
  <c r="K78"/>
  <c r="O77"/>
  <c r="P77" s="1"/>
  <c r="N77"/>
  <c r="K77"/>
  <c r="M76"/>
  <c r="N76" s="1"/>
  <c r="J76"/>
  <c r="O76" s="1"/>
  <c r="P76" s="1"/>
  <c r="M75"/>
  <c r="N75" s="1"/>
  <c r="J75"/>
  <c r="O75" s="1"/>
  <c r="P75" s="1"/>
  <c r="O74"/>
  <c r="P74" s="1"/>
  <c r="N74"/>
  <c r="K74"/>
  <c r="M73"/>
  <c r="M93" s="1"/>
  <c r="J73"/>
  <c r="J93" s="1"/>
  <c r="O72"/>
  <c r="P72" s="1"/>
  <c r="N72"/>
  <c r="K72"/>
  <c r="O71"/>
  <c r="P71" s="1"/>
  <c r="N71"/>
  <c r="K71"/>
  <c r="K69"/>
  <c r="J69"/>
  <c r="P69"/>
  <c r="O69"/>
  <c r="O47"/>
  <c r="P47" s="1"/>
  <c r="N47"/>
  <c r="K47"/>
  <c r="O46"/>
  <c r="P46" s="1"/>
  <c r="N46"/>
  <c r="K46"/>
  <c r="O45"/>
  <c r="P45" s="1"/>
  <c r="N45"/>
  <c r="K45"/>
  <c r="O44"/>
  <c r="P44" s="1"/>
  <c r="N44"/>
  <c r="K44"/>
  <c r="O43"/>
  <c r="P43" s="1"/>
  <c r="N43"/>
  <c r="K43"/>
  <c r="O42"/>
  <c r="P42" s="1"/>
  <c r="N42"/>
  <c r="K42"/>
  <c r="O41"/>
  <c r="P41" s="1"/>
  <c r="N41"/>
  <c r="K41"/>
  <c r="O40"/>
  <c r="P40" s="1"/>
  <c r="N40"/>
  <c r="K40"/>
  <c r="O39"/>
  <c r="P39" s="1"/>
  <c r="N39"/>
  <c r="K39"/>
  <c r="O38"/>
  <c r="P38" s="1"/>
  <c r="N38"/>
  <c r="K38"/>
  <c r="O37"/>
  <c r="P37" s="1"/>
  <c r="N37"/>
  <c r="K37"/>
  <c r="O36"/>
  <c r="P36" s="1"/>
  <c r="N36"/>
  <c r="K36"/>
  <c r="O35"/>
  <c r="P35" s="1"/>
  <c r="N35"/>
  <c r="K35"/>
  <c r="O34"/>
  <c r="P34" s="1"/>
  <c r="N34"/>
  <c r="K34"/>
  <c r="O33"/>
  <c r="P33" s="1"/>
  <c r="N33"/>
  <c r="K33"/>
  <c r="O32"/>
  <c r="P32" s="1"/>
  <c r="N32"/>
  <c r="K32"/>
  <c r="O31"/>
  <c r="P31" s="1"/>
  <c r="N31"/>
  <c r="K31"/>
  <c r="O30"/>
  <c r="P30" s="1"/>
  <c r="N30"/>
  <c r="K30"/>
  <c r="O29"/>
  <c r="P29" s="1"/>
  <c r="N29"/>
  <c r="K29"/>
  <c r="O28"/>
  <c r="P28" s="1"/>
  <c r="N28"/>
  <c r="K28"/>
  <c r="O27"/>
  <c r="P27" s="1"/>
  <c r="N27"/>
  <c r="K27"/>
  <c r="O26"/>
  <c r="P26" s="1"/>
  <c r="N26"/>
  <c r="K26"/>
  <c r="O25"/>
  <c r="P25" s="1"/>
  <c r="N25"/>
  <c r="K25"/>
  <c r="O24"/>
  <c r="P24" s="1"/>
  <c r="N24"/>
  <c r="K24"/>
  <c r="O23"/>
  <c r="P23" s="1"/>
  <c r="N23"/>
  <c r="K23"/>
  <c r="O22"/>
  <c r="P22" s="1"/>
  <c r="N22"/>
  <c r="K22"/>
  <c r="O21"/>
  <c r="P21" s="1"/>
  <c r="N21"/>
  <c r="K21"/>
  <c r="O20"/>
  <c r="P20" s="1"/>
  <c r="N20"/>
  <c r="K20"/>
  <c r="O19"/>
  <c r="P19" s="1"/>
  <c r="N19"/>
  <c r="K19"/>
  <c r="O18"/>
  <c r="P18" s="1"/>
  <c r="N18"/>
  <c r="K18"/>
  <c r="O17"/>
  <c r="P17" s="1"/>
  <c r="N17"/>
  <c r="K17"/>
  <c r="O16"/>
  <c r="P16" s="1"/>
  <c r="N16"/>
  <c r="K16"/>
  <c r="O15"/>
  <c r="P15" s="1"/>
  <c r="N15"/>
  <c r="K15"/>
  <c r="O14"/>
  <c r="P14" s="1"/>
  <c r="N14"/>
  <c r="K14"/>
  <c r="O12"/>
  <c r="P12" s="1"/>
  <c r="N12"/>
  <c r="K12"/>
  <c r="O11"/>
  <c r="P11" s="1"/>
  <c r="N11"/>
  <c r="K11"/>
  <c r="O10"/>
  <c r="P10" s="1"/>
  <c r="N10"/>
  <c r="K10"/>
  <c r="N234" l="1"/>
  <c r="K73"/>
  <c r="N73"/>
  <c r="N93" s="1"/>
  <c r="K75"/>
  <c r="K76"/>
  <c r="J162"/>
  <c r="O126"/>
  <c r="P126" s="1"/>
  <c r="K129"/>
  <c r="K192"/>
  <c r="K93"/>
  <c r="O162"/>
  <c r="K193"/>
  <c r="P125"/>
  <c r="P162" s="1"/>
  <c r="K126"/>
  <c r="N126"/>
  <c r="K128"/>
  <c r="K130"/>
  <c r="N159"/>
  <c r="N162" s="1"/>
  <c r="O81"/>
  <c r="P81" s="1"/>
  <c r="O73"/>
  <c r="P73" s="1"/>
  <c r="P93" s="1"/>
  <c r="P48"/>
  <c r="O48"/>
  <c r="K162" l="1"/>
  <c r="O93"/>
  <c r="L74" i="49" l="1"/>
  <c r="I74"/>
  <c r="N73"/>
  <c r="O73" s="1"/>
  <c r="M73"/>
  <c r="J73"/>
  <c r="N72"/>
  <c r="O72" s="1"/>
  <c r="M72"/>
  <c r="J72"/>
  <c r="N71"/>
  <c r="O71" s="1"/>
  <c r="M71"/>
  <c r="J71"/>
  <c r="N70"/>
  <c r="O70" s="1"/>
  <c r="M70"/>
  <c r="J70"/>
  <c r="N69"/>
  <c r="O69" s="1"/>
  <c r="M69"/>
  <c r="J69"/>
  <c r="N68"/>
  <c r="O68" s="1"/>
  <c r="M68"/>
  <c r="J68"/>
  <c r="N67"/>
  <c r="O67" s="1"/>
  <c r="M67"/>
  <c r="J67"/>
  <c r="N66"/>
  <c r="O66" s="1"/>
  <c r="M66"/>
  <c r="J66"/>
  <c r="N65"/>
  <c r="O65" s="1"/>
  <c r="M65"/>
  <c r="J65"/>
  <c r="N64"/>
  <c r="O64" s="1"/>
  <c r="M64"/>
  <c r="J64"/>
  <c r="N63"/>
  <c r="O63" s="1"/>
  <c r="M63"/>
  <c r="J63"/>
  <c r="N62"/>
  <c r="O62" s="1"/>
  <c r="M62"/>
  <c r="J62"/>
  <c r="N61"/>
  <c r="O61" s="1"/>
  <c r="M61"/>
  <c r="J61"/>
  <c r="N60"/>
  <c r="O60" s="1"/>
  <c r="M60"/>
  <c r="J60"/>
  <c r="N59"/>
  <c r="O59" s="1"/>
  <c r="M59"/>
  <c r="J59"/>
  <c r="N58"/>
  <c r="O58" s="1"/>
  <c r="M58"/>
  <c r="J58"/>
  <c r="N57"/>
  <c r="O57" s="1"/>
  <c r="M57"/>
  <c r="J57"/>
  <c r="N56"/>
  <c r="O56" s="1"/>
  <c r="M56"/>
  <c r="J56"/>
  <c r="N55"/>
  <c r="O55" s="1"/>
  <c r="M55"/>
  <c r="J55"/>
  <c r="N54"/>
  <c r="O54" s="1"/>
  <c r="M54"/>
  <c r="J54"/>
  <c r="N53"/>
  <c r="O53" s="1"/>
  <c r="M53"/>
  <c r="J53"/>
  <c r="N52"/>
  <c r="O52" s="1"/>
  <c r="M52"/>
  <c r="J52"/>
  <c r="L50"/>
  <c r="I50"/>
  <c r="N49"/>
  <c r="O49" s="1"/>
  <c r="M49"/>
  <c r="J49"/>
  <c r="N48"/>
  <c r="O48" s="1"/>
  <c r="M48"/>
  <c r="J48"/>
  <c r="N47"/>
  <c r="O47" s="1"/>
  <c r="M47"/>
  <c r="J47"/>
  <c r="N46"/>
  <c r="O46" s="1"/>
  <c r="M46"/>
  <c r="J46"/>
  <c r="N45"/>
  <c r="O45" s="1"/>
  <c r="M45"/>
  <c r="J45"/>
  <c r="N44"/>
  <c r="O44" s="1"/>
  <c r="M44"/>
  <c r="J44"/>
  <c r="M74" l="1"/>
  <c r="J74"/>
  <c r="O74"/>
  <c r="N74"/>
  <c r="N43"/>
  <c r="O43" s="1"/>
  <c r="M43"/>
  <c r="J43"/>
  <c r="N42"/>
  <c r="O42" s="1"/>
  <c r="M42"/>
  <c r="J42"/>
  <c r="N41"/>
  <c r="O41" s="1"/>
  <c r="M41"/>
  <c r="J41"/>
  <c r="N40"/>
  <c r="O40" s="1"/>
  <c r="M40"/>
  <c r="J40"/>
  <c r="N39"/>
  <c r="O39" s="1"/>
  <c r="M39"/>
  <c r="J39"/>
  <c r="N38"/>
  <c r="O38" s="1"/>
  <c r="M38"/>
  <c r="J38"/>
  <c r="N37"/>
  <c r="O37" s="1"/>
  <c r="M37"/>
  <c r="J37"/>
  <c r="N36"/>
  <c r="O36" s="1"/>
  <c r="M36"/>
  <c r="J36"/>
  <c r="N35"/>
  <c r="O35" s="1"/>
  <c r="M35"/>
  <c r="J35"/>
  <c r="N34"/>
  <c r="O34" s="1"/>
  <c r="M34"/>
  <c r="J34"/>
  <c r="N33"/>
  <c r="O33" s="1"/>
  <c r="M33"/>
  <c r="J33"/>
  <c r="N32"/>
  <c r="O32" s="1"/>
  <c r="M32"/>
  <c r="J32"/>
  <c r="N31"/>
  <c r="O31" s="1"/>
  <c r="M31"/>
  <c r="J31"/>
  <c r="N30"/>
  <c r="O30" s="1"/>
  <c r="M30"/>
  <c r="J30"/>
  <c r="N29"/>
  <c r="O29" s="1"/>
  <c r="M29"/>
  <c r="J29"/>
  <c r="N28"/>
  <c r="O28" s="1"/>
  <c r="M28"/>
  <c r="J28"/>
  <c r="N27"/>
  <c r="O27" s="1"/>
  <c r="M27"/>
  <c r="J27"/>
  <c r="N26"/>
  <c r="O26" s="1"/>
  <c r="M26"/>
  <c r="J26"/>
  <c r="N25"/>
  <c r="O25" s="1"/>
  <c r="M25"/>
  <c r="J25"/>
  <c r="N24"/>
  <c r="M24"/>
  <c r="J24"/>
  <c r="N21"/>
  <c r="O21" s="1"/>
  <c r="M21"/>
  <c r="J21"/>
  <c r="N20"/>
  <c r="O20" s="1"/>
  <c r="M20"/>
  <c r="J20"/>
  <c r="N5"/>
  <c r="O5" s="1"/>
  <c r="M5"/>
  <c r="J5"/>
  <c r="N19"/>
  <c r="O19" s="1"/>
  <c r="M19"/>
  <c r="J19"/>
  <c r="N18"/>
  <c r="O18" s="1"/>
  <c r="M18"/>
  <c r="J18"/>
  <c r="N17"/>
  <c r="O17" s="1"/>
  <c r="M17"/>
  <c r="J17"/>
  <c r="N16"/>
  <c r="O16" s="1"/>
  <c r="M16"/>
  <c r="J16"/>
  <c r="N15"/>
  <c r="O15" s="1"/>
  <c r="M15"/>
  <c r="J15"/>
  <c r="N14"/>
  <c r="O14" s="1"/>
  <c r="M14"/>
  <c r="J14"/>
  <c r="N13"/>
  <c r="O13" s="1"/>
  <c r="M13"/>
  <c r="J13"/>
  <c r="N12"/>
  <c r="O12" s="1"/>
  <c r="M12"/>
  <c r="J12"/>
  <c r="N11"/>
  <c r="O11" s="1"/>
  <c r="M11"/>
  <c r="J11"/>
  <c r="N10"/>
  <c r="O10" s="1"/>
  <c r="M10"/>
  <c r="J10"/>
  <c r="N9"/>
  <c r="O9" s="1"/>
  <c r="M9"/>
  <c r="J9"/>
  <c r="N8"/>
  <c r="O8" s="1"/>
  <c r="M8"/>
  <c r="J8"/>
  <c r="N7"/>
  <c r="O7" s="1"/>
  <c r="M7"/>
  <c r="J7"/>
  <c r="N6"/>
  <c r="O6" s="1"/>
  <c r="M6"/>
  <c r="J6"/>
  <c r="N4"/>
  <c r="O4" s="1"/>
  <c r="M4"/>
  <c r="J4"/>
  <c r="L36" i="50"/>
  <c r="I36"/>
  <c r="N35"/>
  <c r="O35" s="1"/>
  <c r="M35"/>
  <c r="J35"/>
  <c r="N34"/>
  <c r="M34"/>
  <c r="J34"/>
  <c r="N31"/>
  <c r="O31" s="1"/>
  <c r="M31"/>
  <c r="N30"/>
  <c r="O30" s="1"/>
  <c r="M30"/>
  <c r="L29"/>
  <c r="N29" s="1"/>
  <c r="O29" s="1"/>
  <c r="J29"/>
  <c r="N28"/>
  <c r="O28" s="1"/>
  <c r="M28"/>
  <c r="J28"/>
  <c r="N27"/>
  <c r="O27" s="1"/>
  <c r="M27"/>
  <c r="J27"/>
  <c r="N26"/>
  <c r="O26" s="1"/>
  <c r="M26"/>
  <c r="J26"/>
  <c r="N25"/>
  <c r="O25" s="1"/>
  <c r="M25"/>
  <c r="J25"/>
  <c r="N24"/>
  <c r="O24" s="1"/>
  <c r="M24"/>
  <c r="J24"/>
  <c r="N23"/>
  <c r="O23" s="1"/>
  <c r="M23"/>
  <c r="J23"/>
  <c r="L32"/>
  <c r="J22"/>
  <c r="N21"/>
  <c r="O21" s="1"/>
  <c r="M21"/>
  <c r="J21"/>
  <c r="J32" s="1"/>
  <c r="N18"/>
  <c r="O18" s="1"/>
  <c r="M18"/>
  <c r="J18"/>
  <c r="N17"/>
  <c r="O17" s="1"/>
  <c r="M17"/>
  <c r="J17"/>
  <c r="N16"/>
  <c r="O16" s="1"/>
  <c r="M16"/>
  <c r="J16"/>
  <c r="N15"/>
  <c r="O15" s="1"/>
  <c r="M15"/>
  <c r="J15"/>
  <c r="N14"/>
  <c r="O14" s="1"/>
  <c r="M14"/>
  <c r="J14"/>
  <c r="N13"/>
  <c r="O13" s="1"/>
  <c r="M13"/>
  <c r="J13"/>
  <c r="N12"/>
  <c r="O12" s="1"/>
  <c r="M12"/>
  <c r="J12"/>
  <c r="N11"/>
  <c r="O11" s="1"/>
  <c r="M11"/>
  <c r="J11"/>
  <c r="N10"/>
  <c r="O10" s="1"/>
  <c r="M10"/>
  <c r="J10"/>
  <c r="N9"/>
  <c r="O9" s="1"/>
  <c r="M9"/>
  <c r="J9"/>
  <c r="N8"/>
  <c r="O8" s="1"/>
  <c r="M8"/>
  <c r="J8"/>
  <c r="N7"/>
  <c r="O7" s="1"/>
  <c r="M7"/>
  <c r="J7"/>
  <c r="N6"/>
  <c r="O6" s="1"/>
  <c r="M6"/>
  <c r="J6"/>
  <c r="N5"/>
  <c r="O5" s="1"/>
  <c r="M5"/>
  <c r="J5"/>
  <c r="N4"/>
  <c r="O4" s="1"/>
  <c r="M4"/>
  <c r="J4"/>
  <c r="N3"/>
  <c r="M3"/>
  <c r="J3"/>
  <c r="M19" l="1"/>
  <c r="M36"/>
  <c r="J36"/>
  <c r="N36"/>
  <c r="J19"/>
  <c r="N19"/>
  <c r="O34"/>
  <c r="O36" s="1"/>
  <c r="O3"/>
  <c r="O19" s="1"/>
  <c r="M29"/>
  <c r="J50" i="49"/>
  <c r="O24"/>
  <c r="O50" s="1"/>
  <c r="N50"/>
  <c r="M50"/>
  <c r="N22" i="50"/>
  <c r="O22" s="1"/>
  <c r="O32" s="1"/>
  <c r="M22"/>
  <c r="M32" s="1"/>
  <c r="N32" l="1"/>
  <c r="M3" i="49" l="1"/>
  <c r="M22" s="1"/>
  <c r="L186" i="43"/>
  <c r="I186"/>
  <c r="N185"/>
  <c r="O185" s="1"/>
  <c r="M185"/>
  <c r="J185"/>
  <c r="N184"/>
  <c r="O184" s="1"/>
  <c r="M184"/>
  <c r="J184"/>
  <c r="N183"/>
  <c r="O183" s="1"/>
  <c r="M183"/>
  <c r="J183"/>
  <c r="N182"/>
  <c r="O182" s="1"/>
  <c r="M182"/>
  <c r="J182"/>
  <c r="N181"/>
  <c r="O181" s="1"/>
  <c r="O186" s="1"/>
  <c r="M181"/>
  <c r="J181"/>
  <c r="J186" s="1"/>
  <c r="L179"/>
  <c r="I179"/>
  <c r="N178"/>
  <c r="O178" s="1"/>
  <c r="M178"/>
  <c r="J178"/>
  <c r="N177"/>
  <c r="O177" s="1"/>
  <c r="M177"/>
  <c r="J177"/>
  <c r="N176"/>
  <c r="M176"/>
  <c r="J176"/>
  <c r="N173"/>
  <c r="N172"/>
  <c r="O173"/>
  <c r="O172"/>
  <c r="L174"/>
  <c r="I174"/>
  <c r="M173"/>
  <c r="J173"/>
  <c r="M172"/>
  <c r="J172"/>
  <c r="N171"/>
  <c r="O171" s="1"/>
  <c r="O174" s="1"/>
  <c r="M171"/>
  <c r="J171"/>
  <c r="J174" s="1"/>
  <c r="O176" l="1"/>
  <c r="O179" s="1"/>
  <c r="N179"/>
  <c r="M186"/>
  <c r="M174"/>
  <c r="N174"/>
  <c r="M179"/>
  <c r="J179"/>
  <c r="N186"/>
  <c r="J3" i="49"/>
  <c r="J22" s="1"/>
  <c r="N3"/>
  <c r="N22" s="1"/>
  <c r="O3" l="1"/>
  <c r="O22" s="1"/>
  <c r="M168" i="43" l="1"/>
  <c r="L154"/>
  <c r="L145"/>
  <c r="L169" s="1"/>
  <c r="I169"/>
  <c r="N168"/>
  <c r="O168" s="1"/>
  <c r="J168"/>
  <c r="N167"/>
  <c r="O167" s="1"/>
  <c r="M167"/>
  <c r="J167"/>
  <c r="N166"/>
  <c r="O166" s="1"/>
  <c r="M166"/>
  <c r="J166"/>
  <c r="N165"/>
  <c r="O165" s="1"/>
  <c r="M165"/>
  <c r="J165"/>
  <c r="N164"/>
  <c r="O164" s="1"/>
  <c r="M164"/>
  <c r="J164"/>
  <c r="N163"/>
  <c r="O163" s="1"/>
  <c r="M163"/>
  <c r="J163"/>
  <c r="N162"/>
  <c r="O162" s="1"/>
  <c r="M162"/>
  <c r="J162"/>
  <c r="N161"/>
  <c r="O161" s="1"/>
  <c r="M161"/>
  <c r="J161"/>
  <c r="N160"/>
  <c r="O160" s="1"/>
  <c r="M160"/>
  <c r="J160"/>
  <c r="N159"/>
  <c r="O159" s="1"/>
  <c r="M159"/>
  <c r="J159"/>
  <c r="N158"/>
  <c r="O158" s="1"/>
  <c r="M158"/>
  <c r="J158"/>
  <c r="N157"/>
  <c r="O157" s="1"/>
  <c r="M157"/>
  <c r="J157"/>
  <c r="N156"/>
  <c r="O156" s="1"/>
  <c r="M156"/>
  <c r="J156"/>
  <c r="N155"/>
  <c r="O155" s="1"/>
  <c r="M155"/>
  <c r="J155"/>
  <c r="N154"/>
  <c r="O154" s="1"/>
  <c r="M154"/>
  <c r="J154"/>
  <c r="N153"/>
  <c r="O153" s="1"/>
  <c r="M153"/>
  <c r="J153"/>
  <c r="N152"/>
  <c r="O152" s="1"/>
  <c r="M152"/>
  <c r="J152"/>
  <c r="N151"/>
  <c r="O151" s="1"/>
  <c r="M151"/>
  <c r="J151"/>
  <c r="N150"/>
  <c r="O150" s="1"/>
  <c r="M150"/>
  <c r="J150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N145"/>
  <c r="O145" s="1"/>
  <c r="M145"/>
  <c r="J145"/>
  <c r="N144"/>
  <c r="M144"/>
  <c r="M169" s="1"/>
  <c r="J144"/>
  <c r="L127" i="42"/>
  <c r="L121"/>
  <c r="J169" i="43" l="1"/>
  <c r="O144"/>
  <c r="O169" s="1"/>
  <c r="N169"/>
  <c r="L133" i="42" l="1"/>
  <c r="I133"/>
  <c r="N132"/>
  <c r="O132" s="1"/>
  <c r="M132"/>
  <c r="J132"/>
  <c r="N131"/>
  <c r="O131" s="1"/>
  <c r="M131"/>
  <c r="J131"/>
  <c r="N130"/>
  <c r="O130" s="1"/>
  <c r="M130"/>
  <c r="J130"/>
  <c r="N129"/>
  <c r="O129" s="1"/>
  <c r="M129"/>
  <c r="J129"/>
  <c r="N128"/>
  <c r="O128" s="1"/>
  <c r="M128"/>
  <c r="J128"/>
  <c r="N127"/>
  <c r="O127" s="1"/>
  <c r="M127"/>
  <c r="J127"/>
  <c r="N126"/>
  <c r="O126" s="1"/>
  <c r="M126"/>
  <c r="J126"/>
  <c r="N125"/>
  <c r="O125" s="1"/>
  <c r="M125"/>
  <c r="J125"/>
  <c r="N124"/>
  <c r="O124" s="1"/>
  <c r="M124"/>
  <c r="J124"/>
  <c r="N123"/>
  <c r="O123" s="1"/>
  <c r="M123"/>
  <c r="J123"/>
  <c r="N122"/>
  <c r="O122" s="1"/>
  <c r="M122"/>
  <c r="J122"/>
  <c r="N121"/>
  <c r="O121" s="1"/>
  <c r="M121"/>
  <c r="J121"/>
  <c r="N120"/>
  <c r="O120" s="1"/>
  <c r="M120"/>
  <c r="J120"/>
  <c r="N119"/>
  <c r="M119"/>
  <c r="J119"/>
  <c r="M133" l="1"/>
  <c r="J133"/>
  <c r="O119"/>
  <c r="O133" s="1"/>
  <c r="N133"/>
  <c r="N1922" i="36"/>
  <c r="O1922" s="1"/>
  <c r="M1922"/>
  <c r="J1922"/>
  <c r="N1921"/>
  <c r="O1921" s="1"/>
  <c r="M1921"/>
  <c r="J1921"/>
  <c r="N1920"/>
  <c r="O1920" s="1"/>
  <c r="M1920"/>
  <c r="J1920"/>
  <c r="N1919"/>
  <c r="O1919" s="1"/>
  <c r="M1919"/>
  <c r="J1919"/>
  <c r="N1918"/>
  <c r="O1918" s="1"/>
  <c r="M1918"/>
  <c r="J1918"/>
  <c r="N1917"/>
  <c r="O1917" s="1"/>
  <c r="M1917"/>
  <c r="J1917"/>
  <c r="N1916"/>
  <c r="O1916" s="1"/>
  <c r="M1916"/>
  <c r="J1916"/>
  <c r="L1915"/>
  <c r="L1923" s="1"/>
  <c r="I1915"/>
  <c r="M1914"/>
  <c r="I1914"/>
  <c r="I1923" s="1"/>
  <c r="L241" i="38"/>
  <c r="N1915" i="36" l="1"/>
  <c r="O1915" s="1"/>
  <c r="J1915"/>
  <c r="M1915"/>
  <c r="M1923" s="1"/>
  <c r="J1914"/>
  <c r="J1923" s="1"/>
  <c r="N1914"/>
  <c r="N1923" s="1"/>
  <c r="O1902"/>
  <c r="P1902" s="1"/>
  <c r="N1902"/>
  <c r="K1902"/>
  <c r="O1901"/>
  <c r="P1901" s="1"/>
  <c r="N1901"/>
  <c r="K1901"/>
  <c r="O1899"/>
  <c r="O1914" l="1"/>
  <c r="O1923" s="1"/>
  <c r="I255" i="38" l="1"/>
  <c r="L76" i="40" l="1"/>
  <c r="F25" i="46" l="1"/>
  <c r="F9"/>
  <c r="O49" i="44"/>
  <c r="N49"/>
  <c r="M49"/>
  <c r="L49"/>
  <c r="J49"/>
  <c r="I49"/>
  <c r="T30" i="39" l="1"/>
  <c r="W28"/>
  <c r="U27"/>
  <c r="W27" s="1"/>
  <c r="U25"/>
  <c r="W25" s="1"/>
  <c r="U23"/>
  <c r="W23" s="1"/>
  <c r="U21"/>
  <c r="W21" s="1"/>
  <c r="U19"/>
  <c r="W19" s="1"/>
  <c r="U14"/>
  <c r="W14" s="1"/>
  <c r="U9"/>
  <c r="W9" s="1"/>
  <c r="W30" l="1"/>
  <c r="L218" i="40"/>
  <c r="L217"/>
  <c r="L248"/>
  <c r="L203"/>
  <c r="L250" l="1"/>
  <c r="I245"/>
  <c r="I244"/>
  <c r="N244" s="1"/>
  <c r="O244" s="1"/>
  <c r="I243"/>
  <c r="I231"/>
  <c r="N231" s="1"/>
  <c r="O231" s="1"/>
  <c r="I227"/>
  <c r="I226"/>
  <c r="I250" s="1"/>
  <c r="N249"/>
  <c r="O249" s="1"/>
  <c r="M249"/>
  <c r="J249"/>
  <c r="M248"/>
  <c r="N248"/>
  <c r="O248" s="1"/>
  <c r="N247"/>
  <c r="O247" s="1"/>
  <c r="M247"/>
  <c r="J247"/>
  <c r="M246"/>
  <c r="N246"/>
  <c r="O246" s="1"/>
  <c r="N245"/>
  <c r="O245" s="1"/>
  <c r="M245"/>
  <c r="J245"/>
  <c r="M244"/>
  <c r="N243"/>
  <c r="O243" s="1"/>
  <c r="M243"/>
  <c r="J243"/>
  <c r="M242"/>
  <c r="N242"/>
  <c r="O242" s="1"/>
  <c r="N241"/>
  <c r="O241" s="1"/>
  <c r="M241"/>
  <c r="J241"/>
  <c r="M240"/>
  <c r="N240"/>
  <c r="O240" s="1"/>
  <c r="N239"/>
  <c r="O239" s="1"/>
  <c r="M239"/>
  <c r="J239"/>
  <c r="M238"/>
  <c r="N238"/>
  <c r="O238" s="1"/>
  <c r="N237"/>
  <c r="O237" s="1"/>
  <c r="M237"/>
  <c r="J237"/>
  <c r="M236"/>
  <c r="N236"/>
  <c r="O236" s="1"/>
  <c r="N235"/>
  <c r="O235" s="1"/>
  <c r="M235"/>
  <c r="J235"/>
  <c r="M234"/>
  <c r="N234"/>
  <c r="O234" s="1"/>
  <c r="N233"/>
  <c r="O233" s="1"/>
  <c r="M233"/>
  <c r="J233"/>
  <c r="M232"/>
  <c r="N232"/>
  <c r="O232" s="1"/>
  <c r="M231"/>
  <c r="M230"/>
  <c r="N230"/>
  <c r="O230" s="1"/>
  <c r="N229"/>
  <c r="O229" s="1"/>
  <c r="M229"/>
  <c r="J229"/>
  <c r="M228"/>
  <c r="N228"/>
  <c r="O228" s="1"/>
  <c r="N227"/>
  <c r="O227" s="1"/>
  <c r="M227"/>
  <c r="J227"/>
  <c r="M226"/>
  <c r="N225"/>
  <c r="O225" s="1"/>
  <c r="M225"/>
  <c r="J225"/>
  <c r="M224"/>
  <c r="N224"/>
  <c r="O224" s="1"/>
  <c r="N223"/>
  <c r="O223" s="1"/>
  <c r="M223"/>
  <c r="J223"/>
  <c r="M222"/>
  <c r="N222"/>
  <c r="O222" s="1"/>
  <c r="N221"/>
  <c r="O221" s="1"/>
  <c r="M221"/>
  <c r="J221"/>
  <c r="M220"/>
  <c r="N220"/>
  <c r="O220" s="1"/>
  <c r="N219"/>
  <c r="O219" s="1"/>
  <c r="M219"/>
  <c r="J219"/>
  <c r="M218"/>
  <c r="N218"/>
  <c r="O218" s="1"/>
  <c r="N217"/>
  <c r="O217" s="1"/>
  <c r="M217"/>
  <c r="J217"/>
  <c r="M216"/>
  <c r="N216"/>
  <c r="O216" s="1"/>
  <c r="N215"/>
  <c r="O215" s="1"/>
  <c r="M215"/>
  <c r="J215"/>
  <c r="N214"/>
  <c r="O214" s="1"/>
  <c r="M214"/>
  <c r="J214"/>
  <c r="M213"/>
  <c r="N213"/>
  <c r="O213" s="1"/>
  <c r="N212"/>
  <c r="O212" s="1"/>
  <c r="M212"/>
  <c r="J212"/>
  <c r="M211"/>
  <c r="N211"/>
  <c r="O211" s="1"/>
  <c r="N210"/>
  <c r="O210" s="1"/>
  <c r="M210"/>
  <c r="J210"/>
  <c r="M209"/>
  <c r="N209"/>
  <c r="O209" s="1"/>
  <c r="N208"/>
  <c r="O208" s="1"/>
  <c r="M208"/>
  <c r="J208"/>
  <c r="M207"/>
  <c r="N207"/>
  <c r="O207" s="1"/>
  <c r="N206"/>
  <c r="O206" s="1"/>
  <c r="M206"/>
  <c r="J206"/>
  <c r="M205"/>
  <c r="N205"/>
  <c r="O205" s="1"/>
  <c r="N204"/>
  <c r="O204" s="1"/>
  <c r="M204"/>
  <c r="J204"/>
  <c r="M203"/>
  <c r="N203"/>
  <c r="O203" s="1"/>
  <c r="N202"/>
  <c r="O202" s="1"/>
  <c r="M202"/>
  <c r="J202"/>
  <c r="M201"/>
  <c r="N201"/>
  <c r="O201" s="1"/>
  <c r="N200"/>
  <c r="O200" s="1"/>
  <c r="M200"/>
  <c r="J200"/>
  <c r="M199"/>
  <c r="N199"/>
  <c r="O199" s="1"/>
  <c r="N198"/>
  <c r="O198" s="1"/>
  <c r="M198"/>
  <c r="J198"/>
  <c r="M197"/>
  <c r="N197"/>
  <c r="O197" s="1"/>
  <c r="N196"/>
  <c r="O196" s="1"/>
  <c r="M196"/>
  <c r="J196"/>
  <c r="M195"/>
  <c r="N195"/>
  <c r="O195" s="1"/>
  <c r="N194"/>
  <c r="O194" s="1"/>
  <c r="M194"/>
  <c r="J194"/>
  <c r="M193"/>
  <c r="N193"/>
  <c r="O193" s="1"/>
  <c r="N192"/>
  <c r="O192" s="1"/>
  <c r="M192"/>
  <c r="J192"/>
  <c r="N191"/>
  <c r="M191"/>
  <c r="J191"/>
  <c r="R1891" i="36"/>
  <c r="O1890"/>
  <c r="P1890" s="1"/>
  <c r="N1890"/>
  <c r="K1890"/>
  <c r="O1889"/>
  <c r="P1889" s="1"/>
  <c r="N1889"/>
  <c r="K1889"/>
  <c r="R1887"/>
  <c r="N226" i="40" l="1"/>
  <c r="O226" s="1"/>
  <c r="J231"/>
  <c r="M250"/>
  <c r="O191"/>
  <c r="N250"/>
  <c r="J216"/>
  <c r="J218"/>
  <c r="J220"/>
  <c r="J222"/>
  <c r="J224"/>
  <c r="J226"/>
  <c r="J228"/>
  <c r="J230"/>
  <c r="J232"/>
  <c r="J234"/>
  <c r="J236"/>
  <c r="J238"/>
  <c r="J240"/>
  <c r="J242"/>
  <c r="J244"/>
  <c r="J246"/>
  <c r="J248"/>
  <c r="J193"/>
  <c r="J195"/>
  <c r="J197"/>
  <c r="J199"/>
  <c r="J201"/>
  <c r="J203"/>
  <c r="J205"/>
  <c r="J207"/>
  <c r="J209"/>
  <c r="J211"/>
  <c r="J213"/>
  <c r="R1858" i="36"/>
  <c r="O1857"/>
  <c r="P1857" s="1"/>
  <c r="N1857"/>
  <c r="K1857"/>
  <c r="O1856"/>
  <c r="P1856" s="1"/>
  <c r="N1856"/>
  <c r="K1856"/>
  <c r="O1855"/>
  <c r="P1855" s="1"/>
  <c r="N1855"/>
  <c r="K1855"/>
  <c r="O1854"/>
  <c r="P1854" s="1"/>
  <c r="N1854"/>
  <c r="K1854"/>
  <c r="O1853"/>
  <c r="P1853" s="1"/>
  <c r="N1853"/>
  <c r="K1853"/>
  <c r="O1852"/>
  <c r="P1852" s="1"/>
  <c r="N1852"/>
  <c r="K1852"/>
  <c r="O1851"/>
  <c r="P1851" s="1"/>
  <c r="N1851"/>
  <c r="K1851"/>
  <c r="O1850"/>
  <c r="P1850" s="1"/>
  <c r="N1850"/>
  <c r="K1850"/>
  <c r="M1849"/>
  <c r="N1849" s="1"/>
  <c r="J1849"/>
  <c r="K1849" s="1"/>
  <c r="M1848"/>
  <c r="N1848" s="1"/>
  <c r="J1848"/>
  <c r="O1848" s="1"/>
  <c r="L14" i="37"/>
  <c r="L13"/>
  <c r="R1879" i="36"/>
  <c r="O1879"/>
  <c r="R1847"/>
  <c r="R17" i="35"/>
  <c r="O250" i="40" l="1"/>
  <c r="R1859" i="36"/>
  <c r="J250" i="40"/>
  <c r="N1858" i="36"/>
  <c r="P1848"/>
  <c r="O1849"/>
  <c r="P1849" s="1"/>
  <c r="J1858"/>
  <c r="M1858"/>
  <c r="K1848"/>
  <c r="K1858" s="1"/>
  <c r="P1858" l="1"/>
  <c r="O1858"/>
  <c r="L117" i="42"/>
  <c r="I117"/>
  <c r="N116"/>
  <c r="O116" s="1"/>
  <c r="M116"/>
  <c r="J116"/>
  <c r="M115"/>
  <c r="N115"/>
  <c r="O115" s="1"/>
  <c r="N114"/>
  <c r="O114" s="1"/>
  <c r="M114"/>
  <c r="J114"/>
  <c r="M113"/>
  <c r="N113"/>
  <c r="O113" s="1"/>
  <c r="L111"/>
  <c r="J110"/>
  <c r="I109"/>
  <c r="I108"/>
  <c r="I107"/>
  <c r="N107" s="1"/>
  <c r="O107" s="1"/>
  <c r="I106"/>
  <c r="I105"/>
  <c r="N110"/>
  <c r="O110" s="1"/>
  <c r="M110"/>
  <c r="M109"/>
  <c r="N109"/>
  <c r="O109" s="1"/>
  <c r="N108"/>
  <c r="O108" s="1"/>
  <c r="M108"/>
  <c r="J108"/>
  <c r="M107"/>
  <c r="N106"/>
  <c r="O106" s="1"/>
  <c r="M106"/>
  <c r="J106"/>
  <c r="N105"/>
  <c r="O105" s="1"/>
  <c r="M105"/>
  <c r="J105"/>
  <c r="M104"/>
  <c r="N104"/>
  <c r="O104" s="1"/>
  <c r="N103"/>
  <c r="O103" s="1"/>
  <c r="M103"/>
  <c r="J103"/>
  <c r="M102"/>
  <c r="N102"/>
  <c r="O102" s="1"/>
  <c r="N101"/>
  <c r="O101" s="1"/>
  <c r="M101"/>
  <c r="J101"/>
  <c r="M100"/>
  <c r="N100"/>
  <c r="O100" s="1"/>
  <c r="N99"/>
  <c r="O99" s="1"/>
  <c r="M99"/>
  <c r="J99"/>
  <c r="M98"/>
  <c r="N98"/>
  <c r="O98" s="1"/>
  <c r="N97"/>
  <c r="O97" s="1"/>
  <c r="M97"/>
  <c r="J97"/>
  <c r="M96"/>
  <c r="N96"/>
  <c r="O96" s="1"/>
  <c r="N95"/>
  <c r="O95" s="1"/>
  <c r="M95"/>
  <c r="J95"/>
  <c r="M94"/>
  <c r="N94"/>
  <c r="O94" s="1"/>
  <c r="M93"/>
  <c r="N93"/>
  <c r="O93" s="1"/>
  <c r="M92"/>
  <c r="J92"/>
  <c r="N91"/>
  <c r="O91" s="1"/>
  <c r="M91"/>
  <c r="J91"/>
  <c r="M90"/>
  <c r="J90"/>
  <c r="N90"/>
  <c r="O90" s="1"/>
  <c r="O117" l="1"/>
  <c r="I111"/>
  <c r="M117"/>
  <c r="N117"/>
  <c r="J113"/>
  <c r="J115"/>
  <c r="M111"/>
  <c r="J107"/>
  <c r="J109"/>
  <c r="J94"/>
  <c r="J96"/>
  <c r="J98"/>
  <c r="J100"/>
  <c r="J102"/>
  <c r="J104"/>
  <c r="N92"/>
  <c r="O92" s="1"/>
  <c r="O111" s="1"/>
  <c r="J93"/>
  <c r="J111" l="1"/>
  <c r="J117"/>
  <c r="N111"/>
  <c r="L76"/>
  <c r="L80"/>
  <c r="L84"/>
  <c r="L74"/>
  <c r="M87"/>
  <c r="L79"/>
  <c r="I87"/>
  <c r="N87" s="1"/>
  <c r="I86"/>
  <c r="I85"/>
  <c r="I84"/>
  <c r="I83"/>
  <c r="I82"/>
  <c r="I81"/>
  <c r="I80"/>
  <c r="I79"/>
  <c r="I78"/>
  <c r="I77"/>
  <c r="I76"/>
  <c r="I75"/>
  <c r="I74"/>
  <c r="I73"/>
  <c r="I72"/>
  <c r="I88" l="1"/>
  <c r="L88"/>
  <c r="O87"/>
  <c r="J87"/>
  <c r="N86"/>
  <c r="O86" s="1"/>
  <c r="M86"/>
  <c r="J86"/>
  <c r="N85"/>
  <c r="O85" s="1"/>
  <c r="M85"/>
  <c r="J85"/>
  <c r="N84"/>
  <c r="O84" s="1"/>
  <c r="M84"/>
  <c r="J84"/>
  <c r="N83"/>
  <c r="O83" s="1"/>
  <c r="M83"/>
  <c r="J83"/>
  <c r="N82"/>
  <c r="O82" s="1"/>
  <c r="M82"/>
  <c r="J82"/>
  <c r="N81"/>
  <c r="O81" s="1"/>
  <c r="M81"/>
  <c r="J81"/>
  <c r="N80"/>
  <c r="O80" s="1"/>
  <c r="M80"/>
  <c r="J80"/>
  <c r="N79"/>
  <c r="O79" s="1"/>
  <c r="M79"/>
  <c r="J79"/>
  <c r="N78"/>
  <c r="O78" s="1"/>
  <c r="M78"/>
  <c r="J78"/>
  <c r="N77"/>
  <c r="O77" s="1"/>
  <c r="M77"/>
  <c r="J77"/>
  <c r="N76"/>
  <c r="O76" s="1"/>
  <c r="M76"/>
  <c r="J76"/>
  <c r="N75"/>
  <c r="O75" s="1"/>
  <c r="M75"/>
  <c r="J75"/>
  <c r="N74"/>
  <c r="O74" s="1"/>
  <c r="M74"/>
  <c r="J74"/>
  <c r="N73"/>
  <c r="O73" s="1"/>
  <c r="M73"/>
  <c r="J73"/>
  <c r="N72"/>
  <c r="M72"/>
  <c r="J72"/>
  <c r="N71"/>
  <c r="O71" s="1"/>
  <c r="M71"/>
  <c r="J71"/>
  <c r="N70"/>
  <c r="O70" s="1"/>
  <c r="M70"/>
  <c r="J70"/>
  <c r="N69"/>
  <c r="O69" s="1"/>
  <c r="M69"/>
  <c r="J69"/>
  <c r="N68"/>
  <c r="O68" s="1"/>
  <c r="M68"/>
  <c r="J68"/>
  <c r="N67"/>
  <c r="O67" s="1"/>
  <c r="M67"/>
  <c r="J67"/>
  <c r="N66"/>
  <c r="O66" s="1"/>
  <c r="M66"/>
  <c r="J66"/>
  <c r="N65"/>
  <c r="O65" s="1"/>
  <c r="M65"/>
  <c r="J65"/>
  <c r="N64"/>
  <c r="O64" s="1"/>
  <c r="M64"/>
  <c r="J64"/>
  <c r="N63"/>
  <c r="O63" s="1"/>
  <c r="M63"/>
  <c r="J63"/>
  <c r="N62"/>
  <c r="O62" s="1"/>
  <c r="M62"/>
  <c r="J62"/>
  <c r="N61"/>
  <c r="O61" s="1"/>
  <c r="M61"/>
  <c r="J61"/>
  <c r="N60"/>
  <c r="O60" s="1"/>
  <c r="M60"/>
  <c r="J60"/>
  <c r="N59"/>
  <c r="O59" s="1"/>
  <c r="M59"/>
  <c r="J59"/>
  <c r="N58"/>
  <c r="O58" s="1"/>
  <c r="M58"/>
  <c r="J58"/>
  <c r="N57"/>
  <c r="M57"/>
  <c r="J57"/>
  <c r="L48"/>
  <c r="L54" s="1"/>
  <c r="I49"/>
  <c r="N49" s="1"/>
  <c r="O49" s="1"/>
  <c r="I48"/>
  <c r="I47"/>
  <c r="N53"/>
  <c r="O53" s="1"/>
  <c r="M53"/>
  <c r="J53"/>
  <c r="N52"/>
  <c r="O52" s="1"/>
  <c r="M52"/>
  <c r="J52"/>
  <c r="N51"/>
  <c r="O51" s="1"/>
  <c r="M51"/>
  <c r="J51"/>
  <c r="N50"/>
  <c r="O50" s="1"/>
  <c r="M50"/>
  <c r="J50"/>
  <c r="M49"/>
  <c r="J49"/>
  <c r="N48"/>
  <c r="O48" s="1"/>
  <c r="M48"/>
  <c r="J48"/>
  <c r="N47"/>
  <c r="O47" s="1"/>
  <c r="M47"/>
  <c r="J47"/>
  <c r="M141" i="43"/>
  <c r="M140"/>
  <c r="J88" i="42" l="1"/>
  <c r="J54"/>
  <c r="M88"/>
  <c r="O54"/>
  <c r="M54"/>
  <c r="I54"/>
  <c r="O57"/>
  <c r="N88"/>
  <c r="N54"/>
  <c r="O72"/>
  <c r="O88" l="1"/>
  <c r="L132" i="43"/>
  <c r="L142" s="1"/>
  <c r="I133"/>
  <c r="I132"/>
  <c r="I131"/>
  <c r="N141"/>
  <c r="O141" s="1"/>
  <c r="J141"/>
  <c r="N140"/>
  <c r="O140" s="1"/>
  <c r="J140"/>
  <c r="N139"/>
  <c r="O139" s="1"/>
  <c r="M139"/>
  <c r="J139"/>
  <c r="N138"/>
  <c r="O138" s="1"/>
  <c r="M138"/>
  <c r="J138"/>
  <c r="N137"/>
  <c r="O137" s="1"/>
  <c r="M137"/>
  <c r="J137"/>
  <c r="N136"/>
  <c r="O136" s="1"/>
  <c r="M136"/>
  <c r="J136"/>
  <c r="N135"/>
  <c r="O135" s="1"/>
  <c r="M135"/>
  <c r="J135"/>
  <c r="N134"/>
  <c r="O134" s="1"/>
  <c r="M134"/>
  <c r="J134"/>
  <c r="N133"/>
  <c r="O133" s="1"/>
  <c r="M133"/>
  <c r="J133"/>
  <c r="N132"/>
  <c r="O132" s="1"/>
  <c r="M132"/>
  <c r="J132"/>
  <c r="N131"/>
  <c r="O131" s="1"/>
  <c r="M131"/>
  <c r="J131"/>
  <c r="N130"/>
  <c r="M130"/>
  <c r="M142" s="1"/>
  <c r="J130"/>
  <c r="M127"/>
  <c r="M126"/>
  <c r="M121"/>
  <c r="L119"/>
  <c r="I123"/>
  <c r="I121"/>
  <c r="I119"/>
  <c r="N119" s="1"/>
  <c r="O119" s="1"/>
  <c r="I118"/>
  <c r="I117"/>
  <c r="I128" s="1"/>
  <c r="N127"/>
  <c r="O127" s="1"/>
  <c r="N126"/>
  <c r="O126" s="1"/>
  <c r="M125"/>
  <c r="N125"/>
  <c r="O125" s="1"/>
  <c r="M124"/>
  <c r="N124"/>
  <c r="O124" s="1"/>
  <c r="M123"/>
  <c r="N123"/>
  <c r="O123" s="1"/>
  <c r="N121"/>
  <c r="O121" s="1"/>
  <c r="M120"/>
  <c r="N120"/>
  <c r="O120" s="1"/>
  <c r="M118"/>
  <c r="N118"/>
  <c r="O118" s="1"/>
  <c r="M117"/>
  <c r="M116"/>
  <c r="J142" l="1"/>
  <c r="N142"/>
  <c r="I142"/>
  <c r="O130"/>
  <c r="O142" s="1"/>
  <c r="N117"/>
  <c r="O117" s="1"/>
  <c r="L128"/>
  <c r="M119"/>
  <c r="M128" s="1"/>
  <c r="J118"/>
  <c r="J120"/>
  <c r="J123"/>
  <c r="J125"/>
  <c r="J127"/>
  <c r="J117"/>
  <c r="J119"/>
  <c r="J121"/>
  <c r="J124"/>
  <c r="J126"/>
  <c r="J116"/>
  <c r="N116"/>
  <c r="N128" s="1"/>
  <c r="J128" l="1"/>
  <c r="O116"/>
  <c r="O128" s="1"/>
  <c r="L114" l="1"/>
  <c r="I109"/>
  <c r="N109" s="1"/>
  <c r="O109" s="1"/>
  <c r="I108"/>
  <c r="I107"/>
  <c r="N107" s="1"/>
  <c r="O107" s="1"/>
  <c r="N113"/>
  <c r="O113" s="1"/>
  <c r="M113"/>
  <c r="J113"/>
  <c r="N112"/>
  <c r="O112" s="1"/>
  <c r="M112"/>
  <c r="J112"/>
  <c r="N111"/>
  <c r="O111" s="1"/>
  <c r="M111"/>
  <c r="J111"/>
  <c r="N110"/>
  <c r="O110" s="1"/>
  <c r="M110"/>
  <c r="J110"/>
  <c r="M109"/>
  <c r="N108"/>
  <c r="O108" s="1"/>
  <c r="M108"/>
  <c r="J108"/>
  <c r="M107"/>
  <c r="L70"/>
  <c r="J69"/>
  <c r="J68"/>
  <c r="J67"/>
  <c r="J66"/>
  <c r="J65"/>
  <c r="J64"/>
  <c r="J63"/>
  <c r="J62"/>
  <c r="J61"/>
  <c r="J60"/>
  <c r="J59"/>
  <c r="J58"/>
  <c r="J57"/>
  <c r="J56"/>
  <c r="J55"/>
  <c r="I54"/>
  <c r="J54" s="1"/>
  <c r="I53"/>
  <c r="N69"/>
  <c r="O69" s="1"/>
  <c r="M69"/>
  <c r="N68"/>
  <c r="O68" s="1"/>
  <c r="M68"/>
  <c r="N67"/>
  <c r="O67" s="1"/>
  <c r="M67"/>
  <c r="N66"/>
  <c r="O66" s="1"/>
  <c r="M66"/>
  <c r="N65"/>
  <c r="O65" s="1"/>
  <c r="M65"/>
  <c r="N64"/>
  <c r="O64" s="1"/>
  <c r="M64"/>
  <c r="N63"/>
  <c r="O63" s="1"/>
  <c r="M63"/>
  <c r="N62"/>
  <c r="O62" s="1"/>
  <c r="M62"/>
  <c r="N61"/>
  <c r="O61" s="1"/>
  <c r="M61"/>
  <c r="N60"/>
  <c r="O60" s="1"/>
  <c r="M60"/>
  <c r="N59"/>
  <c r="O59" s="1"/>
  <c r="M59"/>
  <c r="N58"/>
  <c r="O58" s="1"/>
  <c r="M58"/>
  <c r="N57"/>
  <c r="O57" s="1"/>
  <c r="M57"/>
  <c r="N56"/>
  <c r="O56" s="1"/>
  <c r="M56"/>
  <c r="N55"/>
  <c r="O55" s="1"/>
  <c r="M55"/>
  <c r="M54"/>
  <c r="M53"/>
  <c r="L51"/>
  <c r="I46"/>
  <c r="I51" s="1"/>
  <c r="N50"/>
  <c r="O50" s="1"/>
  <c r="M50"/>
  <c r="J50"/>
  <c r="N49"/>
  <c r="O49" s="1"/>
  <c r="M49"/>
  <c r="J49"/>
  <c r="N48"/>
  <c r="O48" s="1"/>
  <c r="M48"/>
  <c r="J48"/>
  <c r="M47"/>
  <c r="J47"/>
  <c r="M46"/>
  <c r="M45"/>
  <c r="J45"/>
  <c r="N40"/>
  <c r="O40" s="1"/>
  <c r="L38"/>
  <c r="L43"/>
  <c r="J42"/>
  <c r="J41"/>
  <c r="J40"/>
  <c r="I39"/>
  <c r="N39" s="1"/>
  <c r="O39" s="1"/>
  <c r="I38"/>
  <c r="N42"/>
  <c r="O42" s="1"/>
  <c r="M42"/>
  <c r="N41"/>
  <c r="O41" s="1"/>
  <c r="M41"/>
  <c r="M40"/>
  <c r="M39"/>
  <c r="N38"/>
  <c r="O38" s="1"/>
  <c r="M38"/>
  <c r="L36"/>
  <c r="I70" l="1"/>
  <c r="M114"/>
  <c r="M70"/>
  <c r="N46"/>
  <c r="O46" s="1"/>
  <c r="N53"/>
  <c r="O53" s="1"/>
  <c r="N54"/>
  <c r="J107"/>
  <c r="J109"/>
  <c r="M43"/>
  <c r="M51"/>
  <c r="I114"/>
  <c r="I43"/>
  <c r="J53"/>
  <c r="J70" s="1"/>
  <c r="O114"/>
  <c r="N114"/>
  <c r="J39"/>
  <c r="O43"/>
  <c r="J38"/>
  <c r="J43" s="1"/>
  <c r="N45"/>
  <c r="N47"/>
  <c r="O47" s="1"/>
  <c r="J46"/>
  <c r="J51" s="1"/>
  <c r="N43"/>
  <c r="J114" l="1"/>
  <c r="O54"/>
  <c r="O70" s="1"/>
  <c r="N70"/>
  <c r="N51"/>
  <c r="O45"/>
  <c r="O51" s="1"/>
  <c r="I30" l="1"/>
  <c r="I36" s="1"/>
  <c r="N35"/>
  <c r="O35" s="1"/>
  <c r="M35"/>
  <c r="J35"/>
  <c r="N34"/>
  <c r="O34" s="1"/>
  <c r="M34"/>
  <c r="J34"/>
  <c r="N33"/>
  <c r="O33" s="1"/>
  <c r="M33"/>
  <c r="J33"/>
  <c r="N32"/>
  <c r="O32" s="1"/>
  <c r="M32"/>
  <c r="J32"/>
  <c r="N31"/>
  <c r="O31" s="1"/>
  <c r="M31"/>
  <c r="J31"/>
  <c r="N30"/>
  <c r="M30"/>
  <c r="J30"/>
  <c r="J36" l="1"/>
  <c r="M36"/>
  <c r="O30"/>
  <c r="O36" s="1"/>
  <c r="N36"/>
  <c r="L23"/>
  <c r="L28" s="1"/>
  <c r="I23"/>
  <c r="J23" s="1"/>
  <c r="I16"/>
  <c r="N27"/>
  <c r="O27" s="1"/>
  <c r="M27"/>
  <c r="J27"/>
  <c r="N26"/>
  <c r="O26" s="1"/>
  <c r="M26"/>
  <c r="J26"/>
  <c r="N25"/>
  <c r="O25" s="1"/>
  <c r="M25"/>
  <c r="J25"/>
  <c r="N24"/>
  <c r="O24" s="1"/>
  <c r="M24"/>
  <c r="J24"/>
  <c r="N23"/>
  <c r="O23" s="1"/>
  <c r="N22"/>
  <c r="O22" s="1"/>
  <c r="M22"/>
  <c r="J22"/>
  <c r="N21"/>
  <c r="O21" s="1"/>
  <c r="M21"/>
  <c r="J21"/>
  <c r="N20"/>
  <c r="O20" s="1"/>
  <c r="M20"/>
  <c r="J20"/>
  <c r="N19"/>
  <c r="O19" s="1"/>
  <c r="M19"/>
  <c r="J19"/>
  <c r="N18"/>
  <c r="O18" s="1"/>
  <c r="M18"/>
  <c r="J18"/>
  <c r="N17"/>
  <c r="O17" s="1"/>
  <c r="M17"/>
  <c r="J17"/>
  <c r="N16"/>
  <c r="O16" s="1"/>
  <c r="M16"/>
  <c r="J16"/>
  <c r="I28" l="1"/>
  <c r="J28"/>
  <c r="O28"/>
  <c r="M23"/>
  <c r="M28" s="1"/>
  <c r="N28"/>
  <c r="L14" l="1"/>
  <c r="I8"/>
  <c r="I7"/>
  <c r="I3"/>
  <c r="N3" s="1"/>
  <c r="O3" s="1"/>
  <c r="N13"/>
  <c r="O13" s="1"/>
  <c r="M13"/>
  <c r="J13"/>
  <c r="N12"/>
  <c r="O12" s="1"/>
  <c r="M12"/>
  <c r="J12"/>
  <c r="N11"/>
  <c r="O11" s="1"/>
  <c r="M11"/>
  <c r="J11"/>
  <c r="N10"/>
  <c r="O10" s="1"/>
  <c r="M10"/>
  <c r="J10"/>
  <c r="N9"/>
  <c r="O9" s="1"/>
  <c r="M9"/>
  <c r="J9"/>
  <c r="N8"/>
  <c r="O8" s="1"/>
  <c r="M8"/>
  <c r="J8"/>
  <c r="N7"/>
  <c r="O7" s="1"/>
  <c r="M7"/>
  <c r="J7"/>
  <c r="N6"/>
  <c r="O6" s="1"/>
  <c r="M6"/>
  <c r="J6"/>
  <c r="N5"/>
  <c r="O5" s="1"/>
  <c r="M5"/>
  <c r="J5"/>
  <c r="N4"/>
  <c r="M4"/>
  <c r="J4"/>
  <c r="M3"/>
  <c r="I14" l="1"/>
  <c r="J3"/>
  <c r="J14" s="1"/>
  <c r="M14"/>
  <c r="O4"/>
  <c r="O14" s="1"/>
  <c r="N14"/>
  <c r="M28" i="39" l="1"/>
  <c r="R1826" i="36"/>
  <c r="O1826"/>
  <c r="M428" i="35"/>
  <c r="M434"/>
  <c r="M274"/>
  <c r="R1797" i="36"/>
  <c r="M1796"/>
  <c r="N1796" s="1"/>
  <c r="K1796"/>
  <c r="M930" i="35"/>
  <c r="R1794" i="36"/>
  <c r="O1794"/>
  <c r="O1796" l="1"/>
  <c r="P1796" s="1"/>
  <c r="M896" i="35"/>
  <c r="M894"/>
  <c r="M886"/>
  <c r="M882"/>
  <c r="M876"/>
  <c r="M875"/>
  <c r="T1755" i="36" l="1"/>
  <c r="O1755"/>
  <c r="R1725"/>
  <c r="O1725"/>
  <c r="M775" i="35"/>
  <c r="U1705" i="36"/>
  <c r="O1705"/>
  <c r="M785" i="35"/>
  <c r="M780"/>
  <c r="M325"/>
  <c r="M318"/>
  <c r="M923" l="1"/>
  <c r="M132" i="39" l="1"/>
  <c r="M126"/>
  <c r="I308" i="38"/>
  <c r="N310"/>
  <c r="O310" s="1"/>
  <c r="M310"/>
  <c r="J310"/>
  <c r="N309"/>
  <c r="O309" s="1"/>
  <c r="M309"/>
  <c r="J309"/>
  <c r="N308"/>
  <c r="O308" s="1"/>
  <c r="M308"/>
  <c r="J308"/>
  <c r="L367"/>
  <c r="L352"/>
  <c r="L370" s="1"/>
  <c r="I368" l="1"/>
  <c r="I367"/>
  <c r="I366"/>
  <c r="N369"/>
  <c r="O369" s="1"/>
  <c r="M369"/>
  <c r="J369"/>
  <c r="N368"/>
  <c r="O368" s="1"/>
  <c r="M368"/>
  <c r="J368"/>
  <c r="N367"/>
  <c r="O367" s="1"/>
  <c r="M367"/>
  <c r="J367"/>
  <c r="N366"/>
  <c r="O366" s="1"/>
  <c r="M366"/>
  <c r="J366"/>
  <c r="L189" i="40"/>
  <c r="I179"/>
  <c r="I178"/>
  <c r="I177"/>
  <c r="N188"/>
  <c r="O188" s="1"/>
  <c r="M188"/>
  <c r="J188"/>
  <c r="N187"/>
  <c r="O187" s="1"/>
  <c r="M187"/>
  <c r="J187"/>
  <c r="N186"/>
  <c r="O186" s="1"/>
  <c r="M186"/>
  <c r="J186"/>
  <c r="N185"/>
  <c r="O185" s="1"/>
  <c r="M185"/>
  <c r="J185"/>
  <c r="N184"/>
  <c r="O184" s="1"/>
  <c r="M184"/>
  <c r="J184"/>
  <c r="N183"/>
  <c r="O183" s="1"/>
  <c r="M183"/>
  <c r="J183"/>
  <c r="N182"/>
  <c r="O182" s="1"/>
  <c r="M182"/>
  <c r="J182"/>
  <c r="N181"/>
  <c r="O181" s="1"/>
  <c r="M181"/>
  <c r="J181"/>
  <c r="N180"/>
  <c r="O180" s="1"/>
  <c r="M180"/>
  <c r="J180"/>
  <c r="N179"/>
  <c r="O179" s="1"/>
  <c r="M179"/>
  <c r="J179"/>
  <c r="N178"/>
  <c r="O178" s="1"/>
  <c r="M178"/>
  <c r="J178"/>
  <c r="N177"/>
  <c r="O177" s="1"/>
  <c r="M177"/>
  <c r="J177"/>
  <c r="J189" l="1"/>
  <c r="I189"/>
  <c r="O189"/>
  <c r="M189"/>
  <c r="N189"/>
  <c r="L410" i="38" l="1"/>
  <c r="I410"/>
  <c r="M409"/>
  <c r="J409"/>
  <c r="N408"/>
  <c r="O408" s="1"/>
  <c r="M408"/>
  <c r="J408"/>
  <c r="N407"/>
  <c r="M407"/>
  <c r="J407"/>
  <c r="L97" i="40"/>
  <c r="M410" i="38" l="1"/>
  <c r="J410"/>
  <c r="O407"/>
  <c r="N409"/>
  <c r="O409" s="1"/>
  <c r="L168" i="40"/>
  <c r="L175" s="1"/>
  <c r="I170"/>
  <c r="I168"/>
  <c r="I167"/>
  <c r="N167" s="1"/>
  <c r="O167" s="1"/>
  <c r="I166"/>
  <c r="N174"/>
  <c r="O174" s="1"/>
  <c r="M174"/>
  <c r="J174"/>
  <c r="N173"/>
  <c r="O173" s="1"/>
  <c r="M173"/>
  <c r="J173"/>
  <c r="N172"/>
  <c r="O172" s="1"/>
  <c r="M172"/>
  <c r="J172"/>
  <c r="N171"/>
  <c r="O171" s="1"/>
  <c r="M171"/>
  <c r="J171"/>
  <c r="N170"/>
  <c r="O170" s="1"/>
  <c r="M170"/>
  <c r="J170"/>
  <c r="N169"/>
  <c r="O169" s="1"/>
  <c r="M169"/>
  <c r="J169"/>
  <c r="M168"/>
  <c r="M167"/>
  <c r="M166"/>
  <c r="N165"/>
  <c r="O165" s="1"/>
  <c r="M165"/>
  <c r="J165"/>
  <c r="L163"/>
  <c r="I163"/>
  <c r="N162"/>
  <c r="O162" s="1"/>
  <c r="M162"/>
  <c r="J162"/>
  <c r="N161"/>
  <c r="O161" s="1"/>
  <c r="M161"/>
  <c r="J161"/>
  <c r="N160"/>
  <c r="O160" s="1"/>
  <c r="M160"/>
  <c r="J160"/>
  <c r="N159"/>
  <c r="O159" s="1"/>
  <c r="M159"/>
  <c r="J159"/>
  <c r="N158"/>
  <c r="O158" s="1"/>
  <c r="M158"/>
  <c r="J158"/>
  <c r="N157"/>
  <c r="O157" s="1"/>
  <c r="M157"/>
  <c r="J157"/>
  <c r="N156"/>
  <c r="O156" s="1"/>
  <c r="M156"/>
  <c r="J156"/>
  <c r="N155"/>
  <c r="O155" s="1"/>
  <c r="M155"/>
  <c r="J155"/>
  <c r="N154"/>
  <c r="O154" s="1"/>
  <c r="M154"/>
  <c r="J154"/>
  <c r="N153"/>
  <c r="O153" s="1"/>
  <c r="M153"/>
  <c r="J153"/>
  <c r="L151"/>
  <c r="I142"/>
  <c r="I141"/>
  <c r="N150"/>
  <c r="O150" s="1"/>
  <c r="M150"/>
  <c r="J150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N145"/>
  <c r="O145" s="1"/>
  <c r="M145"/>
  <c r="J145"/>
  <c r="N144"/>
  <c r="O144" s="1"/>
  <c r="M144"/>
  <c r="J144"/>
  <c r="N143"/>
  <c r="O143" s="1"/>
  <c r="M143"/>
  <c r="J143"/>
  <c r="N142"/>
  <c r="O142" s="1"/>
  <c r="M142"/>
  <c r="J142"/>
  <c r="M141"/>
  <c r="N140"/>
  <c r="O140" s="1"/>
  <c r="M140"/>
  <c r="J140"/>
  <c r="N139"/>
  <c r="M139"/>
  <c r="J139"/>
  <c r="L130"/>
  <c r="L137" s="1"/>
  <c r="I137"/>
  <c r="N136"/>
  <c r="O136" s="1"/>
  <c r="M136"/>
  <c r="J136"/>
  <c r="N135"/>
  <c r="O135" s="1"/>
  <c r="M135"/>
  <c r="J135"/>
  <c r="N134"/>
  <c r="O134" s="1"/>
  <c r="M134"/>
  <c r="J134"/>
  <c r="N133"/>
  <c r="O133" s="1"/>
  <c r="M133"/>
  <c r="J133"/>
  <c r="N132"/>
  <c r="O132" s="1"/>
  <c r="M132"/>
  <c r="J132"/>
  <c r="N131"/>
  <c r="O131" s="1"/>
  <c r="M131"/>
  <c r="J131"/>
  <c r="M130"/>
  <c r="J130"/>
  <c r="N129"/>
  <c r="O129" s="1"/>
  <c r="M129"/>
  <c r="J129"/>
  <c r="N128"/>
  <c r="O128" s="1"/>
  <c r="M128"/>
  <c r="J128"/>
  <c r="L126"/>
  <c r="I109"/>
  <c r="I126" s="1"/>
  <c r="N125"/>
  <c r="O125" s="1"/>
  <c r="M125"/>
  <c r="J125"/>
  <c r="N124"/>
  <c r="O124" s="1"/>
  <c r="M124"/>
  <c r="J124"/>
  <c r="N123"/>
  <c r="O123" s="1"/>
  <c r="M123"/>
  <c r="J123"/>
  <c r="N122"/>
  <c r="O122" s="1"/>
  <c r="M122"/>
  <c r="J122"/>
  <c r="N121"/>
  <c r="O121" s="1"/>
  <c r="M121"/>
  <c r="J121"/>
  <c r="N120"/>
  <c r="O120" s="1"/>
  <c r="M120"/>
  <c r="J120"/>
  <c r="N119"/>
  <c r="O119" s="1"/>
  <c r="M119"/>
  <c r="J119"/>
  <c r="N118"/>
  <c r="O118" s="1"/>
  <c r="M118"/>
  <c r="J118"/>
  <c r="N117"/>
  <c r="O117" s="1"/>
  <c r="M117"/>
  <c r="J117"/>
  <c r="N116"/>
  <c r="O116" s="1"/>
  <c r="M116"/>
  <c r="J116"/>
  <c r="N115"/>
  <c r="O115" s="1"/>
  <c r="M115"/>
  <c r="J115"/>
  <c r="N114"/>
  <c r="O114" s="1"/>
  <c r="M114"/>
  <c r="J114"/>
  <c r="N113"/>
  <c r="O113" s="1"/>
  <c r="M113"/>
  <c r="J113"/>
  <c r="N112"/>
  <c r="O112" s="1"/>
  <c r="M112"/>
  <c r="J112"/>
  <c r="N111"/>
  <c r="O111" s="1"/>
  <c r="M111"/>
  <c r="J111"/>
  <c r="N110"/>
  <c r="O110" s="1"/>
  <c r="M110"/>
  <c r="J110"/>
  <c r="M109"/>
  <c r="N97"/>
  <c r="O97" s="1"/>
  <c r="M95"/>
  <c r="L93"/>
  <c r="M101"/>
  <c r="I94"/>
  <c r="I107" s="1"/>
  <c r="N106"/>
  <c r="O106" s="1"/>
  <c r="M106"/>
  <c r="J106"/>
  <c r="N105"/>
  <c r="O105" s="1"/>
  <c r="M105"/>
  <c r="J105"/>
  <c r="M104"/>
  <c r="N104"/>
  <c r="O104" s="1"/>
  <c r="N103"/>
  <c r="O103" s="1"/>
  <c r="M103"/>
  <c r="J103"/>
  <c r="M102"/>
  <c r="N102"/>
  <c r="O102" s="1"/>
  <c r="N101"/>
  <c r="O101" s="1"/>
  <c r="J101"/>
  <c r="M100"/>
  <c r="N100"/>
  <c r="O100" s="1"/>
  <c r="N99"/>
  <c r="O99" s="1"/>
  <c r="M99"/>
  <c r="J99"/>
  <c r="M98"/>
  <c r="N98"/>
  <c r="O98" s="1"/>
  <c r="J97"/>
  <c r="M96"/>
  <c r="N96"/>
  <c r="O96" s="1"/>
  <c r="J95"/>
  <c r="M94"/>
  <c r="M93"/>
  <c r="N93"/>
  <c r="O93" s="1"/>
  <c r="M90"/>
  <c r="L89"/>
  <c r="L91" s="1"/>
  <c r="I89"/>
  <c r="J89" s="1"/>
  <c r="I88"/>
  <c r="N88" s="1"/>
  <c r="O88" s="1"/>
  <c r="I87"/>
  <c r="N87" s="1"/>
  <c r="O87" s="1"/>
  <c r="N90"/>
  <c r="O90" s="1"/>
  <c r="J90"/>
  <c r="M88"/>
  <c r="M87"/>
  <c r="L8" i="42"/>
  <c r="L45"/>
  <c r="I38"/>
  <c r="I37"/>
  <c r="I36"/>
  <c r="I35"/>
  <c r="N44"/>
  <c r="O44" s="1"/>
  <c r="M44"/>
  <c r="J44"/>
  <c r="N43"/>
  <c r="O43" s="1"/>
  <c r="M43"/>
  <c r="J43"/>
  <c r="N42"/>
  <c r="O42" s="1"/>
  <c r="M42"/>
  <c r="J42"/>
  <c r="N41"/>
  <c r="O41" s="1"/>
  <c r="M41"/>
  <c r="J41"/>
  <c r="N40"/>
  <c r="O40" s="1"/>
  <c r="M40"/>
  <c r="J40"/>
  <c r="N39"/>
  <c r="O39" s="1"/>
  <c r="M39"/>
  <c r="J39"/>
  <c r="N38"/>
  <c r="O38" s="1"/>
  <c r="M38"/>
  <c r="J38"/>
  <c r="N37"/>
  <c r="O37" s="1"/>
  <c r="M37"/>
  <c r="J37"/>
  <c r="N36"/>
  <c r="O36" s="1"/>
  <c r="M36"/>
  <c r="J36"/>
  <c r="N35"/>
  <c r="O35" s="1"/>
  <c r="M35"/>
  <c r="J35"/>
  <c r="L23"/>
  <c r="L33" s="1"/>
  <c r="I23"/>
  <c r="N23" s="1"/>
  <c r="O23" s="1"/>
  <c r="I22"/>
  <c r="M32"/>
  <c r="N32"/>
  <c r="O32" s="1"/>
  <c r="M31"/>
  <c r="N31"/>
  <c r="O31" s="1"/>
  <c r="M30"/>
  <c r="N30"/>
  <c r="O30" s="1"/>
  <c r="M29"/>
  <c r="N29"/>
  <c r="O29" s="1"/>
  <c r="M28"/>
  <c r="N28"/>
  <c r="O28" s="1"/>
  <c r="M27"/>
  <c r="N27"/>
  <c r="O27" s="1"/>
  <c r="M26"/>
  <c r="N26"/>
  <c r="O26" s="1"/>
  <c r="M25"/>
  <c r="N25"/>
  <c r="O25" s="1"/>
  <c r="M24"/>
  <c r="N24"/>
  <c r="O24" s="1"/>
  <c r="M23"/>
  <c r="M22"/>
  <c r="N22"/>
  <c r="O22" s="1"/>
  <c r="I18"/>
  <c r="I17"/>
  <c r="N18"/>
  <c r="O18" s="1"/>
  <c r="M18"/>
  <c r="J18"/>
  <c r="N17"/>
  <c r="M17"/>
  <c r="J17"/>
  <c r="L5"/>
  <c r="L15" s="1"/>
  <c r="I8"/>
  <c r="I6"/>
  <c r="I5"/>
  <c r="I4"/>
  <c r="J167" i="40" l="1"/>
  <c r="M33" i="42"/>
  <c r="J45"/>
  <c r="I45"/>
  <c r="O33"/>
  <c r="I33"/>
  <c r="M19"/>
  <c r="I19"/>
  <c r="O410" i="38"/>
  <c r="I151" i="40"/>
  <c r="I175"/>
  <c r="N168"/>
  <c r="O168" s="1"/>
  <c r="O139"/>
  <c r="J87"/>
  <c r="M151"/>
  <c r="J163"/>
  <c r="M175"/>
  <c r="J166"/>
  <c r="N166"/>
  <c r="O166" s="1"/>
  <c r="J168"/>
  <c r="O45" i="42"/>
  <c r="I15"/>
  <c r="J19"/>
  <c r="N19"/>
  <c r="N410" i="38"/>
  <c r="M163" i="40"/>
  <c r="O163"/>
  <c r="N163"/>
  <c r="M137"/>
  <c r="J137"/>
  <c r="J141"/>
  <c r="J151" s="1"/>
  <c r="N141"/>
  <c r="O141" s="1"/>
  <c r="J88"/>
  <c r="I91"/>
  <c r="N89"/>
  <c r="O89" s="1"/>
  <c r="O91" s="1"/>
  <c r="N95"/>
  <c r="O95" s="1"/>
  <c r="M97"/>
  <c r="M107" s="1"/>
  <c r="L107"/>
  <c r="J109"/>
  <c r="J126" s="1"/>
  <c r="N109"/>
  <c r="O109" s="1"/>
  <c r="O126" s="1"/>
  <c r="N130"/>
  <c r="O130" s="1"/>
  <c r="O137" s="1"/>
  <c r="N94"/>
  <c r="O94" s="1"/>
  <c r="M126"/>
  <c r="J94"/>
  <c r="J96"/>
  <c r="J98"/>
  <c r="J100"/>
  <c r="J102"/>
  <c r="J104"/>
  <c r="J93"/>
  <c r="M89"/>
  <c r="M91" s="1"/>
  <c r="M45" i="42"/>
  <c r="N45"/>
  <c r="N33"/>
  <c r="O17"/>
  <c r="O19" s="1"/>
  <c r="J22"/>
  <c r="J23"/>
  <c r="J25"/>
  <c r="J27"/>
  <c r="J29"/>
  <c r="J31"/>
  <c r="J24"/>
  <c r="J26"/>
  <c r="J28"/>
  <c r="J30"/>
  <c r="J32"/>
  <c r="J91" i="40" l="1"/>
  <c r="O175"/>
  <c r="N175"/>
  <c r="J175"/>
  <c r="N151"/>
  <c r="O151"/>
  <c r="N126"/>
  <c r="O107"/>
  <c r="N107"/>
  <c r="N91"/>
  <c r="N137"/>
  <c r="J107"/>
  <c r="J33" i="42"/>
  <c r="N14" l="1"/>
  <c r="O14" s="1"/>
  <c r="M14"/>
  <c r="J14"/>
  <c r="N13"/>
  <c r="O13" s="1"/>
  <c r="M13"/>
  <c r="J13"/>
  <c r="N12"/>
  <c r="O12" s="1"/>
  <c r="M12"/>
  <c r="J12"/>
  <c r="N11"/>
  <c r="O11" s="1"/>
  <c r="M11"/>
  <c r="J11"/>
  <c r="N10"/>
  <c r="O10" s="1"/>
  <c r="M10"/>
  <c r="J10"/>
  <c r="N9"/>
  <c r="O9" s="1"/>
  <c r="M9"/>
  <c r="J9"/>
  <c r="N8"/>
  <c r="O8" s="1"/>
  <c r="M8"/>
  <c r="J8"/>
  <c r="N7"/>
  <c r="O7" s="1"/>
  <c r="M7"/>
  <c r="J7"/>
  <c r="N6"/>
  <c r="O6" s="1"/>
  <c r="M6"/>
  <c r="J6"/>
  <c r="N5"/>
  <c r="O5" s="1"/>
  <c r="M5"/>
  <c r="J5"/>
  <c r="N4"/>
  <c r="M4"/>
  <c r="J4"/>
  <c r="N3"/>
  <c r="M3"/>
  <c r="J3"/>
  <c r="L405" i="38"/>
  <c r="I399"/>
  <c r="I405" s="1"/>
  <c r="N404"/>
  <c r="O404" s="1"/>
  <c r="M404"/>
  <c r="J404"/>
  <c r="J400"/>
  <c r="M400"/>
  <c r="N400"/>
  <c r="O400" s="1"/>
  <c r="J401"/>
  <c r="M401"/>
  <c r="N401"/>
  <c r="O401" s="1"/>
  <c r="J402"/>
  <c r="M402"/>
  <c r="N402"/>
  <c r="O402" s="1"/>
  <c r="J403"/>
  <c r="M403"/>
  <c r="N403"/>
  <c r="O403" s="1"/>
  <c r="N399"/>
  <c r="O399" s="1"/>
  <c r="M399"/>
  <c r="J399"/>
  <c r="L396"/>
  <c r="I394"/>
  <c r="I396" s="1"/>
  <c r="N395"/>
  <c r="O395" s="1"/>
  <c r="M395"/>
  <c r="J395"/>
  <c r="N394"/>
  <c r="O394" s="1"/>
  <c r="M394"/>
  <c r="M396" s="1"/>
  <c r="J394"/>
  <c r="L372"/>
  <c r="L374"/>
  <c r="L373"/>
  <c r="I374"/>
  <c r="I372"/>
  <c r="L392" l="1"/>
  <c r="M405"/>
  <c r="J15" i="42"/>
  <c r="N15"/>
  <c r="O405" i="38"/>
  <c r="J405"/>
  <c r="J396"/>
  <c r="O396"/>
  <c r="N405"/>
  <c r="O3" i="42"/>
  <c r="M15"/>
  <c r="O4"/>
  <c r="N396" i="38"/>
  <c r="O15" i="42" l="1"/>
  <c r="N391" i="38"/>
  <c r="O391" s="1"/>
  <c r="M391"/>
  <c r="J391"/>
  <c r="I373"/>
  <c r="I392" s="1"/>
  <c r="N390"/>
  <c r="O390" s="1"/>
  <c r="M390"/>
  <c r="J390"/>
  <c r="N389"/>
  <c r="O389" s="1"/>
  <c r="M389"/>
  <c r="J389"/>
  <c r="N388"/>
  <c r="O388" s="1"/>
  <c r="M388"/>
  <c r="J388"/>
  <c r="N387"/>
  <c r="O387" s="1"/>
  <c r="M387"/>
  <c r="J387"/>
  <c r="N386"/>
  <c r="O386" s="1"/>
  <c r="M386"/>
  <c r="J386"/>
  <c r="N385"/>
  <c r="O385" s="1"/>
  <c r="M385"/>
  <c r="J385"/>
  <c r="N384"/>
  <c r="O384" s="1"/>
  <c r="M384"/>
  <c r="J384"/>
  <c r="N383"/>
  <c r="O383" s="1"/>
  <c r="M383"/>
  <c r="J383"/>
  <c r="N382"/>
  <c r="O382" s="1"/>
  <c r="M382"/>
  <c r="J382"/>
  <c r="N381"/>
  <c r="O381" s="1"/>
  <c r="M381"/>
  <c r="J381"/>
  <c r="N380"/>
  <c r="O380" s="1"/>
  <c r="M380"/>
  <c r="J380"/>
  <c r="N379"/>
  <c r="O379" s="1"/>
  <c r="M379"/>
  <c r="J379"/>
  <c r="N378"/>
  <c r="O378" s="1"/>
  <c r="M378"/>
  <c r="J378"/>
  <c r="N377"/>
  <c r="O377" s="1"/>
  <c r="M377"/>
  <c r="J377"/>
  <c r="N376"/>
  <c r="O376" s="1"/>
  <c r="M376"/>
  <c r="J376"/>
  <c r="N375"/>
  <c r="O375" s="1"/>
  <c r="M375"/>
  <c r="J375"/>
  <c r="N374"/>
  <c r="M374"/>
  <c r="J374"/>
  <c r="N373"/>
  <c r="O373" s="1"/>
  <c r="M373"/>
  <c r="J373"/>
  <c r="N372"/>
  <c r="M372"/>
  <c r="J372"/>
  <c r="J365"/>
  <c r="I353"/>
  <c r="I352"/>
  <c r="I351"/>
  <c r="M365"/>
  <c r="N365"/>
  <c r="O365" s="1"/>
  <c r="N364"/>
  <c r="O364" s="1"/>
  <c r="M364"/>
  <c r="J364"/>
  <c r="M363"/>
  <c r="N363"/>
  <c r="O363" s="1"/>
  <c r="N362"/>
  <c r="O362" s="1"/>
  <c r="M362"/>
  <c r="J362"/>
  <c r="M361"/>
  <c r="N361"/>
  <c r="O361" s="1"/>
  <c r="N360"/>
  <c r="O360" s="1"/>
  <c r="M360"/>
  <c r="J360"/>
  <c r="M359"/>
  <c r="N359"/>
  <c r="O359" s="1"/>
  <c r="N358"/>
  <c r="O358" s="1"/>
  <c r="M358"/>
  <c r="J358"/>
  <c r="M357"/>
  <c r="N357"/>
  <c r="O357" s="1"/>
  <c r="N356"/>
  <c r="O356" s="1"/>
  <c r="M356"/>
  <c r="J356"/>
  <c r="M355"/>
  <c r="N355"/>
  <c r="O355" s="1"/>
  <c r="N354"/>
  <c r="O354" s="1"/>
  <c r="M354"/>
  <c r="J354"/>
  <c r="M353"/>
  <c r="N353"/>
  <c r="O353" s="1"/>
  <c r="N352"/>
  <c r="O352" s="1"/>
  <c r="M352"/>
  <c r="J352"/>
  <c r="N351"/>
  <c r="M351"/>
  <c r="M370" s="1"/>
  <c r="J351"/>
  <c r="I349"/>
  <c r="L349"/>
  <c r="M348"/>
  <c r="N348"/>
  <c r="O348" s="1"/>
  <c r="N347"/>
  <c r="O347" s="1"/>
  <c r="M346"/>
  <c r="N346"/>
  <c r="O346" s="1"/>
  <c r="M345"/>
  <c r="N345"/>
  <c r="O345" s="1"/>
  <c r="M344"/>
  <c r="N344"/>
  <c r="O344" s="1"/>
  <c r="M343"/>
  <c r="N343"/>
  <c r="L341"/>
  <c r="I338"/>
  <c r="N338" s="1"/>
  <c r="O338" s="1"/>
  <c r="N340"/>
  <c r="O340" s="1"/>
  <c r="M340"/>
  <c r="J340"/>
  <c r="N339"/>
  <c r="O339" s="1"/>
  <c r="M339"/>
  <c r="J339"/>
  <c r="M338"/>
  <c r="L336"/>
  <c r="I329"/>
  <c r="I336" s="1"/>
  <c r="N335"/>
  <c r="O335" s="1"/>
  <c r="M335"/>
  <c r="J335"/>
  <c r="M334"/>
  <c r="N334"/>
  <c r="O334" s="1"/>
  <c r="N333"/>
  <c r="O333" s="1"/>
  <c r="M333"/>
  <c r="J333"/>
  <c r="M332"/>
  <c r="N332"/>
  <c r="O332" s="1"/>
  <c r="M331"/>
  <c r="N331"/>
  <c r="O331" s="1"/>
  <c r="N330"/>
  <c r="O330" s="1"/>
  <c r="M330"/>
  <c r="J330"/>
  <c r="M329"/>
  <c r="L321"/>
  <c r="L327" s="1"/>
  <c r="I317"/>
  <c r="I315"/>
  <c r="M349" l="1"/>
  <c r="N370"/>
  <c r="M392"/>
  <c r="I370"/>
  <c r="O343"/>
  <c r="O349" s="1"/>
  <c r="N349"/>
  <c r="J392"/>
  <c r="O372"/>
  <c r="N392"/>
  <c r="O374"/>
  <c r="M341"/>
  <c r="I341"/>
  <c r="O341"/>
  <c r="J353"/>
  <c r="J355"/>
  <c r="J357"/>
  <c r="J359"/>
  <c r="J361"/>
  <c r="J363"/>
  <c r="O351"/>
  <c r="O370" s="1"/>
  <c r="M336"/>
  <c r="J338"/>
  <c r="J341" s="1"/>
  <c r="J343"/>
  <c r="J344"/>
  <c r="J346"/>
  <c r="J348"/>
  <c r="J345"/>
  <c r="J347"/>
  <c r="N341"/>
  <c r="I327"/>
  <c r="J329"/>
  <c r="N329"/>
  <c r="O329" s="1"/>
  <c r="O336" s="1"/>
  <c r="J332"/>
  <c r="J334"/>
  <c r="J331"/>
  <c r="N326"/>
  <c r="O326" s="1"/>
  <c r="M326"/>
  <c r="J326"/>
  <c r="N325"/>
  <c r="O325" s="1"/>
  <c r="M325"/>
  <c r="J325"/>
  <c r="N324"/>
  <c r="O324" s="1"/>
  <c r="M324"/>
  <c r="J324"/>
  <c r="N323"/>
  <c r="O323" s="1"/>
  <c r="M323"/>
  <c r="J323"/>
  <c r="N322"/>
  <c r="O322" s="1"/>
  <c r="M322"/>
  <c r="J322"/>
  <c r="N321"/>
  <c r="O321" s="1"/>
  <c r="M321"/>
  <c r="J321"/>
  <c r="N320"/>
  <c r="O320" s="1"/>
  <c r="M320"/>
  <c r="J320"/>
  <c r="N319"/>
  <c r="O319" s="1"/>
  <c r="M319"/>
  <c r="J319"/>
  <c r="N318"/>
  <c r="O318" s="1"/>
  <c r="M318"/>
  <c r="J318"/>
  <c r="N317"/>
  <c r="O317" s="1"/>
  <c r="M317"/>
  <c r="J317"/>
  <c r="N316"/>
  <c r="O316" s="1"/>
  <c r="M316"/>
  <c r="J316"/>
  <c r="N315"/>
  <c r="O315" s="1"/>
  <c r="M315"/>
  <c r="J315"/>
  <c r="N314"/>
  <c r="O314" s="1"/>
  <c r="M314"/>
  <c r="J314"/>
  <c r="N313"/>
  <c r="M313"/>
  <c r="J313"/>
  <c r="J370" l="1"/>
  <c r="J349"/>
  <c r="N336"/>
  <c r="O392"/>
  <c r="J327"/>
  <c r="N327"/>
  <c r="J336"/>
  <c r="M327"/>
  <c r="O313"/>
  <c r="O327" s="1"/>
  <c r="T74" i="39" l="1"/>
  <c r="T84"/>
  <c r="R1888" i="35" l="1"/>
  <c r="K932" l="1"/>
  <c r="R1568" i="36"/>
  <c r="R1549"/>
  <c r="O1549"/>
  <c r="R1537"/>
  <c r="O1537"/>
  <c r="M2269" i="35"/>
  <c r="U2269"/>
  <c r="M1822"/>
  <c r="R1519" i="36"/>
  <c r="R1512"/>
  <c r="O1511"/>
  <c r="P1511" s="1"/>
  <c r="N1511"/>
  <c r="K1511"/>
  <c r="O1510"/>
  <c r="P1510" s="1"/>
  <c r="N1510"/>
  <c r="K1510"/>
  <c r="O1509"/>
  <c r="P1509" s="1"/>
  <c r="N1509"/>
  <c r="K1509"/>
  <c r="R1506"/>
  <c r="O1506"/>
  <c r="M2262" i="35"/>
  <c r="R1463" i="36" l="1"/>
  <c r="O1463"/>
  <c r="L84" i="40" l="1"/>
  <c r="I76"/>
  <c r="N76" s="1"/>
  <c r="O76" s="1"/>
  <c r="I75"/>
  <c r="N83"/>
  <c r="O83" s="1"/>
  <c r="M83"/>
  <c r="J83"/>
  <c r="N82"/>
  <c r="O82" s="1"/>
  <c r="M82"/>
  <c r="J82"/>
  <c r="N81"/>
  <c r="O81" s="1"/>
  <c r="M81"/>
  <c r="J81"/>
  <c r="N80"/>
  <c r="O80" s="1"/>
  <c r="M80"/>
  <c r="J80"/>
  <c r="N79"/>
  <c r="O79" s="1"/>
  <c r="M79"/>
  <c r="J79"/>
  <c r="N78"/>
  <c r="O78" s="1"/>
  <c r="M78"/>
  <c r="J78"/>
  <c r="N77"/>
  <c r="O77" s="1"/>
  <c r="M77"/>
  <c r="J77"/>
  <c r="M76"/>
  <c r="N75"/>
  <c r="M75"/>
  <c r="J75"/>
  <c r="L256" i="38"/>
  <c r="L311" s="1"/>
  <c r="I252"/>
  <c r="I256"/>
  <c r="N256" s="1"/>
  <c r="O256" s="1"/>
  <c r="I254"/>
  <c r="I253"/>
  <c r="N306"/>
  <c r="O306" s="1"/>
  <c r="M306"/>
  <c r="J306"/>
  <c r="N305"/>
  <c r="O305" s="1"/>
  <c r="M305"/>
  <c r="J305"/>
  <c r="N304"/>
  <c r="O304" s="1"/>
  <c r="M304"/>
  <c r="J304"/>
  <c r="N303"/>
  <c r="O303" s="1"/>
  <c r="M303"/>
  <c r="J303"/>
  <c r="N302"/>
  <c r="O302" s="1"/>
  <c r="M302"/>
  <c r="J302"/>
  <c r="N301"/>
  <c r="O301" s="1"/>
  <c r="M301"/>
  <c r="J301"/>
  <c r="N300"/>
  <c r="O300" s="1"/>
  <c r="M300"/>
  <c r="J300"/>
  <c r="N299"/>
  <c r="O299" s="1"/>
  <c r="M299"/>
  <c r="J299"/>
  <c r="N298"/>
  <c r="O298" s="1"/>
  <c r="M298"/>
  <c r="J298"/>
  <c r="N297"/>
  <c r="O297" s="1"/>
  <c r="M297"/>
  <c r="J297"/>
  <c r="N296"/>
  <c r="O296" s="1"/>
  <c r="M296"/>
  <c r="J296"/>
  <c r="N295"/>
  <c r="M295"/>
  <c r="J295"/>
  <c r="N294"/>
  <c r="O294" s="1"/>
  <c r="M294"/>
  <c r="J294"/>
  <c r="N293"/>
  <c r="O293" s="1"/>
  <c r="M293"/>
  <c r="J293"/>
  <c r="N292"/>
  <c r="O292" s="1"/>
  <c r="M292"/>
  <c r="J292"/>
  <c r="N291"/>
  <c r="O291" s="1"/>
  <c r="M291"/>
  <c r="J291"/>
  <c r="N290"/>
  <c r="O290" s="1"/>
  <c r="M290"/>
  <c r="J290"/>
  <c r="N289"/>
  <c r="O289" s="1"/>
  <c r="M289"/>
  <c r="J289"/>
  <c r="N288"/>
  <c r="O288" s="1"/>
  <c r="M288"/>
  <c r="J288"/>
  <c r="N287"/>
  <c r="O287" s="1"/>
  <c r="M287"/>
  <c r="J287"/>
  <c r="N286"/>
  <c r="O286" s="1"/>
  <c r="M286"/>
  <c r="J286"/>
  <c r="N285"/>
  <c r="O285" s="1"/>
  <c r="M285"/>
  <c r="J285"/>
  <c r="N284"/>
  <c r="O284" s="1"/>
  <c r="M284"/>
  <c r="J284"/>
  <c r="N283"/>
  <c r="O283" s="1"/>
  <c r="M283"/>
  <c r="J283"/>
  <c r="N282"/>
  <c r="O282" s="1"/>
  <c r="M282"/>
  <c r="J282"/>
  <c r="N281"/>
  <c r="O281" s="1"/>
  <c r="M281"/>
  <c r="J281"/>
  <c r="N280"/>
  <c r="O280" s="1"/>
  <c r="M280"/>
  <c r="J280"/>
  <c r="N279"/>
  <c r="O279" s="1"/>
  <c r="M279"/>
  <c r="J279"/>
  <c r="N278"/>
  <c r="O278" s="1"/>
  <c r="M278"/>
  <c r="J278"/>
  <c r="N277"/>
  <c r="O277" s="1"/>
  <c r="M277"/>
  <c r="J277"/>
  <c r="N276"/>
  <c r="O276" s="1"/>
  <c r="M276"/>
  <c r="J276"/>
  <c r="N275"/>
  <c r="O275" s="1"/>
  <c r="M275"/>
  <c r="J275"/>
  <c r="N274"/>
  <c r="O274" s="1"/>
  <c r="M274"/>
  <c r="J274"/>
  <c r="N273"/>
  <c r="O273" s="1"/>
  <c r="M273"/>
  <c r="J273"/>
  <c r="N272"/>
  <c r="O272" s="1"/>
  <c r="M272"/>
  <c r="J272"/>
  <c r="N271"/>
  <c r="O271" s="1"/>
  <c r="M271"/>
  <c r="J271"/>
  <c r="N270"/>
  <c r="O270" s="1"/>
  <c r="M270"/>
  <c r="J270"/>
  <c r="N269"/>
  <c r="O269" s="1"/>
  <c r="M269"/>
  <c r="J269"/>
  <c r="N268"/>
  <c r="O268" s="1"/>
  <c r="M268"/>
  <c r="J268"/>
  <c r="N267"/>
  <c r="O267" s="1"/>
  <c r="M267"/>
  <c r="J267"/>
  <c r="N266"/>
  <c r="O266" s="1"/>
  <c r="M266"/>
  <c r="J266"/>
  <c r="N265"/>
  <c r="O265" s="1"/>
  <c r="M265"/>
  <c r="J265"/>
  <c r="N264"/>
  <c r="O264" s="1"/>
  <c r="M264"/>
  <c r="J264"/>
  <c r="N263"/>
  <c r="O263" s="1"/>
  <c r="M263"/>
  <c r="J263"/>
  <c r="N262"/>
  <c r="O262" s="1"/>
  <c r="M262"/>
  <c r="J262"/>
  <c r="N261"/>
  <c r="O261" s="1"/>
  <c r="M261"/>
  <c r="J261"/>
  <c r="N260"/>
  <c r="O260" s="1"/>
  <c r="M260"/>
  <c r="J260"/>
  <c r="N259"/>
  <c r="O259" s="1"/>
  <c r="M259"/>
  <c r="J259"/>
  <c r="N258"/>
  <c r="O258" s="1"/>
  <c r="M258"/>
  <c r="J258"/>
  <c r="N257"/>
  <c r="O257" s="1"/>
  <c r="M257"/>
  <c r="J257"/>
  <c r="M256"/>
  <c r="N255"/>
  <c r="M255"/>
  <c r="J255"/>
  <c r="N254"/>
  <c r="O254" s="1"/>
  <c r="M254"/>
  <c r="J254"/>
  <c r="N253"/>
  <c r="O253" s="1"/>
  <c r="M253"/>
  <c r="J253"/>
  <c r="N252"/>
  <c r="O252" s="1"/>
  <c r="M252"/>
  <c r="J252"/>
  <c r="L202"/>
  <c r="L188"/>
  <c r="L186"/>
  <c r="L183"/>
  <c r="L182"/>
  <c r="L189"/>
  <c r="L190"/>
  <c r="J256" l="1"/>
  <c r="J311" s="1"/>
  <c r="I311"/>
  <c r="O75" i="40"/>
  <c r="O84" s="1"/>
  <c r="N84"/>
  <c r="J76"/>
  <c r="J84" s="1"/>
  <c r="O255" i="38"/>
  <c r="N311"/>
  <c r="M311"/>
  <c r="O295"/>
  <c r="M84" i="40"/>
  <c r="I84"/>
  <c r="O311" i="38" l="1"/>
  <c r="R1442" i="36"/>
  <c r="L242" i="38" l="1"/>
  <c r="L209"/>
  <c r="L208"/>
  <c r="L215"/>
  <c r="L214"/>
  <c r="L213"/>
  <c r="L250" l="1"/>
  <c r="I242"/>
  <c r="N242" s="1"/>
  <c r="I241"/>
  <c r="N241" s="1"/>
  <c r="O241" s="1"/>
  <c r="I240"/>
  <c r="N240" s="1"/>
  <c r="O240" s="1"/>
  <c r="I239"/>
  <c r="N239" s="1"/>
  <c r="O239" s="1"/>
  <c r="I238"/>
  <c r="N238" s="1"/>
  <c r="O238" s="1"/>
  <c r="N234"/>
  <c r="O234" s="1"/>
  <c r="M234"/>
  <c r="J234"/>
  <c r="N249"/>
  <c r="O249" s="1"/>
  <c r="M249"/>
  <c r="J249"/>
  <c r="N248"/>
  <c r="O248" s="1"/>
  <c r="M248"/>
  <c r="J248"/>
  <c r="N247"/>
  <c r="O247" s="1"/>
  <c r="M247"/>
  <c r="J247"/>
  <c r="N246"/>
  <c r="O246" s="1"/>
  <c r="M246"/>
  <c r="J246"/>
  <c r="N245"/>
  <c r="O245" s="1"/>
  <c r="M245"/>
  <c r="J245"/>
  <c r="N244"/>
  <c r="O244" s="1"/>
  <c r="M244"/>
  <c r="J244"/>
  <c r="N243"/>
  <c r="O243" s="1"/>
  <c r="M243"/>
  <c r="J243"/>
  <c r="M242"/>
  <c r="M241"/>
  <c r="M240"/>
  <c r="M239"/>
  <c r="M238"/>
  <c r="N237"/>
  <c r="O237" s="1"/>
  <c r="M237"/>
  <c r="J237"/>
  <c r="N236"/>
  <c r="O236" s="1"/>
  <c r="M236"/>
  <c r="J236"/>
  <c r="N235"/>
  <c r="O235" s="1"/>
  <c r="M235"/>
  <c r="J235"/>
  <c r="N233"/>
  <c r="M233"/>
  <c r="J233"/>
  <c r="L231"/>
  <c r="I228"/>
  <c r="I227"/>
  <c r="I225"/>
  <c r="N225" s="1"/>
  <c r="O225" s="1"/>
  <c r="I218"/>
  <c r="N218" s="1"/>
  <c r="O218" s="1"/>
  <c r="I217"/>
  <c r="N217" s="1"/>
  <c r="O217" s="1"/>
  <c r="I216"/>
  <c r="N216" s="1"/>
  <c r="O216" s="1"/>
  <c r="I215"/>
  <c r="N215" s="1"/>
  <c r="O215" s="1"/>
  <c r="I214"/>
  <c r="N214" s="1"/>
  <c r="O214" s="1"/>
  <c r="I213"/>
  <c r="N213" s="1"/>
  <c r="O213" s="1"/>
  <c r="I212"/>
  <c r="N212" s="1"/>
  <c r="O212" s="1"/>
  <c r="I211"/>
  <c r="N211" s="1"/>
  <c r="O211" s="1"/>
  <c r="I210"/>
  <c r="N210" s="1"/>
  <c r="O210" s="1"/>
  <c r="N230"/>
  <c r="O230" s="1"/>
  <c r="M230"/>
  <c r="J230"/>
  <c r="N229"/>
  <c r="O229" s="1"/>
  <c r="M229"/>
  <c r="J229"/>
  <c r="N228"/>
  <c r="O228" s="1"/>
  <c r="M228"/>
  <c r="J228"/>
  <c r="N227"/>
  <c r="O227" s="1"/>
  <c r="M227"/>
  <c r="J227"/>
  <c r="N226"/>
  <c r="O226" s="1"/>
  <c r="M226"/>
  <c r="J226"/>
  <c r="M225"/>
  <c r="N224"/>
  <c r="O224" s="1"/>
  <c r="M224"/>
  <c r="J224"/>
  <c r="N223"/>
  <c r="O223" s="1"/>
  <c r="M223"/>
  <c r="J223"/>
  <c r="N222"/>
  <c r="O222" s="1"/>
  <c r="M222"/>
  <c r="J222"/>
  <c r="N221"/>
  <c r="O221" s="1"/>
  <c r="M221"/>
  <c r="J221"/>
  <c r="N220"/>
  <c r="O220" s="1"/>
  <c r="M220"/>
  <c r="J220"/>
  <c r="N219"/>
  <c r="O219" s="1"/>
  <c r="M219"/>
  <c r="J219"/>
  <c r="M218"/>
  <c r="M217"/>
  <c r="M216"/>
  <c r="M215"/>
  <c r="M214"/>
  <c r="M213"/>
  <c r="M212"/>
  <c r="M211"/>
  <c r="M210"/>
  <c r="N209"/>
  <c r="O209" s="1"/>
  <c r="M209"/>
  <c r="J209"/>
  <c r="N208"/>
  <c r="O208" s="1"/>
  <c r="M208"/>
  <c r="J208"/>
  <c r="L206"/>
  <c r="I190"/>
  <c r="N190" s="1"/>
  <c r="O190" s="1"/>
  <c r="I189"/>
  <c r="N189" s="1"/>
  <c r="O189" s="1"/>
  <c r="I188"/>
  <c r="N188" s="1"/>
  <c r="O188" s="1"/>
  <c r="I187"/>
  <c r="N187" s="1"/>
  <c r="O187" s="1"/>
  <c r="I186"/>
  <c r="N186" s="1"/>
  <c r="O186" s="1"/>
  <c r="I185"/>
  <c r="N185" s="1"/>
  <c r="O185" s="1"/>
  <c r="I184"/>
  <c r="N184" s="1"/>
  <c r="O184" s="1"/>
  <c r="I183"/>
  <c r="N183" s="1"/>
  <c r="O183" s="1"/>
  <c r="I182"/>
  <c r="I181"/>
  <c r="I180"/>
  <c r="I179"/>
  <c r="N205"/>
  <c r="O205" s="1"/>
  <c r="M205"/>
  <c r="J205"/>
  <c r="N204"/>
  <c r="O204" s="1"/>
  <c r="M204"/>
  <c r="J204"/>
  <c r="N203"/>
  <c r="O203" s="1"/>
  <c r="M203"/>
  <c r="J203"/>
  <c r="N202"/>
  <c r="O202" s="1"/>
  <c r="M202"/>
  <c r="J202"/>
  <c r="N201"/>
  <c r="O201" s="1"/>
  <c r="M201"/>
  <c r="J201"/>
  <c r="N200"/>
  <c r="O200" s="1"/>
  <c r="M200"/>
  <c r="J200"/>
  <c r="N199"/>
  <c r="O199" s="1"/>
  <c r="M199"/>
  <c r="J199"/>
  <c r="N198"/>
  <c r="O198" s="1"/>
  <c r="M198"/>
  <c r="J198"/>
  <c r="N197"/>
  <c r="O197" s="1"/>
  <c r="M197"/>
  <c r="J197"/>
  <c r="N196"/>
  <c r="O196" s="1"/>
  <c r="M196"/>
  <c r="J196"/>
  <c r="N195"/>
  <c r="O195" s="1"/>
  <c r="M195"/>
  <c r="J195"/>
  <c r="N194"/>
  <c r="O194" s="1"/>
  <c r="M194"/>
  <c r="J194"/>
  <c r="N193"/>
  <c r="O193" s="1"/>
  <c r="M193"/>
  <c r="J193"/>
  <c r="N192"/>
  <c r="O192" s="1"/>
  <c r="M192"/>
  <c r="J192"/>
  <c r="N191"/>
  <c r="O191" s="1"/>
  <c r="M191"/>
  <c r="J191"/>
  <c r="M190"/>
  <c r="M189"/>
  <c r="M188"/>
  <c r="M187"/>
  <c r="M186"/>
  <c r="M185"/>
  <c r="M184"/>
  <c r="M183"/>
  <c r="J183"/>
  <c r="N182"/>
  <c r="O182" s="1"/>
  <c r="M182"/>
  <c r="J182"/>
  <c r="N181"/>
  <c r="O181" s="1"/>
  <c r="M181"/>
  <c r="J181"/>
  <c r="N180"/>
  <c r="O180" s="1"/>
  <c r="M180"/>
  <c r="J180"/>
  <c r="N179"/>
  <c r="M179"/>
  <c r="J179"/>
  <c r="L165"/>
  <c r="L157"/>
  <c r="L160"/>
  <c r="L159"/>
  <c r="N161"/>
  <c r="O161" s="1"/>
  <c r="M161"/>
  <c r="J161"/>
  <c r="I160"/>
  <c r="I159"/>
  <c r="I157"/>
  <c r="N176"/>
  <c r="O176" s="1"/>
  <c r="M176"/>
  <c r="J176"/>
  <c r="N175"/>
  <c r="O175" s="1"/>
  <c r="M175"/>
  <c r="J175"/>
  <c r="N174"/>
  <c r="O174" s="1"/>
  <c r="M174"/>
  <c r="J174"/>
  <c r="N173"/>
  <c r="O173" s="1"/>
  <c r="M173"/>
  <c r="J173"/>
  <c r="N172"/>
  <c r="O172" s="1"/>
  <c r="M172"/>
  <c r="J172"/>
  <c r="N171"/>
  <c r="O171" s="1"/>
  <c r="M171"/>
  <c r="J171"/>
  <c r="N170"/>
  <c r="O170" s="1"/>
  <c r="M170"/>
  <c r="J170"/>
  <c r="J238" l="1"/>
  <c r="J240"/>
  <c r="J242"/>
  <c r="J184"/>
  <c r="J186"/>
  <c r="J188"/>
  <c r="J190"/>
  <c r="J211"/>
  <c r="J213"/>
  <c r="J215"/>
  <c r="I250"/>
  <c r="O233"/>
  <c r="N250"/>
  <c r="M250"/>
  <c r="O179"/>
  <c r="O206" s="1"/>
  <c r="N206"/>
  <c r="O242"/>
  <c r="I206"/>
  <c r="M231"/>
  <c r="J217"/>
  <c r="J225"/>
  <c r="J239"/>
  <c r="J241"/>
  <c r="O231"/>
  <c r="N231"/>
  <c r="I231"/>
  <c r="I177"/>
  <c r="L177"/>
  <c r="M206"/>
  <c r="J210"/>
  <c r="J212"/>
  <c r="J214"/>
  <c r="J216"/>
  <c r="J218"/>
  <c r="J185"/>
  <c r="J187"/>
  <c r="J189"/>
  <c r="N169"/>
  <c r="O169" s="1"/>
  <c r="M169"/>
  <c r="J169"/>
  <c r="N168"/>
  <c r="O168" s="1"/>
  <c r="M168"/>
  <c r="J168"/>
  <c r="N167"/>
  <c r="O167" s="1"/>
  <c r="M167"/>
  <c r="J167"/>
  <c r="N166"/>
  <c r="O166" s="1"/>
  <c r="M166"/>
  <c r="J166"/>
  <c r="N165"/>
  <c r="O165" s="1"/>
  <c r="M165"/>
  <c r="J165"/>
  <c r="N164"/>
  <c r="O164" s="1"/>
  <c r="M164"/>
  <c r="J164"/>
  <c r="N163"/>
  <c r="O163" s="1"/>
  <c r="M163"/>
  <c r="J163"/>
  <c r="N162"/>
  <c r="O162" s="1"/>
  <c r="M162"/>
  <c r="J162"/>
  <c r="N160"/>
  <c r="O160" s="1"/>
  <c r="M160"/>
  <c r="J160"/>
  <c r="N159"/>
  <c r="O159" s="1"/>
  <c r="M159"/>
  <c r="J159"/>
  <c r="N158"/>
  <c r="O158" s="1"/>
  <c r="M158"/>
  <c r="J158"/>
  <c r="N157"/>
  <c r="O157" s="1"/>
  <c r="M157"/>
  <c r="J157"/>
  <c r="N156"/>
  <c r="O156" s="1"/>
  <c r="M156"/>
  <c r="J156"/>
  <c r="N155"/>
  <c r="M155"/>
  <c r="J155"/>
  <c r="J250" l="1"/>
  <c r="O250"/>
  <c r="J231"/>
  <c r="J206"/>
  <c r="J177"/>
  <c r="M177"/>
  <c r="O155"/>
  <c r="O177" s="1"/>
  <c r="N177"/>
  <c r="J40" i="40" l="1"/>
  <c r="N39"/>
  <c r="O39" s="1"/>
  <c r="M39"/>
  <c r="J39"/>
  <c r="L73" l="1"/>
  <c r="I73"/>
  <c r="N72"/>
  <c r="O72" s="1"/>
  <c r="M72"/>
  <c r="J72"/>
  <c r="N71"/>
  <c r="O71" s="1"/>
  <c r="M71"/>
  <c r="J71"/>
  <c r="N70"/>
  <c r="O70" s="1"/>
  <c r="M70"/>
  <c r="J70"/>
  <c r="N69"/>
  <c r="O69" s="1"/>
  <c r="M69"/>
  <c r="J69"/>
  <c r="N68"/>
  <c r="O68" s="1"/>
  <c r="M68"/>
  <c r="J68"/>
  <c r="L66"/>
  <c r="I59"/>
  <c r="I66" s="1"/>
  <c r="N65"/>
  <c r="O65" s="1"/>
  <c r="M65"/>
  <c r="J65"/>
  <c r="N64"/>
  <c r="O64" s="1"/>
  <c r="M64"/>
  <c r="J64"/>
  <c r="N63"/>
  <c r="O63" s="1"/>
  <c r="M63"/>
  <c r="J63"/>
  <c r="N62"/>
  <c r="O62" s="1"/>
  <c r="M62"/>
  <c r="J62"/>
  <c r="N61"/>
  <c r="O61" s="1"/>
  <c r="M61"/>
  <c r="J61"/>
  <c r="N60"/>
  <c r="O60" s="1"/>
  <c r="M60"/>
  <c r="J60"/>
  <c r="N59"/>
  <c r="O59" s="1"/>
  <c r="M59"/>
  <c r="J59"/>
  <c r="L57"/>
  <c r="I54"/>
  <c r="I57" s="1"/>
  <c r="M56"/>
  <c r="N56"/>
  <c r="O56" s="1"/>
  <c r="N55"/>
  <c r="O55" s="1"/>
  <c r="M55"/>
  <c r="J55"/>
  <c r="N54"/>
  <c r="M54"/>
  <c r="J54"/>
  <c r="N57" l="1"/>
  <c r="J66"/>
  <c r="O66"/>
  <c r="M73"/>
  <c r="J73"/>
  <c r="M66"/>
  <c r="O73"/>
  <c r="M57"/>
  <c r="N66"/>
  <c r="N73"/>
  <c r="O54"/>
  <c r="O57" s="1"/>
  <c r="J56"/>
  <c r="J57" s="1"/>
  <c r="I51" l="1"/>
  <c r="J50"/>
  <c r="J49"/>
  <c r="J48"/>
  <c r="L51"/>
  <c r="N50"/>
  <c r="O50" s="1"/>
  <c r="M50"/>
  <c r="M49"/>
  <c r="N49"/>
  <c r="O49" s="1"/>
  <c r="N48"/>
  <c r="O48" s="1"/>
  <c r="M48"/>
  <c r="M47"/>
  <c r="N47"/>
  <c r="N46"/>
  <c r="O46" s="1"/>
  <c r="M46"/>
  <c r="J46"/>
  <c r="M45"/>
  <c r="N45"/>
  <c r="O45" s="1"/>
  <c r="N44"/>
  <c r="O44" s="1"/>
  <c r="M44"/>
  <c r="J44"/>
  <c r="N43"/>
  <c r="M43"/>
  <c r="J43"/>
  <c r="O47" l="1"/>
  <c r="N51"/>
  <c r="O43"/>
  <c r="M51"/>
  <c r="J45"/>
  <c r="J47"/>
  <c r="R1453" i="36"/>
  <c r="O51" i="40" l="1"/>
  <c r="J51"/>
  <c r="O1445" i="36"/>
  <c r="P1445" s="1"/>
  <c r="N1445"/>
  <c r="K1445"/>
  <c r="O1444"/>
  <c r="P1444" s="1"/>
  <c r="N1444"/>
  <c r="K1444"/>
  <c r="R1428"/>
  <c r="O1428"/>
  <c r="O1442"/>
  <c r="J2229" i="35" l="1"/>
  <c r="M2229"/>
  <c r="O2230"/>
  <c r="P2230" s="1"/>
  <c r="N2230"/>
  <c r="K2230"/>
  <c r="M188" i="39"/>
  <c r="M191"/>
  <c r="J188"/>
  <c r="J191" s="1"/>
  <c r="O190"/>
  <c r="P190" s="1"/>
  <c r="N190"/>
  <c r="K190"/>
  <c r="O189"/>
  <c r="P189" s="1"/>
  <c r="N189"/>
  <c r="K189"/>
  <c r="O188"/>
  <c r="P188" s="1"/>
  <c r="N188"/>
  <c r="K188"/>
  <c r="O187"/>
  <c r="P187" s="1"/>
  <c r="N187"/>
  <c r="K187"/>
  <c r="O186"/>
  <c r="P186" s="1"/>
  <c r="N186"/>
  <c r="K186"/>
  <c r="K191" s="1"/>
  <c r="M179"/>
  <c r="M184"/>
  <c r="J184"/>
  <c r="O183"/>
  <c r="P183" s="1"/>
  <c r="N183"/>
  <c r="K183"/>
  <c r="O182"/>
  <c r="P182" s="1"/>
  <c r="N182"/>
  <c r="K182"/>
  <c r="O181"/>
  <c r="P181" s="1"/>
  <c r="N181"/>
  <c r="K181"/>
  <c r="O180"/>
  <c r="N180"/>
  <c r="K180"/>
  <c r="O179"/>
  <c r="P179" s="1"/>
  <c r="N179"/>
  <c r="K179"/>
  <c r="O178"/>
  <c r="P178" s="1"/>
  <c r="N178"/>
  <c r="K178"/>
  <c r="P180" l="1"/>
  <c r="N191"/>
  <c r="P191"/>
  <c r="O191"/>
  <c r="O177" l="1"/>
  <c r="O184" s="1"/>
  <c r="N177"/>
  <c r="N184" s="1"/>
  <c r="K177"/>
  <c r="K184" s="1"/>
  <c r="M175"/>
  <c r="J175"/>
  <c r="O174"/>
  <c r="P174" s="1"/>
  <c r="N174"/>
  <c r="K174"/>
  <c r="O173"/>
  <c r="P173" s="1"/>
  <c r="N173"/>
  <c r="K173"/>
  <c r="O172"/>
  <c r="P172" s="1"/>
  <c r="N172"/>
  <c r="K172"/>
  <c r="O171"/>
  <c r="P171" s="1"/>
  <c r="N171"/>
  <c r="K171"/>
  <c r="O170"/>
  <c r="P170" s="1"/>
  <c r="N170"/>
  <c r="K170"/>
  <c r="O169"/>
  <c r="N169"/>
  <c r="K169"/>
  <c r="M167"/>
  <c r="J167"/>
  <c r="O166"/>
  <c r="P166" s="1"/>
  <c r="N166"/>
  <c r="K166"/>
  <c r="O165"/>
  <c r="P165" s="1"/>
  <c r="N165"/>
  <c r="K165"/>
  <c r="O164"/>
  <c r="P164" s="1"/>
  <c r="N164"/>
  <c r="K164"/>
  <c r="O163"/>
  <c r="P163" s="1"/>
  <c r="N163"/>
  <c r="K163"/>
  <c r="O162"/>
  <c r="P162" s="1"/>
  <c r="N162"/>
  <c r="K162"/>
  <c r="O161"/>
  <c r="P161" s="1"/>
  <c r="N161"/>
  <c r="K161"/>
  <c r="K167" s="1"/>
  <c r="M142"/>
  <c r="N142" s="1"/>
  <c r="M145"/>
  <c r="O145" s="1"/>
  <c r="P145" s="1"/>
  <c r="J143"/>
  <c r="J142"/>
  <c r="K142" s="1"/>
  <c r="N158"/>
  <c r="O158"/>
  <c r="P158" s="1"/>
  <c r="O157"/>
  <c r="P157" s="1"/>
  <c r="N157"/>
  <c r="K157"/>
  <c r="N156"/>
  <c r="O156"/>
  <c r="P156" s="1"/>
  <c r="O155"/>
  <c r="P155" s="1"/>
  <c r="N155"/>
  <c r="K155"/>
  <c r="N154"/>
  <c r="O154"/>
  <c r="P154" s="1"/>
  <c r="O153"/>
  <c r="P153" s="1"/>
  <c r="N153"/>
  <c r="K153"/>
  <c r="N152"/>
  <c r="O152"/>
  <c r="P152" s="1"/>
  <c r="O151"/>
  <c r="P151" s="1"/>
  <c r="N151"/>
  <c r="K151"/>
  <c r="N150"/>
  <c r="O150"/>
  <c r="P150" s="1"/>
  <c r="O149"/>
  <c r="P149" s="1"/>
  <c r="N149"/>
  <c r="K149"/>
  <c r="N148"/>
  <c r="O148"/>
  <c r="P148" s="1"/>
  <c r="O147"/>
  <c r="P147" s="1"/>
  <c r="N147"/>
  <c r="K147"/>
  <c r="N146"/>
  <c r="O146"/>
  <c r="P146" s="1"/>
  <c r="N145"/>
  <c r="K145"/>
  <c r="N144"/>
  <c r="O143"/>
  <c r="P143" s="1"/>
  <c r="N143"/>
  <c r="K143"/>
  <c r="O142"/>
  <c r="P142" s="1"/>
  <c r="N175" l="1"/>
  <c r="K175"/>
  <c r="M159"/>
  <c r="O144"/>
  <c r="P144" s="1"/>
  <c r="P159" s="1"/>
  <c r="J159"/>
  <c r="N159"/>
  <c r="N167"/>
  <c r="O175"/>
  <c r="P177"/>
  <c r="P184" s="1"/>
  <c r="P169"/>
  <c r="P175" s="1"/>
  <c r="P167"/>
  <c r="O167"/>
  <c r="K144"/>
  <c r="K146"/>
  <c r="K148"/>
  <c r="K150"/>
  <c r="K152"/>
  <c r="K154"/>
  <c r="K156"/>
  <c r="K158"/>
  <c r="M124"/>
  <c r="M127"/>
  <c r="N127" s="1"/>
  <c r="K139"/>
  <c r="K138"/>
  <c r="J132"/>
  <c r="J131"/>
  <c r="J130"/>
  <c r="J129"/>
  <c r="J128"/>
  <c r="J127"/>
  <c r="K127" s="1"/>
  <c r="J126"/>
  <c r="J125"/>
  <c r="O125" s="1"/>
  <c r="P125" s="1"/>
  <c r="J124"/>
  <c r="K124" s="1"/>
  <c r="O139"/>
  <c r="P139" s="1"/>
  <c r="N139"/>
  <c r="O138"/>
  <c r="P138" s="1"/>
  <c r="N138"/>
  <c r="O137"/>
  <c r="P137" s="1"/>
  <c r="N137"/>
  <c r="K137"/>
  <c r="O136"/>
  <c r="P136" s="1"/>
  <c r="N136"/>
  <c r="K136"/>
  <c r="O135"/>
  <c r="P135" s="1"/>
  <c r="N135"/>
  <c r="K135"/>
  <c r="O134"/>
  <c r="P134" s="1"/>
  <c r="N134"/>
  <c r="K134"/>
  <c r="O133"/>
  <c r="P133" s="1"/>
  <c r="N133"/>
  <c r="K133"/>
  <c r="O132"/>
  <c r="P132" s="1"/>
  <c r="N132"/>
  <c r="K132"/>
  <c r="O131"/>
  <c r="P131" s="1"/>
  <c r="N131"/>
  <c r="K131"/>
  <c r="O130"/>
  <c r="P130" s="1"/>
  <c r="N130"/>
  <c r="K130"/>
  <c r="O129"/>
  <c r="P129" s="1"/>
  <c r="N129"/>
  <c r="K129"/>
  <c r="O128"/>
  <c r="P128" s="1"/>
  <c r="N128"/>
  <c r="K128"/>
  <c r="O126"/>
  <c r="P126" s="1"/>
  <c r="N126"/>
  <c r="K126"/>
  <c r="N125"/>
  <c r="N124"/>
  <c r="O123"/>
  <c r="N123"/>
  <c r="K123"/>
  <c r="M113"/>
  <c r="M108"/>
  <c r="K125" l="1"/>
  <c r="O127"/>
  <c r="P127" s="1"/>
  <c r="O159"/>
  <c r="K159"/>
  <c r="K140"/>
  <c r="J140"/>
  <c r="M140"/>
  <c r="P123"/>
  <c r="O124"/>
  <c r="P124" s="1"/>
  <c r="N140"/>
  <c r="O140" l="1"/>
  <c r="P140"/>
  <c r="M121" l="1"/>
  <c r="J121"/>
  <c r="N120"/>
  <c r="O120"/>
  <c r="N119"/>
  <c r="O119"/>
  <c r="P119" s="1"/>
  <c r="N118"/>
  <c r="O118"/>
  <c r="P118" s="1"/>
  <c r="N117"/>
  <c r="O117"/>
  <c r="P117" s="1"/>
  <c r="N116"/>
  <c r="O116"/>
  <c r="P116" s="1"/>
  <c r="N115"/>
  <c r="O115"/>
  <c r="P115" s="1"/>
  <c r="N114"/>
  <c r="O114"/>
  <c r="P114" s="1"/>
  <c r="N113"/>
  <c r="O113"/>
  <c r="P113" s="1"/>
  <c r="N112"/>
  <c r="O112"/>
  <c r="P112" s="1"/>
  <c r="N111"/>
  <c r="O111"/>
  <c r="P111" s="1"/>
  <c r="N110"/>
  <c r="O110"/>
  <c r="P110" s="1"/>
  <c r="N109"/>
  <c r="O109"/>
  <c r="P109" s="1"/>
  <c r="N108"/>
  <c r="O108"/>
  <c r="O121" s="1"/>
  <c r="L9" i="40"/>
  <c r="N8"/>
  <c r="O8" s="1"/>
  <c r="N7"/>
  <c r="O7" s="1"/>
  <c r="N6"/>
  <c r="O6" s="1"/>
  <c r="J8"/>
  <c r="J7"/>
  <c r="J6"/>
  <c r="N121" i="39" l="1"/>
  <c r="P120"/>
  <c r="P108"/>
  <c r="K110"/>
  <c r="K111"/>
  <c r="K113"/>
  <c r="K115"/>
  <c r="K117"/>
  <c r="K119"/>
  <c r="K109"/>
  <c r="K112"/>
  <c r="K114"/>
  <c r="K116"/>
  <c r="K118"/>
  <c r="K120"/>
  <c r="K108"/>
  <c r="W1001" i="36"/>
  <c r="R1001"/>
  <c r="M2075" i="35"/>
  <c r="M1862"/>
  <c r="M497"/>
  <c r="M491"/>
  <c r="M398"/>
  <c r="M394"/>
  <c r="T977" i="36"/>
  <c r="O977"/>
  <c r="R959"/>
  <c r="M829" i="35"/>
  <c r="M468"/>
  <c r="M464"/>
  <c r="P121" i="39" l="1"/>
  <c r="K121"/>
  <c r="L41" i="40"/>
  <c r="I34" l="1"/>
  <c r="I41" s="1"/>
  <c r="M40"/>
  <c r="N40"/>
  <c r="O40" s="1"/>
  <c r="M38"/>
  <c r="N38"/>
  <c r="O38" s="1"/>
  <c r="M37"/>
  <c r="N37"/>
  <c r="O37" s="1"/>
  <c r="M36"/>
  <c r="N36"/>
  <c r="O36" s="1"/>
  <c r="M35"/>
  <c r="N35"/>
  <c r="O35" s="1"/>
  <c r="M34"/>
  <c r="M41" s="1"/>
  <c r="N34"/>
  <c r="L20"/>
  <c r="L32" s="1"/>
  <c r="I20"/>
  <c r="I19"/>
  <c r="N41" l="1"/>
  <c r="O34"/>
  <c r="O41" s="1"/>
  <c r="J34"/>
  <c r="J36"/>
  <c r="J38"/>
  <c r="J35"/>
  <c r="J37"/>
  <c r="I18"/>
  <c r="I32" s="1"/>
  <c r="N31"/>
  <c r="O31" s="1"/>
  <c r="M31"/>
  <c r="J31"/>
  <c r="N30"/>
  <c r="O30" s="1"/>
  <c r="M30"/>
  <c r="J30"/>
  <c r="N29"/>
  <c r="O29" s="1"/>
  <c r="M29"/>
  <c r="J29"/>
  <c r="N28"/>
  <c r="O28" s="1"/>
  <c r="M28"/>
  <c r="J28"/>
  <c r="N27"/>
  <c r="O27" s="1"/>
  <c r="M27"/>
  <c r="J27"/>
  <c r="N26"/>
  <c r="M26"/>
  <c r="J26"/>
  <c r="N25"/>
  <c r="O25" s="1"/>
  <c r="M25"/>
  <c r="J25"/>
  <c r="N24"/>
  <c r="O24" s="1"/>
  <c r="M24"/>
  <c r="J24"/>
  <c r="N23"/>
  <c r="O23" s="1"/>
  <c r="M23"/>
  <c r="J23"/>
  <c r="N22"/>
  <c r="O22" s="1"/>
  <c r="M22"/>
  <c r="J22"/>
  <c r="N21"/>
  <c r="O21" s="1"/>
  <c r="M21"/>
  <c r="J21"/>
  <c r="N20"/>
  <c r="O20" s="1"/>
  <c r="M20"/>
  <c r="J20"/>
  <c r="N19"/>
  <c r="O19" s="1"/>
  <c r="M19"/>
  <c r="J19"/>
  <c r="M18"/>
  <c r="L16"/>
  <c r="J15"/>
  <c r="I11"/>
  <c r="I16" s="1"/>
  <c r="N15"/>
  <c r="O15" s="1"/>
  <c r="M15"/>
  <c r="M14"/>
  <c r="N14"/>
  <c r="O14" s="1"/>
  <c r="N13"/>
  <c r="O13" s="1"/>
  <c r="M13"/>
  <c r="J13"/>
  <c r="M12"/>
  <c r="N12"/>
  <c r="O12" s="1"/>
  <c r="N11"/>
  <c r="O11" s="1"/>
  <c r="M11"/>
  <c r="J11"/>
  <c r="J41" l="1"/>
  <c r="M16"/>
  <c r="M32"/>
  <c r="O26"/>
  <c r="O16"/>
  <c r="N16"/>
  <c r="J18"/>
  <c r="J32" s="1"/>
  <c r="N18"/>
  <c r="N32" s="1"/>
  <c r="J12"/>
  <c r="J14"/>
  <c r="J16" l="1"/>
  <c r="O18"/>
  <c r="O32" s="1"/>
  <c r="I4" l="1"/>
  <c r="I9" s="1"/>
  <c r="M5"/>
  <c r="N5"/>
  <c r="O5" s="1"/>
  <c r="J5" l="1"/>
  <c r="M4" l="1"/>
  <c r="M9" s="1"/>
  <c r="N4"/>
  <c r="N9" s="1"/>
  <c r="M479" i="35"/>
  <c r="O4" i="40" l="1"/>
  <c r="O9" s="1"/>
  <c r="J4"/>
  <c r="J9" s="1"/>
  <c r="M1846" i="35" l="1"/>
  <c r="M954"/>
  <c r="M945"/>
  <c r="M1841"/>
  <c r="M948"/>
  <c r="R1413" i="36" l="1"/>
  <c r="M313" i="35"/>
  <c r="O1401" i="36"/>
  <c r="P1401" s="1"/>
  <c r="N1401"/>
  <c r="K1401"/>
  <c r="O1400"/>
  <c r="P1400" s="1"/>
  <c r="N1400"/>
  <c r="K1400"/>
  <c r="R1397"/>
  <c r="O1397"/>
  <c r="O1362"/>
  <c r="P1362" s="1"/>
  <c r="N1362"/>
  <c r="K1362"/>
  <c r="O1361"/>
  <c r="P1361" s="1"/>
  <c r="N1361"/>
  <c r="K1361"/>
  <c r="R1359"/>
  <c r="O1359"/>
  <c r="R1350"/>
  <c r="O1350"/>
  <c r="R1345"/>
  <c r="R1338"/>
  <c r="O1337"/>
  <c r="P1337" s="1"/>
  <c r="N1337"/>
  <c r="K1337"/>
  <c r="O1336"/>
  <c r="P1336" s="1"/>
  <c r="N1336"/>
  <c r="K1336"/>
  <c r="O1334"/>
  <c r="P1334" s="1"/>
  <c r="N1334"/>
  <c r="K1334"/>
  <c r="O1333"/>
  <c r="P1333" s="1"/>
  <c r="N1333"/>
  <c r="K1333"/>
  <c r="O1332"/>
  <c r="P1332" s="1"/>
  <c r="N1332"/>
  <c r="K1332"/>
  <c r="O1331"/>
  <c r="P1331" s="1"/>
  <c r="N1331"/>
  <c r="K1331"/>
  <c r="M1327"/>
  <c r="N1327" s="1"/>
  <c r="K1327"/>
  <c r="O1326"/>
  <c r="P1326" s="1"/>
  <c r="N1326"/>
  <c r="K1326"/>
  <c r="M345" i="35"/>
  <c r="O1327" i="36" l="1"/>
  <c r="P1327" s="1"/>
  <c r="M828" i="35"/>
  <c r="M816"/>
  <c r="M794"/>
  <c r="M462"/>
  <c r="M348"/>
  <c r="R1324" i="36"/>
  <c r="O1324"/>
  <c r="N1471" i="35"/>
  <c r="N1493"/>
  <c r="R1311" i="36"/>
  <c r="M1071" i="35" l="1"/>
  <c r="M64" i="39" l="1"/>
  <c r="R1297" i="36"/>
  <c r="U1282" l="1"/>
  <c r="R1282"/>
  <c r="O1282"/>
  <c r="M500" i="35"/>
  <c r="R1256" i="36" l="1"/>
  <c r="R1246"/>
  <c r="O1246"/>
  <c r="O1256"/>
  <c r="R1234"/>
  <c r="R1224"/>
  <c r="O1224"/>
  <c r="R1213"/>
  <c r="O1213"/>
  <c r="O1199" l="1"/>
  <c r="P1199" s="1"/>
  <c r="N1199"/>
  <c r="K1199"/>
  <c r="O1198"/>
  <c r="P1198" s="1"/>
  <c r="N1198"/>
  <c r="K1198"/>
  <c r="O1197"/>
  <c r="P1197" s="1"/>
  <c r="N1197"/>
  <c r="K1197"/>
  <c r="O1196"/>
  <c r="P1196" s="1"/>
  <c r="N1196"/>
  <c r="K1196"/>
  <c r="O1195"/>
  <c r="P1195" s="1"/>
  <c r="N1195"/>
  <c r="K1195"/>
  <c r="R1194"/>
  <c r="R1200" s="1"/>
  <c r="M1194"/>
  <c r="O1194" s="1"/>
  <c r="P1194" s="1"/>
  <c r="K1194"/>
  <c r="O1193"/>
  <c r="P1193" s="1"/>
  <c r="N1193"/>
  <c r="K1193"/>
  <c r="O1192"/>
  <c r="P1192" s="1"/>
  <c r="N1192"/>
  <c r="K1192"/>
  <c r="O1200" l="1"/>
  <c r="N1194"/>
  <c r="R1190" l="1"/>
  <c r="O1190"/>
  <c r="M84" i="39" l="1"/>
  <c r="M90"/>
  <c r="N90" s="1"/>
  <c r="M88"/>
  <c r="N88" s="1"/>
  <c r="M91"/>
  <c r="J98"/>
  <c r="J97"/>
  <c r="J95"/>
  <c r="O95" s="1"/>
  <c r="P95" s="1"/>
  <c r="J94"/>
  <c r="O94" s="1"/>
  <c r="P94" s="1"/>
  <c r="J93"/>
  <c r="O93" s="1"/>
  <c r="P93" s="1"/>
  <c r="J91"/>
  <c r="K91" s="1"/>
  <c r="J90"/>
  <c r="J89"/>
  <c r="O89" s="1"/>
  <c r="P89" s="1"/>
  <c r="J88"/>
  <c r="O88" s="1"/>
  <c r="P88" s="1"/>
  <c r="O105"/>
  <c r="P105" s="1"/>
  <c r="N105"/>
  <c r="K105"/>
  <c r="O104"/>
  <c r="P104" s="1"/>
  <c r="N104"/>
  <c r="K104"/>
  <c r="O103"/>
  <c r="P103" s="1"/>
  <c r="N103"/>
  <c r="K103"/>
  <c r="O102"/>
  <c r="P102" s="1"/>
  <c r="N102"/>
  <c r="K102"/>
  <c r="O101"/>
  <c r="P101" s="1"/>
  <c r="N101"/>
  <c r="K101"/>
  <c r="O100"/>
  <c r="P100" s="1"/>
  <c r="N100"/>
  <c r="K100"/>
  <c r="O99"/>
  <c r="P99" s="1"/>
  <c r="N99"/>
  <c r="K99"/>
  <c r="O98"/>
  <c r="P98" s="1"/>
  <c r="N98"/>
  <c r="K98"/>
  <c r="O97"/>
  <c r="P97" s="1"/>
  <c r="N97"/>
  <c r="K97"/>
  <c r="O96"/>
  <c r="P96" s="1"/>
  <c r="N96"/>
  <c r="K96"/>
  <c r="N95"/>
  <c r="N94"/>
  <c r="N93"/>
  <c r="O92"/>
  <c r="P92" s="1"/>
  <c r="N92"/>
  <c r="K92"/>
  <c r="N91"/>
  <c r="N89"/>
  <c r="O87"/>
  <c r="P87" s="1"/>
  <c r="N87"/>
  <c r="K87"/>
  <c r="J64"/>
  <c r="J63"/>
  <c r="O63" s="1"/>
  <c r="P63" s="1"/>
  <c r="O83"/>
  <c r="P83" s="1"/>
  <c r="N83"/>
  <c r="K83"/>
  <c r="O82"/>
  <c r="P82" s="1"/>
  <c r="N82"/>
  <c r="K82"/>
  <c r="O81"/>
  <c r="P81" s="1"/>
  <c r="N81"/>
  <c r="K81"/>
  <c r="O80"/>
  <c r="P80" s="1"/>
  <c r="N80"/>
  <c r="K80"/>
  <c r="O79"/>
  <c r="P79" s="1"/>
  <c r="N79"/>
  <c r="K79"/>
  <c r="O78"/>
  <c r="P78" s="1"/>
  <c r="N78"/>
  <c r="K78"/>
  <c r="O77"/>
  <c r="P77" s="1"/>
  <c r="N77"/>
  <c r="K77"/>
  <c r="O76"/>
  <c r="P76" s="1"/>
  <c r="N76"/>
  <c r="K76"/>
  <c r="O75"/>
  <c r="P75" s="1"/>
  <c r="N75"/>
  <c r="K75"/>
  <c r="O74"/>
  <c r="P74" s="1"/>
  <c r="N74"/>
  <c r="K74"/>
  <c r="O73"/>
  <c r="P73" s="1"/>
  <c r="N73"/>
  <c r="K73"/>
  <c r="O72"/>
  <c r="P72" s="1"/>
  <c r="N72"/>
  <c r="K72"/>
  <c r="O71"/>
  <c r="P71" s="1"/>
  <c r="N71"/>
  <c r="K71"/>
  <c r="O70"/>
  <c r="P70" s="1"/>
  <c r="N70"/>
  <c r="K70"/>
  <c r="O69"/>
  <c r="P69" s="1"/>
  <c r="N69"/>
  <c r="K69"/>
  <c r="O68"/>
  <c r="P68" s="1"/>
  <c r="N68"/>
  <c r="K68"/>
  <c r="O67"/>
  <c r="P67" s="1"/>
  <c r="N67"/>
  <c r="K67"/>
  <c r="O66"/>
  <c r="P66" s="1"/>
  <c r="N66"/>
  <c r="K66"/>
  <c r="O65"/>
  <c r="P65" s="1"/>
  <c r="N65"/>
  <c r="K65"/>
  <c r="N63"/>
  <c r="M44"/>
  <c r="M61" s="1"/>
  <c r="J46"/>
  <c r="O46" s="1"/>
  <c r="J45"/>
  <c r="J44"/>
  <c r="J43"/>
  <c r="O60"/>
  <c r="P60" s="1"/>
  <c r="N60"/>
  <c r="K60"/>
  <c r="N59"/>
  <c r="O59"/>
  <c r="P59" s="1"/>
  <c r="O58"/>
  <c r="P58" s="1"/>
  <c r="N58"/>
  <c r="K58"/>
  <c r="O57"/>
  <c r="P57" s="1"/>
  <c r="N57"/>
  <c r="K57"/>
  <c r="N56"/>
  <c r="O56"/>
  <c r="P56" s="1"/>
  <c r="O55"/>
  <c r="P55" s="1"/>
  <c r="N55"/>
  <c r="K55"/>
  <c r="N54"/>
  <c r="O54"/>
  <c r="P54" s="1"/>
  <c r="O53"/>
  <c r="P53" s="1"/>
  <c r="N53"/>
  <c r="K53"/>
  <c r="N52"/>
  <c r="O52"/>
  <c r="P52" s="1"/>
  <c r="O51"/>
  <c r="P51" s="1"/>
  <c r="N51"/>
  <c r="K51"/>
  <c r="N50"/>
  <c r="O50"/>
  <c r="P50" s="1"/>
  <c r="O49"/>
  <c r="P49" s="1"/>
  <c r="N49"/>
  <c r="K49"/>
  <c r="N48"/>
  <c r="O48"/>
  <c r="P48" s="1"/>
  <c r="O47"/>
  <c r="P47" s="1"/>
  <c r="N47"/>
  <c r="K47"/>
  <c r="N46"/>
  <c r="O45"/>
  <c r="P45" s="1"/>
  <c r="N45"/>
  <c r="K45"/>
  <c r="N43"/>
  <c r="M32"/>
  <c r="M41" s="1"/>
  <c r="J32"/>
  <c r="J41" s="1"/>
  <c r="O40"/>
  <c r="P40" s="1"/>
  <c r="N40"/>
  <c r="K40"/>
  <c r="O39"/>
  <c r="P39" s="1"/>
  <c r="N39"/>
  <c r="K39"/>
  <c r="O38"/>
  <c r="P38" s="1"/>
  <c r="N38"/>
  <c r="K38"/>
  <c r="O37"/>
  <c r="P37" s="1"/>
  <c r="N37"/>
  <c r="K37"/>
  <c r="O36"/>
  <c r="P36" s="1"/>
  <c r="N36"/>
  <c r="K36"/>
  <c r="O35"/>
  <c r="P35" s="1"/>
  <c r="N35"/>
  <c r="K35"/>
  <c r="O34"/>
  <c r="P34" s="1"/>
  <c r="N34"/>
  <c r="K34"/>
  <c r="O33"/>
  <c r="P33" s="1"/>
  <c r="N33"/>
  <c r="K33"/>
  <c r="K43" l="1"/>
  <c r="J61"/>
  <c r="P46"/>
  <c r="K32"/>
  <c r="O32"/>
  <c r="P32" s="1"/>
  <c r="P41" s="1"/>
  <c r="O44"/>
  <c r="P44" s="1"/>
  <c r="K89"/>
  <c r="K94"/>
  <c r="O90"/>
  <c r="P90" s="1"/>
  <c r="N64"/>
  <c r="N84" s="1"/>
  <c r="N44"/>
  <c r="N61" s="1"/>
  <c r="K63"/>
  <c r="O64"/>
  <c r="P64" s="1"/>
  <c r="P84" s="1"/>
  <c r="K88"/>
  <c r="O91"/>
  <c r="P91" s="1"/>
  <c r="P106" s="1"/>
  <c r="M106"/>
  <c r="N32"/>
  <c r="N41" s="1"/>
  <c r="K64"/>
  <c r="K84" s="1"/>
  <c r="J84"/>
  <c r="K93"/>
  <c r="K95"/>
  <c r="K41"/>
  <c r="J106"/>
  <c r="N106"/>
  <c r="K90"/>
  <c r="K59"/>
  <c r="K44"/>
  <c r="K46"/>
  <c r="K48"/>
  <c r="K50"/>
  <c r="K52"/>
  <c r="K54"/>
  <c r="K56"/>
  <c r="O43"/>
  <c r="O61" s="1"/>
  <c r="M7"/>
  <c r="K61" l="1"/>
  <c r="O41"/>
  <c r="O84"/>
  <c r="O106"/>
  <c r="K106"/>
  <c r="P43"/>
  <c r="P61" s="1"/>
  <c r="M5" l="1"/>
  <c r="M30" s="1"/>
  <c r="J7"/>
  <c r="O11"/>
  <c r="P11" s="1"/>
  <c r="N11"/>
  <c r="K11"/>
  <c r="J6"/>
  <c r="O6" s="1"/>
  <c r="P6" s="1"/>
  <c r="J5"/>
  <c r="J4"/>
  <c r="O4" s="1"/>
  <c r="O29"/>
  <c r="P29" s="1"/>
  <c r="N29"/>
  <c r="K29"/>
  <c r="O28"/>
  <c r="P28" s="1"/>
  <c r="N28"/>
  <c r="K28"/>
  <c r="O27"/>
  <c r="P27" s="1"/>
  <c r="N27"/>
  <c r="K27"/>
  <c r="O26"/>
  <c r="P26" s="1"/>
  <c r="N26"/>
  <c r="K26"/>
  <c r="O25"/>
  <c r="P25" s="1"/>
  <c r="N25"/>
  <c r="K25"/>
  <c r="O24"/>
  <c r="P24" s="1"/>
  <c r="N24"/>
  <c r="K24"/>
  <c r="O23"/>
  <c r="P23" s="1"/>
  <c r="N23"/>
  <c r="K23"/>
  <c r="O22"/>
  <c r="P22" s="1"/>
  <c r="N22"/>
  <c r="K22"/>
  <c r="O21"/>
  <c r="P21" s="1"/>
  <c r="N21"/>
  <c r="K21"/>
  <c r="O20"/>
  <c r="P20" s="1"/>
  <c r="N20"/>
  <c r="K20"/>
  <c r="O19"/>
  <c r="P19" s="1"/>
  <c r="N19"/>
  <c r="K19"/>
  <c r="O18"/>
  <c r="P18" s="1"/>
  <c r="N18"/>
  <c r="K18"/>
  <c r="O17"/>
  <c r="P17" s="1"/>
  <c r="N17"/>
  <c r="K17"/>
  <c r="O16"/>
  <c r="P16" s="1"/>
  <c r="N16"/>
  <c r="K16"/>
  <c r="O15"/>
  <c r="P15" s="1"/>
  <c r="N15"/>
  <c r="K15"/>
  <c r="O14"/>
  <c r="P14" s="1"/>
  <c r="N14"/>
  <c r="K14"/>
  <c r="O13"/>
  <c r="P13" s="1"/>
  <c r="N13"/>
  <c r="K13"/>
  <c r="O12"/>
  <c r="P12" s="1"/>
  <c r="N12"/>
  <c r="K12"/>
  <c r="O10"/>
  <c r="P10" s="1"/>
  <c r="N10"/>
  <c r="K10"/>
  <c r="O9"/>
  <c r="P9" s="1"/>
  <c r="N9"/>
  <c r="K9"/>
  <c r="O8"/>
  <c r="P8" s="1"/>
  <c r="N8"/>
  <c r="K8"/>
  <c r="O7"/>
  <c r="P7" s="1"/>
  <c r="N7"/>
  <c r="K7"/>
  <c r="N6"/>
  <c r="K6"/>
  <c r="K5"/>
  <c r="K4"/>
  <c r="N4"/>
  <c r="N5" l="1"/>
  <c r="N30" s="1"/>
  <c r="J30"/>
  <c r="K30"/>
  <c r="P4"/>
  <c r="O5"/>
  <c r="P5" s="1"/>
  <c r="O30" l="1"/>
  <c r="P30"/>
  <c r="R1173" i="36" l="1"/>
  <c r="O1173"/>
  <c r="R1161"/>
  <c r="O1161"/>
  <c r="R1138"/>
  <c r="O1138"/>
  <c r="R1127"/>
  <c r="O1127"/>
  <c r="R1097"/>
  <c r="O1097"/>
  <c r="R1082"/>
  <c r="O1082"/>
  <c r="R1056"/>
  <c r="M1056"/>
  <c r="J1056"/>
  <c r="O1055"/>
  <c r="P1055" s="1"/>
  <c r="N1055"/>
  <c r="K1055"/>
  <c r="O1054"/>
  <c r="P1054" s="1"/>
  <c r="N1054"/>
  <c r="K1054"/>
  <c r="O1053"/>
  <c r="P1053" s="1"/>
  <c r="N1053"/>
  <c r="K1053"/>
  <c r="O1052"/>
  <c r="P1052" s="1"/>
  <c r="N1052"/>
  <c r="K1052"/>
  <c r="O1051"/>
  <c r="P1051" s="1"/>
  <c r="N1051"/>
  <c r="K1051"/>
  <c r="O1050"/>
  <c r="P1050" s="1"/>
  <c r="N1050"/>
  <c r="K1050"/>
  <c r="O1049"/>
  <c r="P1049" s="1"/>
  <c r="N1049"/>
  <c r="K1049"/>
  <c r="O1048"/>
  <c r="P1048" s="1"/>
  <c r="N1048"/>
  <c r="K1048"/>
  <c r="O1047"/>
  <c r="P1047" s="1"/>
  <c r="N1047"/>
  <c r="K1047"/>
  <c r="O1046"/>
  <c r="P1046" s="1"/>
  <c r="N1046"/>
  <c r="K1046"/>
  <c r="O1045"/>
  <c r="P1045" s="1"/>
  <c r="N1045"/>
  <c r="K1045"/>
  <c r="O1044"/>
  <c r="P1044" s="1"/>
  <c r="N1044"/>
  <c r="K1044"/>
  <c r="O1043"/>
  <c r="P1043" s="1"/>
  <c r="N1043"/>
  <c r="K1043"/>
  <c r="O1042"/>
  <c r="P1042" s="1"/>
  <c r="N1042"/>
  <c r="K1042"/>
  <c r="O1041"/>
  <c r="P1041" s="1"/>
  <c r="N1041"/>
  <c r="K1041"/>
  <c r="O1040"/>
  <c r="P1040" s="1"/>
  <c r="N1040"/>
  <c r="K1040"/>
  <c r="O1039"/>
  <c r="P1039" s="1"/>
  <c r="N1039"/>
  <c r="K1039"/>
  <c r="O1038"/>
  <c r="P1038" s="1"/>
  <c r="N1038"/>
  <c r="K1038"/>
  <c r="O1037"/>
  <c r="P1037" s="1"/>
  <c r="N1037"/>
  <c r="K1037"/>
  <c r="O1036"/>
  <c r="P1036" s="1"/>
  <c r="N1036"/>
  <c r="K1036"/>
  <c r="O1035"/>
  <c r="N1035"/>
  <c r="K1035"/>
  <c r="R756"/>
  <c r="O756"/>
  <c r="R1105"/>
  <c r="M1105"/>
  <c r="J1105"/>
  <c r="O1104"/>
  <c r="P1104" s="1"/>
  <c r="N1104"/>
  <c r="K1104"/>
  <c r="O1103"/>
  <c r="P1103" s="1"/>
  <c r="N1103"/>
  <c r="K1103"/>
  <c r="O1102"/>
  <c r="P1102" s="1"/>
  <c r="N1102"/>
  <c r="K1102"/>
  <c r="O1101"/>
  <c r="P1101" s="1"/>
  <c r="N1101"/>
  <c r="K1101"/>
  <c r="O1100"/>
  <c r="N1100"/>
  <c r="K1100"/>
  <c r="Q34" i="38"/>
  <c r="K1105" i="36" l="1"/>
  <c r="N1105"/>
  <c r="N1056"/>
  <c r="O1105"/>
  <c r="P1100"/>
  <c r="P1105" s="1"/>
  <c r="R1083"/>
  <c r="K1056"/>
  <c r="O1056"/>
  <c r="P1035"/>
  <c r="P1056" s="1"/>
  <c r="R1030" l="1"/>
  <c r="O1030"/>
  <c r="M852" i="35"/>
  <c r="Q115" i="37"/>
  <c r="L115"/>
  <c r="L137"/>
  <c r="L114"/>
  <c r="O933" i="36" l="1"/>
  <c r="P933" s="1"/>
  <c r="N933"/>
  <c r="K933"/>
  <c r="O932"/>
  <c r="P932" s="1"/>
  <c r="N932"/>
  <c r="K932"/>
  <c r="O931"/>
  <c r="P931" s="1"/>
  <c r="N931"/>
  <c r="K931"/>
  <c r="O930"/>
  <c r="P930" s="1"/>
  <c r="N930"/>
  <c r="K930"/>
  <c r="O929"/>
  <c r="P929" s="1"/>
  <c r="N929"/>
  <c r="K929"/>
  <c r="O928"/>
  <c r="P928" s="1"/>
  <c r="N928"/>
  <c r="K928"/>
  <c r="R926"/>
  <c r="T906" l="1"/>
  <c r="O906"/>
  <c r="M2276" i="35"/>
  <c r="M2240"/>
  <c r="M2232" l="1"/>
  <c r="R866" i="36" l="1"/>
  <c r="O866"/>
  <c r="O835" l="1"/>
  <c r="P835" s="1"/>
  <c r="N835"/>
  <c r="K835"/>
  <c r="T832"/>
  <c r="O832"/>
  <c r="M288" i="35"/>
  <c r="M280"/>
  <c r="Q778" i="36" l="1"/>
  <c r="N778"/>
  <c r="R726" l="1"/>
  <c r="O726"/>
  <c r="M1827" i="35"/>
  <c r="R686" i="36" l="1"/>
  <c r="O685"/>
  <c r="P685" s="1"/>
  <c r="N685"/>
  <c r="K685"/>
  <c r="O684"/>
  <c r="P684" s="1"/>
  <c r="N684"/>
  <c r="K684"/>
  <c r="O683"/>
  <c r="P683" s="1"/>
  <c r="N683"/>
  <c r="K683"/>
  <c r="O682"/>
  <c r="P682" s="1"/>
  <c r="N682"/>
  <c r="K682"/>
  <c r="O681"/>
  <c r="P681" s="1"/>
  <c r="N681"/>
  <c r="K681"/>
  <c r="O680"/>
  <c r="P680" s="1"/>
  <c r="N680"/>
  <c r="K680"/>
  <c r="O679"/>
  <c r="P679" s="1"/>
  <c r="N679"/>
  <c r="K679"/>
  <c r="O678"/>
  <c r="P678" s="1"/>
  <c r="N678"/>
  <c r="K678"/>
  <c r="O677"/>
  <c r="P677" s="1"/>
  <c r="N677"/>
  <c r="K677"/>
  <c r="O676"/>
  <c r="P676" s="1"/>
  <c r="N676"/>
  <c r="K676"/>
  <c r="O675"/>
  <c r="P675" s="1"/>
  <c r="N675"/>
  <c r="K675"/>
  <c r="O674"/>
  <c r="P674" s="1"/>
  <c r="N674"/>
  <c r="K674"/>
  <c r="O673"/>
  <c r="P673" s="1"/>
  <c r="N673"/>
  <c r="K673"/>
  <c r="N672"/>
  <c r="J672"/>
  <c r="O672" s="1"/>
  <c r="P672" s="1"/>
  <c r="M671"/>
  <c r="M686" s="1"/>
  <c r="J671"/>
  <c r="N670"/>
  <c r="J670"/>
  <c r="N669"/>
  <c r="J669"/>
  <c r="O669" s="1"/>
  <c r="U667"/>
  <c r="O667"/>
  <c r="M2529" i="35"/>
  <c r="M2525"/>
  <c r="M840"/>
  <c r="M839"/>
  <c r="R646" i="36"/>
  <c r="O646"/>
  <c r="O617"/>
  <c r="P617" s="1"/>
  <c r="N617"/>
  <c r="K617"/>
  <c r="O616"/>
  <c r="P616" s="1"/>
  <c r="N616"/>
  <c r="K616"/>
  <c r="O615"/>
  <c r="P615" s="1"/>
  <c r="N615"/>
  <c r="K615"/>
  <c r="O614"/>
  <c r="P614" s="1"/>
  <c r="N614"/>
  <c r="K614"/>
  <c r="O613"/>
  <c r="P613" s="1"/>
  <c r="N613"/>
  <c r="K613"/>
  <c r="O671" l="1"/>
  <c r="P671" s="1"/>
  <c r="K671"/>
  <c r="N671"/>
  <c r="N686" s="1"/>
  <c r="K672"/>
  <c r="J686"/>
  <c r="K669"/>
  <c r="P669"/>
  <c r="K670"/>
  <c r="O670"/>
  <c r="P670" s="1"/>
  <c r="K686" l="1"/>
  <c r="O686"/>
  <c r="P686"/>
  <c r="M101" i="35" l="1"/>
  <c r="L150" i="37" l="1"/>
  <c r="N133"/>
  <c r="O133" s="1"/>
  <c r="M133"/>
  <c r="J133"/>
  <c r="I132"/>
  <c r="I137"/>
  <c r="N137" s="1"/>
  <c r="O137" s="1"/>
  <c r="I136"/>
  <c r="N136" s="1"/>
  <c r="O136" s="1"/>
  <c r="I134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N145"/>
  <c r="O145" s="1"/>
  <c r="M145"/>
  <c r="J145"/>
  <c r="N144"/>
  <c r="O144" s="1"/>
  <c r="M144"/>
  <c r="J144"/>
  <c r="N143"/>
  <c r="O143" s="1"/>
  <c r="M143"/>
  <c r="J143"/>
  <c r="N142"/>
  <c r="O142" s="1"/>
  <c r="M142"/>
  <c r="J142"/>
  <c r="N141"/>
  <c r="O141" s="1"/>
  <c r="M141"/>
  <c r="J141"/>
  <c r="N140"/>
  <c r="O140" s="1"/>
  <c r="M140"/>
  <c r="J140"/>
  <c r="N139"/>
  <c r="O139" s="1"/>
  <c r="M139"/>
  <c r="J139"/>
  <c r="N138"/>
  <c r="O138" s="1"/>
  <c r="M138"/>
  <c r="J138"/>
  <c r="M137"/>
  <c r="M136"/>
  <c r="N135"/>
  <c r="O135" s="1"/>
  <c r="M135"/>
  <c r="J135"/>
  <c r="N134"/>
  <c r="O134" s="1"/>
  <c r="M134"/>
  <c r="J134"/>
  <c r="N132"/>
  <c r="O132" s="1"/>
  <c r="M132"/>
  <c r="J132"/>
  <c r="I115"/>
  <c r="N115" s="1"/>
  <c r="O115" s="1"/>
  <c r="I114"/>
  <c r="N114" s="1"/>
  <c r="O114" s="1"/>
  <c r="I113"/>
  <c r="N113" s="1"/>
  <c r="O113" s="1"/>
  <c r="I112"/>
  <c r="N112" s="1"/>
  <c r="O112" s="1"/>
  <c r="I111"/>
  <c r="N131"/>
  <c r="O131" s="1"/>
  <c r="M131"/>
  <c r="J131"/>
  <c r="N130"/>
  <c r="O130" s="1"/>
  <c r="M130"/>
  <c r="J130"/>
  <c r="N129"/>
  <c r="O129" s="1"/>
  <c r="M129"/>
  <c r="J129"/>
  <c r="N128"/>
  <c r="O128" s="1"/>
  <c r="M128"/>
  <c r="J128"/>
  <c r="N127"/>
  <c r="O127" s="1"/>
  <c r="M127"/>
  <c r="J127"/>
  <c r="N126"/>
  <c r="O126" s="1"/>
  <c r="M126"/>
  <c r="J126"/>
  <c r="N125"/>
  <c r="O125" s="1"/>
  <c r="M125"/>
  <c r="J125"/>
  <c r="N124"/>
  <c r="O124" s="1"/>
  <c r="M124"/>
  <c r="J124"/>
  <c r="N123"/>
  <c r="O123" s="1"/>
  <c r="M123"/>
  <c r="J123"/>
  <c r="N122"/>
  <c r="O122" s="1"/>
  <c r="M122"/>
  <c r="J122"/>
  <c r="N121"/>
  <c r="O121" s="1"/>
  <c r="M121"/>
  <c r="J121"/>
  <c r="N120"/>
  <c r="O120" s="1"/>
  <c r="M120"/>
  <c r="J120"/>
  <c r="N119"/>
  <c r="O119" s="1"/>
  <c r="M119"/>
  <c r="J119"/>
  <c r="N118"/>
  <c r="O118" s="1"/>
  <c r="M118"/>
  <c r="J118"/>
  <c r="N117"/>
  <c r="O117" s="1"/>
  <c r="M117"/>
  <c r="J117"/>
  <c r="N116"/>
  <c r="O116" s="1"/>
  <c r="M116"/>
  <c r="J116"/>
  <c r="M115"/>
  <c r="M114"/>
  <c r="M113"/>
  <c r="J113"/>
  <c r="M112"/>
  <c r="N111"/>
  <c r="O111" s="1"/>
  <c r="M111"/>
  <c r="J111"/>
  <c r="L123" i="38"/>
  <c r="M123" s="1"/>
  <c r="N110" i="37"/>
  <c r="O110" s="1"/>
  <c r="M110"/>
  <c r="J110"/>
  <c r="M1027" i="35"/>
  <c r="L138" i="38"/>
  <c r="L153" s="1"/>
  <c r="M698" i="35"/>
  <c r="J152" i="38"/>
  <c r="J151"/>
  <c r="J150"/>
  <c r="I139"/>
  <c r="I138"/>
  <c r="J138" s="1"/>
  <c r="I137"/>
  <c r="I136"/>
  <c r="N136" s="1"/>
  <c r="O136" s="1"/>
  <c r="N152"/>
  <c r="O152" s="1"/>
  <c r="M152"/>
  <c r="N151"/>
  <c r="O151" s="1"/>
  <c r="M151"/>
  <c r="N150"/>
  <c r="O150" s="1"/>
  <c r="M150"/>
  <c r="N149"/>
  <c r="O149" s="1"/>
  <c r="M149"/>
  <c r="J149"/>
  <c r="N148"/>
  <c r="O148" s="1"/>
  <c r="M148"/>
  <c r="J148"/>
  <c r="N147"/>
  <c r="O147" s="1"/>
  <c r="M147"/>
  <c r="J147"/>
  <c r="N146"/>
  <c r="O146" s="1"/>
  <c r="M146"/>
  <c r="J146"/>
  <c r="N145"/>
  <c r="O145" s="1"/>
  <c r="M145"/>
  <c r="J145"/>
  <c r="N144"/>
  <c r="O144" s="1"/>
  <c r="M144"/>
  <c r="J144"/>
  <c r="N143"/>
  <c r="O143" s="1"/>
  <c r="M143"/>
  <c r="J143"/>
  <c r="N142"/>
  <c r="O142" s="1"/>
  <c r="M142"/>
  <c r="J142"/>
  <c r="N141"/>
  <c r="O141" s="1"/>
  <c r="M141"/>
  <c r="J141"/>
  <c r="N140"/>
  <c r="O140" s="1"/>
  <c r="M140"/>
  <c r="J140"/>
  <c r="N139"/>
  <c r="O139" s="1"/>
  <c r="M139"/>
  <c r="J139"/>
  <c r="M138"/>
  <c r="N137"/>
  <c r="O137" s="1"/>
  <c r="M137"/>
  <c r="J137"/>
  <c r="M136"/>
  <c r="L129"/>
  <c r="L134" s="1"/>
  <c r="I123"/>
  <c r="J123" s="1"/>
  <c r="I122"/>
  <c r="N122" s="1"/>
  <c r="O122" s="1"/>
  <c r="I121"/>
  <c r="N121" s="1"/>
  <c r="O121" s="1"/>
  <c r="I120"/>
  <c r="N120" s="1"/>
  <c r="N133"/>
  <c r="O133" s="1"/>
  <c r="M133"/>
  <c r="J133"/>
  <c r="N132"/>
  <c r="O132" s="1"/>
  <c r="M132"/>
  <c r="J132"/>
  <c r="N131"/>
  <c r="O131" s="1"/>
  <c r="M131"/>
  <c r="J131"/>
  <c r="N130"/>
  <c r="O130" s="1"/>
  <c r="M130"/>
  <c r="J130"/>
  <c r="J129"/>
  <c r="N128"/>
  <c r="M128"/>
  <c r="J128"/>
  <c r="N127"/>
  <c r="O127" s="1"/>
  <c r="M127"/>
  <c r="J127"/>
  <c r="N126"/>
  <c r="O126" s="1"/>
  <c r="M126"/>
  <c r="J126"/>
  <c r="N125"/>
  <c r="O125" s="1"/>
  <c r="M125"/>
  <c r="J125"/>
  <c r="N124"/>
  <c r="O124" s="1"/>
  <c r="M124"/>
  <c r="J124"/>
  <c r="M122"/>
  <c r="M121"/>
  <c r="M120"/>
  <c r="O120" l="1"/>
  <c r="O128"/>
  <c r="J120"/>
  <c r="J122"/>
  <c r="J121"/>
  <c r="N123"/>
  <c r="O123" s="1"/>
  <c r="J137" i="37"/>
  <c r="J136" i="38"/>
  <c r="J153" s="1"/>
  <c r="N138"/>
  <c r="O138" s="1"/>
  <c r="O153" s="1"/>
  <c r="I153"/>
  <c r="M150" i="37"/>
  <c r="J112"/>
  <c r="J114"/>
  <c r="I150"/>
  <c r="J136"/>
  <c r="I134" i="38"/>
  <c r="N129"/>
  <c r="O129" s="1"/>
  <c r="O150" i="37"/>
  <c r="N150"/>
  <c r="J115"/>
  <c r="M153" i="38"/>
  <c r="M129"/>
  <c r="M134" s="1"/>
  <c r="O134" l="1"/>
  <c r="N134"/>
  <c r="J134"/>
  <c r="N153"/>
  <c r="J150" i="37"/>
  <c r="R562" i="36"/>
  <c r="O562"/>
  <c r="M2088" i="35" l="1"/>
  <c r="M2087"/>
  <c r="M108"/>
  <c r="M2225"/>
  <c r="M2421"/>
  <c r="M2226"/>
  <c r="L100" i="38" l="1"/>
  <c r="Q596" i="36"/>
  <c r="R596" s="1"/>
  <c r="P596"/>
  <c r="M596"/>
  <c r="M928" i="35"/>
  <c r="M921"/>
  <c r="M927"/>
  <c r="P591" i="36" l="1"/>
  <c r="Q597"/>
  <c r="R597" s="1"/>
  <c r="P597"/>
  <c r="M597"/>
  <c r="Q595"/>
  <c r="R595" s="1"/>
  <c r="P595"/>
  <c r="M595"/>
  <c r="Q594"/>
  <c r="R594" s="1"/>
  <c r="P594"/>
  <c r="M594"/>
  <c r="P593"/>
  <c r="L593"/>
  <c r="Q593" s="1"/>
  <c r="R593" s="1"/>
  <c r="L101" i="38"/>
  <c r="R598" i="36" l="1"/>
  <c r="R599" s="1"/>
  <c r="M593"/>
  <c r="L118" i="38" l="1"/>
  <c r="I101"/>
  <c r="N101" s="1"/>
  <c r="O101" s="1"/>
  <c r="I100"/>
  <c r="N100" s="1"/>
  <c r="O100" s="1"/>
  <c r="I99"/>
  <c r="N99" s="1"/>
  <c r="O99" s="1"/>
  <c r="I98"/>
  <c r="N98" s="1"/>
  <c r="O98" s="1"/>
  <c r="I97"/>
  <c r="N97" s="1"/>
  <c r="N117"/>
  <c r="O117" s="1"/>
  <c r="M117"/>
  <c r="J117"/>
  <c r="N116"/>
  <c r="O116" s="1"/>
  <c r="M116"/>
  <c r="J116"/>
  <c r="N115"/>
  <c r="O115" s="1"/>
  <c r="M115"/>
  <c r="J115"/>
  <c r="N114"/>
  <c r="O114" s="1"/>
  <c r="M114"/>
  <c r="J114"/>
  <c r="N113"/>
  <c r="O113" s="1"/>
  <c r="M113"/>
  <c r="J113"/>
  <c r="N112"/>
  <c r="O112" s="1"/>
  <c r="M112"/>
  <c r="J112"/>
  <c r="N111"/>
  <c r="O111" s="1"/>
  <c r="M111"/>
  <c r="J111"/>
  <c r="N110"/>
  <c r="O110" s="1"/>
  <c r="M110"/>
  <c r="J110"/>
  <c r="N109"/>
  <c r="O109" s="1"/>
  <c r="M109"/>
  <c r="J109"/>
  <c r="N108"/>
  <c r="O108" s="1"/>
  <c r="M108"/>
  <c r="J108"/>
  <c r="N107"/>
  <c r="O107" s="1"/>
  <c r="M107"/>
  <c r="J107"/>
  <c r="N106"/>
  <c r="O106" s="1"/>
  <c r="M106"/>
  <c r="J106"/>
  <c r="N105"/>
  <c r="O105" s="1"/>
  <c r="M105"/>
  <c r="J105"/>
  <c r="N104"/>
  <c r="O104" s="1"/>
  <c r="M104"/>
  <c r="J104"/>
  <c r="N103"/>
  <c r="O103" s="1"/>
  <c r="M103"/>
  <c r="J103"/>
  <c r="N102"/>
  <c r="O102" s="1"/>
  <c r="M102"/>
  <c r="J102"/>
  <c r="M101"/>
  <c r="M100"/>
  <c r="M99"/>
  <c r="M98"/>
  <c r="M97"/>
  <c r="R610" i="36"/>
  <c r="O609"/>
  <c r="P609" s="1"/>
  <c r="N609"/>
  <c r="K609"/>
  <c r="O608"/>
  <c r="P608" s="1"/>
  <c r="N608"/>
  <c r="K608"/>
  <c r="R606"/>
  <c r="O606"/>
  <c r="O591"/>
  <c r="O575"/>
  <c r="L94" i="38"/>
  <c r="I94"/>
  <c r="N93"/>
  <c r="O93" s="1"/>
  <c r="M93"/>
  <c r="J93"/>
  <c r="N92"/>
  <c r="O92" s="1"/>
  <c r="M92"/>
  <c r="J92"/>
  <c r="N91"/>
  <c r="O91" s="1"/>
  <c r="M91"/>
  <c r="J91"/>
  <c r="N90"/>
  <c r="O90" s="1"/>
  <c r="M90"/>
  <c r="J90"/>
  <c r="N89"/>
  <c r="O89" s="1"/>
  <c r="M89"/>
  <c r="J89"/>
  <c r="N88"/>
  <c r="O88" s="1"/>
  <c r="M88"/>
  <c r="J88"/>
  <c r="N87"/>
  <c r="O87" s="1"/>
  <c r="M87"/>
  <c r="J87"/>
  <c r="N86"/>
  <c r="O86" s="1"/>
  <c r="M86"/>
  <c r="J86"/>
  <c r="N85"/>
  <c r="M85"/>
  <c r="J85"/>
  <c r="N84"/>
  <c r="O84" s="1"/>
  <c r="M84"/>
  <c r="J84"/>
  <c r="N83"/>
  <c r="O83" s="1"/>
  <c r="M83"/>
  <c r="J83"/>
  <c r="N82"/>
  <c r="O82" s="1"/>
  <c r="M82"/>
  <c r="J82"/>
  <c r="N81"/>
  <c r="O81" s="1"/>
  <c r="M81"/>
  <c r="J81"/>
  <c r="N80"/>
  <c r="O80" s="1"/>
  <c r="M80"/>
  <c r="J80"/>
  <c r="N79"/>
  <c r="O79" s="1"/>
  <c r="M79"/>
  <c r="J79"/>
  <c r="N78"/>
  <c r="O78" s="1"/>
  <c r="M78"/>
  <c r="J78"/>
  <c r="N77"/>
  <c r="M77"/>
  <c r="J77"/>
  <c r="N76"/>
  <c r="O76" s="1"/>
  <c r="M76"/>
  <c r="J76"/>
  <c r="N75"/>
  <c r="O75" s="1"/>
  <c r="M75"/>
  <c r="J75"/>
  <c r="N74"/>
  <c r="O74" s="1"/>
  <c r="M74"/>
  <c r="J74"/>
  <c r="N73"/>
  <c r="M73"/>
  <c r="J73"/>
  <c r="L71"/>
  <c r="I71"/>
  <c r="N70"/>
  <c r="O70" s="1"/>
  <c r="M70"/>
  <c r="J70"/>
  <c r="N69"/>
  <c r="O69" s="1"/>
  <c r="M69"/>
  <c r="J69"/>
  <c r="N68"/>
  <c r="O68" s="1"/>
  <c r="M68"/>
  <c r="J68"/>
  <c r="N67"/>
  <c r="O67" s="1"/>
  <c r="M67"/>
  <c r="J67"/>
  <c r="N66"/>
  <c r="O66" s="1"/>
  <c r="M66"/>
  <c r="J66"/>
  <c r="N65"/>
  <c r="O65" s="1"/>
  <c r="M65"/>
  <c r="J65"/>
  <c r="N64"/>
  <c r="O64" s="1"/>
  <c r="M64"/>
  <c r="J64"/>
  <c r="N63"/>
  <c r="O63" s="1"/>
  <c r="M63"/>
  <c r="J63"/>
  <c r="N62"/>
  <c r="O62" s="1"/>
  <c r="M62"/>
  <c r="J62"/>
  <c r="N61"/>
  <c r="O61" s="1"/>
  <c r="M61"/>
  <c r="J61"/>
  <c r="N60"/>
  <c r="O60" s="1"/>
  <c r="M60"/>
  <c r="J60"/>
  <c r="N59"/>
  <c r="O59" s="1"/>
  <c r="M59"/>
  <c r="J59"/>
  <c r="N58"/>
  <c r="O58" s="1"/>
  <c r="M58"/>
  <c r="J58"/>
  <c r="N57"/>
  <c r="O57" s="1"/>
  <c r="M57"/>
  <c r="J57"/>
  <c r="N56"/>
  <c r="O56" s="1"/>
  <c r="M56"/>
  <c r="J56"/>
  <c r="N55"/>
  <c r="O55" s="1"/>
  <c r="M55"/>
  <c r="J55"/>
  <c r="N54"/>
  <c r="O54" s="1"/>
  <c r="M54"/>
  <c r="J54"/>
  <c r="N53"/>
  <c r="O53" s="1"/>
  <c r="M53"/>
  <c r="J53"/>
  <c r="N52"/>
  <c r="O52" s="1"/>
  <c r="M52"/>
  <c r="J52"/>
  <c r="L50"/>
  <c r="I50"/>
  <c r="N49"/>
  <c r="O49" s="1"/>
  <c r="M49"/>
  <c r="J49"/>
  <c r="N48"/>
  <c r="O48" s="1"/>
  <c r="M48"/>
  <c r="J48"/>
  <c r="N47"/>
  <c r="O47" s="1"/>
  <c r="M47"/>
  <c r="J47"/>
  <c r="N46"/>
  <c r="O46" s="1"/>
  <c r="M46"/>
  <c r="J46"/>
  <c r="L44"/>
  <c r="I37"/>
  <c r="I44" s="1"/>
  <c r="N43"/>
  <c r="O43" s="1"/>
  <c r="M43"/>
  <c r="J43"/>
  <c r="N42"/>
  <c r="O42" s="1"/>
  <c r="M42"/>
  <c r="J42"/>
  <c r="N41"/>
  <c r="O41" s="1"/>
  <c r="M41"/>
  <c r="J41"/>
  <c r="N40"/>
  <c r="O40" s="1"/>
  <c r="M40"/>
  <c r="J40"/>
  <c r="N39"/>
  <c r="O39" s="1"/>
  <c r="M39"/>
  <c r="J39"/>
  <c r="N38"/>
  <c r="O38" s="1"/>
  <c r="M38"/>
  <c r="J38"/>
  <c r="M37"/>
  <c r="N36"/>
  <c r="O36" s="1"/>
  <c r="M36"/>
  <c r="J36"/>
  <c r="L34"/>
  <c r="I34"/>
  <c r="N33"/>
  <c r="O33" s="1"/>
  <c r="M33"/>
  <c r="J33"/>
  <c r="N32"/>
  <c r="O32" s="1"/>
  <c r="M32"/>
  <c r="J32"/>
  <c r="N31"/>
  <c r="O31" s="1"/>
  <c r="M31"/>
  <c r="J31"/>
  <c r="M30"/>
  <c r="N30"/>
  <c r="O30" s="1"/>
  <c r="N29"/>
  <c r="O29" s="1"/>
  <c r="M29"/>
  <c r="J29"/>
  <c r="L22"/>
  <c r="L27" s="1"/>
  <c r="N25"/>
  <c r="O25" s="1"/>
  <c r="M25"/>
  <c r="J25"/>
  <c r="I14"/>
  <c r="N14" s="1"/>
  <c r="O14" s="1"/>
  <c r="I13"/>
  <c r="N13" s="1"/>
  <c r="O13" s="1"/>
  <c r="I12"/>
  <c r="N12" s="1"/>
  <c r="O12" s="1"/>
  <c r="I11"/>
  <c r="J11" s="1"/>
  <c r="N26"/>
  <c r="O26" s="1"/>
  <c r="M26"/>
  <c r="J26"/>
  <c r="N24"/>
  <c r="O24" s="1"/>
  <c r="M24"/>
  <c r="J24"/>
  <c r="N23"/>
  <c r="O23" s="1"/>
  <c r="M23"/>
  <c r="J23"/>
  <c r="J22"/>
  <c r="N21"/>
  <c r="O21" s="1"/>
  <c r="M21"/>
  <c r="J21"/>
  <c r="N20"/>
  <c r="O20" s="1"/>
  <c r="M20"/>
  <c r="J20"/>
  <c r="N19"/>
  <c r="O19" s="1"/>
  <c r="M19"/>
  <c r="J19"/>
  <c r="N18"/>
  <c r="O18" s="1"/>
  <c r="M18"/>
  <c r="J18"/>
  <c r="N17"/>
  <c r="O17" s="1"/>
  <c r="M17"/>
  <c r="J17"/>
  <c r="N16"/>
  <c r="O16" s="1"/>
  <c r="M16"/>
  <c r="J16"/>
  <c r="N15"/>
  <c r="O15" s="1"/>
  <c r="M15"/>
  <c r="J15"/>
  <c r="M14"/>
  <c r="M13"/>
  <c r="M12"/>
  <c r="M11"/>
  <c r="L9"/>
  <c r="R570" i="36"/>
  <c r="O569"/>
  <c r="P569" s="1"/>
  <c r="N569"/>
  <c r="K569"/>
  <c r="O568"/>
  <c r="P568" s="1"/>
  <c r="N568"/>
  <c r="K568"/>
  <c r="O567"/>
  <c r="P567" s="1"/>
  <c r="N567"/>
  <c r="K567"/>
  <c r="I4" i="38"/>
  <c r="I9" s="1"/>
  <c r="M8"/>
  <c r="N8"/>
  <c r="O8" s="1"/>
  <c r="N7"/>
  <c r="O7" s="1"/>
  <c r="M7"/>
  <c r="J7"/>
  <c r="M6"/>
  <c r="N6"/>
  <c r="O6" s="1"/>
  <c r="N5"/>
  <c r="O5" s="1"/>
  <c r="M5"/>
  <c r="J5"/>
  <c r="M4"/>
  <c r="N4"/>
  <c r="O4" s="1"/>
  <c r="J3"/>
  <c r="N3"/>
  <c r="O3" s="1"/>
  <c r="M3"/>
  <c r="L104" i="37"/>
  <c r="L103"/>
  <c r="L99"/>
  <c r="N106"/>
  <c r="O106" s="1"/>
  <c r="M106"/>
  <c r="J106"/>
  <c r="I104"/>
  <c r="I103"/>
  <c r="I102"/>
  <c r="I101"/>
  <c r="I100"/>
  <c r="I99"/>
  <c r="I98"/>
  <c r="O85" i="38" l="1"/>
  <c r="N94"/>
  <c r="N11"/>
  <c r="O11" s="1"/>
  <c r="J13"/>
  <c r="J97"/>
  <c r="J99"/>
  <c r="J101"/>
  <c r="J94"/>
  <c r="M9"/>
  <c r="N118"/>
  <c r="M22"/>
  <c r="M27" s="1"/>
  <c r="J50"/>
  <c r="O50"/>
  <c r="J71"/>
  <c r="J98"/>
  <c r="J100"/>
  <c r="M50"/>
  <c r="I107" i="37"/>
  <c r="L107"/>
  <c r="I118" i="38"/>
  <c r="O77"/>
  <c r="O73"/>
  <c r="O9"/>
  <c r="N50"/>
  <c r="M94"/>
  <c r="M118"/>
  <c r="O97"/>
  <c r="O118" s="1"/>
  <c r="O71"/>
  <c r="M71"/>
  <c r="N71"/>
  <c r="N22"/>
  <c r="O22" s="1"/>
  <c r="I27"/>
  <c r="M34"/>
  <c r="M44"/>
  <c r="J37"/>
  <c r="J44" s="1"/>
  <c r="N37"/>
  <c r="O37" s="1"/>
  <c r="O44" s="1"/>
  <c r="J12"/>
  <c r="J14"/>
  <c r="O34"/>
  <c r="N34"/>
  <c r="J30"/>
  <c r="J34" s="1"/>
  <c r="N9"/>
  <c r="J4"/>
  <c r="J6"/>
  <c r="J8"/>
  <c r="O94" l="1"/>
  <c r="O27"/>
  <c r="N27"/>
  <c r="J118"/>
  <c r="J27"/>
  <c r="N44"/>
  <c r="J9"/>
  <c r="M384" i="35" l="1"/>
  <c r="M874"/>
  <c r="M530"/>
  <c r="M473"/>
  <c r="M483"/>
  <c r="M522"/>
  <c r="M519"/>
  <c r="M778" l="1"/>
  <c r="N105" i="37" l="1"/>
  <c r="O105" s="1"/>
  <c r="M105"/>
  <c r="J105"/>
  <c r="N104"/>
  <c r="O104" s="1"/>
  <c r="M104"/>
  <c r="J104"/>
  <c r="N103"/>
  <c r="M103"/>
  <c r="J103"/>
  <c r="N102"/>
  <c r="O102" s="1"/>
  <c r="M102"/>
  <c r="J102"/>
  <c r="N101"/>
  <c r="O101" s="1"/>
  <c r="M101"/>
  <c r="J101"/>
  <c r="N100"/>
  <c r="O100" s="1"/>
  <c r="M100"/>
  <c r="J100"/>
  <c r="N99"/>
  <c r="O99" s="1"/>
  <c r="M99"/>
  <c r="J99"/>
  <c r="N98"/>
  <c r="M98"/>
  <c r="J98"/>
  <c r="L96"/>
  <c r="I81"/>
  <c r="I80"/>
  <c r="N80" s="1"/>
  <c r="O80" s="1"/>
  <c r="I79"/>
  <c r="I78"/>
  <c r="N95"/>
  <c r="O95" s="1"/>
  <c r="M95"/>
  <c r="J95"/>
  <c r="N94"/>
  <c r="O94" s="1"/>
  <c r="M94"/>
  <c r="J94"/>
  <c r="N93"/>
  <c r="O93" s="1"/>
  <c r="M93"/>
  <c r="J93"/>
  <c r="N92"/>
  <c r="O92" s="1"/>
  <c r="M92"/>
  <c r="J92"/>
  <c r="N91"/>
  <c r="O91" s="1"/>
  <c r="M91"/>
  <c r="J91"/>
  <c r="N90"/>
  <c r="O90" s="1"/>
  <c r="M90"/>
  <c r="J90"/>
  <c r="N89"/>
  <c r="O89" s="1"/>
  <c r="M89"/>
  <c r="J89"/>
  <c r="N88"/>
  <c r="O88" s="1"/>
  <c r="M88"/>
  <c r="J88"/>
  <c r="N87"/>
  <c r="O87" s="1"/>
  <c r="M87"/>
  <c r="J87"/>
  <c r="N86"/>
  <c r="O86" s="1"/>
  <c r="M86"/>
  <c r="J86"/>
  <c r="N85"/>
  <c r="O85" s="1"/>
  <c r="M85"/>
  <c r="J85"/>
  <c r="N84"/>
  <c r="O84" s="1"/>
  <c r="M84"/>
  <c r="J84"/>
  <c r="N83"/>
  <c r="O83" s="1"/>
  <c r="M83"/>
  <c r="J83"/>
  <c r="N82"/>
  <c r="O82" s="1"/>
  <c r="M82"/>
  <c r="J82"/>
  <c r="N81"/>
  <c r="O81" s="1"/>
  <c r="M81"/>
  <c r="J81"/>
  <c r="M80"/>
  <c r="N79"/>
  <c r="O79" s="1"/>
  <c r="M79"/>
  <c r="J79"/>
  <c r="M78"/>
  <c r="L77"/>
  <c r="J107" l="1"/>
  <c r="I96"/>
  <c r="O103"/>
  <c r="N107"/>
  <c r="M107"/>
  <c r="O98"/>
  <c r="J78"/>
  <c r="N78"/>
  <c r="J80"/>
  <c r="M96"/>
  <c r="I70"/>
  <c r="I77" s="1"/>
  <c r="N76"/>
  <c r="O76" s="1"/>
  <c r="M76"/>
  <c r="J76"/>
  <c r="N75"/>
  <c r="O75" s="1"/>
  <c r="M75"/>
  <c r="J75"/>
  <c r="N74"/>
  <c r="M74"/>
  <c r="J74"/>
  <c r="N73"/>
  <c r="O73" s="1"/>
  <c r="M73"/>
  <c r="J73"/>
  <c r="N72"/>
  <c r="O72" s="1"/>
  <c r="M72"/>
  <c r="J72"/>
  <c r="N71"/>
  <c r="O71" s="1"/>
  <c r="M71"/>
  <c r="J71"/>
  <c r="M70"/>
  <c r="L32"/>
  <c r="M32" s="1"/>
  <c r="L65"/>
  <c r="N65" s="1"/>
  <c r="O65" s="1"/>
  <c r="I36"/>
  <c r="N36" s="1"/>
  <c r="O36" s="1"/>
  <c r="I35"/>
  <c r="N35" s="1"/>
  <c r="O35" s="1"/>
  <c r="I34"/>
  <c r="N34" s="1"/>
  <c r="O34" s="1"/>
  <c r="L29"/>
  <c r="I32"/>
  <c r="I31"/>
  <c r="N67"/>
  <c r="O67" s="1"/>
  <c r="M67"/>
  <c r="J67"/>
  <c r="N66"/>
  <c r="O66" s="1"/>
  <c r="M66"/>
  <c r="J66"/>
  <c r="J65"/>
  <c r="N64"/>
  <c r="O64" s="1"/>
  <c r="M64"/>
  <c r="J64"/>
  <c r="N63"/>
  <c r="O63" s="1"/>
  <c r="M63"/>
  <c r="J63"/>
  <c r="N62"/>
  <c r="O62" s="1"/>
  <c r="M62"/>
  <c r="J62"/>
  <c r="N61"/>
  <c r="O61" s="1"/>
  <c r="M61"/>
  <c r="J61"/>
  <c r="N60"/>
  <c r="O60" s="1"/>
  <c r="M60"/>
  <c r="J60"/>
  <c r="N59"/>
  <c r="O59" s="1"/>
  <c r="M59"/>
  <c r="J59"/>
  <c r="N58"/>
  <c r="O58" s="1"/>
  <c r="M58"/>
  <c r="J58"/>
  <c r="N57"/>
  <c r="O57" s="1"/>
  <c r="M57"/>
  <c r="J57"/>
  <c r="N56"/>
  <c r="O56" s="1"/>
  <c r="M56"/>
  <c r="J56"/>
  <c r="N55"/>
  <c r="O55" s="1"/>
  <c r="M55"/>
  <c r="J55"/>
  <c r="N54"/>
  <c r="O54" s="1"/>
  <c r="M54"/>
  <c r="J54"/>
  <c r="N53"/>
  <c r="O53" s="1"/>
  <c r="M53"/>
  <c r="J53"/>
  <c r="N52"/>
  <c r="O52" s="1"/>
  <c r="M52"/>
  <c r="J52"/>
  <c r="N51"/>
  <c r="O51" s="1"/>
  <c r="M51"/>
  <c r="J51"/>
  <c r="N50"/>
  <c r="O50" s="1"/>
  <c r="M50"/>
  <c r="J50"/>
  <c r="N49"/>
  <c r="O49" s="1"/>
  <c r="M49"/>
  <c r="J49"/>
  <c r="N48"/>
  <c r="O48" s="1"/>
  <c r="M48"/>
  <c r="J48"/>
  <c r="N47"/>
  <c r="O47" s="1"/>
  <c r="M47"/>
  <c r="J47"/>
  <c r="N46"/>
  <c r="O46" s="1"/>
  <c r="M46"/>
  <c r="J46"/>
  <c r="N45"/>
  <c r="O45" s="1"/>
  <c r="M45"/>
  <c r="J45"/>
  <c r="N44"/>
  <c r="O44" s="1"/>
  <c r="M44"/>
  <c r="J44"/>
  <c r="N43"/>
  <c r="O43" s="1"/>
  <c r="M43"/>
  <c r="J43"/>
  <c r="N42"/>
  <c r="O42" s="1"/>
  <c r="M42"/>
  <c r="J42"/>
  <c r="N41"/>
  <c r="O41" s="1"/>
  <c r="M41"/>
  <c r="J41"/>
  <c r="N40"/>
  <c r="O40" s="1"/>
  <c r="M40"/>
  <c r="J40"/>
  <c r="N39"/>
  <c r="O39" s="1"/>
  <c r="M39"/>
  <c r="J39"/>
  <c r="N38"/>
  <c r="O38" s="1"/>
  <c r="M38"/>
  <c r="J38"/>
  <c r="N37"/>
  <c r="O37" s="1"/>
  <c r="M37"/>
  <c r="J37"/>
  <c r="M36"/>
  <c r="M35"/>
  <c r="M34"/>
  <c r="N33"/>
  <c r="O33" s="1"/>
  <c r="M33"/>
  <c r="J33"/>
  <c r="N31"/>
  <c r="M31"/>
  <c r="J31"/>
  <c r="I24"/>
  <c r="I29" s="1"/>
  <c r="N28"/>
  <c r="O28" s="1"/>
  <c r="M28"/>
  <c r="J28"/>
  <c r="N27"/>
  <c r="O27" s="1"/>
  <c r="M27"/>
  <c r="J27"/>
  <c r="N26"/>
  <c r="O26" s="1"/>
  <c r="M26"/>
  <c r="J26"/>
  <c r="N25"/>
  <c r="O25" s="1"/>
  <c r="M25"/>
  <c r="J25"/>
  <c r="M65" l="1"/>
  <c r="M68" s="1"/>
  <c r="J34"/>
  <c r="J36"/>
  <c r="L68"/>
  <c r="N32"/>
  <c r="O32" s="1"/>
  <c r="J70"/>
  <c r="J77" s="1"/>
  <c r="N70"/>
  <c r="O70" s="1"/>
  <c r="O107"/>
  <c r="I68"/>
  <c r="J35"/>
  <c r="M77"/>
  <c r="J96"/>
  <c r="O78"/>
  <c r="O96" s="1"/>
  <c r="N96"/>
  <c r="O74"/>
  <c r="O77" s="1"/>
  <c r="O31"/>
  <c r="J32"/>
  <c r="N24"/>
  <c r="M24"/>
  <c r="M29" s="1"/>
  <c r="J24"/>
  <c r="J29" s="1"/>
  <c r="L23"/>
  <c r="I14"/>
  <c r="I13"/>
  <c r="N13" s="1"/>
  <c r="N22"/>
  <c r="O22" s="1"/>
  <c r="M22"/>
  <c r="J22"/>
  <c r="N21"/>
  <c r="O21" s="1"/>
  <c r="M21"/>
  <c r="J21"/>
  <c r="N20"/>
  <c r="O20" s="1"/>
  <c r="M20"/>
  <c r="J20"/>
  <c r="N19"/>
  <c r="O19" s="1"/>
  <c r="M19"/>
  <c r="J19"/>
  <c r="N18"/>
  <c r="O18" s="1"/>
  <c r="M18"/>
  <c r="J18"/>
  <c r="N17"/>
  <c r="O17" s="1"/>
  <c r="M17"/>
  <c r="J17"/>
  <c r="N16"/>
  <c r="O16" s="1"/>
  <c r="M16"/>
  <c r="J16"/>
  <c r="N15"/>
  <c r="O15" s="1"/>
  <c r="M15"/>
  <c r="J15"/>
  <c r="N14"/>
  <c r="O14" s="1"/>
  <c r="M14"/>
  <c r="J14"/>
  <c r="M13"/>
  <c r="N68" l="1"/>
  <c r="O68"/>
  <c r="N77"/>
  <c r="N23"/>
  <c r="J68"/>
  <c r="I23"/>
  <c r="O24"/>
  <c r="O29" s="1"/>
  <c r="N29"/>
  <c r="M23"/>
  <c r="O13"/>
  <c r="O23" s="1"/>
  <c r="J13"/>
  <c r="J23" s="1"/>
  <c r="L12" l="1"/>
  <c r="O301" i="35"/>
  <c r="P301" s="1"/>
  <c r="N301"/>
  <c r="K301"/>
  <c r="N7" i="37"/>
  <c r="O7" s="1"/>
  <c r="M7"/>
  <c r="J7"/>
  <c r="I5"/>
  <c r="N5" s="1"/>
  <c r="O5" s="1"/>
  <c r="I4"/>
  <c r="M11"/>
  <c r="N11"/>
  <c r="O11" s="1"/>
  <c r="M10"/>
  <c r="N10"/>
  <c r="O10" s="1"/>
  <c r="M9"/>
  <c r="N9"/>
  <c r="O9" s="1"/>
  <c r="M8"/>
  <c r="N8"/>
  <c r="O8" s="1"/>
  <c r="M6"/>
  <c r="N6"/>
  <c r="O6" s="1"/>
  <c r="M5"/>
  <c r="M4"/>
  <c r="J4" l="1"/>
  <c r="N4"/>
  <c r="M12"/>
  <c r="I12"/>
  <c r="J5"/>
  <c r="J8"/>
  <c r="J10"/>
  <c r="J6"/>
  <c r="J9"/>
  <c r="J11"/>
  <c r="N12" l="1"/>
  <c r="O4"/>
  <c r="O12" s="1"/>
  <c r="J12"/>
  <c r="R520" i="36" l="1"/>
  <c r="O520"/>
  <c r="R498"/>
  <c r="O498"/>
  <c r="R482" l="1"/>
  <c r="O355" i="35" l="1"/>
  <c r="P355" s="1"/>
  <c r="N355"/>
  <c r="K355"/>
  <c r="R466" i="36" l="1"/>
  <c r="O466"/>
  <c r="R446"/>
  <c r="O446"/>
  <c r="R433"/>
  <c r="O433"/>
  <c r="R405"/>
  <c r="O404"/>
  <c r="P404" s="1"/>
  <c r="N404"/>
  <c r="K404"/>
  <c r="R401" l="1"/>
  <c r="O401"/>
  <c r="R368"/>
  <c r="M1908" i="35"/>
  <c r="M732"/>
  <c r="M1024"/>
  <c r="M1083"/>
  <c r="M1025"/>
  <c r="M734" l="1"/>
  <c r="R344" i="36" l="1"/>
  <c r="O343"/>
  <c r="P343" s="1"/>
  <c r="N343"/>
  <c r="K343"/>
  <c r="O342"/>
  <c r="P342" s="1"/>
  <c r="N342"/>
  <c r="K342"/>
  <c r="O341"/>
  <c r="P341" s="1"/>
  <c r="N341"/>
  <c r="K341"/>
  <c r="R339"/>
  <c r="O339"/>
  <c r="R325" l="1"/>
  <c r="O324"/>
  <c r="P324" s="1"/>
  <c r="N324"/>
  <c r="K324"/>
  <c r="O323"/>
  <c r="P323" s="1"/>
  <c r="N323"/>
  <c r="K323"/>
  <c r="O322"/>
  <c r="P322" s="1"/>
  <c r="N322"/>
  <c r="K322"/>
  <c r="R319"/>
  <c r="R313"/>
  <c r="O313"/>
  <c r="U280"/>
  <c r="O280"/>
  <c r="M373" i="35"/>
  <c r="R265" i="36"/>
  <c r="O265"/>
  <c r="R252"/>
  <c r="O251"/>
  <c r="P251" s="1"/>
  <c r="N251"/>
  <c r="K251"/>
  <c r="O250"/>
  <c r="P250" s="1"/>
  <c r="N250"/>
  <c r="K250"/>
  <c r="O249"/>
  <c r="P249" s="1"/>
  <c r="N249"/>
  <c r="K249"/>
  <c r="O248"/>
  <c r="P248" s="1"/>
  <c r="N248"/>
  <c r="K248"/>
  <c r="O247"/>
  <c r="P247" s="1"/>
  <c r="N247"/>
  <c r="K247"/>
  <c r="O246"/>
  <c r="P246" s="1"/>
  <c r="N246"/>
  <c r="K246"/>
  <c r="O244"/>
  <c r="R244"/>
  <c r="R213"/>
  <c r="O213"/>
  <c r="R199"/>
  <c r="O199"/>
  <c r="R173"/>
  <c r="R160"/>
  <c r="O160"/>
  <c r="O154"/>
  <c r="P154" s="1"/>
  <c r="N154"/>
  <c r="K154"/>
  <c r="O153"/>
  <c r="P153" s="1"/>
  <c r="N153"/>
  <c r="K153"/>
  <c r="O252" l="1"/>
  <c r="R150"/>
  <c r="O150"/>
  <c r="R135"/>
  <c r="O135"/>
  <c r="R123"/>
  <c r="O123"/>
  <c r="R114"/>
  <c r="O114"/>
  <c r="R78" l="1"/>
  <c r="O78"/>
  <c r="M666" i="35"/>
  <c r="R58" i="36"/>
  <c r="O58"/>
  <c r="R29"/>
  <c r="R17"/>
  <c r="M1872" i="35"/>
  <c r="O4" i="36"/>
  <c r="P4" s="1"/>
  <c r="N4"/>
  <c r="K4"/>
  <c r="O620" i="35" l="1"/>
  <c r="P620" s="1"/>
  <c r="N620"/>
  <c r="K620"/>
  <c r="O619"/>
  <c r="P619" s="1"/>
  <c r="N619"/>
  <c r="K619"/>
  <c r="O855" l="1"/>
  <c r="P855" s="1"/>
  <c r="N855"/>
  <c r="K855"/>
  <c r="J854"/>
  <c r="M2" l="1"/>
  <c r="O293"/>
  <c r="P293" s="1"/>
  <c r="N293"/>
  <c r="K293"/>
  <c r="O292"/>
  <c r="P292" s="1"/>
  <c r="N292"/>
  <c r="K292"/>
  <c r="O291"/>
  <c r="P291" s="1"/>
  <c r="N291"/>
  <c r="K291"/>
  <c r="O290"/>
  <c r="P290" s="1"/>
  <c r="N290"/>
  <c r="K290"/>
  <c r="O289"/>
  <c r="P289" s="1"/>
  <c r="N289"/>
  <c r="K289"/>
  <c r="K621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0"/>
  <c r="K299"/>
  <c r="K298"/>
  <c r="K297"/>
  <c r="K296"/>
  <c r="K295"/>
  <c r="K294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O621"/>
  <c r="P621" s="1"/>
  <c r="N621"/>
  <c r="O618"/>
  <c r="P618" s="1"/>
  <c r="N618"/>
  <c r="O617"/>
  <c r="P617" s="1"/>
  <c r="N617"/>
  <c r="O616"/>
  <c r="P616" s="1"/>
  <c r="N616"/>
  <c r="O615"/>
  <c r="P615" s="1"/>
  <c r="N615"/>
  <c r="O614"/>
  <c r="P614" s="1"/>
  <c r="N614"/>
  <c r="O613"/>
  <c r="P613" s="1"/>
  <c r="N613"/>
  <c r="O612"/>
  <c r="P612" s="1"/>
  <c r="N612"/>
  <c r="O611"/>
  <c r="P611" s="1"/>
  <c r="N611"/>
  <c r="O610"/>
  <c r="P610" s="1"/>
  <c r="N610"/>
  <c r="O609"/>
  <c r="P609" s="1"/>
  <c r="N609"/>
  <c r="O608"/>
  <c r="P608" s="1"/>
  <c r="N608"/>
  <c r="O607"/>
  <c r="P607" s="1"/>
  <c r="N607"/>
  <c r="O606"/>
  <c r="P606" s="1"/>
  <c r="N606"/>
  <c r="O605"/>
  <c r="P605" s="1"/>
  <c r="N605"/>
  <c r="O604"/>
  <c r="P604" s="1"/>
  <c r="N604"/>
  <c r="O603"/>
  <c r="P603" s="1"/>
  <c r="N603"/>
  <c r="O602"/>
  <c r="P602" s="1"/>
  <c r="N602"/>
  <c r="O601"/>
  <c r="P601" s="1"/>
  <c r="N601"/>
  <c r="O600"/>
  <c r="P600" s="1"/>
  <c r="N600"/>
  <c r="O599"/>
  <c r="P599" s="1"/>
  <c r="N599"/>
  <c r="O598"/>
  <c r="P598" s="1"/>
  <c r="N598"/>
  <c r="O597"/>
  <c r="P597" s="1"/>
  <c r="N597"/>
  <c r="O596"/>
  <c r="P596" s="1"/>
  <c r="N596"/>
  <c r="O595"/>
  <c r="P595" s="1"/>
  <c r="N595"/>
  <c r="O594"/>
  <c r="P594" s="1"/>
  <c r="N594"/>
  <c r="O593"/>
  <c r="P593" s="1"/>
  <c r="N593"/>
  <c r="O592"/>
  <c r="P592" s="1"/>
  <c r="N592"/>
  <c r="O591"/>
  <c r="P591" s="1"/>
  <c r="N591"/>
  <c r="O590"/>
  <c r="P590" s="1"/>
  <c r="N590"/>
  <c r="O589"/>
  <c r="P589" s="1"/>
  <c r="N589"/>
  <c r="O588"/>
  <c r="P588" s="1"/>
  <c r="N588"/>
  <c r="O587"/>
  <c r="P587" s="1"/>
  <c r="N587"/>
  <c r="O586"/>
  <c r="P586" s="1"/>
  <c r="N586"/>
  <c r="O585"/>
  <c r="P585" s="1"/>
  <c r="N585"/>
  <c r="O584"/>
  <c r="P584" s="1"/>
  <c r="N584"/>
  <c r="O583"/>
  <c r="P583" s="1"/>
  <c r="N583"/>
  <c r="O582"/>
  <c r="P582" s="1"/>
  <c r="N582"/>
  <c r="O581"/>
  <c r="P581" s="1"/>
  <c r="N581"/>
  <c r="O580"/>
  <c r="P580" s="1"/>
  <c r="N580"/>
  <c r="O579"/>
  <c r="P579" s="1"/>
  <c r="N579"/>
  <c r="O578"/>
  <c r="P578" s="1"/>
  <c r="N578"/>
  <c r="O577"/>
  <c r="P577" s="1"/>
  <c r="N577"/>
  <c r="O576"/>
  <c r="P576" s="1"/>
  <c r="N576"/>
  <c r="O575"/>
  <c r="P575" s="1"/>
  <c r="N575"/>
  <c r="O574"/>
  <c r="P574" s="1"/>
  <c r="N574"/>
  <c r="O573"/>
  <c r="P573" s="1"/>
  <c r="N573"/>
  <c r="O572"/>
  <c r="P572" s="1"/>
  <c r="N572"/>
  <c r="O571"/>
  <c r="P571" s="1"/>
  <c r="N571"/>
  <c r="O570"/>
  <c r="P570" s="1"/>
  <c r="N570"/>
  <c r="O569"/>
  <c r="P569" s="1"/>
  <c r="N569"/>
  <c r="O568"/>
  <c r="P568" s="1"/>
  <c r="N568"/>
  <c r="O567"/>
  <c r="P567" s="1"/>
  <c r="N567"/>
  <c r="O566"/>
  <c r="P566" s="1"/>
  <c r="N566"/>
  <c r="O565"/>
  <c r="P565" s="1"/>
  <c r="N565"/>
  <c r="O2678"/>
  <c r="P2678" s="1"/>
  <c r="N2678"/>
  <c r="O2677"/>
  <c r="P2677" s="1"/>
  <c r="N2677"/>
  <c r="O2676"/>
  <c r="P2676" s="1"/>
  <c r="N2676"/>
  <c r="O2675"/>
  <c r="P2675" s="1"/>
  <c r="N2675"/>
  <c r="O2674"/>
  <c r="P2674" s="1"/>
  <c r="N2674"/>
  <c r="O2673"/>
  <c r="P2673" s="1"/>
  <c r="N2673"/>
  <c r="O2672"/>
  <c r="P2672" s="1"/>
  <c r="N2672"/>
  <c r="O2671"/>
  <c r="P2671" s="1"/>
  <c r="N2671"/>
  <c r="O2670"/>
  <c r="P2670" s="1"/>
  <c r="N2670"/>
  <c r="O2669"/>
  <c r="P2669" s="1"/>
  <c r="N2669"/>
  <c r="O2668"/>
  <c r="P2668" s="1"/>
  <c r="N2668"/>
  <c r="O2667"/>
  <c r="P2667" s="1"/>
  <c r="N2667"/>
  <c r="O2666"/>
  <c r="P2666" s="1"/>
  <c r="N2666"/>
  <c r="O2665"/>
  <c r="P2665" s="1"/>
  <c r="N2665"/>
  <c r="O2664"/>
  <c r="P2664" s="1"/>
  <c r="N2664"/>
  <c r="O2663"/>
  <c r="P2663" s="1"/>
  <c r="N2663"/>
  <c r="O2662"/>
  <c r="P2662" s="1"/>
  <c r="N2662"/>
  <c r="O2661"/>
  <c r="P2661" s="1"/>
  <c r="N2661"/>
  <c r="O2660"/>
  <c r="P2660" s="1"/>
  <c r="N2660"/>
  <c r="O2659"/>
  <c r="P2659" s="1"/>
  <c r="N2659"/>
  <c r="O2658"/>
  <c r="P2658" s="1"/>
  <c r="N2658"/>
  <c r="O2657"/>
  <c r="P2657" s="1"/>
  <c r="N2657"/>
  <c r="O2656"/>
  <c r="P2656" s="1"/>
  <c r="N2656"/>
  <c r="O2655"/>
  <c r="P2655" s="1"/>
  <c r="N2655"/>
  <c r="O2654"/>
  <c r="P2654" s="1"/>
  <c r="N2654"/>
  <c r="O2653"/>
  <c r="P2653" s="1"/>
  <c r="N2653"/>
  <c r="O2652"/>
  <c r="P2652" s="1"/>
  <c r="N2652"/>
  <c r="O2651"/>
  <c r="P2651" s="1"/>
  <c r="N2651"/>
  <c r="O2650"/>
  <c r="P2650" s="1"/>
  <c r="N2650"/>
  <c r="O2649"/>
  <c r="P2649" s="1"/>
  <c r="N2649"/>
  <c r="O2648"/>
  <c r="P2648" s="1"/>
  <c r="N2648"/>
  <c r="O2647"/>
  <c r="P2647" s="1"/>
  <c r="N2647"/>
  <c r="O2646"/>
  <c r="P2646" s="1"/>
  <c r="N2646"/>
  <c r="O2645"/>
  <c r="P2645" s="1"/>
  <c r="N2645"/>
  <c r="O2644"/>
  <c r="P2644" s="1"/>
  <c r="N2644"/>
  <c r="O2643"/>
  <c r="P2643" s="1"/>
  <c r="N2643"/>
  <c r="O2642"/>
  <c r="P2642" s="1"/>
  <c r="N2642"/>
  <c r="O2641"/>
  <c r="P2641" s="1"/>
  <c r="N2641"/>
  <c r="O2640"/>
  <c r="P2640" s="1"/>
  <c r="N2640"/>
  <c r="O2639"/>
  <c r="P2639" s="1"/>
  <c r="N2639"/>
  <c r="O2638"/>
  <c r="P2638" s="1"/>
  <c r="N2638"/>
  <c r="O2637"/>
  <c r="P2637" s="1"/>
  <c r="N2637"/>
  <c r="O2636"/>
  <c r="P2636" s="1"/>
  <c r="N2636"/>
  <c r="O2635"/>
  <c r="P2635" s="1"/>
  <c r="N2635"/>
  <c r="O2634"/>
  <c r="P2634" s="1"/>
  <c r="N2634"/>
  <c r="O2633"/>
  <c r="P2633" s="1"/>
  <c r="N2633"/>
  <c r="O2632"/>
  <c r="P2632" s="1"/>
  <c r="N2632"/>
  <c r="O2631"/>
  <c r="P2631" s="1"/>
  <c r="N2631"/>
  <c r="O2630"/>
  <c r="P2630" s="1"/>
  <c r="N2630"/>
  <c r="O2629"/>
  <c r="P2629" s="1"/>
  <c r="N2629"/>
  <c r="O2628"/>
  <c r="P2628" s="1"/>
  <c r="N2628"/>
  <c r="O2627"/>
  <c r="P2627" s="1"/>
  <c r="N2627"/>
  <c r="O2626"/>
  <c r="P2626" s="1"/>
  <c r="N2626"/>
  <c r="P2625"/>
  <c r="N2625"/>
  <c r="O2624"/>
  <c r="P2624" s="1"/>
  <c r="N2624"/>
  <c r="O2623"/>
  <c r="P2623" s="1"/>
  <c r="N2623"/>
  <c r="O2622"/>
  <c r="P2622" s="1"/>
  <c r="N2622"/>
  <c r="O2621"/>
  <c r="P2621" s="1"/>
  <c r="N2621"/>
  <c r="O2620"/>
  <c r="P2620" s="1"/>
  <c r="N2620"/>
  <c r="O2619"/>
  <c r="P2619" s="1"/>
  <c r="N2619"/>
  <c r="O2618"/>
  <c r="P2618" s="1"/>
  <c r="N2618"/>
  <c r="O2617"/>
  <c r="P2617" s="1"/>
  <c r="N2617"/>
  <c r="O2616"/>
  <c r="P2616" s="1"/>
  <c r="N2616"/>
  <c r="O2615"/>
  <c r="P2615" s="1"/>
  <c r="N2615"/>
  <c r="O2614"/>
  <c r="P2614" s="1"/>
  <c r="N2614"/>
  <c r="O2613"/>
  <c r="P2613" s="1"/>
  <c r="N2613"/>
  <c r="O2612"/>
  <c r="P2612" s="1"/>
  <c r="N2612"/>
  <c r="O2611"/>
  <c r="P2611" s="1"/>
  <c r="N2611"/>
  <c r="O2610"/>
  <c r="P2610" s="1"/>
  <c r="N2610"/>
  <c r="O2609"/>
  <c r="P2609" s="1"/>
  <c r="N2609"/>
  <c r="O2608"/>
  <c r="P2608" s="1"/>
  <c r="N2608"/>
  <c r="O2607"/>
  <c r="P2607" s="1"/>
  <c r="N2607"/>
  <c r="O2606"/>
  <c r="P2606" s="1"/>
  <c r="N2606"/>
  <c r="O2605"/>
  <c r="P2605" s="1"/>
  <c r="N2605"/>
  <c r="O2604"/>
  <c r="P2604" s="1"/>
  <c r="N2604"/>
  <c r="O2603"/>
  <c r="P2603" s="1"/>
  <c r="N2603"/>
  <c r="O2602"/>
  <c r="P2602" s="1"/>
  <c r="N2602"/>
  <c r="O2601"/>
  <c r="P2601" s="1"/>
  <c r="N2601"/>
  <c r="O2600"/>
  <c r="P2600" s="1"/>
  <c r="N2600"/>
  <c r="O2599"/>
  <c r="P2599" s="1"/>
  <c r="N2599"/>
  <c r="O2598"/>
  <c r="P2598" s="1"/>
  <c r="N2598"/>
  <c r="O2597"/>
  <c r="P2597" s="1"/>
  <c r="N2597"/>
  <c r="O2596"/>
  <c r="P2596" s="1"/>
  <c r="N2596"/>
  <c r="O2595"/>
  <c r="P2595" s="1"/>
  <c r="N2595"/>
  <c r="O2594"/>
  <c r="P2594" s="1"/>
  <c r="N2594"/>
  <c r="O2593"/>
  <c r="P2593" s="1"/>
  <c r="N2593"/>
  <c r="O2592"/>
  <c r="P2592" s="1"/>
  <c r="N2592"/>
  <c r="O2591"/>
  <c r="P2591" s="1"/>
  <c r="N2591"/>
  <c r="O2590"/>
  <c r="P2590" s="1"/>
  <c r="N2590"/>
  <c r="O2589"/>
  <c r="P2589" s="1"/>
  <c r="N2589"/>
  <c r="O2588"/>
  <c r="P2588" s="1"/>
  <c r="N2588"/>
  <c r="O2587"/>
  <c r="P2587" s="1"/>
  <c r="N2587"/>
  <c r="O2586"/>
  <c r="P2586" s="1"/>
  <c r="N2586"/>
  <c r="O2585"/>
  <c r="P2585" s="1"/>
  <c r="N2585"/>
  <c r="O2584"/>
  <c r="P2584" s="1"/>
  <c r="N2584"/>
  <c r="O2583"/>
  <c r="P2583" s="1"/>
  <c r="N2583"/>
  <c r="O2582"/>
  <c r="P2582" s="1"/>
  <c r="N2582"/>
  <c r="O2581"/>
  <c r="P2581" s="1"/>
  <c r="N2581"/>
  <c r="O2580"/>
  <c r="P2580" s="1"/>
  <c r="N2580"/>
  <c r="O2579"/>
  <c r="P2579" s="1"/>
  <c r="N2579"/>
  <c r="O2578"/>
  <c r="P2578" s="1"/>
  <c r="N2578"/>
  <c r="O2577"/>
  <c r="P2577" s="1"/>
  <c r="N2577"/>
  <c r="O2576"/>
  <c r="P2576" s="1"/>
  <c r="N2576"/>
  <c r="O2575"/>
  <c r="P2575" s="1"/>
  <c r="N2575"/>
  <c r="O2574"/>
  <c r="P2574" s="1"/>
  <c r="N2574"/>
  <c r="O2573"/>
  <c r="P2573" s="1"/>
  <c r="N2573"/>
  <c r="O2572"/>
  <c r="P2572" s="1"/>
  <c r="N2572"/>
  <c r="O2571"/>
  <c r="P2571" s="1"/>
  <c r="N2571"/>
  <c r="O2570"/>
  <c r="P2570" s="1"/>
  <c r="N2570"/>
  <c r="O2569"/>
  <c r="P2569" s="1"/>
  <c r="N2569"/>
  <c r="O2568"/>
  <c r="P2568" s="1"/>
  <c r="N2568"/>
  <c r="O2567"/>
  <c r="P2567" s="1"/>
  <c r="N2567"/>
  <c r="O2566"/>
  <c r="P2566" s="1"/>
  <c r="N2566"/>
  <c r="O2565"/>
  <c r="P2565" s="1"/>
  <c r="N2565"/>
  <c r="O2564"/>
  <c r="P2564" s="1"/>
  <c r="N2564"/>
  <c r="O2563"/>
  <c r="P2563" s="1"/>
  <c r="N2563"/>
  <c r="O2562"/>
  <c r="P2562" s="1"/>
  <c r="N2562"/>
  <c r="O2561"/>
  <c r="P2561" s="1"/>
  <c r="N2561"/>
  <c r="O2560"/>
  <c r="P2560" s="1"/>
  <c r="N2560"/>
  <c r="O2559"/>
  <c r="P2559" s="1"/>
  <c r="N2559"/>
  <c r="O2558"/>
  <c r="P2558" s="1"/>
  <c r="N2558"/>
  <c r="O2557"/>
  <c r="P2557" s="1"/>
  <c r="N2557"/>
  <c r="O2556"/>
  <c r="P2556" s="1"/>
  <c r="N2556"/>
  <c r="O2555"/>
  <c r="P2555" s="1"/>
  <c r="N2555"/>
  <c r="O2554"/>
  <c r="P2554" s="1"/>
  <c r="N2554"/>
  <c r="O2553"/>
  <c r="P2553" s="1"/>
  <c r="N2553"/>
  <c r="O2552"/>
  <c r="P2552" s="1"/>
  <c r="N2552"/>
  <c r="O2551"/>
  <c r="P2551" s="1"/>
  <c r="N2551"/>
  <c r="O2550"/>
  <c r="P2550" s="1"/>
  <c r="N2550"/>
  <c r="O2549"/>
  <c r="P2549" s="1"/>
  <c r="N2549"/>
  <c r="O2548"/>
  <c r="P2548" s="1"/>
  <c r="N2548"/>
  <c r="O2547"/>
  <c r="P2547" s="1"/>
  <c r="N2547"/>
  <c r="O2546"/>
  <c r="P2546" s="1"/>
  <c r="N2546"/>
  <c r="O2545"/>
  <c r="P2545" s="1"/>
  <c r="N2545"/>
  <c r="O2544"/>
  <c r="P2544" s="1"/>
  <c r="N2544"/>
  <c r="O2543"/>
  <c r="P2543" s="1"/>
  <c r="N2543"/>
  <c r="O2542"/>
  <c r="P2542" s="1"/>
  <c r="N2542"/>
  <c r="O2541"/>
  <c r="P2541" s="1"/>
  <c r="N2541"/>
  <c r="O2540"/>
  <c r="P2540" s="1"/>
  <c r="N2540"/>
  <c r="O2539"/>
  <c r="P2539" s="1"/>
  <c r="N2539"/>
  <c r="O2538"/>
  <c r="P2538" s="1"/>
  <c r="N2538"/>
  <c r="O2537"/>
  <c r="P2537" s="1"/>
  <c r="N2537"/>
  <c r="O564"/>
  <c r="P564" s="1"/>
  <c r="N564"/>
  <c r="O563"/>
  <c r="P563" s="1"/>
  <c r="N563"/>
  <c r="O562"/>
  <c r="P562" s="1"/>
  <c r="N562"/>
  <c r="O561"/>
  <c r="P561" s="1"/>
  <c r="N561"/>
  <c r="O560"/>
  <c r="P560" s="1"/>
  <c r="N560"/>
  <c r="O559"/>
  <c r="P559" s="1"/>
  <c r="N559"/>
  <c r="O558"/>
  <c r="P558" s="1"/>
  <c r="N558"/>
  <c r="O557"/>
  <c r="P557" s="1"/>
  <c r="N557"/>
  <c r="O556"/>
  <c r="P556" s="1"/>
  <c r="N556"/>
  <c r="O555"/>
  <c r="P555" s="1"/>
  <c r="N555"/>
  <c r="O554"/>
  <c r="P554" s="1"/>
  <c r="N554"/>
  <c r="O553"/>
  <c r="P553" s="1"/>
  <c r="N553"/>
  <c r="O552"/>
  <c r="P552" s="1"/>
  <c r="N552"/>
  <c r="O551"/>
  <c r="P551" s="1"/>
  <c r="N551"/>
  <c r="O550"/>
  <c r="P550" s="1"/>
  <c r="N550"/>
  <c r="O549"/>
  <c r="P549" s="1"/>
  <c r="N549"/>
  <c r="O548"/>
  <c r="P548" s="1"/>
  <c r="N548"/>
  <c r="O547"/>
  <c r="P547" s="1"/>
  <c r="N547"/>
  <c r="O546"/>
  <c r="P546" s="1"/>
  <c r="N546"/>
  <c r="O545"/>
  <c r="P545" s="1"/>
  <c r="N545"/>
  <c r="O544"/>
  <c r="P544" s="1"/>
  <c r="N544"/>
  <c r="O543"/>
  <c r="P543" s="1"/>
  <c r="N543"/>
  <c r="O542"/>
  <c r="P542" s="1"/>
  <c r="N542"/>
  <c r="O541"/>
  <c r="P541" s="1"/>
  <c r="N541"/>
  <c r="O540"/>
  <c r="P540" s="1"/>
  <c r="N540"/>
  <c r="O539"/>
  <c r="P539" s="1"/>
  <c r="N539"/>
  <c r="O538"/>
  <c r="P538" s="1"/>
  <c r="N538"/>
  <c r="O2536"/>
  <c r="P2536" s="1"/>
  <c r="N2536"/>
  <c r="O2535"/>
  <c r="P2535" s="1"/>
  <c r="N2535"/>
  <c r="O2534"/>
  <c r="P2534" s="1"/>
  <c r="N2534"/>
  <c r="O2533"/>
  <c r="P2533" s="1"/>
  <c r="N2533"/>
  <c r="O2532"/>
  <c r="P2532" s="1"/>
  <c r="N2532"/>
  <c r="O2531"/>
  <c r="P2531" s="1"/>
  <c r="N2531"/>
  <c r="O2530"/>
  <c r="P2530" s="1"/>
  <c r="N2530"/>
  <c r="O2529"/>
  <c r="P2529" s="1"/>
  <c r="N2529"/>
  <c r="O2528"/>
  <c r="P2528" s="1"/>
  <c r="N2528"/>
  <c r="O2527"/>
  <c r="P2527" s="1"/>
  <c r="N2527"/>
  <c r="O2526"/>
  <c r="P2526" s="1"/>
  <c r="N2526"/>
  <c r="O2525"/>
  <c r="P2525" s="1"/>
  <c r="N2525"/>
  <c r="O2524"/>
  <c r="P2524" s="1"/>
  <c r="N2524"/>
  <c r="O2523"/>
  <c r="P2523" s="1"/>
  <c r="N2523"/>
  <c r="O2522"/>
  <c r="P2522" s="1"/>
  <c r="N2522"/>
  <c r="O2521"/>
  <c r="P2521" s="1"/>
  <c r="N2521"/>
  <c r="O2520"/>
  <c r="P2520" s="1"/>
  <c r="N2520"/>
  <c r="O2519"/>
  <c r="P2519" s="1"/>
  <c r="N2519"/>
  <c r="O2518"/>
  <c r="P2518" s="1"/>
  <c r="N2518"/>
  <c r="O2517"/>
  <c r="P2517" s="1"/>
  <c r="N2517"/>
  <c r="O2516"/>
  <c r="P2516" s="1"/>
  <c r="N2516"/>
  <c r="O2515"/>
  <c r="P2515" s="1"/>
  <c r="N2515"/>
  <c r="O2514"/>
  <c r="P2514" s="1"/>
  <c r="N2514"/>
  <c r="O2513"/>
  <c r="P2513" s="1"/>
  <c r="N2513"/>
  <c r="O2512"/>
  <c r="P2512" s="1"/>
  <c r="N2512"/>
  <c r="O2511"/>
  <c r="P2511" s="1"/>
  <c r="N2511"/>
  <c r="O2510"/>
  <c r="P2510" s="1"/>
  <c r="N2510"/>
  <c r="O2509"/>
  <c r="P2509" s="1"/>
  <c r="N2509"/>
  <c r="O2508"/>
  <c r="P2508" s="1"/>
  <c r="N2508"/>
  <c r="O2507"/>
  <c r="P2507" s="1"/>
  <c r="N2507"/>
  <c r="O2506"/>
  <c r="P2506" s="1"/>
  <c r="N2506"/>
  <c r="O2505"/>
  <c r="P2505" s="1"/>
  <c r="N2505"/>
  <c r="O2504"/>
  <c r="P2504" s="1"/>
  <c r="N2504"/>
  <c r="O2503"/>
  <c r="P2503" s="1"/>
  <c r="N2503"/>
  <c r="O2502"/>
  <c r="P2502" s="1"/>
  <c r="N2502"/>
  <c r="O2501"/>
  <c r="P2501" s="1"/>
  <c r="N2501"/>
  <c r="O2500"/>
  <c r="P2500" s="1"/>
  <c r="N2500"/>
  <c r="O2499"/>
  <c r="P2499" s="1"/>
  <c r="N2499"/>
  <c r="O2498"/>
  <c r="P2498" s="1"/>
  <c r="N2498"/>
  <c r="O2497"/>
  <c r="P2497" s="1"/>
  <c r="N2497"/>
  <c r="O2496"/>
  <c r="P2496" s="1"/>
  <c r="N2496"/>
  <c r="O2495"/>
  <c r="P2495" s="1"/>
  <c r="N2495"/>
  <c r="O2494"/>
  <c r="P2494" s="1"/>
  <c r="N2494"/>
  <c r="O2493"/>
  <c r="P2493" s="1"/>
  <c r="N2493"/>
  <c r="O2492"/>
  <c r="P2492" s="1"/>
  <c r="N2492"/>
  <c r="O2491"/>
  <c r="P2491" s="1"/>
  <c r="N2491"/>
  <c r="O2490"/>
  <c r="P2490" s="1"/>
  <c r="N2490"/>
  <c r="O2489"/>
  <c r="P2489" s="1"/>
  <c r="N2489"/>
  <c r="O2488"/>
  <c r="P2488" s="1"/>
  <c r="N2488"/>
  <c r="O2487"/>
  <c r="P2487" s="1"/>
  <c r="N2487"/>
  <c r="O2486"/>
  <c r="P2486" s="1"/>
  <c r="N2486"/>
  <c r="O2485"/>
  <c r="P2485" s="1"/>
  <c r="N2485"/>
  <c r="O2484"/>
  <c r="P2484" s="1"/>
  <c r="N2484"/>
  <c r="O2483"/>
  <c r="P2483" s="1"/>
  <c r="N2483"/>
  <c r="O2482"/>
  <c r="P2482" s="1"/>
  <c r="N2482"/>
  <c r="O2481"/>
  <c r="P2481" s="1"/>
  <c r="N2481"/>
  <c r="O2480"/>
  <c r="P2480" s="1"/>
  <c r="N2480"/>
  <c r="O2479"/>
  <c r="P2479" s="1"/>
  <c r="N2479"/>
  <c r="O2478"/>
  <c r="P2478" s="1"/>
  <c r="N2478"/>
  <c r="O2477"/>
  <c r="P2477" s="1"/>
  <c r="N2477"/>
  <c r="O2476"/>
  <c r="P2476" s="1"/>
  <c r="N2476"/>
  <c r="O2475"/>
  <c r="P2475" s="1"/>
  <c r="N2475"/>
  <c r="O2474"/>
  <c r="P2474" s="1"/>
  <c r="N2474"/>
  <c r="O2473"/>
  <c r="P2473" s="1"/>
  <c r="N2473"/>
  <c r="O2472"/>
  <c r="P2472" s="1"/>
  <c r="N2472"/>
  <c r="O2471"/>
  <c r="P2471" s="1"/>
  <c r="N2471"/>
  <c r="O2470"/>
  <c r="P2470" s="1"/>
  <c r="N2470"/>
  <c r="O2469"/>
  <c r="P2469" s="1"/>
  <c r="N2469"/>
  <c r="O2468"/>
  <c r="P2468" s="1"/>
  <c r="N2468"/>
  <c r="O2467"/>
  <c r="P2467" s="1"/>
  <c r="N2467"/>
  <c r="O2466"/>
  <c r="P2466" s="1"/>
  <c r="N2466"/>
  <c r="O2465"/>
  <c r="P2465" s="1"/>
  <c r="N2465"/>
  <c r="O2464"/>
  <c r="P2464" s="1"/>
  <c r="N2464"/>
  <c r="O2463"/>
  <c r="P2463" s="1"/>
  <c r="N2463"/>
  <c r="O2462"/>
  <c r="P2462" s="1"/>
  <c r="N2462"/>
  <c r="O2461"/>
  <c r="P2461" s="1"/>
  <c r="N2461"/>
  <c r="O2460"/>
  <c r="P2460" s="1"/>
  <c r="N2460"/>
  <c r="O2459"/>
  <c r="P2459" s="1"/>
  <c r="N2459"/>
  <c r="O2458"/>
  <c r="P2458" s="1"/>
  <c r="N2458"/>
  <c r="O2457"/>
  <c r="P2457" s="1"/>
  <c r="N2457"/>
  <c r="O2456"/>
  <c r="P2456" s="1"/>
  <c r="N2456"/>
  <c r="O2455"/>
  <c r="P2455" s="1"/>
  <c r="N2455"/>
  <c r="O2454"/>
  <c r="P2454" s="1"/>
  <c r="N2454"/>
  <c r="O2453"/>
  <c r="P2453" s="1"/>
  <c r="N2453"/>
  <c r="O2452"/>
  <c r="P2452" s="1"/>
  <c r="N2452"/>
  <c r="O2451"/>
  <c r="P2451" s="1"/>
  <c r="N2451"/>
  <c r="O2450"/>
  <c r="P2450" s="1"/>
  <c r="N2450"/>
  <c r="O2449"/>
  <c r="P2449" s="1"/>
  <c r="N2449"/>
  <c r="O2448"/>
  <c r="P2448" s="1"/>
  <c r="N2448"/>
  <c r="O2447"/>
  <c r="P2447" s="1"/>
  <c r="N2447"/>
  <c r="O2446"/>
  <c r="P2446" s="1"/>
  <c r="N2446"/>
  <c r="O2445"/>
  <c r="P2445" s="1"/>
  <c r="N2445"/>
  <c r="O2444"/>
  <c r="P2444" s="1"/>
  <c r="N2444"/>
  <c r="O2443"/>
  <c r="P2443" s="1"/>
  <c r="N2443"/>
  <c r="O2442"/>
  <c r="P2442" s="1"/>
  <c r="N2442"/>
  <c r="O2441"/>
  <c r="P2441" s="1"/>
  <c r="N2441"/>
  <c r="O2440"/>
  <c r="P2440" s="1"/>
  <c r="N2440"/>
  <c r="O2439"/>
  <c r="P2439" s="1"/>
  <c r="N2439"/>
  <c r="O2438"/>
  <c r="P2438" s="1"/>
  <c r="N2438"/>
  <c r="O2437"/>
  <c r="P2437" s="1"/>
  <c r="N2437"/>
  <c r="O2436"/>
  <c r="P2436" s="1"/>
  <c r="N2436"/>
  <c r="O2435"/>
  <c r="P2435" s="1"/>
  <c r="N2435"/>
  <c r="O2434"/>
  <c r="P2434" s="1"/>
  <c r="N2434"/>
  <c r="O2433"/>
  <c r="P2433" s="1"/>
  <c r="N2433"/>
  <c r="O2432"/>
  <c r="P2432" s="1"/>
  <c r="N2432"/>
  <c r="O2431"/>
  <c r="P2431" s="1"/>
  <c r="N2431"/>
  <c r="O2430"/>
  <c r="P2430" s="1"/>
  <c r="N2430"/>
  <c r="O2429"/>
  <c r="P2429" s="1"/>
  <c r="N2429"/>
  <c r="O2428"/>
  <c r="P2428" s="1"/>
  <c r="N2428"/>
  <c r="O2427"/>
  <c r="P2427" s="1"/>
  <c r="N2427"/>
  <c r="O2426"/>
  <c r="P2426" s="1"/>
  <c r="N2426"/>
  <c r="O2425"/>
  <c r="P2425" s="1"/>
  <c r="N2425"/>
  <c r="O2424"/>
  <c r="P2424" s="1"/>
  <c r="N2424"/>
  <c r="O2423"/>
  <c r="P2423" s="1"/>
  <c r="N2423"/>
  <c r="O2422"/>
  <c r="P2422" s="1"/>
  <c r="N2422"/>
  <c r="O2421"/>
  <c r="P2421" s="1"/>
  <c r="N2421"/>
  <c r="O2420"/>
  <c r="P2420" s="1"/>
  <c r="N2420"/>
  <c r="O2419"/>
  <c r="P2419" s="1"/>
  <c r="N2419"/>
  <c r="O2418"/>
  <c r="P2418" s="1"/>
  <c r="N2418"/>
  <c r="O2417"/>
  <c r="P2417" s="1"/>
  <c r="N2417"/>
  <c r="O2416"/>
  <c r="P2416" s="1"/>
  <c r="N2416"/>
  <c r="O2415"/>
  <c r="P2415" s="1"/>
  <c r="N2415"/>
  <c r="O2414"/>
  <c r="P2414" s="1"/>
  <c r="N2414"/>
  <c r="O2413"/>
  <c r="P2413" s="1"/>
  <c r="N2413"/>
  <c r="O2412"/>
  <c r="P2412" s="1"/>
  <c r="N2412"/>
  <c r="O2411"/>
  <c r="P2411" s="1"/>
  <c r="N2411"/>
  <c r="O2410"/>
  <c r="P2410" s="1"/>
  <c r="N2410"/>
  <c r="O2409"/>
  <c r="P2409" s="1"/>
  <c r="N2409"/>
  <c r="O2408"/>
  <c r="P2408" s="1"/>
  <c r="N2408"/>
  <c r="O2407"/>
  <c r="P2407" s="1"/>
  <c r="N2407"/>
  <c r="O2406"/>
  <c r="P2406" s="1"/>
  <c r="N2406"/>
  <c r="O2405"/>
  <c r="P2405" s="1"/>
  <c r="N2405"/>
  <c r="O2404"/>
  <c r="P2404" s="1"/>
  <c r="N2404"/>
  <c r="O2403"/>
  <c r="P2403" s="1"/>
  <c r="N2403"/>
  <c r="O2402"/>
  <c r="P2402" s="1"/>
  <c r="N2402"/>
  <c r="O2401"/>
  <c r="P2401" s="1"/>
  <c r="N2401"/>
  <c r="O2400"/>
  <c r="P2400" s="1"/>
  <c r="N2400"/>
  <c r="O2399"/>
  <c r="P2399" s="1"/>
  <c r="N2399"/>
  <c r="O2398"/>
  <c r="P2398" s="1"/>
  <c r="N2398"/>
  <c r="O2397"/>
  <c r="P2397" s="1"/>
  <c r="N2397"/>
  <c r="O2396"/>
  <c r="P2396" s="1"/>
  <c r="N2396"/>
  <c r="O2395"/>
  <c r="P2395" s="1"/>
  <c r="N2395"/>
  <c r="O2394"/>
  <c r="P2394" s="1"/>
  <c r="N2394"/>
  <c r="O2393"/>
  <c r="P2393" s="1"/>
  <c r="N2393"/>
  <c r="O2392"/>
  <c r="P2392" s="1"/>
  <c r="N2392"/>
  <c r="O2391"/>
  <c r="P2391" s="1"/>
  <c r="N2391"/>
  <c r="O2390"/>
  <c r="P2390" s="1"/>
  <c r="N2390"/>
  <c r="O2389"/>
  <c r="P2389" s="1"/>
  <c r="N2389"/>
  <c r="O2388"/>
  <c r="P2388" s="1"/>
  <c r="N2388"/>
  <c r="O2387"/>
  <c r="P2387" s="1"/>
  <c r="N2387"/>
  <c r="O2386"/>
  <c r="P2386" s="1"/>
  <c r="N2386"/>
  <c r="O2385"/>
  <c r="P2385" s="1"/>
  <c r="N2385"/>
  <c r="O2384"/>
  <c r="P2384" s="1"/>
  <c r="N2384"/>
  <c r="O2383"/>
  <c r="P2383" s="1"/>
  <c r="N2383"/>
  <c r="O2382"/>
  <c r="P2382" s="1"/>
  <c r="N2382"/>
  <c r="O2381"/>
  <c r="P2381" s="1"/>
  <c r="N2381"/>
  <c r="O2380"/>
  <c r="P2380" s="1"/>
  <c r="N2380"/>
  <c r="O2379"/>
  <c r="P2379" s="1"/>
  <c r="N2379"/>
  <c r="O2378"/>
  <c r="P2378" s="1"/>
  <c r="N2378"/>
  <c r="O2377"/>
  <c r="P2377" s="1"/>
  <c r="N2377"/>
  <c r="O2376"/>
  <c r="P2376" s="1"/>
  <c r="N2376"/>
  <c r="O2375"/>
  <c r="P2375" s="1"/>
  <c r="N2375"/>
  <c r="O2374"/>
  <c r="P2374" s="1"/>
  <c r="N2374"/>
  <c r="O2373"/>
  <c r="P2373" s="1"/>
  <c r="N2373"/>
  <c r="O2372"/>
  <c r="P2372" s="1"/>
  <c r="N2372"/>
  <c r="O2371"/>
  <c r="P2371" s="1"/>
  <c r="N2371"/>
  <c r="O2370"/>
  <c r="P2370" s="1"/>
  <c r="N2370"/>
  <c r="O2369"/>
  <c r="P2369" s="1"/>
  <c r="N2369"/>
  <c r="O2368"/>
  <c r="P2368" s="1"/>
  <c r="N2368"/>
  <c r="O2367"/>
  <c r="P2367" s="1"/>
  <c r="N2367"/>
  <c r="O2366"/>
  <c r="P2366" s="1"/>
  <c r="N2366"/>
  <c r="O2365"/>
  <c r="P2365" s="1"/>
  <c r="N2365"/>
  <c r="O2364"/>
  <c r="P2364" s="1"/>
  <c r="N2364"/>
  <c r="O2363"/>
  <c r="P2363" s="1"/>
  <c r="N2363"/>
  <c r="O2362"/>
  <c r="P2362" s="1"/>
  <c r="N2362"/>
  <c r="O2361"/>
  <c r="P2361" s="1"/>
  <c r="N2361"/>
  <c r="O2360"/>
  <c r="P2360" s="1"/>
  <c r="N2360"/>
  <c r="O2359"/>
  <c r="P2359" s="1"/>
  <c r="N2359"/>
  <c r="O2358"/>
  <c r="P2358" s="1"/>
  <c r="N2358"/>
  <c r="O2357"/>
  <c r="P2357" s="1"/>
  <c r="N2357"/>
  <c r="O2356"/>
  <c r="P2356" s="1"/>
  <c r="N2356"/>
  <c r="O2355"/>
  <c r="P2355" s="1"/>
  <c r="N2355"/>
  <c r="O2354"/>
  <c r="P2354" s="1"/>
  <c r="N2354"/>
  <c r="O2353"/>
  <c r="P2353" s="1"/>
  <c r="N2353"/>
  <c r="O2352"/>
  <c r="P2352" s="1"/>
  <c r="N2352"/>
  <c r="O2351"/>
  <c r="P2351" s="1"/>
  <c r="N2351"/>
  <c r="O2350"/>
  <c r="P2350" s="1"/>
  <c r="N2350"/>
  <c r="O2349"/>
  <c r="P2349" s="1"/>
  <c r="N2349"/>
  <c r="O2348"/>
  <c r="P2348" s="1"/>
  <c r="N2348"/>
  <c r="O2347"/>
  <c r="P2347" s="1"/>
  <c r="N2347"/>
  <c r="O2346"/>
  <c r="P2346" s="1"/>
  <c r="N2346"/>
  <c r="O2345"/>
  <c r="P2345" s="1"/>
  <c r="N2345"/>
  <c r="O2344"/>
  <c r="P2344" s="1"/>
  <c r="N2344"/>
  <c r="O2343"/>
  <c r="P2343" s="1"/>
  <c r="N2343"/>
  <c r="O2342"/>
  <c r="P2342" s="1"/>
  <c r="N2342"/>
  <c r="O2341"/>
  <c r="P2341" s="1"/>
  <c r="N2341"/>
  <c r="O2340"/>
  <c r="P2340" s="1"/>
  <c r="N2340"/>
  <c r="O2339"/>
  <c r="P2339" s="1"/>
  <c r="N2339"/>
  <c r="O2338"/>
  <c r="P2338" s="1"/>
  <c r="N2338"/>
  <c r="O2337"/>
  <c r="P2337" s="1"/>
  <c r="N2337"/>
  <c r="O2336"/>
  <c r="P2336" s="1"/>
  <c r="N2336"/>
  <c r="O2335"/>
  <c r="P2335" s="1"/>
  <c r="N2335"/>
  <c r="O2334"/>
  <c r="P2334" s="1"/>
  <c r="N2334"/>
  <c r="O2333"/>
  <c r="P2333" s="1"/>
  <c r="N2333"/>
  <c r="O2332"/>
  <c r="P2332" s="1"/>
  <c r="N2332"/>
  <c r="O2331"/>
  <c r="P2331" s="1"/>
  <c r="N2331"/>
  <c r="O2330"/>
  <c r="P2330" s="1"/>
  <c r="N2330"/>
  <c r="O2329"/>
  <c r="P2329" s="1"/>
  <c r="N2329"/>
  <c r="O2328"/>
  <c r="P2328" s="1"/>
  <c r="N2328"/>
  <c r="O2327"/>
  <c r="P2327" s="1"/>
  <c r="N2327"/>
  <c r="O2326"/>
  <c r="P2326" s="1"/>
  <c r="N2326"/>
  <c r="O2325"/>
  <c r="P2325" s="1"/>
  <c r="N2325"/>
  <c r="O2324"/>
  <c r="P2324" s="1"/>
  <c r="N2324"/>
  <c r="O2323"/>
  <c r="P2323" s="1"/>
  <c r="N2323"/>
  <c r="P2322"/>
  <c r="N2322"/>
  <c r="O2321"/>
  <c r="P2321" s="1"/>
  <c r="N2321"/>
  <c r="O2320"/>
  <c r="P2320" s="1"/>
  <c r="N2320"/>
  <c r="O2319"/>
  <c r="P2319" s="1"/>
  <c r="N2319"/>
  <c r="O2318"/>
  <c r="P2318" s="1"/>
  <c r="N2318"/>
  <c r="O2317"/>
  <c r="P2317" s="1"/>
  <c r="N2317"/>
  <c r="O2316"/>
  <c r="P2316" s="1"/>
  <c r="N2316"/>
  <c r="O2315"/>
  <c r="P2315" s="1"/>
  <c r="N2315"/>
  <c r="O2314"/>
  <c r="P2314" s="1"/>
  <c r="N2314"/>
  <c r="O2313"/>
  <c r="P2313" s="1"/>
  <c r="N2313"/>
  <c r="O2312"/>
  <c r="P2312" s="1"/>
  <c r="N2312"/>
  <c r="O2311"/>
  <c r="P2311" s="1"/>
  <c r="N2311"/>
  <c r="O2310"/>
  <c r="P2310" s="1"/>
  <c r="N2310"/>
  <c r="O2309"/>
  <c r="P2309" s="1"/>
  <c r="N2309"/>
  <c r="O2308"/>
  <c r="P2308" s="1"/>
  <c r="N2308"/>
  <c r="O2307"/>
  <c r="P2307" s="1"/>
  <c r="N2307"/>
  <c r="O2306"/>
  <c r="P2306" s="1"/>
  <c r="N2306"/>
  <c r="O2305"/>
  <c r="P2305" s="1"/>
  <c r="N2305"/>
  <c r="O2304"/>
  <c r="P2304" s="1"/>
  <c r="N2304"/>
  <c r="O2303"/>
  <c r="P2303" s="1"/>
  <c r="N2303"/>
  <c r="O2302"/>
  <c r="P2302" s="1"/>
  <c r="N2302"/>
  <c r="O2301"/>
  <c r="P2301" s="1"/>
  <c r="N2301"/>
  <c r="O2300"/>
  <c r="P2300" s="1"/>
  <c r="N2300"/>
  <c r="O2299"/>
  <c r="P2299" s="1"/>
  <c r="N2299"/>
  <c r="O2298"/>
  <c r="P2298" s="1"/>
  <c r="N2298"/>
  <c r="O2297"/>
  <c r="P2297" s="1"/>
  <c r="N2297"/>
  <c r="O2296"/>
  <c r="P2296" s="1"/>
  <c r="N2296"/>
  <c r="O2295"/>
  <c r="P2295" s="1"/>
  <c r="N2295"/>
  <c r="O2294"/>
  <c r="P2294" s="1"/>
  <c r="N2294"/>
  <c r="O2293"/>
  <c r="P2293" s="1"/>
  <c r="N2293"/>
  <c r="O2292"/>
  <c r="P2292" s="1"/>
  <c r="N2292"/>
  <c r="O2291"/>
  <c r="P2291" s="1"/>
  <c r="N2291"/>
  <c r="O2290"/>
  <c r="P2290" s="1"/>
  <c r="N2290"/>
  <c r="O2289"/>
  <c r="P2289" s="1"/>
  <c r="N2289"/>
  <c r="O2288"/>
  <c r="P2288" s="1"/>
  <c r="N2288"/>
  <c r="O2287"/>
  <c r="P2287" s="1"/>
  <c r="N2287"/>
  <c r="O2286"/>
  <c r="P2286" s="1"/>
  <c r="N2286"/>
  <c r="O2285"/>
  <c r="P2285" s="1"/>
  <c r="N2285"/>
  <c r="O2284"/>
  <c r="P2284" s="1"/>
  <c r="N2284"/>
  <c r="O2283"/>
  <c r="P2283" s="1"/>
  <c r="N2283"/>
  <c r="O2282"/>
  <c r="P2282" s="1"/>
  <c r="N2282"/>
  <c r="O2281"/>
  <c r="P2281" s="1"/>
  <c r="N2281"/>
  <c r="O2280"/>
  <c r="P2280" s="1"/>
  <c r="N2280"/>
  <c r="O2279"/>
  <c r="P2279" s="1"/>
  <c r="N2279"/>
  <c r="O2278"/>
  <c r="P2278" s="1"/>
  <c r="N2278"/>
  <c r="O2277"/>
  <c r="P2277" s="1"/>
  <c r="N2277"/>
  <c r="O2276"/>
  <c r="P2276" s="1"/>
  <c r="N2276"/>
  <c r="O2275"/>
  <c r="P2275" s="1"/>
  <c r="N2275"/>
  <c r="O2274"/>
  <c r="P2274" s="1"/>
  <c r="N2274"/>
  <c r="O2273"/>
  <c r="P2273" s="1"/>
  <c r="N2273"/>
  <c r="O2272"/>
  <c r="P2272" s="1"/>
  <c r="N2272"/>
  <c r="O2271"/>
  <c r="P2271" s="1"/>
  <c r="N2271"/>
  <c r="O2270"/>
  <c r="P2270" s="1"/>
  <c r="N2270"/>
  <c r="O2269"/>
  <c r="P2269" s="1"/>
  <c r="N2269"/>
  <c r="O2268"/>
  <c r="P2268" s="1"/>
  <c r="N2268"/>
  <c r="O2267"/>
  <c r="P2267" s="1"/>
  <c r="N2267"/>
  <c r="O2266"/>
  <c r="P2266" s="1"/>
  <c r="N2266"/>
  <c r="O2265"/>
  <c r="P2265" s="1"/>
  <c r="N2265"/>
  <c r="O2264"/>
  <c r="P2264" s="1"/>
  <c r="N2264"/>
  <c r="O2263"/>
  <c r="P2263" s="1"/>
  <c r="N2263"/>
  <c r="O2262"/>
  <c r="P2262" s="1"/>
  <c r="N2262"/>
  <c r="O2261"/>
  <c r="P2261" s="1"/>
  <c r="N2261"/>
  <c r="O2260"/>
  <c r="P2260" s="1"/>
  <c r="N2260"/>
  <c r="O2259"/>
  <c r="P2259" s="1"/>
  <c r="N2259"/>
  <c r="O2258"/>
  <c r="P2258" s="1"/>
  <c r="N2258"/>
  <c r="O2257"/>
  <c r="P2257" s="1"/>
  <c r="N2257"/>
  <c r="O2256"/>
  <c r="P2256" s="1"/>
  <c r="N2256"/>
  <c r="O2255"/>
  <c r="P2255" s="1"/>
  <c r="N2255"/>
  <c r="O2254"/>
  <c r="P2254" s="1"/>
  <c r="N2254"/>
  <c r="O2253"/>
  <c r="P2253" s="1"/>
  <c r="N2253"/>
  <c r="O2252"/>
  <c r="P2252" s="1"/>
  <c r="N2252"/>
  <c r="O2251"/>
  <c r="P2251" s="1"/>
  <c r="N2251"/>
  <c r="O2250"/>
  <c r="P2250" s="1"/>
  <c r="N2250"/>
  <c r="O2249"/>
  <c r="P2249" s="1"/>
  <c r="N2249"/>
  <c r="O2248"/>
  <c r="P2248" s="1"/>
  <c r="N2248"/>
  <c r="O2247"/>
  <c r="P2247" s="1"/>
  <c r="N2247"/>
  <c r="O2246"/>
  <c r="P2246" s="1"/>
  <c r="N2246"/>
  <c r="O2245"/>
  <c r="P2245" s="1"/>
  <c r="N2245"/>
  <c r="O2244"/>
  <c r="P2244" s="1"/>
  <c r="N2244"/>
  <c r="O2243"/>
  <c r="P2243" s="1"/>
  <c r="N2243"/>
  <c r="O2242"/>
  <c r="P2242" s="1"/>
  <c r="N2242"/>
  <c r="O2241"/>
  <c r="P2241" s="1"/>
  <c r="N2241"/>
  <c r="O2240"/>
  <c r="P2240" s="1"/>
  <c r="N2240"/>
  <c r="O2239"/>
  <c r="P2239" s="1"/>
  <c r="N2239"/>
  <c r="O2238"/>
  <c r="P2238" s="1"/>
  <c r="N2238"/>
  <c r="O2237"/>
  <c r="P2237" s="1"/>
  <c r="N2237"/>
  <c r="O2236"/>
  <c r="P2236" s="1"/>
  <c r="N2236"/>
  <c r="O2235"/>
  <c r="P2235" s="1"/>
  <c r="N2235"/>
  <c r="O2234"/>
  <c r="P2234" s="1"/>
  <c r="N2234"/>
  <c r="O2233"/>
  <c r="P2233" s="1"/>
  <c r="N2233"/>
  <c r="O2232"/>
  <c r="P2232" s="1"/>
  <c r="N2232"/>
  <c r="O2231"/>
  <c r="P2231" s="1"/>
  <c r="N2231"/>
  <c r="O2229"/>
  <c r="P2229" s="1"/>
  <c r="N2229"/>
  <c r="O2228"/>
  <c r="P2228" s="1"/>
  <c r="N2228"/>
  <c r="O2227"/>
  <c r="P2227" s="1"/>
  <c r="N2227"/>
  <c r="O2226"/>
  <c r="P2226" s="1"/>
  <c r="N2226"/>
  <c r="O2225"/>
  <c r="P2225" s="1"/>
  <c r="N2225"/>
  <c r="O2224"/>
  <c r="P2224" s="1"/>
  <c r="N2224"/>
  <c r="O2223"/>
  <c r="P2223" s="1"/>
  <c r="N2223"/>
  <c r="O2222"/>
  <c r="P2222" s="1"/>
  <c r="N2222"/>
  <c r="O2221"/>
  <c r="P2221" s="1"/>
  <c r="N2221"/>
  <c r="O2220"/>
  <c r="P2220" s="1"/>
  <c r="N2220"/>
  <c r="O2219"/>
  <c r="P2219" s="1"/>
  <c r="N2219"/>
  <c r="O2218"/>
  <c r="P2218" s="1"/>
  <c r="N2218"/>
  <c r="O2217"/>
  <c r="P2217" s="1"/>
  <c r="N2217"/>
  <c r="O2216"/>
  <c r="P2216" s="1"/>
  <c r="N2216"/>
  <c r="O2215"/>
  <c r="P2215" s="1"/>
  <c r="N2215"/>
  <c r="O2214"/>
  <c r="P2214" s="1"/>
  <c r="N2214"/>
  <c r="O2213"/>
  <c r="P2213" s="1"/>
  <c r="N2213"/>
  <c r="O2212"/>
  <c r="P2212" s="1"/>
  <c r="N2212"/>
  <c r="O2211"/>
  <c r="P2211" s="1"/>
  <c r="N2211"/>
  <c r="O2210"/>
  <c r="P2210" s="1"/>
  <c r="N2210"/>
  <c r="O2209"/>
  <c r="P2209" s="1"/>
  <c r="N2209"/>
  <c r="O2208"/>
  <c r="P2208" s="1"/>
  <c r="N2208"/>
  <c r="O2207"/>
  <c r="P2207" s="1"/>
  <c r="N2207"/>
  <c r="O2206"/>
  <c r="P2206" s="1"/>
  <c r="N2206"/>
  <c r="O2205"/>
  <c r="P2205" s="1"/>
  <c r="N2205"/>
  <c r="O2204"/>
  <c r="P2204" s="1"/>
  <c r="N2204"/>
  <c r="O2203"/>
  <c r="P2203" s="1"/>
  <c r="N2203"/>
  <c r="O2202"/>
  <c r="P2202" s="1"/>
  <c r="N2202"/>
  <c r="O2201"/>
  <c r="P2201" s="1"/>
  <c r="N2201"/>
  <c r="O2200"/>
  <c r="P2200" s="1"/>
  <c r="N2200"/>
  <c r="O2199"/>
  <c r="P2199" s="1"/>
  <c r="N2199"/>
  <c r="O2198"/>
  <c r="P2198" s="1"/>
  <c r="N2198"/>
  <c r="O2197"/>
  <c r="P2197" s="1"/>
  <c r="N2197"/>
  <c r="O2196"/>
  <c r="P2196" s="1"/>
  <c r="N2196"/>
  <c r="O2195"/>
  <c r="P2195" s="1"/>
  <c r="N2195"/>
  <c r="O2194"/>
  <c r="P2194" s="1"/>
  <c r="N2194"/>
  <c r="O2193"/>
  <c r="P2193" s="1"/>
  <c r="N2193"/>
  <c r="O2192"/>
  <c r="P2192" s="1"/>
  <c r="N2192"/>
  <c r="O2191"/>
  <c r="P2191" s="1"/>
  <c r="N2191"/>
  <c r="O2190"/>
  <c r="P2190" s="1"/>
  <c r="N2190"/>
  <c r="O2189"/>
  <c r="P2189" s="1"/>
  <c r="N2189"/>
  <c r="O2188"/>
  <c r="P2188" s="1"/>
  <c r="N2188"/>
  <c r="O2187"/>
  <c r="P2187" s="1"/>
  <c r="N2187"/>
  <c r="O2186"/>
  <c r="P2186" s="1"/>
  <c r="N2186"/>
  <c r="O2185"/>
  <c r="P2185" s="1"/>
  <c r="N2185"/>
  <c r="O2184"/>
  <c r="P2184" s="1"/>
  <c r="N2184"/>
  <c r="O2183"/>
  <c r="P2183" s="1"/>
  <c r="N2183"/>
  <c r="O2182"/>
  <c r="P2182" s="1"/>
  <c r="N2182"/>
  <c r="O2181"/>
  <c r="P2181" s="1"/>
  <c r="N2181"/>
  <c r="O2180"/>
  <c r="P2180" s="1"/>
  <c r="N2180"/>
  <c r="O2179"/>
  <c r="P2179" s="1"/>
  <c r="N2179"/>
  <c r="O2178"/>
  <c r="P2178" s="1"/>
  <c r="N2178"/>
  <c r="O2177"/>
  <c r="P2177" s="1"/>
  <c r="N2177"/>
  <c r="O2176"/>
  <c r="P2176" s="1"/>
  <c r="N2176"/>
  <c r="O2175"/>
  <c r="P2175" s="1"/>
  <c r="N2175"/>
  <c r="O2174"/>
  <c r="P2174" s="1"/>
  <c r="N2174"/>
  <c r="O2173"/>
  <c r="P2173" s="1"/>
  <c r="N2173"/>
  <c r="O2172"/>
  <c r="P2172" s="1"/>
  <c r="N2172"/>
  <c r="O2171"/>
  <c r="P2171" s="1"/>
  <c r="N2171"/>
  <c r="O2170"/>
  <c r="P2170" s="1"/>
  <c r="N2170"/>
  <c r="O2169"/>
  <c r="P2169" s="1"/>
  <c r="N2169"/>
  <c r="O2168"/>
  <c r="P2168" s="1"/>
  <c r="N2168"/>
  <c r="O2167"/>
  <c r="P2167" s="1"/>
  <c r="N2167"/>
  <c r="O2166"/>
  <c r="P2166" s="1"/>
  <c r="N2166"/>
  <c r="O2165"/>
  <c r="P2165" s="1"/>
  <c r="N2165"/>
  <c r="O2164"/>
  <c r="P2164" s="1"/>
  <c r="N2164"/>
  <c r="O2163"/>
  <c r="P2163" s="1"/>
  <c r="N2163"/>
  <c r="O2162"/>
  <c r="P2162" s="1"/>
  <c r="N2162"/>
  <c r="O2161"/>
  <c r="P2161" s="1"/>
  <c r="N2161"/>
  <c r="O2160"/>
  <c r="P2160" s="1"/>
  <c r="N2160"/>
  <c r="O2159"/>
  <c r="P2159" s="1"/>
  <c r="N2159"/>
  <c r="O2158"/>
  <c r="P2158" s="1"/>
  <c r="N2158"/>
  <c r="O2157"/>
  <c r="P2157" s="1"/>
  <c r="N2157"/>
  <c r="O2156"/>
  <c r="P2156" s="1"/>
  <c r="N2156"/>
  <c r="O2155"/>
  <c r="P2155" s="1"/>
  <c r="N2155"/>
  <c r="O2154"/>
  <c r="P2154" s="1"/>
  <c r="N2154"/>
  <c r="O2153"/>
  <c r="P2153" s="1"/>
  <c r="N2153"/>
  <c r="O2152"/>
  <c r="P2152" s="1"/>
  <c r="N2152"/>
  <c r="O2151"/>
  <c r="P2151" s="1"/>
  <c r="N2151"/>
  <c r="O2150"/>
  <c r="P2150" s="1"/>
  <c r="N2150"/>
  <c r="O2149"/>
  <c r="P2149" s="1"/>
  <c r="N2149"/>
  <c r="O2148"/>
  <c r="P2148" s="1"/>
  <c r="N2148"/>
  <c r="O2147"/>
  <c r="P2147" s="1"/>
  <c r="N2147"/>
  <c r="O2146"/>
  <c r="P2146" s="1"/>
  <c r="N2146"/>
  <c r="O2145"/>
  <c r="P2145" s="1"/>
  <c r="N2145"/>
  <c r="O2144"/>
  <c r="P2144" s="1"/>
  <c r="N2144"/>
  <c r="O2143"/>
  <c r="P2143" s="1"/>
  <c r="N2143"/>
  <c r="O2142"/>
  <c r="P2142" s="1"/>
  <c r="N2142"/>
  <c r="O2141"/>
  <c r="P2141" s="1"/>
  <c r="N2141"/>
  <c r="O2140"/>
  <c r="P2140" s="1"/>
  <c r="N2140"/>
  <c r="O2139"/>
  <c r="P2139" s="1"/>
  <c r="N2139"/>
  <c r="O2138"/>
  <c r="P2138" s="1"/>
  <c r="N2138"/>
  <c r="O2137"/>
  <c r="P2137" s="1"/>
  <c r="N2137"/>
  <c r="O2136"/>
  <c r="P2136" s="1"/>
  <c r="N2136"/>
  <c r="O2135"/>
  <c r="P2135" s="1"/>
  <c r="N2135"/>
  <c r="O2134"/>
  <c r="P2134" s="1"/>
  <c r="N2134"/>
  <c r="O2133"/>
  <c r="P2133" s="1"/>
  <c r="N2133"/>
  <c r="O2132"/>
  <c r="P2132" s="1"/>
  <c r="N2132"/>
  <c r="O2131"/>
  <c r="P2131" s="1"/>
  <c r="N2131"/>
  <c r="O2130"/>
  <c r="P2130" s="1"/>
  <c r="N2130"/>
  <c r="O2129"/>
  <c r="P2129" s="1"/>
  <c r="N2129"/>
  <c r="O2128"/>
  <c r="P2128" s="1"/>
  <c r="N2128"/>
  <c r="O2127"/>
  <c r="P2127" s="1"/>
  <c r="N2127"/>
  <c r="O2126"/>
  <c r="P2126" s="1"/>
  <c r="N2126"/>
  <c r="O2125"/>
  <c r="P2125" s="1"/>
  <c r="N2125"/>
  <c r="O2124"/>
  <c r="P2124" s="1"/>
  <c r="N2124"/>
  <c r="O2123"/>
  <c r="P2123" s="1"/>
  <c r="N2123"/>
  <c r="O2122"/>
  <c r="P2122" s="1"/>
  <c r="N2122"/>
  <c r="O2121"/>
  <c r="P2121" s="1"/>
  <c r="N2121"/>
  <c r="O2120"/>
  <c r="P2120" s="1"/>
  <c r="N2120"/>
  <c r="O2119"/>
  <c r="P2119" s="1"/>
  <c r="N2119"/>
  <c r="O2118"/>
  <c r="P2118" s="1"/>
  <c r="N2118"/>
  <c r="O2117"/>
  <c r="P2117" s="1"/>
  <c r="N2117"/>
  <c r="O2116"/>
  <c r="P2116" s="1"/>
  <c r="N2116"/>
  <c r="O2115"/>
  <c r="P2115" s="1"/>
  <c r="N2115"/>
  <c r="O2114"/>
  <c r="P2114" s="1"/>
  <c r="N2114"/>
  <c r="O2113"/>
  <c r="P2113" s="1"/>
  <c r="N2113"/>
  <c r="O2112"/>
  <c r="P2112" s="1"/>
  <c r="N2112"/>
  <c r="O2111"/>
  <c r="P2111" s="1"/>
  <c r="N2111"/>
  <c r="O2110"/>
  <c r="P2110" s="1"/>
  <c r="N2110"/>
  <c r="O2109"/>
  <c r="P2109" s="1"/>
  <c r="N2109"/>
  <c r="O2108"/>
  <c r="P2108" s="1"/>
  <c r="N2108"/>
  <c r="O2107"/>
  <c r="P2107" s="1"/>
  <c r="N2107"/>
  <c r="O2106"/>
  <c r="P2106" s="1"/>
  <c r="N2106"/>
  <c r="O2105"/>
  <c r="P2105" s="1"/>
  <c r="N2105"/>
  <c r="O2104"/>
  <c r="P2104" s="1"/>
  <c r="N2104"/>
  <c r="O2103"/>
  <c r="P2103" s="1"/>
  <c r="N2103"/>
  <c r="O2102"/>
  <c r="P2102" s="1"/>
  <c r="N2102"/>
  <c r="O2101"/>
  <c r="P2101" s="1"/>
  <c r="N2101"/>
  <c r="O2100"/>
  <c r="P2100" s="1"/>
  <c r="N2100"/>
  <c r="O2099"/>
  <c r="P2099" s="1"/>
  <c r="N2099"/>
  <c r="O2098"/>
  <c r="P2098" s="1"/>
  <c r="N2098"/>
  <c r="O2097"/>
  <c r="P2097" s="1"/>
  <c r="N2097"/>
  <c r="O2096"/>
  <c r="P2096" s="1"/>
  <c r="N2096"/>
  <c r="O2095"/>
  <c r="P2095" s="1"/>
  <c r="N2095"/>
  <c r="O2094"/>
  <c r="P2094" s="1"/>
  <c r="N2094"/>
  <c r="O2093"/>
  <c r="P2093" s="1"/>
  <c r="N2093"/>
  <c r="O2092"/>
  <c r="P2092" s="1"/>
  <c r="N2092"/>
  <c r="O2091"/>
  <c r="P2091" s="1"/>
  <c r="N2091"/>
  <c r="O2090"/>
  <c r="P2090" s="1"/>
  <c r="N2090"/>
  <c r="O2089"/>
  <c r="P2089" s="1"/>
  <c r="N2089"/>
  <c r="O2088"/>
  <c r="P2088" s="1"/>
  <c r="N2088"/>
  <c r="O2087"/>
  <c r="P2087" s="1"/>
  <c r="N2087"/>
  <c r="O2086"/>
  <c r="P2086" s="1"/>
  <c r="N2086"/>
  <c r="O2085"/>
  <c r="P2085" s="1"/>
  <c r="N2085"/>
  <c r="O2084"/>
  <c r="P2084" s="1"/>
  <c r="N2084"/>
  <c r="O2083"/>
  <c r="P2083" s="1"/>
  <c r="N2083"/>
  <c r="O2082"/>
  <c r="P2082" s="1"/>
  <c r="N2082"/>
  <c r="O2081"/>
  <c r="P2081" s="1"/>
  <c r="N2081"/>
  <c r="O2080"/>
  <c r="P2080" s="1"/>
  <c r="N2080"/>
  <c r="O2079"/>
  <c r="P2079" s="1"/>
  <c r="N2079"/>
  <c r="O2078"/>
  <c r="P2078" s="1"/>
  <c r="N2078"/>
  <c r="O2077"/>
  <c r="P2077" s="1"/>
  <c r="N2077"/>
  <c r="O2076"/>
  <c r="P2076" s="1"/>
  <c r="N2076"/>
  <c r="O2075"/>
  <c r="P2075" s="1"/>
  <c r="N2075"/>
  <c r="O2074"/>
  <c r="P2074" s="1"/>
  <c r="N2074"/>
  <c r="O2073"/>
  <c r="P2073" s="1"/>
  <c r="N2073"/>
  <c r="O2072"/>
  <c r="P2072" s="1"/>
  <c r="N2072"/>
  <c r="O2071"/>
  <c r="P2071" s="1"/>
  <c r="N2071"/>
  <c r="O2070"/>
  <c r="P2070" s="1"/>
  <c r="N2070"/>
  <c r="O2069"/>
  <c r="P2069" s="1"/>
  <c r="N2069"/>
  <c r="O2068"/>
  <c r="P2068" s="1"/>
  <c r="N2068"/>
  <c r="O2067"/>
  <c r="P2067" s="1"/>
  <c r="N2067"/>
  <c r="O2066"/>
  <c r="P2066" s="1"/>
  <c r="N2066"/>
  <c r="O2065"/>
  <c r="P2065" s="1"/>
  <c r="N2065"/>
  <c r="O2064"/>
  <c r="P2064" s="1"/>
  <c r="N2064"/>
  <c r="O2063"/>
  <c r="P2063" s="1"/>
  <c r="N2063"/>
  <c r="O2062"/>
  <c r="P2062" s="1"/>
  <c r="N2062"/>
  <c r="O2061"/>
  <c r="P2061" s="1"/>
  <c r="N2061"/>
  <c r="O2060"/>
  <c r="P2060" s="1"/>
  <c r="N2060"/>
  <c r="O2059"/>
  <c r="P2059" s="1"/>
  <c r="N2059"/>
  <c r="O2058"/>
  <c r="P2058" s="1"/>
  <c r="N2058"/>
  <c r="O2057"/>
  <c r="P2057" s="1"/>
  <c r="N2057"/>
  <c r="O2056"/>
  <c r="P2056" s="1"/>
  <c r="N2056"/>
  <c r="O2055"/>
  <c r="P2055" s="1"/>
  <c r="N2055"/>
  <c r="O2054"/>
  <c r="P2054" s="1"/>
  <c r="N2054"/>
  <c r="O2053"/>
  <c r="P2053" s="1"/>
  <c r="N2053"/>
  <c r="O2052"/>
  <c r="P2052" s="1"/>
  <c r="N2052"/>
  <c r="O2051"/>
  <c r="P2051" s="1"/>
  <c r="N2051"/>
  <c r="O2050"/>
  <c r="P2050" s="1"/>
  <c r="N2050"/>
  <c r="O2049"/>
  <c r="P2049" s="1"/>
  <c r="N2049"/>
  <c r="O2048"/>
  <c r="P2048" s="1"/>
  <c r="N2048"/>
  <c r="O2047"/>
  <c r="P2047" s="1"/>
  <c r="N2047"/>
  <c r="O2046"/>
  <c r="P2046" s="1"/>
  <c r="N2046"/>
  <c r="O2045"/>
  <c r="P2045" s="1"/>
  <c r="N2045"/>
  <c r="O2044"/>
  <c r="P2044" s="1"/>
  <c r="N2044"/>
  <c r="O2043"/>
  <c r="P2043" s="1"/>
  <c r="N2043"/>
  <c r="O2042"/>
  <c r="P2042" s="1"/>
  <c r="N2042"/>
  <c r="O2041"/>
  <c r="P2041" s="1"/>
  <c r="N2041"/>
  <c r="O2040"/>
  <c r="P2040" s="1"/>
  <c r="N2040"/>
  <c r="O2039"/>
  <c r="P2039" s="1"/>
  <c r="N2039"/>
  <c r="O2038"/>
  <c r="P2038" s="1"/>
  <c r="N2038"/>
  <c r="O2037"/>
  <c r="P2037" s="1"/>
  <c r="N2037"/>
  <c r="O2036"/>
  <c r="P2036" s="1"/>
  <c r="N2036"/>
  <c r="O2035"/>
  <c r="P2035" s="1"/>
  <c r="N2035"/>
  <c r="O2034"/>
  <c r="P2034" s="1"/>
  <c r="N2034"/>
  <c r="O2033"/>
  <c r="P2033" s="1"/>
  <c r="N2033"/>
  <c r="O2032"/>
  <c r="P2032" s="1"/>
  <c r="N2032"/>
  <c r="O2031"/>
  <c r="P2031" s="1"/>
  <c r="N2031"/>
  <c r="O2030"/>
  <c r="P2030" s="1"/>
  <c r="N2030"/>
  <c r="O2029"/>
  <c r="P2029" s="1"/>
  <c r="N2029"/>
  <c r="O2028"/>
  <c r="P2028" s="1"/>
  <c r="N2028"/>
  <c r="O2027"/>
  <c r="P2027" s="1"/>
  <c r="N2027"/>
  <c r="O2026"/>
  <c r="P2026" s="1"/>
  <c r="N2026"/>
  <c r="O2025"/>
  <c r="P2025" s="1"/>
  <c r="N2025"/>
  <c r="O2024"/>
  <c r="P2024" s="1"/>
  <c r="N2024"/>
  <c r="O2023"/>
  <c r="P2023" s="1"/>
  <c r="N2023"/>
  <c r="O2022"/>
  <c r="P2022" s="1"/>
  <c r="N2022"/>
  <c r="O2021"/>
  <c r="P2021" s="1"/>
  <c r="N2021"/>
  <c r="O2020"/>
  <c r="P2020" s="1"/>
  <c r="N2020"/>
  <c r="O2019"/>
  <c r="P2019" s="1"/>
  <c r="N2019"/>
  <c r="O2018"/>
  <c r="P2018" s="1"/>
  <c r="N2018"/>
  <c r="O2017"/>
  <c r="P2017" s="1"/>
  <c r="N2017"/>
  <c r="O2016"/>
  <c r="P2016" s="1"/>
  <c r="N2016"/>
  <c r="O2015"/>
  <c r="P2015" s="1"/>
  <c r="N2015"/>
  <c r="O2014"/>
  <c r="P2014" s="1"/>
  <c r="N2014"/>
  <c r="O2013"/>
  <c r="P2013" s="1"/>
  <c r="N2013"/>
  <c r="O2012"/>
  <c r="P2012" s="1"/>
  <c r="N2012"/>
  <c r="O2011"/>
  <c r="P2011" s="1"/>
  <c r="N2011"/>
  <c r="O2010"/>
  <c r="P2010" s="1"/>
  <c r="N2010"/>
  <c r="O2009"/>
  <c r="P2009" s="1"/>
  <c r="N2009"/>
  <c r="O2008"/>
  <c r="P2008" s="1"/>
  <c r="N2008"/>
  <c r="O2007"/>
  <c r="P2007" s="1"/>
  <c r="N2007"/>
  <c r="O2006"/>
  <c r="P2006" s="1"/>
  <c r="N2006"/>
  <c r="O2005"/>
  <c r="P2005" s="1"/>
  <c r="N2005"/>
  <c r="O2004"/>
  <c r="P2004" s="1"/>
  <c r="N2004"/>
  <c r="O2003"/>
  <c r="P2003" s="1"/>
  <c r="N2003"/>
  <c r="O2002"/>
  <c r="P2002" s="1"/>
  <c r="N2002"/>
  <c r="O2001"/>
  <c r="P2001" s="1"/>
  <c r="N2001"/>
  <c r="O2000"/>
  <c r="P2000" s="1"/>
  <c r="N2000"/>
  <c r="O1999"/>
  <c r="P1999" s="1"/>
  <c r="N1999"/>
  <c r="O1998"/>
  <c r="P1998" s="1"/>
  <c r="N1998"/>
  <c r="O1997"/>
  <c r="P1997" s="1"/>
  <c r="N1997"/>
  <c r="O1996"/>
  <c r="P1996" s="1"/>
  <c r="N1996"/>
  <c r="O1995"/>
  <c r="P1995" s="1"/>
  <c r="N1995"/>
  <c r="O1994"/>
  <c r="P1994" s="1"/>
  <c r="N1994"/>
  <c r="O1993"/>
  <c r="P1993" s="1"/>
  <c r="N1993"/>
  <c r="O1992"/>
  <c r="P1992" s="1"/>
  <c r="N1992"/>
  <c r="O1991"/>
  <c r="P1991" s="1"/>
  <c r="N1991"/>
  <c r="O1990"/>
  <c r="P1990" s="1"/>
  <c r="N1990"/>
  <c r="O1989"/>
  <c r="P1989" s="1"/>
  <c r="N1989"/>
  <c r="O1988"/>
  <c r="P1988" s="1"/>
  <c r="N1988"/>
  <c r="O1987"/>
  <c r="P1987" s="1"/>
  <c r="N1987"/>
  <c r="O1986"/>
  <c r="P1986" s="1"/>
  <c r="N1986"/>
  <c r="O1985"/>
  <c r="P1985" s="1"/>
  <c r="N1985"/>
  <c r="O1984"/>
  <c r="P1984" s="1"/>
  <c r="N1984"/>
  <c r="O1983"/>
  <c r="P1983" s="1"/>
  <c r="N1983"/>
  <c r="O1982"/>
  <c r="P1982" s="1"/>
  <c r="N1982"/>
  <c r="O1981"/>
  <c r="P1981" s="1"/>
  <c r="N1981"/>
  <c r="O1980"/>
  <c r="P1980" s="1"/>
  <c r="N1980"/>
  <c r="O1979"/>
  <c r="P1979" s="1"/>
  <c r="N1979"/>
  <c r="O1978"/>
  <c r="P1978" s="1"/>
  <c r="N1978"/>
  <c r="O1977"/>
  <c r="P1977" s="1"/>
  <c r="N1977"/>
  <c r="O1976"/>
  <c r="P1976" s="1"/>
  <c r="N1976"/>
  <c r="O1975"/>
  <c r="P1975" s="1"/>
  <c r="N1975"/>
  <c r="O1974"/>
  <c r="P1974" s="1"/>
  <c r="N1974"/>
  <c r="O1973"/>
  <c r="P1973" s="1"/>
  <c r="N1973"/>
  <c r="O1972"/>
  <c r="P1972" s="1"/>
  <c r="N1972"/>
  <c r="O1971"/>
  <c r="P1971" s="1"/>
  <c r="N1971"/>
  <c r="O1970"/>
  <c r="P1970" s="1"/>
  <c r="N1970"/>
  <c r="O1969"/>
  <c r="P1969" s="1"/>
  <c r="N1969"/>
  <c r="O1968"/>
  <c r="P1968" s="1"/>
  <c r="N1968"/>
  <c r="O1967"/>
  <c r="P1967" s="1"/>
  <c r="N1967"/>
  <c r="O1966"/>
  <c r="P1966" s="1"/>
  <c r="N1966"/>
  <c r="O1965"/>
  <c r="P1965" s="1"/>
  <c r="N1965"/>
  <c r="O1964"/>
  <c r="P1964" s="1"/>
  <c r="N1964"/>
  <c r="O1963"/>
  <c r="P1963" s="1"/>
  <c r="N1963"/>
  <c r="O1962"/>
  <c r="P1962" s="1"/>
  <c r="N1962"/>
  <c r="O1961"/>
  <c r="P1961" s="1"/>
  <c r="N1961"/>
  <c r="O1960"/>
  <c r="P1960" s="1"/>
  <c r="N1960"/>
  <c r="O1959"/>
  <c r="P1959" s="1"/>
  <c r="N1959"/>
  <c r="O1958"/>
  <c r="P1958" s="1"/>
  <c r="N1958"/>
  <c r="O1957"/>
  <c r="P1957" s="1"/>
  <c r="N1957"/>
  <c r="O1956"/>
  <c r="P1956" s="1"/>
  <c r="N1956"/>
  <c r="O1955"/>
  <c r="P1955" s="1"/>
  <c r="N1955"/>
  <c r="O1954"/>
  <c r="P1954" s="1"/>
  <c r="N1954"/>
  <c r="O1953"/>
  <c r="P1953" s="1"/>
  <c r="N1953"/>
  <c r="O1952"/>
  <c r="P1952" s="1"/>
  <c r="N1952"/>
  <c r="O1951"/>
  <c r="P1951" s="1"/>
  <c r="N1951"/>
  <c r="O1950"/>
  <c r="P1950" s="1"/>
  <c r="N1950"/>
  <c r="O1949"/>
  <c r="P1949" s="1"/>
  <c r="N1949"/>
  <c r="O1948"/>
  <c r="P1948" s="1"/>
  <c r="N1948"/>
  <c r="O1947"/>
  <c r="P1947" s="1"/>
  <c r="N1947"/>
  <c r="O1946"/>
  <c r="P1946" s="1"/>
  <c r="N1946"/>
  <c r="O1945"/>
  <c r="P1945" s="1"/>
  <c r="N1945"/>
  <c r="O1944"/>
  <c r="P1944" s="1"/>
  <c r="N1944"/>
  <c r="O1943"/>
  <c r="P1943" s="1"/>
  <c r="N1943"/>
  <c r="O1942"/>
  <c r="P1942" s="1"/>
  <c r="N1942"/>
  <c r="O1941"/>
  <c r="P1941" s="1"/>
  <c r="N1941"/>
  <c r="O1940"/>
  <c r="P1940" s="1"/>
  <c r="N1940"/>
  <c r="O1939"/>
  <c r="P1939" s="1"/>
  <c r="N1939"/>
  <c r="O1938"/>
  <c r="P1938" s="1"/>
  <c r="N1938"/>
  <c r="O1937"/>
  <c r="P1937" s="1"/>
  <c r="N1937"/>
  <c r="O1936"/>
  <c r="P1936" s="1"/>
  <c r="N1936"/>
  <c r="O1935"/>
  <c r="P1935" s="1"/>
  <c r="N1935"/>
  <c r="O1934"/>
  <c r="P1934" s="1"/>
  <c r="N1934"/>
  <c r="O1933"/>
  <c r="P1933" s="1"/>
  <c r="N1933"/>
  <c r="O1932"/>
  <c r="P1932" s="1"/>
  <c r="N1932"/>
  <c r="O1931"/>
  <c r="P1931" s="1"/>
  <c r="N1931"/>
  <c r="O1930"/>
  <c r="P1930" s="1"/>
  <c r="N1930"/>
  <c r="O1929"/>
  <c r="P1929" s="1"/>
  <c r="N1929"/>
  <c r="O1928"/>
  <c r="P1928" s="1"/>
  <c r="N1928"/>
  <c r="O1927"/>
  <c r="P1927" s="1"/>
  <c r="N1927"/>
  <c r="O1926"/>
  <c r="P1926" s="1"/>
  <c r="N1926"/>
  <c r="O1925"/>
  <c r="P1925" s="1"/>
  <c r="N1925"/>
  <c r="O1924"/>
  <c r="P1924" s="1"/>
  <c r="N1924"/>
  <c r="O1923"/>
  <c r="P1923" s="1"/>
  <c r="N1923"/>
  <c r="O1922"/>
  <c r="P1922" s="1"/>
  <c r="N1922"/>
  <c r="O1921"/>
  <c r="P1921" s="1"/>
  <c r="N1921"/>
  <c r="O1920"/>
  <c r="P1920" s="1"/>
  <c r="N1920"/>
  <c r="O1919"/>
  <c r="P1919" s="1"/>
  <c r="N1919"/>
  <c r="O1918"/>
  <c r="P1918" s="1"/>
  <c r="N1918"/>
  <c r="O1917"/>
  <c r="P1917" s="1"/>
  <c r="N1917"/>
  <c r="O1916"/>
  <c r="P1916" s="1"/>
  <c r="N1916"/>
  <c r="O1915"/>
  <c r="P1915" s="1"/>
  <c r="N1915"/>
  <c r="O1914"/>
  <c r="P1914" s="1"/>
  <c r="N1914"/>
  <c r="O1913"/>
  <c r="P1913" s="1"/>
  <c r="N1913"/>
  <c r="O1912"/>
  <c r="P1912" s="1"/>
  <c r="N1912"/>
  <c r="O1911"/>
  <c r="P1911" s="1"/>
  <c r="N1911"/>
  <c r="O1910"/>
  <c r="P1910" s="1"/>
  <c r="N1910"/>
  <c r="O1909"/>
  <c r="P1909" s="1"/>
  <c r="N1909"/>
  <c r="O1908"/>
  <c r="P1908" s="1"/>
  <c r="N1908"/>
  <c r="O1907"/>
  <c r="P1907" s="1"/>
  <c r="N1907"/>
  <c r="O1906"/>
  <c r="P1906" s="1"/>
  <c r="N1906"/>
  <c r="O1905"/>
  <c r="P1905" s="1"/>
  <c r="N1905"/>
  <c r="O1904"/>
  <c r="P1904" s="1"/>
  <c r="N1904"/>
  <c r="O1903"/>
  <c r="P1903" s="1"/>
  <c r="N1903"/>
  <c r="O1902"/>
  <c r="P1902" s="1"/>
  <c r="N1902"/>
  <c r="O1901"/>
  <c r="P1901" s="1"/>
  <c r="N1901"/>
  <c r="O1900"/>
  <c r="P1900" s="1"/>
  <c r="N1900"/>
  <c r="O1899"/>
  <c r="P1899" s="1"/>
  <c r="N1899"/>
  <c r="O1898"/>
  <c r="P1898" s="1"/>
  <c r="N1898"/>
  <c r="O1897"/>
  <c r="P1897" s="1"/>
  <c r="N1897"/>
  <c r="O1896"/>
  <c r="P1896" s="1"/>
  <c r="N1896"/>
  <c r="O1895"/>
  <c r="P1895" s="1"/>
  <c r="N1895"/>
  <c r="O1894"/>
  <c r="P1894" s="1"/>
  <c r="N1894"/>
  <c r="O1893"/>
  <c r="P1893" s="1"/>
  <c r="N1893"/>
  <c r="O1892"/>
  <c r="P1892" s="1"/>
  <c r="N1892"/>
  <c r="O1891"/>
  <c r="P1891" s="1"/>
  <c r="N1891"/>
  <c r="O1890"/>
  <c r="P1890" s="1"/>
  <c r="N1890"/>
  <c r="O1889"/>
  <c r="P1889" s="1"/>
  <c r="N1889"/>
  <c r="O1888"/>
  <c r="P1888" s="1"/>
  <c r="N1888"/>
  <c r="O1887"/>
  <c r="P1887" s="1"/>
  <c r="N1887"/>
  <c r="O1886"/>
  <c r="P1886" s="1"/>
  <c r="N1886"/>
  <c r="O1885"/>
  <c r="P1885" s="1"/>
  <c r="N1885"/>
  <c r="O1884"/>
  <c r="P1884" s="1"/>
  <c r="N1884"/>
  <c r="O1883"/>
  <c r="P1883" s="1"/>
  <c r="N1883"/>
  <c r="O1882"/>
  <c r="P1882" s="1"/>
  <c r="N1882"/>
  <c r="O1881"/>
  <c r="P1881" s="1"/>
  <c r="N1881"/>
  <c r="O1880"/>
  <c r="P1880" s="1"/>
  <c r="N1880"/>
  <c r="O1879"/>
  <c r="P1879" s="1"/>
  <c r="N1879"/>
  <c r="O1878"/>
  <c r="P1878" s="1"/>
  <c r="N1878"/>
  <c r="O1877"/>
  <c r="P1877" s="1"/>
  <c r="N1877"/>
  <c r="O1876"/>
  <c r="P1876" s="1"/>
  <c r="N1876"/>
  <c r="O1875"/>
  <c r="P1875" s="1"/>
  <c r="N1875"/>
  <c r="O1874"/>
  <c r="P1874" s="1"/>
  <c r="N1874"/>
  <c r="O1873"/>
  <c r="P1873" s="1"/>
  <c r="N1873"/>
  <c r="O1872"/>
  <c r="P1872" s="1"/>
  <c r="N1872"/>
  <c r="O1871"/>
  <c r="P1871" s="1"/>
  <c r="N1871"/>
  <c r="O1870"/>
  <c r="P1870" s="1"/>
  <c r="N1870"/>
  <c r="O1869"/>
  <c r="P1869" s="1"/>
  <c r="N1869"/>
  <c r="O1868"/>
  <c r="P1868" s="1"/>
  <c r="N1868"/>
  <c r="O1867"/>
  <c r="P1867" s="1"/>
  <c r="N1867"/>
  <c r="O1866"/>
  <c r="P1866" s="1"/>
  <c r="N1866"/>
  <c r="O1865"/>
  <c r="P1865" s="1"/>
  <c r="N1865"/>
  <c r="O1864"/>
  <c r="P1864" s="1"/>
  <c r="N1864"/>
  <c r="O1863"/>
  <c r="P1863" s="1"/>
  <c r="N1863"/>
  <c r="O1862"/>
  <c r="P1862" s="1"/>
  <c r="N1862"/>
  <c r="O1861"/>
  <c r="P1861" s="1"/>
  <c r="N1861"/>
  <c r="O1860"/>
  <c r="P1860" s="1"/>
  <c r="N1860"/>
  <c r="O1859"/>
  <c r="P1859" s="1"/>
  <c r="N1859"/>
  <c r="O1858"/>
  <c r="P1858" s="1"/>
  <c r="N1858"/>
  <c r="O1857"/>
  <c r="P1857" s="1"/>
  <c r="N1857"/>
  <c r="O1856"/>
  <c r="P1856" s="1"/>
  <c r="N1856"/>
  <c r="O1855"/>
  <c r="P1855" s="1"/>
  <c r="N1855"/>
  <c r="O1854"/>
  <c r="P1854" s="1"/>
  <c r="N1854"/>
  <c r="O1853"/>
  <c r="P1853" s="1"/>
  <c r="N1853"/>
  <c r="O1852"/>
  <c r="P1852" s="1"/>
  <c r="N1852"/>
  <c r="O1851"/>
  <c r="P1851" s="1"/>
  <c r="N1851"/>
  <c r="O1850"/>
  <c r="P1850" s="1"/>
  <c r="N1850"/>
  <c r="O1849"/>
  <c r="P1849" s="1"/>
  <c r="N1849"/>
  <c r="O1848"/>
  <c r="P1848" s="1"/>
  <c r="N1848"/>
  <c r="O1847"/>
  <c r="P1847" s="1"/>
  <c r="N1847"/>
  <c r="O1846"/>
  <c r="P1846" s="1"/>
  <c r="N1846"/>
  <c r="O1845"/>
  <c r="P1845" s="1"/>
  <c r="N1845"/>
  <c r="O1844"/>
  <c r="P1844" s="1"/>
  <c r="N1844"/>
  <c r="O1843"/>
  <c r="P1843" s="1"/>
  <c r="N1843"/>
  <c r="O1842"/>
  <c r="P1842" s="1"/>
  <c r="N1842"/>
  <c r="O1841"/>
  <c r="P1841" s="1"/>
  <c r="N1841"/>
  <c r="O1840"/>
  <c r="P1840" s="1"/>
  <c r="N1840"/>
  <c r="O1839"/>
  <c r="P1839" s="1"/>
  <c r="N1839"/>
  <c r="O1838"/>
  <c r="P1838" s="1"/>
  <c r="N1838"/>
  <c r="O1837"/>
  <c r="P1837" s="1"/>
  <c r="N1837"/>
  <c r="O1836"/>
  <c r="P1836" s="1"/>
  <c r="N1836"/>
  <c r="O1835"/>
  <c r="P1835" s="1"/>
  <c r="N1835"/>
  <c r="O1834"/>
  <c r="P1834" s="1"/>
  <c r="N1834"/>
  <c r="O1833"/>
  <c r="P1833" s="1"/>
  <c r="N1833"/>
  <c r="O1832"/>
  <c r="P1832" s="1"/>
  <c r="N1832"/>
  <c r="O1831"/>
  <c r="P1831" s="1"/>
  <c r="N1831"/>
  <c r="O1830"/>
  <c r="P1830" s="1"/>
  <c r="N1830"/>
  <c r="O1829"/>
  <c r="P1829" s="1"/>
  <c r="N1829"/>
  <c r="O1828"/>
  <c r="P1828" s="1"/>
  <c r="N1828"/>
  <c r="O1827"/>
  <c r="P1827" s="1"/>
  <c r="N1827"/>
  <c r="O1826"/>
  <c r="P1826" s="1"/>
  <c r="N1826"/>
  <c r="O1825"/>
  <c r="P1825" s="1"/>
  <c r="N1825"/>
  <c r="O1824"/>
  <c r="P1824" s="1"/>
  <c r="N1824"/>
  <c r="O1823"/>
  <c r="P1823" s="1"/>
  <c r="N1823"/>
  <c r="O1822"/>
  <c r="P1822" s="1"/>
  <c r="N1822"/>
  <c r="O1821"/>
  <c r="P1821" s="1"/>
  <c r="N1821"/>
  <c r="O1820"/>
  <c r="P1820" s="1"/>
  <c r="N1820"/>
  <c r="O1819"/>
  <c r="P1819" s="1"/>
  <c r="N1819"/>
  <c r="O1818"/>
  <c r="P1818" s="1"/>
  <c r="N1818"/>
  <c r="O1817"/>
  <c r="P1817" s="1"/>
  <c r="N1817"/>
  <c r="O1816"/>
  <c r="P1816" s="1"/>
  <c r="N1816"/>
  <c r="O1815"/>
  <c r="P1815" s="1"/>
  <c r="N1815"/>
  <c r="O1814"/>
  <c r="P1814" s="1"/>
  <c r="N1814"/>
  <c r="O1813"/>
  <c r="P1813" s="1"/>
  <c r="N1813"/>
  <c r="O1812"/>
  <c r="P1812" s="1"/>
  <c r="N1812"/>
  <c r="O1811"/>
  <c r="P1811" s="1"/>
  <c r="N1811"/>
  <c r="O1810"/>
  <c r="P1810" s="1"/>
  <c r="N1810"/>
  <c r="O1809"/>
  <c r="P1809" s="1"/>
  <c r="N1809"/>
  <c r="O1808"/>
  <c r="P1808" s="1"/>
  <c r="N1808"/>
  <c r="O1807"/>
  <c r="P1807" s="1"/>
  <c r="N1807"/>
  <c r="O1806"/>
  <c r="P1806" s="1"/>
  <c r="N1806"/>
  <c r="O1805"/>
  <c r="P1805" s="1"/>
  <c r="N1805"/>
  <c r="O1804"/>
  <c r="P1804" s="1"/>
  <c r="N1804"/>
  <c r="O1803"/>
  <c r="P1803" s="1"/>
  <c r="N1803"/>
  <c r="O1802"/>
  <c r="P1802" s="1"/>
  <c r="N1802"/>
  <c r="O1801"/>
  <c r="P1801" s="1"/>
  <c r="N1801"/>
  <c r="O1800"/>
  <c r="P1800" s="1"/>
  <c r="N1800"/>
  <c r="O1799"/>
  <c r="P1799" s="1"/>
  <c r="N1799"/>
  <c r="O1798"/>
  <c r="P1798" s="1"/>
  <c r="N1798"/>
  <c r="O1797"/>
  <c r="P1797" s="1"/>
  <c r="N1797"/>
  <c r="O1796"/>
  <c r="P1796" s="1"/>
  <c r="N1796"/>
  <c r="O1795"/>
  <c r="P1795" s="1"/>
  <c r="N1795"/>
  <c r="O1794"/>
  <c r="P1794" s="1"/>
  <c r="N1794"/>
  <c r="O1793"/>
  <c r="P1793" s="1"/>
  <c r="N1793"/>
  <c r="O1792"/>
  <c r="P1792" s="1"/>
  <c r="N1792"/>
  <c r="O1791"/>
  <c r="P1791" s="1"/>
  <c r="N1791"/>
  <c r="O1790"/>
  <c r="P1790" s="1"/>
  <c r="N1790"/>
  <c r="O1789"/>
  <c r="P1789" s="1"/>
  <c r="N1789"/>
  <c r="O1788"/>
  <c r="P1788" s="1"/>
  <c r="N1788"/>
  <c r="O1787"/>
  <c r="P1787" s="1"/>
  <c r="N1787"/>
  <c r="O1786"/>
  <c r="P1786" s="1"/>
  <c r="N1786"/>
  <c r="O1785"/>
  <c r="P1785" s="1"/>
  <c r="N1785"/>
  <c r="O1784"/>
  <c r="P1784" s="1"/>
  <c r="N1784"/>
  <c r="O1783"/>
  <c r="P1783" s="1"/>
  <c r="N1783"/>
  <c r="O1782"/>
  <c r="P1782" s="1"/>
  <c r="N1782"/>
  <c r="O1781"/>
  <c r="P1781" s="1"/>
  <c r="N1781"/>
  <c r="O1780"/>
  <c r="P1780" s="1"/>
  <c r="N1780"/>
  <c r="O1779"/>
  <c r="P1779" s="1"/>
  <c r="N1779"/>
  <c r="O1778"/>
  <c r="P1778" s="1"/>
  <c r="N1778"/>
  <c r="O1777"/>
  <c r="P1777" s="1"/>
  <c r="N1777"/>
  <c r="O1776"/>
  <c r="P1776" s="1"/>
  <c r="N1776"/>
  <c r="O1775"/>
  <c r="P1775" s="1"/>
  <c r="N1775"/>
  <c r="O1774"/>
  <c r="P1774" s="1"/>
  <c r="N1774"/>
  <c r="O1773"/>
  <c r="P1773" s="1"/>
  <c r="N1773"/>
  <c r="O1772"/>
  <c r="P1772" s="1"/>
  <c r="N1772"/>
  <c r="O1771"/>
  <c r="P1771" s="1"/>
  <c r="N1771"/>
  <c r="O1770"/>
  <c r="P1770" s="1"/>
  <c r="N1770"/>
  <c r="O1769"/>
  <c r="P1769" s="1"/>
  <c r="N1769"/>
  <c r="O1768"/>
  <c r="P1768" s="1"/>
  <c r="N1768"/>
  <c r="O1767"/>
  <c r="P1767" s="1"/>
  <c r="N1767"/>
  <c r="O1766"/>
  <c r="P1766" s="1"/>
  <c r="N1766"/>
  <c r="O1765"/>
  <c r="P1765" s="1"/>
  <c r="N1765"/>
  <c r="O1764"/>
  <c r="P1764" s="1"/>
  <c r="N1764"/>
  <c r="O1763"/>
  <c r="P1763" s="1"/>
  <c r="N1763"/>
  <c r="O1762"/>
  <c r="P1762" s="1"/>
  <c r="N1762"/>
  <c r="O1761"/>
  <c r="P1761" s="1"/>
  <c r="N1761"/>
  <c r="O1760"/>
  <c r="P1760" s="1"/>
  <c r="N1760"/>
  <c r="O1759"/>
  <c r="P1759" s="1"/>
  <c r="N1759"/>
  <c r="O1758"/>
  <c r="P1758" s="1"/>
  <c r="N1758"/>
  <c r="O1757"/>
  <c r="P1757" s="1"/>
  <c r="N1757"/>
  <c r="O1756"/>
  <c r="P1756" s="1"/>
  <c r="N1756"/>
  <c r="O1755"/>
  <c r="P1755" s="1"/>
  <c r="N1755"/>
  <c r="O1754"/>
  <c r="P1754" s="1"/>
  <c r="N1754"/>
  <c r="O1753"/>
  <c r="P1753" s="1"/>
  <c r="N1753"/>
  <c r="O1752"/>
  <c r="P1752" s="1"/>
  <c r="N1752"/>
  <c r="O1751"/>
  <c r="P1751" s="1"/>
  <c r="N1751"/>
  <c r="O1750"/>
  <c r="P1750" s="1"/>
  <c r="N1750"/>
  <c r="O1749"/>
  <c r="P1749" s="1"/>
  <c r="N1749"/>
  <c r="O1748"/>
  <c r="P1748" s="1"/>
  <c r="N1748"/>
  <c r="O1747"/>
  <c r="P1747" s="1"/>
  <c r="N1747"/>
  <c r="O1746"/>
  <c r="P1746" s="1"/>
  <c r="N1746"/>
  <c r="O1745"/>
  <c r="P1745" s="1"/>
  <c r="N1745"/>
  <c r="O1744"/>
  <c r="P1744" s="1"/>
  <c r="N1744"/>
  <c r="O1743"/>
  <c r="P1743" s="1"/>
  <c r="N1743"/>
  <c r="O1742"/>
  <c r="P1742" s="1"/>
  <c r="N1742"/>
  <c r="O1741"/>
  <c r="P1741" s="1"/>
  <c r="N1741"/>
  <c r="O1740"/>
  <c r="P1740" s="1"/>
  <c r="N1740"/>
  <c r="O1739"/>
  <c r="P1739" s="1"/>
  <c r="N1739"/>
  <c r="O1738"/>
  <c r="P1738" s="1"/>
  <c r="N1738"/>
  <c r="O1737"/>
  <c r="P1737" s="1"/>
  <c r="N1737"/>
  <c r="O1736"/>
  <c r="P1736" s="1"/>
  <c r="N1736"/>
  <c r="O1735"/>
  <c r="P1735" s="1"/>
  <c r="N1735"/>
  <c r="O1734"/>
  <c r="P1734" s="1"/>
  <c r="N1734"/>
  <c r="O1733"/>
  <c r="P1733" s="1"/>
  <c r="N1733"/>
  <c r="O1732"/>
  <c r="P1732" s="1"/>
  <c r="N1732"/>
  <c r="O1731"/>
  <c r="P1731" s="1"/>
  <c r="N1731"/>
  <c r="O1730"/>
  <c r="P1730" s="1"/>
  <c r="N1730"/>
  <c r="O1729"/>
  <c r="P1729" s="1"/>
  <c r="N1729"/>
  <c r="O1728"/>
  <c r="P1728" s="1"/>
  <c r="N1728"/>
  <c r="O1727"/>
  <c r="P1727" s="1"/>
  <c r="N1727"/>
  <c r="O1726"/>
  <c r="P1726" s="1"/>
  <c r="N1726"/>
  <c r="O1725"/>
  <c r="P1725" s="1"/>
  <c r="N1725"/>
  <c r="O1724"/>
  <c r="P1724" s="1"/>
  <c r="N1724"/>
  <c r="O1723"/>
  <c r="P1723" s="1"/>
  <c r="N1723"/>
  <c r="O1722"/>
  <c r="P1722" s="1"/>
  <c r="N1722"/>
  <c r="O1721"/>
  <c r="P1721" s="1"/>
  <c r="N1721"/>
  <c r="O1720"/>
  <c r="P1720" s="1"/>
  <c r="N1720"/>
  <c r="O1719"/>
  <c r="P1719" s="1"/>
  <c r="N1719"/>
  <c r="O1718"/>
  <c r="P1718" s="1"/>
  <c r="N1718"/>
  <c r="O1717"/>
  <c r="P1717" s="1"/>
  <c r="N1717"/>
  <c r="O1716"/>
  <c r="P1716" s="1"/>
  <c r="N1716"/>
  <c r="O1715"/>
  <c r="P1715" s="1"/>
  <c r="N1715"/>
  <c r="O1714"/>
  <c r="P1714" s="1"/>
  <c r="N1714"/>
  <c r="O1713"/>
  <c r="P1713" s="1"/>
  <c r="N1713"/>
  <c r="O1712"/>
  <c r="P1712" s="1"/>
  <c r="N1712"/>
  <c r="O1711"/>
  <c r="P1711" s="1"/>
  <c r="N1711"/>
  <c r="O1710"/>
  <c r="P1710" s="1"/>
  <c r="N1710"/>
  <c r="O1709"/>
  <c r="P1709" s="1"/>
  <c r="N1709"/>
  <c r="O1708"/>
  <c r="P1708" s="1"/>
  <c r="N1708"/>
  <c r="O1707"/>
  <c r="P1707" s="1"/>
  <c r="N1707"/>
  <c r="O1706"/>
  <c r="P1706" s="1"/>
  <c r="N1706"/>
  <c r="O1705"/>
  <c r="P1705" s="1"/>
  <c r="N1705"/>
  <c r="O1704"/>
  <c r="P1704" s="1"/>
  <c r="N1704"/>
  <c r="O1703"/>
  <c r="P1703" s="1"/>
  <c r="N1703"/>
  <c r="O1702"/>
  <c r="P1702" s="1"/>
  <c r="N1702"/>
  <c r="O1701"/>
  <c r="P1701" s="1"/>
  <c r="N1701"/>
  <c r="O1700"/>
  <c r="P1700" s="1"/>
  <c r="N1700"/>
  <c r="O1699"/>
  <c r="P1699" s="1"/>
  <c r="N1699"/>
  <c r="O1698"/>
  <c r="P1698" s="1"/>
  <c r="N1698"/>
  <c r="O1697"/>
  <c r="P1697" s="1"/>
  <c r="N1697"/>
  <c r="O1696"/>
  <c r="P1696" s="1"/>
  <c r="N1696"/>
  <c r="O1695"/>
  <c r="P1695" s="1"/>
  <c r="N1695"/>
  <c r="O1694"/>
  <c r="P1694" s="1"/>
  <c r="N1694"/>
  <c r="O1693"/>
  <c r="P1693" s="1"/>
  <c r="N1693"/>
  <c r="O1692"/>
  <c r="P1692" s="1"/>
  <c r="N1692"/>
  <c r="O1691"/>
  <c r="P1691" s="1"/>
  <c r="N1691"/>
  <c r="O1690"/>
  <c r="P1690" s="1"/>
  <c r="N1690"/>
  <c r="O1689"/>
  <c r="P1689" s="1"/>
  <c r="N1689"/>
  <c r="O1688"/>
  <c r="P1688" s="1"/>
  <c r="N1688"/>
  <c r="O1687"/>
  <c r="P1687" s="1"/>
  <c r="N1687"/>
  <c r="O1686"/>
  <c r="P1686" s="1"/>
  <c r="N1686"/>
  <c r="O1685"/>
  <c r="P1685" s="1"/>
  <c r="N1685"/>
  <c r="O1684"/>
  <c r="P1684" s="1"/>
  <c r="N1684"/>
  <c r="O1683"/>
  <c r="P1683" s="1"/>
  <c r="N1683"/>
  <c r="O1682"/>
  <c r="P1682" s="1"/>
  <c r="N1682"/>
  <c r="O1681"/>
  <c r="P1681" s="1"/>
  <c r="N1681"/>
  <c r="O1680"/>
  <c r="P1680" s="1"/>
  <c r="N1680"/>
  <c r="O1679"/>
  <c r="P1679" s="1"/>
  <c r="N1679"/>
  <c r="O1678"/>
  <c r="P1678" s="1"/>
  <c r="N1678"/>
  <c r="O1677"/>
  <c r="P1677" s="1"/>
  <c r="N1677"/>
  <c r="O1676"/>
  <c r="P1676" s="1"/>
  <c r="N1676"/>
  <c r="O1675"/>
  <c r="P1675" s="1"/>
  <c r="N1675"/>
  <c r="O1674"/>
  <c r="P1674" s="1"/>
  <c r="N1674"/>
  <c r="O1673"/>
  <c r="P1673" s="1"/>
  <c r="N1673"/>
  <c r="O1672"/>
  <c r="P1672" s="1"/>
  <c r="N1672"/>
  <c r="O1671"/>
  <c r="P1671" s="1"/>
  <c r="N1671"/>
  <c r="O1670"/>
  <c r="P1670" s="1"/>
  <c r="N1670"/>
  <c r="O1669"/>
  <c r="P1669" s="1"/>
  <c r="N1669"/>
  <c r="O1668"/>
  <c r="P1668" s="1"/>
  <c r="N1668"/>
  <c r="O1667"/>
  <c r="P1667" s="1"/>
  <c r="N1667"/>
  <c r="O1666"/>
  <c r="P1666" s="1"/>
  <c r="N1666"/>
  <c r="O1665"/>
  <c r="P1665" s="1"/>
  <c r="N1665"/>
  <c r="O1664"/>
  <c r="P1664" s="1"/>
  <c r="N1664"/>
  <c r="O1663"/>
  <c r="P1663" s="1"/>
  <c r="N1663"/>
  <c r="O1662"/>
  <c r="P1662" s="1"/>
  <c r="N1662"/>
  <c r="O1661"/>
  <c r="P1661" s="1"/>
  <c r="N1661"/>
  <c r="O1660"/>
  <c r="P1660" s="1"/>
  <c r="N1660"/>
  <c r="O1659"/>
  <c r="P1659" s="1"/>
  <c r="N1659"/>
  <c r="O1658"/>
  <c r="P1658" s="1"/>
  <c r="N1658"/>
  <c r="O1657"/>
  <c r="P1657" s="1"/>
  <c r="N1657"/>
  <c r="O1656"/>
  <c r="P1656" s="1"/>
  <c r="N1656"/>
  <c r="O1655"/>
  <c r="P1655" s="1"/>
  <c r="N1655"/>
  <c r="O1654"/>
  <c r="P1654" s="1"/>
  <c r="N1654"/>
  <c r="O1653"/>
  <c r="P1653" s="1"/>
  <c r="N1653"/>
  <c r="O1652"/>
  <c r="P1652" s="1"/>
  <c r="N1652"/>
  <c r="O1651"/>
  <c r="P1651" s="1"/>
  <c r="N1651"/>
  <c r="O1650"/>
  <c r="P1650" s="1"/>
  <c r="N1650"/>
  <c r="O1649"/>
  <c r="P1649" s="1"/>
  <c r="N1649"/>
  <c r="O1648"/>
  <c r="P1648" s="1"/>
  <c r="N1648"/>
  <c r="O1647"/>
  <c r="P1647" s="1"/>
  <c r="N1647"/>
  <c r="O1646"/>
  <c r="P1646" s="1"/>
  <c r="N1646"/>
  <c r="O1645"/>
  <c r="P1645" s="1"/>
  <c r="N1645"/>
  <c r="O1644"/>
  <c r="P1644" s="1"/>
  <c r="N1644"/>
  <c r="O1643"/>
  <c r="P1643" s="1"/>
  <c r="N1643"/>
  <c r="O1642"/>
  <c r="P1642" s="1"/>
  <c r="N1642"/>
  <c r="O1641"/>
  <c r="P1641" s="1"/>
  <c r="N1641"/>
  <c r="O1640"/>
  <c r="P1640" s="1"/>
  <c r="N1640"/>
  <c r="O1639"/>
  <c r="P1639" s="1"/>
  <c r="N1639"/>
  <c r="O1638"/>
  <c r="P1638" s="1"/>
  <c r="N1638"/>
  <c r="O1637"/>
  <c r="P1637" s="1"/>
  <c r="N1637"/>
  <c r="O1636"/>
  <c r="P1636" s="1"/>
  <c r="N1636"/>
  <c r="O1635"/>
  <c r="P1635" s="1"/>
  <c r="N1635"/>
  <c r="O1634"/>
  <c r="P1634" s="1"/>
  <c r="N1634"/>
  <c r="O1633"/>
  <c r="P1633" s="1"/>
  <c r="N1633"/>
  <c r="O1632"/>
  <c r="P1632" s="1"/>
  <c r="N1632"/>
  <c r="O1631"/>
  <c r="P1631" s="1"/>
  <c r="N1631"/>
  <c r="O1630"/>
  <c r="P1630" s="1"/>
  <c r="N1630"/>
  <c r="O1629"/>
  <c r="P1629" s="1"/>
  <c r="N1629"/>
  <c r="O1628"/>
  <c r="P1628" s="1"/>
  <c r="N1628"/>
  <c r="O1627"/>
  <c r="P1627" s="1"/>
  <c r="N1627"/>
  <c r="O1626"/>
  <c r="P1626" s="1"/>
  <c r="N1626"/>
  <c r="O1625"/>
  <c r="P1625" s="1"/>
  <c r="N1625"/>
  <c r="O1624"/>
  <c r="P1624" s="1"/>
  <c r="N1624"/>
  <c r="O1623"/>
  <c r="P1623" s="1"/>
  <c r="N1623"/>
  <c r="O1622"/>
  <c r="P1622" s="1"/>
  <c r="N1622"/>
  <c r="O1621"/>
  <c r="P1621" s="1"/>
  <c r="N1621"/>
  <c r="O1620"/>
  <c r="P1620" s="1"/>
  <c r="N1620"/>
  <c r="O1619"/>
  <c r="P1619" s="1"/>
  <c r="N1619"/>
  <c r="O1618"/>
  <c r="P1618" s="1"/>
  <c r="N1618"/>
  <c r="O1617"/>
  <c r="P1617" s="1"/>
  <c r="N1617"/>
  <c r="O1616"/>
  <c r="P1616" s="1"/>
  <c r="N1616"/>
  <c r="O1615"/>
  <c r="P1615" s="1"/>
  <c r="N1615"/>
  <c r="O1614"/>
  <c r="P1614" s="1"/>
  <c r="N1614"/>
  <c r="O1613"/>
  <c r="P1613" s="1"/>
  <c r="N1613"/>
  <c r="O1612"/>
  <c r="P1612" s="1"/>
  <c r="N1612"/>
  <c r="O1611"/>
  <c r="P1611" s="1"/>
  <c r="N1611"/>
  <c r="O1610"/>
  <c r="P1610" s="1"/>
  <c r="N1610"/>
  <c r="O1609"/>
  <c r="P1609" s="1"/>
  <c r="N1609"/>
  <c r="O1608"/>
  <c r="P1608" s="1"/>
  <c r="N1608"/>
  <c r="O1607"/>
  <c r="P1607" s="1"/>
  <c r="N1607"/>
  <c r="O1606"/>
  <c r="P1606" s="1"/>
  <c r="N1606"/>
  <c r="O1605"/>
  <c r="P1605" s="1"/>
  <c r="N1605"/>
  <c r="O1604"/>
  <c r="P1604" s="1"/>
  <c r="N1604"/>
  <c r="O1603"/>
  <c r="P1603" s="1"/>
  <c r="N1603"/>
  <c r="O1602"/>
  <c r="P1602" s="1"/>
  <c r="N1602"/>
  <c r="O1601"/>
  <c r="P1601" s="1"/>
  <c r="N1601"/>
  <c r="O1600"/>
  <c r="P1600" s="1"/>
  <c r="N1600"/>
  <c r="O1599"/>
  <c r="P1599" s="1"/>
  <c r="N1599"/>
  <c r="O1598"/>
  <c r="P1598" s="1"/>
  <c r="N1598"/>
  <c r="O1597"/>
  <c r="P1597" s="1"/>
  <c r="N1597"/>
  <c r="O1596"/>
  <c r="P1596" s="1"/>
  <c r="N1596"/>
  <c r="O1595"/>
  <c r="P1595" s="1"/>
  <c r="N1595"/>
  <c r="O1594"/>
  <c r="P1594" s="1"/>
  <c r="N1594"/>
  <c r="O1593"/>
  <c r="P1593" s="1"/>
  <c r="N1593"/>
  <c r="O1592"/>
  <c r="P1592" s="1"/>
  <c r="N1592"/>
  <c r="O1591"/>
  <c r="P1591" s="1"/>
  <c r="N1591"/>
  <c r="O1590"/>
  <c r="P1590" s="1"/>
  <c r="N1590"/>
  <c r="O1589"/>
  <c r="P1589" s="1"/>
  <c r="N1589"/>
  <c r="O1588"/>
  <c r="P1588" s="1"/>
  <c r="N1588"/>
  <c r="O1587"/>
  <c r="P1587" s="1"/>
  <c r="N1587"/>
  <c r="O1586"/>
  <c r="P1586" s="1"/>
  <c r="N1586"/>
  <c r="O1585"/>
  <c r="P1585" s="1"/>
  <c r="N1585"/>
  <c r="O1584"/>
  <c r="P1584" s="1"/>
  <c r="N1584"/>
  <c r="O1583"/>
  <c r="P1583" s="1"/>
  <c r="N1583"/>
  <c r="O1582"/>
  <c r="P1582" s="1"/>
  <c r="N1582"/>
  <c r="O1581"/>
  <c r="P1581" s="1"/>
  <c r="N1581"/>
  <c r="O1580"/>
  <c r="P1580" s="1"/>
  <c r="N1580"/>
  <c r="O1579"/>
  <c r="P1579" s="1"/>
  <c r="N1579"/>
  <c r="O1578"/>
  <c r="P1578" s="1"/>
  <c r="N1578"/>
  <c r="O1577"/>
  <c r="P1577" s="1"/>
  <c r="N1577"/>
  <c r="O1576"/>
  <c r="P1576" s="1"/>
  <c r="N1576"/>
  <c r="O1575"/>
  <c r="P1575" s="1"/>
  <c r="N1575"/>
  <c r="O1574"/>
  <c r="P1574" s="1"/>
  <c r="N1574"/>
  <c r="O1573"/>
  <c r="P1573" s="1"/>
  <c r="N1573"/>
  <c r="O1572"/>
  <c r="P1572" s="1"/>
  <c r="N1572"/>
  <c r="O1571"/>
  <c r="P1571" s="1"/>
  <c r="N1571"/>
  <c r="O1570"/>
  <c r="P1570" s="1"/>
  <c r="N1570"/>
  <c r="O1569"/>
  <c r="P1569" s="1"/>
  <c r="N1569"/>
  <c r="O1568"/>
  <c r="P1568" s="1"/>
  <c r="N1568"/>
  <c r="O1567"/>
  <c r="P1567" s="1"/>
  <c r="N1567"/>
  <c r="O1566"/>
  <c r="P1566" s="1"/>
  <c r="N1566"/>
  <c r="O1565"/>
  <c r="P1565" s="1"/>
  <c r="N1565"/>
  <c r="O1564"/>
  <c r="P1564" s="1"/>
  <c r="N1564"/>
  <c r="O1563"/>
  <c r="P1563" s="1"/>
  <c r="N1563"/>
  <c r="O1562"/>
  <c r="P1562" s="1"/>
  <c r="N1562"/>
  <c r="O1561"/>
  <c r="P1561" s="1"/>
  <c r="N1561"/>
  <c r="O1560"/>
  <c r="P1560" s="1"/>
  <c r="N1560"/>
  <c r="O1559"/>
  <c r="P1559" s="1"/>
  <c r="N1559"/>
  <c r="O1558"/>
  <c r="P1558" s="1"/>
  <c r="N1558"/>
  <c r="O1557"/>
  <c r="P1557" s="1"/>
  <c r="N1557"/>
  <c r="O1556"/>
  <c r="P1556" s="1"/>
  <c r="N1556"/>
  <c r="O1555"/>
  <c r="P1555" s="1"/>
  <c r="N1555"/>
  <c r="O1554"/>
  <c r="P1554" s="1"/>
  <c r="N1554"/>
  <c r="O1553"/>
  <c r="P1553" s="1"/>
  <c r="N1553"/>
  <c r="O1552"/>
  <c r="P1552" s="1"/>
  <c r="N1552"/>
  <c r="O1551"/>
  <c r="P1551" s="1"/>
  <c r="N1551"/>
  <c r="O1550"/>
  <c r="P1550" s="1"/>
  <c r="N1550"/>
  <c r="O1549"/>
  <c r="P1549" s="1"/>
  <c r="N1549"/>
  <c r="O1548"/>
  <c r="P1548" s="1"/>
  <c r="N1548"/>
  <c r="O1547"/>
  <c r="P1547" s="1"/>
  <c r="N1547"/>
  <c r="O1546"/>
  <c r="P1546" s="1"/>
  <c r="N1546"/>
  <c r="O1545"/>
  <c r="P1545" s="1"/>
  <c r="N1545"/>
  <c r="O1544"/>
  <c r="P1544" s="1"/>
  <c r="N1544"/>
  <c r="O1543"/>
  <c r="P1543" s="1"/>
  <c r="N1543"/>
  <c r="O1542"/>
  <c r="P1542" s="1"/>
  <c r="N1542"/>
  <c r="O1541"/>
  <c r="P1541" s="1"/>
  <c r="N1541"/>
  <c r="O1540"/>
  <c r="P1540" s="1"/>
  <c r="N1540"/>
  <c r="O1539"/>
  <c r="P1539" s="1"/>
  <c r="N1539"/>
  <c r="O1538"/>
  <c r="P1538" s="1"/>
  <c r="N1538"/>
  <c r="O1537"/>
  <c r="P1537" s="1"/>
  <c r="N1537"/>
  <c r="O1536"/>
  <c r="P1536" s="1"/>
  <c r="N1536"/>
  <c r="O1535"/>
  <c r="P1535" s="1"/>
  <c r="N1535"/>
  <c r="O1534"/>
  <c r="P1534" s="1"/>
  <c r="N1534"/>
  <c r="O1533"/>
  <c r="P1533" s="1"/>
  <c r="N1533"/>
  <c r="O1532"/>
  <c r="P1532" s="1"/>
  <c r="N1532"/>
  <c r="O1531"/>
  <c r="P1531" s="1"/>
  <c r="N1531"/>
  <c r="O1530"/>
  <c r="P1530" s="1"/>
  <c r="N1530"/>
  <c r="O1529"/>
  <c r="P1529" s="1"/>
  <c r="N1529"/>
  <c r="O1528"/>
  <c r="P1528" s="1"/>
  <c r="N1528"/>
  <c r="O1527"/>
  <c r="P1527" s="1"/>
  <c r="N1527"/>
  <c r="O1526"/>
  <c r="P1526" s="1"/>
  <c r="N1526"/>
  <c r="O1525"/>
  <c r="P1525" s="1"/>
  <c r="N1525"/>
  <c r="O1524"/>
  <c r="P1524" s="1"/>
  <c r="N1524"/>
  <c r="O1523"/>
  <c r="P1523" s="1"/>
  <c r="N1523"/>
  <c r="O1522"/>
  <c r="P1522" s="1"/>
  <c r="N1522"/>
  <c r="O1521"/>
  <c r="P1521" s="1"/>
  <c r="N1521"/>
  <c r="O1520"/>
  <c r="P1520" s="1"/>
  <c r="N1520"/>
  <c r="O1519"/>
  <c r="P1519" s="1"/>
  <c r="N1519"/>
  <c r="O1518"/>
  <c r="P1518" s="1"/>
  <c r="N1518"/>
  <c r="O1517"/>
  <c r="P1517" s="1"/>
  <c r="N1517"/>
  <c r="O1516"/>
  <c r="P1516" s="1"/>
  <c r="N1516"/>
  <c r="O1515"/>
  <c r="P1515" s="1"/>
  <c r="N1515"/>
  <c r="O1514"/>
  <c r="P1514" s="1"/>
  <c r="N1514"/>
  <c r="O1513"/>
  <c r="P1513" s="1"/>
  <c r="N1513"/>
  <c r="O1512"/>
  <c r="P1512" s="1"/>
  <c r="N1512"/>
  <c r="O1511"/>
  <c r="P1511" s="1"/>
  <c r="N1511"/>
  <c r="O1510"/>
  <c r="P1510" s="1"/>
  <c r="N1510"/>
  <c r="O1509"/>
  <c r="P1509" s="1"/>
  <c r="N1509"/>
  <c r="O1508"/>
  <c r="P1508" s="1"/>
  <c r="N1508"/>
  <c r="O1507"/>
  <c r="P1507" s="1"/>
  <c r="N1507"/>
  <c r="O1506"/>
  <c r="P1506" s="1"/>
  <c r="N1506"/>
  <c r="O1505"/>
  <c r="P1505" s="1"/>
  <c r="N1505"/>
  <c r="O1504"/>
  <c r="P1504" s="1"/>
  <c r="N1504"/>
  <c r="O1503"/>
  <c r="P1503" s="1"/>
  <c r="N1503"/>
  <c r="O1502"/>
  <c r="P1502" s="1"/>
  <c r="N1502"/>
  <c r="O1501"/>
  <c r="P1501" s="1"/>
  <c r="N1501"/>
  <c r="O1500"/>
  <c r="P1500" s="1"/>
  <c r="N1500"/>
  <c r="O1499"/>
  <c r="P1499" s="1"/>
  <c r="N1499"/>
  <c r="O1498"/>
  <c r="P1498" s="1"/>
  <c r="N1498"/>
  <c r="O1497"/>
  <c r="P1497" s="1"/>
  <c r="N1497"/>
  <c r="O1496"/>
  <c r="P1496" s="1"/>
  <c r="N1496"/>
  <c r="O1495"/>
  <c r="P1495" s="1"/>
  <c r="N1495"/>
  <c r="O1494"/>
  <c r="P1494" s="1"/>
  <c r="N1494"/>
  <c r="O1493"/>
  <c r="P1493" s="1"/>
  <c r="O1492"/>
  <c r="P1492" s="1"/>
  <c r="N1492"/>
  <c r="O1491"/>
  <c r="P1491" s="1"/>
  <c r="N1491"/>
  <c r="O1490"/>
  <c r="P1490" s="1"/>
  <c r="N1490"/>
  <c r="O1489"/>
  <c r="P1489" s="1"/>
  <c r="N1489"/>
  <c r="O1488"/>
  <c r="P1488" s="1"/>
  <c r="N1488"/>
  <c r="O1487"/>
  <c r="P1487" s="1"/>
  <c r="N1487"/>
  <c r="O1486"/>
  <c r="P1486" s="1"/>
  <c r="N1486"/>
  <c r="O1485"/>
  <c r="P1485" s="1"/>
  <c r="N1485"/>
  <c r="O1484"/>
  <c r="P1484" s="1"/>
  <c r="N1484"/>
  <c r="O1483"/>
  <c r="P1483" s="1"/>
  <c r="N1483"/>
  <c r="O1482"/>
  <c r="P1482" s="1"/>
  <c r="N1482"/>
  <c r="O1481"/>
  <c r="P1481" s="1"/>
  <c r="N1481"/>
  <c r="O1480"/>
  <c r="P1480" s="1"/>
  <c r="N1480"/>
  <c r="O1479"/>
  <c r="P1479" s="1"/>
  <c r="N1479"/>
  <c r="O1478"/>
  <c r="P1478" s="1"/>
  <c r="N1478"/>
  <c r="O1477"/>
  <c r="P1477" s="1"/>
  <c r="N1477"/>
  <c r="O1476"/>
  <c r="P1476" s="1"/>
  <c r="N1476"/>
  <c r="O1475"/>
  <c r="P1475" s="1"/>
  <c r="N1475"/>
  <c r="O1474"/>
  <c r="P1474" s="1"/>
  <c r="N1474"/>
  <c r="O1473"/>
  <c r="P1473" s="1"/>
  <c r="N1473"/>
  <c r="O1472"/>
  <c r="P1472" s="1"/>
  <c r="N1472"/>
  <c r="O1471"/>
  <c r="P1471" s="1"/>
  <c r="O1470"/>
  <c r="P1470" s="1"/>
  <c r="N1470"/>
  <c r="O1469"/>
  <c r="P1469" s="1"/>
  <c r="N1469"/>
  <c r="O1468"/>
  <c r="P1468" s="1"/>
  <c r="N1468"/>
  <c r="O1467"/>
  <c r="P1467" s="1"/>
  <c r="N1467"/>
  <c r="O1466"/>
  <c r="P1466" s="1"/>
  <c r="N1466"/>
  <c r="O1465"/>
  <c r="P1465" s="1"/>
  <c r="N1465"/>
  <c r="O1464"/>
  <c r="P1464" s="1"/>
  <c r="N1464"/>
  <c r="O1463"/>
  <c r="P1463" s="1"/>
  <c r="N1463"/>
  <c r="O1462"/>
  <c r="P1462" s="1"/>
  <c r="N1462"/>
  <c r="O1461"/>
  <c r="P1461" s="1"/>
  <c r="N1461"/>
  <c r="O1460"/>
  <c r="P1460" s="1"/>
  <c r="N1460"/>
  <c r="O1459"/>
  <c r="P1459" s="1"/>
  <c r="N1459"/>
  <c r="O1458"/>
  <c r="P1458" s="1"/>
  <c r="N1458"/>
  <c r="O1457"/>
  <c r="P1457" s="1"/>
  <c r="N1457"/>
  <c r="O1456"/>
  <c r="P1456" s="1"/>
  <c r="N1456"/>
  <c r="O1455"/>
  <c r="P1455" s="1"/>
  <c r="N1455"/>
  <c r="O1454"/>
  <c r="P1454" s="1"/>
  <c r="N1454"/>
  <c r="O1453"/>
  <c r="P1453" s="1"/>
  <c r="N1453"/>
  <c r="O1452"/>
  <c r="P1452" s="1"/>
  <c r="N1452"/>
  <c r="O1451"/>
  <c r="P1451" s="1"/>
  <c r="N1451"/>
  <c r="O1450"/>
  <c r="P1450" s="1"/>
  <c r="N1450"/>
  <c r="O1449"/>
  <c r="P1449" s="1"/>
  <c r="N1449"/>
  <c r="O1448"/>
  <c r="P1448" s="1"/>
  <c r="N1448"/>
  <c r="O1447"/>
  <c r="P1447" s="1"/>
  <c r="N1447"/>
  <c r="O1446"/>
  <c r="P1446" s="1"/>
  <c r="N1446"/>
  <c r="O1445"/>
  <c r="P1445" s="1"/>
  <c r="N1445"/>
  <c r="O1444"/>
  <c r="P1444" s="1"/>
  <c r="N1444"/>
  <c r="O1443"/>
  <c r="P1443" s="1"/>
  <c r="N1443"/>
  <c r="O1442"/>
  <c r="P1442" s="1"/>
  <c r="N1442"/>
  <c r="O1441"/>
  <c r="P1441" s="1"/>
  <c r="N1441"/>
  <c r="O1440"/>
  <c r="P1440" s="1"/>
  <c r="N1440"/>
  <c r="O1439"/>
  <c r="P1439" s="1"/>
  <c r="N1439"/>
  <c r="O1438"/>
  <c r="P1438" s="1"/>
  <c r="N1438"/>
  <c r="O1437"/>
  <c r="P1437" s="1"/>
  <c r="N1437"/>
  <c r="O1436"/>
  <c r="P1436" s="1"/>
  <c r="N1436"/>
  <c r="O1435"/>
  <c r="P1435" s="1"/>
  <c r="N1435"/>
  <c r="O1434"/>
  <c r="P1434" s="1"/>
  <c r="N1434"/>
  <c r="O1433"/>
  <c r="P1433" s="1"/>
  <c r="N1433"/>
  <c r="O1432"/>
  <c r="P1432" s="1"/>
  <c r="N1432"/>
  <c r="O1431"/>
  <c r="P1431" s="1"/>
  <c r="N1431"/>
  <c r="O1430"/>
  <c r="P1430" s="1"/>
  <c r="N1430"/>
  <c r="O1429"/>
  <c r="P1429" s="1"/>
  <c r="N1429"/>
  <c r="O1428"/>
  <c r="P1428" s="1"/>
  <c r="N1428"/>
  <c r="O1427"/>
  <c r="P1427" s="1"/>
  <c r="N1427"/>
  <c r="O1426"/>
  <c r="P1426" s="1"/>
  <c r="N1426"/>
  <c r="O1425"/>
  <c r="P1425" s="1"/>
  <c r="N1425"/>
  <c r="O1424"/>
  <c r="P1424" s="1"/>
  <c r="N1424"/>
  <c r="O1423"/>
  <c r="P1423" s="1"/>
  <c r="N1423"/>
  <c r="O1422"/>
  <c r="P1422" s="1"/>
  <c r="N1422"/>
  <c r="O1421"/>
  <c r="P1421" s="1"/>
  <c r="N1421"/>
  <c r="O1420"/>
  <c r="P1420" s="1"/>
  <c r="N1420"/>
  <c r="O1419"/>
  <c r="P1419" s="1"/>
  <c r="N1419"/>
  <c r="O1418"/>
  <c r="P1418" s="1"/>
  <c r="N1418"/>
  <c r="O1417"/>
  <c r="P1417" s="1"/>
  <c r="N1417"/>
  <c r="O1416"/>
  <c r="P1416" s="1"/>
  <c r="N1416"/>
  <c r="O1415"/>
  <c r="P1415" s="1"/>
  <c r="N1415"/>
  <c r="O1414"/>
  <c r="P1414" s="1"/>
  <c r="N1414"/>
  <c r="O1413"/>
  <c r="P1413" s="1"/>
  <c r="N1413"/>
  <c r="O1412"/>
  <c r="P1412" s="1"/>
  <c r="N1412"/>
  <c r="O1411"/>
  <c r="P1411" s="1"/>
  <c r="N1411"/>
  <c r="O1410"/>
  <c r="P1410" s="1"/>
  <c r="N1410"/>
  <c r="O1409"/>
  <c r="P1409" s="1"/>
  <c r="N1409"/>
  <c r="O1408"/>
  <c r="P1408" s="1"/>
  <c r="N1408"/>
  <c r="O1407"/>
  <c r="P1407" s="1"/>
  <c r="N1407"/>
  <c r="O1406"/>
  <c r="P1406" s="1"/>
  <c r="N1406"/>
  <c r="O1405"/>
  <c r="P1405" s="1"/>
  <c r="N1405"/>
  <c r="O1404"/>
  <c r="P1404" s="1"/>
  <c r="N1404"/>
  <c r="O1403"/>
  <c r="P1403" s="1"/>
  <c r="N1403"/>
  <c r="O1402"/>
  <c r="P1402" s="1"/>
  <c r="N1402"/>
  <c r="O1401"/>
  <c r="P1401" s="1"/>
  <c r="N1401"/>
  <c r="O1400"/>
  <c r="P1400" s="1"/>
  <c r="N1400"/>
  <c r="O1399"/>
  <c r="P1399" s="1"/>
  <c r="N1399"/>
  <c r="O1398"/>
  <c r="P1398" s="1"/>
  <c r="N1398"/>
  <c r="O1397"/>
  <c r="P1397" s="1"/>
  <c r="N1397"/>
  <c r="O1396"/>
  <c r="P1396" s="1"/>
  <c r="N1396"/>
  <c r="O1395"/>
  <c r="P1395" s="1"/>
  <c r="N1395"/>
  <c r="O1394"/>
  <c r="P1394" s="1"/>
  <c r="N1394"/>
  <c r="O1393"/>
  <c r="P1393" s="1"/>
  <c r="N1393"/>
  <c r="O1392"/>
  <c r="P1392" s="1"/>
  <c r="N1392"/>
  <c r="O1391"/>
  <c r="P1391" s="1"/>
  <c r="N1391"/>
  <c r="O1390"/>
  <c r="P1390" s="1"/>
  <c r="N1390"/>
  <c r="O1389"/>
  <c r="P1389" s="1"/>
  <c r="N1389"/>
  <c r="O1388"/>
  <c r="P1388" s="1"/>
  <c r="N1388"/>
  <c r="O1387"/>
  <c r="P1387" s="1"/>
  <c r="N1387"/>
  <c r="O1386"/>
  <c r="P1386" s="1"/>
  <c r="N1386"/>
  <c r="O1385"/>
  <c r="P1385" s="1"/>
  <c r="N1385"/>
  <c r="O1384"/>
  <c r="P1384" s="1"/>
  <c r="N1384"/>
  <c r="O1383"/>
  <c r="P1383" s="1"/>
  <c r="N1383"/>
  <c r="O1382"/>
  <c r="P1382" s="1"/>
  <c r="N1382"/>
  <c r="O1381"/>
  <c r="P1381" s="1"/>
  <c r="N1381"/>
  <c r="O1380"/>
  <c r="P1380" s="1"/>
  <c r="N1380"/>
  <c r="O1379"/>
  <c r="P1379" s="1"/>
  <c r="N1379"/>
  <c r="O1378"/>
  <c r="P1378" s="1"/>
  <c r="N1378"/>
  <c r="O1377"/>
  <c r="P1377" s="1"/>
  <c r="N1377"/>
  <c r="O1376"/>
  <c r="P1376" s="1"/>
  <c r="N1376"/>
  <c r="O1375"/>
  <c r="P1375" s="1"/>
  <c r="N1375"/>
  <c r="O1374"/>
  <c r="P1374" s="1"/>
  <c r="N1374"/>
  <c r="O1373"/>
  <c r="P1373" s="1"/>
  <c r="N1373"/>
  <c r="O1372"/>
  <c r="P1372" s="1"/>
  <c r="N1372"/>
  <c r="O1371"/>
  <c r="P1371" s="1"/>
  <c r="N1371"/>
  <c r="O1370"/>
  <c r="P1370" s="1"/>
  <c r="N1370"/>
  <c r="O1369"/>
  <c r="P1369" s="1"/>
  <c r="N1369"/>
  <c r="O1368"/>
  <c r="P1368" s="1"/>
  <c r="N1368"/>
  <c r="O1367"/>
  <c r="P1367" s="1"/>
  <c r="N1367"/>
  <c r="O1366"/>
  <c r="P1366" s="1"/>
  <c r="N1366"/>
  <c r="O1365"/>
  <c r="P1365" s="1"/>
  <c r="N1365"/>
  <c r="O1364"/>
  <c r="P1364" s="1"/>
  <c r="N1364"/>
  <c r="O1363"/>
  <c r="P1363" s="1"/>
  <c r="N1363"/>
  <c r="O1362"/>
  <c r="P1362" s="1"/>
  <c r="N1362"/>
  <c r="O1361"/>
  <c r="P1361" s="1"/>
  <c r="N1361"/>
  <c r="O1360"/>
  <c r="P1360" s="1"/>
  <c r="N1360"/>
  <c r="O1359"/>
  <c r="P1359" s="1"/>
  <c r="N1359"/>
  <c r="O1358"/>
  <c r="P1358" s="1"/>
  <c r="N1358"/>
  <c r="O1357"/>
  <c r="P1357" s="1"/>
  <c r="N1357"/>
  <c r="O1356"/>
  <c r="P1356" s="1"/>
  <c r="N1356"/>
  <c r="O1355"/>
  <c r="P1355" s="1"/>
  <c r="N1355"/>
  <c r="O1354"/>
  <c r="P1354" s="1"/>
  <c r="N1354"/>
  <c r="O1353"/>
  <c r="P1353" s="1"/>
  <c r="N1353"/>
  <c r="O1352"/>
  <c r="P1352" s="1"/>
  <c r="N1352"/>
  <c r="O1351"/>
  <c r="P1351" s="1"/>
  <c r="N1351"/>
  <c r="O1350"/>
  <c r="P1350" s="1"/>
  <c r="N1350"/>
  <c r="O1349"/>
  <c r="P1349" s="1"/>
  <c r="N1349"/>
  <c r="O1348"/>
  <c r="P1348" s="1"/>
  <c r="N1348"/>
  <c r="O1347"/>
  <c r="P1347" s="1"/>
  <c r="N1347"/>
  <c r="O1346"/>
  <c r="P1346" s="1"/>
  <c r="N1346"/>
  <c r="O1345"/>
  <c r="P1345" s="1"/>
  <c r="N1345"/>
  <c r="O1344"/>
  <c r="P1344" s="1"/>
  <c r="N1344"/>
  <c r="O1343"/>
  <c r="P1343" s="1"/>
  <c r="N1343"/>
  <c r="O1342"/>
  <c r="P1342" s="1"/>
  <c r="N1342"/>
  <c r="O1341"/>
  <c r="P1341" s="1"/>
  <c r="N1341"/>
  <c r="O1340"/>
  <c r="P1340" s="1"/>
  <c r="N1340"/>
  <c r="O1339"/>
  <c r="P1339" s="1"/>
  <c r="N1339"/>
  <c r="O1338"/>
  <c r="P1338" s="1"/>
  <c r="N1338"/>
  <c r="O1337"/>
  <c r="P1337" s="1"/>
  <c r="N1337"/>
  <c r="O1336"/>
  <c r="P1336" s="1"/>
  <c r="N1336"/>
  <c r="O1335"/>
  <c r="P1335" s="1"/>
  <c r="N1335"/>
  <c r="O1334"/>
  <c r="P1334" s="1"/>
  <c r="N1334"/>
  <c r="O1333"/>
  <c r="P1333" s="1"/>
  <c r="N1333"/>
  <c r="O1332"/>
  <c r="P1332" s="1"/>
  <c r="N1332"/>
  <c r="O1331"/>
  <c r="P1331" s="1"/>
  <c r="N1331"/>
  <c r="O1330"/>
  <c r="P1330" s="1"/>
  <c r="N1330"/>
  <c r="O1329"/>
  <c r="P1329" s="1"/>
  <c r="N1329"/>
  <c r="O1328"/>
  <c r="P1328" s="1"/>
  <c r="N1328"/>
  <c r="O1327"/>
  <c r="P1327" s="1"/>
  <c r="N1327"/>
  <c r="O1326"/>
  <c r="P1326" s="1"/>
  <c r="N1326"/>
  <c r="O1325"/>
  <c r="P1325" s="1"/>
  <c r="N1325"/>
  <c r="O1324"/>
  <c r="P1324" s="1"/>
  <c r="N1324"/>
  <c r="O1323"/>
  <c r="P1323" s="1"/>
  <c r="N1323"/>
  <c r="O1322"/>
  <c r="P1322" s="1"/>
  <c r="N1322"/>
  <c r="O1321"/>
  <c r="P1321" s="1"/>
  <c r="N1321"/>
  <c r="O1320"/>
  <c r="P1320" s="1"/>
  <c r="N1320"/>
  <c r="O1319"/>
  <c r="P1319" s="1"/>
  <c r="N1319"/>
  <c r="O1318"/>
  <c r="P1318" s="1"/>
  <c r="N1318"/>
  <c r="O1317"/>
  <c r="P1317" s="1"/>
  <c r="N1317"/>
  <c r="O1316"/>
  <c r="P1316" s="1"/>
  <c r="N1316"/>
  <c r="O1315"/>
  <c r="P1315" s="1"/>
  <c r="N1315"/>
  <c r="O1314"/>
  <c r="P1314" s="1"/>
  <c r="N1314"/>
  <c r="O1313"/>
  <c r="P1313" s="1"/>
  <c r="N1313"/>
  <c r="O1312"/>
  <c r="P1312" s="1"/>
  <c r="N1312"/>
  <c r="O1311"/>
  <c r="P1311" s="1"/>
  <c r="N1311"/>
  <c r="O1310"/>
  <c r="P1310" s="1"/>
  <c r="N1310"/>
  <c r="O1309"/>
  <c r="P1309" s="1"/>
  <c r="N1309"/>
  <c r="O1308"/>
  <c r="P1308" s="1"/>
  <c r="N1308"/>
  <c r="O1307"/>
  <c r="P1307" s="1"/>
  <c r="N1307"/>
  <c r="O1306"/>
  <c r="P1306" s="1"/>
  <c r="N1306"/>
  <c r="O1305"/>
  <c r="P1305" s="1"/>
  <c r="N1305"/>
  <c r="O1304"/>
  <c r="P1304" s="1"/>
  <c r="N1304"/>
  <c r="O1303"/>
  <c r="P1303" s="1"/>
  <c r="N1303"/>
  <c r="O1302"/>
  <c r="P1302" s="1"/>
  <c r="N1302"/>
  <c r="O1301"/>
  <c r="P1301" s="1"/>
  <c r="N1301"/>
  <c r="O1300"/>
  <c r="P1300" s="1"/>
  <c r="N1300"/>
  <c r="O1299"/>
  <c r="P1299" s="1"/>
  <c r="N1299"/>
  <c r="O1298"/>
  <c r="P1298" s="1"/>
  <c r="N1298"/>
  <c r="O1297"/>
  <c r="P1297" s="1"/>
  <c r="N1297"/>
  <c r="O1296"/>
  <c r="P1296" s="1"/>
  <c r="N1296"/>
  <c r="O1295"/>
  <c r="P1295" s="1"/>
  <c r="N1295"/>
  <c r="O1294"/>
  <c r="P1294" s="1"/>
  <c r="N1294"/>
  <c r="O1293"/>
  <c r="P1293" s="1"/>
  <c r="N1293"/>
  <c r="O1292"/>
  <c r="P1292" s="1"/>
  <c r="N1292"/>
  <c r="O1291"/>
  <c r="P1291" s="1"/>
  <c r="N1291"/>
  <c r="O1290"/>
  <c r="P1290" s="1"/>
  <c r="N1290"/>
  <c r="O1289"/>
  <c r="P1289" s="1"/>
  <c r="N1289"/>
  <c r="O1288"/>
  <c r="P1288" s="1"/>
  <c r="N1288"/>
  <c r="O1287"/>
  <c r="P1287" s="1"/>
  <c r="N1287"/>
  <c r="O1286"/>
  <c r="P1286" s="1"/>
  <c r="N1286"/>
  <c r="O1285"/>
  <c r="P1285" s="1"/>
  <c r="N1285"/>
  <c r="O1284"/>
  <c r="P1284" s="1"/>
  <c r="N1284"/>
  <c r="O1283"/>
  <c r="P1283" s="1"/>
  <c r="N1283"/>
  <c r="O1282"/>
  <c r="P1282" s="1"/>
  <c r="N1282"/>
  <c r="O1281"/>
  <c r="P1281" s="1"/>
  <c r="N1281"/>
  <c r="O1280"/>
  <c r="P1280" s="1"/>
  <c r="N1280"/>
  <c r="O1279"/>
  <c r="P1279" s="1"/>
  <c r="N1279"/>
  <c r="O1278"/>
  <c r="P1278" s="1"/>
  <c r="N1278"/>
  <c r="O1277"/>
  <c r="P1277" s="1"/>
  <c r="N1277"/>
  <c r="O1276"/>
  <c r="P1276" s="1"/>
  <c r="N1276"/>
  <c r="O1275"/>
  <c r="P1275" s="1"/>
  <c r="N1275"/>
  <c r="O1274"/>
  <c r="P1274" s="1"/>
  <c r="N1274"/>
  <c r="O1273"/>
  <c r="P1273" s="1"/>
  <c r="N1273"/>
  <c r="O1272"/>
  <c r="P1272" s="1"/>
  <c r="N1272"/>
  <c r="O1271"/>
  <c r="P1271" s="1"/>
  <c r="N1271"/>
  <c r="O1270"/>
  <c r="P1270" s="1"/>
  <c r="N1270"/>
  <c r="O1269"/>
  <c r="P1269" s="1"/>
  <c r="N1269"/>
  <c r="O1268"/>
  <c r="P1268" s="1"/>
  <c r="N1268"/>
  <c r="O1267"/>
  <c r="P1267" s="1"/>
  <c r="N1267"/>
  <c r="O1266"/>
  <c r="P1266" s="1"/>
  <c r="N1266"/>
  <c r="O1265"/>
  <c r="P1265" s="1"/>
  <c r="N1265"/>
  <c r="O1264"/>
  <c r="P1264" s="1"/>
  <c r="N1264"/>
  <c r="O1263"/>
  <c r="P1263" s="1"/>
  <c r="N1263"/>
  <c r="O1262"/>
  <c r="P1262" s="1"/>
  <c r="N1262"/>
  <c r="O1261"/>
  <c r="P1261" s="1"/>
  <c r="N1261"/>
  <c r="O1260"/>
  <c r="P1260" s="1"/>
  <c r="N1260"/>
  <c r="O1259"/>
  <c r="P1259" s="1"/>
  <c r="N1259"/>
  <c r="O1258"/>
  <c r="P1258" s="1"/>
  <c r="N1258"/>
  <c r="O1257"/>
  <c r="P1257" s="1"/>
  <c r="N1257"/>
  <c r="O1256"/>
  <c r="P1256" s="1"/>
  <c r="N1256"/>
  <c r="O1255"/>
  <c r="P1255" s="1"/>
  <c r="N1255"/>
  <c r="O1254"/>
  <c r="P1254" s="1"/>
  <c r="N1254"/>
  <c r="O1253"/>
  <c r="P1253" s="1"/>
  <c r="N1253"/>
  <c r="O1252"/>
  <c r="P1252" s="1"/>
  <c r="N1252"/>
  <c r="O1251"/>
  <c r="P1251" s="1"/>
  <c r="N1251"/>
  <c r="O1250"/>
  <c r="P1250" s="1"/>
  <c r="N1250"/>
  <c r="O1249"/>
  <c r="P1249" s="1"/>
  <c r="N1249"/>
  <c r="O1248"/>
  <c r="P1248" s="1"/>
  <c r="N1248"/>
  <c r="O1247"/>
  <c r="P1247" s="1"/>
  <c r="N1247"/>
  <c r="O1246"/>
  <c r="P1246" s="1"/>
  <c r="N1246"/>
  <c r="O1245"/>
  <c r="P1245" s="1"/>
  <c r="N1245"/>
  <c r="O1244"/>
  <c r="P1244" s="1"/>
  <c r="N1244"/>
  <c r="O1243"/>
  <c r="P1243" s="1"/>
  <c r="N1243"/>
  <c r="O1242"/>
  <c r="P1242" s="1"/>
  <c r="N1242"/>
  <c r="O1241"/>
  <c r="P1241" s="1"/>
  <c r="N1241"/>
  <c r="O1240"/>
  <c r="P1240" s="1"/>
  <c r="N1240"/>
  <c r="O1239"/>
  <c r="P1239" s="1"/>
  <c r="N1239"/>
  <c r="O1238"/>
  <c r="P1238" s="1"/>
  <c r="N1238"/>
  <c r="O1237"/>
  <c r="P1237" s="1"/>
  <c r="N1237"/>
  <c r="O1236"/>
  <c r="P1236" s="1"/>
  <c r="N1236"/>
  <c r="O1235"/>
  <c r="P1235" s="1"/>
  <c r="N1235"/>
  <c r="O1234"/>
  <c r="P1234" s="1"/>
  <c r="N1234"/>
  <c r="O1233"/>
  <c r="P1233" s="1"/>
  <c r="N1233"/>
  <c r="O1232"/>
  <c r="P1232" s="1"/>
  <c r="N1232"/>
  <c r="O1231"/>
  <c r="P1231" s="1"/>
  <c r="N1231"/>
  <c r="O1230"/>
  <c r="P1230" s="1"/>
  <c r="N1230"/>
  <c r="O1229"/>
  <c r="P1229" s="1"/>
  <c r="N1229"/>
  <c r="O1228"/>
  <c r="P1228" s="1"/>
  <c r="N1228"/>
  <c r="O1227"/>
  <c r="P1227" s="1"/>
  <c r="N1227"/>
  <c r="O1226"/>
  <c r="P1226" s="1"/>
  <c r="N1226"/>
  <c r="O1225"/>
  <c r="P1225" s="1"/>
  <c r="N1225"/>
  <c r="O1224"/>
  <c r="P1224" s="1"/>
  <c r="N1224"/>
  <c r="O1223"/>
  <c r="P1223" s="1"/>
  <c r="N1223"/>
  <c r="O1222"/>
  <c r="P1222" s="1"/>
  <c r="N1222"/>
  <c r="O1221"/>
  <c r="P1221" s="1"/>
  <c r="N1221"/>
  <c r="O1220"/>
  <c r="P1220" s="1"/>
  <c r="N1220"/>
  <c r="O1219"/>
  <c r="P1219" s="1"/>
  <c r="N1219"/>
  <c r="O1218"/>
  <c r="P1218" s="1"/>
  <c r="N1218"/>
  <c r="O1217"/>
  <c r="P1217" s="1"/>
  <c r="N1217"/>
  <c r="O1216"/>
  <c r="P1216" s="1"/>
  <c r="N1216"/>
  <c r="O1215"/>
  <c r="P1215" s="1"/>
  <c r="N1215"/>
  <c r="O1214"/>
  <c r="P1214" s="1"/>
  <c r="N1214"/>
  <c r="O1213"/>
  <c r="P1213" s="1"/>
  <c r="N1213"/>
  <c r="O1212"/>
  <c r="P1212" s="1"/>
  <c r="N1212"/>
  <c r="O1211"/>
  <c r="P1211" s="1"/>
  <c r="N1211"/>
  <c r="O1210"/>
  <c r="P1210" s="1"/>
  <c r="N1210"/>
  <c r="O1209"/>
  <c r="P1209" s="1"/>
  <c r="N1209"/>
  <c r="O1208"/>
  <c r="P1208" s="1"/>
  <c r="N1208"/>
  <c r="O1207"/>
  <c r="P1207" s="1"/>
  <c r="N1207"/>
  <c r="O1206"/>
  <c r="P1206" s="1"/>
  <c r="N1206"/>
  <c r="O1205"/>
  <c r="P1205" s="1"/>
  <c r="N1205"/>
  <c r="O1204"/>
  <c r="P1204" s="1"/>
  <c r="N1204"/>
  <c r="O1203"/>
  <c r="P1203" s="1"/>
  <c r="N1203"/>
  <c r="O1202"/>
  <c r="P1202" s="1"/>
  <c r="N1202"/>
  <c r="O1201"/>
  <c r="P1201" s="1"/>
  <c r="N1201"/>
  <c r="O1200"/>
  <c r="P1200" s="1"/>
  <c r="N1200"/>
  <c r="O1199"/>
  <c r="P1199" s="1"/>
  <c r="N1199"/>
  <c r="O1198"/>
  <c r="P1198" s="1"/>
  <c r="N1198"/>
  <c r="O1197"/>
  <c r="P1197" s="1"/>
  <c r="N1197"/>
  <c r="O1196"/>
  <c r="P1196" s="1"/>
  <c r="N1196"/>
  <c r="O1195"/>
  <c r="P1195" s="1"/>
  <c r="N1195"/>
  <c r="O1194"/>
  <c r="P1194" s="1"/>
  <c r="N1194"/>
  <c r="O1193"/>
  <c r="P1193" s="1"/>
  <c r="N1193"/>
  <c r="O1192"/>
  <c r="P1192" s="1"/>
  <c r="N1192"/>
  <c r="O1191"/>
  <c r="P1191" s="1"/>
  <c r="N1191"/>
  <c r="O1190"/>
  <c r="P1190" s="1"/>
  <c r="N1190"/>
  <c r="O1189"/>
  <c r="P1189" s="1"/>
  <c r="N1189"/>
  <c r="O1188"/>
  <c r="P1188" s="1"/>
  <c r="N1188"/>
  <c r="O1187"/>
  <c r="P1187" s="1"/>
  <c r="N1187"/>
  <c r="O1186"/>
  <c r="P1186" s="1"/>
  <c r="N1186"/>
  <c r="O1185"/>
  <c r="P1185" s="1"/>
  <c r="N1185"/>
  <c r="O1184"/>
  <c r="P1184" s="1"/>
  <c r="N1184"/>
  <c r="O1183"/>
  <c r="P1183" s="1"/>
  <c r="N1183"/>
  <c r="O1182"/>
  <c r="P1182" s="1"/>
  <c r="N1182"/>
  <c r="O1181"/>
  <c r="P1181" s="1"/>
  <c r="N1181"/>
  <c r="O1180"/>
  <c r="P1180" s="1"/>
  <c r="N1180"/>
  <c r="O1179"/>
  <c r="P1179" s="1"/>
  <c r="N1179"/>
  <c r="O1178"/>
  <c r="P1178" s="1"/>
  <c r="N1178"/>
  <c r="O1177"/>
  <c r="P1177" s="1"/>
  <c r="N1177"/>
  <c r="O1176"/>
  <c r="P1176" s="1"/>
  <c r="N1176"/>
  <c r="O1175"/>
  <c r="P1175" s="1"/>
  <c r="N1175"/>
  <c r="O1174"/>
  <c r="P1174" s="1"/>
  <c r="N1174"/>
  <c r="O1173"/>
  <c r="P1173" s="1"/>
  <c r="N1173"/>
  <c r="O1172"/>
  <c r="P1172" s="1"/>
  <c r="N1172"/>
  <c r="O1171"/>
  <c r="P1171" s="1"/>
  <c r="N1171"/>
  <c r="O1170"/>
  <c r="P1170" s="1"/>
  <c r="N1170"/>
  <c r="O1169"/>
  <c r="P1169" s="1"/>
  <c r="N1169"/>
  <c r="O1168"/>
  <c r="P1168" s="1"/>
  <c r="N1168"/>
  <c r="O1167"/>
  <c r="P1167" s="1"/>
  <c r="N1167"/>
  <c r="O1166"/>
  <c r="P1166" s="1"/>
  <c r="N1166"/>
  <c r="O1165"/>
  <c r="P1165" s="1"/>
  <c r="N1165"/>
  <c r="O1164"/>
  <c r="P1164" s="1"/>
  <c r="N1164"/>
  <c r="O1163"/>
  <c r="P1163" s="1"/>
  <c r="N1163"/>
  <c r="O1162"/>
  <c r="P1162" s="1"/>
  <c r="N1162"/>
  <c r="O1161"/>
  <c r="P1161" s="1"/>
  <c r="N1161"/>
  <c r="O1160"/>
  <c r="P1160" s="1"/>
  <c r="N1160"/>
  <c r="O1159"/>
  <c r="P1159" s="1"/>
  <c r="N1159"/>
  <c r="O1158"/>
  <c r="P1158" s="1"/>
  <c r="N1158"/>
  <c r="O1157"/>
  <c r="P1157" s="1"/>
  <c r="N1157"/>
  <c r="O1156"/>
  <c r="P1156" s="1"/>
  <c r="N1156"/>
  <c r="O1155"/>
  <c r="P1155" s="1"/>
  <c r="N1155"/>
  <c r="O1154"/>
  <c r="P1154" s="1"/>
  <c r="N1154"/>
  <c r="O1153"/>
  <c r="P1153" s="1"/>
  <c r="N1153"/>
  <c r="O1152"/>
  <c r="P1152" s="1"/>
  <c r="N1152"/>
  <c r="O1151"/>
  <c r="P1151" s="1"/>
  <c r="N1151"/>
  <c r="O1150"/>
  <c r="P1150" s="1"/>
  <c r="N1150"/>
  <c r="O1149"/>
  <c r="P1149" s="1"/>
  <c r="N1149"/>
  <c r="O1148"/>
  <c r="P1148" s="1"/>
  <c r="N1148"/>
  <c r="O1147"/>
  <c r="P1147" s="1"/>
  <c r="N1147"/>
  <c r="O1146"/>
  <c r="P1146" s="1"/>
  <c r="N1146"/>
  <c r="O1145"/>
  <c r="P1145" s="1"/>
  <c r="N1145"/>
  <c r="O1144"/>
  <c r="P1144" s="1"/>
  <c r="N1144"/>
  <c r="O1143"/>
  <c r="P1143" s="1"/>
  <c r="N1143"/>
  <c r="O1142"/>
  <c r="P1142" s="1"/>
  <c r="N1142"/>
  <c r="O1141"/>
  <c r="P1141" s="1"/>
  <c r="N1141"/>
  <c r="O1140"/>
  <c r="P1140" s="1"/>
  <c r="N1140"/>
  <c r="N1139"/>
  <c r="O1138"/>
  <c r="P1138" s="1"/>
  <c r="N1138"/>
  <c r="O1137"/>
  <c r="P1137" s="1"/>
  <c r="N1137"/>
  <c r="O1136"/>
  <c r="P1136" s="1"/>
  <c r="N1136"/>
  <c r="O1135"/>
  <c r="P1135" s="1"/>
  <c r="N1135"/>
  <c r="O1134"/>
  <c r="P1134" s="1"/>
  <c r="N1134"/>
  <c r="O1133"/>
  <c r="P1133" s="1"/>
  <c r="N1133"/>
  <c r="O1132"/>
  <c r="P1132" s="1"/>
  <c r="N1132"/>
  <c r="O1131"/>
  <c r="P1131" s="1"/>
  <c r="N1131"/>
  <c r="O1130"/>
  <c r="P1130" s="1"/>
  <c r="N1130"/>
  <c r="O1129"/>
  <c r="P1129" s="1"/>
  <c r="N1129"/>
  <c r="O1128"/>
  <c r="P1128" s="1"/>
  <c r="N1128"/>
  <c r="O1127"/>
  <c r="P1127" s="1"/>
  <c r="N1127"/>
  <c r="O1126"/>
  <c r="P1126" s="1"/>
  <c r="N1126"/>
  <c r="O1125"/>
  <c r="P1125" s="1"/>
  <c r="N1125"/>
  <c r="O1124"/>
  <c r="P1124" s="1"/>
  <c r="N1124"/>
  <c r="O1123"/>
  <c r="P1123" s="1"/>
  <c r="N1123"/>
  <c r="O1122"/>
  <c r="P1122" s="1"/>
  <c r="N1122"/>
  <c r="O1121"/>
  <c r="P1121" s="1"/>
  <c r="N1121"/>
  <c r="O1120"/>
  <c r="P1120" s="1"/>
  <c r="N1120"/>
  <c r="O1119"/>
  <c r="P1119" s="1"/>
  <c r="N1119"/>
  <c r="O1118"/>
  <c r="P1118" s="1"/>
  <c r="N1118"/>
  <c r="O1117"/>
  <c r="P1117" s="1"/>
  <c r="N1117"/>
  <c r="O1116"/>
  <c r="P1116" s="1"/>
  <c r="N1116"/>
  <c r="O1115"/>
  <c r="P1115" s="1"/>
  <c r="N1115"/>
  <c r="O1114"/>
  <c r="P1114" s="1"/>
  <c r="N1114"/>
  <c r="O1113"/>
  <c r="P1113" s="1"/>
  <c r="N1113"/>
  <c r="O1112"/>
  <c r="P1112" s="1"/>
  <c r="N1112"/>
  <c r="O1111"/>
  <c r="P1111" s="1"/>
  <c r="N1111"/>
  <c r="O1110"/>
  <c r="P1110" s="1"/>
  <c r="N1110"/>
  <c r="O1109"/>
  <c r="P1109" s="1"/>
  <c r="N1109"/>
  <c r="O1108"/>
  <c r="P1108" s="1"/>
  <c r="N1108"/>
  <c r="O1107"/>
  <c r="P1107" s="1"/>
  <c r="N1107"/>
  <c r="O1106"/>
  <c r="P1106" s="1"/>
  <c r="N1106"/>
  <c r="O1105"/>
  <c r="P1105" s="1"/>
  <c r="N1105"/>
  <c r="O1104"/>
  <c r="P1104" s="1"/>
  <c r="N1104"/>
  <c r="O1103"/>
  <c r="P1103" s="1"/>
  <c r="N1103"/>
  <c r="O1102"/>
  <c r="P1102" s="1"/>
  <c r="N1102"/>
  <c r="O1101"/>
  <c r="P1101" s="1"/>
  <c r="N1101"/>
  <c r="O1100"/>
  <c r="P1100" s="1"/>
  <c r="N1100"/>
  <c r="O1099"/>
  <c r="P1099" s="1"/>
  <c r="N1099"/>
  <c r="O1098"/>
  <c r="P1098" s="1"/>
  <c r="N1098"/>
  <c r="O1097"/>
  <c r="P1097" s="1"/>
  <c r="N1097"/>
  <c r="O1096"/>
  <c r="P1096" s="1"/>
  <c r="N1096"/>
  <c r="O1095"/>
  <c r="P1095" s="1"/>
  <c r="N1095"/>
  <c r="O1094"/>
  <c r="P1094" s="1"/>
  <c r="N1094"/>
  <c r="O1093"/>
  <c r="P1093" s="1"/>
  <c r="N1093"/>
  <c r="O1092"/>
  <c r="P1092" s="1"/>
  <c r="N1092"/>
  <c r="O1091"/>
  <c r="P1091" s="1"/>
  <c r="N1091"/>
  <c r="O1090"/>
  <c r="P1090" s="1"/>
  <c r="N1090"/>
  <c r="O1089"/>
  <c r="P1089" s="1"/>
  <c r="N1089"/>
  <c r="O1088"/>
  <c r="P1088" s="1"/>
  <c r="N1088"/>
  <c r="O1087"/>
  <c r="P1087" s="1"/>
  <c r="N1087"/>
  <c r="O1086"/>
  <c r="P1086" s="1"/>
  <c r="N1086"/>
  <c r="O1085"/>
  <c r="P1085" s="1"/>
  <c r="N1085"/>
  <c r="O1084"/>
  <c r="P1084" s="1"/>
  <c r="N1084"/>
  <c r="O1083"/>
  <c r="P1083" s="1"/>
  <c r="N1083"/>
  <c r="O1082"/>
  <c r="P1082" s="1"/>
  <c r="N1082"/>
  <c r="O1081"/>
  <c r="P1081" s="1"/>
  <c r="N1081"/>
  <c r="O1080"/>
  <c r="P1080" s="1"/>
  <c r="N1080"/>
  <c r="O1079"/>
  <c r="P1079" s="1"/>
  <c r="N1079"/>
  <c r="O1078"/>
  <c r="P1078" s="1"/>
  <c r="N1078"/>
  <c r="O1077"/>
  <c r="P1077" s="1"/>
  <c r="N1077"/>
  <c r="O1076"/>
  <c r="P1076" s="1"/>
  <c r="N1076"/>
  <c r="O1075"/>
  <c r="P1075" s="1"/>
  <c r="N1075"/>
  <c r="O1074"/>
  <c r="P1074" s="1"/>
  <c r="N1074"/>
  <c r="O1073"/>
  <c r="P1073" s="1"/>
  <c r="N1073"/>
  <c r="O1072"/>
  <c r="P1072" s="1"/>
  <c r="N1072"/>
  <c r="O1071"/>
  <c r="P1071" s="1"/>
  <c r="N1071"/>
  <c r="O1070"/>
  <c r="P1070" s="1"/>
  <c r="N1070"/>
  <c r="O1069"/>
  <c r="P1069" s="1"/>
  <c r="N1069"/>
  <c r="O1068"/>
  <c r="P1068" s="1"/>
  <c r="N1068"/>
  <c r="O1067"/>
  <c r="P1067" s="1"/>
  <c r="N1067"/>
  <c r="O1066"/>
  <c r="P1066" s="1"/>
  <c r="N1066"/>
  <c r="O1065"/>
  <c r="P1065" s="1"/>
  <c r="N1065"/>
  <c r="O1064"/>
  <c r="P1064" s="1"/>
  <c r="N1064"/>
  <c r="O1063"/>
  <c r="P1063" s="1"/>
  <c r="N1063"/>
  <c r="O1062"/>
  <c r="P1062" s="1"/>
  <c r="N1062"/>
  <c r="O1061"/>
  <c r="P1061" s="1"/>
  <c r="N1061"/>
  <c r="O1060"/>
  <c r="P1060" s="1"/>
  <c r="N1060"/>
  <c r="O1059"/>
  <c r="P1059" s="1"/>
  <c r="N1059"/>
  <c r="O1058"/>
  <c r="P1058" s="1"/>
  <c r="N1058"/>
  <c r="O1057"/>
  <c r="P1057" s="1"/>
  <c r="N1057"/>
  <c r="O1056"/>
  <c r="P1056" s="1"/>
  <c r="N1056"/>
  <c r="O1055"/>
  <c r="P1055" s="1"/>
  <c r="N1055"/>
  <c r="O1054"/>
  <c r="P1054" s="1"/>
  <c r="N1054"/>
  <c r="O1053"/>
  <c r="P1053" s="1"/>
  <c r="N1053"/>
  <c r="O1052"/>
  <c r="P1052" s="1"/>
  <c r="N1052"/>
  <c r="O1051"/>
  <c r="P1051" s="1"/>
  <c r="N1051"/>
  <c r="O1050"/>
  <c r="P1050" s="1"/>
  <c r="N1050"/>
  <c r="O1049"/>
  <c r="P1049" s="1"/>
  <c r="N1049"/>
  <c r="O1048"/>
  <c r="P1048" s="1"/>
  <c r="N1048"/>
  <c r="O1047"/>
  <c r="P1047" s="1"/>
  <c r="N1047"/>
  <c r="O1046"/>
  <c r="P1046" s="1"/>
  <c r="N1046"/>
  <c r="O1045"/>
  <c r="P1045" s="1"/>
  <c r="N1045"/>
  <c r="O1044"/>
  <c r="P1044" s="1"/>
  <c r="N1044"/>
  <c r="O1043"/>
  <c r="P1043" s="1"/>
  <c r="N1043"/>
  <c r="O1042"/>
  <c r="P1042" s="1"/>
  <c r="N1042"/>
  <c r="O1041"/>
  <c r="P1041" s="1"/>
  <c r="N1041"/>
  <c r="O1040"/>
  <c r="P1040" s="1"/>
  <c r="N1040"/>
  <c r="O1039"/>
  <c r="P1039" s="1"/>
  <c r="N1039"/>
  <c r="O1038"/>
  <c r="P1038" s="1"/>
  <c r="N1038"/>
  <c r="O1037"/>
  <c r="P1037" s="1"/>
  <c r="N1037"/>
  <c r="O1036"/>
  <c r="P1036" s="1"/>
  <c r="N1036"/>
  <c r="O1035"/>
  <c r="P1035" s="1"/>
  <c r="N1035"/>
  <c r="O1034"/>
  <c r="P1034" s="1"/>
  <c r="N1034"/>
  <c r="O1033"/>
  <c r="P1033" s="1"/>
  <c r="N1033"/>
  <c r="O1032"/>
  <c r="P1032" s="1"/>
  <c r="N1032"/>
  <c r="O1031"/>
  <c r="P1031" s="1"/>
  <c r="N1031"/>
  <c r="O1030"/>
  <c r="P1030" s="1"/>
  <c r="N1030"/>
  <c r="O1029"/>
  <c r="P1029" s="1"/>
  <c r="N1029"/>
  <c r="O1028"/>
  <c r="P1028" s="1"/>
  <c r="N1028"/>
  <c r="O1027"/>
  <c r="P1027" s="1"/>
  <c r="N1027"/>
  <c r="O1026"/>
  <c r="P1026" s="1"/>
  <c r="N1026"/>
  <c r="O1025"/>
  <c r="P1025" s="1"/>
  <c r="N1025"/>
  <c r="O1024"/>
  <c r="P1024" s="1"/>
  <c r="N1024"/>
  <c r="O1023"/>
  <c r="P1023" s="1"/>
  <c r="N1023"/>
  <c r="O1022"/>
  <c r="P1022" s="1"/>
  <c r="N1022"/>
  <c r="O1021"/>
  <c r="P1021" s="1"/>
  <c r="N1021"/>
  <c r="O1020"/>
  <c r="P1020" s="1"/>
  <c r="N1020"/>
  <c r="O1019"/>
  <c r="P1019" s="1"/>
  <c r="N1019"/>
  <c r="O1018"/>
  <c r="P1018" s="1"/>
  <c r="N1018"/>
  <c r="O1017"/>
  <c r="P1017" s="1"/>
  <c r="N1017"/>
  <c r="O1016"/>
  <c r="P1016" s="1"/>
  <c r="N1016"/>
  <c r="O1015"/>
  <c r="P1015" s="1"/>
  <c r="N1015"/>
  <c r="O1014"/>
  <c r="P1014" s="1"/>
  <c r="N1014"/>
  <c r="O1013"/>
  <c r="P1013" s="1"/>
  <c r="N1013"/>
  <c r="O1012"/>
  <c r="P1012" s="1"/>
  <c r="N1012"/>
  <c r="O1011"/>
  <c r="P1011" s="1"/>
  <c r="N1011"/>
  <c r="O1010"/>
  <c r="P1010" s="1"/>
  <c r="N1010"/>
  <c r="O1009"/>
  <c r="P1009" s="1"/>
  <c r="N1009"/>
  <c r="O1008"/>
  <c r="P1008" s="1"/>
  <c r="N1008"/>
  <c r="O1007"/>
  <c r="P1007" s="1"/>
  <c r="N1007"/>
  <c r="O1006"/>
  <c r="P1006" s="1"/>
  <c r="N1006"/>
  <c r="O1005"/>
  <c r="P1005" s="1"/>
  <c r="N1005"/>
  <c r="O1004"/>
  <c r="P1004" s="1"/>
  <c r="N1004"/>
  <c r="O1003"/>
  <c r="P1003" s="1"/>
  <c r="N1003"/>
  <c r="O1002"/>
  <c r="P1002" s="1"/>
  <c r="N1002"/>
  <c r="O1001"/>
  <c r="P1001" s="1"/>
  <c r="N1001"/>
  <c r="O1000"/>
  <c r="P1000" s="1"/>
  <c r="N1000"/>
  <c r="O999"/>
  <c r="P999" s="1"/>
  <c r="N999"/>
  <c r="O998"/>
  <c r="P998" s="1"/>
  <c r="N998"/>
  <c r="O997"/>
  <c r="P997" s="1"/>
  <c r="N997"/>
  <c r="O996"/>
  <c r="P996" s="1"/>
  <c r="N996"/>
  <c r="O995"/>
  <c r="P995" s="1"/>
  <c r="N995"/>
  <c r="O994"/>
  <c r="P994" s="1"/>
  <c r="N994"/>
  <c r="O993"/>
  <c r="P993" s="1"/>
  <c r="N993"/>
  <c r="O992"/>
  <c r="P992" s="1"/>
  <c r="N992"/>
  <c r="O991"/>
  <c r="P991" s="1"/>
  <c r="N991"/>
  <c r="O990"/>
  <c r="P990" s="1"/>
  <c r="N990"/>
  <c r="O989"/>
  <c r="P989" s="1"/>
  <c r="N989"/>
  <c r="O988"/>
  <c r="P988" s="1"/>
  <c r="N988"/>
  <c r="O987"/>
  <c r="P987" s="1"/>
  <c r="N987"/>
  <c r="O986"/>
  <c r="P986" s="1"/>
  <c r="N986"/>
  <c r="O985"/>
  <c r="P985" s="1"/>
  <c r="N985"/>
  <c r="O984"/>
  <c r="P984" s="1"/>
  <c r="N984"/>
  <c r="O983"/>
  <c r="P983" s="1"/>
  <c r="N983"/>
  <c r="O982"/>
  <c r="P982" s="1"/>
  <c r="N982"/>
  <c r="O981"/>
  <c r="P981" s="1"/>
  <c r="N981"/>
  <c r="O980"/>
  <c r="P980" s="1"/>
  <c r="N980"/>
  <c r="O979"/>
  <c r="P979" s="1"/>
  <c r="N979"/>
  <c r="O978"/>
  <c r="P978" s="1"/>
  <c r="N978"/>
  <c r="O977"/>
  <c r="P977" s="1"/>
  <c r="N977"/>
  <c r="O976"/>
  <c r="P976" s="1"/>
  <c r="N976"/>
  <c r="O975"/>
  <c r="P975" s="1"/>
  <c r="N975"/>
  <c r="O974"/>
  <c r="P974" s="1"/>
  <c r="N974"/>
  <c r="O973"/>
  <c r="P973" s="1"/>
  <c r="N973"/>
  <c r="O972"/>
  <c r="P972" s="1"/>
  <c r="N972"/>
  <c r="O971"/>
  <c r="P971" s="1"/>
  <c r="N971"/>
  <c r="O970"/>
  <c r="P970" s="1"/>
  <c r="N970"/>
  <c r="O969"/>
  <c r="P969" s="1"/>
  <c r="N969"/>
  <c r="O968"/>
  <c r="P968" s="1"/>
  <c r="N968"/>
  <c r="O967"/>
  <c r="P967" s="1"/>
  <c r="N967"/>
  <c r="O966"/>
  <c r="P966" s="1"/>
  <c r="N966"/>
  <c r="O965"/>
  <c r="P965" s="1"/>
  <c r="N965"/>
  <c r="O964"/>
  <c r="P964" s="1"/>
  <c r="N964"/>
  <c r="O963"/>
  <c r="P963" s="1"/>
  <c r="N963"/>
  <c r="O962"/>
  <c r="P962" s="1"/>
  <c r="N962"/>
  <c r="O961"/>
  <c r="P961" s="1"/>
  <c r="N961"/>
  <c r="O960"/>
  <c r="P960" s="1"/>
  <c r="N960"/>
  <c r="O959"/>
  <c r="P959" s="1"/>
  <c r="N959"/>
  <c r="O958"/>
  <c r="P958" s="1"/>
  <c r="N958"/>
  <c r="O957"/>
  <c r="P957" s="1"/>
  <c r="N957"/>
  <c r="O956"/>
  <c r="P956" s="1"/>
  <c r="N956"/>
  <c r="O955"/>
  <c r="P955" s="1"/>
  <c r="N955"/>
  <c r="O954"/>
  <c r="P954" s="1"/>
  <c r="N954"/>
  <c r="O953"/>
  <c r="P953" s="1"/>
  <c r="N953"/>
  <c r="O952"/>
  <c r="P952" s="1"/>
  <c r="N952"/>
  <c r="O951"/>
  <c r="P951" s="1"/>
  <c r="N951"/>
  <c r="O950"/>
  <c r="P950" s="1"/>
  <c r="N950"/>
  <c r="O949"/>
  <c r="P949" s="1"/>
  <c r="N949"/>
  <c r="O948"/>
  <c r="P948" s="1"/>
  <c r="N948"/>
  <c r="O947"/>
  <c r="P947" s="1"/>
  <c r="N947"/>
  <c r="O946"/>
  <c r="P946" s="1"/>
  <c r="N946"/>
  <c r="O945"/>
  <c r="P945" s="1"/>
  <c r="N945"/>
  <c r="O944"/>
  <c r="P944" s="1"/>
  <c r="N944"/>
  <c r="O943"/>
  <c r="P943" s="1"/>
  <c r="N943"/>
  <c r="O942"/>
  <c r="P942" s="1"/>
  <c r="N942"/>
  <c r="O941"/>
  <c r="P941" s="1"/>
  <c r="N941"/>
  <c r="O940"/>
  <c r="P940" s="1"/>
  <c r="N940"/>
  <c r="O939"/>
  <c r="P939" s="1"/>
  <c r="N939"/>
  <c r="O938"/>
  <c r="P938" s="1"/>
  <c r="N938"/>
  <c r="O937"/>
  <c r="P937" s="1"/>
  <c r="N937"/>
  <c r="O936"/>
  <c r="P936" s="1"/>
  <c r="N936"/>
  <c r="O935"/>
  <c r="P935" s="1"/>
  <c r="N935"/>
  <c r="O934"/>
  <c r="P934" s="1"/>
  <c r="N934"/>
  <c r="O933"/>
  <c r="P933" s="1"/>
  <c r="N933"/>
  <c r="O932"/>
  <c r="P932" s="1"/>
  <c r="N932"/>
  <c r="O931"/>
  <c r="P931" s="1"/>
  <c r="N931"/>
  <c r="O930"/>
  <c r="P930" s="1"/>
  <c r="N930"/>
  <c r="O929"/>
  <c r="P929" s="1"/>
  <c r="N929"/>
  <c r="O928"/>
  <c r="P928" s="1"/>
  <c r="N928"/>
  <c r="O927"/>
  <c r="P927" s="1"/>
  <c r="N927"/>
  <c r="O926"/>
  <c r="P926" s="1"/>
  <c r="N926"/>
  <c r="O925"/>
  <c r="P925" s="1"/>
  <c r="N925"/>
  <c r="O924"/>
  <c r="P924" s="1"/>
  <c r="N924"/>
  <c r="O923"/>
  <c r="P923" s="1"/>
  <c r="N923"/>
  <c r="O922"/>
  <c r="P922" s="1"/>
  <c r="N922"/>
  <c r="O921"/>
  <c r="P921" s="1"/>
  <c r="N921"/>
  <c r="O920"/>
  <c r="P920" s="1"/>
  <c r="N920"/>
  <c r="O919"/>
  <c r="P919" s="1"/>
  <c r="N919"/>
  <c r="O918"/>
  <c r="P918" s="1"/>
  <c r="N918"/>
  <c r="O917"/>
  <c r="P917" s="1"/>
  <c r="N917"/>
  <c r="O916"/>
  <c r="P916" s="1"/>
  <c r="N916"/>
  <c r="O915"/>
  <c r="P915" s="1"/>
  <c r="N915"/>
  <c r="O914"/>
  <c r="P914" s="1"/>
  <c r="N914"/>
  <c r="O913"/>
  <c r="P913" s="1"/>
  <c r="N913"/>
  <c r="O912"/>
  <c r="P912" s="1"/>
  <c r="N912"/>
  <c r="O911"/>
  <c r="P911" s="1"/>
  <c r="N911"/>
  <c r="O910"/>
  <c r="P910" s="1"/>
  <c r="N910"/>
  <c r="O909"/>
  <c r="P909" s="1"/>
  <c r="N909"/>
  <c r="O908"/>
  <c r="P908" s="1"/>
  <c r="N908"/>
  <c r="O907"/>
  <c r="P907" s="1"/>
  <c r="N907"/>
  <c r="O906"/>
  <c r="P906" s="1"/>
  <c r="N906"/>
  <c r="O905"/>
  <c r="P905" s="1"/>
  <c r="N905"/>
  <c r="O904"/>
  <c r="P904" s="1"/>
  <c r="N904"/>
  <c r="O903"/>
  <c r="P903" s="1"/>
  <c r="N903"/>
  <c r="O902"/>
  <c r="P902" s="1"/>
  <c r="N902"/>
  <c r="O901"/>
  <c r="P901" s="1"/>
  <c r="N901"/>
  <c r="O900"/>
  <c r="P900" s="1"/>
  <c r="N900"/>
  <c r="O899"/>
  <c r="P899" s="1"/>
  <c r="N899"/>
  <c r="O898"/>
  <c r="P898" s="1"/>
  <c r="N898"/>
  <c r="O897"/>
  <c r="P897" s="1"/>
  <c r="N897"/>
  <c r="O896"/>
  <c r="P896" s="1"/>
  <c r="N896"/>
  <c r="O895"/>
  <c r="P895" s="1"/>
  <c r="N895"/>
  <c r="O894"/>
  <c r="P894" s="1"/>
  <c r="N894"/>
  <c r="O893"/>
  <c r="P893" s="1"/>
  <c r="N893"/>
  <c r="O892"/>
  <c r="P892" s="1"/>
  <c r="N892"/>
  <c r="O891"/>
  <c r="P891" s="1"/>
  <c r="N891"/>
  <c r="O890"/>
  <c r="P890" s="1"/>
  <c r="N890"/>
  <c r="O889"/>
  <c r="P889" s="1"/>
  <c r="N889"/>
  <c r="O888"/>
  <c r="P888" s="1"/>
  <c r="N888"/>
  <c r="O887"/>
  <c r="P887" s="1"/>
  <c r="N887"/>
  <c r="O886"/>
  <c r="P886" s="1"/>
  <c r="N886"/>
  <c r="O885"/>
  <c r="P885" s="1"/>
  <c r="N885"/>
  <c r="O884"/>
  <c r="P884" s="1"/>
  <c r="N884"/>
  <c r="O883"/>
  <c r="P883" s="1"/>
  <c r="N883"/>
  <c r="O882"/>
  <c r="P882" s="1"/>
  <c r="N882"/>
  <c r="O881"/>
  <c r="P881" s="1"/>
  <c r="N881"/>
  <c r="O880"/>
  <c r="P880" s="1"/>
  <c r="N880"/>
  <c r="O879"/>
  <c r="P879" s="1"/>
  <c r="N879"/>
  <c r="O878"/>
  <c r="P878" s="1"/>
  <c r="N878"/>
  <c r="O877"/>
  <c r="P877" s="1"/>
  <c r="N877"/>
  <c r="O876"/>
  <c r="P876" s="1"/>
  <c r="N876"/>
  <c r="O875"/>
  <c r="P875" s="1"/>
  <c r="N875"/>
  <c r="O874"/>
  <c r="P874" s="1"/>
  <c r="N874"/>
  <c r="O873"/>
  <c r="P873" s="1"/>
  <c r="N873"/>
  <c r="O872"/>
  <c r="P872" s="1"/>
  <c r="N872"/>
  <c r="O871"/>
  <c r="P871" s="1"/>
  <c r="N871"/>
  <c r="O870"/>
  <c r="P870" s="1"/>
  <c r="N870"/>
  <c r="O869"/>
  <c r="P869" s="1"/>
  <c r="N869"/>
  <c r="O868"/>
  <c r="P868" s="1"/>
  <c r="N868"/>
  <c r="O867"/>
  <c r="P867" s="1"/>
  <c r="N867"/>
  <c r="O866"/>
  <c r="P866" s="1"/>
  <c r="N866"/>
  <c r="O865"/>
  <c r="P865" s="1"/>
  <c r="N865"/>
  <c r="O864"/>
  <c r="P864" s="1"/>
  <c r="N864"/>
  <c r="O863"/>
  <c r="P863" s="1"/>
  <c r="N863"/>
  <c r="O862"/>
  <c r="P862" s="1"/>
  <c r="N862"/>
  <c r="O861"/>
  <c r="P861" s="1"/>
  <c r="N861"/>
  <c r="O860"/>
  <c r="P860" s="1"/>
  <c r="N860"/>
  <c r="O859"/>
  <c r="P859" s="1"/>
  <c r="N859"/>
  <c r="O858"/>
  <c r="P858" s="1"/>
  <c r="N858"/>
  <c r="O857"/>
  <c r="P857" s="1"/>
  <c r="N857"/>
  <c r="O856"/>
  <c r="P856" s="1"/>
  <c r="N856"/>
  <c r="O854"/>
  <c r="P854" s="1"/>
  <c r="N854"/>
  <c r="O853"/>
  <c r="P853" s="1"/>
  <c r="N853"/>
  <c r="O852"/>
  <c r="P852" s="1"/>
  <c r="N852"/>
  <c r="O851"/>
  <c r="P851" s="1"/>
  <c r="N851"/>
  <c r="O850"/>
  <c r="P850" s="1"/>
  <c r="N850"/>
  <c r="O849"/>
  <c r="P849" s="1"/>
  <c r="N849"/>
  <c r="O848"/>
  <c r="P848" s="1"/>
  <c r="N848"/>
  <c r="O847"/>
  <c r="P847" s="1"/>
  <c r="N847"/>
  <c r="O846"/>
  <c r="P846" s="1"/>
  <c r="N846"/>
  <c r="O845"/>
  <c r="P845" s="1"/>
  <c r="N845"/>
  <c r="O844"/>
  <c r="P844" s="1"/>
  <c r="N844"/>
  <c r="O843"/>
  <c r="P843" s="1"/>
  <c r="N843"/>
  <c r="O842"/>
  <c r="P842" s="1"/>
  <c r="N842"/>
  <c r="O841"/>
  <c r="P841" s="1"/>
  <c r="N841"/>
  <c r="O840"/>
  <c r="P840" s="1"/>
  <c r="N840"/>
  <c r="O839"/>
  <c r="P839" s="1"/>
  <c r="N839"/>
  <c r="O838"/>
  <c r="P838" s="1"/>
  <c r="N838"/>
  <c r="O837"/>
  <c r="P837" s="1"/>
  <c r="N837"/>
  <c r="O836"/>
  <c r="P836" s="1"/>
  <c r="N836"/>
  <c r="O835"/>
  <c r="P835" s="1"/>
  <c r="N835"/>
  <c r="O834"/>
  <c r="P834" s="1"/>
  <c r="N834"/>
  <c r="O833"/>
  <c r="P833" s="1"/>
  <c r="N833"/>
  <c r="O832"/>
  <c r="P832" s="1"/>
  <c r="N832"/>
  <c r="O831"/>
  <c r="P831" s="1"/>
  <c r="N831"/>
  <c r="O830"/>
  <c r="P830" s="1"/>
  <c r="N830"/>
  <c r="O829"/>
  <c r="P829" s="1"/>
  <c r="N829"/>
  <c r="O828"/>
  <c r="P828" s="1"/>
  <c r="N828"/>
  <c r="O827"/>
  <c r="P827" s="1"/>
  <c r="N827"/>
  <c r="O826"/>
  <c r="P826" s="1"/>
  <c r="N826"/>
  <c r="O825"/>
  <c r="P825" s="1"/>
  <c r="N825"/>
  <c r="O824"/>
  <c r="P824" s="1"/>
  <c r="N824"/>
  <c r="O823"/>
  <c r="P823" s="1"/>
  <c r="N823"/>
  <c r="O822"/>
  <c r="P822" s="1"/>
  <c r="N822"/>
  <c r="O821"/>
  <c r="P821" s="1"/>
  <c r="N821"/>
  <c r="O820"/>
  <c r="P820" s="1"/>
  <c r="N820"/>
  <c r="O819"/>
  <c r="P819" s="1"/>
  <c r="N819"/>
  <c r="O818"/>
  <c r="P818" s="1"/>
  <c r="N818"/>
  <c r="O817"/>
  <c r="P817" s="1"/>
  <c r="N817"/>
  <c r="O816"/>
  <c r="P816" s="1"/>
  <c r="N816"/>
  <c r="O815"/>
  <c r="P815" s="1"/>
  <c r="N815"/>
  <c r="O814"/>
  <c r="P814" s="1"/>
  <c r="N814"/>
  <c r="O813"/>
  <c r="P813" s="1"/>
  <c r="N813"/>
  <c r="O812"/>
  <c r="P812" s="1"/>
  <c r="N812"/>
  <c r="O811"/>
  <c r="P811" s="1"/>
  <c r="N811"/>
  <c r="O810"/>
  <c r="P810" s="1"/>
  <c r="N810"/>
  <c r="O809"/>
  <c r="P809" s="1"/>
  <c r="N809"/>
  <c r="O808"/>
  <c r="P808" s="1"/>
  <c r="N808"/>
  <c r="O807"/>
  <c r="P807" s="1"/>
  <c r="N807"/>
  <c r="O806"/>
  <c r="P806" s="1"/>
  <c r="N806"/>
  <c r="O805"/>
  <c r="P805" s="1"/>
  <c r="N805"/>
  <c r="O804"/>
  <c r="P804" s="1"/>
  <c r="N804"/>
  <c r="O803"/>
  <c r="P803" s="1"/>
  <c r="N803"/>
  <c r="O802"/>
  <c r="P802" s="1"/>
  <c r="N802"/>
  <c r="O801"/>
  <c r="P801" s="1"/>
  <c r="N801"/>
  <c r="O800"/>
  <c r="P800" s="1"/>
  <c r="N800"/>
  <c r="O799"/>
  <c r="P799" s="1"/>
  <c r="N799"/>
  <c r="O798"/>
  <c r="P798" s="1"/>
  <c r="N798"/>
  <c r="O797"/>
  <c r="P797" s="1"/>
  <c r="N797"/>
  <c r="O796"/>
  <c r="P796" s="1"/>
  <c r="N796"/>
  <c r="O795"/>
  <c r="P795" s="1"/>
  <c r="N795"/>
  <c r="O794"/>
  <c r="P794" s="1"/>
  <c r="N794"/>
  <c r="O793"/>
  <c r="P793" s="1"/>
  <c r="N793"/>
  <c r="O792"/>
  <c r="P792" s="1"/>
  <c r="N792"/>
  <c r="O791"/>
  <c r="P791" s="1"/>
  <c r="N791"/>
  <c r="O790"/>
  <c r="P790" s="1"/>
  <c r="N790"/>
  <c r="O789"/>
  <c r="P789" s="1"/>
  <c r="N789"/>
  <c r="O788"/>
  <c r="P788" s="1"/>
  <c r="N788"/>
  <c r="O787"/>
  <c r="P787" s="1"/>
  <c r="N787"/>
  <c r="O786"/>
  <c r="P786" s="1"/>
  <c r="N786"/>
  <c r="O785"/>
  <c r="P785" s="1"/>
  <c r="N785"/>
  <c r="O784"/>
  <c r="P784" s="1"/>
  <c r="N784"/>
  <c r="O783"/>
  <c r="P783" s="1"/>
  <c r="N783"/>
  <c r="O782"/>
  <c r="P782" s="1"/>
  <c r="N782"/>
  <c r="O781"/>
  <c r="P781" s="1"/>
  <c r="N781"/>
  <c r="O780"/>
  <c r="P780" s="1"/>
  <c r="N780"/>
  <c r="O779"/>
  <c r="P779" s="1"/>
  <c r="N779"/>
  <c r="O778"/>
  <c r="P778" s="1"/>
  <c r="N778"/>
  <c r="O777"/>
  <c r="P777" s="1"/>
  <c r="N777"/>
  <c r="O776"/>
  <c r="P776" s="1"/>
  <c r="N776"/>
  <c r="O775"/>
  <c r="P775" s="1"/>
  <c r="N775"/>
  <c r="O774"/>
  <c r="P774" s="1"/>
  <c r="N774"/>
  <c r="O773"/>
  <c r="P773" s="1"/>
  <c r="N773"/>
  <c r="O772"/>
  <c r="P772" s="1"/>
  <c r="N772"/>
  <c r="O771"/>
  <c r="P771" s="1"/>
  <c r="N771"/>
  <c r="O770"/>
  <c r="P770" s="1"/>
  <c r="N770"/>
  <c r="O769"/>
  <c r="P769" s="1"/>
  <c r="N769"/>
  <c r="O768"/>
  <c r="P768" s="1"/>
  <c r="N768"/>
  <c r="O767"/>
  <c r="P767" s="1"/>
  <c r="N767"/>
  <c r="O766"/>
  <c r="P766" s="1"/>
  <c r="N766"/>
  <c r="O765"/>
  <c r="P765" s="1"/>
  <c r="N765"/>
  <c r="O764"/>
  <c r="P764" s="1"/>
  <c r="N764"/>
  <c r="O763"/>
  <c r="P763" s="1"/>
  <c r="N763"/>
  <c r="O762"/>
  <c r="P762" s="1"/>
  <c r="N762"/>
  <c r="O761"/>
  <c r="P761" s="1"/>
  <c r="N761"/>
  <c r="O760"/>
  <c r="P760" s="1"/>
  <c r="N760"/>
  <c r="O759"/>
  <c r="P759" s="1"/>
  <c r="N759"/>
  <c r="O758"/>
  <c r="P758" s="1"/>
  <c r="N758"/>
  <c r="O757"/>
  <c r="P757" s="1"/>
  <c r="N757"/>
  <c r="O756"/>
  <c r="P756" s="1"/>
  <c r="N756"/>
  <c r="O755"/>
  <c r="P755" s="1"/>
  <c r="N755"/>
  <c r="O754"/>
  <c r="P754" s="1"/>
  <c r="N754"/>
  <c r="O753"/>
  <c r="P753" s="1"/>
  <c r="N753"/>
  <c r="O752"/>
  <c r="P752" s="1"/>
  <c r="N752"/>
  <c r="O751"/>
  <c r="P751" s="1"/>
  <c r="N751"/>
  <c r="O750"/>
  <c r="P750" s="1"/>
  <c r="N750"/>
  <c r="O749"/>
  <c r="P749" s="1"/>
  <c r="N749"/>
  <c r="O748"/>
  <c r="P748" s="1"/>
  <c r="N748"/>
  <c r="O747"/>
  <c r="P747" s="1"/>
  <c r="N747"/>
  <c r="O746"/>
  <c r="P746" s="1"/>
  <c r="N746"/>
  <c r="O745"/>
  <c r="P745" s="1"/>
  <c r="N745"/>
  <c r="O744"/>
  <c r="P744" s="1"/>
  <c r="N744"/>
  <c r="O743"/>
  <c r="P743" s="1"/>
  <c r="N743"/>
  <c r="O742"/>
  <c r="P742" s="1"/>
  <c r="N742"/>
  <c r="O741"/>
  <c r="P741" s="1"/>
  <c r="N741"/>
  <c r="O740"/>
  <c r="P740" s="1"/>
  <c r="N740"/>
  <c r="O739"/>
  <c r="P739" s="1"/>
  <c r="N739"/>
  <c r="O738"/>
  <c r="P738" s="1"/>
  <c r="N738"/>
  <c r="O737"/>
  <c r="P737" s="1"/>
  <c r="N737"/>
  <c r="O736"/>
  <c r="P736" s="1"/>
  <c r="N736"/>
  <c r="O735"/>
  <c r="P735" s="1"/>
  <c r="N735"/>
  <c r="O734"/>
  <c r="P734" s="1"/>
  <c r="N734"/>
  <c r="O733"/>
  <c r="P733" s="1"/>
  <c r="N733"/>
  <c r="O732"/>
  <c r="P732" s="1"/>
  <c r="N732"/>
  <c r="O731"/>
  <c r="P731" s="1"/>
  <c r="N731"/>
  <c r="O730"/>
  <c r="P730" s="1"/>
  <c r="N730"/>
  <c r="O729"/>
  <c r="P729" s="1"/>
  <c r="N729"/>
  <c r="O728"/>
  <c r="P728" s="1"/>
  <c r="N728"/>
  <c r="O727"/>
  <c r="P727" s="1"/>
  <c r="N727"/>
  <c r="O726"/>
  <c r="P726" s="1"/>
  <c r="N726"/>
  <c r="O725"/>
  <c r="P725" s="1"/>
  <c r="N725"/>
  <c r="O724"/>
  <c r="P724" s="1"/>
  <c r="N724"/>
  <c r="O723"/>
  <c r="P723" s="1"/>
  <c r="N723"/>
  <c r="O722"/>
  <c r="P722" s="1"/>
  <c r="N722"/>
  <c r="O721"/>
  <c r="P721" s="1"/>
  <c r="N721"/>
  <c r="O720"/>
  <c r="P720" s="1"/>
  <c r="N720"/>
  <c r="O719"/>
  <c r="P719" s="1"/>
  <c r="N719"/>
  <c r="O718"/>
  <c r="P718" s="1"/>
  <c r="N718"/>
  <c r="O717"/>
  <c r="P717" s="1"/>
  <c r="N717"/>
  <c r="O716"/>
  <c r="P716" s="1"/>
  <c r="N716"/>
  <c r="O715"/>
  <c r="P715" s="1"/>
  <c r="N715"/>
  <c r="O714"/>
  <c r="P714" s="1"/>
  <c r="N714"/>
  <c r="O713"/>
  <c r="P713" s="1"/>
  <c r="N713"/>
  <c r="O712"/>
  <c r="P712" s="1"/>
  <c r="N712"/>
  <c r="O711"/>
  <c r="P711" s="1"/>
  <c r="N711"/>
  <c r="O710"/>
  <c r="P710" s="1"/>
  <c r="N710"/>
  <c r="O709"/>
  <c r="P709" s="1"/>
  <c r="N709"/>
  <c r="O708"/>
  <c r="P708" s="1"/>
  <c r="N708"/>
  <c r="O707"/>
  <c r="P707" s="1"/>
  <c r="N707"/>
  <c r="O706"/>
  <c r="P706" s="1"/>
  <c r="N706"/>
  <c r="O705"/>
  <c r="P705" s="1"/>
  <c r="N705"/>
  <c r="O704"/>
  <c r="P704" s="1"/>
  <c r="N704"/>
  <c r="O703"/>
  <c r="P703" s="1"/>
  <c r="N703"/>
  <c r="O702"/>
  <c r="P702" s="1"/>
  <c r="N702"/>
  <c r="O701"/>
  <c r="P701" s="1"/>
  <c r="N701"/>
  <c r="O700"/>
  <c r="P700" s="1"/>
  <c r="N700"/>
  <c r="O699"/>
  <c r="P699" s="1"/>
  <c r="N699"/>
  <c r="O698"/>
  <c r="P698" s="1"/>
  <c r="N698"/>
  <c r="O697"/>
  <c r="P697" s="1"/>
  <c r="N697"/>
  <c r="O696"/>
  <c r="P696" s="1"/>
  <c r="N696"/>
  <c r="O695"/>
  <c r="P695" s="1"/>
  <c r="N695"/>
  <c r="O694"/>
  <c r="P694" s="1"/>
  <c r="N694"/>
  <c r="O693"/>
  <c r="P693" s="1"/>
  <c r="N693"/>
  <c r="O692"/>
  <c r="P692" s="1"/>
  <c r="N692"/>
  <c r="O691"/>
  <c r="P691" s="1"/>
  <c r="N691"/>
  <c r="O690"/>
  <c r="P690" s="1"/>
  <c r="N690"/>
  <c r="O689"/>
  <c r="P689" s="1"/>
  <c r="N689"/>
  <c r="O688"/>
  <c r="P688" s="1"/>
  <c r="N688"/>
  <c r="O687"/>
  <c r="P687" s="1"/>
  <c r="N687"/>
  <c r="O686"/>
  <c r="P686" s="1"/>
  <c r="N686"/>
  <c r="O685"/>
  <c r="P685" s="1"/>
  <c r="N685"/>
  <c r="O684"/>
  <c r="P684" s="1"/>
  <c r="N684"/>
  <c r="O683"/>
  <c r="P683" s="1"/>
  <c r="N683"/>
  <c r="O682"/>
  <c r="P682" s="1"/>
  <c r="N682"/>
  <c r="O681"/>
  <c r="P681" s="1"/>
  <c r="N681"/>
  <c r="O680"/>
  <c r="P680" s="1"/>
  <c r="N680"/>
  <c r="O679"/>
  <c r="P679" s="1"/>
  <c r="N679"/>
  <c r="O678"/>
  <c r="P678" s="1"/>
  <c r="N678"/>
  <c r="O677"/>
  <c r="P677" s="1"/>
  <c r="N677"/>
  <c r="O676"/>
  <c r="P676" s="1"/>
  <c r="N676"/>
  <c r="O675"/>
  <c r="P675" s="1"/>
  <c r="N675"/>
  <c r="O674"/>
  <c r="P674" s="1"/>
  <c r="N674"/>
  <c r="O673"/>
  <c r="P673" s="1"/>
  <c r="N673"/>
  <c r="O672"/>
  <c r="P672" s="1"/>
  <c r="N672"/>
  <c r="O671"/>
  <c r="P671" s="1"/>
  <c r="N671"/>
  <c r="O670"/>
  <c r="P670" s="1"/>
  <c r="N670"/>
  <c r="O669"/>
  <c r="P669" s="1"/>
  <c r="N669"/>
  <c r="O668"/>
  <c r="P668" s="1"/>
  <c r="N668"/>
  <c r="O667"/>
  <c r="P667" s="1"/>
  <c r="N667"/>
  <c r="O666"/>
  <c r="P666" s="1"/>
  <c r="N666"/>
  <c r="O665"/>
  <c r="P665" s="1"/>
  <c r="N665"/>
  <c r="O664"/>
  <c r="P664" s="1"/>
  <c r="N664"/>
  <c r="O663"/>
  <c r="P663" s="1"/>
  <c r="N663"/>
  <c r="O662"/>
  <c r="P662" s="1"/>
  <c r="N662"/>
  <c r="O661"/>
  <c r="P661" s="1"/>
  <c r="N661"/>
  <c r="O660"/>
  <c r="P660" s="1"/>
  <c r="N660"/>
  <c r="O659"/>
  <c r="P659" s="1"/>
  <c r="N659"/>
  <c r="O658"/>
  <c r="P658" s="1"/>
  <c r="N658"/>
  <c r="O657"/>
  <c r="P657" s="1"/>
  <c r="N657"/>
  <c r="O656"/>
  <c r="P656" s="1"/>
  <c r="N656"/>
  <c r="O655"/>
  <c r="P655" s="1"/>
  <c r="N655"/>
  <c r="O654"/>
  <c r="P654" s="1"/>
  <c r="N654"/>
  <c r="O653"/>
  <c r="P653" s="1"/>
  <c r="N653"/>
  <c r="O652"/>
  <c r="P652" s="1"/>
  <c r="N652"/>
  <c r="O651"/>
  <c r="P651" s="1"/>
  <c r="N651"/>
  <c r="O650"/>
  <c r="P650" s="1"/>
  <c r="N650"/>
  <c r="O649"/>
  <c r="P649" s="1"/>
  <c r="N649"/>
  <c r="O648"/>
  <c r="P648" s="1"/>
  <c r="N648"/>
  <c r="O647"/>
  <c r="P647" s="1"/>
  <c r="N647"/>
  <c r="O646"/>
  <c r="P646" s="1"/>
  <c r="N646"/>
  <c r="O645"/>
  <c r="P645" s="1"/>
  <c r="N645"/>
  <c r="O644"/>
  <c r="P644" s="1"/>
  <c r="N644"/>
  <c r="O643"/>
  <c r="P643" s="1"/>
  <c r="N643"/>
  <c r="O642"/>
  <c r="P642" s="1"/>
  <c r="N642"/>
  <c r="O641"/>
  <c r="P641" s="1"/>
  <c r="N641"/>
  <c r="O640"/>
  <c r="P640" s="1"/>
  <c r="N640"/>
  <c r="O639"/>
  <c r="P639" s="1"/>
  <c r="N639"/>
  <c r="O638"/>
  <c r="P638" s="1"/>
  <c r="N638"/>
  <c r="O637"/>
  <c r="P637" s="1"/>
  <c r="N637"/>
  <c r="O636"/>
  <c r="P636" s="1"/>
  <c r="N636"/>
  <c r="O635"/>
  <c r="P635" s="1"/>
  <c r="N635"/>
  <c r="O634"/>
  <c r="P634" s="1"/>
  <c r="N634"/>
  <c r="O633"/>
  <c r="P633" s="1"/>
  <c r="N633"/>
  <c r="O632"/>
  <c r="P632" s="1"/>
  <c r="N632"/>
  <c r="O631"/>
  <c r="P631" s="1"/>
  <c r="N631"/>
  <c r="O630"/>
  <c r="P630" s="1"/>
  <c r="N630"/>
  <c r="O629"/>
  <c r="P629" s="1"/>
  <c r="N629"/>
  <c r="O628"/>
  <c r="P628" s="1"/>
  <c r="N628"/>
  <c r="O627"/>
  <c r="P627" s="1"/>
  <c r="N627"/>
  <c r="O626"/>
  <c r="P626" s="1"/>
  <c r="N626"/>
  <c r="O625"/>
  <c r="P625" s="1"/>
  <c r="N625"/>
  <c r="O624"/>
  <c r="N624"/>
  <c r="O623"/>
  <c r="P623" s="1"/>
  <c r="N623"/>
  <c r="O622"/>
  <c r="P622" s="1"/>
  <c r="N622"/>
  <c r="O537"/>
  <c r="P537" s="1"/>
  <c r="N537"/>
  <c r="O536"/>
  <c r="P536" s="1"/>
  <c r="N536"/>
  <c r="O535"/>
  <c r="P535" s="1"/>
  <c r="N535"/>
  <c r="O534"/>
  <c r="P534" s="1"/>
  <c r="N534"/>
  <c r="O533"/>
  <c r="P533" s="1"/>
  <c r="N533"/>
  <c r="O532"/>
  <c r="P532" s="1"/>
  <c r="N532"/>
  <c r="O531"/>
  <c r="P531" s="1"/>
  <c r="N531"/>
  <c r="O530"/>
  <c r="P530" s="1"/>
  <c r="N530"/>
  <c r="O529"/>
  <c r="P529" s="1"/>
  <c r="N529"/>
  <c r="O528"/>
  <c r="P528" s="1"/>
  <c r="N528"/>
  <c r="O527"/>
  <c r="P527" s="1"/>
  <c r="N527"/>
  <c r="O526"/>
  <c r="P526" s="1"/>
  <c r="N526"/>
  <c r="O525"/>
  <c r="P525" s="1"/>
  <c r="N525"/>
  <c r="O524"/>
  <c r="P524" s="1"/>
  <c r="N524"/>
  <c r="O523"/>
  <c r="P523" s="1"/>
  <c r="N523"/>
  <c r="O522"/>
  <c r="P522" s="1"/>
  <c r="N522"/>
  <c r="O521"/>
  <c r="P521" s="1"/>
  <c r="N521"/>
  <c r="O520"/>
  <c r="P520" s="1"/>
  <c r="N520"/>
  <c r="O519"/>
  <c r="P519" s="1"/>
  <c r="N519"/>
  <c r="O518"/>
  <c r="P518" s="1"/>
  <c r="N518"/>
  <c r="O517"/>
  <c r="P517" s="1"/>
  <c r="N517"/>
  <c r="O516"/>
  <c r="P516" s="1"/>
  <c r="N516"/>
  <c r="O515"/>
  <c r="P515" s="1"/>
  <c r="N515"/>
  <c r="O514"/>
  <c r="P514" s="1"/>
  <c r="N514"/>
  <c r="O513"/>
  <c r="P513" s="1"/>
  <c r="N513"/>
  <c r="O512"/>
  <c r="P512" s="1"/>
  <c r="N512"/>
  <c r="O511"/>
  <c r="P511" s="1"/>
  <c r="N511"/>
  <c r="O510"/>
  <c r="P510" s="1"/>
  <c r="N510"/>
  <c r="O509"/>
  <c r="P509" s="1"/>
  <c r="N509"/>
  <c r="O508"/>
  <c r="P508" s="1"/>
  <c r="N508"/>
  <c r="O507"/>
  <c r="P507" s="1"/>
  <c r="N507"/>
  <c r="O506"/>
  <c r="P506" s="1"/>
  <c r="N506"/>
  <c r="O505"/>
  <c r="P505" s="1"/>
  <c r="N505"/>
  <c r="O504"/>
  <c r="P504" s="1"/>
  <c r="N504"/>
  <c r="O503"/>
  <c r="P503" s="1"/>
  <c r="N503"/>
  <c r="O502"/>
  <c r="P502" s="1"/>
  <c r="N502"/>
  <c r="O501"/>
  <c r="P501" s="1"/>
  <c r="N501"/>
  <c r="O500"/>
  <c r="P500" s="1"/>
  <c r="N500"/>
  <c r="O499"/>
  <c r="P499" s="1"/>
  <c r="N499"/>
  <c r="O498"/>
  <c r="P498" s="1"/>
  <c r="N498"/>
  <c r="O497"/>
  <c r="P497" s="1"/>
  <c r="N497"/>
  <c r="O496"/>
  <c r="P496" s="1"/>
  <c r="N496"/>
  <c r="O495"/>
  <c r="P495" s="1"/>
  <c r="N495"/>
  <c r="O494"/>
  <c r="P494" s="1"/>
  <c r="N494"/>
  <c r="O493"/>
  <c r="P493" s="1"/>
  <c r="N493"/>
  <c r="O492"/>
  <c r="P492" s="1"/>
  <c r="N492"/>
  <c r="O491"/>
  <c r="P491" s="1"/>
  <c r="N491"/>
  <c r="O490"/>
  <c r="P490" s="1"/>
  <c r="N490"/>
  <c r="O489"/>
  <c r="P489" s="1"/>
  <c r="N489"/>
  <c r="O488"/>
  <c r="P488" s="1"/>
  <c r="N488"/>
  <c r="O487"/>
  <c r="P487" s="1"/>
  <c r="N487"/>
  <c r="O486"/>
  <c r="P486" s="1"/>
  <c r="N486"/>
  <c r="O485"/>
  <c r="P485" s="1"/>
  <c r="N485"/>
  <c r="O484"/>
  <c r="P484" s="1"/>
  <c r="N484"/>
  <c r="O483"/>
  <c r="P483" s="1"/>
  <c r="N483"/>
  <c r="O482"/>
  <c r="P482" s="1"/>
  <c r="N482"/>
  <c r="O481"/>
  <c r="P481" s="1"/>
  <c r="N481"/>
  <c r="O480"/>
  <c r="P480" s="1"/>
  <c r="N480"/>
  <c r="O479"/>
  <c r="P479" s="1"/>
  <c r="N479"/>
  <c r="O478"/>
  <c r="P478" s="1"/>
  <c r="N478"/>
  <c r="O477"/>
  <c r="P477" s="1"/>
  <c r="N477"/>
  <c r="O476"/>
  <c r="P476" s="1"/>
  <c r="N476"/>
  <c r="O475"/>
  <c r="P475" s="1"/>
  <c r="N475"/>
  <c r="O474"/>
  <c r="P474" s="1"/>
  <c r="N474"/>
  <c r="O473"/>
  <c r="P473" s="1"/>
  <c r="N473"/>
  <c r="O472"/>
  <c r="P472" s="1"/>
  <c r="N472"/>
  <c r="O471"/>
  <c r="P471" s="1"/>
  <c r="N471"/>
  <c r="O470"/>
  <c r="P470" s="1"/>
  <c r="N470"/>
  <c r="O469"/>
  <c r="P469" s="1"/>
  <c r="N469"/>
  <c r="O468"/>
  <c r="P468" s="1"/>
  <c r="N468"/>
  <c r="O467"/>
  <c r="P467" s="1"/>
  <c r="N467"/>
  <c r="O466"/>
  <c r="P466" s="1"/>
  <c r="N466"/>
  <c r="O465"/>
  <c r="P465" s="1"/>
  <c r="N465"/>
  <c r="O464"/>
  <c r="P464" s="1"/>
  <c r="N464"/>
  <c r="O463"/>
  <c r="P463" s="1"/>
  <c r="N463"/>
  <c r="O462"/>
  <c r="P462" s="1"/>
  <c r="N462"/>
  <c r="O461"/>
  <c r="P461" s="1"/>
  <c r="N461"/>
  <c r="O460"/>
  <c r="P460" s="1"/>
  <c r="N460"/>
  <c r="O459"/>
  <c r="P459" s="1"/>
  <c r="N459"/>
  <c r="O458"/>
  <c r="P458" s="1"/>
  <c r="N458"/>
  <c r="O457"/>
  <c r="P457" s="1"/>
  <c r="N457"/>
  <c r="O456"/>
  <c r="P456" s="1"/>
  <c r="N456"/>
  <c r="O455"/>
  <c r="P455" s="1"/>
  <c r="N455"/>
  <c r="O454"/>
  <c r="P454" s="1"/>
  <c r="N454"/>
  <c r="O453"/>
  <c r="P453" s="1"/>
  <c r="N453"/>
  <c r="O452"/>
  <c r="P452" s="1"/>
  <c r="N452"/>
  <c r="O451"/>
  <c r="P451" s="1"/>
  <c r="N451"/>
  <c r="O450"/>
  <c r="P450" s="1"/>
  <c r="N450"/>
  <c r="O449"/>
  <c r="P449" s="1"/>
  <c r="N449"/>
  <c r="O448"/>
  <c r="P448" s="1"/>
  <c r="N448"/>
  <c r="O447"/>
  <c r="P447" s="1"/>
  <c r="N447"/>
  <c r="O446"/>
  <c r="P446" s="1"/>
  <c r="N446"/>
  <c r="O445"/>
  <c r="P445" s="1"/>
  <c r="N445"/>
  <c r="O444"/>
  <c r="P444" s="1"/>
  <c r="N444"/>
  <c r="O443"/>
  <c r="P443" s="1"/>
  <c r="N443"/>
  <c r="O442"/>
  <c r="P442" s="1"/>
  <c r="N442"/>
  <c r="O441"/>
  <c r="P441" s="1"/>
  <c r="N441"/>
  <c r="O440"/>
  <c r="P440" s="1"/>
  <c r="N440"/>
  <c r="O439"/>
  <c r="P439" s="1"/>
  <c r="N439"/>
  <c r="O438"/>
  <c r="P438" s="1"/>
  <c r="N438"/>
  <c r="O437"/>
  <c r="P437" s="1"/>
  <c r="N437"/>
  <c r="O436"/>
  <c r="P436" s="1"/>
  <c r="N436"/>
  <c r="O435"/>
  <c r="P435" s="1"/>
  <c r="N435"/>
  <c r="O434"/>
  <c r="P434" s="1"/>
  <c r="N434"/>
  <c r="O433"/>
  <c r="P433" s="1"/>
  <c r="N433"/>
  <c r="O432"/>
  <c r="P432" s="1"/>
  <c r="N432"/>
  <c r="O431"/>
  <c r="P431" s="1"/>
  <c r="N431"/>
  <c r="O430"/>
  <c r="P430" s="1"/>
  <c r="N430"/>
  <c r="O429"/>
  <c r="P429" s="1"/>
  <c r="N429"/>
  <c r="O428"/>
  <c r="P428" s="1"/>
  <c r="N428"/>
  <c r="O427"/>
  <c r="P427" s="1"/>
  <c r="N427"/>
  <c r="O426"/>
  <c r="P426" s="1"/>
  <c r="N426"/>
  <c r="O425"/>
  <c r="P425" s="1"/>
  <c r="N425"/>
  <c r="O424"/>
  <c r="P424" s="1"/>
  <c r="N424"/>
  <c r="O423"/>
  <c r="P423" s="1"/>
  <c r="N423"/>
  <c r="O422"/>
  <c r="P422" s="1"/>
  <c r="N422"/>
  <c r="O421"/>
  <c r="P421" s="1"/>
  <c r="N421"/>
  <c r="O420"/>
  <c r="P420" s="1"/>
  <c r="N420"/>
  <c r="O419"/>
  <c r="P419" s="1"/>
  <c r="N419"/>
  <c r="O418"/>
  <c r="P418" s="1"/>
  <c r="N418"/>
  <c r="O417"/>
  <c r="P417" s="1"/>
  <c r="N417"/>
  <c r="O416"/>
  <c r="P416" s="1"/>
  <c r="N416"/>
  <c r="O415"/>
  <c r="P415" s="1"/>
  <c r="N415"/>
  <c r="O414"/>
  <c r="P414" s="1"/>
  <c r="N414"/>
  <c r="O413"/>
  <c r="P413" s="1"/>
  <c r="N413"/>
  <c r="O412"/>
  <c r="P412" s="1"/>
  <c r="N412"/>
  <c r="O411"/>
  <c r="P411" s="1"/>
  <c r="N411"/>
  <c r="O410"/>
  <c r="P410" s="1"/>
  <c r="N410"/>
  <c r="O409"/>
  <c r="P409" s="1"/>
  <c r="N409"/>
  <c r="O408"/>
  <c r="P408" s="1"/>
  <c r="N408"/>
  <c r="O407"/>
  <c r="P407" s="1"/>
  <c r="N407"/>
  <c r="O406"/>
  <c r="P406" s="1"/>
  <c r="N406"/>
  <c r="O405"/>
  <c r="P405" s="1"/>
  <c r="N405"/>
  <c r="O404"/>
  <c r="P404" s="1"/>
  <c r="N404"/>
  <c r="O403"/>
  <c r="P403" s="1"/>
  <c r="N403"/>
  <c r="O402"/>
  <c r="P402" s="1"/>
  <c r="N402"/>
  <c r="O401"/>
  <c r="P401" s="1"/>
  <c r="N401"/>
  <c r="O400"/>
  <c r="P400" s="1"/>
  <c r="N400"/>
  <c r="O399"/>
  <c r="P399" s="1"/>
  <c r="N399"/>
  <c r="O398"/>
  <c r="P398" s="1"/>
  <c r="N398"/>
  <c r="O397"/>
  <c r="P397" s="1"/>
  <c r="N397"/>
  <c r="O396"/>
  <c r="P396" s="1"/>
  <c r="N396"/>
  <c r="O395"/>
  <c r="P395" s="1"/>
  <c r="N395"/>
  <c r="O394"/>
  <c r="P394" s="1"/>
  <c r="N394"/>
  <c r="O393"/>
  <c r="P393" s="1"/>
  <c r="N393"/>
  <c r="O392"/>
  <c r="P392" s="1"/>
  <c r="N392"/>
  <c r="O391"/>
  <c r="P391" s="1"/>
  <c r="N391"/>
  <c r="O390"/>
  <c r="P390" s="1"/>
  <c r="N390"/>
  <c r="O389"/>
  <c r="P389" s="1"/>
  <c r="N389"/>
  <c r="O388"/>
  <c r="P388" s="1"/>
  <c r="N388"/>
  <c r="O387"/>
  <c r="P387" s="1"/>
  <c r="N387"/>
  <c r="O386"/>
  <c r="P386" s="1"/>
  <c r="N386"/>
  <c r="O385"/>
  <c r="P385" s="1"/>
  <c r="N385"/>
  <c r="O384"/>
  <c r="P384" s="1"/>
  <c r="N384"/>
  <c r="O383"/>
  <c r="P383" s="1"/>
  <c r="N383"/>
  <c r="O382"/>
  <c r="P382" s="1"/>
  <c r="N382"/>
  <c r="O381"/>
  <c r="P381" s="1"/>
  <c r="N381"/>
  <c r="O380"/>
  <c r="P380" s="1"/>
  <c r="N380"/>
  <c r="O379"/>
  <c r="P379" s="1"/>
  <c r="N379"/>
  <c r="O378"/>
  <c r="P378" s="1"/>
  <c r="N378"/>
  <c r="O377"/>
  <c r="P377" s="1"/>
  <c r="N377"/>
  <c r="O376"/>
  <c r="P376" s="1"/>
  <c r="N376"/>
  <c r="O375"/>
  <c r="P375" s="1"/>
  <c r="N375"/>
  <c r="O374"/>
  <c r="P374" s="1"/>
  <c r="N374"/>
  <c r="O373"/>
  <c r="P373" s="1"/>
  <c r="N373"/>
  <c r="O372"/>
  <c r="P372" s="1"/>
  <c r="N372"/>
  <c r="O371"/>
  <c r="P371" s="1"/>
  <c r="N371"/>
  <c r="O370"/>
  <c r="P370" s="1"/>
  <c r="N370"/>
  <c r="O369"/>
  <c r="P369" s="1"/>
  <c r="N369"/>
  <c r="O368"/>
  <c r="P368" s="1"/>
  <c r="N368"/>
  <c r="O367"/>
  <c r="P367" s="1"/>
  <c r="N367"/>
  <c r="O366"/>
  <c r="P366" s="1"/>
  <c r="N366"/>
  <c r="O365"/>
  <c r="P365" s="1"/>
  <c r="N365"/>
  <c r="O364"/>
  <c r="P364" s="1"/>
  <c r="N364"/>
  <c r="O363"/>
  <c r="P363" s="1"/>
  <c r="N363"/>
  <c r="O362"/>
  <c r="P362" s="1"/>
  <c r="N362"/>
  <c r="O361"/>
  <c r="P361" s="1"/>
  <c r="N361"/>
  <c r="O360"/>
  <c r="P360" s="1"/>
  <c r="N360"/>
  <c r="O359"/>
  <c r="P359" s="1"/>
  <c r="N359"/>
  <c r="O358"/>
  <c r="P358" s="1"/>
  <c r="N358"/>
  <c r="O357"/>
  <c r="P357" s="1"/>
  <c r="N357"/>
  <c r="O356"/>
  <c r="P356" s="1"/>
  <c r="N356"/>
  <c r="O354"/>
  <c r="P354" s="1"/>
  <c r="N354"/>
  <c r="O353"/>
  <c r="P353" s="1"/>
  <c r="N353"/>
  <c r="O352"/>
  <c r="P352" s="1"/>
  <c r="N352"/>
  <c r="O351"/>
  <c r="P351" s="1"/>
  <c r="N351"/>
  <c r="O350"/>
  <c r="P350" s="1"/>
  <c r="N350"/>
  <c r="O349"/>
  <c r="P349" s="1"/>
  <c r="N349"/>
  <c r="O348"/>
  <c r="P348" s="1"/>
  <c r="N348"/>
  <c r="O347"/>
  <c r="P347" s="1"/>
  <c r="N347"/>
  <c r="O346"/>
  <c r="P346" s="1"/>
  <c r="N346"/>
  <c r="O345"/>
  <c r="P345" s="1"/>
  <c r="N345"/>
  <c r="O344"/>
  <c r="P344" s="1"/>
  <c r="N344"/>
  <c r="O343"/>
  <c r="P343" s="1"/>
  <c r="N343"/>
  <c r="O342"/>
  <c r="P342" s="1"/>
  <c r="N342"/>
  <c r="O341"/>
  <c r="P341" s="1"/>
  <c r="N341"/>
  <c r="O340"/>
  <c r="P340" s="1"/>
  <c r="N340"/>
  <c r="O339"/>
  <c r="P339" s="1"/>
  <c r="N339"/>
  <c r="O338"/>
  <c r="P338" s="1"/>
  <c r="N338"/>
  <c r="O337"/>
  <c r="P337" s="1"/>
  <c r="N337"/>
  <c r="O336"/>
  <c r="P336" s="1"/>
  <c r="N336"/>
  <c r="O335"/>
  <c r="P335" s="1"/>
  <c r="N335"/>
  <c r="O334"/>
  <c r="P334" s="1"/>
  <c r="N334"/>
  <c r="O333"/>
  <c r="P333" s="1"/>
  <c r="N333"/>
  <c r="O332"/>
  <c r="P332" s="1"/>
  <c r="N332"/>
  <c r="O331"/>
  <c r="P331" s="1"/>
  <c r="N331"/>
  <c r="O330"/>
  <c r="P330" s="1"/>
  <c r="N330"/>
  <c r="O329"/>
  <c r="P329" s="1"/>
  <c r="N329"/>
  <c r="O328"/>
  <c r="P328" s="1"/>
  <c r="N328"/>
  <c r="O327"/>
  <c r="P327" s="1"/>
  <c r="N327"/>
  <c r="O326"/>
  <c r="P326" s="1"/>
  <c r="N326"/>
  <c r="O325"/>
  <c r="P325" s="1"/>
  <c r="N325"/>
  <c r="O324"/>
  <c r="P324" s="1"/>
  <c r="N324"/>
  <c r="O323"/>
  <c r="P323" s="1"/>
  <c r="N323"/>
  <c r="O322"/>
  <c r="P322" s="1"/>
  <c r="N322"/>
  <c r="O321"/>
  <c r="P321" s="1"/>
  <c r="N321"/>
  <c r="O320"/>
  <c r="P320" s="1"/>
  <c r="N320"/>
  <c r="O319"/>
  <c r="P319" s="1"/>
  <c r="N319"/>
  <c r="O318"/>
  <c r="P318" s="1"/>
  <c r="N318"/>
  <c r="O317"/>
  <c r="P317" s="1"/>
  <c r="N317"/>
  <c r="O316"/>
  <c r="P316" s="1"/>
  <c r="N316"/>
  <c r="O315"/>
  <c r="P315" s="1"/>
  <c r="N315"/>
  <c r="O314"/>
  <c r="P314" s="1"/>
  <c r="N314"/>
  <c r="O313"/>
  <c r="P313" s="1"/>
  <c r="N313"/>
  <c r="O312"/>
  <c r="P312" s="1"/>
  <c r="N312"/>
  <c r="O311"/>
  <c r="P311" s="1"/>
  <c r="N311"/>
  <c r="O310"/>
  <c r="P310" s="1"/>
  <c r="N310"/>
  <c r="O309"/>
  <c r="P309" s="1"/>
  <c r="N309"/>
  <c r="O308"/>
  <c r="P308" s="1"/>
  <c r="N308"/>
  <c r="O307"/>
  <c r="P307" s="1"/>
  <c r="N307"/>
  <c r="O306"/>
  <c r="P306" s="1"/>
  <c r="N306"/>
  <c r="O305"/>
  <c r="N305"/>
  <c r="O304"/>
  <c r="P304" s="1"/>
  <c r="N304"/>
  <c r="O303"/>
  <c r="P303" s="1"/>
  <c r="N303"/>
  <c r="O302"/>
  <c r="P302" s="1"/>
  <c r="N302"/>
  <c r="O300"/>
  <c r="P300" s="1"/>
  <c r="N300"/>
  <c r="O299"/>
  <c r="P299" s="1"/>
  <c r="N299"/>
  <c r="O298"/>
  <c r="P298" s="1"/>
  <c r="N298"/>
  <c r="O297"/>
  <c r="P297" s="1"/>
  <c r="N297"/>
  <c r="O296"/>
  <c r="P296" s="1"/>
  <c r="N296"/>
  <c r="O295"/>
  <c r="P295" s="1"/>
  <c r="N295"/>
  <c r="O294"/>
  <c r="P294" s="1"/>
  <c r="N294"/>
  <c r="O288"/>
  <c r="P288" s="1"/>
  <c r="N288"/>
  <c r="O287"/>
  <c r="P287" s="1"/>
  <c r="N287"/>
  <c r="O286"/>
  <c r="P286" s="1"/>
  <c r="N286"/>
  <c r="O285"/>
  <c r="P285" s="1"/>
  <c r="N285"/>
  <c r="O284"/>
  <c r="P284" s="1"/>
  <c r="N284"/>
  <c r="O283"/>
  <c r="P283" s="1"/>
  <c r="N283"/>
  <c r="O282"/>
  <c r="P282" s="1"/>
  <c r="N282"/>
  <c r="O281"/>
  <c r="P281" s="1"/>
  <c r="N281"/>
  <c r="O280"/>
  <c r="P280" s="1"/>
  <c r="N280"/>
  <c r="O279"/>
  <c r="P279" s="1"/>
  <c r="N279"/>
  <c r="O278"/>
  <c r="P278" s="1"/>
  <c r="N278"/>
  <c r="O277"/>
  <c r="P277" s="1"/>
  <c r="N277"/>
  <c r="O276"/>
  <c r="P276" s="1"/>
  <c r="N276"/>
  <c r="O275"/>
  <c r="P275" s="1"/>
  <c r="N275"/>
  <c r="O274"/>
  <c r="P274" s="1"/>
  <c r="N274"/>
  <c r="O273"/>
  <c r="P273" s="1"/>
  <c r="N273"/>
  <c r="O272"/>
  <c r="P272" s="1"/>
  <c r="N272"/>
  <c r="O271"/>
  <c r="P271" s="1"/>
  <c r="N271"/>
  <c r="O270"/>
  <c r="P270" s="1"/>
  <c r="N270"/>
  <c r="O269"/>
  <c r="P269" s="1"/>
  <c r="N269"/>
  <c r="O268"/>
  <c r="P268" s="1"/>
  <c r="N268"/>
  <c r="O267"/>
  <c r="P267" s="1"/>
  <c r="N267"/>
  <c r="O266"/>
  <c r="P266" s="1"/>
  <c r="N266"/>
  <c r="O265"/>
  <c r="P265" s="1"/>
  <c r="N265"/>
  <c r="O264"/>
  <c r="P264" s="1"/>
  <c r="N264"/>
  <c r="O263"/>
  <c r="P263" s="1"/>
  <c r="N263"/>
  <c r="O262"/>
  <c r="P262" s="1"/>
  <c r="N262"/>
  <c r="O261"/>
  <c r="P261" s="1"/>
  <c r="N261"/>
  <c r="O260"/>
  <c r="P260" s="1"/>
  <c r="N260"/>
  <c r="O259"/>
  <c r="P259" s="1"/>
  <c r="N259"/>
  <c r="O258"/>
  <c r="P258" s="1"/>
  <c r="N258"/>
  <c r="O257"/>
  <c r="P257" s="1"/>
  <c r="N257"/>
  <c r="O256"/>
  <c r="P256" s="1"/>
  <c r="N256"/>
  <c r="O255"/>
  <c r="P255" s="1"/>
  <c r="N255"/>
  <c r="O254"/>
  <c r="P254" s="1"/>
  <c r="N254"/>
  <c r="O253"/>
  <c r="P253" s="1"/>
  <c r="N253"/>
  <c r="O252"/>
  <c r="P252" s="1"/>
  <c r="N252"/>
  <c r="O251"/>
  <c r="P251" s="1"/>
  <c r="N251"/>
  <c r="O250"/>
  <c r="P250" s="1"/>
  <c r="N250"/>
  <c r="O249"/>
  <c r="P249" s="1"/>
  <c r="N249"/>
  <c r="O248"/>
  <c r="P248" s="1"/>
  <c r="N248"/>
  <c r="O247"/>
  <c r="P247" s="1"/>
  <c r="N247"/>
  <c r="O246"/>
  <c r="P246" s="1"/>
  <c r="N246"/>
  <c r="O245"/>
  <c r="P245" s="1"/>
  <c r="N245"/>
  <c r="O244"/>
  <c r="P244" s="1"/>
  <c r="N244"/>
  <c r="O243"/>
  <c r="P243" s="1"/>
  <c r="N243"/>
  <c r="O242"/>
  <c r="P242" s="1"/>
  <c r="N242"/>
  <c r="O241"/>
  <c r="P241" s="1"/>
  <c r="N241"/>
  <c r="O240"/>
  <c r="P240" s="1"/>
  <c r="N240"/>
  <c r="O239"/>
  <c r="P239" s="1"/>
  <c r="N239"/>
  <c r="O238"/>
  <c r="P238" s="1"/>
  <c r="N238"/>
  <c r="O237"/>
  <c r="P237" s="1"/>
  <c r="N237"/>
  <c r="O236"/>
  <c r="P236" s="1"/>
  <c r="N236"/>
  <c r="O235"/>
  <c r="P235" s="1"/>
  <c r="N235"/>
  <c r="O234"/>
  <c r="P234" s="1"/>
  <c r="N234"/>
  <c r="O233"/>
  <c r="P233" s="1"/>
  <c r="N233"/>
  <c r="O232"/>
  <c r="P232" s="1"/>
  <c r="N232"/>
  <c r="O231"/>
  <c r="P231" s="1"/>
  <c r="N231"/>
  <c r="O230"/>
  <c r="P230" s="1"/>
  <c r="N230"/>
  <c r="O229"/>
  <c r="P229" s="1"/>
  <c r="N229"/>
  <c r="O228"/>
  <c r="P228" s="1"/>
  <c r="N228"/>
  <c r="O227"/>
  <c r="P227" s="1"/>
  <c r="N227"/>
  <c r="O226"/>
  <c r="P226" s="1"/>
  <c r="N226"/>
  <c r="O225"/>
  <c r="P225" s="1"/>
  <c r="N225"/>
  <c r="O224"/>
  <c r="P224" s="1"/>
  <c r="N224"/>
  <c r="O223"/>
  <c r="P223" s="1"/>
  <c r="N223"/>
  <c r="O222"/>
  <c r="P222" s="1"/>
  <c r="N222"/>
  <c r="O221"/>
  <c r="P221" s="1"/>
  <c r="N221"/>
  <c r="O220"/>
  <c r="P220" s="1"/>
  <c r="N220"/>
  <c r="O219"/>
  <c r="P219" s="1"/>
  <c r="N219"/>
  <c r="O218"/>
  <c r="P218" s="1"/>
  <c r="N218"/>
  <c r="O217"/>
  <c r="P217" s="1"/>
  <c r="N217"/>
  <c r="O216"/>
  <c r="P216" s="1"/>
  <c r="N216"/>
  <c r="O215"/>
  <c r="P215" s="1"/>
  <c r="N215"/>
  <c r="O214"/>
  <c r="P214" s="1"/>
  <c r="N214"/>
  <c r="O213"/>
  <c r="P213" s="1"/>
  <c r="N213"/>
  <c r="O212"/>
  <c r="P212" s="1"/>
  <c r="N212"/>
  <c r="O211"/>
  <c r="P211" s="1"/>
  <c r="N211"/>
  <c r="O210"/>
  <c r="P210" s="1"/>
  <c r="N210"/>
  <c r="O209"/>
  <c r="P209" s="1"/>
  <c r="N209"/>
  <c r="O208"/>
  <c r="P208" s="1"/>
  <c r="N208"/>
  <c r="O207"/>
  <c r="P207" s="1"/>
  <c r="N207"/>
  <c r="O206"/>
  <c r="P206" s="1"/>
  <c r="N206"/>
  <c r="O205"/>
  <c r="P205" s="1"/>
  <c r="N205"/>
  <c r="O204"/>
  <c r="P204" s="1"/>
  <c r="N204"/>
  <c r="O203"/>
  <c r="P203" s="1"/>
  <c r="N203"/>
  <c r="O202"/>
  <c r="P202" s="1"/>
  <c r="N202"/>
  <c r="O201"/>
  <c r="P201" s="1"/>
  <c r="N201"/>
  <c r="O200"/>
  <c r="P200" s="1"/>
  <c r="N200"/>
  <c r="O199"/>
  <c r="P199" s="1"/>
  <c r="N199"/>
  <c r="O198"/>
  <c r="P198" s="1"/>
  <c r="N198"/>
  <c r="O197"/>
  <c r="P197" s="1"/>
  <c r="N197"/>
  <c r="O196"/>
  <c r="P196" s="1"/>
  <c r="N196"/>
  <c r="O195"/>
  <c r="P195" s="1"/>
  <c r="N195"/>
  <c r="O194"/>
  <c r="P194" s="1"/>
  <c r="N194"/>
  <c r="O193"/>
  <c r="P193" s="1"/>
  <c r="N193"/>
  <c r="O192"/>
  <c r="P192" s="1"/>
  <c r="N192"/>
  <c r="O191"/>
  <c r="P191" s="1"/>
  <c r="N191"/>
  <c r="O190"/>
  <c r="P190" s="1"/>
  <c r="N190"/>
  <c r="O189"/>
  <c r="P189" s="1"/>
  <c r="N189"/>
  <c r="O188"/>
  <c r="P188" s="1"/>
  <c r="N188"/>
  <c r="O187"/>
  <c r="P187" s="1"/>
  <c r="N187"/>
  <c r="O186"/>
  <c r="P186" s="1"/>
  <c r="N186"/>
  <c r="O185"/>
  <c r="P185" s="1"/>
  <c r="N185"/>
  <c r="O184"/>
  <c r="P184" s="1"/>
  <c r="N184"/>
  <c r="O183"/>
  <c r="P183" s="1"/>
  <c r="N183"/>
  <c r="O182"/>
  <c r="P182" s="1"/>
  <c r="N182"/>
  <c r="O181"/>
  <c r="P181" s="1"/>
  <c r="N181"/>
  <c r="O180"/>
  <c r="P180" s="1"/>
  <c r="N180"/>
  <c r="O179"/>
  <c r="P179" s="1"/>
  <c r="N179"/>
  <c r="O178"/>
  <c r="P178" s="1"/>
  <c r="N178"/>
  <c r="O177"/>
  <c r="P177" s="1"/>
  <c r="N177"/>
  <c r="O176"/>
  <c r="P176" s="1"/>
  <c r="N176"/>
  <c r="O175"/>
  <c r="P175" s="1"/>
  <c r="N175"/>
  <c r="O174"/>
  <c r="P174" s="1"/>
  <c r="N174"/>
  <c r="O173"/>
  <c r="P173" s="1"/>
  <c r="N173"/>
  <c r="O172"/>
  <c r="P172" s="1"/>
  <c r="N172"/>
  <c r="O171"/>
  <c r="P171" s="1"/>
  <c r="N171"/>
  <c r="O170"/>
  <c r="P170" s="1"/>
  <c r="N170"/>
  <c r="O169"/>
  <c r="P169" s="1"/>
  <c r="N169"/>
  <c r="O168"/>
  <c r="P168" s="1"/>
  <c r="N168"/>
  <c r="O167"/>
  <c r="P167" s="1"/>
  <c r="N167"/>
  <c r="O166"/>
  <c r="P166" s="1"/>
  <c r="N166"/>
  <c r="O165"/>
  <c r="P165" s="1"/>
  <c r="N165"/>
  <c r="O164"/>
  <c r="P164" s="1"/>
  <c r="N164"/>
  <c r="O163"/>
  <c r="P163" s="1"/>
  <c r="N163"/>
  <c r="O162"/>
  <c r="P162" s="1"/>
  <c r="N162"/>
  <c r="O161"/>
  <c r="P161" s="1"/>
  <c r="N161"/>
  <c r="O160"/>
  <c r="P160" s="1"/>
  <c r="N160"/>
  <c r="O159"/>
  <c r="P159" s="1"/>
  <c r="N159"/>
  <c r="O158"/>
  <c r="P158" s="1"/>
  <c r="N158"/>
  <c r="O157"/>
  <c r="P157" s="1"/>
  <c r="N157"/>
  <c r="O156"/>
  <c r="P156" s="1"/>
  <c r="N156"/>
  <c r="O155"/>
  <c r="P155" s="1"/>
  <c r="N155"/>
  <c r="O154"/>
  <c r="P154" s="1"/>
  <c r="N154"/>
  <c r="O153"/>
  <c r="P153" s="1"/>
  <c r="N153"/>
  <c r="O152"/>
  <c r="P152" s="1"/>
  <c r="N152"/>
  <c r="O151"/>
  <c r="P151" s="1"/>
  <c r="N151"/>
  <c r="O150"/>
  <c r="P150" s="1"/>
  <c r="N150"/>
  <c r="O149"/>
  <c r="P149" s="1"/>
  <c r="N149"/>
  <c r="O148"/>
  <c r="P148" s="1"/>
  <c r="N148"/>
  <c r="O147"/>
  <c r="P147" s="1"/>
  <c r="N147"/>
  <c r="O146"/>
  <c r="P146" s="1"/>
  <c r="N146"/>
  <c r="O145"/>
  <c r="P145" s="1"/>
  <c r="N145"/>
  <c r="O144"/>
  <c r="P144" s="1"/>
  <c r="N144"/>
  <c r="O143"/>
  <c r="P143" s="1"/>
  <c r="N143"/>
  <c r="O142"/>
  <c r="P142" s="1"/>
  <c r="N142"/>
  <c r="O141"/>
  <c r="P141" s="1"/>
  <c r="N141"/>
  <c r="O140"/>
  <c r="P140" s="1"/>
  <c r="N140"/>
  <c r="O139"/>
  <c r="P139" s="1"/>
  <c r="N139"/>
  <c r="O138"/>
  <c r="P138" s="1"/>
  <c r="N138"/>
  <c r="O137"/>
  <c r="P137" s="1"/>
  <c r="N137"/>
  <c r="O136"/>
  <c r="P136" s="1"/>
  <c r="N136"/>
  <c r="O135"/>
  <c r="P135" s="1"/>
  <c r="N135"/>
  <c r="O134"/>
  <c r="P134" s="1"/>
  <c r="N134"/>
  <c r="O133"/>
  <c r="P133" s="1"/>
  <c r="N133"/>
  <c r="O132"/>
  <c r="P132" s="1"/>
  <c r="N132"/>
  <c r="O131"/>
  <c r="P131" s="1"/>
  <c r="N131"/>
  <c r="O130"/>
  <c r="P130" s="1"/>
  <c r="N130"/>
  <c r="O129"/>
  <c r="P129" s="1"/>
  <c r="N129"/>
  <c r="O128"/>
  <c r="P128" s="1"/>
  <c r="N128"/>
  <c r="O127"/>
  <c r="P127" s="1"/>
  <c r="N127"/>
  <c r="O126"/>
  <c r="P126" s="1"/>
  <c r="N126"/>
  <c r="O125"/>
  <c r="P125" s="1"/>
  <c r="N125"/>
  <c r="O124"/>
  <c r="P124" s="1"/>
  <c r="N124"/>
  <c r="O123"/>
  <c r="P123" s="1"/>
  <c r="N123"/>
  <c r="O122"/>
  <c r="P122" s="1"/>
  <c r="N122"/>
  <c r="O121"/>
  <c r="P121" s="1"/>
  <c r="N121"/>
  <c r="O120"/>
  <c r="P120" s="1"/>
  <c r="N120"/>
  <c r="O119"/>
  <c r="P119" s="1"/>
  <c r="N119"/>
  <c r="O118"/>
  <c r="P118" s="1"/>
  <c r="N118"/>
  <c r="O117"/>
  <c r="P117" s="1"/>
  <c r="N117"/>
  <c r="O116"/>
  <c r="P116" s="1"/>
  <c r="N116"/>
  <c r="O115"/>
  <c r="P115" s="1"/>
  <c r="N115"/>
  <c r="O114"/>
  <c r="P114" s="1"/>
  <c r="N114"/>
  <c r="O113"/>
  <c r="P113" s="1"/>
  <c r="N113"/>
  <c r="O112"/>
  <c r="P112" s="1"/>
  <c r="N112"/>
  <c r="O111"/>
  <c r="P111" s="1"/>
  <c r="N111"/>
  <c r="O110"/>
  <c r="P110" s="1"/>
  <c r="N110"/>
  <c r="O109"/>
  <c r="P109" s="1"/>
  <c r="N109"/>
  <c r="O108"/>
  <c r="P108" s="1"/>
  <c r="N108"/>
  <c r="O107"/>
  <c r="P107" s="1"/>
  <c r="N107"/>
  <c r="O106"/>
  <c r="P106" s="1"/>
  <c r="N106"/>
  <c r="O105"/>
  <c r="P105" s="1"/>
  <c r="N105"/>
  <c r="O104"/>
  <c r="P104" s="1"/>
  <c r="N104"/>
  <c r="O103"/>
  <c r="P103" s="1"/>
  <c r="N103"/>
  <c r="O102"/>
  <c r="P102" s="1"/>
  <c r="N102"/>
  <c r="O101"/>
  <c r="P101" s="1"/>
  <c r="N101"/>
  <c r="O100"/>
  <c r="P100" s="1"/>
  <c r="N100"/>
  <c r="O99"/>
  <c r="P99" s="1"/>
  <c r="N99"/>
  <c r="O98"/>
  <c r="P98" s="1"/>
  <c r="N98"/>
  <c r="O97"/>
  <c r="P97" s="1"/>
  <c r="N97"/>
  <c r="O96"/>
  <c r="P96" s="1"/>
  <c r="N96"/>
  <c r="O95"/>
  <c r="P95" s="1"/>
  <c r="N95"/>
  <c r="O94"/>
  <c r="P94" s="1"/>
  <c r="N94"/>
  <c r="O93"/>
  <c r="P93" s="1"/>
  <c r="N93"/>
  <c r="O92"/>
  <c r="P92" s="1"/>
  <c r="N92"/>
  <c r="O91"/>
  <c r="P91" s="1"/>
  <c r="N91"/>
  <c r="O90"/>
  <c r="P90" s="1"/>
  <c r="N90"/>
  <c r="O89"/>
  <c r="P89" s="1"/>
  <c r="N89"/>
  <c r="O88"/>
  <c r="P88" s="1"/>
  <c r="N88"/>
  <c r="O87"/>
  <c r="P87" s="1"/>
  <c r="N87"/>
  <c r="O86"/>
  <c r="P86" s="1"/>
  <c r="N86"/>
  <c r="O85"/>
  <c r="P85" s="1"/>
  <c r="N85"/>
  <c r="O84"/>
  <c r="P84" s="1"/>
  <c r="N84"/>
  <c r="O83"/>
  <c r="P83" s="1"/>
  <c r="N83"/>
  <c r="O82"/>
  <c r="P82" s="1"/>
  <c r="N82"/>
  <c r="O81"/>
  <c r="P81" s="1"/>
  <c r="N81"/>
  <c r="O80"/>
  <c r="P80" s="1"/>
  <c r="N80"/>
  <c r="O79"/>
  <c r="P79" s="1"/>
  <c r="N79"/>
  <c r="O78"/>
  <c r="P78" s="1"/>
  <c r="N78"/>
  <c r="O77"/>
  <c r="P77" s="1"/>
  <c r="N77"/>
  <c r="O76"/>
  <c r="P76" s="1"/>
  <c r="N76"/>
  <c r="O75"/>
  <c r="P75" s="1"/>
  <c r="N75"/>
  <c r="O74"/>
  <c r="P74" s="1"/>
  <c r="N74"/>
  <c r="O73"/>
  <c r="P73" s="1"/>
  <c r="N73"/>
  <c r="O72"/>
  <c r="P72" s="1"/>
  <c r="N72"/>
  <c r="O71"/>
  <c r="P71" s="1"/>
  <c r="N71"/>
  <c r="O70"/>
  <c r="P70" s="1"/>
  <c r="N70"/>
  <c r="O69"/>
  <c r="P69" s="1"/>
  <c r="N69"/>
  <c r="O68"/>
  <c r="P68" s="1"/>
  <c r="N68"/>
  <c r="O67"/>
  <c r="P67" s="1"/>
  <c r="N67"/>
  <c r="O66"/>
  <c r="P66" s="1"/>
  <c r="N66"/>
  <c r="O65"/>
  <c r="P65" s="1"/>
  <c r="N65"/>
  <c r="O64"/>
  <c r="P64" s="1"/>
  <c r="N64"/>
  <c r="O63"/>
  <c r="P63" s="1"/>
  <c r="N63"/>
  <c r="O62"/>
  <c r="P62" s="1"/>
  <c r="N62"/>
  <c r="O61"/>
  <c r="P61" s="1"/>
  <c r="N61"/>
  <c r="O60"/>
  <c r="P60" s="1"/>
  <c r="N60"/>
  <c r="O59"/>
  <c r="P59" s="1"/>
  <c r="N59"/>
  <c r="O58"/>
  <c r="P58" s="1"/>
  <c r="N58"/>
  <c r="O57"/>
  <c r="P57" s="1"/>
  <c r="N57"/>
  <c r="O56"/>
  <c r="P56" s="1"/>
  <c r="N56"/>
  <c r="O55"/>
  <c r="P55" s="1"/>
  <c r="N55"/>
  <c r="O54"/>
  <c r="P54" s="1"/>
  <c r="N54"/>
  <c r="O53"/>
  <c r="P53" s="1"/>
  <c r="N53"/>
  <c r="O52"/>
  <c r="P52" s="1"/>
  <c r="N52"/>
  <c r="O51"/>
  <c r="P51" s="1"/>
  <c r="N51"/>
  <c r="O50"/>
  <c r="P50" s="1"/>
  <c r="N50"/>
  <c r="O49"/>
  <c r="P49" s="1"/>
  <c r="N49"/>
  <c r="O48"/>
  <c r="P48" s="1"/>
  <c r="N48"/>
  <c r="O47"/>
  <c r="P47" s="1"/>
  <c r="N47"/>
  <c r="O46"/>
  <c r="P46" s="1"/>
  <c r="N46"/>
  <c r="O45"/>
  <c r="P45" s="1"/>
  <c r="N45"/>
  <c r="O44"/>
  <c r="P44" s="1"/>
  <c r="N44"/>
  <c r="O43"/>
  <c r="P43" s="1"/>
  <c r="N43"/>
  <c r="O42"/>
  <c r="P42" s="1"/>
  <c r="N42"/>
  <c r="O41"/>
  <c r="P41" s="1"/>
  <c r="N41"/>
  <c r="O40"/>
  <c r="P40" s="1"/>
  <c r="N40"/>
  <c r="O39"/>
  <c r="P39" s="1"/>
  <c r="N39"/>
  <c r="O38"/>
  <c r="P38" s="1"/>
  <c r="N38"/>
  <c r="O37"/>
  <c r="P37" s="1"/>
  <c r="N37"/>
  <c r="O36"/>
  <c r="P36" s="1"/>
  <c r="N36"/>
  <c r="O35"/>
  <c r="P35" s="1"/>
  <c r="N35"/>
  <c r="O34"/>
  <c r="P34" s="1"/>
  <c r="N34"/>
  <c r="O33"/>
  <c r="P33" s="1"/>
  <c r="N33"/>
  <c r="O32"/>
  <c r="P32" s="1"/>
  <c r="N32"/>
  <c r="O31"/>
  <c r="P31" s="1"/>
  <c r="N31"/>
  <c r="O30"/>
  <c r="P30" s="1"/>
  <c r="N30"/>
  <c r="O29"/>
  <c r="P29" s="1"/>
  <c r="N29"/>
  <c r="O28"/>
  <c r="P28" s="1"/>
  <c r="N28"/>
  <c r="O27"/>
  <c r="P27" s="1"/>
  <c r="N27"/>
  <c r="O26"/>
  <c r="P26" s="1"/>
  <c r="N26"/>
  <c r="O25"/>
  <c r="P25" s="1"/>
  <c r="N25"/>
  <c r="O24"/>
  <c r="P24" s="1"/>
  <c r="N24"/>
  <c r="O23"/>
  <c r="P23" s="1"/>
  <c r="N23"/>
  <c r="O22"/>
  <c r="P22" s="1"/>
  <c r="N22"/>
  <c r="O21"/>
  <c r="P21" s="1"/>
  <c r="N21"/>
  <c r="O20"/>
  <c r="P20" s="1"/>
  <c r="N20"/>
  <c r="O19"/>
  <c r="P19" s="1"/>
  <c r="N19"/>
  <c r="O18"/>
  <c r="P18" s="1"/>
  <c r="N18"/>
  <c r="O17"/>
  <c r="P17" s="1"/>
  <c r="N17"/>
  <c r="O16"/>
  <c r="P16" s="1"/>
  <c r="N16"/>
  <c r="O15"/>
  <c r="P15" s="1"/>
  <c r="N15"/>
  <c r="O14"/>
  <c r="P14" s="1"/>
  <c r="N14"/>
  <c r="O13"/>
  <c r="P13" s="1"/>
  <c r="N13"/>
  <c r="O12"/>
  <c r="P12" s="1"/>
  <c r="N12"/>
  <c r="O11"/>
  <c r="P11" s="1"/>
  <c r="N11"/>
  <c r="O10"/>
  <c r="P10" s="1"/>
  <c r="N10"/>
  <c r="O9"/>
  <c r="P9" s="1"/>
  <c r="N9"/>
  <c r="O8"/>
  <c r="N8"/>
  <c r="O7"/>
  <c r="P7" s="1"/>
  <c r="N7"/>
  <c r="O6"/>
  <c r="P6" s="1"/>
  <c r="N6"/>
  <c r="O5"/>
  <c r="P5" s="1"/>
  <c r="N5"/>
  <c r="J1139"/>
  <c r="K1139" s="1"/>
  <c r="R2"/>
  <c r="P8" l="1"/>
  <c r="K2"/>
  <c r="J2"/>
  <c r="P624"/>
  <c r="P305"/>
  <c r="O1139"/>
  <c r="P1139" s="1"/>
  <c r="O4"/>
  <c r="N4"/>
  <c r="N2" s="1"/>
  <c r="O2" l="1"/>
  <c r="P4"/>
  <c r="P2" s="1"/>
</calcChain>
</file>

<file path=xl/sharedStrings.xml><?xml version="1.0" encoding="utf-8"?>
<sst xmlns="http://schemas.openxmlformats.org/spreadsheetml/2006/main" count="95852" uniqueCount="811">
  <si>
    <t>LOCATION</t>
  </si>
  <si>
    <t>EMBOSSING</t>
  </si>
  <si>
    <t>GR.</t>
  </si>
  <si>
    <t>SIZE</t>
  </si>
  <si>
    <t>LENGTH</t>
  </si>
  <si>
    <t>PCS</t>
  </si>
  <si>
    <t>QTY.</t>
  </si>
  <si>
    <t>REMARK</t>
  </si>
  <si>
    <t xml:space="preserve">Cutting length </t>
  </si>
  <si>
    <t>Pcs</t>
  </si>
  <si>
    <t>SEC. WT.</t>
  </si>
  <si>
    <t>)</t>
  </si>
  <si>
    <t>STOCK DATE</t>
  </si>
  <si>
    <t>BILLETS USED</t>
  </si>
  <si>
    <t>MS</t>
  </si>
  <si>
    <t>HT</t>
  </si>
  <si>
    <t>75X75X5</t>
  </si>
  <si>
    <t>VIL PG HT 23</t>
  </si>
  <si>
    <t>75X75X6</t>
  </si>
  <si>
    <t>VIL MS</t>
  </si>
  <si>
    <t>VIL HT</t>
  </si>
  <si>
    <t>90X90X5</t>
  </si>
  <si>
    <t>100X100X7</t>
  </si>
  <si>
    <t>75X75X8</t>
  </si>
  <si>
    <t>VIL PG MS 23</t>
  </si>
  <si>
    <t>80X80X6</t>
  </si>
  <si>
    <t>UNSIZE</t>
  </si>
  <si>
    <t>80X80X5</t>
  </si>
  <si>
    <t>100X100X8</t>
  </si>
  <si>
    <t>90X90X8</t>
  </si>
  <si>
    <t>100X100X6</t>
  </si>
  <si>
    <t>80X80X8</t>
  </si>
  <si>
    <t>90X90X6</t>
  </si>
  <si>
    <t>130X130X8</t>
  </si>
  <si>
    <t>90X90X7</t>
  </si>
  <si>
    <t>110X110X10</t>
  </si>
  <si>
    <t>110X110X6</t>
  </si>
  <si>
    <t>120X120X10</t>
  </si>
  <si>
    <t>120X120X7</t>
  </si>
  <si>
    <t>120X120X8</t>
  </si>
  <si>
    <t>120X120X9</t>
  </si>
  <si>
    <t>110X110X7</t>
  </si>
  <si>
    <t>130X130X10</t>
  </si>
  <si>
    <t>100X100X10</t>
  </si>
  <si>
    <t>110X110X8</t>
  </si>
  <si>
    <t>100X100X9</t>
  </si>
  <si>
    <t>REJECTED</t>
  </si>
  <si>
    <t>110X110X9</t>
  </si>
  <si>
    <t>130X130X12</t>
  </si>
  <si>
    <t>130X130X9</t>
  </si>
  <si>
    <t>130X130X11</t>
  </si>
  <si>
    <t>VIL HT(JR)</t>
  </si>
  <si>
    <t>100X100X12</t>
  </si>
  <si>
    <t>150X150X16</t>
  </si>
  <si>
    <t>150X150X14</t>
  </si>
  <si>
    <t>75X75X4</t>
  </si>
  <si>
    <t>150X150X11</t>
  </si>
  <si>
    <t>150X150X15</t>
  </si>
  <si>
    <t>150X150X12</t>
  </si>
  <si>
    <t>150X150X17</t>
  </si>
  <si>
    <t>150X150X10</t>
  </si>
  <si>
    <t>110X110X12</t>
  </si>
  <si>
    <t>120X120X11</t>
  </si>
  <si>
    <t>VIL HT (GR 60)</t>
  </si>
  <si>
    <t>150X150X18</t>
  </si>
  <si>
    <t>150X150X20</t>
  </si>
  <si>
    <t>150X150X13</t>
  </si>
  <si>
    <t>Bundle no</t>
  </si>
  <si>
    <t>Out yard</t>
  </si>
  <si>
    <t>rejected</t>
  </si>
  <si>
    <t>VIL  HT (355 JR)</t>
  </si>
  <si>
    <t>VIL  HT (355 JO)</t>
  </si>
  <si>
    <t>VIL  HT (GR 60)</t>
  </si>
  <si>
    <t>VIL HT Gr 50)</t>
  </si>
  <si>
    <t>VIL HT (JR)</t>
  </si>
  <si>
    <t>VIL HT(HIGH SI)</t>
  </si>
  <si>
    <t>VIL HT (J2)</t>
  </si>
  <si>
    <t>Prajapati</t>
  </si>
  <si>
    <t>Pritesh</t>
  </si>
  <si>
    <t>A Side</t>
  </si>
  <si>
    <t>B SIDE</t>
  </si>
  <si>
    <t>VIL MS (IR)</t>
  </si>
  <si>
    <t>VIL PG  HT 23</t>
  </si>
  <si>
    <t>PG LOT</t>
  </si>
  <si>
    <t>Aslam</t>
  </si>
  <si>
    <t>VIL HT (355 J2)</t>
  </si>
  <si>
    <t>VIL MS(IR)</t>
  </si>
  <si>
    <t>VIL HT(GR 60</t>
  </si>
  <si>
    <t>VIL HT(GR 60)</t>
  </si>
  <si>
    <t>VIL HT(J2)</t>
  </si>
  <si>
    <t>MANGESH</t>
  </si>
  <si>
    <t>VIL HT (Gr 60)</t>
  </si>
  <si>
    <t>Bhushan-160</t>
  </si>
  <si>
    <t>JSPL</t>
  </si>
  <si>
    <t>VIL HT(IS)</t>
  </si>
  <si>
    <t>VIL HT(GRR 60)</t>
  </si>
  <si>
    <t>VIL HT(JO)</t>
  </si>
  <si>
    <t>REJECT</t>
  </si>
  <si>
    <t>IISCO</t>
  </si>
  <si>
    <t>110X110X11</t>
  </si>
  <si>
    <t>VIL HT (HIGH SI)</t>
  </si>
  <si>
    <t>90X90X9</t>
  </si>
  <si>
    <t>BHUSHAN</t>
  </si>
  <si>
    <t>RINL</t>
  </si>
  <si>
    <t>BEND</t>
  </si>
  <si>
    <t>VIL MS/HT</t>
  </si>
  <si>
    <t>VIL HT(GR60)</t>
  </si>
  <si>
    <t>VIL HT()</t>
  </si>
  <si>
    <t>100X100X11</t>
  </si>
  <si>
    <t>M/C 3</t>
  </si>
  <si>
    <t>80X80X7</t>
  </si>
  <si>
    <t>M/C 4</t>
  </si>
  <si>
    <t>130X130X13</t>
  </si>
  <si>
    <t>VIL HT/MS</t>
  </si>
  <si>
    <t>VIL HT (IS)</t>
  </si>
  <si>
    <t>B SIDE-Lot 1</t>
  </si>
  <si>
    <t>B SIDE-Lot 2</t>
  </si>
  <si>
    <t>B SIDE-Lot 3</t>
  </si>
  <si>
    <t>B SIDE-Lot 4</t>
  </si>
  <si>
    <t>B SIDE-Lot 5</t>
  </si>
  <si>
    <t>B SIDE-Lot 6</t>
  </si>
  <si>
    <t>B SIDE-Lot 7</t>
  </si>
  <si>
    <t>B SIDE-Lot 8</t>
  </si>
  <si>
    <t>GRINDING</t>
  </si>
  <si>
    <t>B SIDE-Lot 9</t>
  </si>
  <si>
    <t>80X80X6.5</t>
  </si>
  <si>
    <t>VIL HT (JO)</t>
  </si>
  <si>
    <t>VIL HT (j2)</t>
  </si>
  <si>
    <t>VIL HT (MIX)</t>
  </si>
  <si>
    <t>MIX</t>
  </si>
  <si>
    <t>VIL  HT</t>
  </si>
  <si>
    <t xml:space="preserve">VIL  HT </t>
  </si>
  <si>
    <t>VIL  HT (J2)</t>
  </si>
  <si>
    <t>75X75X7</t>
  </si>
  <si>
    <t>VIL PG  MS 23</t>
  </si>
  <si>
    <t>reject</t>
  </si>
  <si>
    <t>Yograj</t>
  </si>
  <si>
    <t>Near Furnace</t>
  </si>
  <si>
    <t>VIL HT(BSP GR60)</t>
  </si>
  <si>
    <t>VIL HT(JSPL)</t>
  </si>
  <si>
    <t>UN SIZE</t>
  </si>
  <si>
    <t>VIL HT(GR50)</t>
  </si>
  <si>
    <t>Zillinks</t>
  </si>
  <si>
    <t>ZILLINKS</t>
  </si>
  <si>
    <t>70X70X5</t>
  </si>
  <si>
    <t>VL MS</t>
  </si>
  <si>
    <t>152X152X14.3</t>
  </si>
  <si>
    <t>MANGES</t>
  </si>
  <si>
    <t>A SIDE -NEW</t>
  </si>
  <si>
    <t>70X70X6</t>
  </si>
  <si>
    <t>VIL HT (355J2)</t>
  </si>
  <si>
    <t>VIL HT (355JO/JR)</t>
  </si>
  <si>
    <t xml:space="preserve">VIL HT </t>
  </si>
  <si>
    <t>RMHT EMB.VILPGMS23</t>
  </si>
  <si>
    <t>65X65X5</t>
  </si>
  <si>
    <t>VIL HT(JO/JR)</t>
  </si>
  <si>
    <t>VIL HT(JR/JO)</t>
  </si>
  <si>
    <t>VIL HT(355JR)</t>
  </si>
  <si>
    <t xml:space="preserve">Rejected </t>
  </si>
  <si>
    <t>VIL MS(Railway)</t>
  </si>
  <si>
    <t xml:space="preserve">HT </t>
  </si>
  <si>
    <t>VIL MS (RAILWAY)</t>
  </si>
  <si>
    <t>`</t>
  </si>
  <si>
    <t>VIL HT(355J2)</t>
  </si>
  <si>
    <t>VIL HT(355JO)</t>
  </si>
  <si>
    <t xml:space="preserve">UNDER STRAIGHT </t>
  </si>
  <si>
    <t>REJECTED NO.EMB.</t>
  </si>
  <si>
    <t>jspl</t>
  </si>
  <si>
    <t xml:space="preserve">Pritesh </t>
  </si>
  <si>
    <t>OUT YARD</t>
  </si>
  <si>
    <t>70X70X7</t>
  </si>
  <si>
    <t xml:space="preserve">NEAR FURANCE </t>
  </si>
  <si>
    <t>120X120X12</t>
  </si>
  <si>
    <t>VIL HT(RM MS)VIL</t>
  </si>
  <si>
    <t>VIL PG HT/MS 23</t>
  </si>
  <si>
    <t>VIL HT(SAIL)</t>
  </si>
  <si>
    <t>HILL ROUND</t>
  </si>
  <si>
    <t>VIL MS(RAILWAY)</t>
  </si>
  <si>
    <t>VIL MS(DSP)</t>
  </si>
  <si>
    <t>PRAJAPATI</t>
  </si>
  <si>
    <t>B SIDE -NEW</t>
  </si>
  <si>
    <t>VIL HT (GR50/60)</t>
  </si>
  <si>
    <t>100X100X5</t>
  </si>
  <si>
    <t>65X65X4</t>
  </si>
  <si>
    <t>VIL HT (Gr 50)</t>
  </si>
  <si>
    <t>VIL  MS(Railway)</t>
  </si>
  <si>
    <t>VIL PG(GR60)</t>
  </si>
  <si>
    <t>7.55- 5, 7-5</t>
  </si>
  <si>
    <t>PG REJECT</t>
  </si>
  <si>
    <t>RFD</t>
  </si>
  <si>
    <t>FOR J2</t>
  </si>
  <si>
    <t>FOR JBP</t>
  </si>
  <si>
    <t>FOR JBP sterlite</t>
  </si>
  <si>
    <t>for jbp (1008)</t>
  </si>
  <si>
    <t>for jbp (email)</t>
  </si>
  <si>
    <t>bb(1006)</t>
  </si>
  <si>
    <t>jbp(1008)</t>
  </si>
  <si>
    <t>bub(email)</t>
  </si>
  <si>
    <t>jbp(email)</t>
  </si>
  <si>
    <t>JBP (NPG)</t>
  </si>
  <si>
    <t>BUB(email)</t>
  </si>
  <si>
    <t>bub(PG)</t>
  </si>
  <si>
    <t>jbp(npg)</t>
  </si>
  <si>
    <t>rfd</t>
  </si>
  <si>
    <t>for bub</t>
  </si>
  <si>
    <t>(JBP -836)</t>
  </si>
  <si>
    <t>(JBP -766)</t>
  </si>
  <si>
    <t>for new jaipur</t>
  </si>
  <si>
    <t>for new short rolling</t>
  </si>
  <si>
    <t>Dubai(795)</t>
  </si>
  <si>
    <t>BB ( 1022 PG)</t>
  </si>
  <si>
    <t>JBP(1029)</t>
  </si>
  <si>
    <t>JBP(1028)</t>
  </si>
  <si>
    <t>bub(1022)</t>
  </si>
  <si>
    <t>jbp(1023)</t>
  </si>
  <si>
    <t>bb(645)</t>
  </si>
  <si>
    <t>7.6-2, 7.3-1</t>
  </si>
  <si>
    <t>dubai(795)</t>
  </si>
  <si>
    <t>bub(2022)</t>
  </si>
  <si>
    <t>jbp (1008)</t>
  </si>
  <si>
    <t>bb(1022)</t>
  </si>
  <si>
    <t>jbp 614</t>
  </si>
  <si>
    <t>jaipur new req</t>
  </si>
  <si>
    <t>for jaipur new req</t>
  </si>
  <si>
    <t xml:space="preserve">for jaipur new </t>
  </si>
  <si>
    <t>REQ/BL</t>
  </si>
  <si>
    <t>Used for Mill</t>
  </si>
  <si>
    <t>DSP-125</t>
  </si>
  <si>
    <t>Stock</t>
  </si>
  <si>
    <t>ROLLING DATE</t>
  </si>
  <si>
    <t>Billets use</t>
  </si>
  <si>
    <t>28.10.23</t>
  </si>
  <si>
    <t>JSP-150</t>
  </si>
  <si>
    <t>randam</t>
  </si>
  <si>
    <t>unsize</t>
  </si>
  <si>
    <t>grinding</t>
  </si>
  <si>
    <t>VIL HT(IS/JO/J2)</t>
  </si>
  <si>
    <t>for old btr</t>
  </si>
  <si>
    <t>27.10.23</t>
  </si>
  <si>
    <t>JSP-130</t>
  </si>
  <si>
    <t>FOR JBPNEW</t>
  </si>
  <si>
    <t>FOR NPG 10 PCS</t>
  </si>
  <si>
    <t>FOR 614, 2 PCS FOR NPG</t>
  </si>
  <si>
    <t xml:space="preserve">FOR NPG </t>
  </si>
  <si>
    <t>FOR NPG 971</t>
  </si>
  <si>
    <t>JAIPUR</t>
  </si>
  <si>
    <t>TOBE CHECK</t>
  </si>
  <si>
    <t>11-13, 10.5-4, 11.5-3,</t>
  </si>
  <si>
    <t>26.10.23</t>
  </si>
  <si>
    <t>FOR NEW SHORT ROLLING</t>
  </si>
  <si>
    <t>FOR NEW JAIPUR REQ</t>
  </si>
  <si>
    <t>FOR NEW JAIPUR REQ - PG</t>
  </si>
  <si>
    <t>Grinding</t>
  </si>
  <si>
    <t>BTR</t>
  </si>
  <si>
    <t>for new jaipur PG</t>
  </si>
  <si>
    <t>11-10, 12-3</t>
  </si>
  <si>
    <t>against 11.50 mtr</t>
  </si>
  <si>
    <t>CUT 6.50</t>
  </si>
  <si>
    <t>10.1-8, 9.6-4</t>
  </si>
  <si>
    <t xml:space="preserve">FOR JAIPUR NEW </t>
  </si>
  <si>
    <t>11-1, 10.5-1</t>
  </si>
  <si>
    <t xml:space="preserve"> FOR NEW SHORT ROLLING</t>
  </si>
  <si>
    <t>27/28.10.23</t>
  </si>
  <si>
    <t>jbp(1024 -pg)</t>
  </si>
  <si>
    <t>JBP(1025- JR)</t>
  </si>
  <si>
    <t>BUB 1022(PG)</t>
  </si>
  <si>
    <t>FOR JAIPUR NEW - PG</t>
  </si>
  <si>
    <t>Bub 1022(PG)</t>
  </si>
  <si>
    <t>BUB(1022)</t>
  </si>
  <si>
    <t>11-26, 10.5-2</t>
  </si>
  <si>
    <t>JBP (1028)</t>
  </si>
  <si>
    <t>10.5-26, 10</t>
  </si>
  <si>
    <t>jbp(1028)</t>
  </si>
  <si>
    <t>for jbp(1024)</t>
  </si>
  <si>
    <t>for bub(1022)</t>
  </si>
  <si>
    <t>jbp(1025)</t>
  </si>
  <si>
    <t>11.5-5, 11-9, 11-26</t>
  </si>
  <si>
    <t>against 11-10</t>
  </si>
  <si>
    <t>bub(1046)</t>
  </si>
  <si>
    <t>bub(1048)</t>
  </si>
  <si>
    <t>29.10.23</t>
  </si>
  <si>
    <t>BTR - REQ/BL</t>
  </si>
  <si>
    <t>6+6</t>
  </si>
  <si>
    <t>FOR NPG SHORT</t>
  </si>
  <si>
    <t>bub(972)</t>
  </si>
  <si>
    <t>11.65-3, 11.5-2</t>
  </si>
  <si>
    <t>bub(972), bub(1046)</t>
  </si>
  <si>
    <t>bub(972), jbp(1023)</t>
  </si>
  <si>
    <t>BEND - reject</t>
  </si>
  <si>
    <t>11-11, 10.7-3</t>
  </si>
  <si>
    <t>bub (1046</t>
  </si>
  <si>
    <t>bb(1046)</t>
  </si>
  <si>
    <t>9.05-2, 6.65-1</t>
  </si>
  <si>
    <t>for npg 645</t>
  </si>
  <si>
    <t>11.3-2, 11.4-1</t>
  </si>
  <si>
    <t>against BL</t>
  </si>
  <si>
    <t>02.11.23</t>
  </si>
  <si>
    <t>BHUSHAN-180</t>
  </si>
  <si>
    <t>VIL HT(Gr 60)</t>
  </si>
  <si>
    <t>SAIL-210X160</t>
  </si>
  <si>
    <t>unsize -bend</t>
  </si>
  <si>
    <t>jbp(2026)</t>
  </si>
  <si>
    <t>jbp(2024)</t>
  </si>
  <si>
    <t>30.10.23</t>
  </si>
  <si>
    <t>BTR- REQ/BL</t>
  </si>
  <si>
    <t>bl</t>
  </si>
  <si>
    <t>11-4, 8.75-2</t>
  </si>
  <si>
    <t>JBP(1024)</t>
  </si>
  <si>
    <t>03.11.23</t>
  </si>
  <si>
    <t>JSP-200</t>
  </si>
  <si>
    <t>OK FOR 150X14</t>
  </si>
  <si>
    <t>04.11.23</t>
  </si>
  <si>
    <t>11.5-1, 10.5-1</t>
  </si>
  <si>
    <t>Bub(1047)</t>
  </si>
  <si>
    <t>Jbp(1029)</t>
  </si>
  <si>
    <t>11.5-2, 10.4-4</t>
  </si>
  <si>
    <t>11.5-4, 10.4-2</t>
  </si>
  <si>
    <t>Bub(1049)</t>
  </si>
  <si>
    <t>Bub(1049/47)</t>
  </si>
  <si>
    <t>11.7-6, 11-2, 10.5-7, 10-21</t>
  </si>
  <si>
    <t>FOR NPG</t>
  </si>
  <si>
    <t>8.8-2, 7.3-4</t>
  </si>
  <si>
    <t>BTR - REQ/BL - ok from break length</t>
  </si>
  <si>
    <t>jbp(new)</t>
  </si>
  <si>
    <t>07.11.23</t>
  </si>
  <si>
    <t>Rolled</t>
  </si>
  <si>
    <t>VIL  MS</t>
  </si>
  <si>
    <t>06.11.23</t>
  </si>
  <si>
    <t>09.11.23</t>
  </si>
  <si>
    <t>11-4, 10.5-1</t>
  </si>
  <si>
    <t>1 PCS DISD</t>
  </si>
  <si>
    <t>10.6-2, 9-1</t>
  </si>
  <si>
    <t>dispatched</t>
  </si>
  <si>
    <t>8.8-1, 9.7-1</t>
  </si>
  <si>
    <t>for npg</t>
  </si>
  <si>
    <t>BUB(1049)</t>
  </si>
  <si>
    <t>BUB(1047)</t>
  </si>
  <si>
    <t>11.7-4, 6.7-1</t>
  </si>
  <si>
    <t>ok from item length</t>
  </si>
  <si>
    <t>16.11.23</t>
  </si>
  <si>
    <t>11.11.23</t>
  </si>
  <si>
    <t xml:space="preserve">VIL  HT(Gr 60) </t>
  </si>
  <si>
    <t>VIL  HT(Gr 60)</t>
  </si>
  <si>
    <t>Hill round</t>
  </si>
  <si>
    <t>15.11.23</t>
  </si>
  <si>
    <t>11.3-3, 11-4</t>
  </si>
  <si>
    <t xml:space="preserve">10-2, </t>
  </si>
  <si>
    <t>1 pcs for JBP NEW</t>
  </si>
  <si>
    <t>9.2-1, 7-3</t>
  </si>
  <si>
    <t>bub(2022)/jbp, 1026</t>
  </si>
  <si>
    <t>jbp(1026)</t>
  </si>
  <si>
    <t>jbp(1024)</t>
  </si>
  <si>
    <t>for jbp pg</t>
  </si>
  <si>
    <t>31.10.23</t>
  </si>
  <si>
    <t>Row Labels</t>
  </si>
  <si>
    <t>Grand Total</t>
  </si>
  <si>
    <t>Sum of QTY.3</t>
  </si>
  <si>
    <t>Section</t>
  </si>
  <si>
    <t>Qty(mt)</t>
  </si>
  <si>
    <t>bub(1049)</t>
  </si>
  <si>
    <t>AGAINST SHORT ROLLED</t>
  </si>
  <si>
    <t>JAIPUR NEW</t>
  </si>
  <si>
    <t>BTR - REQ/BL OK FROM RANDAM LENTHT</t>
  </si>
  <si>
    <t>10.11.23</t>
  </si>
  <si>
    <t>Straightening</t>
  </si>
  <si>
    <t>17.11.23</t>
  </si>
  <si>
    <t>19.11.23</t>
  </si>
  <si>
    <t>for bub 1131</t>
  </si>
  <si>
    <t>jbp 1137</t>
  </si>
  <si>
    <t>bub 1131</t>
  </si>
  <si>
    <t>jbp 1136</t>
  </si>
  <si>
    <t>bb 1131</t>
  </si>
  <si>
    <t>1 bub 1131</t>
  </si>
  <si>
    <t>BB 1131</t>
  </si>
  <si>
    <t>jpr 1138</t>
  </si>
  <si>
    <t>JPR 1138</t>
  </si>
  <si>
    <t>jbp 1134 railway</t>
  </si>
  <si>
    <t>20.11.23</t>
  </si>
  <si>
    <t>REQ</t>
  </si>
  <si>
    <t>10.8-5, 11.5-1</t>
  </si>
  <si>
    <t>9.25-4, 10.5-16</t>
  </si>
  <si>
    <t>hill round</t>
  </si>
  <si>
    <t>VIL  HT(gr 60)</t>
  </si>
  <si>
    <t>BTR REQ/BL - FROM RANDAM LENGTH</t>
  </si>
  <si>
    <t>JSPL-150</t>
  </si>
  <si>
    <t>100X9 TOBE CHECK</t>
  </si>
  <si>
    <t>Bhushan</t>
  </si>
  <si>
    <t xml:space="preserve"> 2pcs jbp 1136/1131-1 pcs</t>
  </si>
  <si>
    <t>for dubai</t>
  </si>
  <si>
    <t>for jbp new</t>
  </si>
  <si>
    <t xml:space="preserve">VIL  MS </t>
  </si>
  <si>
    <t>21.11.23</t>
  </si>
  <si>
    <t>FOR NEW SHORT JBP</t>
  </si>
  <si>
    <t>FROM NEW PG/LOT WISE STOCK</t>
  </si>
  <si>
    <t>BTR - REQ/BL - ok from randam</t>
  </si>
  <si>
    <t>bub 1049)</t>
  </si>
  <si>
    <t>jbp</t>
  </si>
  <si>
    <t xml:space="preserve">REQ/BL - OK FROM PG </t>
  </si>
  <si>
    <t>cancelled after rolling</t>
  </si>
  <si>
    <t>Unsize</t>
  </si>
  <si>
    <t>AGAINST SHORT ROLLING JAIPUR</t>
  </si>
  <si>
    <t>JBP (1136)</t>
  </si>
  <si>
    <t>JBP(1137</t>
  </si>
  <si>
    <t>JBP(1131)</t>
  </si>
  <si>
    <t>BB(1131)</t>
  </si>
  <si>
    <t>BB (1131)</t>
  </si>
  <si>
    <t>AGAINST SHORT 11.7 - 3 PCS</t>
  </si>
  <si>
    <t>BB 1131 (AGN BL)</t>
  </si>
  <si>
    <t>18.11.23</t>
  </si>
  <si>
    <t>Embossing</t>
  </si>
  <si>
    <t xml:space="preserve">Gr </t>
  </si>
  <si>
    <t>s/w</t>
  </si>
  <si>
    <t>length</t>
  </si>
  <si>
    <t>pcs</t>
  </si>
  <si>
    <t>Remarks</t>
  </si>
  <si>
    <t>Allocated for Dubai</t>
  </si>
  <si>
    <t>Available angle stock - ASTM GR 60</t>
  </si>
  <si>
    <t>Sum of Qty(mt)</t>
  </si>
  <si>
    <t>bub(1047)</t>
  </si>
  <si>
    <t>JBP 1029</t>
  </si>
  <si>
    <t>JBP 1137</t>
  </si>
  <si>
    <t>JBP (1029)</t>
  </si>
  <si>
    <t>JBP 1138</t>
  </si>
  <si>
    <t>10.5-1, 11.5-1</t>
  </si>
  <si>
    <t>JBP 1138/1136</t>
  </si>
  <si>
    <t>28/30.11.23</t>
  </si>
  <si>
    <t>27.11.23</t>
  </si>
  <si>
    <t>BTR - ROLLED</t>
  </si>
  <si>
    <t>JSPL-200</t>
  </si>
  <si>
    <t>bend</t>
  </si>
  <si>
    <t>Str</t>
  </si>
  <si>
    <t>jbp (1215 pg)</t>
  </si>
  <si>
    <t>30.11.23</t>
  </si>
  <si>
    <t>A SIDE</t>
  </si>
  <si>
    <t>against short 11.60-33 pcs</t>
  </si>
  <si>
    <t>BTR REQ/BL - OK FROM RANDAM LENGTH</t>
  </si>
  <si>
    <t>01.12.23</t>
  </si>
  <si>
    <t>jbp pg</t>
  </si>
  <si>
    <t>jpp pg</t>
  </si>
  <si>
    <t>DUBAI(795)</t>
  </si>
  <si>
    <t>FOR NPG JBP(1029)</t>
  </si>
  <si>
    <t>bub ( 1131)</t>
  </si>
  <si>
    <t>bub(1131)</t>
  </si>
  <si>
    <t>bu (1049)</t>
  </si>
  <si>
    <t>jbp(1029)</t>
  </si>
  <si>
    <t>bub(645)</t>
  </si>
  <si>
    <t>23.11.23</t>
  </si>
  <si>
    <t>Stra</t>
  </si>
  <si>
    <t>02.12.23</t>
  </si>
  <si>
    <t>STR</t>
  </si>
  <si>
    <t>JBP(1029)- AGAINST SHORT ROLLING</t>
  </si>
  <si>
    <t>FOR NEW SHORT NPG BUB</t>
  </si>
  <si>
    <t>03.12.23</t>
  </si>
  <si>
    <t>AGAINST B/L</t>
  </si>
  <si>
    <t>for bub BL</t>
  </si>
  <si>
    <t>JBP 1136</t>
  </si>
  <si>
    <t>BUB(1132)</t>
  </si>
  <si>
    <t>BUB(1131)</t>
  </si>
  <si>
    <t>JBP(1029</t>
  </si>
  <si>
    <t>Jbp(1136)</t>
  </si>
  <si>
    <t>BUB 1131</t>
  </si>
  <si>
    <t>dubai ( 07.12.23)</t>
  </si>
  <si>
    <t>AGAINST BL</t>
  </si>
  <si>
    <t>AGAINT BL</t>
  </si>
  <si>
    <t>ORDER LENGTH</t>
  </si>
  <si>
    <t>AGN SHORT</t>
  </si>
  <si>
    <t>Order length</t>
  </si>
  <si>
    <t>AGN BL</t>
  </si>
  <si>
    <t>stock</t>
  </si>
  <si>
    <t>for jaipur</t>
  </si>
  <si>
    <t>03/4.12.23</t>
  </si>
  <si>
    <t>VIL HT(HIGH SI</t>
  </si>
  <si>
    <t>04/5.12.23</t>
  </si>
  <si>
    <t>5.12.23</t>
  </si>
  <si>
    <t>FOR NPG SHORT ROLLING</t>
  </si>
  <si>
    <t>07.12.23</t>
  </si>
  <si>
    <t>pcs against 11.50 mtr</t>
  </si>
  <si>
    <t>OLD</t>
  </si>
  <si>
    <t>BTR- REQ/BL- OK FROM BREAK LENGTH</t>
  </si>
  <si>
    <t>BTR - REQ/BL - OK FROM BREAK LENGTH</t>
  </si>
  <si>
    <t>BTR- REQ/BL - OK FROM ITEM LENGTH</t>
  </si>
  <si>
    <t>REQ - ROLLED</t>
  </si>
  <si>
    <t>BTR REQ/BL - ROLLED</t>
  </si>
  <si>
    <t>NEW</t>
  </si>
  <si>
    <t>for new PG bub</t>
  </si>
  <si>
    <t>bub (1131)</t>
  </si>
  <si>
    <t>jbp (1029)</t>
  </si>
  <si>
    <t>jbp 1029</t>
  </si>
  <si>
    <t>bub 1132</t>
  </si>
  <si>
    <t>PG REJECT ok for NPG</t>
  </si>
  <si>
    <t>08.12.23</t>
  </si>
  <si>
    <t>JBP 1230/32 ( 4 PCS)</t>
  </si>
  <si>
    <t>VIL HT(High Si)</t>
  </si>
  <si>
    <t>07/8.12.23</t>
  </si>
  <si>
    <t>11.5-4, 9-33</t>
  </si>
  <si>
    <t>10.5-8, 9-6</t>
  </si>
  <si>
    <t>8.12.23</t>
  </si>
  <si>
    <t>11.5-1, 10--6</t>
  </si>
  <si>
    <t>Used for fabrication</t>
  </si>
  <si>
    <t>Grinding F+</t>
  </si>
  <si>
    <t>for npg jbp 1029</t>
  </si>
  <si>
    <t>JSP-150/125</t>
  </si>
  <si>
    <t>09.12.23</t>
  </si>
  <si>
    <t>10.12.23</t>
  </si>
  <si>
    <t>11.12.23</t>
  </si>
  <si>
    <t>SAIL-150</t>
  </si>
  <si>
    <t>VIL  HT(J2)</t>
  </si>
  <si>
    <t>VIL  HT(GR 60)</t>
  </si>
  <si>
    <t>11.5-5, 10.-9</t>
  </si>
  <si>
    <t>for bub (13.12.23</t>
  </si>
  <si>
    <t>jbp(13.12.23)</t>
  </si>
  <si>
    <t>jbp(13.12.23), 7 pcs for bub(13.12.23</t>
  </si>
  <si>
    <t>jbp new (13.12.23)</t>
  </si>
  <si>
    <t>jbp ( 13.12</t>
  </si>
  <si>
    <t>Dubai (1292)</t>
  </si>
  <si>
    <t>JBP 1232 -RAILWAY</t>
  </si>
  <si>
    <t>JBP(1228)</t>
  </si>
  <si>
    <t>14.12.23</t>
  </si>
  <si>
    <t>12.12.23</t>
  </si>
  <si>
    <t>tobe check</t>
  </si>
  <si>
    <t>FROM OLD PG ROLLING - ALLOCATED FOR 1029 JBP</t>
  </si>
  <si>
    <t>FOR NEW SHORT ROLLING JBP 1228</t>
  </si>
  <si>
    <t>OK FROM PG ROLLING</t>
  </si>
  <si>
    <t>FOR NPG 1029</t>
  </si>
  <si>
    <t>AGN/BL</t>
  </si>
  <si>
    <t>BTR   REQ/BL - OK FROM BREAK LENGTH</t>
  </si>
  <si>
    <t>bb 1333 (13.12.23)</t>
  </si>
  <si>
    <t>jbp 1338</t>
  </si>
  <si>
    <t>bub 1333</t>
  </si>
  <si>
    <t>bb 1333</t>
  </si>
  <si>
    <t>bub (1334)</t>
  </si>
  <si>
    <t>bub (1332)</t>
  </si>
  <si>
    <t>jbp ( 1339)</t>
  </si>
  <si>
    <t>bub ( 1331)</t>
  </si>
  <si>
    <t>bb (1331)</t>
  </si>
  <si>
    <t>jbp ( 1337)</t>
  </si>
  <si>
    <t>JBP (1335/36)</t>
  </si>
  <si>
    <t>jbp (1338)</t>
  </si>
  <si>
    <t>jbp (1335)</t>
  </si>
  <si>
    <t>JBP 1340</t>
  </si>
  <si>
    <t>jbp(1340)</t>
  </si>
  <si>
    <t>BTR /REQ/BL -ok from randam length</t>
  </si>
  <si>
    <t>jbp (1340)</t>
  </si>
  <si>
    <t>jbp 1340</t>
  </si>
  <si>
    <t>BUB (1332)</t>
  </si>
  <si>
    <t>JBP 1228</t>
  </si>
  <si>
    <t>JBP 1229</t>
  </si>
  <si>
    <t>15.12.23</t>
  </si>
  <si>
    <t>FOR IS SHORT ROLLING</t>
  </si>
  <si>
    <t>16.12.23</t>
  </si>
  <si>
    <t>VIL  HT(j2)</t>
  </si>
  <si>
    <t>for new pg short</t>
  </si>
  <si>
    <t>FOR PG ALLOCATED JBP</t>
  </si>
  <si>
    <t>FOR BUB NPG</t>
  </si>
  <si>
    <t>17.12.23</t>
  </si>
  <si>
    <t xml:space="preserve">TOBE CHECK - 11 PCS </t>
  </si>
  <si>
    <t>10.05-3, 11-2</t>
  </si>
  <si>
    <t>JBP</t>
  </si>
  <si>
    <t>NPG</t>
  </si>
  <si>
    <t>E350A</t>
  </si>
  <si>
    <t>INDI GRID</t>
  </si>
  <si>
    <t>ok from stock - 9.80 - 1 pcs</t>
  </si>
  <si>
    <t>E350C</t>
  </si>
  <si>
    <t>NEPAL</t>
  </si>
  <si>
    <t>ok from stock - 9.80 - 2 pcs</t>
  </si>
  <si>
    <t>ok from stock - 11-2, 10.9-1, 9.9-2,9.7-2, 9-1, 8.1-1, 8-1</t>
  </si>
  <si>
    <t>ok from stock - 8.30-1, 8.70 -1 pcs, 12.1</t>
  </si>
  <si>
    <t>250A</t>
  </si>
  <si>
    <t>ADANI</t>
  </si>
  <si>
    <t xml:space="preserve">ok from stock - </t>
  </si>
  <si>
    <t>ok from stock - 6.20-3, 11-7, 11.30-6, 9.5-1, 10.5-1, 5.40-1</t>
  </si>
  <si>
    <t>ok from stock - 11.70-10 pcs</t>
  </si>
  <si>
    <t xml:space="preserve">ok from stock- 8.40-10, 11.1-1, 9.-2, 8-6, 9.3-3, </t>
  </si>
  <si>
    <t>ok from stock - 8.150 - 11 pcs</t>
  </si>
  <si>
    <t>ok from stock - 8.00-1 pcs</t>
  </si>
  <si>
    <t>ok from stock - 10-1, 11-2, 12-1</t>
  </si>
  <si>
    <t>ok from stock - 11.2-3, 11.50-2, 11-1,10.2-3,12-1, 6.8-2, 10.9-1</t>
  </si>
  <si>
    <t>E250A</t>
  </si>
  <si>
    <t>90X90X10</t>
  </si>
  <si>
    <t>IRCON</t>
  </si>
  <si>
    <t>ok from altrnate section 100x10</t>
  </si>
  <si>
    <t>ok from stock - 8.20-1, 8.50- 1</t>
  </si>
  <si>
    <t>ok from stock - 9.70-4, 9.50-5,9.30-1,</t>
  </si>
  <si>
    <t>ok from stock - 12- 2 pcs</t>
  </si>
  <si>
    <t>PG</t>
  </si>
  <si>
    <t>350A</t>
  </si>
  <si>
    <t>PGCIL</t>
  </si>
  <si>
    <t>ok from stock -7.20- 2, 7.50 -1,  10.00-1 pcs</t>
  </si>
  <si>
    <t>ok from stock - 12- 3, 11.50-2</t>
  </si>
  <si>
    <t>OK FROM STOCK</t>
  </si>
  <si>
    <t>E250C</t>
  </si>
  <si>
    <t>ok from stock - 8.00- 1 pcs</t>
  </si>
  <si>
    <t xml:space="preserve">75X75X5 </t>
  </si>
  <si>
    <t>ok from stock 10- 26 pcs, 10.50-2, 9.50-1</t>
  </si>
  <si>
    <t xml:space="preserve">75X75X6 </t>
  </si>
  <si>
    <t>ok from stock - 10- 27, 8- 12</t>
  </si>
  <si>
    <t xml:space="preserve">80X80X6 </t>
  </si>
  <si>
    <t>ok from stock - 7.50-3, 7.60-1</t>
  </si>
  <si>
    <t>DUBAI(1293)</t>
  </si>
  <si>
    <t>BTR - REQ/BL ok from b/l</t>
  </si>
  <si>
    <t>bub 1356</t>
  </si>
  <si>
    <t>bub 1357</t>
  </si>
  <si>
    <t>bub(1357)</t>
  </si>
  <si>
    <t>bub (1357)</t>
  </si>
  <si>
    <t>BUB(1357)</t>
  </si>
  <si>
    <t>BUB ( 1357)</t>
  </si>
  <si>
    <t>BTR - PLANNED ok from new PG rolling</t>
  </si>
  <si>
    <t>bb (1356)</t>
  </si>
  <si>
    <t>bb(1356)</t>
  </si>
  <si>
    <t>dubai(1291)</t>
  </si>
  <si>
    <t>6.75-2, 8-4, 8.15-10</t>
  </si>
  <si>
    <t>JBP(1359)</t>
  </si>
  <si>
    <t>JBP(6PCS), BB( 10PCS</t>
  </si>
  <si>
    <t>BUB(1356)</t>
  </si>
  <si>
    <t>JBP(1229)</t>
  </si>
  <si>
    <t>AGN B/L</t>
  </si>
  <si>
    <t>19.12.23</t>
  </si>
  <si>
    <t>Grander</t>
  </si>
  <si>
    <t>18.12.23</t>
  </si>
  <si>
    <t>9.45-3, 7.7-1</t>
  </si>
  <si>
    <t>BTR- REQ B/L - OK FROM B/L</t>
  </si>
  <si>
    <t>BL</t>
  </si>
  <si>
    <t>BTR - REQ/BL - OK FROM BL</t>
  </si>
  <si>
    <t>UN SIZE- REJECT</t>
  </si>
  <si>
    <t>REQ/BL- OK FROM RANDAM LENTH</t>
  </si>
  <si>
    <t>HILL ROUND - REJECT</t>
  </si>
  <si>
    <t>105X105X9</t>
  </si>
  <si>
    <t>BUB 1131, jbp 1137</t>
  </si>
  <si>
    <t>JPR(1341)</t>
  </si>
  <si>
    <t>JBP 1337</t>
  </si>
  <si>
    <t>JBP(1337)</t>
  </si>
  <si>
    <t>JBP(1340)</t>
  </si>
  <si>
    <t>9.5 -5, 7.6-1</t>
  </si>
  <si>
    <t>JBP(1029),JPR(1341)</t>
  </si>
  <si>
    <t>JBP(1341)</t>
  </si>
  <si>
    <t>10-21, 9.5-3</t>
  </si>
  <si>
    <t>21.12.23</t>
  </si>
  <si>
    <t>BTR / REQ/BL</t>
  </si>
  <si>
    <t>22.12.23</t>
  </si>
  <si>
    <t>10-2, 9.6-1</t>
  </si>
  <si>
    <t>11.5-1, 9.6-2</t>
  </si>
  <si>
    <t>9.6-1, 9.3-3</t>
  </si>
  <si>
    <t>for jbp (1340)</t>
  </si>
  <si>
    <t>jbp( 1340)</t>
  </si>
  <si>
    <t>23.12.23</t>
  </si>
  <si>
    <t>11.2-1, 10.3-1</t>
  </si>
  <si>
    <t>Dubai (1291)</t>
  </si>
  <si>
    <t>11.4-2, 10-1</t>
  </si>
  <si>
    <t>10-1, 8.65-1</t>
  </si>
  <si>
    <t>24.12.23</t>
  </si>
  <si>
    <t>T +</t>
  </si>
  <si>
    <t>JPR (1193)</t>
  </si>
  <si>
    <t>BUB(131.1)</t>
  </si>
  <si>
    <t>BUB(1190/1331)</t>
  </si>
  <si>
    <t>BUB(1333)</t>
  </si>
  <si>
    <t>JBP(1192)</t>
  </si>
  <si>
    <t>7.5-8, 7.95-3</t>
  </si>
  <si>
    <t>BUB(1359)</t>
  </si>
  <si>
    <t>VIL MS(RI)</t>
  </si>
  <si>
    <t>DISPATCH AS VIL HT</t>
  </si>
  <si>
    <t xml:space="preserve">BTR </t>
  </si>
  <si>
    <t>FOR JBP 1215</t>
  </si>
  <si>
    <t>FOR JBP (1215)</t>
  </si>
  <si>
    <t>JBP(1215)</t>
  </si>
  <si>
    <t>jbp 1215</t>
  </si>
  <si>
    <t>26.12.23</t>
  </si>
  <si>
    <t>FOR NEW SHORT 1340</t>
  </si>
  <si>
    <t>25.12.23</t>
  </si>
  <si>
    <t>FOR BB RANDAM</t>
  </si>
  <si>
    <t>BTR- rolled</t>
  </si>
  <si>
    <t>bub ( 1047)</t>
  </si>
  <si>
    <t>6-1, 6.6-1</t>
  </si>
  <si>
    <t>DUBAI(1441)</t>
  </si>
  <si>
    <t>Dubai(1441)</t>
  </si>
  <si>
    <t>jbp ( 1359)</t>
  </si>
  <si>
    <t>jbp ( 1398)</t>
  </si>
  <si>
    <t>dubai(1441)</t>
  </si>
  <si>
    <t>jbp(1359)</t>
  </si>
  <si>
    <t>bub(1397)</t>
  </si>
  <si>
    <t>VIL HT (GR 60)-Bhushan</t>
  </si>
  <si>
    <t>jbp(1398)/1399</t>
  </si>
  <si>
    <t>jbp (1359)</t>
  </si>
  <si>
    <t>bub (1132) PG</t>
  </si>
  <si>
    <t>JBP (1359)</t>
  </si>
  <si>
    <t>JBP (1398</t>
  </si>
  <si>
    <t>jbp (1229)</t>
  </si>
  <si>
    <t>bub (1356)</t>
  </si>
  <si>
    <t>JBP 1336</t>
  </si>
  <si>
    <t>JBP(1336)</t>
  </si>
  <si>
    <t>JBP(1338)</t>
  </si>
  <si>
    <t>BTR REQ /BL- OK FROM RANDAM</t>
  </si>
  <si>
    <t>BB(1334)</t>
  </si>
  <si>
    <t>BUB(1334)</t>
  </si>
  <si>
    <t>FOR OLD SHORT</t>
  </si>
  <si>
    <t>7.531-4, 7.5-3</t>
  </si>
  <si>
    <t>AGN SHORT LENGTH</t>
  </si>
  <si>
    <t>26/31.12.23</t>
  </si>
  <si>
    <t>10.5-5, 10.2-5, 9-6</t>
  </si>
  <si>
    <t>1 pcs 10.50 mtr</t>
  </si>
  <si>
    <t>jaipur (1341)</t>
  </si>
  <si>
    <t>AGN BL10.50- 8 PCS</t>
  </si>
  <si>
    <t>BB(1358)</t>
  </si>
  <si>
    <t>JBP (1398)</t>
  </si>
  <si>
    <t>BUB(1358)</t>
  </si>
  <si>
    <t>BUB(1397)</t>
  </si>
  <si>
    <t>JAIPUR(1341)</t>
  </si>
  <si>
    <t>JAIPUR (1341)</t>
  </si>
  <si>
    <t>BB (1395)</t>
  </si>
  <si>
    <t>JBP1338</t>
  </si>
  <si>
    <t>JBP (1402)</t>
  </si>
  <si>
    <t>jbp(1356)</t>
  </si>
  <si>
    <t>jbp(1131)</t>
  </si>
  <si>
    <t>for jbp</t>
  </si>
  <si>
    <t>jbp new pg</t>
  </si>
  <si>
    <t>jbp new PG</t>
  </si>
  <si>
    <t>for pg new</t>
  </si>
  <si>
    <t>dubai( 1441)</t>
  </si>
  <si>
    <t>for new pg</t>
  </si>
  <si>
    <t>for new PG</t>
  </si>
  <si>
    <t>for jbp pg new</t>
  </si>
  <si>
    <t>bub(1397/98)</t>
  </si>
  <si>
    <t>for jbp new pg</t>
  </si>
  <si>
    <t>for new pg jbp</t>
  </si>
  <si>
    <t>for new jbp</t>
  </si>
  <si>
    <t>for bub(1357) agn 10 mtr - 1pcs</t>
  </si>
  <si>
    <t>for bub (1357)</t>
  </si>
  <si>
    <t>agn 10 mtr- 1pcs</t>
  </si>
  <si>
    <t>6-1, 8.55-1</t>
  </si>
  <si>
    <t>jbp 1399/bub 1357</t>
  </si>
  <si>
    <t>for bb(1357)</t>
  </si>
  <si>
    <t>for bub PG</t>
  </si>
  <si>
    <t>jbp(1402)</t>
  </si>
  <si>
    <t>bub (1358)</t>
  </si>
  <si>
    <t>bb(1358)</t>
  </si>
  <si>
    <t>bb(1396)</t>
  </si>
  <si>
    <t>bb(1397)</t>
  </si>
  <si>
    <t>bb(1395)</t>
  </si>
  <si>
    <t>jbp(1399)</t>
  </si>
  <si>
    <t>jbp (1402)</t>
  </si>
  <si>
    <t>bb(1357)</t>
  </si>
  <si>
    <t>bb (1358)</t>
  </si>
  <si>
    <t>bb (1357)</t>
  </si>
  <si>
    <t>bb(1357</t>
  </si>
  <si>
    <t>pcs dispatched for bub</t>
  </si>
  <si>
    <t>02.01.24</t>
  </si>
  <si>
    <t>VIL HT (High Si)</t>
  </si>
  <si>
    <t>VIL HT (JO/J2)</t>
  </si>
  <si>
    <t>RINL-90</t>
  </si>
  <si>
    <t>11-3, 11.5-1</t>
  </si>
  <si>
    <t>IISCO-150</t>
  </si>
  <si>
    <t>31.12/01.01.24</t>
  </si>
  <si>
    <t xml:space="preserve">PG </t>
  </si>
  <si>
    <t>BTR- REQ BL- OK FROM RANDAM LENGTH</t>
  </si>
  <si>
    <t>BB 1334</t>
  </si>
  <si>
    <t>01.01.24</t>
  </si>
  <si>
    <t>for bub(1395)</t>
  </si>
  <si>
    <t>bb 1358</t>
  </si>
  <si>
    <t>agn bl ( bb 1358)</t>
  </si>
  <si>
    <t>jbp 1398</t>
  </si>
  <si>
    <t>AGN BL(11.10)</t>
  </si>
  <si>
    <t>BB(1397)</t>
  </si>
  <si>
    <t>9-4, 9.8-1</t>
  </si>
  <si>
    <t>BB (1357)</t>
  </si>
  <si>
    <t>BB (1357)/1397</t>
  </si>
  <si>
    <t>BB (1358)</t>
  </si>
  <si>
    <t>11.5-4, 7.5-1</t>
  </si>
  <si>
    <t>BB ( 1358)</t>
  </si>
  <si>
    <t>JBP(1359</t>
  </si>
  <si>
    <t>JBP(1359/1399</t>
  </si>
  <si>
    <t>BB 1357</t>
  </si>
  <si>
    <t>BB 1358</t>
  </si>
  <si>
    <t>04.01.24</t>
  </si>
  <si>
    <t>FOR DUBAI</t>
  </si>
  <si>
    <t>FOR JBP NEW</t>
  </si>
  <si>
    <t>JBP PG NEW</t>
  </si>
  <si>
    <t>JBP NEW</t>
  </si>
  <si>
    <t>FOR BUB</t>
  </si>
  <si>
    <t>06.01.24</t>
  </si>
  <si>
    <t>04/06.01.24</t>
  </si>
  <si>
    <t>for dubai'(1452)</t>
  </si>
  <si>
    <t>for dubai short rolling</t>
  </si>
  <si>
    <t>SAIL-230X160</t>
  </si>
  <si>
    <t>Order pcs</t>
  </si>
  <si>
    <t>Excess rolled</t>
  </si>
  <si>
    <t>10.50 -18 pcs rolled in short length(7.50 to 10 mtr - 30 pcs)</t>
  </si>
  <si>
    <t>11.50-7 pcs rolled in short length(8 to 11 mtr - 8 pcs)</t>
  </si>
  <si>
    <t>%</t>
  </si>
  <si>
    <t>11.80- 5 pcs rolled in short length ( 10.5/10.2/10.1/6.350),7.350 - 8 pcs rolled in short length( 6.350/6.1/5.7)</t>
  </si>
  <si>
    <t>High Si</t>
  </si>
  <si>
    <t>bub(1358)</t>
  </si>
  <si>
    <t>jbp 1400</t>
  </si>
  <si>
    <t>BB(1397)- AGAN 10.20</t>
  </si>
  <si>
    <t>BB(1357)</t>
  </si>
  <si>
    <t>JBP(1398)</t>
  </si>
  <si>
    <t>BB (1397)</t>
  </si>
  <si>
    <t>JBP (1400)</t>
  </si>
  <si>
    <t>10-10, 7.5-2, 7.1-12</t>
  </si>
  <si>
    <t>7.8-35, 7.5-1,7.75-6, 10-17</t>
  </si>
  <si>
    <t>10 mtr randam</t>
  </si>
  <si>
    <t>BB(1396- 4pcs), 1456(16pcs)</t>
  </si>
  <si>
    <t>bb(1456)</t>
  </si>
  <si>
    <t>jbp(1398)</t>
  </si>
  <si>
    <t>FOR JBP (1137), 1 pcs C, 3 pcs IS gr</t>
  </si>
  <si>
    <t>07.01.24</t>
  </si>
  <si>
    <t>VIL  MS(IR)</t>
  </si>
  <si>
    <t>FOR NEW SHORT 1336</t>
  </si>
  <si>
    <t>Physically stock</t>
  </si>
  <si>
    <t>Allocation</t>
  </si>
  <si>
    <t>balance stock</t>
  </si>
  <si>
    <t>bundle no</t>
  </si>
  <si>
    <t>QTY.(mt)</t>
  </si>
</sst>
</file>

<file path=xl/styles.xml><?xml version="1.0" encoding="utf-8"?>
<styleSheet xmlns="http://schemas.openxmlformats.org/spreadsheetml/2006/main">
  <numFmts count="7">
    <numFmt numFmtId="164" formatCode="_(* #,##0.00_);_(* \(#,##0.00\);_(* &quot;-&quot;??_);_(@_)"/>
    <numFmt numFmtId="165" formatCode="0.000"/>
    <numFmt numFmtId="166" formatCode="0.0"/>
    <numFmt numFmtId="167" formatCode="#,##0.000"/>
    <numFmt numFmtId="168" formatCode="0.0000"/>
    <numFmt numFmtId="169" formatCode="[$-409]d\-mmm;@"/>
    <numFmt numFmtId="170" formatCode="_(* #,##0.000_);_(* \(#,##0.000\);_(* &quot;-&quot;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203864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  <font>
      <sz val="12"/>
      <color rgb="FF222222"/>
      <name val="Arial"/>
      <family val="2"/>
    </font>
    <font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rgb="FF00B050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674">
    <xf numFmtId="0" fontId="0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1" fillId="0" borderId="0" applyFont="0" applyFill="0" applyBorder="0" applyAlignment="0" applyProtection="0"/>
  </cellStyleXfs>
  <cellXfs count="576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horizontal="center"/>
    </xf>
    <xf numFmtId="165" fontId="3" fillId="0" borderId="0" xfId="0" applyNumberFormat="1" applyFont="1"/>
    <xf numFmtId="1" fontId="3" fillId="0" borderId="0" xfId="0" applyNumberFormat="1" applyFont="1"/>
    <xf numFmtId="0" fontId="4" fillId="0" borderId="1" xfId="0" applyFont="1" applyBorder="1"/>
    <xf numFmtId="165" fontId="4" fillId="0" borderId="1" xfId="0" applyNumberFormat="1" applyFont="1" applyBorder="1"/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6" fillId="2" borderId="1" xfId="0" applyFont="1" applyFill="1" applyBorder="1" applyAlignment="1">
      <alignment horizontal="right" wrapText="1"/>
    </xf>
    <xf numFmtId="165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65" fontId="7" fillId="0" borderId="1" xfId="0" applyNumberFormat="1" applyFont="1" applyBorder="1"/>
    <xf numFmtId="0" fontId="7" fillId="2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right" wrapText="1"/>
    </xf>
    <xf numFmtId="0" fontId="0" fillId="0" borderId="0" xfId="0" applyFont="1"/>
    <xf numFmtId="165" fontId="4" fillId="2" borderId="1" xfId="0" applyNumberFormat="1" applyFont="1" applyFill="1" applyBorder="1"/>
    <xf numFmtId="0" fontId="0" fillId="2" borderId="0" xfId="0" applyFill="1"/>
    <xf numFmtId="0" fontId="10" fillId="2" borderId="1" xfId="0" applyFont="1" applyFill="1" applyBorder="1" applyAlignment="1">
      <alignment horizontal="left"/>
    </xf>
    <xf numFmtId="165" fontId="4" fillId="0" borderId="1" xfId="0" applyNumberFormat="1" applyFont="1" applyFill="1" applyBorder="1"/>
    <xf numFmtId="0" fontId="0" fillId="0" borderId="1" xfId="0" applyBorder="1"/>
    <xf numFmtId="2" fontId="0" fillId="0" borderId="1" xfId="0" applyNumberFormat="1" applyBorder="1"/>
    <xf numFmtId="165" fontId="2" fillId="3" borderId="1" xfId="0" applyNumberFormat="1" applyFont="1" applyFill="1" applyBorder="1"/>
    <xf numFmtId="0" fontId="2" fillId="3" borderId="1" xfId="0" applyFont="1" applyFill="1" applyBorder="1"/>
    <xf numFmtId="165" fontId="2" fillId="0" borderId="1" xfId="0" applyNumberFormat="1" applyFont="1" applyBorder="1"/>
    <xf numFmtId="0" fontId="2" fillId="2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Font="1" applyBorder="1"/>
    <xf numFmtId="0" fontId="0" fillId="0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wrapText="1"/>
    </xf>
    <xf numFmtId="0" fontId="0" fillId="4" borderId="1" xfId="0" applyFill="1" applyBorder="1"/>
    <xf numFmtId="0" fontId="0" fillId="3" borderId="1" xfId="0" applyFill="1" applyBorder="1"/>
    <xf numFmtId="0" fontId="4" fillId="0" borderId="1" xfId="0" applyFont="1" applyFill="1" applyBorder="1"/>
    <xf numFmtId="0" fontId="2" fillId="5" borderId="1" xfId="0" applyFont="1" applyFill="1" applyBorder="1"/>
    <xf numFmtId="0" fontId="2" fillId="0" borderId="1" xfId="0" applyFont="1" applyFill="1" applyBorder="1"/>
    <xf numFmtId="2" fontId="2" fillId="3" borderId="1" xfId="0" applyNumberFormat="1" applyFont="1" applyFill="1" applyBorder="1"/>
    <xf numFmtId="2" fontId="2" fillId="2" borderId="1" xfId="0" applyNumberFormat="1" applyFont="1" applyFill="1" applyBorder="1"/>
    <xf numFmtId="2" fontId="4" fillId="2" borderId="1" xfId="0" applyNumberFormat="1" applyFont="1" applyFill="1" applyBorder="1"/>
    <xf numFmtId="2" fontId="4" fillId="0" borderId="1" xfId="0" applyNumberFormat="1" applyFont="1" applyBorder="1"/>
    <xf numFmtId="2" fontId="2" fillId="3" borderId="1" xfId="0" applyNumberFormat="1" applyFont="1" applyFill="1" applyBorder="1" applyAlignment="1">
      <alignment horizontal="center"/>
    </xf>
    <xf numFmtId="0" fontId="2" fillId="2" borderId="2" xfId="0" applyFont="1" applyFill="1" applyBorder="1"/>
    <xf numFmtId="165" fontId="0" fillId="0" borderId="1" xfId="0" applyNumberFormat="1" applyBorder="1"/>
    <xf numFmtId="0" fontId="4" fillId="3" borderId="1" xfId="0" applyFont="1" applyFill="1" applyBorder="1" applyAlignment="1">
      <alignment horizontal="right" wrapText="1"/>
    </xf>
    <xf numFmtId="165" fontId="4" fillId="3" borderId="1" xfId="0" applyNumberFormat="1" applyFont="1" applyFill="1" applyBorder="1"/>
    <xf numFmtId="0" fontId="0" fillId="0" borderId="2" xfId="0" applyBorder="1"/>
    <xf numFmtId="0" fontId="7" fillId="0" borderId="1" xfId="0" applyFont="1" applyFill="1" applyBorder="1" applyAlignment="1">
      <alignment horizontal="left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8" fillId="0" borderId="1" xfId="0" applyFont="1" applyBorder="1"/>
    <xf numFmtId="165" fontId="7" fillId="0" borderId="1" xfId="0" applyNumberFormat="1" applyFont="1" applyFill="1" applyBorder="1"/>
    <xf numFmtId="0" fontId="7" fillId="0" borderId="1" xfId="0" applyFont="1" applyFill="1" applyBorder="1"/>
    <xf numFmtId="2" fontId="7" fillId="0" borderId="1" xfId="0" applyNumberFormat="1" applyFont="1" applyBorder="1"/>
    <xf numFmtId="2" fontId="8" fillId="0" borderId="1" xfId="0" applyNumberFormat="1" applyFont="1" applyBorder="1"/>
    <xf numFmtId="0" fontId="0" fillId="6" borderId="1" xfId="0" applyFill="1" applyBorder="1"/>
    <xf numFmtId="165" fontId="2" fillId="6" borderId="1" xfId="0" applyNumberFormat="1" applyFont="1" applyFill="1" applyBorder="1"/>
    <xf numFmtId="0" fontId="2" fillId="6" borderId="1" xfId="0" applyFont="1" applyFill="1" applyBorder="1"/>
    <xf numFmtId="2" fontId="0" fillId="6" borderId="1" xfId="0" applyNumberFormat="1" applyFill="1" applyBorder="1"/>
    <xf numFmtId="0" fontId="3" fillId="0" borderId="0" xfId="0" applyFont="1"/>
    <xf numFmtId="0" fontId="0" fillId="6" borderId="0" xfId="0" applyFill="1"/>
    <xf numFmtId="1" fontId="3" fillId="0" borderId="0" xfId="0" applyNumberFormat="1" applyFont="1" applyAlignment="1">
      <alignment horizontal="center"/>
    </xf>
    <xf numFmtId="165" fontId="0" fillId="6" borderId="1" xfId="0" applyNumberFormat="1" applyFill="1" applyBorder="1"/>
    <xf numFmtId="1" fontId="3" fillId="0" borderId="0" xfId="0" applyNumberFormat="1" applyFont="1" applyAlignment="1">
      <alignment horizontal="right"/>
    </xf>
    <xf numFmtId="2" fontId="2" fillId="6" borderId="1" xfId="0" applyNumberFormat="1" applyFont="1" applyFill="1" applyBorder="1"/>
    <xf numFmtId="1" fontId="0" fillId="2" borderId="0" xfId="0" applyNumberFormat="1" applyFill="1" applyAlignment="1">
      <alignment horizontal="center"/>
    </xf>
    <xf numFmtId="1" fontId="3" fillId="2" borderId="0" xfId="0" applyNumberFormat="1" applyFont="1" applyFill="1" applyAlignment="1">
      <alignment horizontal="right"/>
    </xf>
    <xf numFmtId="165" fontId="2" fillId="3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right" wrapText="1"/>
    </xf>
    <xf numFmtId="165" fontId="2" fillId="7" borderId="1" xfId="0" applyNumberFormat="1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/>
    <xf numFmtId="0" fontId="2" fillId="7" borderId="1" xfId="0" applyFont="1" applyFill="1" applyBorder="1"/>
    <xf numFmtId="0" fontId="0" fillId="7" borderId="1" xfId="0" applyFill="1" applyBorder="1"/>
    <xf numFmtId="165" fontId="2" fillId="5" borderId="1" xfId="0" applyNumberFormat="1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165" fontId="2" fillId="4" borderId="1" xfId="0" applyNumberFormat="1" applyFont="1" applyFill="1" applyBorder="1"/>
    <xf numFmtId="0" fontId="2" fillId="4" borderId="1" xfId="0" applyFont="1" applyFill="1" applyBorder="1"/>
    <xf numFmtId="2" fontId="0" fillId="3" borderId="1" xfId="0" applyNumberFormat="1" applyFill="1" applyBorder="1"/>
    <xf numFmtId="2" fontId="0" fillId="7" borderId="1" xfId="0" applyNumberFormat="1" applyFill="1" applyBorder="1"/>
    <xf numFmtId="165" fontId="7" fillId="2" borderId="1" xfId="0" applyNumberFormat="1" applyFont="1" applyFill="1" applyBorder="1"/>
    <xf numFmtId="165" fontId="8" fillId="0" borderId="2" xfId="0" applyNumberFormat="1" applyFont="1" applyBorder="1"/>
    <xf numFmtId="0" fontId="0" fillId="8" borderId="1" xfId="0" applyFill="1" applyBorder="1"/>
    <xf numFmtId="165" fontId="0" fillId="7" borderId="1" xfId="0" applyNumberFormat="1" applyFill="1" applyBorder="1"/>
    <xf numFmtId="0" fontId="2" fillId="8" borderId="1" xfId="0" applyFont="1" applyFill="1" applyBorder="1"/>
    <xf numFmtId="2" fontId="0" fillId="8" borderId="1" xfId="0" applyNumberFormat="1" applyFill="1" applyBorder="1"/>
    <xf numFmtId="2" fontId="7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right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3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0" fontId="15" fillId="2" borderId="1" xfId="0" applyFont="1" applyFill="1" applyBorder="1"/>
    <xf numFmtId="2" fontId="16" fillId="2" borderId="1" xfId="0" applyNumberFormat="1" applyFont="1" applyFill="1" applyBorder="1" applyAlignment="1">
      <alignment horizontal="right" vertical="top"/>
    </xf>
    <xf numFmtId="165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0" fontId="3" fillId="0" borderId="1" xfId="0" applyFont="1" applyBorder="1"/>
    <xf numFmtId="165" fontId="3" fillId="0" borderId="1" xfId="0" applyNumberFormat="1" applyFont="1" applyBorder="1"/>
    <xf numFmtId="165" fontId="0" fillId="2" borderId="1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1" xfId="0" applyNumberFormat="1" applyFont="1" applyBorder="1"/>
    <xf numFmtId="165" fontId="0" fillId="2" borderId="1" xfId="0" applyNumberFormat="1" applyFill="1" applyBorder="1"/>
    <xf numFmtId="1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7" fillId="2" borderId="1" xfId="0" applyFont="1" applyFill="1" applyBorder="1"/>
    <xf numFmtId="2" fontId="17" fillId="2" borderId="1" xfId="0" applyNumberFormat="1" applyFont="1" applyFill="1" applyBorder="1"/>
    <xf numFmtId="165" fontId="17" fillId="2" borderId="1" xfId="0" applyNumberFormat="1" applyFont="1" applyFill="1" applyBorder="1"/>
    <xf numFmtId="1" fontId="17" fillId="2" borderId="1" xfId="0" applyNumberFormat="1" applyFont="1" applyFill="1" applyBorder="1"/>
    <xf numFmtId="165" fontId="18" fillId="2" borderId="1" xfId="0" applyNumberFormat="1" applyFont="1" applyFill="1" applyBorder="1" applyAlignment="1">
      <alignment horizontal="right"/>
    </xf>
    <xf numFmtId="165" fontId="17" fillId="2" borderId="3" xfId="0" applyNumberFormat="1" applyFont="1" applyFill="1" applyBorder="1"/>
    <xf numFmtId="0" fontId="0" fillId="2" borderId="1" xfId="0" applyFill="1" applyBorder="1" applyAlignment="1">
      <alignment horizontal="left"/>
    </xf>
    <xf numFmtId="2" fontId="4" fillId="2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1" fontId="13" fillId="6" borderId="1" xfId="0" applyNumberFormat="1" applyFont="1" applyFill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1" fontId="13" fillId="3" borderId="1" xfId="0" applyNumberFormat="1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165" fontId="13" fillId="6" borderId="1" xfId="0" applyNumberFormat="1" applyFont="1" applyFill="1" applyBorder="1" applyAlignment="1">
      <alignment horizontal="center"/>
    </xf>
    <xf numFmtId="1" fontId="13" fillId="7" borderId="1" xfId="0" applyNumberFormat="1" applyFont="1" applyFill="1" applyBorder="1" applyAlignment="1">
      <alignment horizontal="center"/>
    </xf>
    <xf numFmtId="2" fontId="13" fillId="7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1" fontId="2" fillId="9" borderId="1" xfId="0" applyNumberFormat="1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/>
    <xf numFmtId="1" fontId="2" fillId="10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0" fontId="0" fillId="7" borderId="0" xfId="0" applyFill="1"/>
    <xf numFmtId="2" fontId="0" fillId="7" borderId="0" xfId="0" applyNumberFormat="1" applyFill="1"/>
    <xf numFmtId="2" fontId="0" fillId="0" borderId="0" xfId="0" applyNumberFormat="1"/>
    <xf numFmtId="2" fontId="0" fillId="2" borderId="1" xfId="0" applyNumberFormat="1" applyFill="1" applyBorder="1"/>
    <xf numFmtId="165" fontId="4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6" fontId="2" fillId="2" borderId="1" xfId="0" applyNumberFormat="1" applyFont="1" applyFill="1" applyBorder="1"/>
    <xf numFmtId="166" fontId="0" fillId="5" borderId="1" xfId="0" applyNumberFormat="1" applyFill="1" applyBorder="1"/>
    <xf numFmtId="166" fontId="2" fillId="5" borderId="1" xfId="0" applyNumberFormat="1" applyFont="1" applyFill="1" applyBorder="1"/>
    <xf numFmtId="0" fontId="0" fillId="5" borderId="0" xfId="0" applyFill="1"/>
    <xf numFmtId="1" fontId="3" fillId="0" borderId="1" xfId="0" applyNumberFormat="1" applyFont="1" applyBorder="1" applyAlignment="1">
      <alignment horizontal="right"/>
    </xf>
    <xf numFmtId="165" fontId="0" fillId="5" borderId="1" xfId="0" applyNumberFormat="1" applyFill="1" applyBorder="1"/>
    <xf numFmtId="2" fontId="2" fillId="5" borderId="1" xfId="0" applyNumberFormat="1" applyFont="1" applyFill="1" applyBorder="1"/>
    <xf numFmtId="165" fontId="14" fillId="2" borderId="1" xfId="0" applyNumberFormat="1" applyFont="1" applyFill="1" applyBorder="1" applyAlignment="1">
      <alignment horizontal="right"/>
    </xf>
    <xf numFmtId="0" fontId="19" fillId="2" borderId="1" xfId="0" applyFont="1" applyFill="1" applyBorder="1" applyAlignment="1">
      <alignment wrapText="1"/>
    </xf>
    <xf numFmtId="2" fontId="20" fillId="2" borderId="1" xfId="0" applyNumberFormat="1" applyFont="1" applyFill="1" applyBorder="1"/>
    <xf numFmtId="165" fontId="14" fillId="2" borderId="1" xfId="0" applyNumberFormat="1" applyFont="1" applyFill="1" applyBorder="1" applyAlignment="1">
      <alignment horizontal="center" vertical="top"/>
    </xf>
    <xf numFmtId="1" fontId="14" fillId="2" borderId="1" xfId="0" applyNumberFormat="1" applyFont="1" applyFill="1" applyBorder="1" applyAlignment="1">
      <alignment horizontal="center" vertical="top"/>
    </xf>
    <xf numFmtId="165" fontId="14" fillId="2" borderId="3" xfId="0" applyNumberFormat="1" applyFont="1" applyFill="1" applyBorder="1" applyAlignment="1">
      <alignment horizontal="center" vertical="top"/>
    </xf>
    <xf numFmtId="1" fontId="13" fillId="9" borderId="1" xfId="0" applyNumberFormat="1" applyFont="1" applyFill="1" applyBorder="1" applyAlignment="1">
      <alignment horizontal="center"/>
    </xf>
    <xf numFmtId="2" fontId="13" fillId="9" borderId="1" xfId="0" applyNumberFormat="1" applyFont="1" applyFill="1" applyBorder="1" applyAlignment="1">
      <alignment horizontal="center"/>
    </xf>
    <xf numFmtId="165" fontId="0" fillId="0" borderId="0" xfId="0" applyNumberFormat="1"/>
    <xf numFmtId="0" fontId="12" fillId="2" borderId="1" xfId="0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0" borderId="3" xfId="0" applyFill="1" applyBorder="1"/>
    <xf numFmtId="2" fontId="2" fillId="7" borderId="1" xfId="0" applyNumberFormat="1" applyFont="1" applyFill="1" applyBorder="1"/>
    <xf numFmtId="0" fontId="0" fillId="7" borderId="3" xfId="0" applyFill="1" applyBorder="1"/>
    <xf numFmtId="2" fontId="0" fillId="9" borderId="1" xfId="0" applyNumberFormat="1" applyFill="1" applyBorder="1"/>
    <xf numFmtId="0" fontId="0" fillId="9" borderId="1" xfId="0" applyFill="1" applyBorder="1"/>
    <xf numFmtId="165" fontId="1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1" fontId="2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165" fontId="14" fillId="2" borderId="0" xfId="0" applyNumberFormat="1" applyFont="1" applyFill="1" applyBorder="1" applyAlignment="1">
      <alignment horizontal="center" vertical="top"/>
    </xf>
    <xf numFmtId="0" fontId="13" fillId="10" borderId="1" xfId="0" applyFont="1" applyFill="1" applyBorder="1" applyAlignment="1">
      <alignment horizontal="center"/>
    </xf>
    <xf numFmtId="0" fontId="0" fillId="10" borderId="0" xfId="0" applyFill="1"/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/>
    <xf numFmtId="0" fontId="14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wrapText="1"/>
    </xf>
    <xf numFmtId="2" fontId="20" fillId="5" borderId="1" xfId="0" applyNumberFormat="1" applyFont="1" applyFill="1" applyBorder="1"/>
    <xf numFmtId="165" fontId="14" fillId="5" borderId="1" xfId="0" applyNumberFormat="1" applyFont="1" applyFill="1" applyBorder="1" applyAlignment="1">
      <alignment horizontal="center" vertical="top"/>
    </xf>
    <xf numFmtId="1" fontId="14" fillId="5" borderId="1" xfId="0" applyNumberFormat="1" applyFont="1" applyFill="1" applyBorder="1" applyAlignment="1">
      <alignment horizontal="center" vertical="top"/>
    </xf>
    <xf numFmtId="165" fontId="14" fillId="5" borderId="1" xfId="0" applyNumberFormat="1" applyFont="1" applyFill="1" applyBorder="1" applyAlignment="1">
      <alignment horizontal="right"/>
    </xf>
    <xf numFmtId="0" fontId="12" fillId="5" borderId="1" xfId="0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/>
    </xf>
    <xf numFmtId="2" fontId="13" fillId="5" borderId="1" xfId="0" applyNumberFormat="1" applyFont="1" applyFill="1" applyBorder="1" applyAlignment="1">
      <alignment horizontal="center"/>
    </xf>
    <xf numFmtId="0" fontId="0" fillId="0" borderId="0" xfId="0"/>
    <xf numFmtId="165" fontId="3" fillId="0" borderId="0" xfId="0" applyNumberFormat="1" applyFont="1"/>
    <xf numFmtId="1" fontId="3" fillId="0" borderId="0" xfId="0" applyNumberFormat="1" applyFont="1"/>
    <xf numFmtId="0" fontId="17" fillId="2" borderId="1" xfId="0" applyFont="1" applyFill="1" applyBorder="1"/>
    <xf numFmtId="2" fontId="17" fillId="2" borderId="1" xfId="0" applyNumberFormat="1" applyFont="1" applyFill="1" applyBorder="1"/>
    <xf numFmtId="165" fontId="17" fillId="2" borderId="1" xfId="0" applyNumberFormat="1" applyFont="1" applyFill="1" applyBorder="1"/>
    <xf numFmtId="1" fontId="17" fillId="2" borderId="1" xfId="0" applyNumberFormat="1" applyFont="1" applyFill="1" applyBorder="1"/>
    <xf numFmtId="165" fontId="18" fillId="2" borderId="1" xfId="0" applyNumberFormat="1" applyFont="1" applyFill="1" applyBorder="1" applyAlignment="1">
      <alignment horizontal="right"/>
    </xf>
    <xf numFmtId="165" fontId="17" fillId="2" borderId="3" xfId="0" applyNumberFormat="1" applyFont="1" applyFill="1" applyBorder="1"/>
    <xf numFmtId="0" fontId="0" fillId="10" borderId="1" xfId="0" applyFill="1" applyBorder="1"/>
    <xf numFmtId="0" fontId="4" fillId="10" borderId="1" xfId="0" applyFont="1" applyFill="1" applyBorder="1" applyAlignment="1">
      <alignment horizontal="right" wrapText="1"/>
    </xf>
    <xf numFmtId="0" fontId="4" fillId="10" borderId="1" xfId="0" applyFont="1" applyFill="1" applyBorder="1"/>
    <xf numFmtId="0" fontId="0" fillId="10" borderId="1" xfId="0" applyFont="1" applyFill="1" applyBorder="1"/>
    <xf numFmtId="0" fontId="0" fillId="5" borderId="0" xfId="0" applyFill="1" applyAlignment="1">
      <alignment horizontal="center"/>
    </xf>
    <xf numFmtId="2" fontId="0" fillId="5" borderId="1" xfId="0" applyNumberFormat="1" applyFill="1" applyBorder="1" applyAlignment="1">
      <alignment horizontal="right"/>
    </xf>
    <xf numFmtId="1" fontId="13" fillId="4" borderId="1" xfId="0" applyNumberFormat="1" applyFont="1" applyFill="1" applyBorder="1" applyAlignment="1">
      <alignment horizontal="center"/>
    </xf>
    <xf numFmtId="2" fontId="13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2" fontId="12" fillId="4" borderId="1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13" fillId="2" borderId="0" xfId="0" applyFont="1" applyFill="1" applyBorder="1"/>
    <xf numFmtId="0" fontId="14" fillId="2" borderId="0" xfId="0" applyFont="1" applyFill="1" applyBorder="1" applyAlignment="1">
      <alignment horizontal="center"/>
    </xf>
    <xf numFmtId="0" fontId="17" fillId="2" borderId="0" xfId="0" applyFont="1" applyFill="1" applyBorder="1"/>
    <xf numFmtId="2" fontId="17" fillId="2" borderId="0" xfId="0" applyNumberFormat="1" applyFont="1" applyFill="1" applyBorder="1"/>
    <xf numFmtId="165" fontId="17" fillId="2" borderId="0" xfId="0" applyNumberFormat="1" applyFont="1" applyFill="1" applyBorder="1"/>
    <xf numFmtId="1" fontId="17" fillId="2" borderId="0" xfId="0" applyNumberFormat="1" applyFont="1" applyFill="1" applyBorder="1"/>
    <xf numFmtId="165" fontId="18" fillId="2" borderId="0" xfId="0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center"/>
    </xf>
    <xf numFmtId="165" fontId="13" fillId="2" borderId="0" xfId="0" applyNumberFormat="1" applyFont="1" applyFill="1" applyBorder="1" applyAlignment="1">
      <alignment horizontal="center"/>
    </xf>
    <xf numFmtId="1" fontId="13" fillId="2" borderId="0" xfId="0" applyNumberFormat="1" applyFont="1" applyFill="1" applyBorder="1" applyAlignment="1">
      <alignment horizontal="center"/>
    </xf>
    <xf numFmtId="2" fontId="13" fillId="2" borderId="0" xfId="0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right"/>
    </xf>
    <xf numFmtId="166" fontId="0" fillId="0" borderId="0" xfId="0" applyNumberFormat="1"/>
    <xf numFmtId="2" fontId="0" fillId="6" borderId="0" xfId="0" applyNumberFormat="1" applyFill="1"/>
    <xf numFmtId="166" fontId="0" fillId="6" borderId="0" xfId="0" applyNumberFormat="1" applyFill="1"/>
    <xf numFmtId="166" fontId="0" fillId="6" borderId="1" xfId="0" applyNumberFormat="1" applyFill="1" applyBorder="1"/>
    <xf numFmtId="165" fontId="0" fillId="8" borderId="1" xfId="0" applyNumberFormat="1" applyFill="1" applyBorder="1"/>
    <xf numFmtId="0" fontId="0" fillId="8" borderId="0" xfId="0" applyFill="1"/>
    <xf numFmtId="165" fontId="3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/>
    <xf numFmtId="0" fontId="7" fillId="0" borderId="1" xfId="0" applyFont="1" applyFill="1" applyBorder="1" applyAlignment="1"/>
    <xf numFmtId="0" fontId="2" fillId="0" borderId="1" xfId="0" applyFont="1" applyFill="1" applyBorder="1" applyAlignment="1"/>
    <xf numFmtId="0" fontId="8" fillId="0" borderId="1" xfId="0" applyFont="1" applyBorder="1" applyAlignment="1"/>
    <xf numFmtId="0" fontId="2" fillId="2" borderId="1" xfId="0" applyFont="1" applyFill="1" applyBorder="1" applyAlignment="1"/>
    <xf numFmtId="0" fontId="0" fillId="0" borderId="1" xfId="0" applyBorder="1" applyAlignment="1"/>
    <xf numFmtId="0" fontId="0" fillId="0" borderId="0" xfId="0" applyBorder="1"/>
    <xf numFmtId="0" fontId="7" fillId="0" borderId="0" xfId="0" applyFont="1" applyFill="1" applyBorder="1"/>
    <xf numFmtId="0" fontId="8" fillId="0" borderId="0" xfId="0" applyFont="1" applyBorder="1"/>
    <xf numFmtId="2" fontId="7" fillId="3" borderId="0" xfId="0" applyNumberFormat="1" applyFont="1" applyFill="1" applyBorder="1" applyAlignment="1">
      <alignment horizontal="center"/>
    </xf>
    <xf numFmtId="165" fontId="7" fillId="2" borderId="0" xfId="0" applyNumberFormat="1" applyFont="1" applyFill="1" applyBorder="1"/>
    <xf numFmtId="0" fontId="7" fillId="0" borderId="0" xfId="0" applyFont="1" applyBorder="1"/>
    <xf numFmtId="165" fontId="7" fillId="2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/>
    <xf numFmtId="165" fontId="7" fillId="2" borderId="0" xfId="0" applyNumberFormat="1" applyFont="1" applyFill="1" applyBorder="1" applyAlignment="1">
      <alignment horizontal="center"/>
    </xf>
    <xf numFmtId="1" fontId="7" fillId="2" borderId="0" xfId="0" applyNumberFormat="1" applyFont="1" applyFill="1" applyBorder="1" applyAlignment="1">
      <alignment horizontal="center"/>
    </xf>
    <xf numFmtId="2" fontId="7" fillId="2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2" fontId="7" fillId="0" borderId="0" xfId="0" applyNumberFormat="1" applyFont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0" fontId="4" fillId="2" borderId="0" xfId="0" applyFont="1" applyFill="1" applyBorder="1"/>
    <xf numFmtId="0" fontId="2" fillId="0" borderId="0" xfId="0" applyFont="1" applyBorder="1"/>
    <xf numFmtId="0" fontId="7" fillId="0" borderId="0" xfId="0" applyFont="1" applyFill="1" applyBorder="1" applyAlignment="1">
      <alignment horizontal="left"/>
    </xf>
    <xf numFmtId="165" fontId="7" fillId="0" borderId="0" xfId="0" applyNumberFormat="1" applyFont="1" applyBorder="1"/>
    <xf numFmtId="0" fontId="7" fillId="2" borderId="0" xfId="0" applyFont="1" applyFill="1" applyBorder="1" applyAlignment="1">
      <alignment horizontal="right" wrapText="1"/>
    </xf>
    <xf numFmtId="0" fontId="7" fillId="2" borderId="0" xfId="0" applyFont="1" applyFill="1" applyBorder="1" applyAlignment="1"/>
    <xf numFmtId="0" fontId="8" fillId="0" borderId="0" xfId="0" applyFont="1" applyBorder="1" applyAlignment="1"/>
    <xf numFmtId="165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2" fontId="7" fillId="0" borderId="0" xfId="0" applyNumberFormat="1" applyFont="1" applyBorder="1"/>
    <xf numFmtId="0" fontId="12" fillId="2" borderId="0" xfId="0" applyFont="1" applyFill="1" applyBorder="1" applyAlignment="1">
      <alignment horizontal="left"/>
    </xf>
    <xf numFmtId="165" fontId="7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Border="1"/>
    <xf numFmtId="2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/>
    <xf numFmtId="0" fontId="4" fillId="2" borderId="0" xfId="0" applyFont="1" applyFill="1" applyBorder="1" applyAlignment="1">
      <alignment horizontal="right" wrapText="1"/>
    </xf>
    <xf numFmtId="165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/>
    <xf numFmtId="0" fontId="6" fillId="2" borderId="0" xfId="0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left"/>
    </xf>
    <xf numFmtId="2" fontId="0" fillId="0" borderId="0" xfId="0" applyNumberFormat="1" applyBorder="1"/>
    <xf numFmtId="2" fontId="4" fillId="0" borderId="0" xfId="0" applyNumberFormat="1" applyFont="1" applyBorder="1"/>
    <xf numFmtId="0" fontId="0" fillId="0" borderId="0" xfId="0" applyBorder="1" applyAlignment="1"/>
    <xf numFmtId="0" fontId="8" fillId="0" borderId="0" xfId="0" applyFont="1" applyFill="1" applyBorder="1" applyAlignment="1">
      <alignment horizontal="left"/>
    </xf>
    <xf numFmtId="2" fontId="8" fillId="0" borderId="0" xfId="0" applyNumberFormat="1" applyFont="1" applyBorder="1"/>
    <xf numFmtId="2" fontId="2" fillId="3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165" fontId="2" fillId="2" borderId="0" xfId="0" applyNumberFormat="1" applyFont="1" applyFill="1" applyBorder="1"/>
    <xf numFmtId="2" fontId="7" fillId="0" borderId="0" xfId="0" applyNumberFormat="1" applyFont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165" fontId="13" fillId="2" borderId="1" xfId="0" applyNumberFormat="1" applyFont="1" applyFill="1" applyBorder="1" applyAlignment="1">
      <alignment horizontal="right"/>
    </xf>
    <xf numFmtId="1" fontId="2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12" fillId="2" borderId="1" xfId="0" applyFont="1" applyFill="1" applyBorder="1"/>
    <xf numFmtId="0" fontId="22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vertical="center"/>
    </xf>
    <xf numFmtId="0" fontId="24" fillId="2" borderId="1" xfId="0" applyFont="1" applyFill="1" applyBorder="1"/>
    <xf numFmtId="2" fontId="24" fillId="2" borderId="1" xfId="0" applyNumberFormat="1" applyFont="1" applyFill="1" applyBorder="1" applyAlignment="1">
      <alignment horizontal="right" vertical="top"/>
    </xf>
    <xf numFmtId="165" fontId="8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/>
    <xf numFmtId="2" fontId="4" fillId="0" borderId="1" xfId="0" applyNumberFormat="1" applyFont="1" applyBorder="1" applyAlignment="1">
      <alignment horizontal="right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0" fontId="11" fillId="2" borderId="1" xfId="0" applyFont="1" applyFill="1" applyBorder="1"/>
    <xf numFmtId="0" fontId="25" fillId="0" borderId="1" xfId="0" applyFont="1" applyBorder="1"/>
    <xf numFmtId="0" fontId="11" fillId="2" borderId="3" xfId="0" applyFont="1" applyFill="1" applyBorder="1"/>
    <xf numFmtId="0" fontId="2" fillId="9" borderId="1" xfId="0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7" fillId="0" borderId="1" xfId="0" applyNumberFormat="1" applyFont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0" fontId="3" fillId="2" borderId="0" xfId="0" applyFont="1" applyFill="1"/>
    <xf numFmtId="0" fontId="3" fillId="5" borderId="0" xfId="0" applyFont="1" applyFill="1"/>
    <xf numFmtId="0" fontId="6" fillId="3" borderId="1" xfId="0" applyFont="1" applyFill="1" applyBorder="1" applyAlignment="1">
      <alignment horizontal="right" wrapText="1"/>
    </xf>
    <xf numFmtId="166" fontId="0" fillId="2" borderId="1" xfId="0" applyNumberFormat="1" applyFill="1" applyBorder="1"/>
    <xf numFmtId="165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1" fontId="2" fillId="11" borderId="1" xfId="0" applyNumberFormat="1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165" fontId="13" fillId="2" borderId="1" xfId="0" applyNumberFormat="1" applyFont="1" applyFill="1" applyBorder="1"/>
    <xf numFmtId="2" fontId="13" fillId="2" borderId="1" xfId="0" applyNumberFormat="1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2" fontId="13" fillId="2" borderId="1" xfId="0" applyNumberFormat="1" applyFont="1" applyFill="1" applyBorder="1" applyAlignment="1">
      <alignment horizontal="right"/>
    </xf>
    <xf numFmtId="0" fontId="13" fillId="3" borderId="1" xfId="0" applyFont="1" applyFill="1" applyBorder="1"/>
    <xf numFmtId="165" fontId="13" fillId="3" borderId="1" xfId="0" applyNumberFormat="1" applyFont="1" applyFill="1" applyBorder="1"/>
    <xf numFmtId="0" fontId="13" fillId="2" borderId="1" xfId="0" applyFont="1" applyFill="1" applyBorder="1" applyAlignment="1">
      <alignment wrapText="1"/>
    </xf>
    <xf numFmtId="165" fontId="13" fillId="2" borderId="1" xfId="0" applyNumberFormat="1" applyFont="1" applyFill="1" applyBorder="1" applyAlignment="1">
      <alignment horizontal="center" vertical="top"/>
    </xf>
    <xf numFmtId="0" fontId="13" fillId="2" borderId="1" xfId="0" applyFont="1" applyFill="1" applyBorder="1" applyAlignment="1">
      <alignment vertical="center"/>
    </xf>
    <xf numFmtId="2" fontId="13" fillId="2" borderId="1" xfId="0" applyNumberFormat="1" applyFont="1" applyFill="1" applyBorder="1" applyAlignment="1">
      <alignment horizontal="right" vertical="top"/>
    </xf>
    <xf numFmtId="2" fontId="11" fillId="6" borderId="1" xfId="0" applyNumberFormat="1" applyFont="1" applyFill="1" applyBorder="1"/>
    <xf numFmtId="0" fontId="11" fillId="6" borderId="1" xfId="0" applyFont="1" applyFill="1" applyBorder="1"/>
    <xf numFmtId="0" fontId="0" fillId="3" borderId="0" xfId="0" applyFill="1"/>
    <xf numFmtId="0" fontId="3" fillId="2" borderId="1" xfId="0" applyFont="1" applyFill="1" applyBorder="1"/>
    <xf numFmtId="165" fontId="14" fillId="2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0" fontId="0" fillId="0" borderId="1" xfId="0" applyFill="1" applyBorder="1"/>
    <xf numFmtId="167" fontId="26" fillId="0" borderId="1" xfId="0" applyNumberFormat="1" applyFont="1" applyBorder="1" applyAlignment="1">
      <alignment horizontal="right" vertical="top"/>
    </xf>
    <xf numFmtId="168" fontId="3" fillId="0" borderId="0" xfId="0" applyNumberFormat="1" applyFont="1" applyAlignment="1">
      <alignment horizontal="right"/>
    </xf>
    <xf numFmtId="2" fontId="0" fillId="6" borderId="3" xfId="0" applyNumberFormat="1" applyFill="1" applyBorder="1"/>
    <xf numFmtId="0" fontId="4" fillId="3" borderId="1" xfId="0" applyFont="1" applyFill="1" applyBorder="1"/>
    <xf numFmtId="0" fontId="2" fillId="9" borderId="1" xfId="0" applyFont="1" applyFill="1" applyBorder="1"/>
    <xf numFmtId="167" fontId="26" fillId="7" borderId="1" xfId="0" applyNumberFormat="1" applyFont="1" applyFill="1" applyBorder="1" applyAlignment="1">
      <alignment horizontal="right" vertical="top"/>
    </xf>
    <xf numFmtId="165" fontId="0" fillId="7" borderId="0" xfId="0" applyNumberFormat="1" applyFill="1"/>
    <xf numFmtId="165" fontId="0" fillId="3" borderId="1" xfId="0" applyNumberFormat="1" applyFill="1" applyBorder="1"/>
    <xf numFmtId="165" fontId="16" fillId="2" borderId="1" xfId="0" applyNumberFormat="1" applyFont="1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right"/>
    </xf>
    <xf numFmtId="0" fontId="9" fillId="0" borderId="1" xfId="0" applyFont="1" applyBorder="1"/>
    <xf numFmtId="2" fontId="9" fillId="0" borderId="1" xfId="0" applyNumberFormat="1" applyFont="1" applyBorder="1" applyAlignment="1">
      <alignment horizontal="center"/>
    </xf>
    <xf numFmtId="2" fontId="0" fillId="4" borderId="1" xfId="0" applyNumberFormat="1" applyFill="1" applyBorder="1"/>
    <xf numFmtId="0" fontId="0" fillId="2" borderId="2" xfId="0" applyFill="1" applyBorder="1"/>
    <xf numFmtId="0" fontId="4" fillId="0" borderId="1" xfId="0" applyFont="1" applyBorder="1" applyAlignment="1">
      <alignment horizontal="center"/>
    </xf>
    <xf numFmtId="165" fontId="9" fillId="0" borderId="1" xfId="0" applyNumberFormat="1" applyFont="1" applyBorder="1"/>
    <xf numFmtId="0" fontId="4" fillId="4" borderId="1" xfId="0" applyFont="1" applyFill="1" applyBorder="1"/>
    <xf numFmtId="165" fontId="4" fillId="2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7" fillId="2" borderId="1" xfId="0" applyFont="1" applyFill="1" applyBorder="1"/>
    <xf numFmtId="165" fontId="4" fillId="9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/>
    <xf numFmtId="2" fontId="5" fillId="2" borderId="1" xfId="0" applyNumberFormat="1" applyFont="1" applyFill="1" applyBorder="1" applyAlignment="1">
      <alignment horizontal="center" vertical="top"/>
    </xf>
    <xf numFmtId="0" fontId="27" fillId="2" borderId="1" xfId="0" applyFont="1" applyFill="1" applyBorder="1" applyAlignment="1">
      <alignment wrapText="1"/>
    </xf>
    <xf numFmtId="2" fontId="9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27" fillId="5" borderId="1" xfId="0" applyFont="1" applyFill="1" applyBorder="1" applyAlignment="1">
      <alignment wrapText="1"/>
    </xf>
    <xf numFmtId="2" fontId="9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/>
    <xf numFmtId="2" fontId="23" fillId="2" borderId="1" xfId="0" applyNumberFormat="1" applyFont="1" applyFill="1" applyBorder="1" applyAlignment="1">
      <alignment horizontal="center" vertical="top"/>
    </xf>
    <xf numFmtId="165" fontId="13" fillId="9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5" fontId="11" fillId="4" borderId="1" xfId="0" applyNumberFormat="1" applyFont="1" applyFill="1" applyBorder="1"/>
    <xf numFmtId="0" fontId="11" fillId="4" borderId="1" xfId="0" applyFont="1" applyFill="1" applyBorder="1"/>
    <xf numFmtId="0" fontId="0" fillId="0" borderId="4" xfId="0" applyBorder="1"/>
    <xf numFmtId="1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11" fillId="3" borderId="1" xfId="0" applyFont="1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right"/>
    </xf>
    <xf numFmtId="1" fontId="14" fillId="2" borderId="1" xfId="0" applyNumberFormat="1" applyFont="1" applyFill="1" applyBorder="1" applyAlignment="1">
      <alignment horizontal="center"/>
    </xf>
    <xf numFmtId="0" fontId="28" fillId="0" borderId="0" xfId="0" applyFont="1"/>
    <xf numFmtId="0" fontId="0" fillId="6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1" fillId="7" borderId="1" xfId="0" applyFont="1" applyFill="1" applyBorder="1"/>
    <xf numFmtId="0" fontId="0" fillId="7" borderId="1" xfId="0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" fontId="14" fillId="2" borderId="3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165" fontId="29" fillId="2" borderId="1" xfId="0" applyNumberFormat="1" applyFont="1" applyFill="1" applyBorder="1"/>
    <xf numFmtId="1" fontId="29" fillId="2" borderId="1" xfId="0" applyNumberFormat="1" applyFont="1" applyFill="1" applyBorder="1"/>
    <xf numFmtId="165" fontId="30" fillId="2" borderId="1" xfId="0" applyNumberFormat="1" applyFont="1" applyFill="1" applyBorder="1" applyAlignment="1">
      <alignment horizontal="right"/>
    </xf>
    <xf numFmtId="165" fontId="17" fillId="9" borderId="1" xfId="0" applyNumberFormat="1" applyFont="1" applyFill="1" applyBorder="1"/>
    <xf numFmtId="1" fontId="17" fillId="9" borderId="1" xfId="0" applyNumberFormat="1" applyFont="1" applyFill="1" applyBorder="1"/>
    <xf numFmtId="165" fontId="0" fillId="9" borderId="1" xfId="0" applyNumberFormat="1" applyFill="1" applyBorder="1"/>
    <xf numFmtId="0" fontId="2" fillId="0" borderId="0" xfId="0" applyFont="1"/>
    <xf numFmtId="169" fontId="2" fillId="0" borderId="0" xfId="767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7672" applyFont="1" applyBorder="1"/>
    <xf numFmtId="0" fontId="2" fillId="2" borderId="1" xfId="0" applyFont="1" applyFill="1" applyBorder="1" applyAlignment="1">
      <alignment horizontal="left"/>
    </xf>
    <xf numFmtId="0" fontId="2" fillId="3" borderId="0" xfId="0" applyFont="1" applyFill="1"/>
    <xf numFmtId="169" fontId="2" fillId="0" borderId="1" xfId="7672" applyNumberFormat="1" applyFont="1" applyBorder="1" applyAlignment="1">
      <alignment horizontal="center"/>
    </xf>
    <xf numFmtId="0" fontId="2" fillId="0" borderId="1" xfId="7672" applyFont="1" applyBorder="1"/>
    <xf numFmtId="0" fontId="2" fillId="12" borderId="1" xfId="0" applyFont="1" applyFill="1" applyBorder="1"/>
    <xf numFmtId="0" fontId="2" fillId="0" borderId="1" xfId="7672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left"/>
    </xf>
    <xf numFmtId="169" fontId="2" fillId="2" borderId="1" xfId="7672" applyNumberFormat="1" applyFont="1" applyFill="1" applyBorder="1" applyAlignment="1">
      <alignment horizontal="center"/>
    </xf>
    <xf numFmtId="0" fontId="2" fillId="0" borderId="1" xfId="0" applyFont="1" applyBorder="1" applyAlignment="1"/>
    <xf numFmtId="14" fontId="2" fillId="0" borderId="1" xfId="0" applyNumberFormat="1" applyFont="1" applyBorder="1"/>
    <xf numFmtId="0" fontId="2" fillId="2" borderId="1" xfId="7672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2" fillId="0" borderId="1" xfId="0" applyFont="1" applyBorder="1"/>
    <xf numFmtId="0" fontId="7" fillId="3" borderId="1" xfId="136" applyFont="1" applyFill="1" applyBorder="1"/>
    <xf numFmtId="0" fontId="2" fillId="12" borderId="1" xfId="0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17" fillId="2" borderId="1" xfId="0" applyNumberFormat="1" applyFont="1" applyFill="1" applyBorder="1" applyAlignment="1">
      <alignment horizontal="center"/>
    </xf>
    <xf numFmtId="165" fontId="8" fillId="0" borderId="1" xfId="0" applyNumberFormat="1" applyFont="1" applyBorder="1"/>
    <xf numFmtId="0" fontId="0" fillId="4" borderId="3" xfId="0" applyFill="1" applyBorder="1"/>
    <xf numFmtId="0" fontId="8" fillId="3" borderId="1" xfId="0" applyFont="1" applyFill="1" applyBorder="1"/>
    <xf numFmtId="2" fontId="8" fillId="3" borderId="1" xfId="0" applyNumberFormat="1" applyFont="1" applyFill="1" applyBorder="1"/>
    <xf numFmtId="2" fontId="8" fillId="5" borderId="1" xfId="0" applyNumberFormat="1" applyFont="1" applyFill="1" applyBorder="1"/>
    <xf numFmtId="0" fontId="8" fillId="5" borderId="1" xfId="0" applyFont="1" applyFill="1" applyBorder="1"/>
    <xf numFmtId="165" fontId="8" fillId="4" borderId="1" xfId="0" applyNumberFormat="1" applyFont="1" applyFill="1" applyBorder="1"/>
    <xf numFmtId="0" fontId="0" fillId="4" borderId="0" xfId="0" applyFill="1"/>
    <xf numFmtId="0" fontId="0" fillId="3" borderId="1" xfId="0" applyFill="1" applyBorder="1" applyAlignment="1">
      <alignment horizontal="center"/>
    </xf>
    <xf numFmtId="1" fontId="0" fillId="0" borderId="1" xfId="0" applyNumberFormat="1" applyFont="1" applyBorder="1"/>
    <xf numFmtId="165" fontId="13" fillId="4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165" fontId="3" fillId="6" borderId="0" xfId="0" applyNumberFormat="1" applyFont="1" applyFill="1" applyAlignment="1">
      <alignment horizontal="center"/>
    </xf>
    <xf numFmtId="1" fontId="3" fillId="6" borderId="0" xfId="0" applyNumberFormat="1" applyFont="1" applyFill="1"/>
    <xf numFmtId="165" fontId="3" fillId="6" borderId="0" xfId="0" applyNumberFormat="1" applyFont="1" applyFill="1"/>
    <xf numFmtId="165" fontId="17" fillId="3" borderId="1" xfId="0" applyNumberFormat="1" applyFont="1" applyFill="1" applyBorder="1"/>
    <xf numFmtId="0" fontId="0" fillId="3" borderId="1" xfId="0" applyFill="1" applyBorder="1" applyAlignment="1">
      <alignment horizontal="left"/>
    </xf>
    <xf numFmtId="2" fontId="4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right"/>
    </xf>
    <xf numFmtId="1" fontId="0" fillId="9" borderId="1" xfId="0" applyNumberFormat="1" applyFill="1" applyBorder="1" applyAlignment="1">
      <alignment horizontal="right"/>
    </xf>
    <xf numFmtId="1" fontId="0" fillId="0" borderId="0" xfId="0" applyNumberFormat="1"/>
    <xf numFmtId="1" fontId="0" fillId="2" borderId="3" xfId="0" applyNumberForma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  <xf numFmtId="0" fontId="0" fillId="7" borderId="1" xfId="0" applyFill="1" applyBorder="1" applyAlignment="1">
      <alignment horizontal="left"/>
    </xf>
    <xf numFmtId="1" fontId="3" fillId="2" borderId="1" xfId="0" applyNumberFormat="1" applyFont="1" applyFill="1" applyBorder="1"/>
    <xf numFmtId="170" fontId="0" fillId="0" borderId="1" xfId="7673" applyNumberFormat="1" applyFont="1" applyBorder="1"/>
    <xf numFmtId="170" fontId="0" fillId="7" borderId="1" xfId="7673" applyNumberFormat="1" applyFont="1" applyFill="1" applyBorder="1"/>
    <xf numFmtId="0" fontId="0" fillId="6" borderId="0" xfId="0" applyFill="1" applyBorder="1"/>
    <xf numFmtId="0" fontId="0" fillId="3" borderId="0" xfId="0" applyFill="1" applyBorder="1"/>
    <xf numFmtId="1" fontId="3" fillId="3" borderId="0" xfId="0" applyNumberFormat="1" applyFont="1" applyFill="1" applyAlignment="1">
      <alignment horizontal="center"/>
    </xf>
    <xf numFmtId="0" fontId="11" fillId="7" borderId="0" xfId="0" applyFont="1" applyFill="1"/>
    <xf numFmtId="0" fontId="11" fillId="5" borderId="1" xfId="0" applyFont="1" applyFill="1" applyBorder="1"/>
    <xf numFmtId="1" fontId="3" fillId="3" borderId="0" xfId="0" applyNumberFormat="1" applyFont="1" applyFill="1"/>
    <xf numFmtId="165" fontId="3" fillId="3" borderId="0" xfId="0" applyNumberFormat="1" applyFont="1" applyFill="1"/>
    <xf numFmtId="165" fontId="0" fillId="0" borderId="1" xfId="0" applyNumberFormat="1" applyBorder="1" applyAlignment="1">
      <alignment horizontal="left"/>
    </xf>
    <xf numFmtId="165" fontId="0" fillId="6" borderId="1" xfId="0" applyNumberFormat="1" applyFill="1" applyBorder="1" applyAlignment="1">
      <alignment horizontal="left"/>
    </xf>
    <xf numFmtId="0" fontId="33" fillId="2" borderId="1" xfId="0" applyFont="1" applyFill="1" applyBorder="1"/>
    <xf numFmtId="0" fontId="10" fillId="0" borderId="1" xfId="0" applyFont="1" applyBorder="1"/>
    <xf numFmtId="2" fontId="10" fillId="0" borderId="1" xfId="0" applyNumberFormat="1" applyFont="1" applyBorder="1" applyAlignment="1">
      <alignment horizontal="center"/>
    </xf>
    <xf numFmtId="165" fontId="33" fillId="2" borderId="1" xfId="0" applyNumberFormat="1" applyFont="1" applyFill="1" applyBorder="1" applyAlignment="1">
      <alignment horizontal="center"/>
    </xf>
    <xf numFmtId="0" fontId="34" fillId="2" borderId="1" xfId="0" applyFont="1" applyFill="1" applyBorder="1"/>
    <xf numFmtId="0" fontId="33" fillId="0" borderId="1" xfId="0" applyFont="1" applyBorder="1"/>
    <xf numFmtId="0" fontId="10" fillId="10" borderId="1" xfId="0" applyFont="1" applyFill="1" applyBorder="1" applyAlignment="1">
      <alignment horizontal="center" vertical="center"/>
    </xf>
    <xf numFmtId="0" fontId="33" fillId="10" borderId="1" xfId="0" applyFont="1" applyFill="1" applyBorder="1"/>
    <xf numFmtId="0" fontId="13" fillId="10" borderId="1" xfId="0" applyFont="1" applyFill="1" applyBorder="1"/>
    <xf numFmtId="0" fontId="14" fillId="10" borderId="1" xfId="0" applyFont="1" applyFill="1" applyBorder="1" applyAlignment="1">
      <alignment horizontal="center"/>
    </xf>
    <xf numFmtId="0" fontId="10" fillId="10" borderId="1" xfId="0" applyFont="1" applyFill="1" applyBorder="1"/>
    <xf numFmtId="2" fontId="10" fillId="10" borderId="1" xfId="0" applyNumberFormat="1" applyFont="1" applyFill="1" applyBorder="1" applyAlignment="1">
      <alignment horizontal="center"/>
    </xf>
    <xf numFmtId="165" fontId="33" fillId="10" borderId="1" xfId="0" applyNumberFormat="1" applyFont="1" applyFill="1" applyBorder="1" applyAlignment="1">
      <alignment horizontal="center"/>
    </xf>
    <xf numFmtId="0" fontId="34" fillId="10" borderId="1" xfId="0" applyFont="1" applyFill="1" applyBorder="1"/>
    <xf numFmtId="165" fontId="13" fillId="10" borderId="1" xfId="0" applyNumberFormat="1" applyFont="1" applyFill="1" applyBorder="1" applyAlignment="1">
      <alignment horizontal="center"/>
    </xf>
    <xf numFmtId="1" fontId="13" fillId="10" borderId="1" xfId="0" applyNumberFormat="1" applyFon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0" fontId="35" fillId="2" borderId="1" xfId="0" applyFont="1" applyFill="1" applyBorder="1"/>
    <xf numFmtId="2" fontId="33" fillId="2" borderId="1" xfId="0" applyNumberFormat="1" applyFont="1" applyFill="1" applyBorder="1"/>
    <xf numFmtId="1" fontId="36" fillId="0" borderId="1" xfId="0" applyNumberFormat="1" applyFont="1" applyBorder="1"/>
    <xf numFmtId="165" fontId="36" fillId="0" borderId="1" xfId="0" applyNumberFormat="1" applyFont="1" applyBorder="1"/>
    <xf numFmtId="0" fontId="34" fillId="4" borderId="1" xfId="0" applyFont="1" applyFill="1" applyBorder="1"/>
    <xf numFmtId="2" fontId="0" fillId="0" borderId="2" xfId="0" applyNumberFormat="1" applyBorder="1"/>
    <xf numFmtId="2" fontId="0" fillId="6" borderId="2" xfId="0" applyNumberFormat="1" applyFill="1" applyBorder="1"/>
    <xf numFmtId="0" fontId="3" fillId="3" borderId="0" xfId="0" applyFont="1" applyFill="1"/>
    <xf numFmtId="0" fontId="3" fillId="6" borderId="0" xfId="0" applyFont="1" applyFill="1"/>
    <xf numFmtId="0" fontId="0" fillId="3" borderId="3" xfId="0" applyFill="1" applyBorder="1"/>
    <xf numFmtId="165" fontId="33" fillId="2" borderId="3" xfId="0" applyNumberFormat="1" applyFont="1" applyFill="1" applyBorder="1" applyAlignment="1">
      <alignment horizontal="center"/>
    </xf>
    <xf numFmtId="0" fontId="34" fillId="2" borderId="3" xfId="0" applyFont="1" applyFill="1" applyBorder="1"/>
    <xf numFmtId="1" fontId="25" fillId="0" borderId="0" xfId="0" applyNumberFormat="1" applyFont="1"/>
    <xf numFmtId="165" fontId="25" fillId="0" borderId="0" xfId="0" applyNumberFormat="1" applyFont="1"/>
    <xf numFmtId="0" fontId="10" fillId="2" borderId="1" xfId="0" applyFont="1" applyFill="1" applyBorder="1"/>
    <xf numFmtId="2" fontId="10" fillId="2" borderId="1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13" fillId="2" borderId="4" xfId="0" applyFont="1" applyFill="1" applyBorder="1"/>
    <xf numFmtId="0" fontId="14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wrapText="1"/>
    </xf>
    <xf numFmtId="2" fontId="20" fillId="2" borderId="4" xfId="0" applyNumberFormat="1" applyFont="1" applyFill="1" applyBorder="1"/>
    <xf numFmtId="165" fontId="14" fillId="2" borderId="4" xfId="0" applyNumberFormat="1" applyFont="1" applyFill="1" applyBorder="1" applyAlignment="1">
      <alignment horizontal="right"/>
    </xf>
    <xf numFmtId="0" fontId="13" fillId="2" borderId="4" xfId="0" applyFont="1" applyFill="1" applyBorder="1" applyAlignment="1">
      <alignment horizontal="center"/>
    </xf>
    <xf numFmtId="165" fontId="13" fillId="2" borderId="4" xfId="0" applyNumberFormat="1" applyFont="1" applyFill="1" applyBorder="1" applyAlignment="1">
      <alignment horizontal="center"/>
    </xf>
    <xf numFmtId="1" fontId="13" fillId="2" borderId="4" xfId="0" applyNumberFormat="1" applyFont="1" applyFill="1" applyBorder="1" applyAlignment="1">
      <alignment horizontal="center"/>
    </xf>
    <xf numFmtId="2" fontId="13" fillId="2" borderId="4" xfId="0" applyNumberFormat="1" applyFont="1" applyFill="1" applyBorder="1" applyAlignment="1">
      <alignment horizontal="center"/>
    </xf>
    <xf numFmtId="0" fontId="8" fillId="0" borderId="4" xfId="0" applyFont="1" applyBorder="1"/>
    <xf numFmtId="1" fontId="0" fillId="0" borderId="1" xfId="0" applyNumberFormat="1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5" borderId="1" xfId="0" applyFont="1" applyFill="1" applyBorder="1"/>
    <xf numFmtId="0" fontId="7" fillId="9" borderId="1" xfId="0" applyFont="1" applyFill="1" applyBorder="1"/>
    <xf numFmtId="2" fontId="7" fillId="3" borderId="1" xfId="0" applyNumberFormat="1" applyFont="1" applyFill="1" applyBorder="1"/>
    <xf numFmtId="0" fontId="3" fillId="0" borderId="0" xfId="0" applyFont="1" applyBorder="1" applyAlignment="1">
      <alignment horizontal="center"/>
    </xf>
    <xf numFmtId="10" fontId="0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0" fillId="0" borderId="3" xfId="0" applyBorder="1"/>
    <xf numFmtId="1" fontId="3" fillId="0" borderId="3" xfId="0" applyNumberFormat="1" applyFont="1" applyBorder="1"/>
    <xf numFmtId="165" fontId="3" fillId="0" borderId="4" xfId="0" applyNumberFormat="1" applyFont="1" applyBorder="1"/>
    <xf numFmtId="1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7" fillId="0" borderId="1" xfId="0" applyNumberFormat="1" applyFont="1" applyBorder="1" applyAlignment="1">
      <alignment horizontal="center"/>
    </xf>
    <xf numFmtId="0" fontId="38" fillId="2" borderId="1" xfId="0" applyFont="1" applyFill="1" applyBorder="1" applyAlignment="1">
      <alignment wrapText="1"/>
    </xf>
    <xf numFmtId="1" fontId="33" fillId="0" borderId="1" xfId="0" applyNumberFormat="1" applyFont="1" applyBorder="1" applyAlignment="1">
      <alignment horizontal="center"/>
    </xf>
    <xf numFmtId="165" fontId="33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Fill="1" applyBorder="1"/>
    <xf numFmtId="0" fontId="0" fillId="7" borderId="0" xfId="0" applyFill="1" applyBorder="1"/>
    <xf numFmtId="165" fontId="0" fillId="3" borderId="0" xfId="0" applyNumberFormat="1" applyFill="1"/>
    <xf numFmtId="165" fontId="0" fillId="6" borderId="0" xfId="0" applyNumberFormat="1" applyFill="1"/>
    <xf numFmtId="1" fontId="3" fillId="6" borderId="0" xfId="0" applyNumberFormat="1" applyFont="1" applyFill="1" applyAlignment="1">
      <alignment horizontal="right"/>
    </xf>
    <xf numFmtId="0" fontId="0" fillId="6" borderId="4" xfId="0" applyFill="1" applyBorder="1"/>
    <xf numFmtId="2" fontId="8" fillId="6" borderId="4" xfId="0" applyNumberFormat="1" applyFont="1" applyFill="1" applyBorder="1"/>
    <xf numFmtId="165" fontId="8" fillId="6" borderId="4" xfId="0" applyNumberFormat="1" applyFont="1" applyFill="1" applyBorder="1"/>
    <xf numFmtId="0" fontId="3" fillId="0" borderId="4" xfId="0" applyFont="1" applyBorder="1"/>
    <xf numFmtId="0" fontId="8" fillId="6" borderId="1" xfId="0" applyFont="1" applyFill="1" applyBorder="1"/>
    <xf numFmtId="1" fontId="3" fillId="7" borderId="0" xfId="0" applyNumberFormat="1" applyFont="1" applyFill="1"/>
    <xf numFmtId="166" fontId="2" fillId="6" borderId="1" xfId="0" applyNumberFormat="1" applyFont="1" applyFill="1" applyBorder="1"/>
    <xf numFmtId="1" fontId="5" fillId="2" borderId="1" xfId="0" applyNumberFormat="1" applyFont="1" applyFill="1" applyBorder="1"/>
    <xf numFmtId="0" fontId="14" fillId="0" borderId="6" xfId="0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7674">
    <cellStyle name="Comma" xfId="7673" builtinId="3"/>
    <cellStyle name="Normal" xfId="0" builtinId="0"/>
    <cellStyle name="Normal 10" xfId="13"/>
    <cellStyle name="Normal 10 10" xfId="1939"/>
    <cellStyle name="Normal 10 11" xfId="2482"/>
    <cellStyle name="Normal 10 12" xfId="2976"/>
    <cellStyle name="Normal 10 13" xfId="3570"/>
    <cellStyle name="Normal 10 14" xfId="4410"/>
    <cellStyle name="Normal 10 15" xfId="4658"/>
    <cellStyle name="Normal 10 16" xfId="5478"/>
    <cellStyle name="Normal 10 17" xfId="5746"/>
    <cellStyle name="Normal 10 18" xfId="6290"/>
    <cellStyle name="Normal 10 19" xfId="6834"/>
    <cellStyle name="Normal 10 2" xfId="57"/>
    <cellStyle name="Normal 10 2 10" xfId="4455"/>
    <cellStyle name="Normal 10 2 11" xfId="4924"/>
    <cellStyle name="Normal 10 2 12" xfId="5543"/>
    <cellStyle name="Normal 10 2 13" xfId="6012"/>
    <cellStyle name="Normal 10 2 14" xfId="6556"/>
    <cellStyle name="Normal 10 2 15" xfId="7100"/>
    <cellStyle name="Normal 10 2 2" xfId="315"/>
    <cellStyle name="Normal 10 2 2 10" xfId="5243"/>
    <cellStyle name="Normal 10 2 2 11" xfId="5801"/>
    <cellStyle name="Normal 10 2 2 12" xfId="6345"/>
    <cellStyle name="Normal 10 2 2 13" xfId="6889"/>
    <cellStyle name="Normal 10 2 2 14" xfId="7419"/>
    <cellStyle name="Normal 10 2 2 2" xfId="904"/>
    <cellStyle name="Normal 10 2 2 3" xfId="1450"/>
    <cellStyle name="Normal 10 2 2 4" xfId="1994"/>
    <cellStyle name="Normal 10 2 2 5" xfId="2537"/>
    <cellStyle name="Normal 10 2 2 6" xfId="3079"/>
    <cellStyle name="Normal 10 2 2 7" xfId="3625"/>
    <cellStyle name="Normal 10 2 2 8" xfId="4155"/>
    <cellStyle name="Normal 10 2 2 9" xfId="4713"/>
    <cellStyle name="Normal 10 2 3" xfId="646"/>
    <cellStyle name="Normal 10 2 4" xfId="1192"/>
    <cellStyle name="Normal 10 2 5" xfId="1661"/>
    <cellStyle name="Normal 10 2 6" xfId="2205"/>
    <cellStyle name="Normal 10 2 7" xfId="2748"/>
    <cellStyle name="Normal 10 2 8" xfId="3367"/>
    <cellStyle name="Normal 10 2 9" xfId="3836"/>
    <cellStyle name="Normal 10 3" xfId="101"/>
    <cellStyle name="Normal 10 3 10" xfId="4499"/>
    <cellStyle name="Normal 10 3 11" xfId="5043"/>
    <cellStyle name="Normal 10 3 12" xfId="5587"/>
    <cellStyle name="Normal 10 3 13" xfId="6131"/>
    <cellStyle name="Normal 10 3 14" xfId="6675"/>
    <cellStyle name="Normal 10 3 15" xfId="7219"/>
    <cellStyle name="Normal 10 3 2" xfId="359"/>
    <cellStyle name="Normal 10 3 2 10" xfId="5287"/>
    <cellStyle name="Normal 10 3 2 11" xfId="5845"/>
    <cellStyle name="Normal 10 3 2 12" xfId="6389"/>
    <cellStyle name="Normal 10 3 2 13" xfId="6933"/>
    <cellStyle name="Normal 10 3 2 14" xfId="7463"/>
    <cellStyle name="Normal 10 3 2 2" xfId="948"/>
    <cellStyle name="Normal 10 3 2 3" xfId="1494"/>
    <cellStyle name="Normal 10 3 2 4" xfId="2038"/>
    <cellStyle name="Normal 10 3 2 5" xfId="2581"/>
    <cellStyle name="Normal 10 3 2 6" xfId="3123"/>
    <cellStyle name="Normal 10 3 2 7" xfId="3669"/>
    <cellStyle name="Normal 10 3 2 8" xfId="4199"/>
    <cellStyle name="Normal 10 3 2 9" xfId="4757"/>
    <cellStyle name="Normal 10 3 3" xfId="690"/>
    <cellStyle name="Normal 10 3 4" xfId="1236"/>
    <cellStyle name="Normal 10 3 5" xfId="1780"/>
    <cellStyle name="Normal 10 3 6" xfId="2323"/>
    <cellStyle name="Normal 10 3 7" xfId="2867"/>
    <cellStyle name="Normal 10 3 8" xfId="3411"/>
    <cellStyle name="Normal 10 3 9" xfId="3955"/>
    <cellStyle name="Normal 10 4" xfId="142"/>
    <cellStyle name="Normal 10 4 10" xfId="4540"/>
    <cellStyle name="Normal 10 4 11" xfId="5083"/>
    <cellStyle name="Normal 10 4 12" xfId="5628"/>
    <cellStyle name="Normal 10 4 13" xfId="6172"/>
    <cellStyle name="Normal 10 4 14" xfId="6716"/>
    <cellStyle name="Normal 10 4 15" xfId="7259"/>
    <cellStyle name="Normal 10 4 2" xfId="399"/>
    <cellStyle name="Normal 10 4 2 10" xfId="5326"/>
    <cellStyle name="Normal 10 4 2 11" xfId="5885"/>
    <cellStyle name="Normal 10 4 2 12" xfId="6429"/>
    <cellStyle name="Normal 10 4 2 13" xfId="6973"/>
    <cellStyle name="Normal 10 4 2 14" xfId="7502"/>
    <cellStyle name="Normal 10 4 2 2" xfId="988"/>
    <cellStyle name="Normal 10 4 2 3" xfId="1534"/>
    <cellStyle name="Normal 10 4 2 4" xfId="2078"/>
    <cellStyle name="Normal 10 4 2 5" xfId="2621"/>
    <cellStyle name="Normal 10 4 2 6" xfId="3163"/>
    <cellStyle name="Normal 10 4 2 7" xfId="3709"/>
    <cellStyle name="Normal 10 4 2 8" xfId="4238"/>
    <cellStyle name="Normal 10 4 2 9" xfId="4797"/>
    <cellStyle name="Normal 10 4 3" xfId="731"/>
    <cellStyle name="Normal 10 4 4" xfId="1277"/>
    <cellStyle name="Normal 10 4 5" xfId="1821"/>
    <cellStyle name="Normal 10 4 6" xfId="2364"/>
    <cellStyle name="Normal 10 4 7" xfId="2908"/>
    <cellStyle name="Normal 10 4 8" xfId="3452"/>
    <cellStyle name="Normal 10 4 9" xfId="3995"/>
    <cellStyle name="Normal 10 5" xfId="238"/>
    <cellStyle name="Normal 10 5 10" xfId="4636"/>
    <cellStyle name="Normal 10 5 11" xfId="5174"/>
    <cellStyle name="Normal 10 5 12" xfId="5724"/>
    <cellStyle name="Normal 10 5 13" xfId="6268"/>
    <cellStyle name="Normal 10 5 14" xfId="6812"/>
    <cellStyle name="Normal 10 5 15" xfId="7350"/>
    <cellStyle name="Normal 10 5 2" xfId="490"/>
    <cellStyle name="Normal 10 5 2 10" xfId="5417"/>
    <cellStyle name="Normal 10 5 2 11" xfId="5976"/>
    <cellStyle name="Normal 10 5 2 12" xfId="6520"/>
    <cellStyle name="Normal 10 5 2 13" xfId="7064"/>
    <cellStyle name="Normal 10 5 2 14" xfId="7593"/>
    <cellStyle name="Normal 10 5 2 2" xfId="1079"/>
    <cellStyle name="Normal 10 5 2 3" xfId="1625"/>
    <cellStyle name="Normal 10 5 2 4" xfId="2169"/>
    <cellStyle name="Normal 10 5 2 5" xfId="2712"/>
    <cellStyle name="Normal 10 5 2 6" xfId="3254"/>
    <cellStyle name="Normal 10 5 2 7" xfId="3800"/>
    <cellStyle name="Normal 10 5 2 8" xfId="4329"/>
    <cellStyle name="Normal 10 5 2 9" xfId="4888"/>
    <cellStyle name="Normal 10 5 3" xfId="827"/>
    <cellStyle name="Normal 10 5 4" xfId="1373"/>
    <cellStyle name="Normal 10 5 5" xfId="1917"/>
    <cellStyle name="Normal 10 5 6" xfId="2460"/>
    <cellStyle name="Normal 10 5 7" xfId="3003"/>
    <cellStyle name="Normal 10 5 8" xfId="3548"/>
    <cellStyle name="Normal 10 5 9" xfId="4086"/>
    <cellStyle name="Normal 10 6" xfId="270"/>
    <cellStyle name="Normal 10 6 10" xfId="5199"/>
    <cellStyle name="Normal 10 6 11" xfId="5756"/>
    <cellStyle name="Normal 10 6 12" xfId="6300"/>
    <cellStyle name="Normal 10 6 13" xfId="6844"/>
    <cellStyle name="Normal 10 6 14" xfId="7375"/>
    <cellStyle name="Normal 10 6 2" xfId="859"/>
    <cellStyle name="Normal 10 6 3" xfId="1405"/>
    <cellStyle name="Normal 10 6 4" xfId="1949"/>
    <cellStyle name="Normal 10 6 5" xfId="2492"/>
    <cellStyle name="Normal 10 6 6" xfId="3034"/>
    <cellStyle name="Normal 10 6 7" xfId="3580"/>
    <cellStyle name="Normal 10 6 8" xfId="4111"/>
    <cellStyle name="Normal 10 6 9" xfId="4668"/>
    <cellStyle name="Normal 10 7" xfId="601"/>
    <cellStyle name="Normal 10 8" xfId="849"/>
    <cellStyle name="Normal 10 9" xfId="1395"/>
    <cellStyle name="Normal 11" xfId="14"/>
    <cellStyle name="Normal 11 10" xfId="2206"/>
    <cellStyle name="Normal 11 11" xfId="2749"/>
    <cellStyle name="Normal 11 12" xfId="3069"/>
    <cellStyle name="Normal 11 13" xfId="3837"/>
    <cellStyle name="Normal 11 14" xfId="4411"/>
    <cellStyle name="Normal 11 15" xfId="4925"/>
    <cellStyle name="Normal 11 16" xfId="5455"/>
    <cellStyle name="Normal 11 17" xfId="6013"/>
    <cellStyle name="Normal 11 18" xfId="6557"/>
    <cellStyle name="Normal 11 19" xfId="7101"/>
    <cellStyle name="Normal 11 2" xfId="58"/>
    <cellStyle name="Normal 11 2 10" xfId="4456"/>
    <cellStyle name="Normal 11 2 11" xfId="4990"/>
    <cellStyle name="Normal 11 2 12" xfId="5544"/>
    <cellStyle name="Normal 11 2 13" xfId="6078"/>
    <cellStyle name="Normal 11 2 14" xfId="6622"/>
    <cellStyle name="Normal 11 2 15" xfId="7166"/>
    <cellStyle name="Normal 11 2 2" xfId="316"/>
    <cellStyle name="Normal 11 2 2 10" xfId="5244"/>
    <cellStyle name="Normal 11 2 2 11" xfId="5802"/>
    <cellStyle name="Normal 11 2 2 12" xfId="6346"/>
    <cellStyle name="Normal 11 2 2 13" xfId="6890"/>
    <cellStyle name="Normal 11 2 2 14" xfId="7420"/>
    <cellStyle name="Normal 11 2 2 2" xfId="905"/>
    <cellStyle name="Normal 11 2 2 3" xfId="1451"/>
    <cellStyle name="Normal 11 2 2 4" xfId="1995"/>
    <cellStyle name="Normal 11 2 2 5" xfId="2538"/>
    <cellStyle name="Normal 11 2 2 6" xfId="3080"/>
    <cellStyle name="Normal 11 2 2 7" xfId="3626"/>
    <cellStyle name="Normal 11 2 2 8" xfId="4156"/>
    <cellStyle name="Normal 11 2 2 9" xfId="4714"/>
    <cellStyle name="Normal 11 2 3" xfId="647"/>
    <cellStyle name="Normal 11 2 4" xfId="1193"/>
    <cellStyle name="Normal 11 2 5" xfId="1727"/>
    <cellStyle name="Normal 11 2 6" xfId="2270"/>
    <cellStyle name="Normal 11 2 7" xfId="2814"/>
    <cellStyle name="Normal 11 2 8" xfId="3368"/>
    <cellStyle name="Normal 11 2 9" xfId="3902"/>
    <cellStyle name="Normal 11 3" xfId="102"/>
    <cellStyle name="Normal 11 3 10" xfId="4500"/>
    <cellStyle name="Normal 11 3 11" xfId="5044"/>
    <cellStyle name="Normal 11 3 12" xfId="5588"/>
    <cellStyle name="Normal 11 3 13" xfId="6132"/>
    <cellStyle name="Normal 11 3 14" xfId="6676"/>
    <cellStyle name="Normal 11 3 15" xfId="7220"/>
    <cellStyle name="Normal 11 3 2" xfId="360"/>
    <cellStyle name="Normal 11 3 2 10" xfId="5288"/>
    <cellStyle name="Normal 11 3 2 11" xfId="5846"/>
    <cellStyle name="Normal 11 3 2 12" xfId="6390"/>
    <cellStyle name="Normal 11 3 2 13" xfId="6934"/>
    <cellStyle name="Normal 11 3 2 14" xfId="7464"/>
    <cellStyle name="Normal 11 3 2 2" xfId="949"/>
    <cellStyle name="Normal 11 3 2 3" xfId="1495"/>
    <cellStyle name="Normal 11 3 2 4" xfId="2039"/>
    <cellStyle name="Normal 11 3 2 5" xfId="2582"/>
    <cellStyle name="Normal 11 3 2 6" xfId="3124"/>
    <cellStyle name="Normal 11 3 2 7" xfId="3670"/>
    <cellStyle name="Normal 11 3 2 8" xfId="4200"/>
    <cellStyle name="Normal 11 3 2 9" xfId="4758"/>
    <cellStyle name="Normal 11 3 3" xfId="691"/>
    <cellStyle name="Normal 11 3 4" xfId="1237"/>
    <cellStyle name="Normal 11 3 5" xfId="1781"/>
    <cellStyle name="Normal 11 3 6" xfId="2324"/>
    <cellStyle name="Normal 11 3 7" xfId="2868"/>
    <cellStyle name="Normal 11 3 8" xfId="3412"/>
    <cellStyle name="Normal 11 3 9" xfId="3956"/>
    <cellStyle name="Normal 11 4" xfId="176"/>
    <cellStyle name="Normal 11 4 10" xfId="4574"/>
    <cellStyle name="Normal 11 4 11" xfId="5117"/>
    <cellStyle name="Normal 11 4 12" xfId="5662"/>
    <cellStyle name="Normal 11 4 13" xfId="6206"/>
    <cellStyle name="Normal 11 4 14" xfId="6750"/>
    <cellStyle name="Normal 11 4 15" xfId="7293"/>
    <cellStyle name="Normal 11 4 2" xfId="433"/>
    <cellStyle name="Normal 11 4 2 10" xfId="5360"/>
    <cellStyle name="Normal 11 4 2 11" xfId="5919"/>
    <cellStyle name="Normal 11 4 2 12" xfId="6463"/>
    <cellStyle name="Normal 11 4 2 13" xfId="7007"/>
    <cellStyle name="Normal 11 4 2 14" xfId="7536"/>
    <cellStyle name="Normal 11 4 2 2" xfId="1022"/>
    <cellStyle name="Normal 11 4 2 3" xfId="1568"/>
    <cellStyle name="Normal 11 4 2 4" xfId="2112"/>
    <cellStyle name="Normal 11 4 2 5" xfId="2655"/>
    <cellStyle name="Normal 11 4 2 6" xfId="3197"/>
    <cellStyle name="Normal 11 4 2 7" xfId="3743"/>
    <cellStyle name="Normal 11 4 2 8" xfId="4272"/>
    <cellStyle name="Normal 11 4 2 9" xfId="4831"/>
    <cellStyle name="Normal 11 4 3" xfId="765"/>
    <cellStyle name="Normal 11 4 4" xfId="1311"/>
    <cellStyle name="Normal 11 4 5" xfId="1855"/>
    <cellStyle name="Normal 11 4 6" xfId="2398"/>
    <cellStyle name="Normal 11 4 7" xfId="2942"/>
    <cellStyle name="Normal 11 4 8" xfId="3486"/>
    <cellStyle name="Normal 11 4 9" xfId="4029"/>
    <cellStyle name="Normal 11 5" xfId="237"/>
    <cellStyle name="Normal 11 5 10" xfId="4635"/>
    <cellStyle name="Normal 11 5 11" xfId="5173"/>
    <cellStyle name="Normal 11 5 12" xfId="5723"/>
    <cellStyle name="Normal 11 5 13" xfId="6267"/>
    <cellStyle name="Normal 11 5 14" xfId="6811"/>
    <cellStyle name="Normal 11 5 15" xfId="7349"/>
    <cellStyle name="Normal 11 5 2" xfId="489"/>
    <cellStyle name="Normal 11 5 2 10" xfId="5416"/>
    <cellStyle name="Normal 11 5 2 11" xfId="5975"/>
    <cellStyle name="Normal 11 5 2 12" xfId="6519"/>
    <cellStyle name="Normal 11 5 2 13" xfId="7063"/>
    <cellStyle name="Normal 11 5 2 14" xfId="7592"/>
    <cellStyle name="Normal 11 5 2 2" xfId="1078"/>
    <cellStyle name="Normal 11 5 2 3" xfId="1624"/>
    <cellStyle name="Normal 11 5 2 4" xfId="2168"/>
    <cellStyle name="Normal 11 5 2 5" xfId="2711"/>
    <cellStyle name="Normal 11 5 2 6" xfId="3253"/>
    <cellStyle name="Normal 11 5 2 7" xfId="3799"/>
    <cellStyle name="Normal 11 5 2 8" xfId="4328"/>
    <cellStyle name="Normal 11 5 2 9" xfId="4887"/>
    <cellStyle name="Normal 11 5 3" xfId="826"/>
    <cellStyle name="Normal 11 5 4" xfId="1372"/>
    <cellStyle name="Normal 11 5 5" xfId="1916"/>
    <cellStyle name="Normal 11 5 6" xfId="2459"/>
    <cellStyle name="Normal 11 5 7" xfId="3002"/>
    <cellStyle name="Normal 11 5 8" xfId="3547"/>
    <cellStyle name="Normal 11 5 9" xfId="4085"/>
    <cellStyle name="Normal 11 6" xfId="271"/>
    <cellStyle name="Normal 11 6 10" xfId="5200"/>
    <cellStyle name="Normal 11 6 11" xfId="5757"/>
    <cellStyle name="Normal 11 6 12" xfId="6301"/>
    <cellStyle name="Normal 11 6 13" xfId="6845"/>
    <cellStyle name="Normal 11 6 14" xfId="7376"/>
    <cellStyle name="Normal 11 6 2" xfId="860"/>
    <cellStyle name="Normal 11 6 3" xfId="1406"/>
    <cellStyle name="Normal 11 6 4" xfId="1950"/>
    <cellStyle name="Normal 11 6 5" xfId="2493"/>
    <cellStyle name="Normal 11 6 6" xfId="3035"/>
    <cellStyle name="Normal 11 6 7" xfId="3581"/>
    <cellStyle name="Normal 11 6 8" xfId="4112"/>
    <cellStyle name="Normal 11 6 9" xfId="4669"/>
    <cellStyle name="Normal 11 7" xfId="602"/>
    <cellStyle name="Normal 11 8" xfId="1116"/>
    <cellStyle name="Normal 11 9" xfId="1662"/>
    <cellStyle name="Normal 116" xfId="4"/>
    <cellStyle name="Normal 116 10" xfId="2248"/>
    <cellStyle name="Normal 116 11" xfId="2792"/>
    <cellStyle name="Normal 116 12" xfId="2902"/>
    <cellStyle name="Normal 116 13" xfId="3880"/>
    <cellStyle name="Normal 116 14" xfId="4376"/>
    <cellStyle name="Normal 116 15" xfId="4968"/>
    <cellStyle name="Normal 116 16" xfId="5480"/>
    <cellStyle name="Normal 116 17" xfId="6056"/>
    <cellStyle name="Normal 116 18" xfId="6600"/>
    <cellStyle name="Normal 116 19" xfId="7144"/>
    <cellStyle name="Normal 116 2" xfId="49"/>
    <cellStyle name="Normal 116 2 10" xfId="4446"/>
    <cellStyle name="Normal 116 2 11" xfId="4980"/>
    <cellStyle name="Normal 116 2 12" xfId="5534"/>
    <cellStyle name="Normal 116 2 13" xfId="6068"/>
    <cellStyle name="Normal 116 2 14" xfId="6612"/>
    <cellStyle name="Normal 116 2 15" xfId="7156"/>
    <cellStyle name="Normal 116 2 2" xfId="306"/>
    <cellStyle name="Normal 116 2 2 10" xfId="5234"/>
    <cellStyle name="Normal 116 2 2 11" xfId="5792"/>
    <cellStyle name="Normal 116 2 2 12" xfId="6336"/>
    <cellStyle name="Normal 116 2 2 13" xfId="6880"/>
    <cellStyle name="Normal 116 2 2 14" xfId="7410"/>
    <cellStyle name="Normal 116 2 2 2" xfId="895"/>
    <cellStyle name="Normal 116 2 2 3" xfId="1441"/>
    <cellStyle name="Normal 116 2 2 4" xfId="1985"/>
    <cellStyle name="Normal 116 2 2 5" xfId="2528"/>
    <cellStyle name="Normal 116 2 2 6" xfId="3070"/>
    <cellStyle name="Normal 116 2 2 7" xfId="3616"/>
    <cellStyle name="Normal 116 2 2 8" xfId="4146"/>
    <cellStyle name="Normal 116 2 2 9" xfId="4704"/>
    <cellStyle name="Normal 116 2 3" xfId="637"/>
    <cellStyle name="Normal 116 2 4" xfId="1169"/>
    <cellStyle name="Normal 116 2 5" xfId="1717"/>
    <cellStyle name="Normal 116 2 6" xfId="2260"/>
    <cellStyle name="Normal 116 2 7" xfId="2804"/>
    <cellStyle name="Normal 116 2 8" xfId="3320"/>
    <cellStyle name="Normal 116 2 9" xfId="3892"/>
    <cellStyle name="Normal 116 3" xfId="92"/>
    <cellStyle name="Normal 116 3 10" xfId="4490"/>
    <cellStyle name="Normal 116 3 11" xfId="5034"/>
    <cellStyle name="Normal 116 3 12" xfId="5578"/>
    <cellStyle name="Normal 116 3 13" xfId="6122"/>
    <cellStyle name="Normal 116 3 14" xfId="6666"/>
    <cellStyle name="Normal 116 3 15" xfId="7210"/>
    <cellStyle name="Normal 116 3 2" xfId="350"/>
    <cellStyle name="Normal 116 3 2 10" xfId="5278"/>
    <cellStyle name="Normal 116 3 2 11" xfId="5836"/>
    <cellStyle name="Normal 116 3 2 12" xfId="6380"/>
    <cellStyle name="Normal 116 3 2 13" xfId="6924"/>
    <cellStyle name="Normal 116 3 2 14" xfId="7454"/>
    <cellStyle name="Normal 116 3 2 2" xfId="939"/>
    <cellStyle name="Normal 116 3 2 3" xfId="1485"/>
    <cellStyle name="Normal 116 3 2 4" xfId="2029"/>
    <cellStyle name="Normal 116 3 2 5" xfId="2572"/>
    <cellStyle name="Normal 116 3 2 6" xfId="3114"/>
    <cellStyle name="Normal 116 3 2 7" xfId="3660"/>
    <cellStyle name="Normal 116 3 2 8" xfId="4190"/>
    <cellStyle name="Normal 116 3 2 9" xfId="4748"/>
    <cellStyle name="Normal 116 3 3" xfId="681"/>
    <cellStyle name="Normal 116 3 4" xfId="1227"/>
    <cellStyle name="Normal 116 3 5" xfId="1771"/>
    <cellStyle name="Normal 116 3 6" xfId="2314"/>
    <cellStyle name="Normal 116 3 7" xfId="2858"/>
    <cellStyle name="Normal 116 3 8" xfId="3402"/>
    <cellStyle name="Normal 116 3 9" xfId="3946"/>
    <cellStyle name="Normal 116 4" xfId="146"/>
    <cellStyle name="Normal 116 4 10" xfId="4544"/>
    <cellStyle name="Normal 116 4 11" xfId="5087"/>
    <cellStyle name="Normal 116 4 12" xfId="5632"/>
    <cellStyle name="Normal 116 4 13" xfId="6176"/>
    <cellStyle name="Normal 116 4 14" xfId="6720"/>
    <cellStyle name="Normal 116 4 15" xfId="7263"/>
    <cellStyle name="Normal 116 4 2" xfId="403"/>
    <cellStyle name="Normal 116 4 2 10" xfId="5330"/>
    <cellStyle name="Normal 116 4 2 11" xfId="5889"/>
    <cellStyle name="Normal 116 4 2 12" xfId="6433"/>
    <cellStyle name="Normal 116 4 2 13" xfId="6977"/>
    <cellStyle name="Normal 116 4 2 14" xfId="7506"/>
    <cellStyle name="Normal 116 4 2 2" xfId="992"/>
    <cellStyle name="Normal 116 4 2 3" xfId="1538"/>
    <cellStyle name="Normal 116 4 2 4" xfId="2082"/>
    <cellStyle name="Normal 116 4 2 5" xfId="2625"/>
    <cellStyle name="Normal 116 4 2 6" xfId="3167"/>
    <cellStyle name="Normal 116 4 2 7" xfId="3713"/>
    <cellStyle name="Normal 116 4 2 8" xfId="4242"/>
    <cellStyle name="Normal 116 4 2 9" xfId="4801"/>
    <cellStyle name="Normal 116 4 3" xfId="735"/>
    <cellStyle name="Normal 116 4 4" xfId="1281"/>
    <cellStyle name="Normal 116 4 5" xfId="1825"/>
    <cellStyle name="Normal 116 4 6" xfId="2368"/>
    <cellStyle name="Normal 116 4 7" xfId="2912"/>
    <cellStyle name="Normal 116 4 8" xfId="3456"/>
    <cellStyle name="Normal 116 4 9" xfId="3999"/>
    <cellStyle name="Normal 116 5" xfId="194"/>
    <cellStyle name="Normal 116 5 10" xfId="4592"/>
    <cellStyle name="Normal 116 5 11" xfId="5133"/>
    <cellStyle name="Normal 116 5 12" xfId="5680"/>
    <cellStyle name="Normal 116 5 13" xfId="6224"/>
    <cellStyle name="Normal 116 5 14" xfId="6768"/>
    <cellStyle name="Normal 116 5 15" xfId="7309"/>
    <cellStyle name="Normal 116 5 2" xfId="449"/>
    <cellStyle name="Normal 116 5 2 10" xfId="5376"/>
    <cellStyle name="Normal 116 5 2 11" xfId="5935"/>
    <cellStyle name="Normal 116 5 2 12" xfId="6479"/>
    <cellStyle name="Normal 116 5 2 13" xfId="7023"/>
    <cellStyle name="Normal 116 5 2 14" xfId="7552"/>
    <cellStyle name="Normal 116 5 2 2" xfId="1038"/>
    <cellStyle name="Normal 116 5 2 3" xfId="1584"/>
    <cellStyle name="Normal 116 5 2 4" xfId="2128"/>
    <cellStyle name="Normal 116 5 2 5" xfId="2671"/>
    <cellStyle name="Normal 116 5 2 6" xfId="3213"/>
    <cellStyle name="Normal 116 5 2 7" xfId="3759"/>
    <cellStyle name="Normal 116 5 2 8" xfId="4288"/>
    <cellStyle name="Normal 116 5 2 9" xfId="4847"/>
    <cellStyle name="Normal 116 5 3" xfId="783"/>
    <cellStyle name="Normal 116 5 4" xfId="1329"/>
    <cellStyle name="Normal 116 5 5" xfId="1873"/>
    <cellStyle name="Normal 116 5 6" xfId="2416"/>
    <cellStyle name="Normal 116 5 7" xfId="2959"/>
    <cellStyle name="Normal 116 5 8" xfId="3504"/>
    <cellStyle name="Normal 116 5 9" xfId="4045"/>
    <cellStyle name="Normal 116 6" xfId="261"/>
    <cellStyle name="Normal 116 6 10" xfId="5190"/>
    <cellStyle name="Normal 116 6 11" xfId="5747"/>
    <cellStyle name="Normal 116 6 12" xfId="6291"/>
    <cellStyle name="Normal 116 6 13" xfId="6835"/>
    <cellStyle name="Normal 116 6 14" xfId="7366"/>
    <cellStyle name="Normal 116 6 2" xfId="850"/>
    <cellStyle name="Normal 116 6 3" xfId="1396"/>
    <cellStyle name="Normal 116 6 4" xfId="1940"/>
    <cellStyle name="Normal 116 6 5" xfId="2483"/>
    <cellStyle name="Normal 116 6 6" xfId="3025"/>
    <cellStyle name="Normal 116 6 7" xfId="3571"/>
    <cellStyle name="Normal 116 6 8" xfId="4102"/>
    <cellStyle name="Normal 116 6 9" xfId="4659"/>
    <cellStyle name="Normal 116 7" xfId="592"/>
    <cellStyle name="Normal 116 8" xfId="1159"/>
    <cellStyle name="Normal 116 9" xfId="1705"/>
    <cellStyle name="Normal 12" xfId="15"/>
    <cellStyle name="Normal 12 10" xfId="2207"/>
    <cellStyle name="Normal 12 11" xfId="2750"/>
    <cellStyle name="Normal 12 12" xfId="2986"/>
    <cellStyle name="Normal 12 13" xfId="3838"/>
    <cellStyle name="Normal 12 14" xfId="4412"/>
    <cellStyle name="Normal 12 15" xfId="4926"/>
    <cellStyle name="Normal 12 16" xfId="5469"/>
    <cellStyle name="Normal 12 17" xfId="6014"/>
    <cellStyle name="Normal 12 18" xfId="6558"/>
    <cellStyle name="Normal 12 19" xfId="7102"/>
    <cellStyle name="Normal 12 2" xfId="59"/>
    <cellStyle name="Normal 12 2 10" xfId="4457"/>
    <cellStyle name="Normal 12 2 11" xfId="5001"/>
    <cellStyle name="Normal 12 2 12" xfId="5545"/>
    <cellStyle name="Normal 12 2 13" xfId="6089"/>
    <cellStyle name="Normal 12 2 14" xfId="6633"/>
    <cellStyle name="Normal 12 2 15" xfId="7177"/>
    <cellStyle name="Normal 12 2 2" xfId="317"/>
    <cellStyle name="Normal 12 2 2 10" xfId="5245"/>
    <cellStyle name="Normal 12 2 2 11" xfId="5803"/>
    <cellStyle name="Normal 12 2 2 12" xfId="6347"/>
    <cellStyle name="Normal 12 2 2 13" xfId="6891"/>
    <cellStyle name="Normal 12 2 2 14" xfId="7421"/>
    <cellStyle name="Normal 12 2 2 2" xfId="906"/>
    <cellStyle name="Normal 12 2 2 3" xfId="1452"/>
    <cellStyle name="Normal 12 2 2 4" xfId="1996"/>
    <cellStyle name="Normal 12 2 2 5" xfId="2539"/>
    <cellStyle name="Normal 12 2 2 6" xfId="3081"/>
    <cellStyle name="Normal 12 2 2 7" xfId="3627"/>
    <cellStyle name="Normal 12 2 2 8" xfId="4157"/>
    <cellStyle name="Normal 12 2 2 9" xfId="4715"/>
    <cellStyle name="Normal 12 2 3" xfId="648"/>
    <cellStyle name="Normal 12 2 4" xfId="1194"/>
    <cellStyle name="Normal 12 2 5" xfId="1738"/>
    <cellStyle name="Normal 12 2 6" xfId="2281"/>
    <cellStyle name="Normal 12 2 7" xfId="2825"/>
    <cellStyle name="Normal 12 2 8" xfId="3369"/>
    <cellStyle name="Normal 12 2 9" xfId="3913"/>
    <cellStyle name="Normal 12 3" xfId="103"/>
    <cellStyle name="Normal 12 3 10" xfId="4501"/>
    <cellStyle name="Normal 12 3 11" xfId="5045"/>
    <cellStyle name="Normal 12 3 12" xfId="5589"/>
    <cellStyle name="Normal 12 3 13" xfId="6133"/>
    <cellStyle name="Normal 12 3 14" xfId="6677"/>
    <cellStyle name="Normal 12 3 15" xfId="7221"/>
    <cellStyle name="Normal 12 3 2" xfId="361"/>
    <cellStyle name="Normal 12 3 2 10" xfId="5289"/>
    <cellStyle name="Normal 12 3 2 11" xfId="5847"/>
    <cellStyle name="Normal 12 3 2 12" xfId="6391"/>
    <cellStyle name="Normal 12 3 2 13" xfId="6935"/>
    <cellStyle name="Normal 12 3 2 14" xfId="7465"/>
    <cellStyle name="Normal 12 3 2 2" xfId="950"/>
    <cellStyle name="Normal 12 3 2 3" xfId="1496"/>
    <cellStyle name="Normal 12 3 2 4" xfId="2040"/>
    <cellStyle name="Normal 12 3 2 5" xfId="2583"/>
    <cellStyle name="Normal 12 3 2 6" xfId="3125"/>
    <cellStyle name="Normal 12 3 2 7" xfId="3671"/>
    <cellStyle name="Normal 12 3 2 8" xfId="4201"/>
    <cellStyle name="Normal 12 3 2 9" xfId="4759"/>
    <cellStyle name="Normal 12 3 3" xfId="692"/>
    <cellStyle name="Normal 12 3 4" xfId="1238"/>
    <cellStyle name="Normal 12 3 5" xfId="1782"/>
    <cellStyle name="Normal 12 3 6" xfId="2325"/>
    <cellStyle name="Normal 12 3 7" xfId="2869"/>
    <cellStyle name="Normal 12 3 8" xfId="3413"/>
    <cellStyle name="Normal 12 3 9" xfId="3957"/>
    <cellStyle name="Normal 12 4" xfId="175"/>
    <cellStyle name="Normal 12 4 10" xfId="4573"/>
    <cellStyle name="Normal 12 4 11" xfId="5116"/>
    <cellStyle name="Normal 12 4 12" xfId="5661"/>
    <cellStyle name="Normal 12 4 13" xfId="6205"/>
    <cellStyle name="Normal 12 4 14" xfId="6749"/>
    <cellStyle name="Normal 12 4 15" xfId="7292"/>
    <cellStyle name="Normal 12 4 2" xfId="432"/>
    <cellStyle name="Normal 12 4 2 10" xfId="5359"/>
    <cellStyle name="Normal 12 4 2 11" xfId="5918"/>
    <cellStyle name="Normal 12 4 2 12" xfId="6462"/>
    <cellStyle name="Normal 12 4 2 13" xfId="7006"/>
    <cellStyle name="Normal 12 4 2 14" xfId="7535"/>
    <cellStyle name="Normal 12 4 2 2" xfId="1021"/>
    <cellStyle name="Normal 12 4 2 3" xfId="1567"/>
    <cellStyle name="Normal 12 4 2 4" xfId="2111"/>
    <cellStyle name="Normal 12 4 2 5" xfId="2654"/>
    <cellStyle name="Normal 12 4 2 6" xfId="3196"/>
    <cellStyle name="Normal 12 4 2 7" xfId="3742"/>
    <cellStyle name="Normal 12 4 2 8" xfId="4271"/>
    <cellStyle name="Normal 12 4 2 9" xfId="4830"/>
    <cellStyle name="Normal 12 4 3" xfId="764"/>
    <cellStyle name="Normal 12 4 4" xfId="1310"/>
    <cellStyle name="Normal 12 4 5" xfId="1854"/>
    <cellStyle name="Normal 12 4 6" xfId="2397"/>
    <cellStyle name="Normal 12 4 7" xfId="2941"/>
    <cellStyle name="Normal 12 4 8" xfId="3485"/>
    <cellStyle name="Normal 12 4 9" xfId="4028"/>
    <cellStyle name="Normal 12 5" xfId="210"/>
    <cellStyle name="Normal 12 5 10" xfId="4608"/>
    <cellStyle name="Normal 12 5 11" xfId="5148"/>
    <cellStyle name="Normal 12 5 12" xfId="5696"/>
    <cellStyle name="Normal 12 5 13" xfId="6240"/>
    <cellStyle name="Normal 12 5 14" xfId="6784"/>
    <cellStyle name="Normal 12 5 15" xfId="7324"/>
    <cellStyle name="Normal 12 5 2" xfId="464"/>
    <cellStyle name="Normal 12 5 2 10" xfId="5391"/>
    <cellStyle name="Normal 12 5 2 11" xfId="5950"/>
    <cellStyle name="Normal 12 5 2 12" xfId="6494"/>
    <cellStyle name="Normal 12 5 2 13" xfId="7038"/>
    <cellStyle name="Normal 12 5 2 14" xfId="7567"/>
    <cellStyle name="Normal 12 5 2 2" xfId="1053"/>
    <cellStyle name="Normal 12 5 2 3" xfId="1599"/>
    <cellStyle name="Normal 12 5 2 4" xfId="2143"/>
    <cellStyle name="Normal 12 5 2 5" xfId="2686"/>
    <cellStyle name="Normal 12 5 2 6" xfId="3228"/>
    <cellStyle name="Normal 12 5 2 7" xfId="3774"/>
    <cellStyle name="Normal 12 5 2 8" xfId="4303"/>
    <cellStyle name="Normal 12 5 2 9" xfId="4862"/>
    <cellStyle name="Normal 12 5 3" xfId="799"/>
    <cellStyle name="Normal 12 5 4" xfId="1345"/>
    <cellStyle name="Normal 12 5 5" xfId="1889"/>
    <cellStyle name="Normal 12 5 6" xfId="2432"/>
    <cellStyle name="Normal 12 5 7" xfId="2975"/>
    <cellStyle name="Normal 12 5 8" xfId="3520"/>
    <cellStyle name="Normal 12 5 9" xfId="4060"/>
    <cellStyle name="Normal 12 6" xfId="272"/>
    <cellStyle name="Normal 12 6 10" xfId="5201"/>
    <cellStyle name="Normal 12 6 11" xfId="5758"/>
    <cellStyle name="Normal 12 6 12" xfId="6302"/>
    <cellStyle name="Normal 12 6 13" xfId="6846"/>
    <cellStyle name="Normal 12 6 14" xfId="7377"/>
    <cellStyle name="Normal 12 6 2" xfId="861"/>
    <cellStyle name="Normal 12 6 3" xfId="1407"/>
    <cellStyle name="Normal 12 6 4" xfId="1951"/>
    <cellStyle name="Normal 12 6 5" xfId="2494"/>
    <cellStyle name="Normal 12 6 6" xfId="3036"/>
    <cellStyle name="Normal 12 6 7" xfId="3582"/>
    <cellStyle name="Normal 12 6 8" xfId="4113"/>
    <cellStyle name="Normal 12 6 9" xfId="4670"/>
    <cellStyle name="Normal 12 7" xfId="603"/>
    <cellStyle name="Normal 12 8" xfId="1117"/>
    <cellStyle name="Normal 12 9" xfId="1663"/>
    <cellStyle name="Normal 13" xfId="16"/>
    <cellStyle name="Normal 13 10" xfId="2199"/>
    <cellStyle name="Normal 13 11" xfId="2742"/>
    <cellStyle name="Normal 13 12" xfId="3016"/>
    <cellStyle name="Normal 13 13" xfId="3830"/>
    <cellStyle name="Normal 13 14" xfId="4413"/>
    <cellStyle name="Normal 13 15" xfId="4918"/>
    <cellStyle name="Normal 13 16" xfId="5472"/>
    <cellStyle name="Normal 13 17" xfId="6006"/>
    <cellStyle name="Normal 13 18" xfId="6550"/>
    <cellStyle name="Normal 13 19" xfId="7094"/>
    <cellStyle name="Normal 13 2" xfId="60"/>
    <cellStyle name="Normal 13 2 10" xfId="4458"/>
    <cellStyle name="Normal 13 2 11" xfId="5002"/>
    <cellStyle name="Normal 13 2 12" xfId="5546"/>
    <cellStyle name="Normal 13 2 13" xfId="6090"/>
    <cellStyle name="Normal 13 2 14" xfId="6634"/>
    <cellStyle name="Normal 13 2 15" xfId="7178"/>
    <cellStyle name="Normal 13 2 2" xfId="318"/>
    <cellStyle name="Normal 13 2 2 10" xfId="5246"/>
    <cellStyle name="Normal 13 2 2 11" xfId="5804"/>
    <cellStyle name="Normal 13 2 2 12" xfId="6348"/>
    <cellStyle name="Normal 13 2 2 13" xfId="6892"/>
    <cellStyle name="Normal 13 2 2 14" xfId="7422"/>
    <cellStyle name="Normal 13 2 2 2" xfId="907"/>
    <cellStyle name="Normal 13 2 2 3" xfId="1453"/>
    <cellStyle name="Normal 13 2 2 4" xfId="1997"/>
    <cellStyle name="Normal 13 2 2 5" xfId="2540"/>
    <cellStyle name="Normal 13 2 2 6" xfId="3082"/>
    <cellStyle name="Normal 13 2 2 7" xfId="3628"/>
    <cellStyle name="Normal 13 2 2 8" xfId="4158"/>
    <cellStyle name="Normal 13 2 2 9" xfId="4716"/>
    <cellStyle name="Normal 13 2 3" xfId="649"/>
    <cellStyle name="Normal 13 2 4" xfId="1195"/>
    <cellStyle name="Normal 13 2 5" xfId="1739"/>
    <cellStyle name="Normal 13 2 6" xfId="2282"/>
    <cellStyle name="Normal 13 2 7" xfId="2826"/>
    <cellStyle name="Normal 13 2 8" xfId="3370"/>
    <cellStyle name="Normal 13 2 9" xfId="3914"/>
    <cellStyle name="Normal 13 3" xfId="104"/>
    <cellStyle name="Normal 13 3 10" xfId="4502"/>
    <cellStyle name="Normal 13 3 11" xfId="5046"/>
    <cellStyle name="Normal 13 3 12" xfId="5590"/>
    <cellStyle name="Normal 13 3 13" xfId="6134"/>
    <cellStyle name="Normal 13 3 14" xfId="6678"/>
    <cellStyle name="Normal 13 3 15" xfId="7222"/>
    <cellStyle name="Normal 13 3 2" xfId="362"/>
    <cellStyle name="Normal 13 3 2 10" xfId="5290"/>
    <cellStyle name="Normal 13 3 2 11" xfId="5848"/>
    <cellStyle name="Normal 13 3 2 12" xfId="6392"/>
    <cellStyle name="Normal 13 3 2 13" xfId="6936"/>
    <cellStyle name="Normal 13 3 2 14" xfId="7466"/>
    <cellStyle name="Normal 13 3 2 2" xfId="951"/>
    <cellStyle name="Normal 13 3 2 3" xfId="1497"/>
    <cellStyle name="Normal 13 3 2 4" xfId="2041"/>
    <cellStyle name="Normal 13 3 2 5" xfId="2584"/>
    <cellStyle name="Normal 13 3 2 6" xfId="3126"/>
    <cellStyle name="Normal 13 3 2 7" xfId="3672"/>
    <cellStyle name="Normal 13 3 2 8" xfId="4202"/>
    <cellStyle name="Normal 13 3 2 9" xfId="4760"/>
    <cellStyle name="Normal 13 3 3" xfId="693"/>
    <cellStyle name="Normal 13 3 4" xfId="1239"/>
    <cellStyle name="Normal 13 3 5" xfId="1783"/>
    <cellStyle name="Normal 13 3 6" xfId="2326"/>
    <cellStyle name="Normal 13 3 7" xfId="2870"/>
    <cellStyle name="Normal 13 3 8" xfId="3414"/>
    <cellStyle name="Normal 13 3 9" xfId="3958"/>
    <cellStyle name="Normal 13 4" xfId="174"/>
    <cellStyle name="Normal 13 4 10" xfId="4572"/>
    <cellStyle name="Normal 13 4 11" xfId="5115"/>
    <cellStyle name="Normal 13 4 12" xfId="5660"/>
    <cellStyle name="Normal 13 4 13" xfId="6204"/>
    <cellStyle name="Normal 13 4 14" xfId="6748"/>
    <cellStyle name="Normal 13 4 15" xfId="7291"/>
    <cellStyle name="Normal 13 4 2" xfId="431"/>
    <cellStyle name="Normal 13 4 2 10" xfId="5358"/>
    <cellStyle name="Normal 13 4 2 11" xfId="5917"/>
    <cellStyle name="Normal 13 4 2 12" xfId="6461"/>
    <cellStyle name="Normal 13 4 2 13" xfId="7005"/>
    <cellStyle name="Normal 13 4 2 14" xfId="7534"/>
    <cellStyle name="Normal 13 4 2 2" xfId="1020"/>
    <cellStyle name="Normal 13 4 2 3" xfId="1566"/>
    <cellStyle name="Normal 13 4 2 4" xfId="2110"/>
    <cellStyle name="Normal 13 4 2 5" xfId="2653"/>
    <cellStyle name="Normal 13 4 2 6" xfId="3195"/>
    <cellStyle name="Normal 13 4 2 7" xfId="3741"/>
    <cellStyle name="Normal 13 4 2 8" xfId="4270"/>
    <cellStyle name="Normal 13 4 2 9" xfId="4829"/>
    <cellStyle name="Normal 13 4 3" xfId="763"/>
    <cellStyle name="Normal 13 4 4" xfId="1309"/>
    <cellStyle name="Normal 13 4 5" xfId="1853"/>
    <cellStyle name="Normal 13 4 6" xfId="2396"/>
    <cellStyle name="Normal 13 4 7" xfId="2940"/>
    <cellStyle name="Normal 13 4 8" xfId="3484"/>
    <cellStyle name="Normal 13 4 9" xfId="4027"/>
    <cellStyle name="Normal 13 5" xfId="236"/>
    <cellStyle name="Normal 13 5 10" xfId="4634"/>
    <cellStyle name="Normal 13 5 11" xfId="5172"/>
    <cellStyle name="Normal 13 5 12" xfId="5722"/>
    <cellStyle name="Normal 13 5 13" xfId="6266"/>
    <cellStyle name="Normal 13 5 14" xfId="6810"/>
    <cellStyle name="Normal 13 5 15" xfId="7348"/>
    <cellStyle name="Normal 13 5 2" xfId="488"/>
    <cellStyle name="Normal 13 5 2 10" xfId="5415"/>
    <cellStyle name="Normal 13 5 2 11" xfId="5974"/>
    <cellStyle name="Normal 13 5 2 12" xfId="6518"/>
    <cellStyle name="Normal 13 5 2 13" xfId="7062"/>
    <cellStyle name="Normal 13 5 2 14" xfId="7591"/>
    <cellStyle name="Normal 13 5 2 2" xfId="1077"/>
    <cellStyle name="Normal 13 5 2 3" xfId="1623"/>
    <cellStyle name="Normal 13 5 2 4" xfId="2167"/>
    <cellStyle name="Normal 13 5 2 5" xfId="2710"/>
    <cellStyle name="Normal 13 5 2 6" xfId="3252"/>
    <cellStyle name="Normal 13 5 2 7" xfId="3798"/>
    <cellStyle name="Normal 13 5 2 8" xfId="4327"/>
    <cellStyle name="Normal 13 5 2 9" xfId="4886"/>
    <cellStyle name="Normal 13 5 3" xfId="825"/>
    <cellStyle name="Normal 13 5 4" xfId="1371"/>
    <cellStyle name="Normal 13 5 5" xfId="1915"/>
    <cellStyle name="Normal 13 5 6" xfId="2458"/>
    <cellStyle name="Normal 13 5 7" xfId="3001"/>
    <cellStyle name="Normal 13 5 8" xfId="3546"/>
    <cellStyle name="Normal 13 5 9" xfId="4084"/>
    <cellStyle name="Normal 13 6" xfId="273"/>
    <cellStyle name="Normal 13 6 10" xfId="5202"/>
    <cellStyle name="Normal 13 6 11" xfId="5759"/>
    <cellStyle name="Normal 13 6 12" xfId="6303"/>
    <cellStyle name="Normal 13 6 13" xfId="6847"/>
    <cellStyle name="Normal 13 6 14" xfId="7378"/>
    <cellStyle name="Normal 13 6 2" xfId="862"/>
    <cellStyle name="Normal 13 6 3" xfId="1408"/>
    <cellStyle name="Normal 13 6 4" xfId="1952"/>
    <cellStyle name="Normal 13 6 5" xfId="2495"/>
    <cellStyle name="Normal 13 6 6" xfId="3037"/>
    <cellStyle name="Normal 13 6 7" xfId="3583"/>
    <cellStyle name="Normal 13 6 8" xfId="4114"/>
    <cellStyle name="Normal 13 6 9" xfId="4671"/>
    <cellStyle name="Normal 13 7" xfId="604"/>
    <cellStyle name="Normal 13 8" xfId="1109"/>
    <cellStyle name="Normal 13 9" xfId="1655"/>
    <cellStyle name="Normal 14" xfId="17"/>
    <cellStyle name="Normal 14 10" xfId="2189"/>
    <cellStyle name="Normal 14 11" xfId="2732"/>
    <cellStyle name="Normal 14 12" xfId="2951"/>
    <cellStyle name="Normal 14 13" xfId="3820"/>
    <cellStyle name="Normal 14 14" xfId="4414"/>
    <cellStyle name="Normal 14 15" xfId="4908"/>
    <cellStyle name="Normal 14 16" xfId="5464"/>
    <cellStyle name="Normal 14 17" xfId="5996"/>
    <cellStyle name="Normal 14 18" xfId="6540"/>
    <cellStyle name="Normal 14 19" xfId="7084"/>
    <cellStyle name="Normal 14 2" xfId="61"/>
    <cellStyle name="Normal 14 2 10" xfId="4459"/>
    <cellStyle name="Normal 14 2 11" xfId="5003"/>
    <cellStyle name="Normal 14 2 12" xfId="5547"/>
    <cellStyle name="Normal 14 2 13" xfId="6091"/>
    <cellStyle name="Normal 14 2 14" xfId="6635"/>
    <cellStyle name="Normal 14 2 15" xfId="7179"/>
    <cellStyle name="Normal 14 2 2" xfId="319"/>
    <cellStyle name="Normal 14 2 2 10" xfId="5247"/>
    <cellStyle name="Normal 14 2 2 11" xfId="5805"/>
    <cellStyle name="Normal 14 2 2 12" xfId="6349"/>
    <cellStyle name="Normal 14 2 2 13" xfId="6893"/>
    <cellStyle name="Normal 14 2 2 14" xfId="7423"/>
    <cellStyle name="Normal 14 2 2 2" xfId="908"/>
    <cellStyle name="Normal 14 2 2 3" xfId="1454"/>
    <cellStyle name="Normal 14 2 2 4" xfId="1998"/>
    <cellStyle name="Normal 14 2 2 5" xfId="2541"/>
    <cellStyle name="Normal 14 2 2 6" xfId="3083"/>
    <cellStyle name="Normal 14 2 2 7" xfId="3629"/>
    <cellStyle name="Normal 14 2 2 8" xfId="4159"/>
    <cellStyle name="Normal 14 2 2 9" xfId="4717"/>
    <cellStyle name="Normal 14 2 3" xfId="650"/>
    <cellStyle name="Normal 14 2 4" xfId="1196"/>
    <cellStyle name="Normal 14 2 5" xfId="1740"/>
    <cellStyle name="Normal 14 2 6" xfId="2283"/>
    <cellStyle name="Normal 14 2 7" xfId="2827"/>
    <cellStyle name="Normal 14 2 8" xfId="3371"/>
    <cellStyle name="Normal 14 2 9" xfId="3915"/>
    <cellStyle name="Normal 14 3" xfId="105"/>
    <cellStyle name="Normal 14 3 10" xfId="4503"/>
    <cellStyle name="Normal 14 3 11" xfId="5047"/>
    <cellStyle name="Normal 14 3 12" xfId="5591"/>
    <cellStyle name="Normal 14 3 13" xfId="6135"/>
    <cellStyle name="Normal 14 3 14" xfId="6679"/>
    <cellStyle name="Normal 14 3 15" xfId="7223"/>
    <cellStyle name="Normal 14 3 2" xfId="363"/>
    <cellStyle name="Normal 14 3 2 10" xfId="5291"/>
    <cellStyle name="Normal 14 3 2 11" xfId="5849"/>
    <cellStyle name="Normal 14 3 2 12" xfId="6393"/>
    <cellStyle name="Normal 14 3 2 13" xfId="6937"/>
    <cellStyle name="Normal 14 3 2 14" xfId="7467"/>
    <cellStyle name="Normal 14 3 2 2" xfId="952"/>
    <cellStyle name="Normal 14 3 2 3" xfId="1498"/>
    <cellStyle name="Normal 14 3 2 4" xfId="2042"/>
    <cellStyle name="Normal 14 3 2 5" xfId="2585"/>
    <cellStyle name="Normal 14 3 2 6" xfId="3127"/>
    <cellStyle name="Normal 14 3 2 7" xfId="3673"/>
    <cellStyle name="Normal 14 3 2 8" xfId="4203"/>
    <cellStyle name="Normal 14 3 2 9" xfId="4761"/>
    <cellStyle name="Normal 14 3 3" xfId="694"/>
    <cellStyle name="Normal 14 3 4" xfId="1240"/>
    <cellStyle name="Normal 14 3 5" xfId="1784"/>
    <cellStyle name="Normal 14 3 6" xfId="2327"/>
    <cellStyle name="Normal 14 3 7" xfId="2871"/>
    <cellStyle name="Normal 14 3 8" xfId="3415"/>
    <cellStyle name="Normal 14 3 9" xfId="3959"/>
    <cellStyle name="Normal 14 4" xfId="173"/>
    <cellStyle name="Normal 14 4 10" xfId="4571"/>
    <cellStyle name="Normal 14 4 11" xfId="5114"/>
    <cellStyle name="Normal 14 4 12" xfId="5659"/>
    <cellStyle name="Normal 14 4 13" xfId="6203"/>
    <cellStyle name="Normal 14 4 14" xfId="6747"/>
    <cellStyle name="Normal 14 4 15" xfId="7290"/>
    <cellStyle name="Normal 14 4 2" xfId="430"/>
    <cellStyle name="Normal 14 4 2 10" xfId="5357"/>
    <cellStyle name="Normal 14 4 2 11" xfId="5916"/>
    <cellStyle name="Normal 14 4 2 12" xfId="6460"/>
    <cellStyle name="Normal 14 4 2 13" xfId="7004"/>
    <cellStyle name="Normal 14 4 2 14" xfId="7533"/>
    <cellStyle name="Normal 14 4 2 2" xfId="1019"/>
    <cellStyle name="Normal 14 4 2 3" xfId="1565"/>
    <cellStyle name="Normal 14 4 2 4" xfId="2109"/>
    <cellStyle name="Normal 14 4 2 5" xfId="2652"/>
    <cellStyle name="Normal 14 4 2 6" xfId="3194"/>
    <cellStyle name="Normal 14 4 2 7" xfId="3740"/>
    <cellStyle name="Normal 14 4 2 8" xfId="4269"/>
    <cellStyle name="Normal 14 4 2 9" xfId="4828"/>
    <cellStyle name="Normal 14 4 3" xfId="762"/>
    <cellStyle name="Normal 14 4 4" xfId="1308"/>
    <cellStyle name="Normal 14 4 5" xfId="1852"/>
    <cellStyle name="Normal 14 4 6" xfId="2395"/>
    <cellStyle name="Normal 14 4 7" xfId="2939"/>
    <cellStyle name="Normal 14 4 8" xfId="3483"/>
    <cellStyle name="Normal 14 4 9" xfId="4026"/>
    <cellStyle name="Normal 14 5" xfId="209"/>
    <cellStyle name="Normal 14 5 10" xfId="4607"/>
    <cellStyle name="Normal 14 5 11" xfId="5147"/>
    <cellStyle name="Normal 14 5 12" xfId="5695"/>
    <cellStyle name="Normal 14 5 13" xfId="6239"/>
    <cellStyle name="Normal 14 5 14" xfId="6783"/>
    <cellStyle name="Normal 14 5 15" xfId="7323"/>
    <cellStyle name="Normal 14 5 2" xfId="463"/>
    <cellStyle name="Normal 14 5 2 10" xfId="5390"/>
    <cellStyle name="Normal 14 5 2 11" xfId="5949"/>
    <cellStyle name="Normal 14 5 2 12" xfId="6493"/>
    <cellStyle name="Normal 14 5 2 13" xfId="7037"/>
    <cellStyle name="Normal 14 5 2 14" xfId="7566"/>
    <cellStyle name="Normal 14 5 2 2" xfId="1052"/>
    <cellStyle name="Normal 14 5 2 3" xfId="1598"/>
    <cellStyle name="Normal 14 5 2 4" xfId="2142"/>
    <cellStyle name="Normal 14 5 2 5" xfId="2685"/>
    <cellStyle name="Normal 14 5 2 6" xfId="3227"/>
    <cellStyle name="Normal 14 5 2 7" xfId="3773"/>
    <cellStyle name="Normal 14 5 2 8" xfId="4302"/>
    <cellStyle name="Normal 14 5 2 9" xfId="4861"/>
    <cellStyle name="Normal 14 5 3" xfId="798"/>
    <cellStyle name="Normal 14 5 4" xfId="1344"/>
    <cellStyle name="Normal 14 5 5" xfId="1888"/>
    <cellStyle name="Normal 14 5 6" xfId="2431"/>
    <cellStyle name="Normal 14 5 7" xfId="2974"/>
    <cellStyle name="Normal 14 5 8" xfId="3519"/>
    <cellStyle name="Normal 14 5 9" xfId="4059"/>
    <cellStyle name="Normal 14 6" xfId="274"/>
    <cellStyle name="Normal 14 6 10" xfId="5203"/>
    <cellStyle name="Normal 14 6 11" xfId="5760"/>
    <cellStyle name="Normal 14 6 12" xfId="6304"/>
    <cellStyle name="Normal 14 6 13" xfId="6848"/>
    <cellStyle name="Normal 14 6 14" xfId="7379"/>
    <cellStyle name="Normal 14 6 2" xfId="863"/>
    <cellStyle name="Normal 14 6 3" xfId="1409"/>
    <cellStyle name="Normal 14 6 4" xfId="1953"/>
    <cellStyle name="Normal 14 6 5" xfId="2496"/>
    <cellStyle name="Normal 14 6 6" xfId="3038"/>
    <cellStyle name="Normal 14 6 7" xfId="3584"/>
    <cellStyle name="Normal 14 6 8" xfId="4115"/>
    <cellStyle name="Normal 14 6 9" xfId="4672"/>
    <cellStyle name="Normal 14 7" xfId="605"/>
    <cellStyle name="Normal 14 8" xfId="1099"/>
    <cellStyle name="Normal 14 9" xfId="1645"/>
    <cellStyle name="Normal 15" xfId="18"/>
    <cellStyle name="Normal 15 10" xfId="1874"/>
    <cellStyle name="Normal 15 11" xfId="2417"/>
    <cellStyle name="Normal 15 12" xfId="3293"/>
    <cellStyle name="Normal 15 13" xfId="3505"/>
    <cellStyle name="Normal 15 14" xfId="4415"/>
    <cellStyle name="Normal 15 15" xfId="4593"/>
    <cellStyle name="Normal 15 16" xfId="5471"/>
    <cellStyle name="Normal 15 17" xfId="5681"/>
    <cellStyle name="Normal 15 18" xfId="6225"/>
    <cellStyle name="Normal 15 19" xfId="6769"/>
    <cellStyle name="Normal 15 2" xfId="62"/>
    <cellStyle name="Normal 15 2 10" xfId="4460"/>
    <cellStyle name="Normal 15 2 11" xfId="5004"/>
    <cellStyle name="Normal 15 2 12" xfId="5548"/>
    <cellStyle name="Normal 15 2 13" xfId="6092"/>
    <cellStyle name="Normal 15 2 14" xfId="6636"/>
    <cellStyle name="Normal 15 2 15" xfId="7180"/>
    <cellStyle name="Normal 15 2 2" xfId="320"/>
    <cellStyle name="Normal 15 2 2 10" xfId="5248"/>
    <cellStyle name="Normal 15 2 2 11" xfId="5806"/>
    <cellStyle name="Normal 15 2 2 12" xfId="6350"/>
    <cellStyle name="Normal 15 2 2 13" xfId="6894"/>
    <cellStyle name="Normal 15 2 2 14" xfId="7424"/>
    <cellStyle name="Normal 15 2 2 2" xfId="909"/>
    <cellStyle name="Normal 15 2 2 3" xfId="1455"/>
    <cellStyle name="Normal 15 2 2 4" xfId="1999"/>
    <cellStyle name="Normal 15 2 2 5" xfId="2542"/>
    <cellStyle name="Normal 15 2 2 6" xfId="3084"/>
    <cellStyle name="Normal 15 2 2 7" xfId="3630"/>
    <cellStyle name="Normal 15 2 2 8" xfId="4160"/>
    <cellStyle name="Normal 15 2 2 9" xfId="4718"/>
    <cellStyle name="Normal 15 2 3" xfId="651"/>
    <cellStyle name="Normal 15 2 4" xfId="1197"/>
    <cellStyle name="Normal 15 2 5" xfId="1741"/>
    <cellStyle name="Normal 15 2 6" xfId="2284"/>
    <cellStyle name="Normal 15 2 7" xfId="2828"/>
    <cellStyle name="Normal 15 2 8" xfId="3372"/>
    <cellStyle name="Normal 15 2 9" xfId="3916"/>
    <cellStyle name="Normal 15 3" xfId="106"/>
    <cellStyle name="Normal 15 3 10" xfId="4504"/>
    <cellStyle name="Normal 15 3 11" xfId="5048"/>
    <cellStyle name="Normal 15 3 12" xfId="5592"/>
    <cellStyle name="Normal 15 3 13" xfId="6136"/>
    <cellStyle name="Normal 15 3 14" xfId="6680"/>
    <cellStyle name="Normal 15 3 15" xfId="7224"/>
    <cellStyle name="Normal 15 3 2" xfId="364"/>
    <cellStyle name="Normal 15 3 2 10" xfId="5292"/>
    <cellStyle name="Normal 15 3 2 11" xfId="5850"/>
    <cellStyle name="Normal 15 3 2 12" xfId="6394"/>
    <cellStyle name="Normal 15 3 2 13" xfId="6938"/>
    <cellStyle name="Normal 15 3 2 14" xfId="7468"/>
    <cellStyle name="Normal 15 3 2 2" xfId="953"/>
    <cellStyle name="Normal 15 3 2 3" xfId="1499"/>
    <cellStyle name="Normal 15 3 2 4" xfId="2043"/>
    <cellStyle name="Normal 15 3 2 5" xfId="2586"/>
    <cellStyle name="Normal 15 3 2 6" xfId="3128"/>
    <cellStyle name="Normal 15 3 2 7" xfId="3674"/>
    <cellStyle name="Normal 15 3 2 8" xfId="4204"/>
    <cellStyle name="Normal 15 3 2 9" xfId="4762"/>
    <cellStyle name="Normal 15 3 3" xfId="695"/>
    <cellStyle name="Normal 15 3 4" xfId="1241"/>
    <cellStyle name="Normal 15 3 5" xfId="1785"/>
    <cellStyle name="Normal 15 3 6" xfId="2328"/>
    <cellStyle name="Normal 15 3 7" xfId="2872"/>
    <cellStyle name="Normal 15 3 8" xfId="3416"/>
    <cellStyle name="Normal 15 3 9" xfId="3960"/>
    <cellStyle name="Normal 15 4" xfId="172"/>
    <cellStyle name="Normal 15 4 10" xfId="4570"/>
    <cellStyle name="Normal 15 4 11" xfId="5113"/>
    <cellStyle name="Normal 15 4 12" xfId="5658"/>
    <cellStyle name="Normal 15 4 13" xfId="6202"/>
    <cellStyle name="Normal 15 4 14" xfId="6746"/>
    <cellStyle name="Normal 15 4 15" xfId="7289"/>
    <cellStyle name="Normal 15 4 2" xfId="429"/>
    <cellStyle name="Normal 15 4 2 10" xfId="5356"/>
    <cellStyle name="Normal 15 4 2 11" xfId="5915"/>
    <cellStyle name="Normal 15 4 2 12" xfId="6459"/>
    <cellStyle name="Normal 15 4 2 13" xfId="7003"/>
    <cellStyle name="Normal 15 4 2 14" xfId="7532"/>
    <cellStyle name="Normal 15 4 2 2" xfId="1018"/>
    <cellStyle name="Normal 15 4 2 3" xfId="1564"/>
    <cellStyle name="Normal 15 4 2 4" xfId="2108"/>
    <cellStyle name="Normal 15 4 2 5" xfId="2651"/>
    <cellStyle name="Normal 15 4 2 6" xfId="3193"/>
    <cellStyle name="Normal 15 4 2 7" xfId="3739"/>
    <cellStyle name="Normal 15 4 2 8" xfId="4268"/>
    <cellStyle name="Normal 15 4 2 9" xfId="4827"/>
    <cellStyle name="Normal 15 4 3" xfId="761"/>
    <cellStyle name="Normal 15 4 4" xfId="1307"/>
    <cellStyle name="Normal 15 4 5" xfId="1851"/>
    <cellStyle name="Normal 15 4 6" xfId="2394"/>
    <cellStyle name="Normal 15 4 7" xfId="2938"/>
    <cellStyle name="Normal 15 4 8" xfId="3482"/>
    <cellStyle name="Normal 15 4 9" xfId="4025"/>
    <cellStyle name="Normal 15 5" xfId="235"/>
    <cellStyle name="Normal 15 5 10" xfId="4633"/>
    <cellStyle name="Normal 15 5 11" xfId="5171"/>
    <cellStyle name="Normal 15 5 12" xfId="5721"/>
    <cellStyle name="Normal 15 5 13" xfId="6265"/>
    <cellStyle name="Normal 15 5 14" xfId="6809"/>
    <cellStyle name="Normal 15 5 15" xfId="7347"/>
    <cellStyle name="Normal 15 5 2" xfId="487"/>
    <cellStyle name="Normal 15 5 2 10" xfId="5414"/>
    <cellStyle name="Normal 15 5 2 11" xfId="5973"/>
    <cellStyle name="Normal 15 5 2 12" xfId="6517"/>
    <cellStyle name="Normal 15 5 2 13" xfId="7061"/>
    <cellStyle name="Normal 15 5 2 14" xfId="7590"/>
    <cellStyle name="Normal 15 5 2 2" xfId="1076"/>
    <cellStyle name="Normal 15 5 2 3" xfId="1622"/>
    <cellStyle name="Normal 15 5 2 4" xfId="2166"/>
    <cellStyle name="Normal 15 5 2 5" xfId="2709"/>
    <cellStyle name="Normal 15 5 2 6" xfId="3251"/>
    <cellStyle name="Normal 15 5 2 7" xfId="3797"/>
    <cellStyle name="Normal 15 5 2 8" xfId="4326"/>
    <cellStyle name="Normal 15 5 2 9" xfId="4885"/>
    <cellStyle name="Normal 15 5 3" xfId="824"/>
    <cellStyle name="Normal 15 5 4" xfId="1370"/>
    <cellStyle name="Normal 15 5 5" xfId="1914"/>
    <cellStyle name="Normal 15 5 6" xfId="2457"/>
    <cellStyle name="Normal 15 5 7" xfId="3000"/>
    <cellStyle name="Normal 15 5 8" xfId="3545"/>
    <cellStyle name="Normal 15 5 9" xfId="4083"/>
    <cellStyle name="Normal 15 6" xfId="275"/>
    <cellStyle name="Normal 15 6 10" xfId="5204"/>
    <cellStyle name="Normal 15 6 11" xfId="5761"/>
    <cellStyle name="Normal 15 6 12" xfId="6305"/>
    <cellStyle name="Normal 15 6 13" xfId="6849"/>
    <cellStyle name="Normal 15 6 14" xfId="7380"/>
    <cellStyle name="Normal 15 6 2" xfId="864"/>
    <cellStyle name="Normal 15 6 3" xfId="1410"/>
    <cellStyle name="Normal 15 6 4" xfId="1954"/>
    <cellStyle name="Normal 15 6 5" xfId="2497"/>
    <cellStyle name="Normal 15 6 6" xfId="3039"/>
    <cellStyle name="Normal 15 6 7" xfId="3585"/>
    <cellStyle name="Normal 15 6 8" xfId="4116"/>
    <cellStyle name="Normal 15 6 9" xfId="4673"/>
    <cellStyle name="Normal 15 7" xfId="606"/>
    <cellStyle name="Normal 15 8" xfId="784"/>
    <cellStyle name="Normal 15 9" xfId="1330"/>
    <cellStyle name="Normal 16" xfId="19"/>
    <cellStyle name="Normal 16 10" xfId="1920"/>
    <cellStyle name="Normal 16 11" xfId="2463"/>
    <cellStyle name="Normal 16 12" xfId="3282"/>
    <cellStyle name="Normal 16 13" xfId="3551"/>
    <cellStyle name="Normal 16 14" xfId="4416"/>
    <cellStyle name="Normal 16 15" xfId="4639"/>
    <cellStyle name="Normal 16 16" xfId="5467"/>
    <cellStyle name="Normal 16 17" xfId="5727"/>
    <cellStyle name="Normal 16 18" xfId="6271"/>
    <cellStyle name="Normal 16 19" xfId="6815"/>
    <cellStyle name="Normal 16 2" xfId="63"/>
    <cellStyle name="Normal 16 2 10" xfId="4461"/>
    <cellStyle name="Normal 16 2 11" xfId="5005"/>
    <cellStyle name="Normal 16 2 12" xfId="5549"/>
    <cellStyle name="Normal 16 2 13" xfId="6093"/>
    <cellStyle name="Normal 16 2 14" xfId="6637"/>
    <cellStyle name="Normal 16 2 15" xfId="7181"/>
    <cellStyle name="Normal 16 2 2" xfId="321"/>
    <cellStyle name="Normal 16 2 2 10" xfId="5249"/>
    <cellStyle name="Normal 16 2 2 11" xfId="5807"/>
    <cellStyle name="Normal 16 2 2 12" xfId="6351"/>
    <cellStyle name="Normal 16 2 2 13" xfId="6895"/>
    <cellStyle name="Normal 16 2 2 14" xfId="7425"/>
    <cellStyle name="Normal 16 2 2 2" xfId="910"/>
    <cellStyle name="Normal 16 2 2 3" xfId="1456"/>
    <cellStyle name="Normal 16 2 2 4" xfId="2000"/>
    <cellStyle name="Normal 16 2 2 5" xfId="2543"/>
    <cellStyle name="Normal 16 2 2 6" xfId="3085"/>
    <cellStyle name="Normal 16 2 2 7" xfId="3631"/>
    <cellStyle name="Normal 16 2 2 8" xfId="4161"/>
    <cellStyle name="Normal 16 2 2 9" xfId="4719"/>
    <cellStyle name="Normal 16 2 3" xfId="652"/>
    <cellStyle name="Normal 16 2 4" xfId="1198"/>
    <cellStyle name="Normal 16 2 5" xfId="1742"/>
    <cellStyle name="Normal 16 2 6" xfId="2285"/>
    <cellStyle name="Normal 16 2 7" xfId="2829"/>
    <cellStyle name="Normal 16 2 8" xfId="3373"/>
    <cellStyle name="Normal 16 2 9" xfId="3917"/>
    <cellStyle name="Normal 16 3" xfId="107"/>
    <cellStyle name="Normal 16 3 10" xfId="4505"/>
    <cellStyle name="Normal 16 3 11" xfId="5049"/>
    <cellStyle name="Normal 16 3 12" xfId="5593"/>
    <cellStyle name="Normal 16 3 13" xfId="6137"/>
    <cellStyle name="Normal 16 3 14" xfId="6681"/>
    <cellStyle name="Normal 16 3 15" xfId="7225"/>
    <cellStyle name="Normal 16 3 2" xfId="365"/>
    <cellStyle name="Normal 16 3 2 10" xfId="5293"/>
    <cellStyle name="Normal 16 3 2 11" xfId="5851"/>
    <cellStyle name="Normal 16 3 2 12" xfId="6395"/>
    <cellStyle name="Normal 16 3 2 13" xfId="6939"/>
    <cellStyle name="Normal 16 3 2 14" xfId="7469"/>
    <cellStyle name="Normal 16 3 2 2" xfId="954"/>
    <cellStyle name="Normal 16 3 2 3" xfId="1500"/>
    <cellStyle name="Normal 16 3 2 4" xfId="2044"/>
    <cellStyle name="Normal 16 3 2 5" xfId="2587"/>
    <cellStyle name="Normal 16 3 2 6" xfId="3129"/>
    <cellStyle name="Normal 16 3 2 7" xfId="3675"/>
    <cellStyle name="Normal 16 3 2 8" xfId="4205"/>
    <cellStyle name="Normal 16 3 2 9" xfId="4763"/>
    <cellStyle name="Normal 16 3 3" xfId="696"/>
    <cellStyle name="Normal 16 3 4" xfId="1242"/>
    <cellStyle name="Normal 16 3 5" xfId="1786"/>
    <cellStyle name="Normal 16 3 6" xfId="2329"/>
    <cellStyle name="Normal 16 3 7" xfId="2873"/>
    <cellStyle name="Normal 16 3 8" xfId="3417"/>
    <cellStyle name="Normal 16 3 9" xfId="3961"/>
    <cellStyle name="Normal 16 4" xfId="171"/>
    <cellStyle name="Normal 16 4 10" xfId="4569"/>
    <cellStyle name="Normal 16 4 11" xfId="5112"/>
    <cellStyle name="Normal 16 4 12" xfId="5657"/>
    <cellStyle name="Normal 16 4 13" xfId="6201"/>
    <cellStyle name="Normal 16 4 14" xfId="6745"/>
    <cellStyle name="Normal 16 4 15" xfId="7288"/>
    <cellStyle name="Normal 16 4 2" xfId="428"/>
    <cellStyle name="Normal 16 4 2 10" xfId="5355"/>
    <cellStyle name="Normal 16 4 2 11" xfId="5914"/>
    <cellStyle name="Normal 16 4 2 12" xfId="6458"/>
    <cellStyle name="Normal 16 4 2 13" xfId="7002"/>
    <cellStyle name="Normal 16 4 2 14" xfId="7531"/>
    <cellStyle name="Normal 16 4 2 2" xfId="1017"/>
    <cellStyle name="Normal 16 4 2 3" xfId="1563"/>
    <cellStyle name="Normal 16 4 2 4" xfId="2107"/>
    <cellStyle name="Normal 16 4 2 5" xfId="2650"/>
    <cellStyle name="Normal 16 4 2 6" xfId="3192"/>
    <cellStyle name="Normal 16 4 2 7" xfId="3738"/>
    <cellStyle name="Normal 16 4 2 8" xfId="4267"/>
    <cellStyle name="Normal 16 4 2 9" xfId="4826"/>
    <cellStyle name="Normal 16 4 3" xfId="760"/>
    <cellStyle name="Normal 16 4 4" xfId="1306"/>
    <cellStyle name="Normal 16 4 5" xfId="1850"/>
    <cellStyle name="Normal 16 4 6" xfId="2393"/>
    <cellStyle name="Normal 16 4 7" xfId="2937"/>
    <cellStyle name="Normal 16 4 8" xfId="3481"/>
    <cellStyle name="Normal 16 4 9" xfId="4024"/>
    <cellStyle name="Normal 16 5" xfId="208"/>
    <cellStyle name="Normal 16 5 10" xfId="4606"/>
    <cellStyle name="Normal 16 5 11" xfId="5146"/>
    <cellStyle name="Normal 16 5 12" xfId="5694"/>
    <cellStyle name="Normal 16 5 13" xfId="6238"/>
    <cellStyle name="Normal 16 5 14" xfId="6782"/>
    <cellStyle name="Normal 16 5 15" xfId="7322"/>
    <cellStyle name="Normal 16 5 2" xfId="462"/>
    <cellStyle name="Normal 16 5 2 10" xfId="5389"/>
    <cellStyle name="Normal 16 5 2 11" xfId="5948"/>
    <cellStyle name="Normal 16 5 2 12" xfId="6492"/>
    <cellStyle name="Normal 16 5 2 13" xfId="7036"/>
    <cellStyle name="Normal 16 5 2 14" xfId="7565"/>
    <cellStyle name="Normal 16 5 2 2" xfId="1051"/>
    <cellStyle name="Normal 16 5 2 3" xfId="1597"/>
    <cellStyle name="Normal 16 5 2 4" xfId="2141"/>
    <cellStyle name="Normal 16 5 2 5" xfId="2684"/>
    <cellStyle name="Normal 16 5 2 6" xfId="3226"/>
    <cellStyle name="Normal 16 5 2 7" xfId="3772"/>
    <cellStyle name="Normal 16 5 2 8" xfId="4301"/>
    <cellStyle name="Normal 16 5 2 9" xfId="4860"/>
    <cellStyle name="Normal 16 5 3" xfId="797"/>
    <cellStyle name="Normal 16 5 4" xfId="1343"/>
    <cellStyle name="Normal 16 5 5" xfId="1887"/>
    <cellStyle name="Normal 16 5 6" xfId="2430"/>
    <cellStyle name="Normal 16 5 7" xfId="2973"/>
    <cellStyle name="Normal 16 5 8" xfId="3518"/>
    <cellStyle name="Normal 16 5 9" xfId="4058"/>
    <cellStyle name="Normal 16 6" xfId="276"/>
    <cellStyle name="Normal 16 6 10" xfId="5205"/>
    <cellStyle name="Normal 16 6 11" xfId="5762"/>
    <cellStyle name="Normal 16 6 12" xfId="6306"/>
    <cellStyle name="Normal 16 6 13" xfId="6850"/>
    <cellStyle name="Normal 16 6 14" xfId="7381"/>
    <cellStyle name="Normal 16 6 2" xfId="865"/>
    <cellStyle name="Normal 16 6 3" xfId="1411"/>
    <cellStyle name="Normal 16 6 4" xfId="1955"/>
    <cellStyle name="Normal 16 6 5" xfId="2498"/>
    <cellStyle name="Normal 16 6 6" xfId="3040"/>
    <cellStyle name="Normal 16 6 7" xfId="3586"/>
    <cellStyle name="Normal 16 6 8" xfId="4117"/>
    <cellStyle name="Normal 16 6 9" xfId="4674"/>
    <cellStyle name="Normal 16 7" xfId="607"/>
    <cellStyle name="Normal 16 8" xfId="830"/>
    <cellStyle name="Normal 16 9" xfId="1376"/>
    <cellStyle name="Normal 17" xfId="20"/>
    <cellStyle name="Normal 17 10" xfId="1933"/>
    <cellStyle name="Normal 17 11" xfId="2476"/>
    <cellStyle name="Normal 17 12" xfId="3285"/>
    <cellStyle name="Normal 17 13" xfId="3564"/>
    <cellStyle name="Normal 17 14" xfId="4417"/>
    <cellStyle name="Normal 17 15" xfId="4652"/>
    <cellStyle name="Normal 17 16" xfId="5443"/>
    <cellStyle name="Normal 17 17" xfId="5740"/>
    <cellStyle name="Normal 17 18" xfId="6284"/>
    <cellStyle name="Normal 17 19" xfId="6828"/>
    <cellStyle name="Normal 17 2" xfId="64"/>
    <cellStyle name="Normal 17 2 10" xfId="4462"/>
    <cellStyle name="Normal 17 2 11" xfId="5006"/>
    <cellStyle name="Normal 17 2 12" xfId="5550"/>
    <cellStyle name="Normal 17 2 13" xfId="6094"/>
    <cellStyle name="Normal 17 2 14" xfId="6638"/>
    <cellStyle name="Normal 17 2 15" xfId="7182"/>
    <cellStyle name="Normal 17 2 2" xfId="322"/>
    <cellStyle name="Normal 17 2 2 10" xfId="5250"/>
    <cellStyle name="Normal 17 2 2 11" xfId="5808"/>
    <cellStyle name="Normal 17 2 2 12" xfId="6352"/>
    <cellStyle name="Normal 17 2 2 13" xfId="6896"/>
    <cellStyle name="Normal 17 2 2 14" xfId="7426"/>
    <cellStyle name="Normal 17 2 2 2" xfId="911"/>
    <cellStyle name="Normal 17 2 2 3" xfId="1457"/>
    <cellStyle name="Normal 17 2 2 4" xfId="2001"/>
    <cellStyle name="Normal 17 2 2 5" xfId="2544"/>
    <cellStyle name="Normal 17 2 2 6" xfId="3086"/>
    <cellStyle name="Normal 17 2 2 7" xfId="3632"/>
    <cellStyle name="Normal 17 2 2 8" xfId="4162"/>
    <cellStyle name="Normal 17 2 2 9" xfId="4720"/>
    <cellStyle name="Normal 17 2 3" xfId="653"/>
    <cellStyle name="Normal 17 2 4" xfId="1199"/>
    <cellStyle name="Normal 17 2 5" xfId="1743"/>
    <cellStyle name="Normal 17 2 6" xfId="2286"/>
    <cellStyle name="Normal 17 2 7" xfId="2830"/>
    <cellStyle name="Normal 17 2 8" xfId="3374"/>
    <cellStyle name="Normal 17 2 9" xfId="3918"/>
    <cellStyle name="Normal 17 3" xfId="108"/>
    <cellStyle name="Normal 17 3 10" xfId="4506"/>
    <cellStyle name="Normal 17 3 11" xfId="5050"/>
    <cellStyle name="Normal 17 3 12" xfId="5594"/>
    <cellStyle name="Normal 17 3 13" xfId="6138"/>
    <cellStyle name="Normal 17 3 14" xfId="6682"/>
    <cellStyle name="Normal 17 3 15" xfId="7226"/>
    <cellStyle name="Normal 17 3 2" xfId="366"/>
    <cellStyle name="Normal 17 3 2 10" xfId="5294"/>
    <cellStyle name="Normal 17 3 2 11" xfId="5852"/>
    <cellStyle name="Normal 17 3 2 12" xfId="6396"/>
    <cellStyle name="Normal 17 3 2 13" xfId="6940"/>
    <cellStyle name="Normal 17 3 2 14" xfId="7470"/>
    <cellStyle name="Normal 17 3 2 2" xfId="955"/>
    <cellStyle name="Normal 17 3 2 3" xfId="1501"/>
    <cellStyle name="Normal 17 3 2 4" xfId="2045"/>
    <cellStyle name="Normal 17 3 2 5" xfId="2588"/>
    <cellStyle name="Normal 17 3 2 6" xfId="3130"/>
    <cellStyle name="Normal 17 3 2 7" xfId="3676"/>
    <cellStyle name="Normal 17 3 2 8" xfId="4206"/>
    <cellStyle name="Normal 17 3 2 9" xfId="4764"/>
    <cellStyle name="Normal 17 3 3" xfId="697"/>
    <cellStyle name="Normal 17 3 4" xfId="1243"/>
    <cellStyle name="Normal 17 3 5" xfId="1787"/>
    <cellStyle name="Normal 17 3 6" xfId="2330"/>
    <cellStyle name="Normal 17 3 7" xfId="2874"/>
    <cellStyle name="Normal 17 3 8" xfId="3418"/>
    <cellStyle name="Normal 17 3 9" xfId="3962"/>
    <cellStyle name="Normal 17 4" xfId="170"/>
    <cellStyle name="Normal 17 4 10" xfId="4568"/>
    <cellStyle name="Normal 17 4 11" xfId="5111"/>
    <cellStyle name="Normal 17 4 12" xfId="5656"/>
    <cellStyle name="Normal 17 4 13" xfId="6200"/>
    <cellStyle name="Normal 17 4 14" xfId="6744"/>
    <cellStyle name="Normal 17 4 15" xfId="7287"/>
    <cellStyle name="Normal 17 4 2" xfId="427"/>
    <cellStyle name="Normal 17 4 2 10" xfId="5354"/>
    <cellStyle name="Normal 17 4 2 11" xfId="5913"/>
    <cellStyle name="Normal 17 4 2 12" xfId="6457"/>
    <cellStyle name="Normal 17 4 2 13" xfId="7001"/>
    <cellStyle name="Normal 17 4 2 14" xfId="7530"/>
    <cellStyle name="Normal 17 4 2 2" xfId="1016"/>
    <cellStyle name="Normal 17 4 2 3" xfId="1562"/>
    <cellStyle name="Normal 17 4 2 4" xfId="2106"/>
    <cellStyle name="Normal 17 4 2 5" xfId="2649"/>
    <cellStyle name="Normal 17 4 2 6" xfId="3191"/>
    <cellStyle name="Normal 17 4 2 7" xfId="3737"/>
    <cellStyle name="Normal 17 4 2 8" xfId="4266"/>
    <cellStyle name="Normal 17 4 2 9" xfId="4825"/>
    <cellStyle name="Normal 17 4 3" xfId="759"/>
    <cellStyle name="Normal 17 4 4" xfId="1305"/>
    <cellStyle name="Normal 17 4 5" xfId="1849"/>
    <cellStyle name="Normal 17 4 6" xfId="2392"/>
    <cellStyle name="Normal 17 4 7" xfId="2936"/>
    <cellStyle name="Normal 17 4 8" xfId="3480"/>
    <cellStyle name="Normal 17 4 9" xfId="4023"/>
    <cellStyle name="Normal 17 5" xfId="234"/>
    <cellStyle name="Normal 17 5 10" xfId="4632"/>
    <cellStyle name="Normal 17 5 11" xfId="5170"/>
    <cellStyle name="Normal 17 5 12" xfId="5720"/>
    <cellStyle name="Normal 17 5 13" xfId="6264"/>
    <cellStyle name="Normal 17 5 14" xfId="6808"/>
    <cellStyle name="Normal 17 5 15" xfId="7346"/>
    <cellStyle name="Normal 17 5 2" xfId="486"/>
    <cellStyle name="Normal 17 5 2 10" xfId="5413"/>
    <cellStyle name="Normal 17 5 2 11" xfId="5972"/>
    <cellStyle name="Normal 17 5 2 12" xfId="6516"/>
    <cellStyle name="Normal 17 5 2 13" xfId="7060"/>
    <cellStyle name="Normal 17 5 2 14" xfId="7589"/>
    <cellStyle name="Normal 17 5 2 2" xfId="1075"/>
    <cellStyle name="Normal 17 5 2 3" xfId="1621"/>
    <cellStyle name="Normal 17 5 2 4" xfId="2165"/>
    <cellStyle name="Normal 17 5 2 5" xfId="2708"/>
    <cellStyle name="Normal 17 5 2 6" xfId="3250"/>
    <cellStyle name="Normal 17 5 2 7" xfId="3796"/>
    <cellStyle name="Normal 17 5 2 8" xfId="4325"/>
    <cellStyle name="Normal 17 5 2 9" xfId="4884"/>
    <cellStyle name="Normal 17 5 3" xfId="823"/>
    <cellStyle name="Normal 17 5 4" xfId="1369"/>
    <cellStyle name="Normal 17 5 5" xfId="1913"/>
    <cellStyle name="Normal 17 5 6" xfId="2456"/>
    <cellStyle name="Normal 17 5 7" xfId="2999"/>
    <cellStyle name="Normal 17 5 8" xfId="3544"/>
    <cellStyle name="Normal 17 5 9" xfId="4082"/>
    <cellStyle name="Normal 17 6" xfId="277"/>
    <cellStyle name="Normal 17 6 10" xfId="5206"/>
    <cellStyle name="Normal 17 6 11" xfId="5763"/>
    <cellStyle name="Normal 17 6 12" xfId="6307"/>
    <cellStyle name="Normal 17 6 13" xfId="6851"/>
    <cellStyle name="Normal 17 6 14" xfId="7382"/>
    <cellStyle name="Normal 17 6 2" xfId="866"/>
    <cellStyle name="Normal 17 6 3" xfId="1412"/>
    <cellStyle name="Normal 17 6 4" xfId="1956"/>
    <cellStyle name="Normal 17 6 5" xfId="2499"/>
    <cellStyle name="Normal 17 6 6" xfId="3041"/>
    <cellStyle name="Normal 17 6 7" xfId="3587"/>
    <cellStyle name="Normal 17 6 8" xfId="4118"/>
    <cellStyle name="Normal 17 6 9" xfId="4675"/>
    <cellStyle name="Normal 17 7" xfId="608"/>
    <cellStyle name="Normal 17 8" xfId="843"/>
    <cellStyle name="Normal 17 9" xfId="1389"/>
    <cellStyle name="Normal 18" xfId="21"/>
    <cellStyle name="Normal 18 10" xfId="1890"/>
    <cellStyle name="Normal 18 11" xfId="2433"/>
    <cellStyle name="Normal 18 12" xfId="3279"/>
    <cellStyle name="Normal 18 13" xfId="3521"/>
    <cellStyle name="Normal 18 14" xfId="4418"/>
    <cellStyle name="Normal 18 15" xfId="4609"/>
    <cellStyle name="Normal 18 16" xfId="5496"/>
    <cellStyle name="Normal 18 17" xfId="5697"/>
    <cellStyle name="Normal 18 18" xfId="6241"/>
    <cellStyle name="Normal 18 19" xfId="6785"/>
    <cellStyle name="Normal 18 2" xfId="65"/>
    <cellStyle name="Normal 18 2 10" xfId="4463"/>
    <cellStyle name="Normal 18 2 11" xfId="5007"/>
    <cellStyle name="Normal 18 2 12" xfId="5551"/>
    <cellStyle name="Normal 18 2 13" xfId="6095"/>
    <cellStyle name="Normal 18 2 14" xfId="6639"/>
    <cellStyle name="Normal 18 2 15" xfId="7183"/>
    <cellStyle name="Normal 18 2 2" xfId="323"/>
    <cellStyle name="Normal 18 2 2 10" xfId="5251"/>
    <cellStyle name="Normal 18 2 2 11" xfId="5809"/>
    <cellStyle name="Normal 18 2 2 12" xfId="6353"/>
    <cellStyle name="Normal 18 2 2 13" xfId="6897"/>
    <cellStyle name="Normal 18 2 2 14" xfId="7427"/>
    <cellStyle name="Normal 18 2 2 2" xfId="912"/>
    <cellStyle name="Normal 18 2 2 3" xfId="1458"/>
    <cellStyle name="Normal 18 2 2 4" xfId="2002"/>
    <cellStyle name="Normal 18 2 2 5" xfId="2545"/>
    <cellStyle name="Normal 18 2 2 6" xfId="3087"/>
    <cellStyle name="Normal 18 2 2 7" xfId="3633"/>
    <cellStyle name="Normal 18 2 2 8" xfId="4163"/>
    <cellStyle name="Normal 18 2 2 9" xfId="4721"/>
    <cellStyle name="Normal 18 2 3" xfId="654"/>
    <cellStyle name="Normal 18 2 4" xfId="1200"/>
    <cellStyle name="Normal 18 2 5" xfId="1744"/>
    <cellStyle name="Normal 18 2 6" xfId="2287"/>
    <cellStyle name="Normal 18 2 7" xfId="2831"/>
    <cellStyle name="Normal 18 2 8" xfId="3375"/>
    <cellStyle name="Normal 18 2 9" xfId="3919"/>
    <cellStyle name="Normal 18 3" xfId="109"/>
    <cellStyle name="Normal 18 3 10" xfId="4507"/>
    <cellStyle name="Normal 18 3 11" xfId="5051"/>
    <cellStyle name="Normal 18 3 12" xfId="5595"/>
    <cellStyle name="Normal 18 3 13" xfId="6139"/>
    <cellStyle name="Normal 18 3 14" xfId="6683"/>
    <cellStyle name="Normal 18 3 15" xfId="7227"/>
    <cellStyle name="Normal 18 3 2" xfId="367"/>
    <cellStyle name="Normal 18 3 2 10" xfId="5295"/>
    <cellStyle name="Normal 18 3 2 11" xfId="5853"/>
    <cellStyle name="Normal 18 3 2 12" xfId="6397"/>
    <cellStyle name="Normal 18 3 2 13" xfId="6941"/>
    <cellStyle name="Normal 18 3 2 14" xfId="7471"/>
    <cellStyle name="Normal 18 3 2 2" xfId="956"/>
    <cellStyle name="Normal 18 3 2 3" xfId="1502"/>
    <cellStyle name="Normal 18 3 2 4" xfId="2046"/>
    <cellStyle name="Normal 18 3 2 5" xfId="2589"/>
    <cellStyle name="Normal 18 3 2 6" xfId="3131"/>
    <cellStyle name="Normal 18 3 2 7" xfId="3677"/>
    <cellStyle name="Normal 18 3 2 8" xfId="4207"/>
    <cellStyle name="Normal 18 3 2 9" xfId="4765"/>
    <cellStyle name="Normal 18 3 3" xfId="698"/>
    <cellStyle name="Normal 18 3 4" xfId="1244"/>
    <cellStyle name="Normal 18 3 5" xfId="1788"/>
    <cellStyle name="Normal 18 3 6" xfId="2331"/>
    <cellStyle name="Normal 18 3 7" xfId="2875"/>
    <cellStyle name="Normal 18 3 8" xfId="3419"/>
    <cellStyle name="Normal 18 3 9" xfId="3963"/>
    <cellStyle name="Normal 18 4" xfId="169"/>
    <cellStyle name="Normal 18 4 10" xfId="4567"/>
    <cellStyle name="Normal 18 4 11" xfId="5110"/>
    <cellStyle name="Normal 18 4 12" xfId="5655"/>
    <cellStyle name="Normal 18 4 13" xfId="6199"/>
    <cellStyle name="Normal 18 4 14" xfId="6743"/>
    <cellStyle name="Normal 18 4 15" xfId="7286"/>
    <cellStyle name="Normal 18 4 2" xfId="426"/>
    <cellStyle name="Normal 18 4 2 10" xfId="5353"/>
    <cellStyle name="Normal 18 4 2 11" xfId="5912"/>
    <cellStyle name="Normal 18 4 2 12" xfId="6456"/>
    <cellStyle name="Normal 18 4 2 13" xfId="7000"/>
    <cellStyle name="Normal 18 4 2 14" xfId="7529"/>
    <cellStyle name="Normal 18 4 2 2" xfId="1015"/>
    <cellStyle name="Normal 18 4 2 3" xfId="1561"/>
    <cellStyle name="Normal 18 4 2 4" xfId="2105"/>
    <cellStyle name="Normal 18 4 2 5" xfId="2648"/>
    <cellStyle name="Normal 18 4 2 6" xfId="3190"/>
    <cellStyle name="Normal 18 4 2 7" xfId="3736"/>
    <cellStyle name="Normal 18 4 2 8" xfId="4265"/>
    <cellStyle name="Normal 18 4 2 9" xfId="4824"/>
    <cellStyle name="Normal 18 4 3" xfId="758"/>
    <cellStyle name="Normal 18 4 4" xfId="1304"/>
    <cellStyle name="Normal 18 4 5" xfId="1848"/>
    <cellStyle name="Normal 18 4 6" xfId="2391"/>
    <cellStyle name="Normal 18 4 7" xfId="2935"/>
    <cellStyle name="Normal 18 4 8" xfId="3479"/>
    <cellStyle name="Normal 18 4 9" xfId="4022"/>
    <cellStyle name="Normal 18 5" xfId="207"/>
    <cellStyle name="Normal 18 5 10" xfId="4605"/>
    <cellStyle name="Normal 18 5 11" xfId="5145"/>
    <cellStyle name="Normal 18 5 12" xfId="5693"/>
    <cellStyle name="Normal 18 5 13" xfId="6237"/>
    <cellStyle name="Normal 18 5 14" xfId="6781"/>
    <cellStyle name="Normal 18 5 15" xfId="7321"/>
    <cellStyle name="Normal 18 5 2" xfId="461"/>
    <cellStyle name="Normal 18 5 2 10" xfId="5388"/>
    <cellStyle name="Normal 18 5 2 11" xfId="5947"/>
    <cellStyle name="Normal 18 5 2 12" xfId="6491"/>
    <cellStyle name="Normal 18 5 2 13" xfId="7035"/>
    <cellStyle name="Normal 18 5 2 14" xfId="7564"/>
    <cellStyle name="Normal 18 5 2 2" xfId="1050"/>
    <cellStyle name="Normal 18 5 2 3" xfId="1596"/>
    <cellStyle name="Normal 18 5 2 4" xfId="2140"/>
    <cellStyle name="Normal 18 5 2 5" xfId="2683"/>
    <cellStyle name="Normal 18 5 2 6" xfId="3225"/>
    <cellStyle name="Normal 18 5 2 7" xfId="3771"/>
    <cellStyle name="Normal 18 5 2 8" xfId="4300"/>
    <cellStyle name="Normal 18 5 2 9" xfId="4859"/>
    <cellStyle name="Normal 18 5 3" xfId="796"/>
    <cellStyle name="Normal 18 5 4" xfId="1342"/>
    <cellStyle name="Normal 18 5 5" xfId="1886"/>
    <cellStyle name="Normal 18 5 6" xfId="2429"/>
    <cellStyle name="Normal 18 5 7" xfId="2972"/>
    <cellStyle name="Normal 18 5 8" xfId="3517"/>
    <cellStyle name="Normal 18 5 9" xfId="4057"/>
    <cellStyle name="Normal 18 6" xfId="278"/>
    <cellStyle name="Normal 18 6 10" xfId="5207"/>
    <cellStyle name="Normal 18 6 11" xfId="5764"/>
    <cellStyle name="Normal 18 6 12" xfId="6308"/>
    <cellStyle name="Normal 18 6 13" xfId="6852"/>
    <cellStyle name="Normal 18 6 14" xfId="7383"/>
    <cellStyle name="Normal 18 6 2" xfId="867"/>
    <cellStyle name="Normal 18 6 3" xfId="1413"/>
    <cellStyle name="Normal 18 6 4" xfId="1957"/>
    <cellStyle name="Normal 18 6 5" xfId="2500"/>
    <cellStyle name="Normal 18 6 6" xfId="3042"/>
    <cellStyle name="Normal 18 6 7" xfId="3588"/>
    <cellStyle name="Normal 18 6 8" xfId="4119"/>
    <cellStyle name="Normal 18 6 9" xfId="4676"/>
    <cellStyle name="Normal 18 7" xfId="609"/>
    <cellStyle name="Normal 18 8" xfId="800"/>
    <cellStyle name="Normal 18 9" xfId="1346"/>
    <cellStyle name="Normal 19" xfId="22"/>
    <cellStyle name="Normal 19 10" xfId="1984"/>
    <cellStyle name="Normal 19 11" xfId="2527"/>
    <cellStyle name="Normal 19 12" xfId="3286"/>
    <cellStyle name="Normal 19 13" xfId="3615"/>
    <cellStyle name="Normal 19 14" xfId="4419"/>
    <cellStyle name="Normal 19 15" xfId="4703"/>
    <cellStyle name="Normal 19 16" xfId="5507"/>
    <cellStyle name="Normal 19 17" xfId="5791"/>
    <cellStyle name="Normal 19 18" xfId="6335"/>
    <cellStyle name="Normal 19 19" xfId="6879"/>
    <cellStyle name="Normal 19 2" xfId="66"/>
    <cellStyle name="Normal 19 2 10" xfId="4464"/>
    <cellStyle name="Normal 19 2 11" xfId="5008"/>
    <cellStyle name="Normal 19 2 12" xfId="5552"/>
    <cellStyle name="Normal 19 2 13" xfId="6096"/>
    <cellStyle name="Normal 19 2 14" xfId="6640"/>
    <cellStyle name="Normal 19 2 15" xfId="7184"/>
    <cellStyle name="Normal 19 2 2" xfId="324"/>
    <cellStyle name="Normal 19 2 2 10" xfId="5252"/>
    <cellStyle name="Normal 19 2 2 11" xfId="5810"/>
    <cellStyle name="Normal 19 2 2 12" xfId="6354"/>
    <cellStyle name="Normal 19 2 2 13" xfId="6898"/>
    <cellStyle name="Normal 19 2 2 14" xfId="7428"/>
    <cellStyle name="Normal 19 2 2 2" xfId="913"/>
    <cellStyle name="Normal 19 2 2 3" xfId="1459"/>
    <cellStyle name="Normal 19 2 2 4" xfId="2003"/>
    <cellStyle name="Normal 19 2 2 5" xfId="2546"/>
    <cellStyle name="Normal 19 2 2 6" xfId="3088"/>
    <cellStyle name="Normal 19 2 2 7" xfId="3634"/>
    <cellStyle name="Normal 19 2 2 8" xfId="4164"/>
    <cellStyle name="Normal 19 2 2 9" xfId="4722"/>
    <cellStyle name="Normal 19 2 3" xfId="655"/>
    <cellStyle name="Normal 19 2 4" xfId="1201"/>
    <cellStyle name="Normal 19 2 5" xfId="1745"/>
    <cellStyle name="Normal 19 2 6" xfId="2288"/>
    <cellStyle name="Normal 19 2 7" xfId="2832"/>
    <cellStyle name="Normal 19 2 8" xfId="3376"/>
    <cellStyle name="Normal 19 2 9" xfId="3920"/>
    <cellStyle name="Normal 19 3" xfId="110"/>
    <cellStyle name="Normal 19 3 10" xfId="4508"/>
    <cellStyle name="Normal 19 3 11" xfId="5052"/>
    <cellStyle name="Normal 19 3 12" xfId="5596"/>
    <cellStyle name="Normal 19 3 13" xfId="6140"/>
    <cellStyle name="Normal 19 3 14" xfId="6684"/>
    <cellStyle name="Normal 19 3 15" xfId="7228"/>
    <cellStyle name="Normal 19 3 2" xfId="368"/>
    <cellStyle name="Normal 19 3 2 10" xfId="5296"/>
    <cellStyle name="Normal 19 3 2 11" xfId="5854"/>
    <cellStyle name="Normal 19 3 2 12" xfId="6398"/>
    <cellStyle name="Normal 19 3 2 13" xfId="6942"/>
    <cellStyle name="Normal 19 3 2 14" xfId="7472"/>
    <cellStyle name="Normal 19 3 2 2" xfId="957"/>
    <cellStyle name="Normal 19 3 2 3" xfId="1503"/>
    <cellStyle name="Normal 19 3 2 4" xfId="2047"/>
    <cellStyle name="Normal 19 3 2 5" xfId="2590"/>
    <cellStyle name="Normal 19 3 2 6" xfId="3132"/>
    <cellStyle name="Normal 19 3 2 7" xfId="3678"/>
    <cellStyle name="Normal 19 3 2 8" xfId="4208"/>
    <cellStyle name="Normal 19 3 2 9" xfId="4766"/>
    <cellStyle name="Normal 19 3 3" xfId="699"/>
    <cellStyle name="Normal 19 3 4" xfId="1245"/>
    <cellStyle name="Normal 19 3 5" xfId="1789"/>
    <cellStyle name="Normal 19 3 6" xfId="2332"/>
    <cellStyle name="Normal 19 3 7" xfId="2876"/>
    <cellStyle name="Normal 19 3 8" xfId="3420"/>
    <cellStyle name="Normal 19 3 9" xfId="3964"/>
    <cellStyle name="Normal 19 4" xfId="168"/>
    <cellStyle name="Normal 19 4 10" xfId="4566"/>
    <cellStyle name="Normal 19 4 11" xfId="5109"/>
    <cellStyle name="Normal 19 4 12" xfId="5654"/>
    <cellStyle name="Normal 19 4 13" xfId="6198"/>
    <cellStyle name="Normal 19 4 14" xfId="6742"/>
    <cellStyle name="Normal 19 4 15" xfId="7285"/>
    <cellStyle name="Normal 19 4 2" xfId="425"/>
    <cellStyle name="Normal 19 4 2 10" xfId="5352"/>
    <cellStyle name="Normal 19 4 2 11" xfId="5911"/>
    <cellStyle name="Normal 19 4 2 12" xfId="6455"/>
    <cellStyle name="Normal 19 4 2 13" xfId="6999"/>
    <cellStyle name="Normal 19 4 2 14" xfId="7528"/>
    <cellStyle name="Normal 19 4 2 2" xfId="1014"/>
    <cellStyle name="Normal 19 4 2 3" xfId="1560"/>
    <cellStyle name="Normal 19 4 2 4" xfId="2104"/>
    <cellStyle name="Normal 19 4 2 5" xfId="2647"/>
    <cellStyle name="Normal 19 4 2 6" xfId="3189"/>
    <cellStyle name="Normal 19 4 2 7" xfId="3735"/>
    <cellStyle name="Normal 19 4 2 8" xfId="4264"/>
    <cellStyle name="Normal 19 4 2 9" xfId="4823"/>
    <cellStyle name="Normal 19 4 3" xfId="757"/>
    <cellStyle name="Normal 19 4 4" xfId="1303"/>
    <cellStyle name="Normal 19 4 5" xfId="1847"/>
    <cellStyle name="Normal 19 4 6" xfId="2390"/>
    <cellStyle name="Normal 19 4 7" xfId="2934"/>
    <cellStyle name="Normal 19 4 8" xfId="3478"/>
    <cellStyle name="Normal 19 4 9" xfId="4021"/>
    <cellStyle name="Normal 19 5" xfId="233"/>
    <cellStyle name="Normal 19 5 10" xfId="4631"/>
    <cellStyle name="Normal 19 5 11" xfId="5169"/>
    <cellStyle name="Normal 19 5 12" xfId="5719"/>
    <cellStyle name="Normal 19 5 13" xfId="6263"/>
    <cellStyle name="Normal 19 5 14" xfId="6807"/>
    <cellStyle name="Normal 19 5 15" xfId="7345"/>
    <cellStyle name="Normal 19 5 2" xfId="485"/>
    <cellStyle name="Normal 19 5 2 10" xfId="5412"/>
    <cellStyle name="Normal 19 5 2 11" xfId="5971"/>
    <cellStyle name="Normal 19 5 2 12" xfId="6515"/>
    <cellStyle name="Normal 19 5 2 13" xfId="7059"/>
    <cellStyle name="Normal 19 5 2 14" xfId="7588"/>
    <cellStyle name="Normal 19 5 2 2" xfId="1074"/>
    <cellStyle name="Normal 19 5 2 3" xfId="1620"/>
    <cellStyle name="Normal 19 5 2 4" xfId="2164"/>
    <cellStyle name="Normal 19 5 2 5" xfId="2707"/>
    <cellStyle name="Normal 19 5 2 6" xfId="3249"/>
    <cellStyle name="Normal 19 5 2 7" xfId="3795"/>
    <cellStyle name="Normal 19 5 2 8" xfId="4324"/>
    <cellStyle name="Normal 19 5 2 9" xfId="4883"/>
    <cellStyle name="Normal 19 5 3" xfId="822"/>
    <cellStyle name="Normal 19 5 4" xfId="1368"/>
    <cellStyle name="Normal 19 5 5" xfId="1912"/>
    <cellStyle name="Normal 19 5 6" xfId="2455"/>
    <cellStyle name="Normal 19 5 7" xfId="2998"/>
    <cellStyle name="Normal 19 5 8" xfId="3543"/>
    <cellStyle name="Normal 19 5 9" xfId="4081"/>
    <cellStyle name="Normal 19 6" xfId="279"/>
    <cellStyle name="Normal 19 6 10" xfId="5208"/>
    <cellStyle name="Normal 19 6 11" xfId="5765"/>
    <cellStyle name="Normal 19 6 12" xfId="6309"/>
    <cellStyle name="Normal 19 6 13" xfId="6853"/>
    <cellStyle name="Normal 19 6 14" xfId="7384"/>
    <cellStyle name="Normal 19 6 2" xfId="868"/>
    <cellStyle name="Normal 19 6 3" xfId="1414"/>
    <cellStyle name="Normal 19 6 4" xfId="1958"/>
    <cellStyle name="Normal 19 6 5" xfId="2501"/>
    <cellStyle name="Normal 19 6 6" xfId="3043"/>
    <cellStyle name="Normal 19 6 7" xfId="3589"/>
    <cellStyle name="Normal 19 6 8" xfId="4120"/>
    <cellStyle name="Normal 19 6 9" xfId="4677"/>
    <cellStyle name="Normal 19 7" xfId="610"/>
    <cellStyle name="Normal 19 8" xfId="894"/>
    <cellStyle name="Normal 19 9" xfId="1440"/>
    <cellStyle name="Normal 2" xfId="3"/>
    <cellStyle name="Normal 2 10" xfId="545"/>
    <cellStyle name="Normal 2 10 10" xfId="5454"/>
    <cellStyle name="Normal 2 10 11" xfId="6031"/>
    <cellStyle name="Normal 2 10 12" xfId="6575"/>
    <cellStyle name="Normal 2 10 13" xfId="7119"/>
    <cellStyle name="Normal 2 10 14" xfId="7627"/>
    <cellStyle name="Normal 2 10 2" xfId="1134"/>
    <cellStyle name="Normal 2 10 3" xfId="1680"/>
    <cellStyle name="Normal 2 10 4" xfId="2224"/>
    <cellStyle name="Normal 2 10 5" xfId="2767"/>
    <cellStyle name="Normal 2 10 6" xfId="3305"/>
    <cellStyle name="Normal 2 10 7" xfId="3855"/>
    <cellStyle name="Normal 2 10 8" xfId="4364"/>
    <cellStyle name="Normal 2 10 9" xfId="4943"/>
    <cellStyle name="Normal 2 11" xfId="507"/>
    <cellStyle name="Normal 2 11 10" xfId="5432"/>
    <cellStyle name="Normal 2 11 11" xfId="5993"/>
    <cellStyle name="Normal 2 11 12" xfId="6537"/>
    <cellStyle name="Normal 2 11 13" xfId="7081"/>
    <cellStyle name="Normal 2 11 14" xfId="7608"/>
    <cellStyle name="Normal 2 11 2" xfId="1096"/>
    <cellStyle name="Normal 2 11 3" xfId="1642"/>
    <cellStyle name="Normal 2 11 4" xfId="2186"/>
    <cellStyle name="Normal 2 11 5" xfId="2729"/>
    <cellStyle name="Normal 2 11 6" xfId="3271"/>
    <cellStyle name="Normal 2 11 7" xfId="3817"/>
    <cellStyle name="Normal 2 11 8" xfId="4344"/>
    <cellStyle name="Normal 2 11 9" xfId="4905"/>
    <cellStyle name="Normal 2 12" xfId="563"/>
    <cellStyle name="Normal 2 12 10" xfId="5470"/>
    <cellStyle name="Normal 2 12 11" xfId="6049"/>
    <cellStyle name="Normal 2 12 12" xfId="6593"/>
    <cellStyle name="Normal 2 12 13" xfId="7137"/>
    <cellStyle name="Normal 2 12 14" xfId="7636"/>
    <cellStyle name="Normal 2 12 2" xfId="1152"/>
    <cellStyle name="Normal 2 12 3" xfId="1698"/>
    <cellStyle name="Normal 2 12 4" xfId="2242"/>
    <cellStyle name="Normal 2 12 5" xfId="2785"/>
    <cellStyle name="Normal 2 12 6" xfId="3323"/>
    <cellStyle name="Normal 2 12 7" xfId="3873"/>
    <cellStyle name="Normal 2 12 8" xfId="4375"/>
    <cellStyle name="Normal 2 12 9" xfId="4961"/>
    <cellStyle name="Normal 2 13" xfId="558"/>
    <cellStyle name="Normal 2 13 10" xfId="5465"/>
    <cellStyle name="Normal 2 13 11" xfId="6044"/>
    <cellStyle name="Normal 2 13 12" xfId="6588"/>
    <cellStyle name="Normal 2 13 13" xfId="7132"/>
    <cellStyle name="Normal 2 13 14" xfId="7633"/>
    <cellStyle name="Normal 2 13 2" xfId="1147"/>
    <cellStyle name="Normal 2 13 3" xfId="1693"/>
    <cellStyle name="Normal 2 13 4" xfId="2237"/>
    <cellStyle name="Normal 2 13 5" xfId="2780"/>
    <cellStyle name="Normal 2 13 6" xfId="3318"/>
    <cellStyle name="Normal 2 13 7" xfId="3868"/>
    <cellStyle name="Normal 2 13 8" xfId="4371"/>
    <cellStyle name="Normal 2 13 9" xfId="4956"/>
    <cellStyle name="Normal 2 14" xfId="1181"/>
    <cellStyle name="Normal 2 2" xfId="1"/>
    <cellStyle name="Normal 2 2 10" xfId="526"/>
    <cellStyle name="Normal 2 2 11" xfId="560"/>
    <cellStyle name="Normal 2 2 12" xfId="564"/>
    <cellStyle name="Normal 2 2 13" xfId="557"/>
    <cellStyle name="Normal 2 2 14" xfId="593"/>
    <cellStyle name="Normal 2 2 14 10" xfId="5497"/>
    <cellStyle name="Normal 2 2 14 11" xfId="6079"/>
    <cellStyle name="Normal 2 2 14 12" xfId="6623"/>
    <cellStyle name="Normal 2 2 14 13" xfId="7167"/>
    <cellStyle name="Normal 2 2 14 14" xfId="7655"/>
    <cellStyle name="Normal 2 2 14 2" xfId="1182"/>
    <cellStyle name="Normal 2 2 14 3" xfId="1728"/>
    <cellStyle name="Normal 2 2 14 4" xfId="2271"/>
    <cellStyle name="Normal 2 2 14 5" xfId="2815"/>
    <cellStyle name="Normal 2 2 14 6" xfId="3351"/>
    <cellStyle name="Normal 2 2 14 7" xfId="3903"/>
    <cellStyle name="Normal 2 2 14 8" xfId="4396"/>
    <cellStyle name="Normal 2 2 14 9" xfId="4991"/>
    <cellStyle name="Normal 2 2 15" xfId="1125"/>
    <cellStyle name="Normal 2 2 16" xfId="1671"/>
    <cellStyle name="Normal 2 2 17" xfId="2215"/>
    <cellStyle name="Normal 2 2 18" xfId="2758"/>
    <cellStyle name="Normal 2 2 19" xfId="3024"/>
    <cellStyle name="Normal 2 2 2" xfId="5"/>
    <cellStyle name="Normal 2 2 2 10" xfId="561"/>
    <cellStyle name="Normal 2 2 2 10 10" xfId="5468"/>
    <cellStyle name="Normal 2 2 2 10 11" xfId="6047"/>
    <cellStyle name="Normal 2 2 2 10 12" xfId="6591"/>
    <cellStyle name="Normal 2 2 2 10 13" xfId="7135"/>
    <cellStyle name="Normal 2 2 2 10 14" xfId="7635"/>
    <cellStyle name="Normal 2 2 2 10 2" xfId="1150"/>
    <cellStyle name="Normal 2 2 2 10 3" xfId="1696"/>
    <cellStyle name="Normal 2 2 2 10 4" xfId="2240"/>
    <cellStyle name="Normal 2 2 2 10 5" xfId="2783"/>
    <cellStyle name="Normal 2 2 2 10 6" xfId="3321"/>
    <cellStyle name="Normal 2 2 2 10 7" xfId="3871"/>
    <cellStyle name="Normal 2 2 2 10 8" xfId="4374"/>
    <cellStyle name="Normal 2 2 2 10 9" xfId="4959"/>
    <cellStyle name="Normal 2 2 2 11" xfId="559"/>
    <cellStyle name="Normal 2 2 2 11 10" xfId="5466"/>
    <cellStyle name="Normal 2 2 2 11 11" xfId="6045"/>
    <cellStyle name="Normal 2 2 2 11 12" xfId="6589"/>
    <cellStyle name="Normal 2 2 2 11 13" xfId="7133"/>
    <cellStyle name="Normal 2 2 2 11 14" xfId="7634"/>
    <cellStyle name="Normal 2 2 2 11 2" xfId="1148"/>
    <cellStyle name="Normal 2 2 2 11 3" xfId="1694"/>
    <cellStyle name="Normal 2 2 2 11 4" xfId="2238"/>
    <cellStyle name="Normal 2 2 2 11 5" xfId="2781"/>
    <cellStyle name="Normal 2 2 2 11 6" xfId="3319"/>
    <cellStyle name="Normal 2 2 2 11 7" xfId="3869"/>
    <cellStyle name="Normal 2 2 2 11 8" xfId="4372"/>
    <cellStyle name="Normal 2 2 2 11 9" xfId="4957"/>
    <cellStyle name="Normal 2 2 2 12" xfId="568"/>
    <cellStyle name="Normal 2 2 2 12 10" xfId="5474"/>
    <cellStyle name="Normal 2 2 2 12 11" xfId="6054"/>
    <cellStyle name="Normal 2 2 2 12 12" xfId="6598"/>
    <cellStyle name="Normal 2 2 2 12 13" xfId="7142"/>
    <cellStyle name="Normal 2 2 2 12 14" xfId="7638"/>
    <cellStyle name="Normal 2 2 2 12 2" xfId="1157"/>
    <cellStyle name="Normal 2 2 2 12 3" xfId="1703"/>
    <cellStyle name="Normal 2 2 2 12 4" xfId="2246"/>
    <cellStyle name="Normal 2 2 2 12 5" xfId="2790"/>
    <cellStyle name="Normal 2 2 2 12 6" xfId="3327"/>
    <cellStyle name="Normal 2 2 2 12 7" xfId="3878"/>
    <cellStyle name="Normal 2 2 2 12 8" xfId="4378"/>
    <cellStyle name="Normal 2 2 2 12 9" xfId="4966"/>
    <cellStyle name="Normal 2 2 2 13" xfId="636"/>
    <cellStyle name="Normal 2 2 2 13 10" xfId="5498"/>
    <cellStyle name="Normal 2 2 2 13 11" xfId="6080"/>
    <cellStyle name="Normal 2 2 2 13 12" xfId="6624"/>
    <cellStyle name="Normal 2 2 2 13 13" xfId="7168"/>
    <cellStyle name="Normal 2 2 2 13 14" xfId="7656"/>
    <cellStyle name="Normal 2 2 2 13 2" xfId="1183"/>
    <cellStyle name="Normal 2 2 2 13 3" xfId="1729"/>
    <cellStyle name="Normal 2 2 2 13 4" xfId="2272"/>
    <cellStyle name="Normal 2 2 2 13 5" xfId="2816"/>
    <cellStyle name="Normal 2 2 2 13 6" xfId="3352"/>
    <cellStyle name="Normal 2 2 2 13 7" xfId="3904"/>
    <cellStyle name="Normal 2 2 2 13 8" xfId="4397"/>
    <cellStyle name="Normal 2 2 2 13 9" xfId="4992"/>
    <cellStyle name="Normal 2 2 2 14" xfId="1171"/>
    <cellStyle name="Normal 2 2 2 15" xfId="1737"/>
    <cellStyle name="Normal 2 2 2 16" xfId="2280"/>
    <cellStyle name="Normal 2 2 2 17" xfId="2824"/>
    <cellStyle name="Normal 2 2 2 18" xfId="3324"/>
    <cellStyle name="Normal 2 2 2 19" xfId="3912"/>
    <cellStyle name="Normal 2 2 2 2" xfId="48"/>
    <cellStyle name="Normal 2 2 2 2 10" xfId="565"/>
    <cellStyle name="Normal 2 2 2 2 11" xfId="562"/>
    <cellStyle name="Normal 2 2 2 2 12" xfId="546"/>
    <cellStyle name="Normal 2 2 2 2 13" xfId="638"/>
    <cellStyle name="Normal 2 2 2 2 13 10" xfId="5499"/>
    <cellStyle name="Normal 2 2 2 2 13 11" xfId="6081"/>
    <cellStyle name="Normal 2 2 2 2 13 12" xfId="6625"/>
    <cellStyle name="Normal 2 2 2 2 13 13" xfId="7169"/>
    <cellStyle name="Normal 2 2 2 2 13 14" xfId="7657"/>
    <cellStyle name="Normal 2 2 2 2 13 2" xfId="1184"/>
    <cellStyle name="Normal 2 2 2 2 13 3" xfId="1730"/>
    <cellStyle name="Normal 2 2 2 2 13 4" xfId="2273"/>
    <cellStyle name="Normal 2 2 2 2 13 5" xfId="2817"/>
    <cellStyle name="Normal 2 2 2 2 13 6" xfId="3353"/>
    <cellStyle name="Normal 2 2 2 2 13 7" xfId="3905"/>
    <cellStyle name="Normal 2 2 2 2 13 8" xfId="4398"/>
    <cellStyle name="Normal 2 2 2 2 13 9" xfId="4993"/>
    <cellStyle name="Normal 2 2 2 2 14" xfId="1162"/>
    <cellStyle name="Normal 2 2 2 2 15" xfId="1715"/>
    <cellStyle name="Normal 2 2 2 2 16" xfId="2258"/>
    <cellStyle name="Normal 2 2 2 2 17" xfId="2802"/>
    <cellStyle name="Normal 2 2 2 2 18" xfId="3289"/>
    <cellStyle name="Normal 2 2 2 2 19" xfId="3890"/>
    <cellStyle name="Normal 2 2 2 2 2" xfId="50"/>
    <cellStyle name="Normal 2 2 2 2 2 10" xfId="571"/>
    <cellStyle name="Normal 2 2 2 2 2 10 10" xfId="5476"/>
    <cellStyle name="Normal 2 2 2 2 2 10 11" xfId="6057"/>
    <cellStyle name="Normal 2 2 2 2 2 10 12" xfId="6601"/>
    <cellStyle name="Normal 2 2 2 2 2 10 13" xfId="7145"/>
    <cellStyle name="Normal 2 2 2 2 2 10 14" xfId="7640"/>
    <cellStyle name="Normal 2 2 2 2 2 10 2" xfId="1160"/>
    <cellStyle name="Normal 2 2 2 2 2 10 3" xfId="1706"/>
    <cellStyle name="Normal 2 2 2 2 2 10 4" xfId="2249"/>
    <cellStyle name="Normal 2 2 2 2 2 10 5" xfId="2793"/>
    <cellStyle name="Normal 2 2 2 2 2 10 6" xfId="3329"/>
    <cellStyle name="Normal 2 2 2 2 2 10 7" xfId="3881"/>
    <cellStyle name="Normal 2 2 2 2 2 10 8" xfId="4380"/>
    <cellStyle name="Normal 2 2 2 2 2 10 9" xfId="4969"/>
    <cellStyle name="Normal 2 2 2 2 2 11" xfId="572"/>
    <cellStyle name="Normal 2 2 2 2 2 11 10" xfId="5477"/>
    <cellStyle name="Normal 2 2 2 2 2 11 11" xfId="6058"/>
    <cellStyle name="Normal 2 2 2 2 2 11 12" xfId="6602"/>
    <cellStyle name="Normal 2 2 2 2 2 11 13" xfId="7146"/>
    <cellStyle name="Normal 2 2 2 2 2 11 14" xfId="7641"/>
    <cellStyle name="Normal 2 2 2 2 2 11 2" xfId="1161"/>
    <cellStyle name="Normal 2 2 2 2 2 11 3" xfId="1707"/>
    <cellStyle name="Normal 2 2 2 2 2 11 4" xfId="2250"/>
    <cellStyle name="Normal 2 2 2 2 2 11 5" xfId="2794"/>
    <cellStyle name="Normal 2 2 2 2 2 11 6" xfId="3330"/>
    <cellStyle name="Normal 2 2 2 2 2 11 7" xfId="3882"/>
    <cellStyle name="Normal 2 2 2 2 2 11 8" xfId="4381"/>
    <cellStyle name="Normal 2 2 2 2 2 11 9" xfId="4970"/>
    <cellStyle name="Normal 2 2 2 2 2 12" xfId="727"/>
    <cellStyle name="Normal 2 2 2 2 2 12 10" xfId="5500"/>
    <cellStyle name="Normal 2 2 2 2 2 12 11" xfId="6082"/>
    <cellStyle name="Normal 2 2 2 2 2 12 12" xfId="6626"/>
    <cellStyle name="Normal 2 2 2 2 2 12 13" xfId="7170"/>
    <cellStyle name="Normal 2 2 2 2 2 12 14" xfId="7658"/>
    <cellStyle name="Normal 2 2 2 2 2 12 2" xfId="1185"/>
    <cellStyle name="Normal 2 2 2 2 2 12 3" xfId="1731"/>
    <cellStyle name="Normal 2 2 2 2 2 12 4" xfId="2274"/>
    <cellStyle name="Normal 2 2 2 2 2 12 5" xfId="2818"/>
    <cellStyle name="Normal 2 2 2 2 2 12 6" xfId="3354"/>
    <cellStyle name="Normal 2 2 2 2 2 12 7" xfId="3906"/>
    <cellStyle name="Normal 2 2 2 2 2 12 8" xfId="4399"/>
    <cellStyle name="Normal 2 2 2 2 2 12 9" xfId="4994"/>
    <cellStyle name="Normal 2 2 2 2 2 13" xfId="1273"/>
    <cellStyle name="Normal 2 2 2 2 2 14" xfId="1817"/>
    <cellStyle name="Normal 2 2 2 2 2 15" xfId="2360"/>
    <cellStyle name="Normal 2 2 2 2 2 16" xfId="2904"/>
    <cellStyle name="Normal 2 2 2 2 2 17" xfId="3448"/>
    <cellStyle name="Normal 2 2 2 2 2 18" xfId="3991"/>
    <cellStyle name="Normal 2 2 2 2 2 19" xfId="4536"/>
    <cellStyle name="Normal 2 2 2 2 2 2" xfId="138"/>
    <cellStyle name="Normal 2 2 2 2 2 2 10" xfId="573"/>
    <cellStyle name="Normal 2 2 2 2 2 2 11" xfId="580"/>
    <cellStyle name="Normal 2 2 2 2 2 2 12" xfId="729"/>
    <cellStyle name="Normal 2 2 2 2 2 2 12 10" xfId="5501"/>
    <cellStyle name="Normal 2 2 2 2 2 2 12 11" xfId="6083"/>
    <cellStyle name="Normal 2 2 2 2 2 2 12 12" xfId="6627"/>
    <cellStyle name="Normal 2 2 2 2 2 2 12 13" xfId="7171"/>
    <cellStyle name="Normal 2 2 2 2 2 2 12 14" xfId="7659"/>
    <cellStyle name="Normal 2 2 2 2 2 2 12 2" xfId="1186"/>
    <cellStyle name="Normal 2 2 2 2 2 2 12 3" xfId="1732"/>
    <cellStyle name="Normal 2 2 2 2 2 2 12 4" xfId="2275"/>
    <cellStyle name="Normal 2 2 2 2 2 2 12 5" xfId="2819"/>
    <cellStyle name="Normal 2 2 2 2 2 2 12 6" xfId="3355"/>
    <cellStyle name="Normal 2 2 2 2 2 2 12 7" xfId="3907"/>
    <cellStyle name="Normal 2 2 2 2 2 2 12 8" xfId="4400"/>
    <cellStyle name="Normal 2 2 2 2 2 2 12 9" xfId="4995"/>
    <cellStyle name="Normal 2 2 2 2 2 2 13" xfId="1275"/>
    <cellStyle name="Normal 2 2 2 2 2 2 14" xfId="1819"/>
    <cellStyle name="Normal 2 2 2 2 2 2 15" xfId="2362"/>
    <cellStyle name="Normal 2 2 2 2 2 2 16" xfId="2906"/>
    <cellStyle name="Normal 2 2 2 2 2 2 17" xfId="3450"/>
    <cellStyle name="Normal 2 2 2 2 2 2 18" xfId="3993"/>
    <cellStyle name="Normal 2 2 2 2 2 2 19" xfId="4538"/>
    <cellStyle name="Normal 2 2 2 2 2 2 2" xfId="140"/>
    <cellStyle name="Normal 2 2 2 2 2 2 2 10" xfId="581"/>
    <cellStyle name="Normal 2 2 2 2 2 2 2 10 10" xfId="5485"/>
    <cellStyle name="Normal 2 2 2 2 2 2 2 10 11" xfId="6067"/>
    <cellStyle name="Normal 2 2 2 2 2 2 2 10 12" xfId="6611"/>
    <cellStyle name="Normal 2 2 2 2 2 2 2 10 13" xfId="7155"/>
    <cellStyle name="Normal 2 2 2 2 2 2 2 10 14" xfId="7645"/>
    <cellStyle name="Normal 2 2 2 2 2 2 2 10 2" xfId="1170"/>
    <cellStyle name="Normal 2 2 2 2 2 2 2 10 3" xfId="1716"/>
    <cellStyle name="Normal 2 2 2 2 2 2 2 10 4" xfId="2259"/>
    <cellStyle name="Normal 2 2 2 2 2 2 2 10 5" xfId="2803"/>
    <cellStyle name="Normal 2 2 2 2 2 2 2 10 6" xfId="3339"/>
    <cellStyle name="Normal 2 2 2 2 2 2 2 10 7" xfId="3891"/>
    <cellStyle name="Normal 2 2 2 2 2 2 2 10 8" xfId="4385"/>
    <cellStyle name="Normal 2 2 2 2 2 2 2 10 9" xfId="4979"/>
    <cellStyle name="Normal 2 2 2 2 2 2 2 11" xfId="828"/>
    <cellStyle name="Normal 2 2 2 2 2 2 2 11 10" xfId="5502"/>
    <cellStyle name="Normal 2 2 2 2 2 2 2 11 11" xfId="6084"/>
    <cellStyle name="Normal 2 2 2 2 2 2 2 11 12" xfId="6628"/>
    <cellStyle name="Normal 2 2 2 2 2 2 2 11 13" xfId="7172"/>
    <cellStyle name="Normal 2 2 2 2 2 2 2 11 14" xfId="7660"/>
    <cellStyle name="Normal 2 2 2 2 2 2 2 11 2" xfId="1187"/>
    <cellStyle name="Normal 2 2 2 2 2 2 2 11 3" xfId="1733"/>
    <cellStyle name="Normal 2 2 2 2 2 2 2 11 4" xfId="2276"/>
    <cellStyle name="Normal 2 2 2 2 2 2 2 11 5" xfId="2820"/>
    <cellStyle name="Normal 2 2 2 2 2 2 2 11 6" xfId="3356"/>
    <cellStyle name="Normal 2 2 2 2 2 2 2 11 7" xfId="3908"/>
    <cellStyle name="Normal 2 2 2 2 2 2 2 11 8" xfId="4401"/>
    <cellStyle name="Normal 2 2 2 2 2 2 2 11 9" xfId="4996"/>
    <cellStyle name="Normal 2 2 2 2 2 2 2 12" xfId="1374"/>
    <cellStyle name="Normal 2 2 2 2 2 2 2 13" xfId="1918"/>
    <cellStyle name="Normal 2 2 2 2 2 2 2 14" xfId="2461"/>
    <cellStyle name="Normal 2 2 2 2 2 2 2 15" xfId="3004"/>
    <cellStyle name="Normal 2 2 2 2 2 2 2 16" xfId="3549"/>
    <cellStyle name="Normal 2 2 2 2 2 2 2 17" xfId="4087"/>
    <cellStyle name="Normal 2 2 2 2 2 2 2 18" xfId="4637"/>
    <cellStyle name="Normal 2 2 2 2 2 2 2 19" xfId="5175"/>
    <cellStyle name="Normal 2 2 2 2 2 2 2 2" xfId="239"/>
    <cellStyle name="Normal 2 2 2 2 2 2 2 2 10" xfId="582"/>
    <cellStyle name="Normal 2 2 2 2 2 2 2 2 11" xfId="829"/>
    <cellStyle name="Normal 2 2 2 2 2 2 2 2 11 10" xfId="5503"/>
    <cellStyle name="Normal 2 2 2 2 2 2 2 2 11 11" xfId="6085"/>
    <cellStyle name="Normal 2 2 2 2 2 2 2 2 11 12" xfId="6629"/>
    <cellStyle name="Normal 2 2 2 2 2 2 2 2 11 13" xfId="7173"/>
    <cellStyle name="Normal 2 2 2 2 2 2 2 2 11 14" xfId="7661"/>
    <cellStyle name="Normal 2 2 2 2 2 2 2 2 11 2" xfId="1188"/>
    <cellStyle name="Normal 2 2 2 2 2 2 2 2 11 3" xfId="1734"/>
    <cellStyle name="Normal 2 2 2 2 2 2 2 2 11 4" xfId="2277"/>
    <cellStyle name="Normal 2 2 2 2 2 2 2 2 11 5" xfId="2821"/>
    <cellStyle name="Normal 2 2 2 2 2 2 2 2 11 6" xfId="3357"/>
    <cellStyle name="Normal 2 2 2 2 2 2 2 2 11 7" xfId="3909"/>
    <cellStyle name="Normal 2 2 2 2 2 2 2 2 11 8" xfId="4402"/>
    <cellStyle name="Normal 2 2 2 2 2 2 2 2 11 9" xfId="4997"/>
    <cellStyle name="Normal 2 2 2 2 2 2 2 2 12" xfId="1375"/>
    <cellStyle name="Normal 2 2 2 2 2 2 2 2 13" xfId="1919"/>
    <cellStyle name="Normal 2 2 2 2 2 2 2 2 14" xfId="2462"/>
    <cellStyle name="Normal 2 2 2 2 2 2 2 2 15" xfId="3005"/>
    <cellStyle name="Normal 2 2 2 2 2 2 2 2 16" xfId="3550"/>
    <cellStyle name="Normal 2 2 2 2 2 2 2 2 17" xfId="4088"/>
    <cellStyle name="Normal 2 2 2 2 2 2 2 2 18" xfId="4638"/>
    <cellStyle name="Normal 2 2 2 2 2 2 2 2 19" xfId="5176"/>
    <cellStyle name="Normal 2 2 2 2 2 2 2 2 2" xfId="240"/>
    <cellStyle name="Normal 2 2 2 2 2 2 2 2 2 10" xfId="583"/>
    <cellStyle name="Normal 2 2 2 2 2 2 2 2 2 10 10" xfId="5487"/>
    <cellStyle name="Normal 2 2 2 2 2 2 2 2 2 10 11" xfId="6069"/>
    <cellStyle name="Normal 2 2 2 2 2 2 2 2 2 10 12" xfId="6613"/>
    <cellStyle name="Normal 2 2 2 2 2 2 2 2 2 10 13" xfId="7157"/>
    <cellStyle name="Normal 2 2 2 2 2 2 2 2 2 10 14" xfId="7646"/>
    <cellStyle name="Normal 2 2 2 2 2 2 2 2 2 10 2" xfId="1172"/>
    <cellStyle name="Normal 2 2 2 2 2 2 2 2 2 10 3" xfId="1718"/>
    <cellStyle name="Normal 2 2 2 2 2 2 2 2 2 10 4" xfId="2261"/>
    <cellStyle name="Normal 2 2 2 2 2 2 2 2 2 10 5" xfId="2805"/>
    <cellStyle name="Normal 2 2 2 2 2 2 2 2 2 10 6" xfId="3341"/>
    <cellStyle name="Normal 2 2 2 2 2 2 2 2 2 10 7" xfId="3893"/>
    <cellStyle name="Normal 2 2 2 2 2 2 2 2 2 10 8" xfId="4386"/>
    <cellStyle name="Normal 2 2 2 2 2 2 2 2 2 10 9" xfId="4981"/>
    <cellStyle name="Normal 2 2 2 2 2 2 2 2 2 11" xfId="846"/>
    <cellStyle name="Normal 2 2 2 2 2 2 2 2 2 11 10" xfId="5504"/>
    <cellStyle name="Normal 2 2 2 2 2 2 2 2 2 11 11" xfId="6086"/>
    <cellStyle name="Normal 2 2 2 2 2 2 2 2 2 11 12" xfId="6630"/>
    <cellStyle name="Normal 2 2 2 2 2 2 2 2 2 11 13" xfId="7174"/>
    <cellStyle name="Normal 2 2 2 2 2 2 2 2 2 11 14" xfId="7662"/>
    <cellStyle name="Normal 2 2 2 2 2 2 2 2 2 11 2" xfId="1189"/>
    <cellStyle name="Normal 2 2 2 2 2 2 2 2 2 11 3" xfId="1735"/>
    <cellStyle name="Normal 2 2 2 2 2 2 2 2 2 11 4" xfId="2278"/>
    <cellStyle name="Normal 2 2 2 2 2 2 2 2 2 11 5" xfId="2822"/>
    <cellStyle name="Normal 2 2 2 2 2 2 2 2 2 11 6" xfId="3358"/>
    <cellStyle name="Normal 2 2 2 2 2 2 2 2 2 11 7" xfId="3910"/>
    <cellStyle name="Normal 2 2 2 2 2 2 2 2 2 11 8" xfId="4403"/>
    <cellStyle name="Normal 2 2 2 2 2 2 2 2 2 11 9" xfId="4998"/>
    <cellStyle name="Normal 2 2 2 2 2 2 2 2 2 12" xfId="1392"/>
    <cellStyle name="Normal 2 2 2 2 2 2 2 2 2 13" xfId="1936"/>
    <cellStyle name="Normal 2 2 2 2 2 2 2 2 2 14" xfId="2479"/>
    <cellStyle name="Normal 2 2 2 2 2 2 2 2 2 15" xfId="3021"/>
    <cellStyle name="Normal 2 2 2 2 2 2 2 2 2 16" xfId="3567"/>
    <cellStyle name="Normal 2 2 2 2 2 2 2 2 2 17" xfId="4099"/>
    <cellStyle name="Normal 2 2 2 2 2 2 2 2 2 18" xfId="4655"/>
    <cellStyle name="Normal 2 2 2 2 2 2 2 2 2 19" xfId="5187"/>
    <cellStyle name="Normal 2 2 2 2 2 2 2 2 2 2" xfId="257"/>
    <cellStyle name="Normal 2 2 2 2 2 2 2 2 2 2 10" xfId="4656"/>
    <cellStyle name="Normal 2 2 2 2 2 2 2 2 2 2 11" xfId="5188"/>
    <cellStyle name="Normal 2 2 2 2 2 2 2 2 2 2 12" xfId="5744"/>
    <cellStyle name="Normal 2 2 2 2 2 2 2 2 2 2 13" xfId="6288"/>
    <cellStyle name="Normal 2 2 2 2 2 2 2 2 2 2 14" xfId="6832"/>
    <cellStyle name="Normal 2 2 2 2 2 2 2 2 2 2 15" xfId="7364"/>
    <cellStyle name="Normal 2 2 2 2 2 2 2 2 2 2 2" xfId="258"/>
    <cellStyle name="Normal 2 2 2 2 2 2 2 2 2 2 2 10" xfId="4901"/>
    <cellStyle name="Normal 2 2 2 2 2 2 2 2 2 2 2 11" xfId="5429"/>
    <cellStyle name="Normal 2 2 2 2 2 2 2 2 2 2 2 12" xfId="5989"/>
    <cellStyle name="Normal 2 2 2 2 2 2 2 2 2 2 2 13" xfId="6533"/>
    <cellStyle name="Normal 2 2 2 2 2 2 2 2 2 2 2 14" xfId="7077"/>
    <cellStyle name="Normal 2 2 2 2 2 2 2 2 2 2 2 15" xfId="7605"/>
    <cellStyle name="Normal 2 2 2 2 2 2 2 2 2 2 2 2" xfId="503"/>
    <cellStyle name="Normal 2 2 2 2 2 2 2 2 2 2 2 2 10" xfId="5430"/>
    <cellStyle name="Normal 2 2 2 2 2 2 2 2 2 2 2 2 11" xfId="5990"/>
    <cellStyle name="Normal 2 2 2 2 2 2 2 2 2 2 2 2 12" xfId="6534"/>
    <cellStyle name="Normal 2 2 2 2 2 2 2 2 2 2 2 2 13" xfId="7078"/>
    <cellStyle name="Normal 2 2 2 2 2 2 2 2 2 2 2 2 14" xfId="7606"/>
    <cellStyle name="Normal 2 2 2 2 2 2 2 2 2 2 2 2 2" xfId="504"/>
    <cellStyle name="Normal 2 2 2 2 2 2 2 2 2 2 2 2 2 2" xfId="1092"/>
    <cellStyle name="Normal 2 2 2 2 2 2 2 2 2 2 2 2 2 2 2" xfId="1093"/>
    <cellStyle name="Normal 2 2 2 2 2 2 2 2 2 2 2 2 3" xfId="1639"/>
    <cellStyle name="Normal 2 2 2 2 2 2 2 2 2 2 2 2 4" xfId="2183"/>
    <cellStyle name="Normal 2 2 2 2 2 2 2 2 2 2 2 2 5" xfId="2726"/>
    <cellStyle name="Normal 2 2 2 2 2 2 2 2 2 2 2 2 6" xfId="3268"/>
    <cellStyle name="Normal 2 2 2 2 2 2 2 2 2 2 2 2 7" xfId="3814"/>
    <cellStyle name="Normal 2 2 2 2 2 2 2 2 2 2 2 2 8" xfId="4342"/>
    <cellStyle name="Normal 2 2 2 2 2 2 2 2 2 2 2 2 9" xfId="4902"/>
    <cellStyle name="Normal 2 2 2 2 2 2 2 2 2 2 2 3" xfId="1191"/>
    <cellStyle name="Normal 2 2 2 2 2 2 2 2 2 2 2 4" xfId="1638"/>
    <cellStyle name="Normal 2 2 2 2 2 2 2 2 2 2 2 5" xfId="2182"/>
    <cellStyle name="Normal 2 2 2 2 2 2 2 2 2 2 2 6" xfId="2725"/>
    <cellStyle name="Normal 2 2 2 2 2 2 2 2 2 2 2 7" xfId="3267"/>
    <cellStyle name="Normal 2 2 2 2 2 2 2 2 2 2 2 8" xfId="3813"/>
    <cellStyle name="Normal 2 2 2 2 2 2 2 2 2 2 2 9" xfId="4341"/>
    <cellStyle name="Normal 2 2 2 2 2 2 2 2 2 2 3" xfId="847"/>
    <cellStyle name="Normal 2 2 2 2 2 2 2 2 2 2 3 10" xfId="5505"/>
    <cellStyle name="Normal 2 2 2 2 2 2 2 2 2 2 3 11" xfId="6087"/>
    <cellStyle name="Normal 2 2 2 2 2 2 2 2 2 2 3 12" xfId="6631"/>
    <cellStyle name="Normal 2 2 2 2 2 2 2 2 2 2 3 13" xfId="7175"/>
    <cellStyle name="Normal 2 2 2 2 2 2 2 2 2 2 3 14" xfId="7663"/>
    <cellStyle name="Normal 2 2 2 2 2 2 2 2 2 2 3 2" xfId="1190"/>
    <cellStyle name="Normal 2 2 2 2 2 2 2 2 2 2 3 3" xfId="1736"/>
    <cellStyle name="Normal 2 2 2 2 2 2 2 2 2 2 3 4" xfId="2279"/>
    <cellStyle name="Normal 2 2 2 2 2 2 2 2 2 2 3 5" xfId="2823"/>
    <cellStyle name="Normal 2 2 2 2 2 2 2 2 2 2 3 6" xfId="3359"/>
    <cellStyle name="Normal 2 2 2 2 2 2 2 2 2 2 3 7" xfId="3911"/>
    <cellStyle name="Normal 2 2 2 2 2 2 2 2 2 2 3 8" xfId="4404"/>
    <cellStyle name="Normal 2 2 2 2 2 2 2 2 2 2 3 9" xfId="4999"/>
    <cellStyle name="Normal 2 2 2 2 2 2 2 2 2 2 4" xfId="1393"/>
    <cellStyle name="Normal 2 2 2 2 2 2 2 2 2 2 5" xfId="1937"/>
    <cellStyle name="Normal 2 2 2 2 2 2 2 2 2 2 6" xfId="2480"/>
    <cellStyle name="Normal 2 2 2 2 2 2 2 2 2 2 7" xfId="3022"/>
    <cellStyle name="Normal 2 2 2 2 2 2 2 2 2 2 8" xfId="3568"/>
    <cellStyle name="Normal 2 2 2 2 2 2 2 2 2 2 9" xfId="4100"/>
    <cellStyle name="Normal 2 2 2 2 2 2 2 2 2 20" xfId="5743"/>
    <cellStyle name="Normal 2 2 2 2 2 2 2 2 2 21" xfId="6287"/>
    <cellStyle name="Normal 2 2 2 2 2 2 2 2 2 22" xfId="6831"/>
    <cellStyle name="Normal 2 2 2 2 2 2 2 2 2 23" xfId="7363"/>
    <cellStyle name="Normal 2 2 2 2 2 2 2 2 2 3" xfId="542"/>
    <cellStyle name="Normal 2 2 2 2 2 2 2 2 2 3 10" xfId="5451"/>
    <cellStyle name="Normal 2 2 2 2 2 2 2 2 2 3 11" xfId="6028"/>
    <cellStyle name="Normal 2 2 2 2 2 2 2 2 2 3 12" xfId="6572"/>
    <cellStyle name="Normal 2 2 2 2 2 2 2 2 2 3 13" xfId="7116"/>
    <cellStyle name="Normal 2 2 2 2 2 2 2 2 2 3 14" xfId="7625"/>
    <cellStyle name="Normal 2 2 2 2 2 2 2 2 2 3 2" xfId="1131"/>
    <cellStyle name="Normal 2 2 2 2 2 2 2 2 2 3 3" xfId="1677"/>
    <cellStyle name="Normal 2 2 2 2 2 2 2 2 2 3 4" xfId="2221"/>
    <cellStyle name="Normal 2 2 2 2 2 2 2 2 2 3 5" xfId="2764"/>
    <cellStyle name="Normal 2 2 2 2 2 2 2 2 2 3 6" xfId="3302"/>
    <cellStyle name="Normal 2 2 2 2 2 2 2 2 2 3 7" xfId="3852"/>
    <cellStyle name="Normal 2 2 2 2 2 2 2 2 2 3 8" xfId="4362"/>
    <cellStyle name="Normal 2 2 2 2 2 2 2 2 2 3 9" xfId="4940"/>
    <cellStyle name="Normal 2 2 2 2 2 2 2 2 2 4" xfId="544"/>
    <cellStyle name="Normal 2 2 2 2 2 2 2 2 2 4 10" xfId="5453"/>
    <cellStyle name="Normal 2 2 2 2 2 2 2 2 2 4 11" xfId="6030"/>
    <cellStyle name="Normal 2 2 2 2 2 2 2 2 2 4 12" xfId="6574"/>
    <cellStyle name="Normal 2 2 2 2 2 2 2 2 2 4 13" xfId="7118"/>
    <cellStyle name="Normal 2 2 2 2 2 2 2 2 2 4 14" xfId="7626"/>
    <cellStyle name="Normal 2 2 2 2 2 2 2 2 2 4 2" xfId="1133"/>
    <cellStyle name="Normal 2 2 2 2 2 2 2 2 2 4 3" xfId="1679"/>
    <cellStyle name="Normal 2 2 2 2 2 2 2 2 2 4 4" xfId="2223"/>
    <cellStyle name="Normal 2 2 2 2 2 2 2 2 2 4 5" xfId="2766"/>
    <cellStyle name="Normal 2 2 2 2 2 2 2 2 2 4 6" xfId="3304"/>
    <cellStyle name="Normal 2 2 2 2 2 2 2 2 2 4 7" xfId="3854"/>
    <cellStyle name="Normal 2 2 2 2 2 2 2 2 2 4 8" xfId="4363"/>
    <cellStyle name="Normal 2 2 2 2 2 2 2 2 2 4 9" xfId="4942"/>
    <cellStyle name="Normal 2 2 2 2 2 2 2 2 2 5" xfId="552"/>
    <cellStyle name="Normal 2 2 2 2 2 2 2 2 2 5 10" xfId="5459"/>
    <cellStyle name="Normal 2 2 2 2 2 2 2 2 2 5 11" xfId="6038"/>
    <cellStyle name="Normal 2 2 2 2 2 2 2 2 2 5 12" xfId="6582"/>
    <cellStyle name="Normal 2 2 2 2 2 2 2 2 2 5 13" xfId="7126"/>
    <cellStyle name="Normal 2 2 2 2 2 2 2 2 2 5 14" xfId="7630"/>
    <cellStyle name="Normal 2 2 2 2 2 2 2 2 2 5 2" xfId="1141"/>
    <cellStyle name="Normal 2 2 2 2 2 2 2 2 2 5 3" xfId="1687"/>
    <cellStyle name="Normal 2 2 2 2 2 2 2 2 2 5 4" xfId="2231"/>
    <cellStyle name="Normal 2 2 2 2 2 2 2 2 2 5 5" xfId="2774"/>
    <cellStyle name="Normal 2 2 2 2 2 2 2 2 2 5 6" xfId="3312"/>
    <cellStyle name="Normal 2 2 2 2 2 2 2 2 2 5 7" xfId="3862"/>
    <cellStyle name="Normal 2 2 2 2 2 2 2 2 2 5 8" xfId="4367"/>
    <cellStyle name="Normal 2 2 2 2 2 2 2 2 2 5 9" xfId="4950"/>
    <cellStyle name="Normal 2 2 2 2 2 2 2 2 2 6" xfId="554"/>
    <cellStyle name="Normal 2 2 2 2 2 2 2 2 2 6 10" xfId="5461"/>
    <cellStyle name="Normal 2 2 2 2 2 2 2 2 2 6 11" xfId="6040"/>
    <cellStyle name="Normal 2 2 2 2 2 2 2 2 2 6 12" xfId="6584"/>
    <cellStyle name="Normal 2 2 2 2 2 2 2 2 2 6 13" xfId="7128"/>
    <cellStyle name="Normal 2 2 2 2 2 2 2 2 2 6 14" xfId="7631"/>
    <cellStyle name="Normal 2 2 2 2 2 2 2 2 2 6 2" xfId="1143"/>
    <cellStyle name="Normal 2 2 2 2 2 2 2 2 2 6 3" xfId="1689"/>
    <cellStyle name="Normal 2 2 2 2 2 2 2 2 2 6 4" xfId="2233"/>
    <cellStyle name="Normal 2 2 2 2 2 2 2 2 2 6 5" xfId="2776"/>
    <cellStyle name="Normal 2 2 2 2 2 2 2 2 2 6 6" xfId="3314"/>
    <cellStyle name="Normal 2 2 2 2 2 2 2 2 2 6 7" xfId="3864"/>
    <cellStyle name="Normal 2 2 2 2 2 2 2 2 2 6 8" xfId="4368"/>
    <cellStyle name="Normal 2 2 2 2 2 2 2 2 2 6 9" xfId="4952"/>
    <cellStyle name="Normal 2 2 2 2 2 2 2 2 2 7" xfId="556"/>
    <cellStyle name="Normal 2 2 2 2 2 2 2 2 2 7 10" xfId="5463"/>
    <cellStyle name="Normal 2 2 2 2 2 2 2 2 2 7 11" xfId="6042"/>
    <cellStyle name="Normal 2 2 2 2 2 2 2 2 2 7 12" xfId="6586"/>
    <cellStyle name="Normal 2 2 2 2 2 2 2 2 2 7 13" xfId="7130"/>
    <cellStyle name="Normal 2 2 2 2 2 2 2 2 2 7 14" xfId="7632"/>
    <cellStyle name="Normal 2 2 2 2 2 2 2 2 2 7 2" xfId="1145"/>
    <cellStyle name="Normal 2 2 2 2 2 2 2 2 2 7 3" xfId="1691"/>
    <cellStyle name="Normal 2 2 2 2 2 2 2 2 2 7 4" xfId="2235"/>
    <cellStyle name="Normal 2 2 2 2 2 2 2 2 2 7 5" xfId="2778"/>
    <cellStyle name="Normal 2 2 2 2 2 2 2 2 2 7 6" xfId="3316"/>
    <cellStyle name="Normal 2 2 2 2 2 2 2 2 2 7 7" xfId="3866"/>
    <cellStyle name="Normal 2 2 2 2 2 2 2 2 2 7 8" xfId="4369"/>
    <cellStyle name="Normal 2 2 2 2 2 2 2 2 2 7 9" xfId="4954"/>
    <cellStyle name="Normal 2 2 2 2 2 2 2 2 2 8" xfId="577"/>
    <cellStyle name="Normal 2 2 2 2 2 2 2 2 2 8 10" xfId="5481"/>
    <cellStyle name="Normal 2 2 2 2 2 2 2 2 2 8 11" xfId="6063"/>
    <cellStyle name="Normal 2 2 2 2 2 2 2 2 2 8 12" xfId="6607"/>
    <cellStyle name="Normal 2 2 2 2 2 2 2 2 2 8 13" xfId="7151"/>
    <cellStyle name="Normal 2 2 2 2 2 2 2 2 2 8 14" xfId="7643"/>
    <cellStyle name="Normal 2 2 2 2 2 2 2 2 2 8 2" xfId="1166"/>
    <cellStyle name="Normal 2 2 2 2 2 2 2 2 2 8 3" xfId="1712"/>
    <cellStyle name="Normal 2 2 2 2 2 2 2 2 2 8 4" xfId="2255"/>
    <cellStyle name="Normal 2 2 2 2 2 2 2 2 2 8 5" xfId="2799"/>
    <cellStyle name="Normal 2 2 2 2 2 2 2 2 2 8 6" xfId="3335"/>
    <cellStyle name="Normal 2 2 2 2 2 2 2 2 2 8 7" xfId="3887"/>
    <cellStyle name="Normal 2 2 2 2 2 2 2 2 2 8 8" xfId="4383"/>
    <cellStyle name="Normal 2 2 2 2 2 2 2 2 2 8 9" xfId="4975"/>
    <cellStyle name="Normal 2 2 2 2 2 2 2 2 2 9" xfId="579"/>
    <cellStyle name="Normal 2 2 2 2 2 2 2 2 2 9 10" xfId="5483"/>
    <cellStyle name="Normal 2 2 2 2 2 2 2 2 2 9 11" xfId="6065"/>
    <cellStyle name="Normal 2 2 2 2 2 2 2 2 2 9 12" xfId="6609"/>
    <cellStyle name="Normal 2 2 2 2 2 2 2 2 2 9 13" xfId="7153"/>
    <cellStyle name="Normal 2 2 2 2 2 2 2 2 2 9 14" xfId="7644"/>
    <cellStyle name="Normal 2 2 2 2 2 2 2 2 2 9 2" xfId="1168"/>
    <cellStyle name="Normal 2 2 2 2 2 2 2 2 2 9 3" xfId="1714"/>
    <cellStyle name="Normal 2 2 2 2 2 2 2 2 2 9 4" xfId="2257"/>
    <cellStyle name="Normal 2 2 2 2 2 2 2 2 2 9 5" xfId="2801"/>
    <cellStyle name="Normal 2 2 2 2 2 2 2 2 2 9 6" xfId="3337"/>
    <cellStyle name="Normal 2 2 2 2 2 2 2 2 2 9 7" xfId="3889"/>
    <cellStyle name="Normal 2 2 2 2 2 2 2 2 2 9 8" xfId="4384"/>
    <cellStyle name="Normal 2 2 2 2 2 2 2 2 2 9 9" xfId="4977"/>
    <cellStyle name="Normal 2 2 2 2 2 2 2 2 20" xfId="5726"/>
    <cellStyle name="Normal 2 2 2 2 2 2 2 2 21" xfId="6270"/>
    <cellStyle name="Normal 2 2 2 2 2 2 2 2 22" xfId="6814"/>
    <cellStyle name="Normal 2 2 2 2 2 2 2 2 23" xfId="7352"/>
    <cellStyle name="Normal 2 2 2 2 2 2 2 2 3" xfId="492"/>
    <cellStyle name="Normal 2 2 2 2 2 2 2 2 3 10" xfId="4890"/>
    <cellStyle name="Normal 2 2 2 2 2 2 2 2 3 11" xfId="5418"/>
    <cellStyle name="Normal 2 2 2 2 2 2 2 2 3 12" xfId="5978"/>
    <cellStyle name="Normal 2 2 2 2 2 2 2 2 3 13" xfId="6522"/>
    <cellStyle name="Normal 2 2 2 2 2 2 2 2 3 14" xfId="7066"/>
    <cellStyle name="Normal 2 2 2 2 2 2 2 2 3 15" xfId="7594"/>
    <cellStyle name="Normal 2 2 2 2 2 2 2 2 3 2" xfId="541"/>
    <cellStyle name="Normal 2 2 2 2 2 2 2 2 3 3" xfId="1081"/>
    <cellStyle name="Normal 2 2 2 2 2 2 2 2 3 4" xfId="1627"/>
    <cellStyle name="Normal 2 2 2 2 2 2 2 2 3 5" xfId="2171"/>
    <cellStyle name="Normal 2 2 2 2 2 2 2 2 3 6" xfId="2714"/>
    <cellStyle name="Normal 2 2 2 2 2 2 2 2 3 7" xfId="3256"/>
    <cellStyle name="Normal 2 2 2 2 2 2 2 2 3 8" xfId="3802"/>
    <cellStyle name="Normal 2 2 2 2 2 2 2 2 3 9" xfId="4330"/>
    <cellStyle name="Normal 2 2 2 2 2 2 2 2 4" xfId="543"/>
    <cellStyle name="Normal 2 2 2 2 2 2 2 2 5" xfId="551"/>
    <cellStyle name="Normal 2 2 2 2 2 2 2 2 6" xfId="553"/>
    <cellStyle name="Normal 2 2 2 2 2 2 2 2 7" xfId="555"/>
    <cellStyle name="Normal 2 2 2 2 2 2 2 2 8" xfId="576"/>
    <cellStyle name="Normal 2 2 2 2 2 2 2 2 9" xfId="578"/>
    <cellStyle name="Normal 2 2 2 2 2 2 2 20" xfId="5725"/>
    <cellStyle name="Normal 2 2 2 2 2 2 2 21" xfId="6269"/>
    <cellStyle name="Normal 2 2 2 2 2 2 2 22" xfId="6813"/>
    <cellStyle name="Normal 2 2 2 2 2 2 2 23" xfId="7351"/>
    <cellStyle name="Normal 2 2 2 2 2 2 2 3" xfId="491"/>
    <cellStyle name="Normal 2 2 2 2 2 2 2 3 2" xfId="540"/>
    <cellStyle name="Normal 2 2 2 2 2 2 2 3 2 10" xfId="5449"/>
    <cellStyle name="Normal 2 2 2 2 2 2 2 3 2 11" xfId="6026"/>
    <cellStyle name="Normal 2 2 2 2 2 2 2 3 2 12" xfId="6570"/>
    <cellStyle name="Normal 2 2 2 2 2 2 2 3 2 13" xfId="7114"/>
    <cellStyle name="Normal 2 2 2 2 2 2 2 3 2 14" xfId="7624"/>
    <cellStyle name="Normal 2 2 2 2 2 2 2 3 2 2" xfId="1129"/>
    <cellStyle name="Normal 2 2 2 2 2 2 2 3 2 3" xfId="1675"/>
    <cellStyle name="Normal 2 2 2 2 2 2 2 3 2 4" xfId="2219"/>
    <cellStyle name="Normal 2 2 2 2 2 2 2 3 2 5" xfId="2762"/>
    <cellStyle name="Normal 2 2 2 2 2 2 2 3 2 6" xfId="3300"/>
    <cellStyle name="Normal 2 2 2 2 2 2 2 3 2 7" xfId="3850"/>
    <cellStyle name="Normal 2 2 2 2 2 2 2 3 2 8" xfId="4361"/>
    <cellStyle name="Normal 2 2 2 2 2 2 2 3 2 9" xfId="4938"/>
    <cellStyle name="Normal 2 2 2 2 2 2 2 4" xfId="529"/>
    <cellStyle name="Normal 2 2 2 2 2 2 2 4 10" xfId="5444"/>
    <cellStyle name="Normal 2 2 2 2 2 2 2 4 11" xfId="6015"/>
    <cellStyle name="Normal 2 2 2 2 2 2 2 4 12" xfId="6559"/>
    <cellStyle name="Normal 2 2 2 2 2 2 2 4 13" xfId="7103"/>
    <cellStyle name="Normal 2 2 2 2 2 2 2 4 14" xfId="7619"/>
    <cellStyle name="Normal 2 2 2 2 2 2 2 4 2" xfId="1118"/>
    <cellStyle name="Normal 2 2 2 2 2 2 2 4 3" xfId="1664"/>
    <cellStyle name="Normal 2 2 2 2 2 2 2 4 4" xfId="2208"/>
    <cellStyle name="Normal 2 2 2 2 2 2 2 4 5" xfId="2751"/>
    <cellStyle name="Normal 2 2 2 2 2 2 2 4 6" xfId="3292"/>
    <cellStyle name="Normal 2 2 2 2 2 2 2 4 7" xfId="3839"/>
    <cellStyle name="Normal 2 2 2 2 2 2 2 4 8" xfId="4356"/>
    <cellStyle name="Normal 2 2 2 2 2 2 2 4 9" xfId="4927"/>
    <cellStyle name="Normal 2 2 2 2 2 2 2 5" xfId="549"/>
    <cellStyle name="Normal 2 2 2 2 2 2 2 5 10" xfId="5456"/>
    <cellStyle name="Normal 2 2 2 2 2 2 2 5 11" xfId="6035"/>
    <cellStyle name="Normal 2 2 2 2 2 2 2 5 12" xfId="6579"/>
    <cellStyle name="Normal 2 2 2 2 2 2 2 5 13" xfId="7123"/>
    <cellStyle name="Normal 2 2 2 2 2 2 2 5 14" xfId="7628"/>
    <cellStyle name="Normal 2 2 2 2 2 2 2 5 2" xfId="1138"/>
    <cellStyle name="Normal 2 2 2 2 2 2 2 5 3" xfId="1684"/>
    <cellStyle name="Normal 2 2 2 2 2 2 2 5 4" xfId="2228"/>
    <cellStyle name="Normal 2 2 2 2 2 2 2 5 5" xfId="2771"/>
    <cellStyle name="Normal 2 2 2 2 2 2 2 5 6" xfId="3309"/>
    <cellStyle name="Normal 2 2 2 2 2 2 2 5 7" xfId="3859"/>
    <cellStyle name="Normal 2 2 2 2 2 2 2 5 8" xfId="4365"/>
    <cellStyle name="Normal 2 2 2 2 2 2 2 5 9" xfId="4947"/>
    <cellStyle name="Normal 2 2 2 2 2 2 2 6" xfId="514"/>
    <cellStyle name="Normal 2 2 2 2 2 2 2 6 10" xfId="5438"/>
    <cellStyle name="Normal 2 2 2 2 2 2 2 6 11" xfId="6000"/>
    <cellStyle name="Normal 2 2 2 2 2 2 2 6 12" xfId="6544"/>
    <cellStyle name="Normal 2 2 2 2 2 2 2 6 13" xfId="7088"/>
    <cellStyle name="Normal 2 2 2 2 2 2 2 6 14" xfId="7614"/>
    <cellStyle name="Normal 2 2 2 2 2 2 2 6 2" xfId="1103"/>
    <cellStyle name="Normal 2 2 2 2 2 2 2 6 3" xfId="1649"/>
    <cellStyle name="Normal 2 2 2 2 2 2 2 6 4" xfId="2193"/>
    <cellStyle name="Normal 2 2 2 2 2 2 2 6 5" xfId="2736"/>
    <cellStyle name="Normal 2 2 2 2 2 2 2 6 6" xfId="3278"/>
    <cellStyle name="Normal 2 2 2 2 2 2 2 6 7" xfId="3824"/>
    <cellStyle name="Normal 2 2 2 2 2 2 2 6 8" xfId="4350"/>
    <cellStyle name="Normal 2 2 2 2 2 2 2 6 9" xfId="4912"/>
    <cellStyle name="Normal 2 2 2 2 2 2 2 7" xfId="550"/>
    <cellStyle name="Normal 2 2 2 2 2 2 2 7 10" xfId="5457"/>
    <cellStyle name="Normal 2 2 2 2 2 2 2 7 11" xfId="6036"/>
    <cellStyle name="Normal 2 2 2 2 2 2 2 7 12" xfId="6580"/>
    <cellStyle name="Normal 2 2 2 2 2 2 2 7 13" xfId="7124"/>
    <cellStyle name="Normal 2 2 2 2 2 2 2 7 14" xfId="7629"/>
    <cellStyle name="Normal 2 2 2 2 2 2 2 7 2" xfId="1139"/>
    <cellStyle name="Normal 2 2 2 2 2 2 2 7 3" xfId="1685"/>
    <cellStyle name="Normal 2 2 2 2 2 2 2 7 4" xfId="2229"/>
    <cellStyle name="Normal 2 2 2 2 2 2 2 7 5" xfId="2772"/>
    <cellStyle name="Normal 2 2 2 2 2 2 2 7 6" xfId="3310"/>
    <cellStyle name="Normal 2 2 2 2 2 2 2 7 7" xfId="3860"/>
    <cellStyle name="Normal 2 2 2 2 2 2 2 7 8" xfId="4366"/>
    <cellStyle name="Normal 2 2 2 2 2 2 2 7 9" xfId="4948"/>
    <cellStyle name="Normal 2 2 2 2 2 2 2 8" xfId="575"/>
    <cellStyle name="Normal 2 2 2 2 2 2 2 8 10" xfId="5479"/>
    <cellStyle name="Normal 2 2 2 2 2 2 2 8 11" xfId="6061"/>
    <cellStyle name="Normal 2 2 2 2 2 2 2 8 12" xfId="6605"/>
    <cellStyle name="Normal 2 2 2 2 2 2 2 8 13" xfId="7149"/>
    <cellStyle name="Normal 2 2 2 2 2 2 2 8 14" xfId="7642"/>
    <cellStyle name="Normal 2 2 2 2 2 2 2 8 2" xfId="1164"/>
    <cellStyle name="Normal 2 2 2 2 2 2 2 8 3" xfId="1710"/>
    <cellStyle name="Normal 2 2 2 2 2 2 2 8 4" xfId="2253"/>
    <cellStyle name="Normal 2 2 2 2 2 2 2 8 5" xfId="2797"/>
    <cellStyle name="Normal 2 2 2 2 2 2 2 8 6" xfId="3333"/>
    <cellStyle name="Normal 2 2 2 2 2 2 2 8 7" xfId="3885"/>
    <cellStyle name="Normal 2 2 2 2 2 2 2 8 8" xfId="4382"/>
    <cellStyle name="Normal 2 2 2 2 2 2 2 8 9" xfId="4973"/>
    <cellStyle name="Normal 2 2 2 2 2 2 2 9" xfId="569"/>
    <cellStyle name="Normal 2 2 2 2 2 2 2 9 10" xfId="5475"/>
    <cellStyle name="Normal 2 2 2 2 2 2 2 9 11" xfId="6055"/>
    <cellStyle name="Normal 2 2 2 2 2 2 2 9 12" xfId="6599"/>
    <cellStyle name="Normal 2 2 2 2 2 2 2 9 13" xfId="7143"/>
    <cellStyle name="Normal 2 2 2 2 2 2 2 9 14" xfId="7639"/>
    <cellStyle name="Normal 2 2 2 2 2 2 2 9 2" xfId="1158"/>
    <cellStyle name="Normal 2 2 2 2 2 2 2 9 3" xfId="1704"/>
    <cellStyle name="Normal 2 2 2 2 2 2 2 9 4" xfId="2247"/>
    <cellStyle name="Normal 2 2 2 2 2 2 2 9 5" xfId="2791"/>
    <cellStyle name="Normal 2 2 2 2 2 2 2 9 6" xfId="3328"/>
    <cellStyle name="Normal 2 2 2 2 2 2 2 9 7" xfId="3879"/>
    <cellStyle name="Normal 2 2 2 2 2 2 2 9 8" xfId="4379"/>
    <cellStyle name="Normal 2 2 2 2 2 2 2 9 9" xfId="4967"/>
    <cellStyle name="Normal 2 2 2 2 2 2 20" xfId="5081"/>
    <cellStyle name="Normal 2 2 2 2 2 2 21" xfId="5626"/>
    <cellStyle name="Normal 2 2 2 2 2 2 22" xfId="6170"/>
    <cellStyle name="Normal 2 2 2 2 2 2 23" xfId="6714"/>
    <cellStyle name="Normal 2 2 2 2 2 2 24" xfId="7257"/>
    <cellStyle name="Normal 2 2 2 2 2 2 3" xfId="247"/>
    <cellStyle name="Normal 2 2 2 2 2 2 3 10" xfId="4645"/>
    <cellStyle name="Normal 2 2 2 2 2 2 3 11" xfId="5180"/>
    <cellStyle name="Normal 2 2 2 2 2 2 3 12" xfId="5733"/>
    <cellStyle name="Normal 2 2 2 2 2 2 3 13" xfId="6277"/>
    <cellStyle name="Normal 2 2 2 2 2 2 3 14" xfId="6821"/>
    <cellStyle name="Normal 2 2 2 2 2 2 3 15" xfId="7356"/>
    <cellStyle name="Normal 2 2 2 2 2 2 3 2" xfId="496"/>
    <cellStyle name="Normal 2 2 2 2 2 2 3 2 10" xfId="5422"/>
    <cellStyle name="Normal 2 2 2 2 2 2 3 2 11" xfId="5982"/>
    <cellStyle name="Normal 2 2 2 2 2 2 3 2 12" xfId="6526"/>
    <cellStyle name="Normal 2 2 2 2 2 2 3 2 13" xfId="7070"/>
    <cellStyle name="Normal 2 2 2 2 2 2 3 2 14" xfId="7598"/>
    <cellStyle name="Normal 2 2 2 2 2 2 3 2 2" xfId="1085"/>
    <cellStyle name="Normal 2 2 2 2 2 2 3 2 3" xfId="1631"/>
    <cellStyle name="Normal 2 2 2 2 2 2 3 2 4" xfId="2175"/>
    <cellStyle name="Normal 2 2 2 2 2 2 3 2 5" xfId="2718"/>
    <cellStyle name="Normal 2 2 2 2 2 2 3 2 6" xfId="3260"/>
    <cellStyle name="Normal 2 2 2 2 2 2 3 2 7" xfId="3806"/>
    <cellStyle name="Normal 2 2 2 2 2 2 3 2 8" xfId="4334"/>
    <cellStyle name="Normal 2 2 2 2 2 2 3 2 9" xfId="4894"/>
    <cellStyle name="Normal 2 2 2 2 2 2 3 3" xfId="836"/>
    <cellStyle name="Normal 2 2 2 2 2 2 3 4" xfId="1382"/>
    <cellStyle name="Normal 2 2 2 2 2 2 3 5" xfId="1926"/>
    <cellStyle name="Normal 2 2 2 2 2 2 3 6" xfId="2469"/>
    <cellStyle name="Normal 2 2 2 2 2 2 3 7" xfId="3011"/>
    <cellStyle name="Normal 2 2 2 2 2 2 3 8" xfId="3557"/>
    <cellStyle name="Normal 2 2 2 2 2 2 3 9" xfId="4092"/>
    <cellStyle name="Normal 2 2 2 2 2 2 4" xfId="397"/>
    <cellStyle name="Normal 2 2 2 2 2 2 4 10" xfId="4795"/>
    <cellStyle name="Normal 2 2 2 2 2 2 4 11" xfId="5324"/>
    <cellStyle name="Normal 2 2 2 2 2 2 4 12" xfId="5883"/>
    <cellStyle name="Normal 2 2 2 2 2 2 4 13" xfId="6427"/>
    <cellStyle name="Normal 2 2 2 2 2 2 4 14" xfId="6971"/>
    <cellStyle name="Normal 2 2 2 2 2 2 4 15" xfId="7500"/>
    <cellStyle name="Normal 2 2 2 2 2 2 4 2" xfId="539"/>
    <cellStyle name="Normal 2 2 2 2 2 2 4 3" xfId="986"/>
    <cellStyle name="Normal 2 2 2 2 2 2 4 4" xfId="1532"/>
    <cellStyle name="Normal 2 2 2 2 2 2 4 5" xfId="2076"/>
    <cellStyle name="Normal 2 2 2 2 2 2 4 6" xfId="2619"/>
    <cellStyle name="Normal 2 2 2 2 2 2 4 7" xfId="3161"/>
    <cellStyle name="Normal 2 2 2 2 2 2 4 8" xfId="3707"/>
    <cellStyle name="Normal 2 2 2 2 2 2 4 9" xfId="4236"/>
    <cellStyle name="Normal 2 2 2 2 2 2 5" xfId="537"/>
    <cellStyle name="Normal 2 2 2 2 2 2 6" xfId="548"/>
    <cellStyle name="Normal 2 2 2 2 2 2 7" xfId="547"/>
    <cellStyle name="Normal 2 2 2 2 2 2 8" xfId="525"/>
    <cellStyle name="Normal 2 2 2 2 2 2 9" xfId="574"/>
    <cellStyle name="Normal 2 2 2 2 2 20" xfId="5079"/>
    <cellStyle name="Normal 2 2 2 2 2 21" xfId="5624"/>
    <cellStyle name="Normal 2 2 2 2 2 22" xfId="6168"/>
    <cellStyle name="Normal 2 2 2 2 2 23" xfId="6712"/>
    <cellStyle name="Normal 2 2 2 2 2 24" xfId="7255"/>
    <cellStyle name="Normal 2 2 2 2 2 3" xfId="246"/>
    <cellStyle name="Normal 2 2 2 2 2 3 2" xfId="250"/>
    <cellStyle name="Normal 2 2 2 2 2 3 2 10" xfId="4648"/>
    <cellStyle name="Normal 2 2 2 2 2 3 2 11" xfId="5182"/>
    <cellStyle name="Normal 2 2 2 2 2 3 2 12" xfId="5736"/>
    <cellStyle name="Normal 2 2 2 2 2 3 2 13" xfId="6280"/>
    <cellStyle name="Normal 2 2 2 2 2 3 2 14" xfId="6824"/>
    <cellStyle name="Normal 2 2 2 2 2 3 2 15" xfId="7358"/>
    <cellStyle name="Normal 2 2 2 2 2 3 2 2" xfId="498"/>
    <cellStyle name="Normal 2 2 2 2 2 3 2 2 10" xfId="5424"/>
    <cellStyle name="Normal 2 2 2 2 2 3 2 2 11" xfId="5984"/>
    <cellStyle name="Normal 2 2 2 2 2 3 2 2 12" xfId="6528"/>
    <cellStyle name="Normal 2 2 2 2 2 3 2 2 13" xfId="7072"/>
    <cellStyle name="Normal 2 2 2 2 2 3 2 2 14" xfId="7600"/>
    <cellStyle name="Normal 2 2 2 2 2 3 2 2 2" xfId="1087"/>
    <cellStyle name="Normal 2 2 2 2 2 3 2 2 3" xfId="1633"/>
    <cellStyle name="Normal 2 2 2 2 2 3 2 2 4" xfId="2177"/>
    <cellStyle name="Normal 2 2 2 2 2 3 2 2 5" xfId="2720"/>
    <cellStyle name="Normal 2 2 2 2 2 3 2 2 6" xfId="3262"/>
    <cellStyle name="Normal 2 2 2 2 2 3 2 2 7" xfId="3808"/>
    <cellStyle name="Normal 2 2 2 2 2 3 2 2 8" xfId="4336"/>
    <cellStyle name="Normal 2 2 2 2 2 3 2 2 9" xfId="4896"/>
    <cellStyle name="Normal 2 2 2 2 2 3 2 3" xfId="839"/>
    <cellStyle name="Normal 2 2 2 2 2 3 2 4" xfId="1385"/>
    <cellStyle name="Normal 2 2 2 2 2 3 2 5" xfId="1929"/>
    <cellStyle name="Normal 2 2 2 2 2 3 2 6" xfId="2472"/>
    <cellStyle name="Normal 2 2 2 2 2 3 2 7" xfId="3014"/>
    <cellStyle name="Normal 2 2 2 2 2 3 2 8" xfId="3560"/>
    <cellStyle name="Normal 2 2 2 2 2 3 2 9" xfId="4094"/>
    <cellStyle name="Normal 2 2 2 2 2 4" xfId="395"/>
    <cellStyle name="Normal 2 2 2 2 2 4 2" xfId="523"/>
    <cellStyle name="Normal 2 2 2 2 2 4 2 10" xfId="5442"/>
    <cellStyle name="Normal 2 2 2 2 2 4 2 11" xfId="6009"/>
    <cellStyle name="Normal 2 2 2 2 2 4 2 12" xfId="6553"/>
    <cellStyle name="Normal 2 2 2 2 2 4 2 13" xfId="7097"/>
    <cellStyle name="Normal 2 2 2 2 2 4 2 14" xfId="7618"/>
    <cellStyle name="Normal 2 2 2 2 2 4 2 2" xfId="1112"/>
    <cellStyle name="Normal 2 2 2 2 2 4 2 3" xfId="1658"/>
    <cellStyle name="Normal 2 2 2 2 2 4 2 4" xfId="2202"/>
    <cellStyle name="Normal 2 2 2 2 2 4 2 5" xfId="2745"/>
    <cellStyle name="Normal 2 2 2 2 2 4 2 6" xfId="3287"/>
    <cellStyle name="Normal 2 2 2 2 2 4 2 7" xfId="3833"/>
    <cellStyle name="Normal 2 2 2 2 2 4 2 8" xfId="4354"/>
    <cellStyle name="Normal 2 2 2 2 2 4 2 9" xfId="4921"/>
    <cellStyle name="Normal 2 2 2 2 2 5" xfId="535"/>
    <cellStyle name="Normal 2 2 2 2 2 5 10" xfId="5447"/>
    <cellStyle name="Normal 2 2 2 2 2 5 11" xfId="6021"/>
    <cellStyle name="Normal 2 2 2 2 2 5 12" xfId="6565"/>
    <cellStyle name="Normal 2 2 2 2 2 5 13" xfId="7109"/>
    <cellStyle name="Normal 2 2 2 2 2 5 14" xfId="7622"/>
    <cellStyle name="Normal 2 2 2 2 2 5 2" xfId="1124"/>
    <cellStyle name="Normal 2 2 2 2 2 5 3" xfId="1670"/>
    <cellStyle name="Normal 2 2 2 2 2 5 4" xfId="2214"/>
    <cellStyle name="Normal 2 2 2 2 2 5 5" xfId="2757"/>
    <cellStyle name="Normal 2 2 2 2 2 5 6" xfId="3296"/>
    <cellStyle name="Normal 2 2 2 2 2 5 7" xfId="3845"/>
    <cellStyle name="Normal 2 2 2 2 2 5 8" xfId="4359"/>
    <cellStyle name="Normal 2 2 2 2 2 5 9" xfId="4933"/>
    <cellStyle name="Normal 2 2 2 2 2 6" xfId="519"/>
    <cellStyle name="Normal 2 2 2 2 2 6 10" xfId="5441"/>
    <cellStyle name="Normal 2 2 2 2 2 6 11" xfId="6005"/>
    <cellStyle name="Normal 2 2 2 2 2 6 12" xfId="6549"/>
    <cellStyle name="Normal 2 2 2 2 2 6 13" xfId="7093"/>
    <cellStyle name="Normal 2 2 2 2 2 6 14" xfId="7617"/>
    <cellStyle name="Normal 2 2 2 2 2 6 2" xfId="1108"/>
    <cellStyle name="Normal 2 2 2 2 2 6 3" xfId="1654"/>
    <cellStyle name="Normal 2 2 2 2 2 6 4" xfId="2198"/>
    <cellStyle name="Normal 2 2 2 2 2 6 5" xfId="2741"/>
    <cellStyle name="Normal 2 2 2 2 2 6 6" xfId="3283"/>
    <cellStyle name="Normal 2 2 2 2 2 6 7" xfId="3829"/>
    <cellStyle name="Normal 2 2 2 2 2 6 8" xfId="4353"/>
    <cellStyle name="Normal 2 2 2 2 2 6 9" xfId="4917"/>
    <cellStyle name="Normal 2 2 2 2 2 7" xfId="512"/>
    <cellStyle name="Normal 2 2 2 2 2 7 10" xfId="5436"/>
    <cellStyle name="Normal 2 2 2 2 2 7 11" xfId="5998"/>
    <cellStyle name="Normal 2 2 2 2 2 7 12" xfId="6542"/>
    <cellStyle name="Normal 2 2 2 2 2 7 13" xfId="7086"/>
    <cellStyle name="Normal 2 2 2 2 2 7 14" xfId="7612"/>
    <cellStyle name="Normal 2 2 2 2 2 7 2" xfId="1101"/>
    <cellStyle name="Normal 2 2 2 2 2 7 3" xfId="1647"/>
    <cellStyle name="Normal 2 2 2 2 2 7 4" xfId="2191"/>
    <cellStyle name="Normal 2 2 2 2 2 7 5" xfId="2734"/>
    <cellStyle name="Normal 2 2 2 2 2 7 6" xfId="3276"/>
    <cellStyle name="Normal 2 2 2 2 2 7 7" xfId="3822"/>
    <cellStyle name="Normal 2 2 2 2 2 7 8" xfId="4348"/>
    <cellStyle name="Normal 2 2 2 2 2 7 9" xfId="4910"/>
    <cellStyle name="Normal 2 2 2 2 2 8" xfId="513"/>
    <cellStyle name="Normal 2 2 2 2 2 8 10" xfId="5437"/>
    <cellStyle name="Normal 2 2 2 2 2 8 11" xfId="5999"/>
    <cellStyle name="Normal 2 2 2 2 2 8 12" xfId="6543"/>
    <cellStyle name="Normal 2 2 2 2 2 8 13" xfId="7087"/>
    <cellStyle name="Normal 2 2 2 2 2 8 14" xfId="7613"/>
    <cellStyle name="Normal 2 2 2 2 2 8 2" xfId="1102"/>
    <cellStyle name="Normal 2 2 2 2 2 8 3" xfId="1648"/>
    <cellStyle name="Normal 2 2 2 2 2 8 4" xfId="2192"/>
    <cellStyle name="Normal 2 2 2 2 2 8 5" xfId="2735"/>
    <cellStyle name="Normal 2 2 2 2 2 8 6" xfId="3277"/>
    <cellStyle name="Normal 2 2 2 2 2 8 7" xfId="3823"/>
    <cellStyle name="Normal 2 2 2 2 2 8 8" xfId="4349"/>
    <cellStyle name="Normal 2 2 2 2 2 8 9" xfId="4911"/>
    <cellStyle name="Normal 2 2 2 2 2 9" xfId="566"/>
    <cellStyle name="Normal 2 2 2 2 2 9 10" xfId="5473"/>
    <cellStyle name="Normal 2 2 2 2 2 9 11" xfId="6052"/>
    <cellStyle name="Normal 2 2 2 2 2 9 12" xfId="6596"/>
    <cellStyle name="Normal 2 2 2 2 2 9 13" xfId="7140"/>
    <cellStyle name="Normal 2 2 2 2 2 9 14" xfId="7637"/>
    <cellStyle name="Normal 2 2 2 2 2 9 2" xfId="1155"/>
    <cellStyle name="Normal 2 2 2 2 2 9 3" xfId="1701"/>
    <cellStyle name="Normal 2 2 2 2 2 9 4" xfId="2245"/>
    <cellStyle name="Normal 2 2 2 2 2 9 5" xfId="2788"/>
    <cellStyle name="Normal 2 2 2 2 2 9 6" xfId="3326"/>
    <cellStyle name="Normal 2 2 2 2 2 9 7" xfId="3876"/>
    <cellStyle name="Normal 2 2 2 2 2 9 8" xfId="4377"/>
    <cellStyle name="Normal 2 2 2 2 2 9 9" xfId="4964"/>
    <cellStyle name="Normal 2 2 2 2 20" xfId="4447"/>
    <cellStyle name="Normal 2 2 2 2 21" xfId="4978"/>
    <cellStyle name="Normal 2 2 2 2 22" xfId="5535"/>
    <cellStyle name="Normal 2 2 2 2 23" xfId="6066"/>
    <cellStyle name="Normal 2 2 2 2 24" xfId="6610"/>
    <cellStyle name="Normal 2 2 2 2 25" xfId="7154"/>
    <cellStyle name="Normal 2 2 2 2 3" xfId="187"/>
    <cellStyle name="Normal 2 2 2 2 3 10" xfId="4038"/>
    <cellStyle name="Normal 2 2 2 2 3 11" xfId="4585"/>
    <cellStyle name="Normal 2 2 2 2 3 12" xfId="5126"/>
    <cellStyle name="Normal 2 2 2 2 3 13" xfId="5673"/>
    <cellStyle name="Normal 2 2 2 2 3 14" xfId="6217"/>
    <cellStyle name="Normal 2 2 2 2 3 15" xfId="6761"/>
    <cellStyle name="Normal 2 2 2 2 3 16" xfId="7302"/>
    <cellStyle name="Normal 2 2 2 2 3 2" xfId="249"/>
    <cellStyle name="Normal 2 2 2 2 3 2 2" xfId="253"/>
    <cellStyle name="Normal 2 2 2 2 3 2 2 10" xfId="4651"/>
    <cellStyle name="Normal 2 2 2 2 3 2 2 11" xfId="5184"/>
    <cellStyle name="Normal 2 2 2 2 3 2 2 12" xfId="5739"/>
    <cellStyle name="Normal 2 2 2 2 3 2 2 13" xfId="6283"/>
    <cellStyle name="Normal 2 2 2 2 3 2 2 14" xfId="6827"/>
    <cellStyle name="Normal 2 2 2 2 3 2 2 15" xfId="7360"/>
    <cellStyle name="Normal 2 2 2 2 3 2 2 2" xfId="500"/>
    <cellStyle name="Normal 2 2 2 2 3 2 2 2 10" xfId="5426"/>
    <cellStyle name="Normal 2 2 2 2 3 2 2 2 11" xfId="5986"/>
    <cellStyle name="Normal 2 2 2 2 3 2 2 2 12" xfId="6530"/>
    <cellStyle name="Normal 2 2 2 2 3 2 2 2 13" xfId="7074"/>
    <cellStyle name="Normal 2 2 2 2 3 2 2 2 14" xfId="7602"/>
    <cellStyle name="Normal 2 2 2 2 3 2 2 2 2" xfId="1089"/>
    <cellStyle name="Normal 2 2 2 2 3 2 2 2 3" xfId="1635"/>
    <cellStyle name="Normal 2 2 2 2 3 2 2 2 4" xfId="2179"/>
    <cellStyle name="Normal 2 2 2 2 3 2 2 2 5" xfId="2722"/>
    <cellStyle name="Normal 2 2 2 2 3 2 2 2 6" xfId="3264"/>
    <cellStyle name="Normal 2 2 2 2 3 2 2 2 7" xfId="3810"/>
    <cellStyle name="Normal 2 2 2 2 3 2 2 2 8" xfId="4338"/>
    <cellStyle name="Normal 2 2 2 2 3 2 2 2 9" xfId="4898"/>
    <cellStyle name="Normal 2 2 2 2 3 2 2 3" xfId="842"/>
    <cellStyle name="Normal 2 2 2 2 3 2 2 4" xfId="1388"/>
    <cellStyle name="Normal 2 2 2 2 3 2 2 5" xfId="1932"/>
    <cellStyle name="Normal 2 2 2 2 3 2 2 6" xfId="2475"/>
    <cellStyle name="Normal 2 2 2 2 3 2 2 7" xfId="3017"/>
    <cellStyle name="Normal 2 2 2 2 3 2 2 8" xfId="3563"/>
    <cellStyle name="Normal 2 2 2 2 3 2 2 9" xfId="4096"/>
    <cellStyle name="Normal 2 2 2 2 3 3" xfId="442"/>
    <cellStyle name="Normal 2 2 2 2 3 3 10" xfId="5369"/>
    <cellStyle name="Normal 2 2 2 2 3 3 11" xfId="5928"/>
    <cellStyle name="Normal 2 2 2 2 3 3 12" xfId="6472"/>
    <cellStyle name="Normal 2 2 2 2 3 3 13" xfId="7016"/>
    <cellStyle name="Normal 2 2 2 2 3 3 14" xfId="7545"/>
    <cellStyle name="Normal 2 2 2 2 3 3 2" xfId="1031"/>
    <cellStyle name="Normal 2 2 2 2 3 3 3" xfId="1577"/>
    <cellStyle name="Normal 2 2 2 2 3 3 4" xfId="2121"/>
    <cellStyle name="Normal 2 2 2 2 3 3 5" xfId="2664"/>
    <cellStyle name="Normal 2 2 2 2 3 3 6" xfId="3206"/>
    <cellStyle name="Normal 2 2 2 2 3 3 7" xfId="3752"/>
    <cellStyle name="Normal 2 2 2 2 3 3 8" xfId="4281"/>
    <cellStyle name="Normal 2 2 2 2 3 3 9" xfId="4840"/>
    <cellStyle name="Normal 2 2 2 2 3 4" xfId="776"/>
    <cellStyle name="Normal 2 2 2 2 3 5" xfId="1322"/>
    <cellStyle name="Normal 2 2 2 2 3 6" xfId="1866"/>
    <cellStyle name="Normal 2 2 2 2 3 7" xfId="2409"/>
    <cellStyle name="Normal 2 2 2 2 3 8" xfId="2952"/>
    <cellStyle name="Normal 2 2 2 2 3 9" xfId="3497"/>
    <cellStyle name="Normal 2 2 2 2 4" xfId="220"/>
    <cellStyle name="Normal 2 2 2 2 4 10" xfId="4618"/>
    <cellStyle name="Normal 2 2 2 2 4 11" xfId="5157"/>
    <cellStyle name="Normal 2 2 2 2 4 12" xfId="5706"/>
    <cellStyle name="Normal 2 2 2 2 4 13" xfId="6250"/>
    <cellStyle name="Normal 2 2 2 2 4 14" xfId="6794"/>
    <cellStyle name="Normal 2 2 2 2 4 15" xfId="7333"/>
    <cellStyle name="Normal 2 2 2 2 4 2" xfId="473"/>
    <cellStyle name="Normal 2 2 2 2 4 2 10" xfId="5400"/>
    <cellStyle name="Normal 2 2 2 2 4 2 11" xfId="5959"/>
    <cellStyle name="Normal 2 2 2 2 4 2 12" xfId="6503"/>
    <cellStyle name="Normal 2 2 2 2 4 2 13" xfId="7047"/>
    <cellStyle name="Normal 2 2 2 2 4 2 14" xfId="7576"/>
    <cellStyle name="Normal 2 2 2 2 4 2 2" xfId="1062"/>
    <cellStyle name="Normal 2 2 2 2 4 2 3" xfId="1608"/>
    <cellStyle name="Normal 2 2 2 2 4 2 4" xfId="2152"/>
    <cellStyle name="Normal 2 2 2 2 4 2 5" xfId="2695"/>
    <cellStyle name="Normal 2 2 2 2 4 2 6" xfId="3237"/>
    <cellStyle name="Normal 2 2 2 2 4 2 7" xfId="3783"/>
    <cellStyle name="Normal 2 2 2 2 4 2 8" xfId="4312"/>
    <cellStyle name="Normal 2 2 2 2 4 2 9" xfId="4871"/>
    <cellStyle name="Normal 2 2 2 2 4 3" xfId="809"/>
    <cellStyle name="Normal 2 2 2 2 4 4" xfId="1355"/>
    <cellStyle name="Normal 2 2 2 2 4 5" xfId="1899"/>
    <cellStyle name="Normal 2 2 2 2 4 6" xfId="2442"/>
    <cellStyle name="Normal 2 2 2 2 4 7" xfId="2985"/>
    <cellStyle name="Normal 2 2 2 2 4 8" xfId="3530"/>
    <cellStyle name="Normal 2 2 2 2 4 9" xfId="4069"/>
    <cellStyle name="Normal 2 2 2 2 5" xfId="307"/>
    <cellStyle name="Normal 2 2 2 2 5 10" xfId="4705"/>
    <cellStyle name="Normal 2 2 2 2 5 11" xfId="5235"/>
    <cellStyle name="Normal 2 2 2 2 5 12" xfId="5793"/>
    <cellStyle name="Normal 2 2 2 2 5 13" xfId="6337"/>
    <cellStyle name="Normal 2 2 2 2 5 14" xfId="6881"/>
    <cellStyle name="Normal 2 2 2 2 5 15" xfId="7411"/>
    <cellStyle name="Normal 2 2 2 2 5 2" xfId="522"/>
    <cellStyle name="Normal 2 2 2 2 5 3" xfId="896"/>
    <cellStyle name="Normal 2 2 2 2 5 4" xfId="1442"/>
    <cellStyle name="Normal 2 2 2 2 5 5" xfId="1986"/>
    <cellStyle name="Normal 2 2 2 2 5 6" xfId="2529"/>
    <cellStyle name="Normal 2 2 2 2 5 7" xfId="3071"/>
    <cellStyle name="Normal 2 2 2 2 5 8" xfId="3617"/>
    <cellStyle name="Normal 2 2 2 2 5 9" xfId="4147"/>
    <cellStyle name="Normal 2 2 2 2 6" xfId="515"/>
    <cellStyle name="Normal 2 2 2 2 7" xfId="521"/>
    <cellStyle name="Normal 2 2 2 2 8" xfId="518"/>
    <cellStyle name="Normal 2 2 2 2 9" xfId="531"/>
    <cellStyle name="Normal 2 2 2 20" xfId="4445"/>
    <cellStyle name="Normal 2 2 2 21" xfId="5000"/>
    <cellStyle name="Normal 2 2 2 22" xfId="5533"/>
    <cellStyle name="Normal 2 2 2 23" xfId="6088"/>
    <cellStyle name="Normal 2 2 2 24" xfId="6632"/>
    <cellStyle name="Normal 2 2 2 25" xfId="7176"/>
    <cellStyle name="Normal 2 2 2 3" xfId="186"/>
    <cellStyle name="Normal 2 2 2 3 2" xfId="212"/>
    <cellStyle name="Normal 2 2 2 3 2 10" xfId="4061"/>
    <cellStyle name="Normal 2 2 2 3 2 11" xfId="4610"/>
    <cellStyle name="Normal 2 2 2 3 2 12" xfId="5149"/>
    <cellStyle name="Normal 2 2 2 3 2 13" xfId="5698"/>
    <cellStyle name="Normal 2 2 2 3 2 14" xfId="6242"/>
    <cellStyle name="Normal 2 2 2 3 2 15" xfId="6786"/>
    <cellStyle name="Normal 2 2 2 3 2 16" xfId="7325"/>
    <cellStyle name="Normal 2 2 2 3 2 2" xfId="252"/>
    <cellStyle name="Normal 2 2 2 3 2 2 2" xfId="255"/>
    <cellStyle name="Normal 2 2 2 3 2 2 2 10" xfId="4653"/>
    <cellStyle name="Normal 2 2 2 3 2 2 2 11" xfId="5185"/>
    <cellStyle name="Normal 2 2 2 3 2 2 2 12" xfId="5741"/>
    <cellStyle name="Normal 2 2 2 3 2 2 2 13" xfId="6285"/>
    <cellStyle name="Normal 2 2 2 3 2 2 2 14" xfId="6829"/>
    <cellStyle name="Normal 2 2 2 3 2 2 2 15" xfId="7361"/>
    <cellStyle name="Normal 2 2 2 3 2 2 2 2" xfId="501"/>
    <cellStyle name="Normal 2 2 2 3 2 2 2 2 10" xfId="5427"/>
    <cellStyle name="Normal 2 2 2 3 2 2 2 2 11" xfId="5987"/>
    <cellStyle name="Normal 2 2 2 3 2 2 2 2 12" xfId="6531"/>
    <cellStyle name="Normal 2 2 2 3 2 2 2 2 13" xfId="7075"/>
    <cellStyle name="Normal 2 2 2 3 2 2 2 2 14" xfId="7603"/>
    <cellStyle name="Normal 2 2 2 3 2 2 2 2 2" xfId="1090"/>
    <cellStyle name="Normal 2 2 2 3 2 2 2 2 3" xfId="1636"/>
    <cellStyle name="Normal 2 2 2 3 2 2 2 2 4" xfId="2180"/>
    <cellStyle name="Normal 2 2 2 3 2 2 2 2 5" xfId="2723"/>
    <cellStyle name="Normal 2 2 2 3 2 2 2 2 6" xfId="3265"/>
    <cellStyle name="Normal 2 2 2 3 2 2 2 2 7" xfId="3811"/>
    <cellStyle name="Normal 2 2 2 3 2 2 2 2 8" xfId="4339"/>
    <cellStyle name="Normal 2 2 2 3 2 2 2 2 9" xfId="4899"/>
    <cellStyle name="Normal 2 2 2 3 2 2 2 3" xfId="844"/>
    <cellStyle name="Normal 2 2 2 3 2 2 2 4" xfId="1390"/>
    <cellStyle name="Normal 2 2 2 3 2 2 2 5" xfId="1934"/>
    <cellStyle name="Normal 2 2 2 3 2 2 2 6" xfId="2477"/>
    <cellStyle name="Normal 2 2 2 3 2 2 2 7" xfId="3019"/>
    <cellStyle name="Normal 2 2 2 3 2 2 2 8" xfId="3565"/>
    <cellStyle name="Normal 2 2 2 3 2 2 2 9" xfId="4097"/>
    <cellStyle name="Normal 2 2 2 3 2 3" xfId="465"/>
    <cellStyle name="Normal 2 2 2 3 2 3 10" xfId="5392"/>
    <cellStyle name="Normal 2 2 2 3 2 3 11" xfId="5951"/>
    <cellStyle name="Normal 2 2 2 3 2 3 12" xfId="6495"/>
    <cellStyle name="Normal 2 2 2 3 2 3 13" xfId="7039"/>
    <cellStyle name="Normal 2 2 2 3 2 3 14" xfId="7568"/>
    <cellStyle name="Normal 2 2 2 3 2 3 2" xfId="1054"/>
    <cellStyle name="Normal 2 2 2 3 2 3 3" xfId="1600"/>
    <cellStyle name="Normal 2 2 2 3 2 3 4" xfId="2144"/>
    <cellStyle name="Normal 2 2 2 3 2 3 5" xfId="2687"/>
    <cellStyle name="Normal 2 2 2 3 2 3 6" xfId="3229"/>
    <cellStyle name="Normal 2 2 2 3 2 3 7" xfId="3775"/>
    <cellStyle name="Normal 2 2 2 3 2 3 8" xfId="4304"/>
    <cellStyle name="Normal 2 2 2 3 2 3 9" xfId="4863"/>
    <cellStyle name="Normal 2 2 2 3 2 4" xfId="801"/>
    <cellStyle name="Normal 2 2 2 3 2 5" xfId="1347"/>
    <cellStyle name="Normal 2 2 2 3 2 6" xfId="1891"/>
    <cellStyle name="Normal 2 2 2 3 2 7" xfId="2434"/>
    <cellStyle name="Normal 2 2 2 3 2 8" xfId="2977"/>
    <cellStyle name="Normal 2 2 2 3 2 9" xfId="3522"/>
    <cellStyle name="Normal 2 2 2 3 3" xfId="242"/>
    <cellStyle name="Normal 2 2 2 3 3 10" xfId="4640"/>
    <cellStyle name="Normal 2 2 2 3 3 11" xfId="5177"/>
    <cellStyle name="Normal 2 2 2 3 3 12" xfId="5728"/>
    <cellStyle name="Normal 2 2 2 3 3 13" xfId="6272"/>
    <cellStyle name="Normal 2 2 2 3 3 14" xfId="6816"/>
    <cellStyle name="Normal 2 2 2 3 3 15" xfId="7353"/>
    <cellStyle name="Normal 2 2 2 3 3 2" xfId="493"/>
    <cellStyle name="Normal 2 2 2 3 3 2 10" xfId="5419"/>
    <cellStyle name="Normal 2 2 2 3 3 2 11" xfId="5979"/>
    <cellStyle name="Normal 2 2 2 3 3 2 12" xfId="6523"/>
    <cellStyle name="Normal 2 2 2 3 3 2 13" xfId="7067"/>
    <cellStyle name="Normal 2 2 2 3 3 2 14" xfId="7595"/>
    <cellStyle name="Normal 2 2 2 3 3 2 2" xfId="1082"/>
    <cellStyle name="Normal 2 2 2 3 3 2 3" xfId="1628"/>
    <cellStyle name="Normal 2 2 2 3 3 2 4" xfId="2172"/>
    <cellStyle name="Normal 2 2 2 3 3 2 5" xfId="2715"/>
    <cellStyle name="Normal 2 2 2 3 3 2 6" xfId="3257"/>
    <cellStyle name="Normal 2 2 2 3 3 2 7" xfId="3803"/>
    <cellStyle name="Normal 2 2 2 3 3 2 8" xfId="4331"/>
    <cellStyle name="Normal 2 2 2 3 3 2 9" xfId="4891"/>
    <cellStyle name="Normal 2 2 2 3 3 3" xfId="831"/>
    <cellStyle name="Normal 2 2 2 3 3 4" xfId="1377"/>
    <cellStyle name="Normal 2 2 2 3 3 5" xfId="1921"/>
    <cellStyle name="Normal 2 2 2 3 3 6" xfId="2464"/>
    <cellStyle name="Normal 2 2 2 3 3 7" xfId="3007"/>
    <cellStyle name="Normal 2 2 2 3 3 8" xfId="3552"/>
    <cellStyle name="Normal 2 2 2 3 3 9" xfId="4089"/>
    <cellStyle name="Normal 2 2 2 4" xfId="221"/>
    <cellStyle name="Normal 2 2 2 4 2" xfId="222"/>
    <cellStyle name="Normal 2 2 2 4 2 10" xfId="4620"/>
    <cellStyle name="Normal 2 2 2 4 2 11" xfId="5158"/>
    <cellStyle name="Normal 2 2 2 4 2 12" xfId="5708"/>
    <cellStyle name="Normal 2 2 2 4 2 13" xfId="6252"/>
    <cellStyle name="Normal 2 2 2 4 2 14" xfId="6796"/>
    <cellStyle name="Normal 2 2 2 4 2 15" xfId="7334"/>
    <cellStyle name="Normal 2 2 2 4 2 2" xfId="474"/>
    <cellStyle name="Normal 2 2 2 4 2 2 10" xfId="5401"/>
    <cellStyle name="Normal 2 2 2 4 2 2 11" xfId="5960"/>
    <cellStyle name="Normal 2 2 2 4 2 2 12" xfId="6504"/>
    <cellStyle name="Normal 2 2 2 4 2 2 13" xfId="7048"/>
    <cellStyle name="Normal 2 2 2 4 2 2 14" xfId="7577"/>
    <cellStyle name="Normal 2 2 2 4 2 2 2" xfId="1063"/>
    <cellStyle name="Normal 2 2 2 4 2 2 3" xfId="1609"/>
    <cellStyle name="Normal 2 2 2 4 2 2 4" xfId="2153"/>
    <cellStyle name="Normal 2 2 2 4 2 2 5" xfId="2696"/>
    <cellStyle name="Normal 2 2 2 4 2 2 6" xfId="3238"/>
    <cellStyle name="Normal 2 2 2 4 2 2 7" xfId="3784"/>
    <cellStyle name="Normal 2 2 2 4 2 2 8" xfId="4313"/>
    <cellStyle name="Normal 2 2 2 4 2 2 9" xfId="4872"/>
    <cellStyle name="Normal 2 2 2 4 2 3" xfId="811"/>
    <cellStyle name="Normal 2 2 2 4 2 4" xfId="1357"/>
    <cellStyle name="Normal 2 2 2 4 2 5" xfId="1901"/>
    <cellStyle name="Normal 2 2 2 4 2 6" xfId="2444"/>
    <cellStyle name="Normal 2 2 2 4 2 7" xfId="2987"/>
    <cellStyle name="Normal 2 2 2 4 2 8" xfId="3532"/>
    <cellStyle name="Normal 2 2 2 4 2 9" xfId="4070"/>
    <cellStyle name="Normal 2 2 2 5" xfId="305"/>
    <cellStyle name="Normal 2 2 2 5 2" xfId="511"/>
    <cellStyle name="Normal 2 2 2 5 2 10" xfId="5435"/>
    <cellStyle name="Normal 2 2 2 5 2 11" xfId="5997"/>
    <cellStyle name="Normal 2 2 2 5 2 12" xfId="6541"/>
    <cellStyle name="Normal 2 2 2 5 2 13" xfId="7085"/>
    <cellStyle name="Normal 2 2 2 5 2 14" xfId="7611"/>
    <cellStyle name="Normal 2 2 2 5 2 2" xfId="1100"/>
    <cellStyle name="Normal 2 2 2 5 2 3" xfId="1646"/>
    <cellStyle name="Normal 2 2 2 5 2 4" xfId="2190"/>
    <cellStyle name="Normal 2 2 2 5 2 5" xfId="2733"/>
    <cellStyle name="Normal 2 2 2 5 2 6" xfId="3275"/>
    <cellStyle name="Normal 2 2 2 5 2 7" xfId="3821"/>
    <cellStyle name="Normal 2 2 2 5 2 8" xfId="4347"/>
    <cellStyle name="Normal 2 2 2 5 2 9" xfId="4909"/>
    <cellStyle name="Normal 2 2 2 6" xfId="509"/>
    <cellStyle name="Normal 2 2 2 6 10" xfId="5434"/>
    <cellStyle name="Normal 2 2 2 6 11" xfId="5995"/>
    <cellStyle name="Normal 2 2 2 6 12" xfId="6539"/>
    <cellStyle name="Normal 2 2 2 6 13" xfId="7083"/>
    <cellStyle name="Normal 2 2 2 6 14" xfId="7610"/>
    <cellStyle name="Normal 2 2 2 6 2" xfId="1098"/>
    <cellStyle name="Normal 2 2 2 6 3" xfId="1644"/>
    <cellStyle name="Normal 2 2 2 6 4" xfId="2188"/>
    <cellStyle name="Normal 2 2 2 6 5" xfId="2731"/>
    <cellStyle name="Normal 2 2 2 6 6" xfId="3273"/>
    <cellStyle name="Normal 2 2 2 6 7" xfId="3819"/>
    <cellStyle name="Normal 2 2 2 6 8" xfId="4346"/>
    <cellStyle name="Normal 2 2 2 6 9" xfId="4907"/>
    <cellStyle name="Normal 2 2 2 7" xfId="516"/>
    <cellStyle name="Normal 2 2 2 7 10" xfId="5439"/>
    <cellStyle name="Normal 2 2 2 7 11" xfId="6002"/>
    <cellStyle name="Normal 2 2 2 7 12" xfId="6546"/>
    <cellStyle name="Normal 2 2 2 7 13" xfId="7090"/>
    <cellStyle name="Normal 2 2 2 7 14" xfId="7615"/>
    <cellStyle name="Normal 2 2 2 7 2" xfId="1105"/>
    <cellStyle name="Normal 2 2 2 7 3" xfId="1651"/>
    <cellStyle name="Normal 2 2 2 7 4" xfId="2195"/>
    <cellStyle name="Normal 2 2 2 7 5" xfId="2738"/>
    <cellStyle name="Normal 2 2 2 7 6" xfId="3280"/>
    <cellStyle name="Normal 2 2 2 7 7" xfId="3826"/>
    <cellStyle name="Normal 2 2 2 7 8" xfId="4351"/>
    <cellStyle name="Normal 2 2 2 7 9" xfId="4914"/>
    <cellStyle name="Normal 2 2 2 8" xfId="532"/>
    <cellStyle name="Normal 2 2 2 8 10" xfId="5445"/>
    <cellStyle name="Normal 2 2 2 8 11" xfId="6018"/>
    <cellStyle name="Normal 2 2 2 8 12" xfId="6562"/>
    <cellStyle name="Normal 2 2 2 8 13" xfId="7106"/>
    <cellStyle name="Normal 2 2 2 8 14" xfId="7620"/>
    <cellStyle name="Normal 2 2 2 8 2" xfId="1121"/>
    <cellStyle name="Normal 2 2 2 8 3" xfId="1667"/>
    <cellStyle name="Normal 2 2 2 8 4" xfId="2211"/>
    <cellStyle name="Normal 2 2 2 8 5" xfId="2754"/>
    <cellStyle name="Normal 2 2 2 8 6" xfId="3294"/>
    <cellStyle name="Normal 2 2 2 8 7" xfId="3842"/>
    <cellStyle name="Normal 2 2 2 8 8" xfId="4357"/>
    <cellStyle name="Normal 2 2 2 8 9" xfId="4930"/>
    <cellStyle name="Normal 2 2 2 9" xfId="508"/>
    <cellStyle name="Normal 2 2 2 9 10" xfId="5433"/>
    <cellStyle name="Normal 2 2 2 9 11" xfId="5994"/>
    <cellStyle name="Normal 2 2 2 9 12" xfId="6538"/>
    <cellStyle name="Normal 2 2 2 9 13" xfId="7082"/>
    <cellStyle name="Normal 2 2 2 9 14" xfId="7609"/>
    <cellStyle name="Normal 2 2 2 9 2" xfId="1097"/>
    <cellStyle name="Normal 2 2 2 9 3" xfId="1643"/>
    <cellStyle name="Normal 2 2 2 9 4" xfId="2187"/>
    <cellStyle name="Normal 2 2 2 9 5" xfId="2730"/>
    <cellStyle name="Normal 2 2 2 9 6" xfId="3272"/>
    <cellStyle name="Normal 2 2 2 9 7" xfId="3818"/>
    <cellStyle name="Normal 2 2 2 9 8" xfId="4345"/>
    <cellStyle name="Normal 2 2 2 9 9" xfId="4906"/>
    <cellStyle name="Normal 2 2 20" xfId="3846"/>
    <cellStyle name="Normal 2 2 21" xfId="4373"/>
    <cellStyle name="Normal 2 2 22" xfId="4934"/>
    <cellStyle name="Normal 2 2 23" xfId="5462"/>
    <cellStyle name="Normal 2 2 24" xfId="6022"/>
    <cellStyle name="Normal 2 2 25" xfId="6566"/>
    <cellStyle name="Normal 2 2 26" xfId="7110"/>
    <cellStyle name="Normal 2 2 27" xfId="7666"/>
    <cellStyle name="Normal 2 2 28" xfId="7668"/>
    <cellStyle name="Normal 2 2 29" xfId="7670"/>
    <cellStyle name="Normal 2 2 3" xfId="93"/>
    <cellStyle name="Normal 2 2 3 10" xfId="3403"/>
    <cellStyle name="Normal 2 2 3 11" xfId="3947"/>
    <cellStyle name="Normal 2 2 3 12" xfId="4491"/>
    <cellStyle name="Normal 2 2 3 13" xfId="5035"/>
    <cellStyle name="Normal 2 2 3 14" xfId="5579"/>
    <cellStyle name="Normal 2 2 3 15" xfId="6123"/>
    <cellStyle name="Normal 2 2 3 16" xfId="6667"/>
    <cellStyle name="Normal 2 2 3 17" xfId="7211"/>
    <cellStyle name="Normal 2 2 3 2" xfId="211"/>
    <cellStyle name="Normal 2 2 3 2 2" xfId="213"/>
    <cellStyle name="Normal 2 2 3 2 2 10" xfId="4062"/>
    <cellStyle name="Normal 2 2 3 2 2 11" xfId="4611"/>
    <cellStyle name="Normal 2 2 3 2 2 12" xfId="5150"/>
    <cellStyle name="Normal 2 2 3 2 2 13" xfId="5699"/>
    <cellStyle name="Normal 2 2 3 2 2 14" xfId="6243"/>
    <cellStyle name="Normal 2 2 3 2 2 15" xfId="6787"/>
    <cellStyle name="Normal 2 2 3 2 2 16" xfId="7326"/>
    <cellStyle name="Normal 2 2 3 2 2 2" xfId="254"/>
    <cellStyle name="Normal 2 2 3 2 2 2 2" xfId="256"/>
    <cellStyle name="Normal 2 2 3 2 2 2 2 10" xfId="4654"/>
    <cellStyle name="Normal 2 2 3 2 2 2 2 11" xfId="5186"/>
    <cellStyle name="Normal 2 2 3 2 2 2 2 12" xfId="5742"/>
    <cellStyle name="Normal 2 2 3 2 2 2 2 13" xfId="6286"/>
    <cellStyle name="Normal 2 2 3 2 2 2 2 14" xfId="6830"/>
    <cellStyle name="Normal 2 2 3 2 2 2 2 15" xfId="7362"/>
    <cellStyle name="Normal 2 2 3 2 2 2 2 2" xfId="502"/>
    <cellStyle name="Normal 2 2 3 2 2 2 2 2 10" xfId="5428"/>
    <cellStyle name="Normal 2 2 3 2 2 2 2 2 11" xfId="5988"/>
    <cellStyle name="Normal 2 2 3 2 2 2 2 2 12" xfId="6532"/>
    <cellStyle name="Normal 2 2 3 2 2 2 2 2 13" xfId="7076"/>
    <cellStyle name="Normal 2 2 3 2 2 2 2 2 14" xfId="7604"/>
    <cellStyle name="Normal 2 2 3 2 2 2 2 2 2" xfId="1091"/>
    <cellStyle name="Normal 2 2 3 2 2 2 2 2 3" xfId="1637"/>
    <cellStyle name="Normal 2 2 3 2 2 2 2 2 4" xfId="2181"/>
    <cellStyle name="Normal 2 2 3 2 2 2 2 2 5" xfId="2724"/>
    <cellStyle name="Normal 2 2 3 2 2 2 2 2 6" xfId="3266"/>
    <cellStyle name="Normal 2 2 3 2 2 2 2 2 7" xfId="3812"/>
    <cellStyle name="Normal 2 2 3 2 2 2 2 2 8" xfId="4340"/>
    <cellStyle name="Normal 2 2 3 2 2 2 2 2 9" xfId="4900"/>
    <cellStyle name="Normal 2 2 3 2 2 2 2 3" xfId="845"/>
    <cellStyle name="Normal 2 2 3 2 2 2 2 4" xfId="1391"/>
    <cellStyle name="Normal 2 2 3 2 2 2 2 5" xfId="1935"/>
    <cellStyle name="Normal 2 2 3 2 2 2 2 6" xfId="2478"/>
    <cellStyle name="Normal 2 2 3 2 2 2 2 7" xfId="3020"/>
    <cellStyle name="Normal 2 2 3 2 2 2 2 8" xfId="3566"/>
    <cellStyle name="Normal 2 2 3 2 2 2 2 9" xfId="4098"/>
    <cellStyle name="Normal 2 2 3 2 2 3" xfId="466"/>
    <cellStyle name="Normal 2 2 3 2 2 3 10" xfId="5393"/>
    <cellStyle name="Normal 2 2 3 2 2 3 11" xfId="5952"/>
    <cellStyle name="Normal 2 2 3 2 2 3 12" xfId="6496"/>
    <cellStyle name="Normal 2 2 3 2 2 3 13" xfId="7040"/>
    <cellStyle name="Normal 2 2 3 2 2 3 14" xfId="7569"/>
    <cellStyle name="Normal 2 2 3 2 2 3 2" xfId="1055"/>
    <cellStyle name="Normal 2 2 3 2 2 3 3" xfId="1601"/>
    <cellStyle name="Normal 2 2 3 2 2 3 4" xfId="2145"/>
    <cellStyle name="Normal 2 2 3 2 2 3 5" xfId="2688"/>
    <cellStyle name="Normal 2 2 3 2 2 3 6" xfId="3230"/>
    <cellStyle name="Normal 2 2 3 2 2 3 7" xfId="3776"/>
    <cellStyle name="Normal 2 2 3 2 2 3 8" xfId="4305"/>
    <cellStyle name="Normal 2 2 3 2 2 3 9" xfId="4864"/>
    <cellStyle name="Normal 2 2 3 2 2 4" xfId="802"/>
    <cellStyle name="Normal 2 2 3 2 2 5" xfId="1348"/>
    <cellStyle name="Normal 2 2 3 2 2 6" xfId="1892"/>
    <cellStyle name="Normal 2 2 3 2 2 7" xfId="2435"/>
    <cellStyle name="Normal 2 2 3 2 2 8" xfId="2978"/>
    <cellStyle name="Normal 2 2 3 2 2 9" xfId="3523"/>
    <cellStyle name="Normal 2 2 3 2 3" xfId="245"/>
    <cellStyle name="Normal 2 2 3 2 3 10" xfId="4643"/>
    <cellStyle name="Normal 2 2 3 2 3 11" xfId="5179"/>
    <cellStyle name="Normal 2 2 3 2 3 12" xfId="5731"/>
    <cellStyle name="Normal 2 2 3 2 3 13" xfId="6275"/>
    <cellStyle name="Normal 2 2 3 2 3 14" xfId="6819"/>
    <cellStyle name="Normal 2 2 3 2 3 15" xfId="7355"/>
    <cellStyle name="Normal 2 2 3 2 3 2" xfId="495"/>
    <cellStyle name="Normal 2 2 3 2 3 2 10" xfId="5421"/>
    <cellStyle name="Normal 2 2 3 2 3 2 11" xfId="5981"/>
    <cellStyle name="Normal 2 2 3 2 3 2 12" xfId="6525"/>
    <cellStyle name="Normal 2 2 3 2 3 2 13" xfId="7069"/>
    <cellStyle name="Normal 2 2 3 2 3 2 14" xfId="7597"/>
    <cellStyle name="Normal 2 2 3 2 3 2 2" xfId="1084"/>
    <cellStyle name="Normal 2 2 3 2 3 2 3" xfId="1630"/>
    <cellStyle name="Normal 2 2 3 2 3 2 4" xfId="2174"/>
    <cellStyle name="Normal 2 2 3 2 3 2 5" xfId="2717"/>
    <cellStyle name="Normal 2 2 3 2 3 2 6" xfId="3259"/>
    <cellStyle name="Normal 2 2 3 2 3 2 7" xfId="3805"/>
    <cellStyle name="Normal 2 2 3 2 3 2 8" xfId="4333"/>
    <cellStyle name="Normal 2 2 3 2 3 2 9" xfId="4893"/>
    <cellStyle name="Normal 2 2 3 2 3 3" xfId="834"/>
    <cellStyle name="Normal 2 2 3 2 3 4" xfId="1380"/>
    <cellStyle name="Normal 2 2 3 2 3 5" xfId="1924"/>
    <cellStyle name="Normal 2 2 3 2 3 6" xfId="2467"/>
    <cellStyle name="Normal 2 2 3 2 3 7" xfId="3009"/>
    <cellStyle name="Normal 2 2 3 2 3 8" xfId="3555"/>
    <cellStyle name="Normal 2 2 3 2 3 9" xfId="4091"/>
    <cellStyle name="Normal 2 2 3 3" xfId="241"/>
    <cellStyle name="Normal 2 2 3 3 2" xfId="248"/>
    <cellStyle name="Normal 2 2 3 3 2 10" xfId="4646"/>
    <cellStyle name="Normal 2 2 3 3 2 11" xfId="5181"/>
    <cellStyle name="Normal 2 2 3 3 2 12" xfId="5734"/>
    <cellStyle name="Normal 2 2 3 3 2 13" xfId="6278"/>
    <cellStyle name="Normal 2 2 3 3 2 14" xfId="6822"/>
    <cellStyle name="Normal 2 2 3 3 2 15" xfId="7357"/>
    <cellStyle name="Normal 2 2 3 3 2 2" xfId="497"/>
    <cellStyle name="Normal 2 2 3 3 2 2 10" xfId="5423"/>
    <cellStyle name="Normal 2 2 3 3 2 2 11" xfId="5983"/>
    <cellStyle name="Normal 2 2 3 3 2 2 12" xfId="6527"/>
    <cellStyle name="Normal 2 2 3 3 2 2 13" xfId="7071"/>
    <cellStyle name="Normal 2 2 3 3 2 2 14" xfId="7599"/>
    <cellStyle name="Normal 2 2 3 3 2 2 2" xfId="1086"/>
    <cellStyle name="Normal 2 2 3 3 2 2 3" xfId="1632"/>
    <cellStyle name="Normal 2 2 3 3 2 2 4" xfId="2176"/>
    <cellStyle name="Normal 2 2 3 3 2 2 5" xfId="2719"/>
    <cellStyle name="Normal 2 2 3 3 2 2 6" xfId="3261"/>
    <cellStyle name="Normal 2 2 3 3 2 2 7" xfId="3807"/>
    <cellStyle name="Normal 2 2 3 3 2 2 8" xfId="4335"/>
    <cellStyle name="Normal 2 2 3 3 2 2 9" xfId="4895"/>
    <cellStyle name="Normal 2 2 3 3 2 3" xfId="837"/>
    <cellStyle name="Normal 2 2 3 3 2 4" xfId="1383"/>
    <cellStyle name="Normal 2 2 3 3 2 5" xfId="1927"/>
    <cellStyle name="Normal 2 2 3 3 2 6" xfId="2470"/>
    <cellStyle name="Normal 2 2 3 3 2 7" xfId="3012"/>
    <cellStyle name="Normal 2 2 3 3 2 8" xfId="3558"/>
    <cellStyle name="Normal 2 2 3 3 2 9" xfId="4093"/>
    <cellStyle name="Normal 2 2 3 4" xfId="351"/>
    <cellStyle name="Normal 2 2 3 4 10" xfId="5279"/>
    <cellStyle name="Normal 2 2 3 4 11" xfId="5837"/>
    <cellStyle name="Normal 2 2 3 4 12" xfId="6381"/>
    <cellStyle name="Normal 2 2 3 4 13" xfId="6925"/>
    <cellStyle name="Normal 2 2 3 4 14" xfId="7455"/>
    <cellStyle name="Normal 2 2 3 4 2" xfId="940"/>
    <cellStyle name="Normal 2 2 3 4 3" xfId="1486"/>
    <cellStyle name="Normal 2 2 3 4 4" xfId="2030"/>
    <cellStyle name="Normal 2 2 3 4 5" xfId="2573"/>
    <cellStyle name="Normal 2 2 3 4 6" xfId="3115"/>
    <cellStyle name="Normal 2 2 3 4 7" xfId="3661"/>
    <cellStyle name="Normal 2 2 3 4 8" xfId="4191"/>
    <cellStyle name="Normal 2 2 3 4 9" xfId="4749"/>
    <cellStyle name="Normal 2 2 3 5" xfId="682"/>
    <cellStyle name="Normal 2 2 3 6" xfId="1228"/>
    <cellStyle name="Normal 2 2 3 7" xfId="1772"/>
    <cellStyle name="Normal 2 2 3 8" xfId="2315"/>
    <cellStyle name="Normal 2 2 3 9" xfId="2859"/>
    <cellStyle name="Normal 2 2 4" xfId="145"/>
    <cellStyle name="Normal 2 2 4 10" xfId="3998"/>
    <cellStyle name="Normal 2 2 4 11" xfId="4543"/>
    <cellStyle name="Normal 2 2 4 12" xfId="5086"/>
    <cellStyle name="Normal 2 2 4 13" xfId="5631"/>
    <cellStyle name="Normal 2 2 4 14" xfId="6175"/>
    <cellStyle name="Normal 2 2 4 15" xfId="6719"/>
    <cellStyle name="Normal 2 2 4 16" xfId="7262"/>
    <cellStyle name="Normal 2 2 4 2" xfId="195"/>
    <cellStyle name="Normal 2 2 4 2 2" xfId="251"/>
    <cellStyle name="Normal 2 2 4 2 2 10" xfId="4649"/>
    <cellStyle name="Normal 2 2 4 2 2 11" xfId="5183"/>
    <cellStyle name="Normal 2 2 4 2 2 12" xfId="5737"/>
    <cellStyle name="Normal 2 2 4 2 2 13" xfId="6281"/>
    <cellStyle name="Normal 2 2 4 2 2 14" xfId="6825"/>
    <cellStyle name="Normal 2 2 4 2 2 15" xfId="7359"/>
    <cellStyle name="Normal 2 2 4 2 2 2" xfId="499"/>
    <cellStyle name="Normal 2 2 4 2 2 2 10" xfId="5425"/>
    <cellStyle name="Normal 2 2 4 2 2 2 11" xfId="5985"/>
    <cellStyle name="Normal 2 2 4 2 2 2 12" xfId="6529"/>
    <cellStyle name="Normal 2 2 4 2 2 2 13" xfId="7073"/>
    <cellStyle name="Normal 2 2 4 2 2 2 14" xfId="7601"/>
    <cellStyle name="Normal 2 2 4 2 2 2 2" xfId="1088"/>
    <cellStyle name="Normal 2 2 4 2 2 2 3" xfId="1634"/>
    <cellStyle name="Normal 2 2 4 2 2 2 4" xfId="2178"/>
    <cellStyle name="Normal 2 2 4 2 2 2 5" xfId="2721"/>
    <cellStyle name="Normal 2 2 4 2 2 2 6" xfId="3263"/>
    <cellStyle name="Normal 2 2 4 2 2 2 7" xfId="3809"/>
    <cellStyle name="Normal 2 2 4 2 2 2 8" xfId="4337"/>
    <cellStyle name="Normal 2 2 4 2 2 2 9" xfId="4897"/>
    <cellStyle name="Normal 2 2 4 2 2 3" xfId="840"/>
    <cellStyle name="Normal 2 2 4 2 2 4" xfId="1386"/>
    <cellStyle name="Normal 2 2 4 2 2 5" xfId="1930"/>
    <cellStyle name="Normal 2 2 4 2 2 6" xfId="2473"/>
    <cellStyle name="Normal 2 2 4 2 2 7" xfId="3015"/>
    <cellStyle name="Normal 2 2 4 2 2 8" xfId="3561"/>
    <cellStyle name="Normal 2 2 4 2 2 9" xfId="4095"/>
    <cellStyle name="Normal 2 2 4 3" xfId="402"/>
    <cellStyle name="Normal 2 2 4 3 10" xfId="5329"/>
    <cellStyle name="Normal 2 2 4 3 11" xfId="5888"/>
    <cellStyle name="Normal 2 2 4 3 12" xfId="6432"/>
    <cellStyle name="Normal 2 2 4 3 13" xfId="6976"/>
    <cellStyle name="Normal 2 2 4 3 14" xfId="7505"/>
    <cellStyle name="Normal 2 2 4 3 2" xfId="991"/>
    <cellStyle name="Normal 2 2 4 3 3" xfId="1537"/>
    <cellStyle name="Normal 2 2 4 3 4" xfId="2081"/>
    <cellStyle name="Normal 2 2 4 3 5" xfId="2624"/>
    <cellStyle name="Normal 2 2 4 3 6" xfId="3166"/>
    <cellStyle name="Normal 2 2 4 3 7" xfId="3712"/>
    <cellStyle name="Normal 2 2 4 3 8" xfId="4241"/>
    <cellStyle name="Normal 2 2 4 3 9" xfId="4800"/>
    <cellStyle name="Normal 2 2 4 4" xfId="734"/>
    <cellStyle name="Normal 2 2 4 5" xfId="1280"/>
    <cellStyle name="Normal 2 2 4 6" xfId="1824"/>
    <cellStyle name="Normal 2 2 4 7" xfId="2367"/>
    <cellStyle name="Normal 2 2 4 8" xfId="2911"/>
    <cellStyle name="Normal 2 2 4 9" xfId="3455"/>
    <cellStyle name="Normal 2 2 5" xfId="219"/>
    <cellStyle name="Normal 2 2 5 10" xfId="4617"/>
    <cellStyle name="Normal 2 2 5 11" xfId="5156"/>
    <cellStyle name="Normal 2 2 5 12" xfId="5705"/>
    <cellStyle name="Normal 2 2 5 13" xfId="6249"/>
    <cellStyle name="Normal 2 2 5 14" xfId="6793"/>
    <cellStyle name="Normal 2 2 5 15" xfId="7332"/>
    <cellStyle name="Normal 2 2 5 2" xfId="472"/>
    <cellStyle name="Normal 2 2 5 2 10" xfId="5399"/>
    <cellStyle name="Normal 2 2 5 2 11" xfId="5958"/>
    <cellStyle name="Normal 2 2 5 2 12" xfId="6502"/>
    <cellStyle name="Normal 2 2 5 2 13" xfId="7046"/>
    <cellStyle name="Normal 2 2 5 2 14" xfId="7575"/>
    <cellStyle name="Normal 2 2 5 2 2" xfId="1061"/>
    <cellStyle name="Normal 2 2 5 2 3" xfId="1607"/>
    <cellStyle name="Normal 2 2 5 2 4" xfId="2151"/>
    <cellStyle name="Normal 2 2 5 2 5" xfId="2694"/>
    <cellStyle name="Normal 2 2 5 2 6" xfId="3236"/>
    <cellStyle name="Normal 2 2 5 2 7" xfId="3782"/>
    <cellStyle name="Normal 2 2 5 2 8" xfId="4311"/>
    <cellStyle name="Normal 2 2 5 2 9" xfId="4870"/>
    <cellStyle name="Normal 2 2 5 3" xfId="808"/>
    <cellStyle name="Normal 2 2 5 4" xfId="1354"/>
    <cellStyle name="Normal 2 2 5 5" xfId="1898"/>
    <cellStyle name="Normal 2 2 5 6" xfId="2441"/>
    <cellStyle name="Normal 2 2 5 7" xfId="2984"/>
    <cellStyle name="Normal 2 2 5 8" xfId="3529"/>
    <cellStyle name="Normal 2 2 5 9" xfId="4068"/>
    <cellStyle name="Normal 2 2 6" xfId="262"/>
    <cellStyle name="Normal 2 2 6 10" xfId="4660"/>
    <cellStyle name="Normal 2 2 6 11" xfId="5191"/>
    <cellStyle name="Normal 2 2 6 12" xfId="5748"/>
    <cellStyle name="Normal 2 2 6 13" xfId="6292"/>
    <cellStyle name="Normal 2 2 6 14" xfId="6836"/>
    <cellStyle name="Normal 2 2 6 15" xfId="7367"/>
    <cellStyle name="Normal 2 2 6 2" xfId="510"/>
    <cellStyle name="Normal 2 2 6 3" xfId="851"/>
    <cellStyle name="Normal 2 2 6 4" xfId="1397"/>
    <cellStyle name="Normal 2 2 6 5" xfId="1941"/>
    <cellStyle name="Normal 2 2 6 6" xfId="2484"/>
    <cellStyle name="Normal 2 2 6 7" xfId="3026"/>
    <cellStyle name="Normal 2 2 6 8" xfId="3572"/>
    <cellStyle name="Normal 2 2 6 9" xfId="4103"/>
    <cellStyle name="Normal 2 2 7" xfId="520"/>
    <cellStyle name="Normal 2 2 8" xfId="528"/>
    <cellStyle name="Normal 2 2 9" xfId="527"/>
    <cellStyle name="Normal 2 3" xfId="137"/>
    <cellStyle name="Normal 2 3 10" xfId="4535"/>
    <cellStyle name="Normal 2 3 11" xfId="5078"/>
    <cellStyle name="Normal 2 3 12" xfId="5623"/>
    <cellStyle name="Normal 2 3 13" xfId="6167"/>
    <cellStyle name="Normal 2 3 14" xfId="6711"/>
    <cellStyle name="Normal 2 3 15" xfId="7254"/>
    <cellStyle name="Normal 2 3 2" xfId="394"/>
    <cellStyle name="Normal 2 3 2 10" xfId="5322"/>
    <cellStyle name="Normal 2 3 2 11" xfId="5880"/>
    <cellStyle name="Normal 2 3 2 12" xfId="6424"/>
    <cellStyle name="Normal 2 3 2 13" xfId="6968"/>
    <cellStyle name="Normal 2 3 2 14" xfId="7498"/>
    <cellStyle name="Normal 2 3 2 2" xfId="983"/>
    <cellStyle name="Normal 2 3 2 3" xfId="1529"/>
    <cellStyle name="Normal 2 3 2 4" xfId="2073"/>
    <cellStyle name="Normal 2 3 2 5" xfId="2616"/>
    <cellStyle name="Normal 2 3 2 6" xfId="3158"/>
    <cellStyle name="Normal 2 3 2 7" xfId="3704"/>
    <cellStyle name="Normal 2 3 2 8" xfId="4234"/>
    <cellStyle name="Normal 2 3 2 9" xfId="4792"/>
    <cellStyle name="Normal 2 3 3" xfId="726"/>
    <cellStyle name="Normal 2 3 4" xfId="1272"/>
    <cellStyle name="Normal 2 3 5" xfId="1816"/>
    <cellStyle name="Normal 2 3 6" xfId="2359"/>
    <cellStyle name="Normal 2 3 7" xfId="2903"/>
    <cellStyle name="Normal 2 3 8" xfId="3447"/>
    <cellStyle name="Normal 2 3 9" xfId="3990"/>
    <cellStyle name="Normal 2 4" xfId="185"/>
    <cellStyle name="Normal 2 4 10" xfId="4583"/>
    <cellStyle name="Normal 2 4 11" xfId="5125"/>
    <cellStyle name="Normal 2 4 12" xfId="5671"/>
    <cellStyle name="Normal 2 4 13" xfId="6215"/>
    <cellStyle name="Normal 2 4 14" xfId="6759"/>
    <cellStyle name="Normal 2 4 15" xfId="7301"/>
    <cellStyle name="Normal 2 4 2" xfId="441"/>
    <cellStyle name="Normal 2 4 2 10" xfId="5368"/>
    <cellStyle name="Normal 2 4 2 11" xfId="5927"/>
    <cellStyle name="Normal 2 4 2 12" xfId="6471"/>
    <cellStyle name="Normal 2 4 2 13" xfId="7015"/>
    <cellStyle name="Normal 2 4 2 14" xfId="7544"/>
    <cellStyle name="Normal 2 4 2 2" xfId="1030"/>
    <cellStyle name="Normal 2 4 2 3" xfId="1576"/>
    <cellStyle name="Normal 2 4 2 4" xfId="2120"/>
    <cellStyle name="Normal 2 4 2 5" xfId="2663"/>
    <cellStyle name="Normal 2 4 2 6" xfId="3205"/>
    <cellStyle name="Normal 2 4 2 7" xfId="3751"/>
    <cellStyle name="Normal 2 4 2 8" xfId="4280"/>
    <cellStyle name="Normal 2 4 2 9" xfId="4839"/>
    <cellStyle name="Normal 2 4 3" xfId="774"/>
    <cellStyle name="Normal 2 4 4" xfId="1320"/>
    <cellStyle name="Normal 2 4 5" xfId="1864"/>
    <cellStyle name="Normal 2 4 6" xfId="2407"/>
    <cellStyle name="Normal 2 4 7" xfId="2950"/>
    <cellStyle name="Normal 2 4 8" xfId="3495"/>
    <cellStyle name="Normal 2 4 9" xfId="4037"/>
    <cellStyle name="Normal 2 5" xfId="243"/>
    <cellStyle name="Normal 2 5 10" xfId="4641"/>
    <cellStyle name="Normal 2 5 11" xfId="5178"/>
    <cellStyle name="Normal 2 5 12" xfId="5729"/>
    <cellStyle name="Normal 2 5 13" xfId="6273"/>
    <cellStyle name="Normal 2 5 14" xfId="6817"/>
    <cellStyle name="Normal 2 5 15" xfId="7354"/>
    <cellStyle name="Normal 2 5 2" xfId="494"/>
    <cellStyle name="Normal 2 5 2 10" xfId="5420"/>
    <cellStyle name="Normal 2 5 2 11" xfId="5980"/>
    <cellStyle name="Normal 2 5 2 12" xfId="6524"/>
    <cellStyle name="Normal 2 5 2 13" xfId="7068"/>
    <cellStyle name="Normal 2 5 2 14" xfId="7596"/>
    <cellStyle name="Normal 2 5 2 2" xfId="1083"/>
    <cellStyle name="Normal 2 5 2 3" xfId="1629"/>
    <cellStyle name="Normal 2 5 2 4" xfId="2173"/>
    <cellStyle name="Normal 2 5 2 5" xfId="2716"/>
    <cellStyle name="Normal 2 5 2 6" xfId="3258"/>
    <cellStyle name="Normal 2 5 2 7" xfId="3804"/>
    <cellStyle name="Normal 2 5 2 8" xfId="4332"/>
    <cellStyle name="Normal 2 5 2 9" xfId="4892"/>
    <cellStyle name="Normal 2 5 3" xfId="832"/>
    <cellStyle name="Normal 2 5 4" xfId="1378"/>
    <cellStyle name="Normal 2 5 5" xfId="1922"/>
    <cellStyle name="Normal 2 5 6" xfId="2465"/>
    <cellStyle name="Normal 2 5 7" xfId="3008"/>
    <cellStyle name="Normal 2 5 8" xfId="3553"/>
    <cellStyle name="Normal 2 5 9" xfId="4090"/>
    <cellStyle name="Normal 2 6" xfId="260"/>
    <cellStyle name="Normal 2 6 10" xfId="7672"/>
    <cellStyle name="Normal 2 6 2" xfId="506"/>
    <cellStyle name="Normal 2 6 2 10" xfId="5431"/>
    <cellStyle name="Normal 2 6 2 11" xfId="5992"/>
    <cellStyle name="Normal 2 6 2 12" xfId="6536"/>
    <cellStyle name="Normal 2 6 2 13" xfId="7080"/>
    <cellStyle name="Normal 2 6 2 14" xfId="7607"/>
    <cellStyle name="Normal 2 6 2 2" xfId="1095"/>
    <cellStyle name="Normal 2 6 2 3" xfId="1641"/>
    <cellStyle name="Normal 2 6 2 4" xfId="2185"/>
    <cellStyle name="Normal 2 6 2 5" xfId="2728"/>
    <cellStyle name="Normal 2 6 2 6" xfId="3270"/>
    <cellStyle name="Normal 2 6 2 7" xfId="3816"/>
    <cellStyle name="Normal 2 6 2 8" xfId="4343"/>
    <cellStyle name="Normal 2 6 2 9" xfId="4904"/>
    <cellStyle name="Normal 2 7" xfId="517"/>
    <cellStyle name="Normal 2 7 10" xfId="5440"/>
    <cellStyle name="Normal 2 7 11" xfId="6003"/>
    <cellStyle name="Normal 2 7 12" xfId="6547"/>
    <cellStyle name="Normal 2 7 13" xfId="7091"/>
    <cellStyle name="Normal 2 7 14" xfId="7616"/>
    <cellStyle name="Normal 2 7 2" xfId="1106"/>
    <cellStyle name="Normal 2 7 3" xfId="1652"/>
    <cellStyle name="Normal 2 7 4" xfId="2196"/>
    <cellStyle name="Normal 2 7 5" xfId="2739"/>
    <cellStyle name="Normal 2 7 6" xfId="3281"/>
    <cellStyle name="Normal 2 7 7" xfId="3827"/>
    <cellStyle name="Normal 2 7 8" xfId="4352"/>
    <cellStyle name="Normal 2 7 9" xfId="4915"/>
    <cellStyle name="Normal 2 8" xfId="538"/>
    <cellStyle name="Normal 2 8 10" xfId="5448"/>
    <cellStyle name="Normal 2 8 11" xfId="6024"/>
    <cellStyle name="Normal 2 8 12" xfId="6568"/>
    <cellStyle name="Normal 2 8 13" xfId="7112"/>
    <cellStyle name="Normal 2 8 14" xfId="7623"/>
    <cellStyle name="Normal 2 8 2" xfId="1127"/>
    <cellStyle name="Normal 2 8 3" xfId="1673"/>
    <cellStyle name="Normal 2 8 4" xfId="2217"/>
    <cellStyle name="Normal 2 8 5" xfId="2760"/>
    <cellStyle name="Normal 2 8 6" xfId="3298"/>
    <cellStyle name="Normal 2 8 7" xfId="3848"/>
    <cellStyle name="Normal 2 8 8" xfId="4360"/>
    <cellStyle name="Normal 2 8 9" xfId="4936"/>
    <cellStyle name="Normal 2 9" xfId="534"/>
    <cellStyle name="Normal 2 9 10" xfId="5446"/>
    <cellStyle name="Normal 2 9 11" xfId="6020"/>
    <cellStyle name="Normal 2 9 12" xfId="6564"/>
    <cellStyle name="Normal 2 9 13" xfId="7108"/>
    <cellStyle name="Normal 2 9 14" xfId="7621"/>
    <cellStyle name="Normal 2 9 2" xfId="1123"/>
    <cellStyle name="Normal 2 9 3" xfId="1669"/>
    <cellStyle name="Normal 2 9 4" xfId="2213"/>
    <cellStyle name="Normal 2 9 5" xfId="2756"/>
    <cellStyle name="Normal 2 9 6" xfId="3295"/>
    <cellStyle name="Normal 2 9 7" xfId="3844"/>
    <cellStyle name="Normal 2 9 8" xfId="4358"/>
    <cellStyle name="Normal 2 9 9" xfId="4932"/>
    <cellStyle name="Normal 20" xfId="23"/>
    <cellStyle name="Normal 20 10" xfId="1900"/>
    <cellStyle name="Normal 20 11" xfId="2443"/>
    <cellStyle name="Normal 20 12" xfId="3013"/>
    <cellStyle name="Normal 20 13" xfId="3531"/>
    <cellStyle name="Normal 20 14" xfId="4420"/>
    <cellStyle name="Normal 20 15" xfId="4619"/>
    <cellStyle name="Normal 20 16" xfId="5508"/>
    <cellStyle name="Normal 20 17" xfId="5707"/>
    <cellStyle name="Normal 20 18" xfId="6251"/>
    <cellStyle name="Normal 20 19" xfId="6795"/>
    <cellStyle name="Normal 20 2" xfId="67"/>
    <cellStyle name="Normal 20 2 10" xfId="4465"/>
    <cellStyle name="Normal 20 2 11" xfId="5009"/>
    <cellStyle name="Normal 20 2 12" xfId="5553"/>
    <cellStyle name="Normal 20 2 13" xfId="6097"/>
    <cellStyle name="Normal 20 2 14" xfId="6641"/>
    <cellStyle name="Normal 20 2 15" xfId="7185"/>
    <cellStyle name="Normal 20 2 2" xfId="325"/>
    <cellStyle name="Normal 20 2 2 10" xfId="5253"/>
    <cellStyle name="Normal 20 2 2 11" xfId="5811"/>
    <cellStyle name="Normal 20 2 2 12" xfId="6355"/>
    <cellStyle name="Normal 20 2 2 13" xfId="6899"/>
    <cellStyle name="Normal 20 2 2 14" xfId="7429"/>
    <cellStyle name="Normal 20 2 2 2" xfId="914"/>
    <cellStyle name="Normal 20 2 2 3" xfId="1460"/>
    <cellStyle name="Normal 20 2 2 4" xfId="2004"/>
    <cellStyle name="Normal 20 2 2 5" xfId="2547"/>
    <cellStyle name="Normal 20 2 2 6" xfId="3089"/>
    <cellStyle name="Normal 20 2 2 7" xfId="3635"/>
    <cellStyle name="Normal 20 2 2 8" xfId="4165"/>
    <cellStyle name="Normal 20 2 2 9" xfId="4723"/>
    <cellStyle name="Normal 20 2 3" xfId="656"/>
    <cellStyle name="Normal 20 2 4" xfId="1202"/>
    <cellStyle name="Normal 20 2 5" xfId="1746"/>
    <cellStyle name="Normal 20 2 6" xfId="2289"/>
    <cellStyle name="Normal 20 2 7" xfId="2833"/>
    <cellStyle name="Normal 20 2 8" xfId="3377"/>
    <cellStyle name="Normal 20 2 9" xfId="3921"/>
    <cellStyle name="Normal 20 3" xfId="111"/>
    <cellStyle name="Normal 20 3 10" xfId="4509"/>
    <cellStyle name="Normal 20 3 11" xfId="5053"/>
    <cellStyle name="Normal 20 3 12" xfId="5597"/>
    <cellStyle name="Normal 20 3 13" xfId="6141"/>
    <cellStyle name="Normal 20 3 14" xfId="6685"/>
    <cellStyle name="Normal 20 3 15" xfId="7229"/>
    <cellStyle name="Normal 20 3 2" xfId="369"/>
    <cellStyle name="Normal 20 3 2 10" xfId="5297"/>
    <cellStyle name="Normal 20 3 2 11" xfId="5855"/>
    <cellStyle name="Normal 20 3 2 12" xfId="6399"/>
    <cellStyle name="Normal 20 3 2 13" xfId="6943"/>
    <cellStyle name="Normal 20 3 2 14" xfId="7473"/>
    <cellStyle name="Normal 20 3 2 2" xfId="958"/>
    <cellStyle name="Normal 20 3 2 3" xfId="1504"/>
    <cellStyle name="Normal 20 3 2 4" xfId="2048"/>
    <cellStyle name="Normal 20 3 2 5" xfId="2591"/>
    <cellStyle name="Normal 20 3 2 6" xfId="3133"/>
    <cellStyle name="Normal 20 3 2 7" xfId="3679"/>
    <cellStyle name="Normal 20 3 2 8" xfId="4209"/>
    <cellStyle name="Normal 20 3 2 9" xfId="4767"/>
    <cellStyle name="Normal 20 3 3" xfId="700"/>
    <cellStyle name="Normal 20 3 4" xfId="1246"/>
    <cellStyle name="Normal 20 3 5" xfId="1790"/>
    <cellStyle name="Normal 20 3 6" xfId="2333"/>
    <cellStyle name="Normal 20 3 7" xfId="2877"/>
    <cellStyle name="Normal 20 3 8" xfId="3421"/>
    <cellStyle name="Normal 20 3 9" xfId="3965"/>
    <cellStyle name="Normal 20 4" xfId="167"/>
    <cellStyle name="Normal 20 4 10" xfId="4565"/>
    <cellStyle name="Normal 20 4 11" xfId="5108"/>
    <cellStyle name="Normal 20 4 12" xfId="5653"/>
    <cellStyle name="Normal 20 4 13" xfId="6197"/>
    <cellStyle name="Normal 20 4 14" xfId="6741"/>
    <cellStyle name="Normal 20 4 15" xfId="7284"/>
    <cellStyle name="Normal 20 4 2" xfId="424"/>
    <cellStyle name="Normal 20 4 2 10" xfId="5351"/>
    <cellStyle name="Normal 20 4 2 11" xfId="5910"/>
    <cellStyle name="Normal 20 4 2 12" xfId="6454"/>
    <cellStyle name="Normal 20 4 2 13" xfId="6998"/>
    <cellStyle name="Normal 20 4 2 14" xfId="7527"/>
    <cellStyle name="Normal 20 4 2 2" xfId="1013"/>
    <cellStyle name="Normal 20 4 2 3" xfId="1559"/>
    <cellStyle name="Normal 20 4 2 4" xfId="2103"/>
    <cellStyle name="Normal 20 4 2 5" xfId="2646"/>
    <cellStyle name="Normal 20 4 2 6" xfId="3188"/>
    <cellStyle name="Normal 20 4 2 7" xfId="3734"/>
    <cellStyle name="Normal 20 4 2 8" xfId="4263"/>
    <cellStyle name="Normal 20 4 2 9" xfId="4822"/>
    <cellStyle name="Normal 20 4 3" xfId="756"/>
    <cellStyle name="Normal 20 4 4" xfId="1302"/>
    <cellStyle name="Normal 20 4 5" xfId="1846"/>
    <cellStyle name="Normal 20 4 6" xfId="2389"/>
    <cellStyle name="Normal 20 4 7" xfId="2933"/>
    <cellStyle name="Normal 20 4 8" xfId="3477"/>
    <cellStyle name="Normal 20 4 9" xfId="4020"/>
    <cellStyle name="Normal 20 5" xfId="206"/>
    <cellStyle name="Normal 20 5 10" xfId="4604"/>
    <cellStyle name="Normal 20 5 11" xfId="5144"/>
    <cellStyle name="Normal 20 5 12" xfId="5692"/>
    <cellStyle name="Normal 20 5 13" xfId="6236"/>
    <cellStyle name="Normal 20 5 14" xfId="6780"/>
    <cellStyle name="Normal 20 5 15" xfId="7320"/>
    <cellStyle name="Normal 20 5 2" xfId="460"/>
    <cellStyle name="Normal 20 5 2 10" xfId="5387"/>
    <cellStyle name="Normal 20 5 2 11" xfId="5946"/>
    <cellStyle name="Normal 20 5 2 12" xfId="6490"/>
    <cellStyle name="Normal 20 5 2 13" xfId="7034"/>
    <cellStyle name="Normal 20 5 2 14" xfId="7563"/>
    <cellStyle name="Normal 20 5 2 2" xfId="1049"/>
    <cellStyle name="Normal 20 5 2 3" xfId="1595"/>
    <cellStyle name="Normal 20 5 2 4" xfId="2139"/>
    <cellStyle name="Normal 20 5 2 5" xfId="2682"/>
    <cellStyle name="Normal 20 5 2 6" xfId="3224"/>
    <cellStyle name="Normal 20 5 2 7" xfId="3770"/>
    <cellStyle name="Normal 20 5 2 8" xfId="4299"/>
    <cellStyle name="Normal 20 5 2 9" xfId="4858"/>
    <cellStyle name="Normal 20 5 3" xfId="795"/>
    <cellStyle name="Normal 20 5 4" xfId="1341"/>
    <cellStyle name="Normal 20 5 5" xfId="1885"/>
    <cellStyle name="Normal 20 5 6" xfId="2428"/>
    <cellStyle name="Normal 20 5 7" xfId="2971"/>
    <cellStyle name="Normal 20 5 8" xfId="3516"/>
    <cellStyle name="Normal 20 5 9" xfId="4056"/>
    <cellStyle name="Normal 20 6" xfId="280"/>
    <cellStyle name="Normal 20 6 10" xfId="5209"/>
    <cellStyle name="Normal 20 6 11" xfId="5766"/>
    <cellStyle name="Normal 20 6 12" xfId="6310"/>
    <cellStyle name="Normal 20 6 13" xfId="6854"/>
    <cellStyle name="Normal 20 6 14" xfId="7385"/>
    <cellStyle name="Normal 20 6 2" xfId="869"/>
    <cellStyle name="Normal 20 6 3" xfId="1415"/>
    <cellStyle name="Normal 20 6 4" xfId="1959"/>
    <cellStyle name="Normal 20 6 5" xfId="2502"/>
    <cellStyle name="Normal 20 6 6" xfId="3044"/>
    <cellStyle name="Normal 20 6 7" xfId="3590"/>
    <cellStyle name="Normal 20 6 8" xfId="4121"/>
    <cellStyle name="Normal 20 6 9" xfId="4678"/>
    <cellStyle name="Normal 20 7" xfId="611"/>
    <cellStyle name="Normal 20 8" xfId="810"/>
    <cellStyle name="Normal 20 9" xfId="1356"/>
    <cellStyle name="Normal 21" xfId="24"/>
    <cellStyle name="Normal 21 10" xfId="1931"/>
    <cellStyle name="Normal 21 11" xfId="2474"/>
    <cellStyle name="Normal 21 12" xfId="3159"/>
    <cellStyle name="Normal 21 13" xfId="3562"/>
    <cellStyle name="Normal 21 14" xfId="4421"/>
    <cellStyle name="Normal 21 15" xfId="4650"/>
    <cellStyle name="Normal 21 16" xfId="5509"/>
    <cellStyle name="Normal 21 17" xfId="5738"/>
    <cellStyle name="Normal 21 18" xfId="6282"/>
    <cellStyle name="Normal 21 19" xfId="6826"/>
    <cellStyle name="Normal 21 2" xfId="68"/>
    <cellStyle name="Normal 21 2 10" xfId="4466"/>
    <cellStyle name="Normal 21 2 11" xfId="5010"/>
    <cellStyle name="Normal 21 2 12" xfId="5554"/>
    <cellStyle name="Normal 21 2 13" xfId="6098"/>
    <cellStyle name="Normal 21 2 14" xfId="6642"/>
    <cellStyle name="Normal 21 2 15" xfId="7186"/>
    <cellStyle name="Normal 21 2 2" xfId="326"/>
    <cellStyle name="Normal 21 2 2 10" xfId="5254"/>
    <cellStyle name="Normal 21 2 2 11" xfId="5812"/>
    <cellStyle name="Normal 21 2 2 12" xfId="6356"/>
    <cellStyle name="Normal 21 2 2 13" xfId="6900"/>
    <cellStyle name="Normal 21 2 2 14" xfId="7430"/>
    <cellStyle name="Normal 21 2 2 2" xfId="915"/>
    <cellStyle name="Normal 21 2 2 3" xfId="1461"/>
    <cellStyle name="Normal 21 2 2 4" xfId="2005"/>
    <cellStyle name="Normal 21 2 2 5" xfId="2548"/>
    <cellStyle name="Normal 21 2 2 6" xfId="3090"/>
    <cellStyle name="Normal 21 2 2 7" xfId="3636"/>
    <cellStyle name="Normal 21 2 2 8" xfId="4166"/>
    <cellStyle name="Normal 21 2 2 9" xfId="4724"/>
    <cellStyle name="Normal 21 2 3" xfId="657"/>
    <cellStyle name="Normal 21 2 4" xfId="1203"/>
    <cellStyle name="Normal 21 2 5" xfId="1747"/>
    <cellStyle name="Normal 21 2 6" xfId="2290"/>
    <cellStyle name="Normal 21 2 7" xfId="2834"/>
    <cellStyle name="Normal 21 2 8" xfId="3378"/>
    <cellStyle name="Normal 21 2 9" xfId="3922"/>
    <cellStyle name="Normal 21 3" xfId="112"/>
    <cellStyle name="Normal 21 3 10" xfId="4510"/>
    <cellStyle name="Normal 21 3 11" xfId="5054"/>
    <cellStyle name="Normal 21 3 12" xfId="5598"/>
    <cellStyle name="Normal 21 3 13" xfId="6142"/>
    <cellStyle name="Normal 21 3 14" xfId="6686"/>
    <cellStyle name="Normal 21 3 15" xfId="7230"/>
    <cellStyle name="Normal 21 3 2" xfId="370"/>
    <cellStyle name="Normal 21 3 2 10" xfId="5298"/>
    <cellStyle name="Normal 21 3 2 11" xfId="5856"/>
    <cellStyle name="Normal 21 3 2 12" xfId="6400"/>
    <cellStyle name="Normal 21 3 2 13" xfId="6944"/>
    <cellStyle name="Normal 21 3 2 14" xfId="7474"/>
    <cellStyle name="Normal 21 3 2 2" xfId="959"/>
    <cellStyle name="Normal 21 3 2 3" xfId="1505"/>
    <cellStyle name="Normal 21 3 2 4" xfId="2049"/>
    <cellStyle name="Normal 21 3 2 5" xfId="2592"/>
    <cellStyle name="Normal 21 3 2 6" xfId="3134"/>
    <cellStyle name="Normal 21 3 2 7" xfId="3680"/>
    <cellStyle name="Normal 21 3 2 8" xfId="4210"/>
    <cellStyle name="Normal 21 3 2 9" xfId="4768"/>
    <cellStyle name="Normal 21 3 3" xfId="701"/>
    <cellStyle name="Normal 21 3 4" xfId="1247"/>
    <cellStyle name="Normal 21 3 5" xfId="1791"/>
    <cellStyle name="Normal 21 3 6" xfId="2334"/>
    <cellStyle name="Normal 21 3 7" xfId="2878"/>
    <cellStyle name="Normal 21 3 8" xfId="3422"/>
    <cellStyle name="Normal 21 3 9" xfId="3966"/>
    <cellStyle name="Normal 21 4" xfId="141"/>
    <cellStyle name="Normal 21 4 10" xfId="4539"/>
    <cellStyle name="Normal 21 4 11" xfId="5082"/>
    <cellStyle name="Normal 21 4 12" xfId="5627"/>
    <cellStyle name="Normal 21 4 13" xfId="6171"/>
    <cellStyle name="Normal 21 4 14" xfId="6715"/>
    <cellStyle name="Normal 21 4 15" xfId="7258"/>
    <cellStyle name="Normal 21 4 2" xfId="398"/>
    <cellStyle name="Normal 21 4 2 10" xfId="5325"/>
    <cellStyle name="Normal 21 4 2 11" xfId="5884"/>
    <cellStyle name="Normal 21 4 2 12" xfId="6428"/>
    <cellStyle name="Normal 21 4 2 13" xfId="6972"/>
    <cellStyle name="Normal 21 4 2 14" xfId="7501"/>
    <cellStyle name="Normal 21 4 2 2" xfId="987"/>
    <cellStyle name="Normal 21 4 2 3" xfId="1533"/>
    <cellStyle name="Normal 21 4 2 4" xfId="2077"/>
    <cellStyle name="Normal 21 4 2 5" xfId="2620"/>
    <cellStyle name="Normal 21 4 2 6" xfId="3162"/>
    <cellStyle name="Normal 21 4 2 7" xfId="3708"/>
    <cellStyle name="Normal 21 4 2 8" xfId="4237"/>
    <cellStyle name="Normal 21 4 2 9" xfId="4796"/>
    <cellStyle name="Normal 21 4 3" xfId="730"/>
    <cellStyle name="Normal 21 4 4" xfId="1276"/>
    <cellStyle name="Normal 21 4 5" xfId="1820"/>
    <cellStyle name="Normal 21 4 6" xfId="2363"/>
    <cellStyle name="Normal 21 4 7" xfId="2907"/>
    <cellStyle name="Normal 21 4 8" xfId="3451"/>
    <cellStyle name="Normal 21 4 9" xfId="3994"/>
    <cellStyle name="Normal 21 5" xfId="215"/>
    <cellStyle name="Normal 21 5 10" xfId="4613"/>
    <cellStyle name="Normal 21 5 11" xfId="5152"/>
    <cellStyle name="Normal 21 5 12" xfId="5701"/>
    <cellStyle name="Normal 21 5 13" xfId="6245"/>
    <cellStyle name="Normal 21 5 14" xfId="6789"/>
    <cellStyle name="Normal 21 5 15" xfId="7328"/>
    <cellStyle name="Normal 21 5 2" xfId="468"/>
    <cellStyle name="Normal 21 5 2 10" xfId="5395"/>
    <cellStyle name="Normal 21 5 2 11" xfId="5954"/>
    <cellStyle name="Normal 21 5 2 12" xfId="6498"/>
    <cellStyle name="Normal 21 5 2 13" xfId="7042"/>
    <cellStyle name="Normal 21 5 2 14" xfId="7571"/>
    <cellStyle name="Normal 21 5 2 2" xfId="1057"/>
    <cellStyle name="Normal 21 5 2 3" xfId="1603"/>
    <cellStyle name="Normal 21 5 2 4" xfId="2147"/>
    <cellStyle name="Normal 21 5 2 5" xfId="2690"/>
    <cellStyle name="Normal 21 5 2 6" xfId="3232"/>
    <cellStyle name="Normal 21 5 2 7" xfId="3778"/>
    <cellStyle name="Normal 21 5 2 8" xfId="4307"/>
    <cellStyle name="Normal 21 5 2 9" xfId="4866"/>
    <cellStyle name="Normal 21 5 3" xfId="804"/>
    <cellStyle name="Normal 21 5 4" xfId="1350"/>
    <cellStyle name="Normal 21 5 5" xfId="1894"/>
    <cellStyle name="Normal 21 5 6" xfId="2437"/>
    <cellStyle name="Normal 21 5 7" xfId="2980"/>
    <cellStyle name="Normal 21 5 8" xfId="3525"/>
    <cellStyle name="Normal 21 5 9" xfId="4064"/>
    <cellStyle name="Normal 21 6" xfId="281"/>
    <cellStyle name="Normal 21 6 10" xfId="5210"/>
    <cellStyle name="Normal 21 6 11" xfId="5767"/>
    <cellStyle name="Normal 21 6 12" xfId="6311"/>
    <cellStyle name="Normal 21 6 13" xfId="6855"/>
    <cellStyle name="Normal 21 6 14" xfId="7386"/>
    <cellStyle name="Normal 21 6 2" xfId="870"/>
    <cellStyle name="Normal 21 6 3" xfId="1416"/>
    <cellStyle name="Normal 21 6 4" xfId="1960"/>
    <cellStyle name="Normal 21 6 5" xfId="2503"/>
    <cellStyle name="Normal 21 6 6" xfId="3045"/>
    <cellStyle name="Normal 21 6 7" xfId="3591"/>
    <cellStyle name="Normal 21 6 8" xfId="4122"/>
    <cellStyle name="Normal 21 6 9" xfId="4679"/>
    <cellStyle name="Normal 21 7" xfId="612"/>
    <cellStyle name="Normal 21 8" xfId="841"/>
    <cellStyle name="Normal 21 9" xfId="1387"/>
    <cellStyle name="Normal 22" xfId="25"/>
    <cellStyle name="Normal 22 10" xfId="1865"/>
    <cellStyle name="Normal 22 11" xfId="2408"/>
    <cellStyle name="Normal 22 12" xfId="3010"/>
    <cellStyle name="Normal 22 13" xfId="3496"/>
    <cellStyle name="Normal 22 14" xfId="4422"/>
    <cellStyle name="Normal 22 15" xfId="4584"/>
    <cellStyle name="Normal 22 16" xfId="5510"/>
    <cellStyle name="Normal 22 17" xfId="5672"/>
    <cellStyle name="Normal 22 18" xfId="6216"/>
    <cellStyle name="Normal 22 19" xfId="6760"/>
    <cellStyle name="Normal 22 2" xfId="69"/>
    <cellStyle name="Normal 22 2 10" xfId="4467"/>
    <cellStyle name="Normal 22 2 11" xfId="5011"/>
    <cellStyle name="Normal 22 2 12" xfId="5555"/>
    <cellStyle name="Normal 22 2 13" xfId="6099"/>
    <cellStyle name="Normal 22 2 14" xfId="6643"/>
    <cellStyle name="Normal 22 2 15" xfId="7187"/>
    <cellStyle name="Normal 22 2 2" xfId="327"/>
    <cellStyle name="Normal 22 2 2 10" xfId="5255"/>
    <cellStyle name="Normal 22 2 2 11" xfId="5813"/>
    <cellStyle name="Normal 22 2 2 12" xfId="6357"/>
    <cellStyle name="Normal 22 2 2 13" xfId="6901"/>
    <cellStyle name="Normal 22 2 2 14" xfId="7431"/>
    <cellStyle name="Normal 22 2 2 2" xfId="916"/>
    <cellStyle name="Normal 22 2 2 3" xfId="1462"/>
    <cellStyle name="Normal 22 2 2 4" xfId="2006"/>
    <cellStyle name="Normal 22 2 2 5" xfId="2549"/>
    <cellStyle name="Normal 22 2 2 6" xfId="3091"/>
    <cellStyle name="Normal 22 2 2 7" xfId="3637"/>
    <cellStyle name="Normal 22 2 2 8" xfId="4167"/>
    <cellStyle name="Normal 22 2 2 9" xfId="4725"/>
    <cellStyle name="Normal 22 2 3" xfId="658"/>
    <cellStyle name="Normal 22 2 4" xfId="1204"/>
    <cellStyle name="Normal 22 2 5" xfId="1748"/>
    <cellStyle name="Normal 22 2 6" xfId="2291"/>
    <cellStyle name="Normal 22 2 7" xfId="2835"/>
    <cellStyle name="Normal 22 2 8" xfId="3379"/>
    <cellStyle name="Normal 22 2 9" xfId="3923"/>
    <cellStyle name="Normal 22 3" xfId="113"/>
    <cellStyle name="Normal 22 3 10" xfId="4511"/>
    <cellStyle name="Normal 22 3 11" xfId="5055"/>
    <cellStyle name="Normal 22 3 12" xfId="5599"/>
    <cellStyle name="Normal 22 3 13" xfId="6143"/>
    <cellStyle name="Normal 22 3 14" xfId="6687"/>
    <cellStyle name="Normal 22 3 15" xfId="7231"/>
    <cellStyle name="Normal 22 3 2" xfId="371"/>
    <cellStyle name="Normal 22 3 2 10" xfId="5299"/>
    <cellStyle name="Normal 22 3 2 11" xfId="5857"/>
    <cellStyle name="Normal 22 3 2 12" xfId="6401"/>
    <cellStyle name="Normal 22 3 2 13" xfId="6945"/>
    <cellStyle name="Normal 22 3 2 14" xfId="7475"/>
    <cellStyle name="Normal 22 3 2 2" xfId="960"/>
    <cellStyle name="Normal 22 3 2 3" xfId="1506"/>
    <cellStyle name="Normal 22 3 2 4" xfId="2050"/>
    <cellStyle name="Normal 22 3 2 5" xfId="2593"/>
    <cellStyle name="Normal 22 3 2 6" xfId="3135"/>
    <cellStyle name="Normal 22 3 2 7" xfId="3681"/>
    <cellStyle name="Normal 22 3 2 8" xfId="4211"/>
    <cellStyle name="Normal 22 3 2 9" xfId="4769"/>
    <cellStyle name="Normal 22 3 3" xfId="702"/>
    <cellStyle name="Normal 22 3 4" xfId="1248"/>
    <cellStyle name="Normal 22 3 5" xfId="1792"/>
    <cellStyle name="Normal 22 3 6" xfId="2335"/>
    <cellStyle name="Normal 22 3 7" xfId="2879"/>
    <cellStyle name="Normal 22 3 8" xfId="3423"/>
    <cellStyle name="Normal 22 3 9" xfId="3967"/>
    <cellStyle name="Normal 22 4" xfId="166"/>
    <cellStyle name="Normal 22 4 10" xfId="4564"/>
    <cellStyle name="Normal 22 4 11" xfId="5107"/>
    <cellStyle name="Normal 22 4 12" xfId="5652"/>
    <cellStyle name="Normal 22 4 13" xfId="6196"/>
    <cellStyle name="Normal 22 4 14" xfId="6740"/>
    <cellStyle name="Normal 22 4 15" xfId="7283"/>
    <cellStyle name="Normal 22 4 2" xfId="423"/>
    <cellStyle name="Normal 22 4 2 10" xfId="5350"/>
    <cellStyle name="Normal 22 4 2 11" xfId="5909"/>
    <cellStyle name="Normal 22 4 2 12" xfId="6453"/>
    <cellStyle name="Normal 22 4 2 13" xfId="6997"/>
    <cellStyle name="Normal 22 4 2 14" xfId="7526"/>
    <cellStyle name="Normal 22 4 2 2" xfId="1012"/>
    <cellStyle name="Normal 22 4 2 3" xfId="1558"/>
    <cellStyle name="Normal 22 4 2 4" xfId="2102"/>
    <cellStyle name="Normal 22 4 2 5" xfId="2645"/>
    <cellStyle name="Normal 22 4 2 6" xfId="3187"/>
    <cellStyle name="Normal 22 4 2 7" xfId="3733"/>
    <cellStyle name="Normal 22 4 2 8" xfId="4262"/>
    <cellStyle name="Normal 22 4 2 9" xfId="4821"/>
    <cellStyle name="Normal 22 4 3" xfId="755"/>
    <cellStyle name="Normal 22 4 4" xfId="1301"/>
    <cellStyle name="Normal 22 4 5" xfId="1845"/>
    <cellStyle name="Normal 22 4 6" xfId="2388"/>
    <cellStyle name="Normal 22 4 7" xfId="2932"/>
    <cellStyle name="Normal 22 4 8" xfId="3476"/>
    <cellStyle name="Normal 22 4 9" xfId="4019"/>
    <cellStyle name="Normal 22 5" xfId="189"/>
    <cellStyle name="Normal 22 5 10" xfId="4587"/>
    <cellStyle name="Normal 22 5 11" xfId="5128"/>
    <cellStyle name="Normal 22 5 12" xfId="5675"/>
    <cellStyle name="Normal 22 5 13" xfId="6219"/>
    <cellStyle name="Normal 22 5 14" xfId="6763"/>
    <cellStyle name="Normal 22 5 15" xfId="7304"/>
    <cellStyle name="Normal 22 5 2" xfId="444"/>
    <cellStyle name="Normal 22 5 2 10" xfId="5371"/>
    <cellStyle name="Normal 22 5 2 11" xfId="5930"/>
    <cellStyle name="Normal 22 5 2 12" xfId="6474"/>
    <cellStyle name="Normal 22 5 2 13" xfId="7018"/>
    <cellStyle name="Normal 22 5 2 14" xfId="7547"/>
    <cellStyle name="Normal 22 5 2 2" xfId="1033"/>
    <cellStyle name="Normal 22 5 2 3" xfId="1579"/>
    <cellStyle name="Normal 22 5 2 4" xfId="2123"/>
    <cellStyle name="Normal 22 5 2 5" xfId="2666"/>
    <cellStyle name="Normal 22 5 2 6" xfId="3208"/>
    <cellStyle name="Normal 22 5 2 7" xfId="3754"/>
    <cellStyle name="Normal 22 5 2 8" xfId="4283"/>
    <cellStyle name="Normal 22 5 2 9" xfId="4842"/>
    <cellStyle name="Normal 22 5 3" xfId="778"/>
    <cellStyle name="Normal 22 5 4" xfId="1324"/>
    <cellStyle name="Normal 22 5 5" xfId="1868"/>
    <cellStyle name="Normal 22 5 6" xfId="2411"/>
    <cellStyle name="Normal 22 5 7" xfId="2954"/>
    <cellStyle name="Normal 22 5 8" xfId="3499"/>
    <cellStyle name="Normal 22 5 9" xfId="4040"/>
    <cellStyle name="Normal 22 6" xfId="282"/>
    <cellStyle name="Normal 22 6 10" xfId="5211"/>
    <cellStyle name="Normal 22 6 11" xfId="5768"/>
    <cellStyle name="Normal 22 6 12" xfId="6312"/>
    <cellStyle name="Normal 22 6 13" xfId="6856"/>
    <cellStyle name="Normal 22 6 14" xfId="7387"/>
    <cellStyle name="Normal 22 6 2" xfId="871"/>
    <cellStyle name="Normal 22 6 3" xfId="1417"/>
    <cellStyle name="Normal 22 6 4" xfId="1961"/>
    <cellStyle name="Normal 22 6 5" xfId="2504"/>
    <cellStyle name="Normal 22 6 6" xfId="3046"/>
    <cellStyle name="Normal 22 6 7" xfId="3592"/>
    <cellStyle name="Normal 22 6 8" xfId="4123"/>
    <cellStyle name="Normal 22 6 9" xfId="4680"/>
    <cellStyle name="Normal 22 7" xfId="613"/>
    <cellStyle name="Normal 22 8" xfId="775"/>
    <cellStyle name="Normal 22 9" xfId="1321"/>
    <cellStyle name="Normal 23" xfId="26"/>
    <cellStyle name="Normal 23 10" xfId="2210"/>
    <cellStyle name="Normal 23 11" xfId="2753"/>
    <cellStyle name="Normal 23 12" xfId="3332"/>
    <cellStyle name="Normal 23 13" xfId="3841"/>
    <cellStyle name="Normal 23 14" xfId="4423"/>
    <cellStyle name="Normal 23 15" xfId="4929"/>
    <cellStyle name="Normal 23 16" xfId="5511"/>
    <cellStyle name="Normal 23 17" xfId="6017"/>
    <cellStyle name="Normal 23 18" xfId="6561"/>
    <cellStyle name="Normal 23 19" xfId="7105"/>
    <cellStyle name="Normal 23 2" xfId="70"/>
    <cellStyle name="Normal 23 2 10" xfId="4468"/>
    <cellStyle name="Normal 23 2 11" xfId="5012"/>
    <cellStyle name="Normal 23 2 12" xfId="5556"/>
    <cellStyle name="Normal 23 2 13" xfId="6100"/>
    <cellStyle name="Normal 23 2 14" xfId="6644"/>
    <cellStyle name="Normal 23 2 15" xfId="7188"/>
    <cellStyle name="Normal 23 2 2" xfId="328"/>
    <cellStyle name="Normal 23 2 2 10" xfId="5256"/>
    <cellStyle name="Normal 23 2 2 11" xfId="5814"/>
    <cellStyle name="Normal 23 2 2 12" xfId="6358"/>
    <cellStyle name="Normal 23 2 2 13" xfId="6902"/>
    <cellStyle name="Normal 23 2 2 14" xfId="7432"/>
    <cellStyle name="Normal 23 2 2 2" xfId="917"/>
    <cellStyle name="Normal 23 2 2 3" xfId="1463"/>
    <cellStyle name="Normal 23 2 2 4" xfId="2007"/>
    <cellStyle name="Normal 23 2 2 5" xfId="2550"/>
    <cellStyle name="Normal 23 2 2 6" xfId="3092"/>
    <cellStyle name="Normal 23 2 2 7" xfId="3638"/>
    <cellStyle name="Normal 23 2 2 8" xfId="4168"/>
    <cellStyle name="Normal 23 2 2 9" xfId="4726"/>
    <cellStyle name="Normal 23 2 3" xfId="659"/>
    <cellStyle name="Normal 23 2 4" xfId="1205"/>
    <cellStyle name="Normal 23 2 5" xfId="1749"/>
    <cellStyle name="Normal 23 2 6" xfId="2292"/>
    <cellStyle name="Normal 23 2 7" xfId="2836"/>
    <cellStyle name="Normal 23 2 8" xfId="3380"/>
    <cellStyle name="Normal 23 2 9" xfId="3924"/>
    <cellStyle name="Normal 23 3" xfId="114"/>
    <cellStyle name="Normal 23 3 10" xfId="4512"/>
    <cellStyle name="Normal 23 3 11" xfId="5056"/>
    <cellStyle name="Normal 23 3 12" xfId="5600"/>
    <cellStyle name="Normal 23 3 13" xfId="6144"/>
    <cellStyle name="Normal 23 3 14" xfId="6688"/>
    <cellStyle name="Normal 23 3 15" xfId="7232"/>
    <cellStyle name="Normal 23 3 2" xfId="372"/>
    <cellStyle name="Normal 23 3 2 10" xfId="5300"/>
    <cellStyle name="Normal 23 3 2 11" xfId="5858"/>
    <cellStyle name="Normal 23 3 2 12" xfId="6402"/>
    <cellStyle name="Normal 23 3 2 13" xfId="6946"/>
    <cellStyle name="Normal 23 3 2 14" xfId="7476"/>
    <cellStyle name="Normal 23 3 2 2" xfId="961"/>
    <cellStyle name="Normal 23 3 2 3" xfId="1507"/>
    <cellStyle name="Normal 23 3 2 4" xfId="2051"/>
    <cellStyle name="Normal 23 3 2 5" xfId="2594"/>
    <cellStyle name="Normal 23 3 2 6" xfId="3136"/>
    <cellStyle name="Normal 23 3 2 7" xfId="3682"/>
    <cellStyle name="Normal 23 3 2 8" xfId="4212"/>
    <cellStyle name="Normal 23 3 2 9" xfId="4770"/>
    <cellStyle name="Normal 23 3 3" xfId="703"/>
    <cellStyle name="Normal 23 3 4" xfId="1249"/>
    <cellStyle name="Normal 23 3 5" xfId="1793"/>
    <cellStyle name="Normal 23 3 6" xfId="2336"/>
    <cellStyle name="Normal 23 3 7" xfId="2880"/>
    <cellStyle name="Normal 23 3 8" xfId="3424"/>
    <cellStyle name="Normal 23 3 9" xfId="3968"/>
    <cellStyle name="Normal 23 4" xfId="165"/>
    <cellStyle name="Normal 23 4 10" xfId="4563"/>
    <cellStyle name="Normal 23 4 11" xfId="5106"/>
    <cellStyle name="Normal 23 4 12" xfId="5651"/>
    <cellStyle name="Normal 23 4 13" xfId="6195"/>
    <cellStyle name="Normal 23 4 14" xfId="6739"/>
    <cellStyle name="Normal 23 4 15" xfId="7282"/>
    <cellStyle name="Normal 23 4 2" xfId="422"/>
    <cellStyle name="Normal 23 4 2 10" xfId="5349"/>
    <cellStyle name="Normal 23 4 2 11" xfId="5908"/>
    <cellStyle name="Normal 23 4 2 12" xfId="6452"/>
    <cellStyle name="Normal 23 4 2 13" xfId="6996"/>
    <cellStyle name="Normal 23 4 2 14" xfId="7525"/>
    <cellStyle name="Normal 23 4 2 2" xfId="1011"/>
    <cellStyle name="Normal 23 4 2 3" xfId="1557"/>
    <cellStyle name="Normal 23 4 2 4" xfId="2101"/>
    <cellStyle name="Normal 23 4 2 5" xfId="2644"/>
    <cellStyle name="Normal 23 4 2 6" xfId="3186"/>
    <cellStyle name="Normal 23 4 2 7" xfId="3732"/>
    <cellStyle name="Normal 23 4 2 8" xfId="4261"/>
    <cellStyle name="Normal 23 4 2 9" xfId="4820"/>
    <cellStyle name="Normal 23 4 3" xfId="754"/>
    <cellStyle name="Normal 23 4 4" xfId="1300"/>
    <cellStyle name="Normal 23 4 5" xfId="1844"/>
    <cellStyle name="Normal 23 4 6" xfId="2387"/>
    <cellStyle name="Normal 23 4 7" xfId="2931"/>
    <cellStyle name="Normal 23 4 8" xfId="3475"/>
    <cellStyle name="Normal 23 4 9" xfId="4018"/>
    <cellStyle name="Normal 23 5" xfId="232"/>
    <cellStyle name="Normal 23 5 10" xfId="4630"/>
    <cellStyle name="Normal 23 5 11" xfId="5168"/>
    <cellStyle name="Normal 23 5 12" xfId="5718"/>
    <cellStyle name="Normal 23 5 13" xfId="6262"/>
    <cellStyle name="Normal 23 5 14" xfId="6806"/>
    <cellStyle name="Normal 23 5 15" xfId="7344"/>
    <cellStyle name="Normal 23 5 2" xfId="484"/>
    <cellStyle name="Normal 23 5 2 10" xfId="5411"/>
    <cellStyle name="Normal 23 5 2 11" xfId="5970"/>
    <cellStyle name="Normal 23 5 2 12" xfId="6514"/>
    <cellStyle name="Normal 23 5 2 13" xfId="7058"/>
    <cellStyle name="Normal 23 5 2 14" xfId="7587"/>
    <cellStyle name="Normal 23 5 2 2" xfId="1073"/>
    <cellStyle name="Normal 23 5 2 3" xfId="1619"/>
    <cellStyle name="Normal 23 5 2 4" xfId="2163"/>
    <cellStyle name="Normal 23 5 2 5" xfId="2706"/>
    <cellStyle name="Normal 23 5 2 6" xfId="3248"/>
    <cellStyle name="Normal 23 5 2 7" xfId="3794"/>
    <cellStyle name="Normal 23 5 2 8" xfId="4323"/>
    <cellStyle name="Normal 23 5 2 9" xfId="4882"/>
    <cellStyle name="Normal 23 5 3" xfId="821"/>
    <cellStyle name="Normal 23 5 4" xfId="1367"/>
    <cellStyle name="Normal 23 5 5" xfId="1911"/>
    <cellStyle name="Normal 23 5 6" xfId="2454"/>
    <cellStyle name="Normal 23 5 7" xfId="2997"/>
    <cellStyle name="Normal 23 5 8" xfId="3542"/>
    <cellStyle name="Normal 23 5 9" xfId="4080"/>
    <cellStyle name="Normal 23 6" xfId="283"/>
    <cellStyle name="Normal 23 6 10" xfId="5212"/>
    <cellStyle name="Normal 23 6 11" xfId="5769"/>
    <cellStyle name="Normal 23 6 12" xfId="6313"/>
    <cellStyle name="Normal 23 6 13" xfId="6857"/>
    <cellStyle name="Normal 23 6 14" xfId="7388"/>
    <cellStyle name="Normal 23 6 2" xfId="872"/>
    <cellStyle name="Normal 23 6 3" xfId="1418"/>
    <cellStyle name="Normal 23 6 4" xfId="1962"/>
    <cellStyle name="Normal 23 6 5" xfId="2505"/>
    <cellStyle name="Normal 23 6 6" xfId="3047"/>
    <cellStyle name="Normal 23 6 7" xfId="3593"/>
    <cellStyle name="Normal 23 6 8" xfId="4124"/>
    <cellStyle name="Normal 23 6 9" xfId="4681"/>
    <cellStyle name="Normal 23 7" xfId="614"/>
    <cellStyle name="Normal 23 8" xfId="1120"/>
    <cellStyle name="Normal 23 9" xfId="1666"/>
    <cellStyle name="Normal 24" xfId="27"/>
    <cellStyle name="Normal 24 10" xfId="2197"/>
    <cellStyle name="Normal 24 11" xfId="2740"/>
    <cellStyle name="Normal 24 12" xfId="3288"/>
    <cellStyle name="Normal 24 13" xfId="3828"/>
    <cellStyle name="Normal 24 14" xfId="4424"/>
    <cellStyle name="Normal 24 15" xfId="4916"/>
    <cellStyle name="Normal 24 16" xfId="5512"/>
    <cellStyle name="Normal 24 17" xfId="6004"/>
    <cellStyle name="Normal 24 18" xfId="6548"/>
    <cellStyle name="Normal 24 19" xfId="7092"/>
    <cellStyle name="Normal 24 2" xfId="71"/>
    <cellStyle name="Normal 24 2 10" xfId="4469"/>
    <cellStyle name="Normal 24 2 11" xfId="5013"/>
    <cellStyle name="Normal 24 2 12" xfId="5557"/>
    <cellStyle name="Normal 24 2 13" xfId="6101"/>
    <cellStyle name="Normal 24 2 14" xfId="6645"/>
    <cellStyle name="Normal 24 2 15" xfId="7189"/>
    <cellStyle name="Normal 24 2 2" xfId="329"/>
    <cellStyle name="Normal 24 2 2 10" xfId="5257"/>
    <cellStyle name="Normal 24 2 2 11" xfId="5815"/>
    <cellStyle name="Normal 24 2 2 12" xfId="6359"/>
    <cellStyle name="Normal 24 2 2 13" xfId="6903"/>
    <cellStyle name="Normal 24 2 2 14" xfId="7433"/>
    <cellStyle name="Normal 24 2 2 2" xfId="918"/>
    <cellStyle name="Normal 24 2 2 3" xfId="1464"/>
    <cellStyle name="Normal 24 2 2 4" xfId="2008"/>
    <cellStyle name="Normal 24 2 2 5" xfId="2551"/>
    <cellStyle name="Normal 24 2 2 6" xfId="3093"/>
    <cellStyle name="Normal 24 2 2 7" xfId="3639"/>
    <cellStyle name="Normal 24 2 2 8" xfId="4169"/>
    <cellStyle name="Normal 24 2 2 9" xfId="4727"/>
    <cellStyle name="Normal 24 2 3" xfId="660"/>
    <cellStyle name="Normal 24 2 4" xfId="1206"/>
    <cellStyle name="Normal 24 2 5" xfId="1750"/>
    <cellStyle name="Normal 24 2 6" xfId="2293"/>
    <cellStyle name="Normal 24 2 7" xfId="2837"/>
    <cellStyle name="Normal 24 2 8" xfId="3381"/>
    <cellStyle name="Normal 24 2 9" xfId="3925"/>
    <cellStyle name="Normal 24 3" xfId="115"/>
    <cellStyle name="Normal 24 3 10" xfId="4513"/>
    <cellStyle name="Normal 24 3 11" xfId="5057"/>
    <cellStyle name="Normal 24 3 12" xfId="5601"/>
    <cellStyle name="Normal 24 3 13" xfId="6145"/>
    <cellStyle name="Normal 24 3 14" xfId="6689"/>
    <cellStyle name="Normal 24 3 15" xfId="7233"/>
    <cellStyle name="Normal 24 3 2" xfId="373"/>
    <cellStyle name="Normal 24 3 2 10" xfId="5301"/>
    <cellStyle name="Normal 24 3 2 11" xfId="5859"/>
    <cellStyle name="Normal 24 3 2 12" xfId="6403"/>
    <cellStyle name="Normal 24 3 2 13" xfId="6947"/>
    <cellStyle name="Normal 24 3 2 14" xfId="7477"/>
    <cellStyle name="Normal 24 3 2 2" xfId="962"/>
    <cellStyle name="Normal 24 3 2 3" xfId="1508"/>
    <cellStyle name="Normal 24 3 2 4" xfId="2052"/>
    <cellStyle name="Normal 24 3 2 5" xfId="2595"/>
    <cellStyle name="Normal 24 3 2 6" xfId="3137"/>
    <cellStyle name="Normal 24 3 2 7" xfId="3683"/>
    <cellStyle name="Normal 24 3 2 8" xfId="4213"/>
    <cellStyle name="Normal 24 3 2 9" xfId="4771"/>
    <cellStyle name="Normal 24 3 3" xfId="704"/>
    <cellStyle name="Normal 24 3 4" xfId="1250"/>
    <cellStyle name="Normal 24 3 5" xfId="1794"/>
    <cellStyle name="Normal 24 3 6" xfId="2337"/>
    <cellStyle name="Normal 24 3 7" xfId="2881"/>
    <cellStyle name="Normal 24 3 8" xfId="3425"/>
    <cellStyle name="Normal 24 3 9" xfId="3969"/>
    <cellStyle name="Normal 24 4" xfId="164"/>
    <cellStyle name="Normal 24 4 10" xfId="4562"/>
    <cellStyle name="Normal 24 4 11" xfId="5105"/>
    <cellStyle name="Normal 24 4 12" xfId="5650"/>
    <cellStyle name="Normal 24 4 13" xfId="6194"/>
    <cellStyle name="Normal 24 4 14" xfId="6738"/>
    <cellStyle name="Normal 24 4 15" xfId="7281"/>
    <cellStyle name="Normal 24 4 2" xfId="421"/>
    <cellStyle name="Normal 24 4 2 10" xfId="5348"/>
    <cellStyle name="Normal 24 4 2 11" xfId="5907"/>
    <cellStyle name="Normal 24 4 2 12" xfId="6451"/>
    <cellStyle name="Normal 24 4 2 13" xfId="6995"/>
    <cellStyle name="Normal 24 4 2 14" xfId="7524"/>
    <cellStyle name="Normal 24 4 2 2" xfId="1010"/>
    <cellStyle name="Normal 24 4 2 3" xfId="1556"/>
    <cellStyle name="Normal 24 4 2 4" xfId="2100"/>
    <cellStyle name="Normal 24 4 2 5" xfId="2643"/>
    <cellStyle name="Normal 24 4 2 6" xfId="3185"/>
    <cellStyle name="Normal 24 4 2 7" xfId="3731"/>
    <cellStyle name="Normal 24 4 2 8" xfId="4260"/>
    <cellStyle name="Normal 24 4 2 9" xfId="4819"/>
    <cellStyle name="Normal 24 4 3" xfId="753"/>
    <cellStyle name="Normal 24 4 4" xfId="1299"/>
    <cellStyle name="Normal 24 4 5" xfId="1843"/>
    <cellStyle name="Normal 24 4 6" xfId="2386"/>
    <cellStyle name="Normal 24 4 7" xfId="2930"/>
    <cellStyle name="Normal 24 4 8" xfId="3474"/>
    <cellStyle name="Normal 24 4 9" xfId="4017"/>
    <cellStyle name="Normal 24 5" xfId="205"/>
    <cellStyle name="Normal 24 5 10" xfId="4603"/>
    <cellStyle name="Normal 24 5 11" xfId="5143"/>
    <cellStyle name="Normal 24 5 12" xfId="5691"/>
    <cellStyle name="Normal 24 5 13" xfId="6235"/>
    <cellStyle name="Normal 24 5 14" xfId="6779"/>
    <cellStyle name="Normal 24 5 15" xfId="7319"/>
    <cellStyle name="Normal 24 5 2" xfId="459"/>
    <cellStyle name="Normal 24 5 2 10" xfId="5386"/>
    <cellStyle name="Normal 24 5 2 11" xfId="5945"/>
    <cellStyle name="Normal 24 5 2 12" xfId="6489"/>
    <cellStyle name="Normal 24 5 2 13" xfId="7033"/>
    <cellStyle name="Normal 24 5 2 14" xfId="7562"/>
    <cellStyle name="Normal 24 5 2 2" xfId="1048"/>
    <cellStyle name="Normal 24 5 2 3" xfId="1594"/>
    <cellStyle name="Normal 24 5 2 4" xfId="2138"/>
    <cellStyle name="Normal 24 5 2 5" xfId="2681"/>
    <cellStyle name="Normal 24 5 2 6" xfId="3223"/>
    <cellStyle name="Normal 24 5 2 7" xfId="3769"/>
    <cellStyle name="Normal 24 5 2 8" xfId="4298"/>
    <cellStyle name="Normal 24 5 2 9" xfId="4857"/>
    <cellStyle name="Normal 24 5 3" xfId="794"/>
    <cellStyle name="Normal 24 5 4" xfId="1340"/>
    <cellStyle name="Normal 24 5 5" xfId="1884"/>
    <cellStyle name="Normal 24 5 6" xfId="2427"/>
    <cellStyle name="Normal 24 5 7" xfId="2970"/>
    <cellStyle name="Normal 24 5 8" xfId="3515"/>
    <cellStyle name="Normal 24 5 9" xfId="4055"/>
    <cellStyle name="Normal 24 6" xfId="284"/>
    <cellStyle name="Normal 24 6 10" xfId="5213"/>
    <cellStyle name="Normal 24 6 11" xfId="5770"/>
    <cellStyle name="Normal 24 6 12" xfId="6314"/>
    <cellStyle name="Normal 24 6 13" xfId="6858"/>
    <cellStyle name="Normal 24 6 14" xfId="7389"/>
    <cellStyle name="Normal 24 6 2" xfId="873"/>
    <cellStyle name="Normal 24 6 3" xfId="1419"/>
    <cellStyle name="Normal 24 6 4" xfId="1963"/>
    <cellStyle name="Normal 24 6 5" xfId="2506"/>
    <cellStyle name="Normal 24 6 6" xfId="3048"/>
    <cellStyle name="Normal 24 6 7" xfId="3594"/>
    <cellStyle name="Normal 24 6 8" xfId="4125"/>
    <cellStyle name="Normal 24 6 9" xfId="4682"/>
    <cellStyle name="Normal 24 7" xfId="615"/>
    <cellStyle name="Normal 24 8" xfId="1107"/>
    <cellStyle name="Normal 24 9" xfId="1653"/>
    <cellStyle name="Normal 25" xfId="28"/>
    <cellStyle name="Normal 25 10" xfId="2200"/>
    <cellStyle name="Normal 25 11" xfId="2743"/>
    <cellStyle name="Normal 25 12" xfId="3307"/>
    <cellStyle name="Normal 25 13" xfId="3831"/>
    <cellStyle name="Normal 25 14" xfId="4425"/>
    <cellStyle name="Normal 25 15" xfId="4919"/>
    <cellStyle name="Normal 25 16" xfId="5513"/>
    <cellStyle name="Normal 25 17" xfId="6007"/>
    <cellStyle name="Normal 25 18" xfId="6551"/>
    <cellStyle name="Normal 25 19" xfId="7095"/>
    <cellStyle name="Normal 25 2" xfId="72"/>
    <cellStyle name="Normal 25 2 10" xfId="4470"/>
    <cellStyle name="Normal 25 2 11" xfId="5014"/>
    <cellStyle name="Normal 25 2 12" xfId="5558"/>
    <cellStyle name="Normal 25 2 13" xfId="6102"/>
    <cellStyle name="Normal 25 2 14" xfId="6646"/>
    <cellStyle name="Normal 25 2 15" xfId="7190"/>
    <cellStyle name="Normal 25 2 2" xfId="330"/>
    <cellStyle name="Normal 25 2 2 10" xfId="5258"/>
    <cellStyle name="Normal 25 2 2 11" xfId="5816"/>
    <cellStyle name="Normal 25 2 2 12" xfId="6360"/>
    <cellStyle name="Normal 25 2 2 13" xfId="6904"/>
    <cellStyle name="Normal 25 2 2 14" xfId="7434"/>
    <cellStyle name="Normal 25 2 2 2" xfId="919"/>
    <cellStyle name="Normal 25 2 2 3" xfId="1465"/>
    <cellStyle name="Normal 25 2 2 4" xfId="2009"/>
    <cellStyle name="Normal 25 2 2 5" xfId="2552"/>
    <cellStyle name="Normal 25 2 2 6" xfId="3094"/>
    <cellStyle name="Normal 25 2 2 7" xfId="3640"/>
    <cellStyle name="Normal 25 2 2 8" xfId="4170"/>
    <cellStyle name="Normal 25 2 2 9" xfId="4728"/>
    <cellStyle name="Normal 25 2 3" xfId="661"/>
    <cellStyle name="Normal 25 2 4" xfId="1207"/>
    <cellStyle name="Normal 25 2 5" xfId="1751"/>
    <cellStyle name="Normal 25 2 6" xfId="2294"/>
    <cellStyle name="Normal 25 2 7" xfId="2838"/>
    <cellStyle name="Normal 25 2 8" xfId="3382"/>
    <cellStyle name="Normal 25 2 9" xfId="3926"/>
    <cellStyle name="Normal 25 3" xfId="116"/>
    <cellStyle name="Normal 25 3 10" xfId="4514"/>
    <cellStyle name="Normal 25 3 11" xfId="5058"/>
    <cellStyle name="Normal 25 3 12" xfId="5602"/>
    <cellStyle name="Normal 25 3 13" xfId="6146"/>
    <cellStyle name="Normal 25 3 14" xfId="6690"/>
    <cellStyle name="Normal 25 3 15" xfId="7234"/>
    <cellStyle name="Normal 25 3 2" xfId="374"/>
    <cellStyle name="Normal 25 3 2 10" xfId="5302"/>
    <cellStyle name="Normal 25 3 2 11" xfId="5860"/>
    <cellStyle name="Normal 25 3 2 12" xfId="6404"/>
    <cellStyle name="Normal 25 3 2 13" xfId="6948"/>
    <cellStyle name="Normal 25 3 2 14" xfId="7478"/>
    <cellStyle name="Normal 25 3 2 2" xfId="963"/>
    <cellStyle name="Normal 25 3 2 3" xfId="1509"/>
    <cellStyle name="Normal 25 3 2 4" xfId="2053"/>
    <cellStyle name="Normal 25 3 2 5" xfId="2596"/>
    <cellStyle name="Normal 25 3 2 6" xfId="3138"/>
    <cellStyle name="Normal 25 3 2 7" xfId="3684"/>
    <cellStyle name="Normal 25 3 2 8" xfId="4214"/>
    <cellStyle name="Normal 25 3 2 9" xfId="4772"/>
    <cellStyle name="Normal 25 3 3" xfId="705"/>
    <cellStyle name="Normal 25 3 4" xfId="1251"/>
    <cellStyle name="Normal 25 3 5" xfId="1795"/>
    <cellStyle name="Normal 25 3 6" xfId="2338"/>
    <cellStyle name="Normal 25 3 7" xfId="2882"/>
    <cellStyle name="Normal 25 3 8" xfId="3426"/>
    <cellStyle name="Normal 25 3 9" xfId="3970"/>
    <cellStyle name="Normal 25 4" xfId="163"/>
    <cellStyle name="Normal 25 4 10" xfId="4561"/>
    <cellStyle name="Normal 25 4 11" xfId="5104"/>
    <cellStyle name="Normal 25 4 12" xfId="5649"/>
    <cellStyle name="Normal 25 4 13" xfId="6193"/>
    <cellStyle name="Normal 25 4 14" xfId="6737"/>
    <cellStyle name="Normal 25 4 15" xfId="7280"/>
    <cellStyle name="Normal 25 4 2" xfId="420"/>
    <cellStyle name="Normal 25 4 2 10" xfId="5347"/>
    <cellStyle name="Normal 25 4 2 11" xfId="5906"/>
    <cellStyle name="Normal 25 4 2 12" xfId="6450"/>
    <cellStyle name="Normal 25 4 2 13" xfId="6994"/>
    <cellStyle name="Normal 25 4 2 14" xfId="7523"/>
    <cellStyle name="Normal 25 4 2 2" xfId="1009"/>
    <cellStyle name="Normal 25 4 2 3" xfId="1555"/>
    <cellStyle name="Normal 25 4 2 4" xfId="2099"/>
    <cellStyle name="Normal 25 4 2 5" xfId="2642"/>
    <cellStyle name="Normal 25 4 2 6" xfId="3184"/>
    <cellStyle name="Normal 25 4 2 7" xfId="3730"/>
    <cellStyle name="Normal 25 4 2 8" xfId="4259"/>
    <cellStyle name="Normal 25 4 2 9" xfId="4818"/>
    <cellStyle name="Normal 25 4 3" xfId="752"/>
    <cellStyle name="Normal 25 4 4" xfId="1298"/>
    <cellStyle name="Normal 25 4 5" xfId="1842"/>
    <cellStyle name="Normal 25 4 6" xfId="2385"/>
    <cellStyle name="Normal 25 4 7" xfId="2929"/>
    <cellStyle name="Normal 25 4 8" xfId="3473"/>
    <cellStyle name="Normal 25 4 9" xfId="4016"/>
    <cellStyle name="Normal 25 5" xfId="231"/>
    <cellStyle name="Normal 25 5 10" xfId="4629"/>
    <cellStyle name="Normal 25 5 11" xfId="5167"/>
    <cellStyle name="Normal 25 5 12" xfId="5717"/>
    <cellStyle name="Normal 25 5 13" xfId="6261"/>
    <cellStyle name="Normal 25 5 14" xfId="6805"/>
    <cellStyle name="Normal 25 5 15" xfId="7343"/>
    <cellStyle name="Normal 25 5 2" xfId="483"/>
    <cellStyle name="Normal 25 5 2 10" xfId="5410"/>
    <cellStyle name="Normal 25 5 2 11" xfId="5969"/>
    <cellStyle name="Normal 25 5 2 12" xfId="6513"/>
    <cellStyle name="Normal 25 5 2 13" xfId="7057"/>
    <cellStyle name="Normal 25 5 2 14" xfId="7586"/>
    <cellStyle name="Normal 25 5 2 2" xfId="1072"/>
    <cellStyle name="Normal 25 5 2 3" xfId="1618"/>
    <cellStyle name="Normal 25 5 2 4" xfId="2162"/>
    <cellStyle name="Normal 25 5 2 5" xfId="2705"/>
    <cellStyle name="Normal 25 5 2 6" xfId="3247"/>
    <cellStyle name="Normal 25 5 2 7" xfId="3793"/>
    <cellStyle name="Normal 25 5 2 8" xfId="4322"/>
    <cellStyle name="Normal 25 5 2 9" xfId="4881"/>
    <cellStyle name="Normal 25 5 3" xfId="820"/>
    <cellStyle name="Normal 25 5 4" xfId="1366"/>
    <cellStyle name="Normal 25 5 5" xfId="1910"/>
    <cellStyle name="Normal 25 5 6" xfId="2453"/>
    <cellStyle name="Normal 25 5 7" xfId="2996"/>
    <cellStyle name="Normal 25 5 8" xfId="3541"/>
    <cellStyle name="Normal 25 5 9" xfId="4079"/>
    <cellStyle name="Normal 25 6" xfId="285"/>
    <cellStyle name="Normal 25 6 10" xfId="5214"/>
    <cellStyle name="Normal 25 6 11" xfId="5771"/>
    <cellStyle name="Normal 25 6 12" xfId="6315"/>
    <cellStyle name="Normal 25 6 13" xfId="6859"/>
    <cellStyle name="Normal 25 6 14" xfId="7390"/>
    <cellStyle name="Normal 25 6 2" xfId="874"/>
    <cellStyle name="Normal 25 6 3" xfId="1420"/>
    <cellStyle name="Normal 25 6 4" xfId="1964"/>
    <cellStyle name="Normal 25 6 5" xfId="2507"/>
    <cellStyle name="Normal 25 6 6" xfId="3049"/>
    <cellStyle name="Normal 25 6 7" xfId="3595"/>
    <cellStyle name="Normal 25 6 8" xfId="4126"/>
    <cellStyle name="Normal 25 6 9" xfId="4683"/>
    <cellStyle name="Normal 25 7" xfId="616"/>
    <cellStyle name="Normal 25 8" xfId="1110"/>
    <cellStyle name="Normal 25 9" xfId="1656"/>
    <cellStyle name="Normal 26" xfId="29"/>
    <cellStyle name="Normal 26 10" xfId="2194"/>
    <cellStyle name="Normal 26 11" xfId="2737"/>
    <cellStyle name="Normal 26 12" xfId="3308"/>
    <cellStyle name="Normal 26 13" xfId="3825"/>
    <cellStyle name="Normal 26 14" xfId="4426"/>
    <cellStyle name="Normal 26 15" xfId="4913"/>
    <cellStyle name="Normal 26 16" xfId="5514"/>
    <cellStyle name="Normal 26 17" xfId="6001"/>
    <cellStyle name="Normal 26 18" xfId="6545"/>
    <cellStyle name="Normal 26 19" xfId="7089"/>
    <cellStyle name="Normal 26 2" xfId="73"/>
    <cellStyle name="Normal 26 2 10" xfId="4471"/>
    <cellStyle name="Normal 26 2 11" xfId="5015"/>
    <cellStyle name="Normal 26 2 12" xfId="5559"/>
    <cellStyle name="Normal 26 2 13" xfId="6103"/>
    <cellStyle name="Normal 26 2 14" xfId="6647"/>
    <cellStyle name="Normal 26 2 15" xfId="7191"/>
    <cellStyle name="Normal 26 2 2" xfId="331"/>
    <cellStyle name="Normal 26 2 2 10" xfId="5259"/>
    <cellStyle name="Normal 26 2 2 11" xfId="5817"/>
    <cellStyle name="Normal 26 2 2 12" xfId="6361"/>
    <cellStyle name="Normal 26 2 2 13" xfId="6905"/>
    <cellStyle name="Normal 26 2 2 14" xfId="7435"/>
    <cellStyle name="Normal 26 2 2 2" xfId="920"/>
    <cellStyle name="Normal 26 2 2 3" xfId="1466"/>
    <cellStyle name="Normal 26 2 2 4" xfId="2010"/>
    <cellStyle name="Normal 26 2 2 5" xfId="2553"/>
    <cellStyle name="Normal 26 2 2 6" xfId="3095"/>
    <cellStyle name="Normal 26 2 2 7" xfId="3641"/>
    <cellStyle name="Normal 26 2 2 8" xfId="4171"/>
    <cellStyle name="Normal 26 2 2 9" xfId="4729"/>
    <cellStyle name="Normal 26 2 3" xfId="662"/>
    <cellStyle name="Normal 26 2 4" xfId="1208"/>
    <cellStyle name="Normal 26 2 5" xfId="1752"/>
    <cellStyle name="Normal 26 2 6" xfId="2295"/>
    <cellStyle name="Normal 26 2 7" xfId="2839"/>
    <cellStyle name="Normal 26 2 8" xfId="3383"/>
    <cellStyle name="Normal 26 2 9" xfId="3927"/>
    <cellStyle name="Normal 26 3" xfId="117"/>
    <cellStyle name="Normal 26 3 10" xfId="4515"/>
    <cellStyle name="Normal 26 3 11" xfId="5059"/>
    <cellStyle name="Normal 26 3 12" xfId="5603"/>
    <cellStyle name="Normal 26 3 13" xfId="6147"/>
    <cellStyle name="Normal 26 3 14" xfId="6691"/>
    <cellStyle name="Normal 26 3 15" xfId="7235"/>
    <cellStyle name="Normal 26 3 2" xfId="375"/>
    <cellStyle name="Normal 26 3 2 10" xfId="5303"/>
    <cellStyle name="Normal 26 3 2 11" xfId="5861"/>
    <cellStyle name="Normal 26 3 2 12" xfId="6405"/>
    <cellStyle name="Normal 26 3 2 13" xfId="6949"/>
    <cellStyle name="Normal 26 3 2 14" xfId="7479"/>
    <cellStyle name="Normal 26 3 2 2" xfId="964"/>
    <cellStyle name="Normal 26 3 2 3" xfId="1510"/>
    <cellStyle name="Normal 26 3 2 4" xfId="2054"/>
    <cellStyle name="Normal 26 3 2 5" xfId="2597"/>
    <cellStyle name="Normal 26 3 2 6" xfId="3139"/>
    <cellStyle name="Normal 26 3 2 7" xfId="3685"/>
    <cellStyle name="Normal 26 3 2 8" xfId="4215"/>
    <cellStyle name="Normal 26 3 2 9" xfId="4773"/>
    <cellStyle name="Normal 26 3 3" xfId="706"/>
    <cellStyle name="Normal 26 3 4" xfId="1252"/>
    <cellStyle name="Normal 26 3 5" xfId="1796"/>
    <cellStyle name="Normal 26 3 6" xfId="2339"/>
    <cellStyle name="Normal 26 3 7" xfId="2883"/>
    <cellStyle name="Normal 26 3 8" xfId="3427"/>
    <cellStyle name="Normal 26 3 9" xfId="3971"/>
    <cellStyle name="Normal 26 4" xfId="162"/>
    <cellStyle name="Normal 26 4 10" xfId="4560"/>
    <cellStyle name="Normal 26 4 11" xfId="5103"/>
    <cellStyle name="Normal 26 4 12" xfId="5648"/>
    <cellStyle name="Normal 26 4 13" xfId="6192"/>
    <cellStyle name="Normal 26 4 14" xfId="6736"/>
    <cellStyle name="Normal 26 4 15" xfId="7279"/>
    <cellStyle name="Normal 26 4 2" xfId="419"/>
    <cellStyle name="Normal 26 4 2 10" xfId="5346"/>
    <cellStyle name="Normal 26 4 2 11" xfId="5905"/>
    <cellStyle name="Normal 26 4 2 12" xfId="6449"/>
    <cellStyle name="Normal 26 4 2 13" xfId="6993"/>
    <cellStyle name="Normal 26 4 2 14" xfId="7522"/>
    <cellStyle name="Normal 26 4 2 2" xfId="1008"/>
    <cellStyle name="Normal 26 4 2 3" xfId="1554"/>
    <cellStyle name="Normal 26 4 2 4" xfId="2098"/>
    <cellStyle name="Normal 26 4 2 5" xfId="2641"/>
    <cellStyle name="Normal 26 4 2 6" xfId="3183"/>
    <cellStyle name="Normal 26 4 2 7" xfId="3729"/>
    <cellStyle name="Normal 26 4 2 8" xfId="4258"/>
    <cellStyle name="Normal 26 4 2 9" xfId="4817"/>
    <cellStyle name="Normal 26 4 3" xfId="751"/>
    <cellStyle name="Normal 26 4 4" xfId="1297"/>
    <cellStyle name="Normal 26 4 5" xfId="1841"/>
    <cellStyle name="Normal 26 4 6" xfId="2384"/>
    <cellStyle name="Normal 26 4 7" xfId="2928"/>
    <cellStyle name="Normal 26 4 8" xfId="3472"/>
    <cellStyle name="Normal 26 4 9" xfId="4015"/>
    <cellStyle name="Normal 26 5" xfId="204"/>
    <cellStyle name="Normal 26 5 10" xfId="4602"/>
    <cellStyle name="Normal 26 5 11" xfId="5142"/>
    <cellStyle name="Normal 26 5 12" xfId="5690"/>
    <cellStyle name="Normal 26 5 13" xfId="6234"/>
    <cellStyle name="Normal 26 5 14" xfId="6778"/>
    <cellStyle name="Normal 26 5 15" xfId="7318"/>
    <cellStyle name="Normal 26 5 2" xfId="458"/>
    <cellStyle name="Normal 26 5 2 10" xfId="5385"/>
    <cellStyle name="Normal 26 5 2 11" xfId="5944"/>
    <cellStyle name="Normal 26 5 2 12" xfId="6488"/>
    <cellStyle name="Normal 26 5 2 13" xfId="7032"/>
    <cellStyle name="Normal 26 5 2 14" xfId="7561"/>
    <cellStyle name="Normal 26 5 2 2" xfId="1047"/>
    <cellStyle name="Normal 26 5 2 3" xfId="1593"/>
    <cellStyle name="Normal 26 5 2 4" xfId="2137"/>
    <cellStyle name="Normal 26 5 2 5" xfId="2680"/>
    <cellStyle name="Normal 26 5 2 6" xfId="3222"/>
    <cellStyle name="Normal 26 5 2 7" xfId="3768"/>
    <cellStyle name="Normal 26 5 2 8" xfId="4297"/>
    <cellStyle name="Normal 26 5 2 9" xfId="4856"/>
    <cellStyle name="Normal 26 5 3" xfId="793"/>
    <cellStyle name="Normal 26 5 4" xfId="1339"/>
    <cellStyle name="Normal 26 5 5" xfId="1883"/>
    <cellStyle name="Normal 26 5 6" xfId="2426"/>
    <cellStyle name="Normal 26 5 7" xfId="2969"/>
    <cellStyle name="Normal 26 5 8" xfId="3514"/>
    <cellStyle name="Normal 26 5 9" xfId="4054"/>
    <cellStyle name="Normal 26 6" xfId="286"/>
    <cellStyle name="Normal 26 6 10" xfId="5215"/>
    <cellStyle name="Normal 26 6 11" xfId="5772"/>
    <cellStyle name="Normal 26 6 12" xfId="6316"/>
    <cellStyle name="Normal 26 6 13" xfId="6860"/>
    <cellStyle name="Normal 26 6 14" xfId="7391"/>
    <cellStyle name="Normal 26 6 2" xfId="875"/>
    <cellStyle name="Normal 26 6 3" xfId="1421"/>
    <cellStyle name="Normal 26 6 4" xfId="1965"/>
    <cellStyle name="Normal 26 6 5" xfId="2508"/>
    <cellStyle name="Normal 26 6 6" xfId="3050"/>
    <cellStyle name="Normal 26 6 7" xfId="3596"/>
    <cellStyle name="Normal 26 6 8" xfId="4127"/>
    <cellStyle name="Normal 26 6 9" xfId="4684"/>
    <cellStyle name="Normal 26 7" xfId="617"/>
    <cellStyle name="Normal 26 8" xfId="1104"/>
    <cellStyle name="Normal 26 9" xfId="1650"/>
    <cellStyle name="Normal 27" xfId="30"/>
    <cellStyle name="Normal 27 10" xfId="2201"/>
    <cellStyle name="Normal 27 11" xfId="2744"/>
    <cellStyle name="Normal 27 12" xfId="3297"/>
    <cellStyle name="Normal 27 13" xfId="3832"/>
    <cellStyle name="Normal 27 14" xfId="4427"/>
    <cellStyle name="Normal 27 15" xfId="4920"/>
    <cellStyle name="Normal 27 16" xfId="5515"/>
    <cellStyle name="Normal 27 17" xfId="6008"/>
    <cellStyle name="Normal 27 18" xfId="6552"/>
    <cellStyle name="Normal 27 19" xfId="7096"/>
    <cellStyle name="Normal 27 2" xfId="74"/>
    <cellStyle name="Normal 27 2 10" xfId="4472"/>
    <cellStyle name="Normal 27 2 11" xfId="5016"/>
    <cellStyle name="Normal 27 2 12" xfId="5560"/>
    <cellStyle name="Normal 27 2 13" xfId="6104"/>
    <cellStyle name="Normal 27 2 14" xfId="6648"/>
    <cellStyle name="Normal 27 2 15" xfId="7192"/>
    <cellStyle name="Normal 27 2 2" xfId="332"/>
    <cellStyle name="Normal 27 2 2 10" xfId="5260"/>
    <cellStyle name="Normal 27 2 2 11" xfId="5818"/>
    <cellStyle name="Normal 27 2 2 12" xfId="6362"/>
    <cellStyle name="Normal 27 2 2 13" xfId="6906"/>
    <cellStyle name="Normal 27 2 2 14" xfId="7436"/>
    <cellStyle name="Normal 27 2 2 2" xfId="921"/>
    <cellStyle name="Normal 27 2 2 3" xfId="1467"/>
    <cellStyle name="Normal 27 2 2 4" xfId="2011"/>
    <cellStyle name="Normal 27 2 2 5" xfId="2554"/>
    <cellStyle name="Normal 27 2 2 6" xfId="3096"/>
    <cellStyle name="Normal 27 2 2 7" xfId="3642"/>
    <cellStyle name="Normal 27 2 2 8" xfId="4172"/>
    <cellStyle name="Normal 27 2 2 9" xfId="4730"/>
    <cellStyle name="Normal 27 2 3" xfId="663"/>
    <cellStyle name="Normal 27 2 4" xfId="1209"/>
    <cellStyle name="Normal 27 2 5" xfId="1753"/>
    <cellStyle name="Normal 27 2 6" xfId="2296"/>
    <cellStyle name="Normal 27 2 7" xfId="2840"/>
    <cellStyle name="Normal 27 2 8" xfId="3384"/>
    <cellStyle name="Normal 27 2 9" xfId="3928"/>
    <cellStyle name="Normal 27 3" xfId="118"/>
    <cellStyle name="Normal 27 3 10" xfId="4516"/>
    <cellStyle name="Normal 27 3 11" xfId="5060"/>
    <cellStyle name="Normal 27 3 12" xfId="5604"/>
    <cellStyle name="Normal 27 3 13" xfId="6148"/>
    <cellStyle name="Normal 27 3 14" xfId="6692"/>
    <cellStyle name="Normal 27 3 15" xfId="7236"/>
    <cellStyle name="Normal 27 3 2" xfId="376"/>
    <cellStyle name="Normal 27 3 2 10" xfId="5304"/>
    <cellStyle name="Normal 27 3 2 11" xfId="5862"/>
    <cellStyle name="Normal 27 3 2 12" xfId="6406"/>
    <cellStyle name="Normal 27 3 2 13" xfId="6950"/>
    <cellStyle name="Normal 27 3 2 14" xfId="7480"/>
    <cellStyle name="Normal 27 3 2 2" xfId="965"/>
    <cellStyle name="Normal 27 3 2 3" xfId="1511"/>
    <cellStyle name="Normal 27 3 2 4" xfId="2055"/>
    <cellStyle name="Normal 27 3 2 5" xfId="2598"/>
    <cellStyle name="Normal 27 3 2 6" xfId="3140"/>
    <cellStyle name="Normal 27 3 2 7" xfId="3686"/>
    <cellStyle name="Normal 27 3 2 8" xfId="4216"/>
    <cellStyle name="Normal 27 3 2 9" xfId="4774"/>
    <cellStyle name="Normal 27 3 3" xfId="707"/>
    <cellStyle name="Normal 27 3 4" xfId="1253"/>
    <cellStyle name="Normal 27 3 5" xfId="1797"/>
    <cellStyle name="Normal 27 3 6" xfId="2340"/>
    <cellStyle name="Normal 27 3 7" xfId="2884"/>
    <cellStyle name="Normal 27 3 8" xfId="3428"/>
    <cellStyle name="Normal 27 3 9" xfId="3972"/>
    <cellStyle name="Normal 27 4" xfId="161"/>
    <cellStyle name="Normal 27 4 10" xfId="4559"/>
    <cellStyle name="Normal 27 4 11" xfId="5102"/>
    <cellStyle name="Normal 27 4 12" xfId="5647"/>
    <cellStyle name="Normal 27 4 13" xfId="6191"/>
    <cellStyle name="Normal 27 4 14" xfId="6735"/>
    <cellStyle name="Normal 27 4 15" xfId="7278"/>
    <cellStyle name="Normal 27 4 2" xfId="418"/>
    <cellStyle name="Normal 27 4 2 10" xfId="5345"/>
    <cellStyle name="Normal 27 4 2 11" xfId="5904"/>
    <cellStyle name="Normal 27 4 2 12" xfId="6448"/>
    <cellStyle name="Normal 27 4 2 13" xfId="6992"/>
    <cellStyle name="Normal 27 4 2 14" xfId="7521"/>
    <cellStyle name="Normal 27 4 2 2" xfId="1007"/>
    <cellStyle name="Normal 27 4 2 3" xfId="1553"/>
    <cellStyle name="Normal 27 4 2 4" xfId="2097"/>
    <cellStyle name="Normal 27 4 2 5" xfId="2640"/>
    <cellStyle name="Normal 27 4 2 6" xfId="3182"/>
    <cellStyle name="Normal 27 4 2 7" xfId="3728"/>
    <cellStyle name="Normal 27 4 2 8" xfId="4257"/>
    <cellStyle name="Normal 27 4 2 9" xfId="4816"/>
    <cellStyle name="Normal 27 4 3" xfId="750"/>
    <cellStyle name="Normal 27 4 4" xfId="1296"/>
    <cellStyle name="Normal 27 4 5" xfId="1840"/>
    <cellStyle name="Normal 27 4 6" xfId="2383"/>
    <cellStyle name="Normal 27 4 7" xfId="2927"/>
    <cellStyle name="Normal 27 4 8" xfId="3471"/>
    <cellStyle name="Normal 27 4 9" xfId="4014"/>
    <cellStyle name="Normal 27 5" xfId="230"/>
    <cellStyle name="Normal 27 5 10" xfId="4628"/>
    <cellStyle name="Normal 27 5 11" xfId="5166"/>
    <cellStyle name="Normal 27 5 12" xfId="5716"/>
    <cellStyle name="Normal 27 5 13" xfId="6260"/>
    <cellStyle name="Normal 27 5 14" xfId="6804"/>
    <cellStyle name="Normal 27 5 15" xfId="7342"/>
    <cellStyle name="Normal 27 5 2" xfId="482"/>
    <cellStyle name="Normal 27 5 2 10" xfId="5409"/>
    <cellStyle name="Normal 27 5 2 11" xfId="5968"/>
    <cellStyle name="Normal 27 5 2 12" xfId="6512"/>
    <cellStyle name="Normal 27 5 2 13" xfId="7056"/>
    <cellStyle name="Normal 27 5 2 14" xfId="7585"/>
    <cellStyle name="Normal 27 5 2 2" xfId="1071"/>
    <cellStyle name="Normal 27 5 2 3" xfId="1617"/>
    <cellStyle name="Normal 27 5 2 4" xfId="2161"/>
    <cellStyle name="Normal 27 5 2 5" xfId="2704"/>
    <cellStyle name="Normal 27 5 2 6" xfId="3246"/>
    <cellStyle name="Normal 27 5 2 7" xfId="3792"/>
    <cellStyle name="Normal 27 5 2 8" xfId="4321"/>
    <cellStyle name="Normal 27 5 2 9" xfId="4880"/>
    <cellStyle name="Normal 27 5 3" xfId="819"/>
    <cellStyle name="Normal 27 5 4" xfId="1365"/>
    <cellStyle name="Normal 27 5 5" xfId="1909"/>
    <cellStyle name="Normal 27 5 6" xfId="2452"/>
    <cellStyle name="Normal 27 5 7" xfId="2995"/>
    <cellStyle name="Normal 27 5 8" xfId="3540"/>
    <cellStyle name="Normal 27 5 9" xfId="4078"/>
    <cellStyle name="Normal 27 6" xfId="287"/>
    <cellStyle name="Normal 27 6 10" xfId="5216"/>
    <cellStyle name="Normal 27 6 11" xfId="5773"/>
    <cellStyle name="Normal 27 6 12" xfId="6317"/>
    <cellStyle name="Normal 27 6 13" xfId="6861"/>
    <cellStyle name="Normal 27 6 14" xfId="7392"/>
    <cellStyle name="Normal 27 6 2" xfId="876"/>
    <cellStyle name="Normal 27 6 3" xfId="1422"/>
    <cellStyle name="Normal 27 6 4" xfId="1966"/>
    <cellStyle name="Normal 27 6 5" xfId="2509"/>
    <cellStyle name="Normal 27 6 6" xfId="3051"/>
    <cellStyle name="Normal 27 6 7" xfId="3597"/>
    <cellStyle name="Normal 27 6 8" xfId="4128"/>
    <cellStyle name="Normal 27 6 9" xfId="4685"/>
    <cellStyle name="Normal 27 7" xfId="618"/>
    <cellStyle name="Normal 27 8" xfId="1111"/>
    <cellStyle name="Normal 27 9" xfId="1657"/>
    <cellStyle name="Normal 28" xfId="31"/>
    <cellStyle name="Normal 28 10" xfId="1928"/>
    <cellStyle name="Normal 28 11" xfId="2471"/>
    <cellStyle name="Normal 28 12" xfId="3299"/>
    <cellStyle name="Normal 28 13" xfId="3559"/>
    <cellStyle name="Normal 28 14" xfId="4428"/>
    <cellStyle name="Normal 28 15" xfId="4647"/>
    <cellStyle name="Normal 28 16" xfId="5516"/>
    <cellStyle name="Normal 28 17" xfId="5735"/>
    <cellStyle name="Normal 28 18" xfId="6279"/>
    <cellStyle name="Normal 28 19" xfId="6823"/>
    <cellStyle name="Normal 28 2" xfId="75"/>
    <cellStyle name="Normal 28 2 10" xfId="4473"/>
    <cellStyle name="Normal 28 2 11" xfId="5017"/>
    <cellStyle name="Normal 28 2 12" xfId="5561"/>
    <cellStyle name="Normal 28 2 13" xfId="6105"/>
    <cellStyle name="Normal 28 2 14" xfId="6649"/>
    <cellStyle name="Normal 28 2 15" xfId="7193"/>
    <cellStyle name="Normal 28 2 2" xfId="333"/>
    <cellStyle name="Normal 28 2 2 10" xfId="5261"/>
    <cellStyle name="Normal 28 2 2 11" xfId="5819"/>
    <cellStyle name="Normal 28 2 2 12" xfId="6363"/>
    <cellStyle name="Normal 28 2 2 13" xfId="6907"/>
    <cellStyle name="Normal 28 2 2 14" xfId="7437"/>
    <cellStyle name="Normal 28 2 2 2" xfId="922"/>
    <cellStyle name="Normal 28 2 2 3" xfId="1468"/>
    <cellStyle name="Normal 28 2 2 4" xfId="2012"/>
    <cellStyle name="Normal 28 2 2 5" xfId="2555"/>
    <cellStyle name="Normal 28 2 2 6" xfId="3097"/>
    <cellStyle name="Normal 28 2 2 7" xfId="3643"/>
    <cellStyle name="Normal 28 2 2 8" xfId="4173"/>
    <cellStyle name="Normal 28 2 2 9" xfId="4731"/>
    <cellStyle name="Normal 28 2 3" xfId="664"/>
    <cellStyle name="Normal 28 2 4" xfId="1210"/>
    <cellStyle name="Normal 28 2 5" xfId="1754"/>
    <cellStyle name="Normal 28 2 6" xfId="2297"/>
    <cellStyle name="Normal 28 2 7" xfId="2841"/>
    <cellStyle name="Normal 28 2 8" xfId="3385"/>
    <cellStyle name="Normal 28 2 9" xfId="3929"/>
    <cellStyle name="Normal 28 3" xfId="119"/>
    <cellStyle name="Normal 28 3 10" xfId="4517"/>
    <cellStyle name="Normal 28 3 11" xfId="5061"/>
    <cellStyle name="Normal 28 3 12" xfId="5605"/>
    <cellStyle name="Normal 28 3 13" xfId="6149"/>
    <cellStyle name="Normal 28 3 14" xfId="6693"/>
    <cellStyle name="Normal 28 3 15" xfId="7237"/>
    <cellStyle name="Normal 28 3 2" xfId="377"/>
    <cellStyle name="Normal 28 3 2 10" xfId="5305"/>
    <cellStyle name="Normal 28 3 2 11" xfId="5863"/>
    <cellStyle name="Normal 28 3 2 12" xfId="6407"/>
    <cellStyle name="Normal 28 3 2 13" xfId="6951"/>
    <cellStyle name="Normal 28 3 2 14" xfId="7481"/>
    <cellStyle name="Normal 28 3 2 2" xfId="966"/>
    <cellStyle name="Normal 28 3 2 3" xfId="1512"/>
    <cellStyle name="Normal 28 3 2 4" xfId="2056"/>
    <cellStyle name="Normal 28 3 2 5" xfId="2599"/>
    <cellStyle name="Normal 28 3 2 6" xfId="3141"/>
    <cellStyle name="Normal 28 3 2 7" xfId="3687"/>
    <cellStyle name="Normal 28 3 2 8" xfId="4217"/>
    <cellStyle name="Normal 28 3 2 9" xfId="4775"/>
    <cellStyle name="Normal 28 3 3" xfId="708"/>
    <cellStyle name="Normal 28 3 4" xfId="1254"/>
    <cellStyle name="Normal 28 3 5" xfId="1798"/>
    <cellStyle name="Normal 28 3 6" xfId="2341"/>
    <cellStyle name="Normal 28 3 7" xfId="2885"/>
    <cellStyle name="Normal 28 3 8" xfId="3429"/>
    <cellStyle name="Normal 28 3 9" xfId="3973"/>
    <cellStyle name="Normal 28 4" xfId="160"/>
    <cellStyle name="Normal 28 4 10" xfId="4558"/>
    <cellStyle name="Normal 28 4 11" xfId="5101"/>
    <cellStyle name="Normal 28 4 12" xfId="5646"/>
    <cellStyle name="Normal 28 4 13" xfId="6190"/>
    <cellStyle name="Normal 28 4 14" xfId="6734"/>
    <cellStyle name="Normal 28 4 15" xfId="7277"/>
    <cellStyle name="Normal 28 4 2" xfId="417"/>
    <cellStyle name="Normal 28 4 2 10" xfId="5344"/>
    <cellStyle name="Normal 28 4 2 11" xfId="5903"/>
    <cellStyle name="Normal 28 4 2 12" xfId="6447"/>
    <cellStyle name="Normal 28 4 2 13" xfId="6991"/>
    <cellStyle name="Normal 28 4 2 14" xfId="7520"/>
    <cellStyle name="Normal 28 4 2 2" xfId="1006"/>
    <cellStyle name="Normal 28 4 2 3" xfId="1552"/>
    <cellStyle name="Normal 28 4 2 4" xfId="2096"/>
    <cellStyle name="Normal 28 4 2 5" xfId="2639"/>
    <cellStyle name="Normal 28 4 2 6" xfId="3181"/>
    <cellStyle name="Normal 28 4 2 7" xfId="3727"/>
    <cellStyle name="Normal 28 4 2 8" xfId="4256"/>
    <cellStyle name="Normal 28 4 2 9" xfId="4815"/>
    <cellStyle name="Normal 28 4 3" xfId="749"/>
    <cellStyle name="Normal 28 4 4" xfId="1295"/>
    <cellStyle name="Normal 28 4 5" xfId="1839"/>
    <cellStyle name="Normal 28 4 6" xfId="2382"/>
    <cellStyle name="Normal 28 4 7" xfId="2926"/>
    <cellStyle name="Normal 28 4 8" xfId="3470"/>
    <cellStyle name="Normal 28 4 9" xfId="4013"/>
    <cellStyle name="Normal 28 5" xfId="203"/>
    <cellStyle name="Normal 28 5 10" xfId="4601"/>
    <cellStyle name="Normal 28 5 11" xfId="5141"/>
    <cellStyle name="Normal 28 5 12" xfId="5689"/>
    <cellStyle name="Normal 28 5 13" xfId="6233"/>
    <cellStyle name="Normal 28 5 14" xfId="6777"/>
    <cellStyle name="Normal 28 5 15" xfId="7317"/>
    <cellStyle name="Normal 28 5 2" xfId="457"/>
    <cellStyle name="Normal 28 5 2 10" xfId="5384"/>
    <cellStyle name="Normal 28 5 2 11" xfId="5943"/>
    <cellStyle name="Normal 28 5 2 12" xfId="6487"/>
    <cellStyle name="Normal 28 5 2 13" xfId="7031"/>
    <cellStyle name="Normal 28 5 2 14" xfId="7560"/>
    <cellStyle name="Normal 28 5 2 2" xfId="1046"/>
    <cellStyle name="Normal 28 5 2 3" xfId="1592"/>
    <cellStyle name="Normal 28 5 2 4" xfId="2136"/>
    <cellStyle name="Normal 28 5 2 5" xfId="2679"/>
    <cellStyle name="Normal 28 5 2 6" xfId="3221"/>
    <cellStyle name="Normal 28 5 2 7" xfId="3767"/>
    <cellStyle name="Normal 28 5 2 8" xfId="4296"/>
    <cellStyle name="Normal 28 5 2 9" xfId="4855"/>
    <cellStyle name="Normal 28 5 3" xfId="792"/>
    <cellStyle name="Normal 28 5 4" xfId="1338"/>
    <cellStyle name="Normal 28 5 5" xfId="1882"/>
    <cellStyle name="Normal 28 5 6" xfId="2425"/>
    <cellStyle name="Normal 28 5 7" xfId="2968"/>
    <cellStyle name="Normal 28 5 8" xfId="3513"/>
    <cellStyle name="Normal 28 5 9" xfId="4053"/>
    <cellStyle name="Normal 28 6" xfId="288"/>
    <cellStyle name="Normal 28 6 10" xfId="5217"/>
    <cellStyle name="Normal 28 6 11" xfId="5774"/>
    <cellStyle name="Normal 28 6 12" xfId="6318"/>
    <cellStyle name="Normal 28 6 13" xfId="6862"/>
    <cellStyle name="Normal 28 6 14" xfId="7393"/>
    <cellStyle name="Normal 28 6 2" xfId="877"/>
    <cellStyle name="Normal 28 6 3" xfId="1423"/>
    <cellStyle name="Normal 28 6 4" xfId="1967"/>
    <cellStyle name="Normal 28 6 5" xfId="2510"/>
    <cellStyle name="Normal 28 6 6" xfId="3052"/>
    <cellStyle name="Normal 28 6 7" xfId="3598"/>
    <cellStyle name="Normal 28 6 8" xfId="4129"/>
    <cellStyle name="Normal 28 6 9" xfId="4686"/>
    <cellStyle name="Normal 28 7" xfId="619"/>
    <cellStyle name="Normal 28 8" xfId="838"/>
    <cellStyle name="Normal 28 9" xfId="1384"/>
    <cellStyle name="Normal 29" xfId="32"/>
    <cellStyle name="Normal 29 10" xfId="2074"/>
    <cellStyle name="Normal 29 11" xfId="2617"/>
    <cellStyle name="Normal 29 12" xfId="3255"/>
    <cellStyle name="Normal 29 13" xfId="3705"/>
    <cellStyle name="Normal 29 14" xfId="4429"/>
    <cellStyle name="Normal 29 15" xfId="4793"/>
    <cellStyle name="Normal 29 16" xfId="5517"/>
    <cellStyle name="Normal 29 17" xfId="5881"/>
    <cellStyle name="Normal 29 18" xfId="6425"/>
    <cellStyle name="Normal 29 19" xfId="6969"/>
    <cellStyle name="Normal 29 2" xfId="76"/>
    <cellStyle name="Normal 29 2 10" xfId="4474"/>
    <cellStyle name="Normal 29 2 11" xfId="5018"/>
    <cellStyle name="Normal 29 2 12" xfId="5562"/>
    <cellStyle name="Normal 29 2 13" xfId="6106"/>
    <cellStyle name="Normal 29 2 14" xfId="6650"/>
    <cellStyle name="Normal 29 2 15" xfId="7194"/>
    <cellStyle name="Normal 29 2 2" xfId="334"/>
    <cellStyle name="Normal 29 2 2 10" xfId="5262"/>
    <cellStyle name="Normal 29 2 2 11" xfId="5820"/>
    <cellStyle name="Normal 29 2 2 12" xfId="6364"/>
    <cellStyle name="Normal 29 2 2 13" xfId="6908"/>
    <cellStyle name="Normal 29 2 2 14" xfId="7438"/>
    <cellStyle name="Normal 29 2 2 2" xfId="923"/>
    <cellStyle name="Normal 29 2 2 3" xfId="1469"/>
    <cellStyle name="Normal 29 2 2 4" xfId="2013"/>
    <cellStyle name="Normal 29 2 2 5" xfId="2556"/>
    <cellStyle name="Normal 29 2 2 6" xfId="3098"/>
    <cellStyle name="Normal 29 2 2 7" xfId="3644"/>
    <cellStyle name="Normal 29 2 2 8" xfId="4174"/>
    <cellStyle name="Normal 29 2 2 9" xfId="4732"/>
    <cellStyle name="Normal 29 2 3" xfId="665"/>
    <cellStyle name="Normal 29 2 4" xfId="1211"/>
    <cellStyle name="Normal 29 2 5" xfId="1755"/>
    <cellStyle name="Normal 29 2 6" xfId="2298"/>
    <cellStyle name="Normal 29 2 7" xfId="2842"/>
    <cellStyle name="Normal 29 2 8" xfId="3386"/>
    <cellStyle name="Normal 29 2 9" xfId="3930"/>
    <cellStyle name="Normal 29 3" xfId="120"/>
    <cellStyle name="Normal 29 3 10" xfId="4518"/>
    <cellStyle name="Normal 29 3 11" xfId="5062"/>
    <cellStyle name="Normal 29 3 12" xfId="5606"/>
    <cellStyle name="Normal 29 3 13" xfId="6150"/>
    <cellStyle name="Normal 29 3 14" xfId="6694"/>
    <cellStyle name="Normal 29 3 15" xfId="7238"/>
    <cellStyle name="Normal 29 3 2" xfId="378"/>
    <cellStyle name="Normal 29 3 2 10" xfId="5306"/>
    <cellStyle name="Normal 29 3 2 11" xfId="5864"/>
    <cellStyle name="Normal 29 3 2 12" xfId="6408"/>
    <cellStyle name="Normal 29 3 2 13" xfId="6952"/>
    <cellStyle name="Normal 29 3 2 14" xfId="7482"/>
    <cellStyle name="Normal 29 3 2 2" xfId="967"/>
    <cellStyle name="Normal 29 3 2 3" xfId="1513"/>
    <cellStyle name="Normal 29 3 2 4" xfId="2057"/>
    <cellStyle name="Normal 29 3 2 5" xfId="2600"/>
    <cellStyle name="Normal 29 3 2 6" xfId="3142"/>
    <cellStyle name="Normal 29 3 2 7" xfId="3688"/>
    <cellStyle name="Normal 29 3 2 8" xfId="4218"/>
    <cellStyle name="Normal 29 3 2 9" xfId="4776"/>
    <cellStyle name="Normal 29 3 3" xfId="709"/>
    <cellStyle name="Normal 29 3 4" xfId="1255"/>
    <cellStyle name="Normal 29 3 5" xfId="1799"/>
    <cellStyle name="Normal 29 3 6" xfId="2342"/>
    <cellStyle name="Normal 29 3 7" xfId="2886"/>
    <cellStyle name="Normal 29 3 8" xfId="3430"/>
    <cellStyle name="Normal 29 3 9" xfId="3974"/>
    <cellStyle name="Normal 29 4" xfId="159"/>
    <cellStyle name="Normal 29 4 10" xfId="4557"/>
    <cellStyle name="Normal 29 4 11" xfId="5100"/>
    <cellStyle name="Normal 29 4 12" xfId="5645"/>
    <cellStyle name="Normal 29 4 13" xfId="6189"/>
    <cellStyle name="Normal 29 4 14" xfId="6733"/>
    <cellStyle name="Normal 29 4 15" xfId="7276"/>
    <cellStyle name="Normal 29 4 2" xfId="416"/>
    <cellStyle name="Normal 29 4 2 10" xfId="5343"/>
    <cellStyle name="Normal 29 4 2 11" xfId="5902"/>
    <cellStyle name="Normal 29 4 2 12" xfId="6446"/>
    <cellStyle name="Normal 29 4 2 13" xfId="6990"/>
    <cellStyle name="Normal 29 4 2 14" xfId="7519"/>
    <cellStyle name="Normal 29 4 2 2" xfId="1005"/>
    <cellStyle name="Normal 29 4 2 3" xfId="1551"/>
    <cellStyle name="Normal 29 4 2 4" xfId="2095"/>
    <cellStyle name="Normal 29 4 2 5" xfId="2638"/>
    <cellStyle name="Normal 29 4 2 6" xfId="3180"/>
    <cellStyle name="Normal 29 4 2 7" xfId="3726"/>
    <cellStyle name="Normal 29 4 2 8" xfId="4255"/>
    <cellStyle name="Normal 29 4 2 9" xfId="4814"/>
    <cellStyle name="Normal 29 4 3" xfId="748"/>
    <cellStyle name="Normal 29 4 4" xfId="1294"/>
    <cellStyle name="Normal 29 4 5" xfId="1838"/>
    <cellStyle name="Normal 29 4 6" xfId="2381"/>
    <cellStyle name="Normal 29 4 7" xfId="2925"/>
    <cellStyle name="Normal 29 4 8" xfId="3469"/>
    <cellStyle name="Normal 29 4 9" xfId="4012"/>
    <cellStyle name="Normal 29 5" xfId="229"/>
    <cellStyle name="Normal 29 5 10" xfId="4627"/>
    <cellStyle name="Normal 29 5 11" xfId="5165"/>
    <cellStyle name="Normal 29 5 12" xfId="5715"/>
    <cellStyle name="Normal 29 5 13" xfId="6259"/>
    <cellStyle name="Normal 29 5 14" xfId="6803"/>
    <cellStyle name="Normal 29 5 15" xfId="7341"/>
    <cellStyle name="Normal 29 5 2" xfId="481"/>
    <cellStyle name="Normal 29 5 2 10" xfId="5408"/>
    <cellStyle name="Normal 29 5 2 11" xfId="5967"/>
    <cellStyle name="Normal 29 5 2 12" xfId="6511"/>
    <cellStyle name="Normal 29 5 2 13" xfId="7055"/>
    <cellStyle name="Normal 29 5 2 14" xfId="7584"/>
    <cellStyle name="Normal 29 5 2 2" xfId="1070"/>
    <cellStyle name="Normal 29 5 2 3" xfId="1616"/>
    <cellStyle name="Normal 29 5 2 4" xfId="2160"/>
    <cellStyle name="Normal 29 5 2 5" xfId="2703"/>
    <cellStyle name="Normal 29 5 2 6" xfId="3245"/>
    <cellStyle name="Normal 29 5 2 7" xfId="3791"/>
    <cellStyle name="Normal 29 5 2 8" xfId="4320"/>
    <cellStyle name="Normal 29 5 2 9" xfId="4879"/>
    <cellStyle name="Normal 29 5 3" xfId="818"/>
    <cellStyle name="Normal 29 5 4" xfId="1364"/>
    <cellStyle name="Normal 29 5 5" xfId="1908"/>
    <cellStyle name="Normal 29 5 6" xfId="2451"/>
    <cellStyle name="Normal 29 5 7" xfId="2994"/>
    <cellStyle name="Normal 29 5 8" xfId="3539"/>
    <cellStyle name="Normal 29 5 9" xfId="4077"/>
    <cellStyle name="Normal 29 6" xfId="289"/>
    <cellStyle name="Normal 29 6 10" xfId="5218"/>
    <cellStyle name="Normal 29 6 11" xfId="5775"/>
    <cellStyle name="Normal 29 6 12" xfId="6319"/>
    <cellStyle name="Normal 29 6 13" xfId="6863"/>
    <cellStyle name="Normal 29 6 14" xfId="7394"/>
    <cellStyle name="Normal 29 6 2" xfId="878"/>
    <cellStyle name="Normal 29 6 3" xfId="1424"/>
    <cellStyle name="Normal 29 6 4" xfId="1968"/>
    <cellStyle name="Normal 29 6 5" xfId="2511"/>
    <cellStyle name="Normal 29 6 6" xfId="3053"/>
    <cellStyle name="Normal 29 6 7" xfId="3599"/>
    <cellStyle name="Normal 29 6 8" xfId="4130"/>
    <cellStyle name="Normal 29 6 9" xfId="4687"/>
    <cellStyle name="Normal 29 7" xfId="620"/>
    <cellStyle name="Normal 29 8" xfId="984"/>
    <cellStyle name="Normal 29 9" xfId="1530"/>
    <cellStyle name="Normal 3" xfId="2"/>
    <cellStyle name="Normal 3 10" xfId="2203"/>
    <cellStyle name="Normal 3 11" xfId="2746"/>
    <cellStyle name="Normal 3 12" xfId="3290"/>
    <cellStyle name="Normal 3 13" xfId="3834"/>
    <cellStyle name="Normal 3 14" xfId="4355"/>
    <cellStyle name="Normal 3 15" xfId="4922"/>
    <cellStyle name="Normal 3 16" xfId="5460"/>
    <cellStyle name="Normal 3 17" xfId="6010"/>
    <cellStyle name="Normal 3 18" xfId="6554"/>
    <cellStyle name="Normal 3 19" xfId="7098"/>
    <cellStyle name="Normal 3 2" xfId="6"/>
    <cellStyle name="Normal 3 2 10" xfId="4448"/>
    <cellStyle name="Normal 3 2 11" xfId="4971"/>
    <cellStyle name="Normal 3 2 12" xfId="5536"/>
    <cellStyle name="Normal 3 2 13" xfId="6059"/>
    <cellStyle name="Normal 3 2 14" xfId="6603"/>
    <cellStyle name="Normal 3 2 15" xfId="7147"/>
    <cellStyle name="Normal 3 2 2" xfId="308"/>
    <cellStyle name="Normal 3 2 2 10" xfId="5236"/>
    <cellStyle name="Normal 3 2 2 11" xfId="5794"/>
    <cellStyle name="Normal 3 2 2 12" xfId="6338"/>
    <cellStyle name="Normal 3 2 2 13" xfId="6882"/>
    <cellStyle name="Normal 3 2 2 14" xfId="7412"/>
    <cellStyle name="Normal 3 2 2 2" xfId="897"/>
    <cellStyle name="Normal 3 2 2 3" xfId="1443"/>
    <cellStyle name="Normal 3 2 2 4" xfId="1987"/>
    <cellStyle name="Normal 3 2 2 5" xfId="2530"/>
    <cellStyle name="Normal 3 2 2 6" xfId="3072"/>
    <cellStyle name="Normal 3 2 2 7" xfId="3618"/>
    <cellStyle name="Normal 3 2 2 8" xfId="4148"/>
    <cellStyle name="Normal 3 2 2 9" xfId="4706"/>
    <cellStyle name="Normal 3 2 3" xfId="639"/>
    <cellStyle name="Normal 3 2 4" xfId="1135"/>
    <cellStyle name="Normal 3 2 5" xfId="1708"/>
    <cellStyle name="Normal 3 2 6" xfId="2251"/>
    <cellStyle name="Normal 3 2 7" xfId="2795"/>
    <cellStyle name="Normal 3 2 8" xfId="3350"/>
    <cellStyle name="Normal 3 2 9" xfId="3883"/>
    <cellStyle name="Normal 3 20" xfId="7667"/>
    <cellStyle name="Normal 3 21" xfId="7669"/>
    <cellStyle name="Normal 3 22" xfId="7671"/>
    <cellStyle name="Normal 3 3" xfId="94"/>
    <cellStyle name="Normal 3 3 10" xfId="4492"/>
    <cellStyle name="Normal 3 3 11" xfId="5036"/>
    <cellStyle name="Normal 3 3 12" xfId="5580"/>
    <cellStyle name="Normal 3 3 13" xfId="6124"/>
    <cellStyle name="Normal 3 3 14" xfId="6668"/>
    <cellStyle name="Normal 3 3 15" xfId="7212"/>
    <cellStyle name="Normal 3 3 2" xfId="352"/>
    <cellStyle name="Normal 3 3 2 10" xfId="5280"/>
    <cellStyle name="Normal 3 3 2 11" xfId="5838"/>
    <cellStyle name="Normal 3 3 2 12" xfId="6382"/>
    <cellStyle name="Normal 3 3 2 13" xfId="6926"/>
    <cellStyle name="Normal 3 3 2 14" xfId="7456"/>
    <cellStyle name="Normal 3 3 2 2" xfId="941"/>
    <cellStyle name="Normal 3 3 2 3" xfId="1487"/>
    <cellStyle name="Normal 3 3 2 4" xfId="2031"/>
    <cellStyle name="Normal 3 3 2 5" xfId="2574"/>
    <cellStyle name="Normal 3 3 2 6" xfId="3116"/>
    <cellStyle name="Normal 3 3 2 7" xfId="3662"/>
    <cellStyle name="Normal 3 3 2 8" xfId="4192"/>
    <cellStyle name="Normal 3 3 2 9" xfId="4750"/>
    <cellStyle name="Normal 3 3 3" xfId="683"/>
    <cellStyle name="Normal 3 3 4" xfId="1229"/>
    <cellStyle name="Normal 3 3 5" xfId="1773"/>
    <cellStyle name="Normal 3 3 6" xfId="2316"/>
    <cellStyle name="Normal 3 3 7" xfId="2860"/>
    <cellStyle name="Normal 3 3 8" xfId="3404"/>
    <cellStyle name="Normal 3 3 9" xfId="3948"/>
    <cellStyle name="Normal 3 4" xfId="144"/>
    <cellStyle name="Normal 3 4 10" xfId="4542"/>
    <cellStyle name="Normal 3 4 11" xfId="5085"/>
    <cellStyle name="Normal 3 4 12" xfId="5630"/>
    <cellStyle name="Normal 3 4 13" xfId="6174"/>
    <cellStyle name="Normal 3 4 14" xfId="6718"/>
    <cellStyle name="Normal 3 4 15" xfId="7261"/>
    <cellStyle name="Normal 3 4 2" xfId="401"/>
    <cellStyle name="Normal 3 4 2 10" xfId="5328"/>
    <cellStyle name="Normal 3 4 2 11" xfId="5887"/>
    <cellStyle name="Normal 3 4 2 12" xfId="6431"/>
    <cellStyle name="Normal 3 4 2 13" xfId="6975"/>
    <cellStyle name="Normal 3 4 2 14" xfId="7504"/>
    <cellStyle name="Normal 3 4 2 2" xfId="990"/>
    <cellStyle name="Normal 3 4 2 3" xfId="1536"/>
    <cellStyle name="Normal 3 4 2 4" xfId="2080"/>
    <cellStyle name="Normal 3 4 2 5" xfId="2623"/>
    <cellStyle name="Normal 3 4 2 6" xfId="3165"/>
    <cellStyle name="Normal 3 4 2 7" xfId="3711"/>
    <cellStyle name="Normal 3 4 2 8" xfId="4240"/>
    <cellStyle name="Normal 3 4 2 9" xfId="4799"/>
    <cellStyle name="Normal 3 4 3" xfId="733"/>
    <cellStyle name="Normal 3 4 4" xfId="1279"/>
    <cellStyle name="Normal 3 4 5" xfId="1823"/>
    <cellStyle name="Normal 3 4 6" xfId="2366"/>
    <cellStyle name="Normal 3 4 7" xfId="2910"/>
    <cellStyle name="Normal 3 4 8" xfId="3454"/>
    <cellStyle name="Normal 3 4 9" xfId="3997"/>
    <cellStyle name="Normal 3 5" xfId="193"/>
    <cellStyle name="Normal 3 5 10" xfId="4591"/>
    <cellStyle name="Normal 3 5 11" xfId="5132"/>
    <cellStyle name="Normal 3 5 12" xfId="5679"/>
    <cellStyle name="Normal 3 5 13" xfId="6223"/>
    <cellStyle name="Normal 3 5 14" xfId="6767"/>
    <cellStyle name="Normal 3 5 15" xfId="7308"/>
    <cellStyle name="Normal 3 5 2" xfId="448"/>
    <cellStyle name="Normal 3 5 2 10" xfId="5375"/>
    <cellStyle name="Normal 3 5 2 11" xfId="5934"/>
    <cellStyle name="Normal 3 5 2 12" xfId="6478"/>
    <cellStyle name="Normal 3 5 2 13" xfId="7022"/>
    <cellStyle name="Normal 3 5 2 14" xfId="7551"/>
    <cellStyle name="Normal 3 5 2 2" xfId="1037"/>
    <cellStyle name="Normal 3 5 2 3" xfId="1583"/>
    <cellStyle name="Normal 3 5 2 4" xfId="2127"/>
    <cellStyle name="Normal 3 5 2 5" xfId="2670"/>
    <cellStyle name="Normal 3 5 2 6" xfId="3212"/>
    <cellStyle name="Normal 3 5 2 7" xfId="3758"/>
    <cellStyle name="Normal 3 5 2 8" xfId="4287"/>
    <cellStyle name="Normal 3 5 2 9" xfId="4846"/>
    <cellStyle name="Normal 3 5 3" xfId="782"/>
    <cellStyle name="Normal 3 5 4" xfId="1328"/>
    <cellStyle name="Normal 3 5 5" xfId="1872"/>
    <cellStyle name="Normal 3 5 6" xfId="2415"/>
    <cellStyle name="Normal 3 5 7" xfId="2958"/>
    <cellStyle name="Normal 3 5 8" xfId="3503"/>
    <cellStyle name="Normal 3 5 9" xfId="4044"/>
    <cellStyle name="Normal 3 6" xfId="263"/>
    <cellStyle name="Normal 3 6 10" xfId="5192"/>
    <cellStyle name="Normal 3 6 11" xfId="5749"/>
    <cellStyle name="Normal 3 6 12" xfId="6293"/>
    <cellStyle name="Normal 3 6 13" xfId="6837"/>
    <cellStyle name="Normal 3 6 14" xfId="7368"/>
    <cellStyle name="Normal 3 6 2" xfId="852"/>
    <cellStyle name="Normal 3 6 3" xfId="1398"/>
    <cellStyle name="Normal 3 6 4" xfId="1942"/>
    <cellStyle name="Normal 3 6 5" xfId="2485"/>
    <cellStyle name="Normal 3 6 6" xfId="3027"/>
    <cellStyle name="Normal 3 6 7" xfId="3573"/>
    <cellStyle name="Normal 3 6 8" xfId="4104"/>
    <cellStyle name="Normal 3 6 9" xfId="4661"/>
    <cellStyle name="Normal 3 7" xfId="594"/>
    <cellStyle name="Normal 3 8" xfId="1113"/>
    <cellStyle name="Normal 3 9" xfId="1659"/>
    <cellStyle name="Normal 30" xfId="33"/>
    <cellStyle name="Normal 30 10" xfId="1925"/>
    <cellStyle name="Normal 30 11" xfId="2468"/>
    <cellStyle name="Normal 30 12" xfId="3336"/>
    <cellStyle name="Normal 30 13" xfId="3556"/>
    <cellStyle name="Normal 30 14" xfId="4430"/>
    <cellStyle name="Normal 30 15" xfId="4644"/>
    <cellStyle name="Normal 30 16" xfId="5518"/>
    <cellStyle name="Normal 30 17" xfId="5732"/>
    <cellStyle name="Normal 30 18" xfId="6276"/>
    <cellStyle name="Normal 30 19" xfId="6820"/>
    <cellStyle name="Normal 30 2" xfId="77"/>
    <cellStyle name="Normal 30 2 10" xfId="4475"/>
    <cellStyle name="Normal 30 2 11" xfId="5019"/>
    <cellStyle name="Normal 30 2 12" xfId="5563"/>
    <cellStyle name="Normal 30 2 13" xfId="6107"/>
    <cellStyle name="Normal 30 2 14" xfId="6651"/>
    <cellStyle name="Normal 30 2 15" xfId="7195"/>
    <cellStyle name="Normal 30 2 2" xfId="335"/>
    <cellStyle name="Normal 30 2 2 10" xfId="5263"/>
    <cellStyle name="Normal 30 2 2 11" xfId="5821"/>
    <cellStyle name="Normal 30 2 2 12" xfId="6365"/>
    <cellStyle name="Normal 30 2 2 13" xfId="6909"/>
    <cellStyle name="Normal 30 2 2 14" xfId="7439"/>
    <cellStyle name="Normal 30 2 2 2" xfId="924"/>
    <cellStyle name="Normal 30 2 2 3" xfId="1470"/>
    <cellStyle name="Normal 30 2 2 4" xfId="2014"/>
    <cellStyle name="Normal 30 2 2 5" xfId="2557"/>
    <cellStyle name="Normal 30 2 2 6" xfId="3099"/>
    <cellStyle name="Normal 30 2 2 7" xfId="3645"/>
    <cellStyle name="Normal 30 2 2 8" xfId="4175"/>
    <cellStyle name="Normal 30 2 2 9" xfId="4733"/>
    <cellStyle name="Normal 30 2 3" xfId="666"/>
    <cellStyle name="Normal 30 2 4" xfId="1212"/>
    <cellStyle name="Normal 30 2 5" xfId="1756"/>
    <cellStyle name="Normal 30 2 6" xfId="2299"/>
    <cellStyle name="Normal 30 2 7" xfId="2843"/>
    <cellStyle name="Normal 30 2 8" xfId="3387"/>
    <cellStyle name="Normal 30 2 9" xfId="3931"/>
    <cellStyle name="Normal 30 3" xfId="121"/>
    <cellStyle name="Normal 30 3 10" xfId="4519"/>
    <cellStyle name="Normal 30 3 11" xfId="5063"/>
    <cellStyle name="Normal 30 3 12" xfId="5607"/>
    <cellStyle name="Normal 30 3 13" xfId="6151"/>
    <cellStyle name="Normal 30 3 14" xfId="6695"/>
    <cellStyle name="Normal 30 3 15" xfId="7239"/>
    <cellStyle name="Normal 30 3 2" xfId="379"/>
    <cellStyle name="Normal 30 3 2 10" xfId="5307"/>
    <cellStyle name="Normal 30 3 2 11" xfId="5865"/>
    <cellStyle name="Normal 30 3 2 12" xfId="6409"/>
    <cellStyle name="Normal 30 3 2 13" xfId="6953"/>
    <cellStyle name="Normal 30 3 2 14" xfId="7483"/>
    <cellStyle name="Normal 30 3 2 2" xfId="968"/>
    <cellStyle name="Normal 30 3 2 3" xfId="1514"/>
    <cellStyle name="Normal 30 3 2 4" xfId="2058"/>
    <cellStyle name="Normal 30 3 2 5" xfId="2601"/>
    <cellStyle name="Normal 30 3 2 6" xfId="3143"/>
    <cellStyle name="Normal 30 3 2 7" xfId="3689"/>
    <cellStyle name="Normal 30 3 2 8" xfId="4219"/>
    <cellStyle name="Normal 30 3 2 9" xfId="4777"/>
    <cellStyle name="Normal 30 3 3" xfId="710"/>
    <cellStyle name="Normal 30 3 4" xfId="1256"/>
    <cellStyle name="Normal 30 3 5" xfId="1800"/>
    <cellStyle name="Normal 30 3 6" xfId="2343"/>
    <cellStyle name="Normal 30 3 7" xfId="2887"/>
    <cellStyle name="Normal 30 3 8" xfId="3431"/>
    <cellStyle name="Normal 30 3 9" xfId="3975"/>
    <cellStyle name="Normal 30 4" xfId="158"/>
    <cellStyle name="Normal 30 4 10" xfId="4556"/>
    <cellStyle name="Normal 30 4 11" xfId="5099"/>
    <cellStyle name="Normal 30 4 12" xfId="5644"/>
    <cellStyle name="Normal 30 4 13" xfId="6188"/>
    <cellStyle name="Normal 30 4 14" xfId="6732"/>
    <cellStyle name="Normal 30 4 15" xfId="7275"/>
    <cellStyle name="Normal 30 4 2" xfId="415"/>
    <cellStyle name="Normal 30 4 2 10" xfId="5342"/>
    <cellStyle name="Normal 30 4 2 11" xfId="5901"/>
    <cellStyle name="Normal 30 4 2 12" xfId="6445"/>
    <cellStyle name="Normal 30 4 2 13" xfId="6989"/>
    <cellStyle name="Normal 30 4 2 14" xfId="7518"/>
    <cellStyle name="Normal 30 4 2 2" xfId="1004"/>
    <cellStyle name="Normal 30 4 2 3" xfId="1550"/>
    <cellStyle name="Normal 30 4 2 4" xfId="2094"/>
    <cellStyle name="Normal 30 4 2 5" xfId="2637"/>
    <cellStyle name="Normal 30 4 2 6" xfId="3179"/>
    <cellStyle name="Normal 30 4 2 7" xfId="3725"/>
    <cellStyle name="Normal 30 4 2 8" xfId="4254"/>
    <cellStyle name="Normal 30 4 2 9" xfId="4813"/>
    <cellStyle name="Normal 30 4 3" xfId="747"/>
    <cellStyle name="Normal 30 4 4" xfId="1293"/>
    <cellStyle name="Normal 30 4 5" xfId="1837"/>
    <cellStyle name="Normal 30 4 6" xfId="2380"/>
    <cellStyle name="Normal 30 4 7" xfId="2924"/>
    <cellStyle name="Normal 30 4 8" xfId="3468"/>
    <cellStyle name="Normal 30 4 9" xfId="4011"/>
    <cellStyle name="Normal 30 5" xfId="202"/>
    <cellStyle name="Normal 30 5 10" xfId="4600"/>
    <cellStyle name="Normal 30 5 11" xfId="5140"/>
    <cellStyle name="Normal 30 5 12" xfId="5688"/>
    <cellStyle name="Normal 30 5 13" xfId="6232"/>
    <cellStyle name="Normal 30 5 14" xfId="6776"/>
    <cellStyle name="Normal 30 5 15" xfId="7316"/>
    <cellStyle name="Normal 30 5 2" xfId="456"/>
    <cellStyle name="Normal 30 5 2 10" xfId="5383"/>
    <cellStyle name="Normal 30 5 2 11" xfId="5942"/>
    <cellStyle name="Normal 30 5 2 12" xfId="6486"/>
    <cellStyle name="Normal 30 5 2 13" xfId="7030"/>
    <cellStyle name="Normal 30 5 2 14" xfId="7559"/>
    <cellStyle name="Normal 30 5 2 2" xfId="1045"/>
    <cellStyle name="Normal 30 5 2 3" xfId="1591"/>
    <cellStyle name="Normal 30 5 2 4" xfId="2135"/>
    <cellStyle name="Normal 30 5 2 5" xfId="2678"/>
    <cellStyle name="Normal 30 5 2 6" xfId="3220"/>
    <cellStyle name="Normal 30 5 2 7" xfId="3766"/>
    <cellStyle name="Normal 30 5 2 8" xfId="4295"/>
    <cellStyle name="Normal 30 5 2 9" xfId="4854"/>
    <cellStyle name="Normal 30 5 3" xfId="791"/>
    <cellStyle name="Normal 30 5 4" xfId="1337"/>
    <cellStyle name="Normal 30 5 5" xfId="1881"/>
    <cellStyle name="Normal 30 5 6" xfId="2424"/>
    <cellStyle name="Normal 30 5 7" xfId="2967"/>
    <cellStyle name="Normal 30 5 8" xfId="3512"/>
    <cellStyle name="Normal 30 5 9" xfId="4052"/>
    <cellStyle name="Normal 30 6" xfId="290"/>
    <cellStyle name="Normal 30 6 10" xfId="5219"/>
    <cellStyle name="Normal 30 6 11" xfId="5776"/>
    <cellStyle name="Normal 30 6 12" xfId="6320"/>
    <cellStyle name="Normal 30 6 13" xfId="6864"/>
    <cellStyle name="Normal 30 6 14" xfId="7395"/>
    <cellStyle name="Normal 30 6 2" xfId="879"/>
    <cellStyle name="Normal 30 6 3" xfId="1425"/>
    <cellStyle name="Normal 30 6 4" xfId="1969"/>
    <cellStyle name="Normal 30 6 5" xfId="2512"/>
    <cellStyle name="Normal 30 6 6" xfId="3054"/>
    <cellStyle name="Normal 30 6 7" xfId="3600"/>
    <cellStyle name="Normal 30 6 8" xfId="4131"/>
    <cellStyle name="Normal 30 6 9" xfId="4688"/>
    <cellStyle name="Normal 30 7" xfId="621"/>
    <cellStyle name="Normal 30 8" xfId="835"/>
    <cellStyle name="Normal 30 9" xfId="1381"/>
    <cellStyle name="Normal 31" xfId="34"/>
    <cellStyle name="Normal 31 10" xfId="2252"/>
    <cellStyle name="Normal 31 11" xfId="2796"/>
    <cellStyle name="Normal 31 12" xfId="3334"/>
    <cellStyle name="Normal 31 13" xfId="3884"/>
    <cellStyle name="Normal 31 14" xfId="4431"/>
    <cellStyle name="Normal 31 15" xfId="4972"/>
    <cellStyle name="Normal 31 16" xfId="5519"/>
    <cellStyle name="Normal 31 17" xfId="6060"/>
    <cellStyle name="Normal 31 18" xfId="6604"/>
    <cellStyle name="Normal 31 19" xfId="7148"/>
    <cellStyle name="Normal 31 2" xfId="78"/>
    <cellStyle name="Normal 31 2 10" xfId="4476"/>
    <cellStyle name="Normal 31 2 11" xfId="5020"/>
    <cellStyle name="Normal 31 2 12" xfId="5564"/>
    <cellStyle name="Normal 31 2 13" xfId="6108"/>
    <cellStyle name="Normal 31 2 14" xfId="6652"/>
    <cellStyle name="Normal 31 2 15" xfId="7196"/>
    <cellStyle name="Normal 31 2 2" xfId="336"/>
    <cellStyle name="Normal 31 2 2 10" xfId="5264"/>
    <cellStyle name="Normal 31 2 2 11" xfId="5822"/>
    <cellStyle name="Normal 31 2 2 12" xfId="6366"/>
    <cellStyle name="Normal 31 2 2 13" xfId="6910"/>
    <cellStyle name="Normal 31 2 2 14" xfId="7440"/>
    <cellStyle name="Normal 31 2 2 2" xfId="925"/>
    <cellStyle name="Normal 31 2 2 3" xfId="1471"/>
    <cellStyle name="Normal 31 2 2 4" xfId="2015"/>
    <cellStyle name="Normal 31 2 2 5" xfId="2558"/>
    <cellStyle name="Normal 31 2 2 6" xfId="3100"/>
    <cellStyle name="Normal 31 2 2 7" xfId="3646"/>
    <cellStyle name="Normal 31 2 2 8" xfId="4176"/>
    <cellStyle name="Normal 31 2 2 9" xfId="4734"/>
    <cellStyle name="Normal 31 2 3" xfId="667"/>
    <cellStyle name="Normal 31 2 4" xfId="1213"/>
    <cellStyle name="Normal 31 2 5" xfId="1757"/>
    <cellStyle name="Normal 31 2 6" xfId="2300"/>
    <cellStyle name="Normal 31 2 7" xfId="2844"/>
    <cellStyle name="Normal 31 2 8" xfId="3388"/>
    <cellStyle name="Normal 31 2 9" xfId="3932"/>
    <cellStyle name="Normal 31 3" xfId="122"/>
    <cellStyle name="Normal 31 3 10" xfId="4520"/>
    <cellStyle name="Normal 31 3 11" xfId="5064"/>
    <cellStyle name="Normal 31 3 12" xfId="5608"/>
    <cellStyle name="Normal 31 3 13" xfId="6152"/>
    <cellStyle name="Normal 31 3 14" xfId="6696"/>
    <cellStyle name="Normal 31 3 15" xfId="7240"/>
    <cellStyle name="Normal 31 3 2" xfId="380"/>
    <cellStyle name="Normal 31 3 2 10" xfId="5308"/>
    <cellStyle name="Normal 31 3 2 11" xfId="5866"/>
    <cellStyle name="Normal 31 3 2 12" xfId="6410"/>
    <cellStyle name="Normal 31 3 2 13" xfId="6954"/>
    <cellStyle name="Normal 31 3 2 14" xfId="7484"/>
    <cellStyle name="Normal 31 3 2 2" xfId="969"/>
    <cellStyle name="Normal 31 3 2 3" xfId="1515"/>
    <cellStyle name="Normal 31 3 2 4" xfId="2059"/>
    <cellStyle name="Normal 31 3 2 5" xfId="2602"/>
    <cellStyle name="Normal 31 3 2 6" xfId="3144"/>
    <cellStyle name="Normal 31 3 2 7" xfId="3690"/>
    <cellStyle name="Normal 31 3 2 8" xfId="4220"/>
    <cellStyle name="Normal 31 3 2 9" xfId="4778"/>
    <cellStyle name="Normal 31 3 3" xfId="711"/>
    <cellStyle name="Normal 31 3 4" xfId="1257"/>
    <cellStyle name="Normal 31 3 5" xfId="1801"/>
    <cellStyle name="Normal 31 3 6" xfId="2344"/>
    <cellStyle name="Normal 31 3 7" xfId="2888"/>
    <cellStyle name="Normal 31 3 8" xfId="3432"/>
    <cellStyle name="Normal 31 3 9" xfId="3976"/>
    <cellStyle name="Normal 31 4" xfId="157"/>
    <cellStyle name="Normal 31 4 10" xfId="4555"/>
    <cellStyle name="Normal 31 4 11" xfId="5098"/>
    <cellStyle name="Normal 31 4 12" xfId="5643"/>
    <cellStyle name="Normal 31 4 13" xfId="6187"/>
    <cellStyle name="Normal 31 4 14" xfId="6731"/>
    <cellStyle name="Normal 31 4 15" xfId="7274"/>
    <cellStyle name="Normal 31 4 2" xfId="414"/>
    <cellStyle name="Normal 31 4 2 10" xfId="5341"/>
    <cellStyle name="Normal 31 4 2 11" xfId="5900"/>
    <cellStyle name="Normal 31 4 2 12" xfId="6444"/>
    <cellStyle name="Normal 31 4 2 13" xfId="6988"/>
    <cellStyle name="Normal 31 4 2 14" xfId="7517"/>
    <cellStyle name="Normal 31 4 2 2" xfId="1003"/>
    <cellStyle name="Normal 31 4 2 3" xfId="1549"/>
    <cellStyle name="Normal 31 4 2 4" xfId="2093"/>
    <cellStyle name="Normal 31 4 2 5" xfId="2636"/>
    <cellStyle name="Normal 31 4 2 6" xfId="3178"/>
    <cellStyle name="Normal 31 4 2 7" xfId="3724"/>
    <cellStyle name="Normal 31 4 2 8" xfId="4253"/>
    <cellStyle name="Normal 31 4 2 9" xfId="4812"/>
    <cellStyle name="Normal 31 4 3" xfId="746"/>
    <cellStyle name="Normal 31 4 4" xfId="1292"/>
    <cellStyle name="Normal 31 4 5" xfId="1836"/>
    <cellStyle name="Normal 31 4 6" xfId="2379"/>
    <cellStyle name="Normal 31 4 7" xfId="2923"/>
    <cellStyle name="Normal 31 4 8" xfId="3467"/>
    <cellStyle name="Normal 31 4 9" xfId="4010"/>
    <cellStyle name="Normal 31 5" xfId="228"/>
    <cellStyle name="Normal 31 5 10" xfId="4626"/>
    <cellStyle name="Normal 31 5 11" xfId="5164"/>
    <cellStyle name="Normal 31 5 12" xfId="5714"/>
    <cellStyle name="Normal 31 5 13" xfId="6258"/>
    <cellStyle name="Normal 31 5 14" xfId="6802"/>
    <cellStyle name="Normal 31 5 15" xfId="7340"/>
    <cellStyle name="Normal 31 5 2" xfId="480"/>
    <cellStyle name="Normal 31 5 2 10" xfId="5407"/>
    <cellStyle name="Normal 31 5 2 11" xfId="5966"/>
    <cellStyle name="Normal 31 5 2 12" xfId="6510"/>
    <cellStyle name="Normal 31 5 2 13" xfId="7054"/>
    <cellStyle name="Normal 31 5 2 14" xfId="7583"/>
    <cellStyle name="Normal 31 5 2 2" xfId="1069"/>
    <cellStyle name="Normal 31 5 2 3" xfId="1615"/>
    <cellStyle name="Normal 31 5 2 4" xfId="2159"/>
    <cellStyle name="Normal 31 5 2 5" xfId="2702"/>
    <cellStyle name="Normal 31 5 2 6" xfId="3244"/>
    <cellStyle name="Normal 31 5 2 7" xfId="3790"/>
    <cellStyle name="Normal 31 5 2 8" xfId="4319"/>
    <cellStyle name="Normal 31 5 2 9" xfId="4878"/>
    <cellStyle name="Normal 31 5 3" xfId="817"/>
    <cellStyle name="Normal 31 5 4" xfId="1363"/>
    <cellStyle name="Normal 31 5 5" xfId="1907"/>
    <cellStyle name="Normal 31 5 6" xfId="2450"/>
    <cellStyle name="Normal 31 5 7" xfId="2993"/>
    <cellStyle name="Normal 31 5 8" xfId="3538"/>
    <cellStyle name="Normal 31 5 9" xfId="4076"/>
    <cellStyle name="Normal 31 6" xfId="291"/>
    <cellStyle name="Normal 31 6 10" xfId="5220"/>
    <cellStyle name="Normal 31 6 11" xfId="5777"/>
    <cellStyle name="Normal 31 6 12" xfId="6321"/>
    <cellStyle name="Normal 31 6 13" xfId="6865"/>
    <cellStyle name="Normal 31 6 14" xfId="7396"/>
    <cellStyle name="Normal 31 6 2" xfId="880"/>
    <cellStyle name="Normal 31 6 3" xfId="1426"/>
    <cellStyle name="Normal 31 6 4" xfId="1970"/>
    <cellStyle name="Normal 31 6 5" xfId="2513"/>
    <cellStyle name="Normal 31 6 6" xfId="3055"/>
    <cellStyle name="Normal 31 6 7" xfId="3601"/>
    <cellStyle name="Normal 31 6 8" xfId="4132"/>
    <cellStyle name="Normal 31 6 9" xfId="4689"/>
    <cellStyle name="Normal 31 7" xfId="622"/>
    <cellStyle name="Normal 31 8" xfId="1163"/>
    <cellStyle name="Normal 31 9" xfId="1709"/>
    <cellStyle name="Normal 32" xfId="35"/>
    <cellStyle name="Normal 32 10" xfId="2204"/>
    <cellStyle name="Normal 32 11" xfId="2747"/>
    <cellStyle name="Normal 32 12" xfId="3315"/>
    <cellStyle name="Normal 32 13" xfId="3835"/>
    <cellStyle name="Normal 32 14" xfId="4432"/>
    <cellStyle name="Normal 32 15" xfId="4923"/>
    <cellStyle name="Normal 32 16" xfId="5520"/>
    <cellStyle name="Normal 32 17" xfId="6011"/>
    <cellStyle name="Normal 32 18" xfId="6555"/>
    <cellStyle name="Normal 32 19" xfId="7099"/>
    <cellStyle name="Normal 32 2" xfId="79"/>
    <cellStyle name="Normal 32 2 10" xfId="4477"/>
    <cellStyle name="Normal 32 2 11" xfId="5021"/>
    <cellStyle name="Normal 32 2 12" xfId="5565"/>
    <cellStyle name="Normal 32 2 13" xfId="6109"/>
    <cellStyle name="Normal 32 2 14" xfId="6653"/>
    <cellStyle name="Normal 32 2 15" xfId="7197"/>
    <cellStyle name="Normal 32 2 2" xfId="337"/>
    <cellStyle name="Normal 32 2 2 10" xfId="5265"/>
    <cellStyle name="Normal 32 2 2 11" xfId="5823"/>
    <cellStyle name="Normal 32 2 2 12" xfId="6367"/>
    <cellStyle name="Normal 32 2 2 13" xfId="6911"/>
    <cellStyle name="Normal 32 2 2 14" xfId="7441"/>
    <cellStyle name="Normal 32 2 2 2" xfId="926"/>
    <cellStyle name="Normal 32 2 2 3" xfId="1472"/>
    <cellStyle name="Normal 32 2 2 4" xfId="2016"/>
    <cellStyle name="Normal 32 2 2 5" xfId="2559"/>
    <cellStyle name="Normal 32 2 2 6" xfId="3101"/>
    <cellStyle name="Normal 32 2 2 7" xfId="3647"/>
    <cellStyle name="Normal 32 2 2 8" xfId="4177"/>
    <cellStyle name="Normal 32 2 2 9" xfId="4735"/>
    <cellStyle name="Normal 32 2 3" xfId="668"/>
    <cellStyle name="Normal 32 2 4" xfId="1214"/>
    <cellStyle name="Normal 32 2 5" xfId="1758"/>
    <cellStyle name="Normal 32 2 6" xfId="2301"/>
    <cellStyle name="Normal 32 2 7" xfId="2845"/>
    <cellStyle name="Normal 32 2 8" xfId="3389"/>
    <cellStyle name="Normal 32 2 9" xfId="3933"/>
    <cellStyle name="Normal 32 3" xfId="123"/>
    <cellStyle name="Normal 32 3 10" xfId="4521"/>
    <cellStyle name="Normal 32 3 11" xfId="5065"/>
    <cellStyle name="Normal 32 3 12" xfId="5609"/>
    <cellStyle name="Normal 32 3 13" xfId="6153"/>
    <cellStyle name="Normal 32 3 14" xfId="6697"/>
    <cellStyle name="Normal 32 3 15" xfId="7241"/>
    <cellStyle name="Normal 32 3 2" xfId="381"/>
    <cellStyle name="Normal 32 3 2 10" xfId="5309"/>
    <cellStyle name="Normal 32 3 2 11" xfId="5867"/>
    <cellStyle name="Normal 32 3 2 12" xfId="6411"/>
    <cellStyle name="Normal 32 3 2 13" xfId="6955"/>
    <cellStyle name="Normal 32 3 2 14" xfId="7485"/>
    <cellStyle name="Normal 32 3 2 2" xfId="970"/>
    <cellStyle name="Normal 32 3 2 3" xfId="1516"/>
    <cellStyle name="Normal 32 3 2 4" xfId="2060"/>
    <cellStyle name="Normal 32 3 2 5" xfId="2603"/>
    <cellStyle name="Normal 32 3 2 6" xfId="3145"/>
    <cellStyle name="Normal 32 3 2 7" xfId="3691"/>
    <cellStyle name="Normal 32 3 2 8" xfId="4221"/>
    <cellStyle name="Normal 32 3 2 9" xfId="4779"/>
    <cellStyle name="Normal 32 3 3" xfId="712"/>
    <cellStyle name="Normal 32 3 4" xfId="1258"/>
    <cellStyle name="Normal 32 3 5" xfId="1802"/>
    <cellStyle name="Normal 32 3 6" xfId="2345"/>
    <cellStyle name="Normal 32 3 7" xfId="2889"/>
    <cellStyle name="Normal 32 3 8" xfId="3433"/>
    <cellStyle name="Normal 32 3 9" xfId="3977"/>
    <cellStyle name="Normal 32 4" xfId="156"/>
    <cellStyle name="Normal 32 4 10" xfId="4554"/>
    <cellStyle name="Normal 32 4 11" xfId="5097"/>
    <cellStyle name="Normal 32 4 12" xfId="5642"/>
    <cellStyle name="Normal 32 4 13" xfId="6186"/>
    <cellStyle name="Normal 32 4 14" xfId="6730"/>
    <cellStyle name="Normal 32 4 15" xfId="7273"/>
    <cellStyle name="Normal 32 4 2" xfId="413"/>
    <cellStyle name="Normal 32 4 2 10" xfId="5340"/>
    <cellStyle name="Normal 32 4 2 11" xfId="5899"/>
    <cellStyle name="Normal 32 4 2 12" xfId="6443"/>
    <cellStyle name="Normal 32 4 2 13" xfId="6987"/>
    <cellStyle name="Normal 32 4 2 14" xfId="7516"/>
    <cellStyle name="Normal 32 4 2 2" xfId="1002"/>
    <cellStyle name="Normal 32 4 2 3" xfId="1548"/>
    <cellStyle name="Normal 32 4 2 4" xfId="2092"/>
    <cellStyle name="Normal 32 4 2 5" xfId="2635"/>
    <cellStyle name="Normal 32 4 2 6" xfId="3177"/>
    <cellStyle name="Normal 32 4 2 7" xfId="3723"/>
    <cellStyle name="Normal 32 4 2 8" xfId="4252"/>
    <cellStyle name="Normal 32 4 2 9" xfId="4811"/>
    <cellStyle name="Normal 32 4 3" xfId="745"/>
    <cellStyle name="Normal 32 4 4" xfId="1291"/>
    <cellStyle name="Normal 32 4 5" xfId="1835"/>
    <cellStyle name="Normal 32 4 6" xfId="2378"/>
    <cellStyle name="Normal 32 4 7" xfId="2922"/>
    <cellStyle name="Normal 32 4 8" xfId="3466"/>
    <cellStyle name="Normal 32 4 9" xfId="4009"/>
    <cellStyle name="Normal 32 5" xfId="201"/>
    <cellStyle name="Normal 32 5 10" xfId="4599"/>
    <cellStyle name="Normal 32 5 11" xfId="5139"/>
    <cellStyle name="Normal 32 5 12" xfId="5687"/>
    <cellStyle name="Normal 32 5 13" xfId="6231"/>
    <cellStyle name="Normal 32 5 14" xfId="6775"/>
    <cellStyle name="Normal 32 5 15" xfId="7315"/>
    <cellStyle name="Normal 32 5 2" xfId="455"/>
    <cellStyle name="Normal 32 5 2 10" xfId="5382"/>
    <cellStyle name="Normal 32 5 2 11" xfId="5941"/>
    <cellStyle name="Normal 32 5 2 12" xfId="6485"/>
    <cellStyle name="Normal 32 5 2 13" xfId="7029"/>
    <cellStyle name="Normal 32 5 2 14" xfId="7558"/>
    <cellStyle name="Normal 32 5 2 2" xfId="1044"/>
    <cellStyle name="Normal 32 5 2 3" xfId="1590"/>
    <cellStyle name="Normal 32 5 2 4" xfId="2134"/>
    <cellStyle name="Normal 32 5 2 5" xfId="2677"/>
    <cellStyle name="Normal 32 5 2 6" xfId="3219"/>
    <cellStyle name="Normal 32 5 2 7" xfId="3765"/>
    <cellStyle name="Normal 32 5 2 8" xfId="4294"/>
    <cellStyle name="Normal 32 5 2 9" xfId="4853"/>
    <cellStyle name="Normal 32 5 3" xfId="790"/>
    <cellStyle name="Normal 32 5 4" xfId="1336"/>
    <cellStyle name="Normal 32 5 5" xfId="1880"/>
    <cellStyle name="Normal 32 5 6" xfId="2423"/>
    <cellStyle name="Normal 32 5 7" xfId="2966"/>
    <cellStyle name="Normal 32 5 8" xfId="3511"/>
    <cellStyle name="Normal 32 5 9" xfId="4051"/>
    <cellStyle name="Normal 32 6" xfId="292"/>
    <cellStyle name="Normal 32 6 10" xfId="5221"/>
    <cellStyle name="Normal 32 6 11" xfId="5778"/>
    <cellStyle name="Normal 32 6 12" xfId="6322"/>
    <cellStyle name="Normal 32 6 13" xfId="6866"/>
    <cellStyle name="Normal 32 6 14" xfId="7397"/>
    <cellStyle name="Normal 32 6 2" xfId="881"/>
    <cellStyle name="Normal 32 6 3" xfId="1427"/>
    <cellStyle name="Normal 32 6 4" xfId="1971"/>
    <cellStyle name="Normal 32 6 5" xfId="2514"/>
    <cellStyle name="Normal 32 6 6" xfId="3056"/>
    <cellStyle name="Normal 32 6 7" xfId="3602"/>
    <cellStyle name="Normal 32 6 8" xfId="4133"/>
    <cellStyle name="Normal 32 6 9" xfId="4690"/>
    <cellStyle name="Normal 32 7" xfId="623"/>
    <cellStyle name="Normal 32 8" xfId="1114"/>
    <cellStyle name="Normal 32 9" xfId="1660"/>
    <cellStyle name="Normal 33" xfId="36"/>
    <cellStyle name="Normal 33 10" xfId="2226"/>
    <cellStyle name="Normal 33 11" xfId="2769"/>
    <cellStyle name="Normal 33 12" xfId="3313"/>
    <cellStyle name="Normal 33 13" xfId="3857"/>
    <cellStyle name="Normal 33 14" xfId="4433"/>
    <cellStyle name="Normal 33 15" xfId="4945"/>
    <cellStyle name="Normal 33 16" xfId="5521"/>
    <cellStyle name="Normal 33 17" xfId="6033"/>
    <cellStyle name="Normal 33 18" xfId="6577"/>
    <cellStyle name="Normal 33 19" xfId="7121"/>
    <cellStyle name="Normal 33 2" xfId="80"/>
    <cellStyle name="Normal 33 2 10" xfId="4478"/>
    <cellStyle name="Normal 33 2 11" xfId="5022"/>
    <cellStyle name="Normal 33 2 12" xfId="5566"/>
    <cellStyle name="Normal 33 2 13" xfId="6110"/>
    <cellStyle name="Normal 33 2 14" xfId="6654"/>
    <cellStyle name="Normal 33 2 15" xfId="7198"/>
    <cellStyle name="Normal 33 2 2" xfId="338"/>
    <cellStyle name="Normal 33 2 2 10" xfId="5266"/>
    <cellStyle name="Normal 33 2 2 11" xfId="5824"/>
    <cellStyle name="Normal 33 2 2 12" xfId="6368"/>
    <cellStyle name="Normal 33 2 2 13" xfId="6912"/>
    <cellStyle name="Normal 33 2 2 14" xfId="7442"/>
    <cellStyle name="Normal 33 2 2 2" xfId="927"/>
    <cellStyle name="Normal 33 2 2 3" xfId="1473"/>
    <cellStyle name="Normal 33 2 2 4" xfId="2017"/>
    <cellStyle name="Normal 33 2 2 5" xfId="2560"/>
    <cellStyle name="Normal 33 2 2 6" xfId="3102"/>
    <cellStyle name="Normal 33 2 2 7" xfId="3648"/>
    <cellStyle name="Normal 33 2 2 8" xfId="4178"/>
    <cellStyle name="Normal 33 2 2 9" xfId="4736"/>
    <cellStyle name="Normal 33 2 3" xfId="669"/>
    <cellStyle name="Normal 33 2 4" xfId="1215"/>
    <cellStyle name="Normal 33 2 5" xfId="1759"/>
    <cellStyle name="Normal 33 2 6" xfId="2302"/>
    <cellStyle name="Normal 33 2 7" xfId="2846"/>
    <cellStyle name="Normal 33 2 8" xfId="3390"/>
    <cellStyle name="Normal 33 2 9" xfId="3934"/>
    <cellStyle name="Normal 33 3" xfId="124"/>
    <cellStyle name="Normal 33 3 10" xfId="4522"/>
    <cellStyle name="Normal 33 3 11" xfId="5066"/>
    <cellStyle name="Normal 33 3 12" xfId="5610"/>
    <cellStyle name="Normal 33 3 13" xfId="6154"/>
    <cellStyle name="Normal 33 3 14" xfId="6698"/>
    <cellStyle name="Normal 33 3 15" xfId="7242"/>
    <cellStyle name="Normal 33 3 2" xfId="382"/>
    <cellStyle name="Normal 33 3 2 10" xfId="5310"/>
    <cellStyle name="Normal 33 3 2 11" xfId="5868"/>
    <cellStyle name="Normal 33 3 2 12" xfId="6412"/>
    <cellStyle name="Normal 33 3 2 13" xfId="6956"/>
    <cellStyle name="Normal 33 3 2 14" xfId="7486"/>
    <cellStyle name="Normal 33 3 2 2" xfId="971"/>
    <cellStyle name="Normal 33 3 2 3" xfId="1517"/>
    <cellStyle name="Normal 33 3 2 4" xfId="2061"/>
    <cellStyle name="Normal 33 3 2 5" xfId="2604"/>
    <cellStyle name="Normal 33 3 2 6" xfId="3146"/>
    <cellStyle name="Normal 33 3 2 7" xfId="3692"/>
    <cellStyle name="Normal 33 3 2 8" xfId="4222"/>
    <cellStyle name="Normal 33 3 2 9" xfId="4780"/>
    <cellStyle name="Normal 33 3 3" xfId="713"/>
    <cellStyle name="Normal 33 3 4" xfId="1259"/>
    <cellStyle name="Normal 33 3 5" xfId="1803"/>
    <cellStyle name="Normal 33 3 6" xfId="2346"/>
    <cellStyle name="Normal 33 3 7" xfId="2890"/>
    <cellStyle name="Normal 33 3 8" xfId="3434"/>
    <cellStyle name="Normal 33 3 9" xfId="3978"/>
    <cellStyle name="Normal 33 4" xfId="155"/>
    <cellStyle name="Normal 33 4 10" xfId="4553"/>
    <cellStyle name="Normal 33 4 11" xfId="5096"/>
    <cellStyle name="Normal 33 4 12" xfId="5641"/>
    <cellStyle name="Normal 33 4 13" xfId="6185"/>
    <cellStyle name="Normal 33 4 14" xfId="6729"/>
    <cellStyle name="Normal 33 4 15" xfId="7272"/>
    <cellStyle name="Normal 33 4 2" xfId="412"/>
    <cellStyle name="Normal 33 4 2 10" xfId="5339"/>
    <cellStyle name="Normal 33 4 2 11" xfId="5898"/>
    <cellStyle name="Normal 33 4 2 12" xfId="6442"/>
    <cellStyle name="Normal 33 4 2 13" xfId="6986"/>
    <cellStyle name="Normal 33 4 2 14" xfId="7515"/>
    <cellStyle name="Normal 33 4 2 2" xfId="1001"/>
    <cellStyle name="Normal 33 4 2 3" xfId="1547"/>
    <cellStyle name="Normal 33 4 2 4" xfId="2091"/>
    <cellStyle name="Normal 33 4 2 5" xfId="2634"/>
    <cellStyle name="Normal 33 4 2 6" xfId="3176"/>
    <cellStyle name="Normal 33 4 2 7" xfId="3722"/>
    <cellStyle name="Normal 33 4 2 8" xfId="4251"/>
    <cellStyle name="Normal 33 4 2 9" xfId="4810"/>
    <cellStyle name="Normal 33 4 3" xfId="744"/>
    <cellStyle name="Normal 33 4 4" xfId="1290"/>
    <cellStyle name="Normal 33 4 5" xfId="1834"/>
    <cellStyle name="Normal 33 4 6" xfId="2377"/>
    <cellStyle name="Normal 33 4 7" xfId="2921"/>
    <cellStyle name="Normal 33 4 8" xfId="3465"/>
    <cellStyle name="Normal 33 4 9" xfId="4008"/>
    <cellStyle name="Normal 33 5" xfId="227"/>
    <cellStyle name="Normal 33 5 10" xfId="4625"/>
    <cellStyle name="Normal 33 5 11" xfId="5163"/>
    <cellStyle name="Normal 33 5 12" xfId="5713"/>
    <cellStyle name="Normal 33 5 13" xfId="6257"/>
    <cellStyle name="Normal 33 5 14" xfId="6801"/>
    <cellStyle name="Normal 33 5 15" xfId="7339"/>
    <cellStyle name="Normal 33 5 2" xfId="479"/>
    <cellStyle name="Normal 33 5 2 10" xfId="5406"/>
    <cellStyle name="Normal 33 5 2 11" xfId="5965"/>
    <cellStyle name="Normal 33 5 2 12" xfId="6509"/>
    <cellStyle name="Normal 33 5 2 13" xfId="7053"/>
    <cellStyle name="Normal 33 5 2 14" xfId="7582"/>
    <cellStyle name="Normal 33 5 2 2" xfId="1068"/>
    <cellStyle name="Normal 33 5 2 3" xfId="1614"/>
    <cellStyle name="Normal 33 5 2 4" xfId="2158"/>
    <cellStyle name="Normal 33 5 2 5" xfId="2701"/>
    <cellStyle name="Normal 33 5 2 6" xfId="3243"/>
    <cellStyle name="Normal 33 5 2 7" xfId="3789"/>
    <cellStyle name="Normal 33 5 2 8" xfId="4318"/>
    <cellStyle name="Normal 33 5 2 9" xfId="4877"/>
    <cellStyle name="Normal 33 5 3" xfId="816"/>
    <cellStyle name="Normal 33 5 4" xfId="1362"/>
    <cellStyle name="Normal 33 5 5" xfId="1906"/>
    <cellStyle name="Normal 33 5 6" xfId="2449"/>
    <cellStyle name="Normal 33 5 7" xfId="2992"/>
    <cellStyle name="Normal 33 5 8" xfId="3537"/>
    <cellStyle name="Normal 33 5 9" xfId="4075"/>
    <cellStyle name="Normal 33 6" xfId="293"/>
    <cellStyle name="Normal 33 6 10" xfId="5222"/>
    <cellStyle name="Normal 33 6 11" xfId="5779"/>
    <cellStyle name="Normal 33 6 12" xfId="6323"/>
    <cellStyle name="Normal 33 6 13" xfId="6867"/>
    <cellStyle name="Normal 33 6 14" xfId="7398"/>
    <cellStyle name="Normal 33 6 2" xfId="882"/>
    <cellStyle name="Normal 33 6 3" xfId="1428"/>
    <cellStyle name="Normal 33 6 4" xfId="1972"/>
    <cellStyle name="Normal 33 6 5" xfId="2515"/>
    <cellStyle name="Normal 33 6 6" xfId="3057"/>
    <cellStyle name="Normal 33 6 7" xfId="3603"/>
    <cellStyle name="Normal 33 6 8" xfId="4134"/>
    <cellStyle name="Normal 33 6 9" xfId="4691"/>
    <cellStyle name="Normal 33 7" xfId="624"/>
    <cellStyle name="Normal 33 8" xfId="1136"/>
    <cellStyle name="Normal 33 9" xfId="1682"/>
    <cellStyle name="Normal 34" xfId="37"/>
    <cellStyle name="Normal 34 10" xfId="2227"/>
    <cellStyle name="Normal 34 11" xfId="2770"/>
    <cellStyle name="Normal 34 12" xfId="3311"/>
    <cellStyle name="Normal 34 13" xfId="3858"/>
    <cellStyle name="Normal 34 14" xfId="4434"/>
    <cellStyle name="Normal 34 15" xfId="4946"/>
    <cellStyle name="Normal 34 16" xfId="5522"/>
    <cellStyle name="Normal 34 17" xfId="6034"/>
    <cellStyle name="Normal 34 18" xfId="6578"/>
    <cellStyle name="Normal 34 19" xfId="7122"/>
    <cellStyle name="Normal 34 2" xfId="81"/>
    <cellStyle name="Normal 34 2 10" xfId="4479"/>
    <cellStyle name="Normal 34 2 11" xfId="5023"/>
    <cellStyle name="Normal 34 2 12" xfId="5567"/>
    <cellStyle name="Normal 34 2 13" xfId="6111"/>
    <cellStyle name="Normal 34 2 14" xfId="6655"/>
    <cellStyle name="Normal 34 2 15" xfId="7199"/>
    <cellStyle name="Normal 34 2 2" xfId="339"/>
    <cellStyle name="Normal 34 2 2 10" xfId="5267"/>
    <cellStyle name="Normal 34 2 2 11" xfId="5825"/>
    <cellStyle name="Normal 34 2 2 12" xfId="6369"/>
    <cellStyle name="Normal 34 2 2 13" xfId="6913"/>
    <cellStyle name="Normal 34 2 2 14" xfId="7443"/>
    <cellStyle name="Normal 34 2 2 2" xfId="928"/>
    <cellStyle name="Normal 34 2 2 3" xfId="1474"/>
    <cellStyle name="Normal 34 2 2 4" xfId="2018"/>
    <cellStyle name="Normal 34 2 2 5" xfId="2561"/>
    <cellStyle name="Normal 34 2 2 6" xfId="3103"/>
    <cellStyle name="Normal 34 2 2 7" xfId="3649"/>
    <cellStyle name="Normal 34 2 2 8" xfId="4179"/>
    <cellStyle name="Normal 34 2 2 9" xfId="4737"/>
    <cellStyle name="Normal 34 2 3" xfId="670"/>
    <cellStyle name="Normal 34 2 4" xfId="1216"/>
    <cellStyle name="Normal 34 2 5" xfId="1760"/>
    <cellStyle name="Normal 34 2 6" xfId="2303"/>
    <cellStyle name="Normal 34 2 7" xfId="2847"/>
    <cellStyle name="Normal 34 2 8" xfId="3391"/>
    <cellStyle name="Normal 34 2 9" xfId="3935"/>
    <cellStyle name="Normal 34 3" xfId="125"/>
    <cellStyle name="Normal 34 3 10" xfId="4523"/>
    <cellStyle name="Normal 34 3 11" xfId="5067"/>
    <cellStyle name="Normal 34 3 12" xfId="5611"/>
    <cellStyle name="Normal 34 3 13" xfId="6155"/>
    <cellStyle name="Normal 34 3 14" xfId="6699"/>
    <cellStyle name="Normal 34 3 15" xfId="7243"/>
    <cellStyle name="Normal 34 3 2" xfId="383"/>
    <cellStyle name="Normal 34 3 2 10" xfId="5311"/>
    <cellStyle name="Normal 34 3 2 11" xfId="5869"/>
    <cellStyle name="Normal 34 3 2 12" xfId="6413"/>
    <cellStyle name="Normal 34 3 2 13" xfId="6957"/>
    <cellStyle name="Normal 34 3 2 14" xfId="7487"/>
    <cellStyle name="Normal 34 3 2 2" xfId="972"/>
    <cellStyle name="Normal 34 3 2 3" xfId="1518"/>
    <cellStyle name="Normal 34 3 2 4" xfId="2062"/>
    <cellStyle name="Normal 34 3 2 5" xfId="2605"/>
    <cellStyle name="Normal 34 3 2 6" xfId="3147"/>
    <cellStyle name="Normal 34 3 2 7" xfId="3693"/>
    <cellStyle name="Normal 34 3 2 8" xfId="4223"/>
    <cellStyle name="Normal 34 3 2 9" xfId="4781"/>
    <cellStyle name="Normal 34 3 3" xfId="714"/>
    <cellStyle name="Normal 34 3 4" xfId="1260"/>
    <cellStyle name="Normal 34 3 5" xfId="1804"/>
    <cellStyle name="Normal 34 3 6" xfId="2347"/>
    <cellStyle name="Normal 34 3 7" xfId="2891"/>
    <cellStyle name="Normal 34 3 8" xfId="3435"/>
    <cellStyle name="Normal 34 3 9" xfId="3979"/>
    <cellStyle name="Normal 34 4" xfId="154"/>
    <cellStyle name="Normal 34 4 10" xfId="4552"/>
    <cellStyle name="Normal 34 4 11" xfId="5095"/>
    <cellStyle name="Normal 34 4 12" xfId="5640"/>
    <cellStyle name="Normal 34 4 13" xfId="6184"/>
    <cellStyle name="Normal 34 4 14" xfId="6728"/>
    <cellStyle name="Normal 34 4 15" xfId="7271"/>
    <cellStyle name="Normal 34 4 2" xfId="411"/>
    <cellStyle name="Normal 34 4 2 10" xfId="5338"/>
    <cellStyle name="Normal 34 4 2 11" xfId="5897"/>
    <cellStyle name="Normal 34 4 2 12" xfId="6441"/>
    <cellStyle name="Normal 34 4 2 13" xfId="6985"/>
    <cellStyle name="Normal 34 4 2 14" xfId="7514"/>
    <cellStyle name="Normal 34 4 2 2" xfId="1000"/>
    <cellStyle name="Normal 34 4 2 3" xfId="1546"/>
    <cellStyle name="Normal 34 4 2 4" xfId="2090"/>
    <cellStyle name="Normal 34 4 2 5" xfId="2633"/>
    <cellStyle name="Normal 34 4 2 6" xfId="3175"/>
    <cellStyle name="Normal 34 4 2 7" xfId="3721"/>
    <cellStyle name="Normal 34 4 2 8" xfId="4250"/>
    <cellStyle name="Normal 34 4 2 9" xfId="4809"/>
    <cellStyle name="Normal 34 4 3" xfId="743"/>
    <cellStyle name="Normal 34 4 4" xfId="1289"/>
    <cellStyle name="Normal 34 4 5" xfId="1833"/>
    <cellStyle name="Normal 34 4 6" xfId="2376"/>
    <cellStyle name="Normal 34 4 7" xfId="2920"/>
    <cellStyle name="Normal 34 4 8" xfId="3464"/>
    <cellStyle name="Normal 34 4 9" xfId="4007"/>
    <cellStyle name="Normal 34 5" xfId="200"/>
    <cellStyle name="Normal 34 5 10" xfId="4598"/>
    <cellStyle name="Normal 34 5 11" xfId="5138"/>
    <cellStyle name="Normal 34 5 12" xfId="5686"/>
    <cellStyle name="Normal 34 5 13" xfId="6230"/>
    <cellStyle name="Normal 34 5 14" xfId="6774"/>
    <cellStyle name="Normal 34 5 15" xfId="7314"/>
    <cellStyle name="Normal 34 5 2" xfId="454"/>
    <cellStyle name="Normal 34 5 2 10" xfId="5381"/>
    <cellStyle name="Normal 34 5 2 11" xfId="5940"/>
    <cellStyle name="Normal 34 5 2 12" xfId="6484"/>
    <cellStyle name="Normal 34 5 2 13" xfId="7028"/>
    <cellStyle name="Normal 34 5 2 14" xfId="7557"/>
    <cellStyle name="Normal 34 5 2 2" xfId="1043"/>
    <cellStyle name="Normal 34 5 2 3" xfId="1589"/>
    <cellStyle name="Normal 34 5 2 4" xfId="2133"/>
    <cellStyle name="Normal 34 5 2 5" xfId="2676"/>
    <cellStyle name="Normal 34 5 2 6" xfId="3218"/>
    <cellStyle name="Normal 34 5 2 7" xfId="3764"/>
    <cellStyle name="Normal 34 5 2 8" xfId="4293"/>
    <cellStyle name="Normal 34 5 2 9" xfId="4852"/>
    <cellStyle name="Normal 34 5 3" xfId="789"/>
    <cellStyle name="Normal 34 5 4" xfId="1335"/>
    <cellStyle name="Normal 34 5 5" xfId="1879"/>
    <cellStyle name="Normal 34 5 6" xfId="2422"/>
    <cellStyle name="Normal 34 5 7" xfId="2965"/>
    <cellStyle name="Normal 34 5 8" xfId="3510"/>
    <cellStyle name="Normal 34 5 9" xfId="4050"/>
    <cellStyle name="Normal 34 6" xfId="294"/>
    <cellStyle name="Normal 34 6 10" xfId="5223"/>
    <cellStyle name="Normal 34 6 11" xfId="5780"/>
    <cellStyle name="Normal 34 6 12" xfId="6324"/>
    <cellStyle name="Normal 34 6 13" xfId="6868"/>
    <cellStyle name="Normal 34 6 14" xfId="7399"/>
    <cellStyle name="Normal 34 6 2" xfId="883"/>
    <cellStyle name="Normal 34 6 3" xfId="1429"/>
    <cellStyle name="Normal 34 6 4" xfId="1973"/>
    <cellStyle name="Normal 34 6 5" xfId="2516"/>
    <cellStyle name="Normal 34 6 6" xfId="3058"/>
    <cellStyle name="Normal 34 6 7" xfId="3604"/>
    <cellStyle name="Normal 34 6 8" xfId="4135"/>
    <cellStyle name="Normal 34 6 9" xfId="4692"/>
    <cellStyle name="Normal 34 7" xfId="625"/>
    <cellStyle name="Normal 34 8" xfId="1137"/>
    <cellStyle name="Normal 34 9" xfId="1683"/>
    <cellStyle name="Normal 35" xfId="38"/>
    <cellStyle name="Normal 35 10" xfId="2216"/>
    <cellStyle name="Normal 35 11" xfId="2759"/>
    <cellStyle name="Normal 35 12" xfId="3303"/>
    <cellStyle name="Normal 35 13" xfId="3847"/>
    <cellStyle name="Normal 35 14" xfId="4435"/>
    <cellStyle name="Normal 35 15" xfId="4935"/>
    <cellStyle name="Normal 35 16" xfId="5523"/>
    <cellStyle name="Normal 35 17" xfId="6023"/>
    <cellStyle name="Normal 35 18" xfId="6567"/>
    <cellStyle name="Normal 35 19" xfId="7111"/>
    <cellStyle name="Normal 35 2" xfId="82"/>
    <cellStyle name="Normal 35 2 10" xfId="4480"/>
    <cellStyle name="Normal 35 2 11" xfId="5024"/>
    <cellStyle name="Normal 35 2 12" xfId="5568"/>
    <cellStyle name="Normal 35 2 13" xfId="6112"/>
    <cellStyle name="Normal 35 2 14" xfId="6656"/>
    <cellStyle name="Normal 35 2 15" xfId="7200"/>
    <cellStyle name="Normal 35 2 2" xfId="340"/>
    <cellStyle name="Normal 35 2 2 10" xfId="5268"/>
    <cellStyle name="Normal 35 2 2 11" xfId="5826"/>
    <cellStyle name="Normal 35 2 2 12" xfId="6370"/>
    <cellStyle name="Normal 35 2 2 13" xfId="6914"/>
    <cellStyle name="Normal 35 2 2 14" xfId="7444"/>
    <cellStyle name="Normal 35 2 2 2" xfId="929"/>
    <cellStyle name="Normal 35 2 2 3" xfId="1475"/>
    <cellStyle name="Normal 35 2 2 4" xfId="2019"/>
    <cellStyle name="Normal 35 2 2 5" xfId="2562"/>
    <cellStyle name="Normal 35 2 2 6" xfId="3104"/>
    <cellStyle name="Normal 35 2 2 7" xfId="3650"/>
    <cellStyle name="Normal 35 2 2 8" xfId="4180"/>
    <cellStyle name="Normal 35 2 2 9" xfId="4738"/>
    <cellStyle name="Normal 35 2 3" xfId="671"/>
    <cellStyle name="Normal 35 2 4" xfId="1217"/>
    <cellStyle name="Normal 35 2 5" xfId="1761"/>
    <cellStyle name="Normal 35 2 6" xfId="2304"/>
    <cellStyle name="Normal 35 2 7" xfId="2848"/>
    <cellStyle name="Normal 35 2 8" xfId="3392"/>
    <cellStyle name="Normal 35 2 9" xfId="3936"/>
    <cellStyle name="Normal 35 3" xfId="126"/>
    <cellStyle name="Normal 35 3 10" xfId="4524"/>
    <cellStyle name="Normal 35 3 11" xfId="5068"/>
    <cellStyle name="Normal 35 3 12" xfId="5612"/>
    <cellStyle name="Normal 35 3 13" xfId="6156"/>
    <cellStyle name="Normal 35 3 14" xfId="6700"/>
    <cellStyle name="Normal 35 3 15" xfId="7244"/>
    <cellStyle name="Normal 35 3 2" xfId="384"/>
    <cellStyle name="Normal 35 3 2 10" xfId="5312"/>
    <cellStyle name="Normal 35 3 2 11" xfId="5870"/>
    <cellStyle name="Normal 35 3 2 12" xfId="6414"/>
    <cellStyle name="Normal 35 3 2 13" xfId="6958"/>
    <cellStyle name="Normal 35 3 2 14" xfId="7488"/>
    <cellStyle name="Normal 35 3 2 2" xfId="973"/>
    <cellStyle name="Normal 35 3 2 3" xfId="1519"/>
    <cellStyle name="Normal 35 3 2 4" xfId="2063"/>
    <cellStyle name="Normal 35 3 2 5" xfId="2606"/>
    <cellStyle name="Normal 35 3 2 6" xfId="3148"/>
    <cellStyle name="Normal 35 3 2 7" xfId="3694"/>
    <cellStyle name="Normal 35 3 2 8" xfId="4224"/>
    <cellStyle name="Normal 35 3 2 9" xfId="4782"/>
    <cellStyle name="Normal 35 3 3" xfId="715"/>
    <cellStyle name="Normal 35 3 4" xfId="1261"/>
    <cellStyle name="Normal 35 3 5" xfId="1805"/>
    <cellStyle name="Normal 35 3 6" xfId="2348"/>
    <cellStyle name="Normal 35 3 7" xfId="2892"/>
    <cellStyle name="Normal 35 3 8" xfId="3436"/>
    <cellStyle name="Normal 35 3 9" xfId="3980"/>
    <cellStyle name="Normal 35 4" xfId="153"/>
    <cellStyle name="Normal 35 4 10" xfId="4551"/>
    <cellStyle name="Normal 35 4 11" xfId="5094"/>
    <cellStyle name="Normal 35 4 12" xfId="5639"/>
    <cellStyle name="Normal 35 4 13" xfId="6183"/>
    <cellStyle name="Normal 35 4 14" xfId="6727"/>
    <cellStyle name="Normal 35 4 15" xfId="7270"/>
    <cellStyle name="Normal 35 4 2" xfId="410"/>
    <cellStyle name="Normal 35 4 2 10" xfId="5337"/>
    <cellStyle name="Normal 35 4 2 11" xfId="5896"/>
    <cellStyle name="Normal 35 4 2 12" xfId="6440"/>
    <cellStyle name="Normal 35 4 2 13" xfId="6984"/>
    <cellStyle name="Normal 35 4 2 14" xfId="7513"/>
    <cellStyle name="Normal 35 4 2 2" xfId="999"/>
    <cellStyle name="Normal 35 4 2 3" xfId="1545"/>
    <cellStyle name="Normal 35 4 2 4" xfId="2089"/>
    <cellStyle name="Normal 35 4 2 5" xfId="2632"/>
    <cellStyle name="Normal 35 4 2 6" xfId="3174"/>
    <cellStyle name="Normal 35 4 2 7" xfId="3720"/>
    <cellStyle name="Normal 35 4 2 8" xfId="4249"/>
    <cellStyle name="Normal 35 4 2 9" xfId="4808"/>
    <cellStyle name="Normal 35 4 3" xfId="742"/>
    <cellStyle name="Normal 35 4 4" xfId="1288"/>
    <cellStyle name="Normal 35 4 5" xfId="1832"/>
    <cellStyle name="Normal 35 4 6" xfId="2375"/>
    <cellStyle name="Normal 35 4 7" xfId="2919"/>
    <cellStyle name="Normal 35 4 8" xfId="3463"/>
    <cellStyle name="Normal 35 4 9" xfId="4006"/>
    <cellStyle name="Normal 35 5" xfId="226"/>
    <cellStyle name="Normal 35 5 10" xfId="4624"/>
    <cellStyle name="Normal 35 5 11" xfId="5162"/>
    <cellStyle name="Normal 35 5 12" xfId="5712"/>
    <cellStyle name="Normal 35 5 13" xfId="6256"/>
    <cellStyle name="Normal 35 5 14" xfId="6800"/>
    <cellStyle name="Normal 35 5 15" xfId="7338"/>
    <cellStyle name="Normal 35 5 2" xfId="478"/>
    <cellStyle name="Normal 35 5 2 10" xfId="5405"/>
    <cellStyle name="Normal 35 5 2 11" xfId="5964"/>
    <cellStyle name="Normal 35 5 2 12" xfId="6508"/>
    <cellStyle name="Normal 35 5 2 13" xfId="7052"/>
    <cellStyle name="Normal 35 5 2 14" xfId="7581"/>
    <cellStyle name="Normal 35 5 2 2" xfId="1067"/>
    <cellStyle name="Normal 35 5 2 3" xfId="1613"/>
    <cellStyle name="Normal 35 5 2 4" xfId="2157"/>
    <cellStyle name="Normal 35 5 2 5" xfId="2700"/>
    <cellStyle name="Normal 35 5 2 6" xfId="3242"/>
    <cellStyle name="Normal 35 5 2 7" xfId="3788"/>
    <cellStyle name="Normal 35 5 2 8" xfId="4317"/>
    <cellStyle name="Normal 35 5 2 9" xfId="4876"/>
    <cellStyle name="Normal 35 5 3" xfId="815"/>
    <cellStyle name="Normal 35 5 4" xfId="1361"/>
    <cellStyle name="Normal 35 5 5" xfId="1905"/>
    <cellStyle name="Normal 35 5 6" xfId="2448"/>
    <cellStyle name="Normal 35 5 7" xfId="2991"/>
    <cellStyle name="Normal 35 5 8" xfId="3536"/>
    <cellStyle name="Normal 35 5 9" xfId="4074"/>
    <cellStyle name="Normal 35 6" xfId="295"/>
    <cellStyle name="Normal 35 6 10" xfId="5224"/>
    <cellStyle name="Normal 35 6 11" xfId="5781"/>
    <cellStyle name="Normal 35 6 12" xfId="6325"/>
    <cellStyle name="Normal 35 6 13" xfId="6869"/>
    <cellStyle name="Normal 35 6 14" xfId="7400"/>
    <cellStyle name="Normal 35 6 2" xfId="884"/>
    <cellStyle name="Normal 35 6 3" xfId="1430"/>
    <cellStyle name="Normal 35 6 4" xfId="1974"/>
    <cellStyle name="Normal 35 6 5" xfId="2517"/>
    <cellStyle name="Normal 35 6 6" xfId="3059"/>
    <cellStyle name="Normal 35 6 7" xfId="3605"/>
    <cellStyle name="Normal 35 6 8" xfId="4136"/>
    <cellStyle name="Normal 35 6 9" xfId="4693"/>
    <cellStyle name="Normal 35 7" xfId="626"/>
    <cellStyle name="Normal 35 8" xfId="1126"/>
    <cellStyle name="Normal 35 9" xfId="1672"/>
    <cellStyle name="Normal 36" xfId="39"/>
    <cellStyle name="Normal 36 10" xfId="2218"/>
    <cellStyle name="Normal 36 11" xfId="2761"/>
    <cellStyle name="Normal 36 12" xfId="3301"/>
    <cellStyle name="Normal 36 13" xfId="3849"/>
    <cellStyle name="Normal 36 14" xfId="4436"/>
    <cellStyle name="Normal 36 15" xfId="4937"/>
    <cellStyle name="Normal 36 16" xfId="5524"/>
    <cellStyle name="Normal 36 17" xfId="6025"/>
    <cellStyle name="Normal 36 18" xfId="6569"/>
    <cellStyle name="Normal 36 19" xfId="7113"/>
    <cellStyle name="Normal 36 2" xfId="83"/>
    <cellStyle name="Normal 36 2 10" xfId="4481"/>
    <cellStyle name="Normal 36 2 11" xfId="5025"/>
    <cellStyle name="Normal 36 2 12" xfId="5569"/>
    <cellStyle name="Normal 36 2 13" xfId="6113"/>
    <cellStyle name="Normal 36 2 14" xfId="6657"/>
    <cellStyle name="Normal 36 2 15" xfId="7201"/>
    <cellStyle name="Normal 36 2 2" xfId="341"/>
    <cellStyle name="Normal 36 2 2 10" xfId="5269"/>
    <cellStyle name="Normal 36 2 2 11" xfId="5827"/>
    <cellStyle name="Normal 36 2 2 12" xfId="6371"/>
    <cellStyle name="Normal 36 2 2 13" xfId="6915"/>
    <cellStyle name="Normal 36 2 2 14" xfId="7445"/>
    <cellStyle name="Normal 36 2 2 2" xfId="930"/>
    <cellStyle name="Normal 36 2 2 3" xfId="1476"/>
    <cellStyle name="Normal 36 2 2 4" xfId="2020"/>
    <cellStyle name="Normal 36 2 2 5" xfId="2563"/>
    <cellStyle name="Normal 36 2 2 6" xfId="3105"/>
    <cellStyle name="Normal 36 2 2 7" xfId="3651"/>
    <cellStyle name="Normal 36 2 2 8" xfId="4181"/>
    <cellStyle name="Normal 36 2 2 9" xfId="4739"/>
    <cellStyle name="Normal 36 2 3" xfId="672"/>
    <cellStyle name="Normal 36 2 4" xfId="1218"/>
    <cellStyle name="Normal 36 2 5" xfId="1762"/>
    <cellStyle name="Normal 36 2 6" xfId="2305"/>
    <cellStyle name="Normal 36 2 7" xfId="2849"/>
    <cellStyle name="Normal 36 2 8" xfId="3393"/>
    <cellStyle name="Normal 36 2 9" xfId="3937"/>
    <cellStyle name="Normal 36 3" xfId="127"/>
    <cellStyle name="Normal 36 3 10" xfId="4525"/>
    <cellStyle name="Normal 36 3 11" xfId="5069"/>
    <cellStyle name="Normal 36 3 12" xfId="5613"/>
    <cellStyle name="Normal 36 3 13" xfId="6157"/>
    <cellStyle name="Normal 36 3 14" xfId="6701"/>
    <cellStyle name="Normal 36 3 15" xfId="7245"/>
    <cellStyle name="Normal 36 3 2" xfId="385"/>
    <cellStyle name="Normal 36 3 2 10" xfId="5313"/>
    <cellStyle name="Normal 36 3 2 11" xfId="5871"/>
    <cellStyle name="Normal 36 3 2 12" xfId="6415"/>
    <cellStyle name="Normal 36 3 2 13" xfId="6959"/>
    <cellStyle name="Normal 36 3 2 14" xfId="7489"/>
    <cellStyle name="Normal 36 3 2 2" xfId="974"/>
    <cellStyle name="Normal 36 3 2 3" xfId="1520"/>
    <cellStyle name="Normal 36 3 2 4" xfId="2064"/>
    <cellStyle name="Normal 36 3 2 5" xfId="2607"/>
    <cellStyle name="Normal 36 3 2 6" xfId="3149"/>
    <cellStyle name="Normal 36 3 2 7" xfId="3695"/>
    <cellStyle name="Normal 36 3 2 8" xfId="4225"/>
    <cellStyle name="Normal 36 3 2 9" xfId="4783"/>
    <cellStyle name="Normal 36 3 3" xfId="716"/>
    <cellStyle name="Normal 36 3 4" xfId="1262"/>
    <cellStyle name="Normal 36 3 5" xfId="1806"/>
    <cellStyle name="Normal 36 3 6" xfId="2349"/>
    <cellStyle name="Normal 36 3 7" xfId="2893"/>
    <cellStyle name="Normal 36 3 8" xfId="3437"/>
    <cellStyle name="Normal 36 3 9" xfId="3981"/>
    <cellStyle name="Normal 36 4" xfId="152"/>
    <cellStyle name="Normal 36 4 10" xfId="4550"/>
    <cellStyle name="Normal 36 4 11" xfId="5093"/>
    <cellStyle name="Normal 36 4 12" xfId="5638"/>
    <cellStyle name="Normal 36 4 13" xfId="6182"/>
    <cellStyle name="Normal 36 4 14" xfId="6726"/>
    <cellStyle name="Normal 36 4 15" xfId="7269"/>
    <cellStyle name="Normal 36 4 2" xfId="409"/>
    <cellStyle name="Normal 36 4 2 10" xfId="5336"/>
    <cellStyle name="Normal 36 4 2 11" xfId="5895"/>
    <cellStyle name="Normal 36 4 2 12" xfId="6439"/>
    <cellStyle name="Normal 36 4 2 13" xfId="6983"/>
    <cellStyle name="Normal 36 4 2 14" xfId="7512"/>
    <cellStyle name="Normal 36 4 2 2" xfId="998"/>
    <cellStyle name="Normal 36 4 2 3" xfId="1544"/>
    <cellStyle name="Normal 36 4 2 4" xfId="2088"/>
    <cellStyle name="Normal 36 4 2 5" xfId="2631"/>
    <cellStyle name="Normal 36 4 2 6" xfId="3173"/>
    <cellStyle name="Normal 36 4 2 7" xfId="3719"/>
    <cellStyle name="Normal 36 4 2 8" xfId="4248"/>
    <cellStyle name="Normal 36 4 2 9" xfId="4807"/>
    <cellStyle name="Normal 36 4 3" xfId="741"/>
    <cellStyle name="Normal 36 4 4" xfId="1287"/>
    <cellStyle name="Normal 36 4 5" xfId="1831"/>
    <cellStyle name="Normal 36 4 6" xfId="2374"/>
    <cellStyle name="Normal 36 4 7" xfId="2918"/>
    <cellStyle name="Normal 36 4 8" xfId="3462"/>
    <cellStyle name="Normal 36 4 9" xfId="4005"/>
    <cellStyle name="Normal 36 5" xfId="199"/>
    <cellStyle name="Normal 36 5 10" xfId="4597"/>
    <cellStyle name="Normal 36 5 11" xfId="5137"/>
    <cellStyle name="Normal 36 5 12" xfId="5685"/>
    <cellStyle name="Normal 36 5 13" xfId="6229"/>
    <cellStyle name="Normal 36 5 14" xfId="6773"/>
    <cellStyle name="Normal 36 5 15" xfId="7313"/>
    <cellStyle name="Normal 36 5 2" xfId="453"/>
    <cellStyle name="Normal 36 5 2 10" xfId="5380"/>
    <cellStyle name="Normal 36 5 2 11" xfId="5939"/>
    <cellStyle name="Normal 36 5 2 12" xfId="6483"/>
    <cellStyle name="Normal 36 5 2 13" xfId="7027"/>
    <cellStyle name="Normal 36 5 2 14" xfId="7556"/>
    <cellStyle name="Normal 36 5 2 2" xfId="1042"/>
    <cellStyle name="Normal 36 5 2 3" xfId="1588"/>
    <cellStyle name="Normal 36 5 2 4" xfId="2132"/>
    <cellStyle name="Normal 36 5 2 5" xfId="2675"/>
    <cellStyle name="Normal 36 5 2 6" xfId="3217"/>
    <cellStyle name="Normal 36 5 2 7" xfId="3763"/>
    <cellStyle name="Normal 36 5 2 8" xfId="4292"/>
    <cellStyle name="Normal 36 5 2 9" xfId="4851"/>
    <cellStyle name="Normal 36 5 3" xfId="788"/>
    <cellStyle name="Normal 36 5 4" xfId="1334"/>
    <cellStyle name="Normal 36 5 5" xfId="1878"/>
    <cellStyle name="Normal 36 5 6" xfId="2421"/>
    <cellStyle name="Normal 36 5 7" xfId="2964"/>
    <cellStyle name="Normal 36 5 8" xfId="3509"/>
    <cellStyle name="Normal 36 5 9" xfId="4049"/>
    <cellStyle name="Normal 36 6" xfId="296"/>
    <cellStyle name="Normal 36 6 10" xfId="5225"/>
    <cellStyle name="Normal 36 6 11" xfId="5782"/>
    <cellStyle name="Normal 36 6 12" xfId="6326"/>
    <cellStyle name="Normal 36 6 13" xfId="6870"/>
    <cellStyle name="Normal 36 6 14" xfId="7401"/>
    <cellStyle name="Normal 36 6 2" xfId="885"/>
    <cellStyle name="Normal 36 6 3" xfId="1431"/>
    <cellStyle name="Normal 36 6 4" xfId="1975"/>
    <cellStyle name="Normal 36 6 5" xfId="2518"/>
    <cellStyle name="Normal 36 6 6" xfId="3060"/>
    <cellStyle name="Normal 36 6 7" xfId="3606"/>
    <cellStyle name="Normal 36 6 8" xfId="4137"/>
    <cellStyle name="Normal 36 6 9" xfId="4694"/>
    <cellStyle name="Normal 36 7" xfId="627"/>
    <cellStyle name="Normal 36 8" xfId="1128"/>
    <cellStyle name="Normal 36 9" xfId="1674"/>
    <cellStyle name="Normal 37" xfId="40"/>
    <cellStyle name="Normal 37 10" xfId="2170"/>
    <cellStyle name="Normal 37 11" xfId="2713"/>
    <cellStyle name="Normal 37 12" xfId="3360"/>
    <cellStyle name="Normal 37 13" xfId="3801"/>
    <cellStyle name="Normal 37 14" xfId="4437"/>
    <cellStyle name="Normal 37 15" xfId="4889"/>
    <cellStyle name="Normal 37 16" xfId="5525"/>
    <cellStyle name="Normal 37 17" xfId="5977"/>
    <cellStyle name="Normal 37 18" xfId="6521"/>
    <cellStyle name="Normal 37 19" xfId="7065"/>
    <cellStyle name="Normal 37 2" xfId="84"/>
    <cellStyle name="Normal 37 2 10" xfId="4482"/>
    <cellStyle name="Normal 37 2 11" xfId="5026"/>
    <cellStyle name="Normal 37 2 12" xfId="5570"/>
    <cellStyle name="Normal 37 2 13" xfId="6114"/>
    <cellStyle name="Normal 37 2 14" xfId="6658"/>
    <cellStyle name="Normal 37 2 15" xfId="7202"/>
    <cellStyle name="Normal 37 2 2" xfId="342"/>
    <cellStyle name="Normal 37 2 2 10" xfId="5270"/>
    <cellStyle name="Normal 37 2 2 11" xfId="5828"/>
    <cellStyle name="Normal 37 2 2 12" xfId="6372"/>
    <cellStyle name="Normal 37 2 2 13" xfId="6916"/>
    <cellStyle name="Normal 37 2 2 14" xfId="7446"/>
    <cellStyle name="Normal 37 2 2 2" xfId="931"/>
    <cellStyle name="Normal 37 2 2 3" xfId="1477"/>
    <cellStyle name="Normal 37 2 2 4" xfId="2021"/>
    <cellStyle name="Normal 37 2 2 5" xfId="2564"/>
    <cellStyle name="Normal 37 2 2 6" xfId="3106"/>
    <cellStyle name="Normal 37 2 2 7" xfId="3652"/>
    <cellStyle name="Normal 37 2 2 8" xfId="4182"/>
    <cellStyle name="Normal 37 2 2 9" xfId="4740"/>
    <cellStyle name="Normal 37 2 3" xfId="673"/>
    <cellStyle name="Normal 37 2 4" xfId="1219"/>
    <cellStyle name="Normal 37 2 5" xfId="1763"/>
    <cellStyle name="Normal 37 2 6" xfId="2306"/>
    <cellStyle name="Normal 37 2 7" xfId="2850"/>
    <cellStyle name="Normal 37 2 8" xfId="3394"/>
    <cellStyle name="Normal 37 2 9" xfId="3938"/>
    <cellStyle name="Normal 37 3" xfId="128"/>
    <cellStyle name="Normal 37 3 10" xfId="4526"/>
    <cellStyle name="Normal 37 3 11" xfId="5070"/>
    <cellStyle name="Normal 37 3 12" xfId="5614"/>
    <cellStyle name="Normal 37 3 13" xfId="6158"/>
    <cellStyle name="Normal 37 3 14" xfId="6702"/>
    <cellStyle name="Normal 37 3 15" xfId="7246"/>
    <cellStyle name="Normal 37 3 2" xfId="386"/>
    <cellStyle name="Normal 37 3 2 10" xfId="5314"/>
    <cellStyle name="Normal 37 3 2 11" xfId="5872"/>
    <cellStyle name="Normal 37 3 2 12" xfId="6416"/>
    <cellStyle name="Normal 37 3 2 13" xfId="6960"/>
    <cellStyle name="Normal 37 3 2 14" xfId="7490"/>
    <cellStyle name="Normal 37 3 2 2" xfId="975"/>
    <cellStyle name="Normal 37 3 2 3" xfId="1521"/>
    <cellStyle name="Normal 37 3 2 4" xfId="2065"/>
    <cellStyle name="Normal 37 3 2 5" xfId="2608"/>
    <cellStyle name="Normal 37 3 2 6" xfId="3150"/>
    <cellStyle name="Normal 37 3 2 7" xfId="3696"/>
    <cellStyle name="Normal 37 3 2 8" xfId="4226"/>
    <cellStyle name="Normal 37 3 2 9" xfId="4784"/>
    <cellStyle name="Normal 37 3 3" xfId="717"/>
    <cellStyle name="Normal 37 3 4" xfId="1263"/>
    <cellStyle name="Normal 37 3 5" xfId="1807"/>
    <cellStyle name="Normal 37 3 6" xfId="2350"/>
    <cellStyle name="Normal 37 3 7" xfId="2894"/>
    <cellStyle name="Normal 37 3 8" xfId="3438"/>
    <cellStyle name="Normal 37 3 9" xfId="3982"/>
    <cellStyle name="Normal 37 4" xfId="151"/>
    <cellStyle name="Normal 37 4 10" xfId="4549"/>
    <cellStyle name="Normal 37 4 11" xfId="5092"/>
    <cellStyle name="Normal 37 4 12" xfId="5637"/>
    <cellStyle name="Normal 37 4 13" xfId="6181"/>
    <cellStyle name="Normal 37 4 14" xfId="6725"/>
    <cellStyle name="Normal 37 4 15" xfId="7268"/>
    <cellStyle name="Normal 37 4 2" xfId="408"/>
    <cellStyle name="Normal 37 4 2 10" xfId="5335"/>
    <cellStyle name="Normal 37 4 2 11" xfId="5894"/>
    <cellStyle name="Normal 37 4 2 12" xfId="6438"/>
    <cellStyle name="Normal 37 4 2 13" xfId="6982"/>
    <cellStyle name="Normal 37 4 2 14" xfId="7511"/>
    <cellStyle name="Normal 37 4 2 2" xfId="997"/>
    <cellStyle name="Normal 37 4 2 3" xfId="1543"/>
    <cellStyle name="Normal 37 4 2 4" xfId="2087"/>
    <cellStyle name="Normal 37 4 2 5" xfId="2630"/>
    <cellStyle name="Normal 37 4 2 6" xfId="3172"/>
    <cellStyle name="Normal 37 4 2 7" xfId="3718"/>
    <cellStyle name="Normal 37 4 2 8" xfId="4247"/>
    <cellStyle name="Normal 37 4 2 9" xfId="4806"/>
    <cellStyle name="Normal 37 4 3" xfId="740"/>
    <cellStyle name="Normal 37 4 4" xfId="1286"/>
    <cellStyle name="Normal 37 4 5" xfId="1830"/>
    <cellStyle name="Normal 37 4 6" xfId="2373"/>
    <cellStyle name="Normal 37 4 7" xfId="2917"/>
    <cellStyle name="Normal 37 4 8" xfId="3461"/>
    <cellStyle name="Normal 37 4 9" xfId="4004"/>
    <cellStyle name="Normal 37 5" xfId="225"/>
    <cellStyle name="Normal 37 5 10" xfId="4623"/>
    <cellStyle name="Normal 37 5 11" xfId="5161"/>
    <cellStyle name="Normal 37 5 12" xfId="5711"/>
    <cellStyle name="Normal 37 5 13" xfId="6255"/>
    <cellStyle name="Normal 37 5 14" xfId="6799"/>
    <cellStyle name="Normal 37 5 15" xfId="7337"/>
    <cellStyle name="Normal 37 5 2" xfId="477"/>
    <cellStyle name="Normal 37 5 2 10" xfId="5404"/>
    <cellStyle name="Normal 37 5 2 11" xfId="5963"/>
    <cellStyle name="Normal 37 5 2 12" xfId="6507"/>
    <cellStyle name="Normal 37 5 2 13" xfId="7051"/>
    <cellStyle name="Normal 37 5 2 14" xfId="7580"/>
    <cellStyle name="Normal 37 5 2 2" xfId="1066"/>
    <cellStyle name="Normal 37 5 2 3" xfId="1612"/>
    <cellStyle name="Normal 37 5 2 4" xfId="2156"/>
    <cellStyle name="Normal 37 5 2 5" xfId="2699"/>
    <cellStyle name="Normal 37 5 2 6" xfId="3241"/>
    <cellStyle name="Normal 37 5 2 7" xfId="3787"/>
    <cellStyle name="Normal 37 5 2 8" xfId="4316"/>
    <cellStyle name="Normal 37 5 2 9" xfId="4875"/>
    <cellStyle name="Normal 37 5 3" xfId="814"/>
    <cellStyle name="Normal 37 5 4" xfId="1360"/>
    <cellStyle name="Normal 37 5 5" xfId="1904"/>
    <cellStyle name="Normal 37 5 6" xfId="2447"/>
    <cellStyle name="Normal 37 5 7" xfId="2990"/>
    <cellStyle name="Normal 37 5 8" xfId="3535"/>
    <cellStyle name="Normal 37 5 9" xfId="4073"/>
    <cellStyle name="Normal 37 6" xfId="297"/>
    <cellStyle name="Normal 37 6 10" xfId="5226"/>
    <cellStyle name="Normal 37 6 11" xfId="5783"/>
    <cellStyle name="Normal 37 6 12" xfId="6327"/>
    <cellStyle name="Normal 37 6 13" xfId="6871"/>
    <cellStyle name="Normal 37 6 14" xfId="7402"/>
    <cellStyle name="Normal 37 6 2" xfId="886"/>
    <cellStyle name="Normal 37 6 3" xfId="1432"/>
    <cellStyle name="Normal 37 6 4" xfId="1976"/>
    <cellStyle name="Normal 37 6 5" xfId="2519"/>
    <cellStyle name="Normal 37 6 6" xfId="3061"/>
    <cellStyle name="Normal 37 6 7" xfId="3607"/>
    <cellStyle name="Normal 37 6 8" xfId="4138"/>
    <cellStyle name="Normal 37 6 9" xfId="4695"/>
    <cellStyle name="Normal 37 7" xfId="628"/>
    <cellStyle name="Normal 37 8" xfId="1080"/>
    <cellStyle name="Normal 37 9" xfId="1626"/>
    <cellStyle name="Normal 38" xfId="41"/>
    <cellStyle name="Normal 38 10" xfId="2256"/>
    <cellStyle name="Normal 38 11" xfId="2800"/>
    <cellStyle name="Normal 38 12" xfId="3340"/>
    <cellStyle name="Normal 38 13" xfId="3888"/>
    <cellStyle name="Normal 38 14" xfId="4438"/>
    <cellStyle name="Normal 38 15" xfId="4976"/>
    <cellStyle name="Normal 38 16" xfId="5526"/>
    <cellStyle name="Normal 38 17" xfId="6064"/>
    <cellStyle name="Normal 38 18" xfId="6608"/>
    <cellStyle name="Normal 38 19" xfId="7152"/>
    <cellStyle name="Normal 38 2" xfId="85"/>
    <cellStyle name="Normal 38 2 10" xfId="4483"/>
    <cellStyle name="Normal 38 2 11" xfId="5027"/>
    <cellStyle name="Normal 38 2 12" xfId="5571"/>
    <cellStyle name="Normal 38 2 13" xfId="6115"/>
    <cellStyle name="Normal 38 2 14" xfId="6659"/>
    <cellStyle name="Normal 38 2 15" xfId="7203"/>
    <cellStyle name="Normal 38 2 2" xfId="343"/>
    <cellStyle name="Normal 38 2 2 10" xfId="5271"/>
    <cellStyle name="Normal 38 2 2 11" xfId="5829"/>
    <cellStyle name="Normal 38 2 2 12" xfId="6373"/>
    <cellStyle name="Normal 38 2 2 13" xfId="6917"/>
    <cellStyle name="Normal 38 2 2 14" xfId="7447"/>
    <cellStyle name="Normal 38 2 2 2" xfId="932"/>
    <cellStyle name="Normal 38 2 2 3" xfId="1478"/>
    <cellStyle name="Normal 38 2 2 4" xfId="2022"/>
    <cellStyle name="Normal 38 2 2 5" xfId="2565"/>
    <cellStyle name="Normal 38 2 2 6" xfId="3107"/>
    <cellStyle name="Normal 38 2 2 7" xfId="3653"/>
    <cellStyle name="Normal 38 2 2 8" xfId="4183"/>
    <cellStyle name="Normal 38 2 2 9" xfId="4741"/>
    <cellStyle name="Normal 38 2 3" xfId="674"/>
    <cellStyle name="Normal 38 2 4" xfId="1220"/>
    <cellStyle name="Normal 38 2 5" xfId="1764"/>
    <cellStyle name="Normal 38 2 6" xfId="2307"/>
    <cellStyle name="Normal 38 2 7" xfId="2851"/>
    <cellStyle name="Normal 38 2 8" xfId="3395"/>
    <cellStyle name="Normal 38 2 9" xfId="3939"/>
    <cellStyle name="Normal 38 3" xfId="129"/>
    <cellStyle name="Normal 38 3 10" xfId="4527"/>
    <cellStyle name="Normal 38 3 11" xfId="5071"/>
    <cellStyle name="Normal 38 3 12" xfId="5615"/>
    <cellStyle name="Normal 38 3 13" xfId="6159"/>
    <cellStyle name="Normal 38 3 14" xfId="6703"/>
    <cellStyle name="Normal 38 3 15" xfId="7247"/>
    <cellStyle name="Normal 38 3 2" xfId="387"/>
    <cellStyle name="Normal 38 3 2 10" xfId="5315"/>
    <cellStyle name="Normal 38 3 2 11" xfId="5873"/>
    <cellStyle name="Normal 38 3 2 12" xfId="6417"/>
    <cellStyle name="Normal 38 3 2 13" xfId="6961"/>
    <cellStyle name="Normal 38 3 2 14" xfId="7491"/>
    <cellStyle name="Normal 38 3 2 2" xfId="976"/>
    <cellStyle name="Normal 38 3 2 3" xfId="1522"/>
    <cellStyle name="Normal 38 3 2 4" xfId="2066"/>
    <cellStyle name="Normal 38 3 2 5" xfId="2609"/>
    <cellStyle name="Normal 38 3 2 6" xfId="3151"/>
    <cellStyle name="Normal 38 3 2 7" xfId="3697"/>
    <cellStyle name="Normal 38 3 2 8" xfId="4227"/>
    <cellStyle name="Normal 38 3 2 9" xfId="4785"/>
    <cellStyle name="Normal 38 3 3" xfId="718"/>
    <cellStyle name="Normal 38 3 4" xfId="1264"/>
    <cellStyle name="Normal 38 3 5" xfId="1808"/>
    <cellStyle name="Normal 38 3 6" xfId="2351"/>
    <cellStyle name="Normal 38 3 7" xfId="2895"/>
    <cellStyle name="Normal 38 3 8" xfId="3439"/>
    <cellStyle name="Normal 38 3 9" xfId="3983"/>
    <cellStyle name="Normal 38 4" xfId="150"/>
    <cellStyle name="Normal 38 4 10" xfId="4548"/>
    <cellStyle name="Normal 38 4 11" xfId="5091"/>
    <cellStyle name="Normal 38 4 12" xfId="5636"/>
    <cellStyle name="Normal 38 4 13" xfId="6180"/>
    <cellStyle name="Normal 38 4 14" xfId="6724"/>
    <cellStyle name="Normal 38 4 15" xfId="7267"/>
    <cellStyle name="Normal 38 4 2" xfId="407"/>
    <cellStyle name="Normal 38 4 2 10" xfId="5334"/>
    <cellStyle name="Normal 38 4 2 11" xfId="5893"/>
    <cellStyle name="Normal 38 4 2 12" xfId="6437"/>
    <cellStyle name="Normal 38 4 2 13" xfId="6981"/>
    <cellStyle name="Normal 38 4 2 14" xfId="7510"/>
    <cellStyle name="Normal 38 4 2 2" xfId="996"/>
    <cellStyle name="Normal 38 4 2 3" xfId="1542"/>
    <cellStyle name="Normal 38 4 2 4" xfId="2086"/>
    <cellStyle name="Normal 38 4 2 5" xfId="2629"/>
    <cellStyle name="Normal 38 4 2 6" xfId="3171"/>
    <cellStyle name="Normal 38 4 2 7" xfId="3717"/>
    <cellStyle name="Normal 38 4 2 8" xfId="4246"/>
    <cellStyle name="Normal 38 4 2 9" xfId="4805"/>
    <cellStyle name="Normal 38 4 3" xfId="739"/>
    <cellStyle name="Normal 38 4 4" xfId="1285"/>
    <cellStyle name="Normal 38 4 5" xfId="1829"/>
    <cellStyle name="Normal 38 4 6" xfId="2372"/>
    <cellStyle name="Normal 38 4 7" xfId="2916"/>
    <cellStyle name="Normal 38 4 8" xfId="3460"/>
    <cellStyle name="Normal 38 4 9" xfId="4003"/>
    <cellStyle name="Normal 38 5" xfId="198"/>
    <cellStyle name="Normal 38 5 10" xfId="4596"/>
    <cellStyle name="Normal 38 5 11" xfId="5136"/>
    <cellStyle name="Normal 38 5 12" xfId="5684"/>
    <cellStyle name="Normal 38 5 13" xfId="6228"/>
    <cellStyle name="Normal 38 5 14" xfId="6772"/>
    <cellStyle name="Normal 38 5 15" xfId="7312"/>
    <cellStyle name="Normal 38 5 2" xfId="452"/>
    <cellStyle name="Normal 38 5 2 10" xfId="5379"/>
    <cellStyle name="Normal 38 5 2 11" xfId="5938"/>
    <cellStyle name="Normal 38 5 2 12" xfId="6482"/>
    <cellStyle name="Normal 38 5 2 13" xfId="7026"/>
    <cellStyle name="Normal 38 5 2 14" xfId="7555"/>
    <cellStyle name="Normal 38 5 2 2" xfId="1041"/>
    <cellStyle name="Normal 38 5 2 3" xfId="1587"/>
    <cellStyle name="Normal 38 5 2 4" xfId="2131"/>
    <cellStyle name="Normal 38 5 2 5" xfId="2674"/>
    <cellStyle name="Normal 38 5 2 6" xfId="3216"/>
    <cellStyle name="Normal 38 5 2 7" xfId="3762"/>
    <cellStyle name="Normal 38 5 2 8" xfId="4291"/>
    <cellStyle name="Normal 38 5 2 9" xfId="4850"/>
    <cellStyle name="Normal 38 5 3" xfId="787"/>
    <cellStyle name="Normal 38 5 4" xfId="1333"/>
    <cellStyle name="Normal 38 5 5" xfId="1877"/>
    <cellStyle name="Normal 38 5 6" xfId="2420"/>
    <cellStyle name="Normal 38 5 7" xfId="2963"/>
    <cellStyle name="Normal 38 5 8" xfId="3508"/>
    <cellStyle name="Normal 38 5 9" xfId="4048"/>
    <cellStyle name="Normal 38 6" xfId="298"/>
    <cellStyle name="Normal 38 6 10" xfId="5227"/>
    <cellStyle name="Normal 38 6 11" xfId="5784"/>
    <cellStyle name="Normal 38 6 12" xfId="6328"/>
    <cellStyle name="Normal 38 6 13" xfId="6872"/>
    <cellStyle name="Normal 38 6 14" xfId="7403"/>
    <cellStyle name="Normal 38 6 2" xfId="887"/>
    <cellStyle name="Normal 38 6 3" xfId="1433"/>
    <cellStyle name="Normal 38 6 4" xfId="1977"/>
    <cellStyle name="Normal 38 6 5" xfId="2520"/>
    <cellStyle name="Normal 38 6 6" xfId="3062"/>
    <cellStyle name="Normal 38 6 7" xfId="3608"/>
    <cellStyle name="Normal 38 6 8" xfId="4139"/>
    <cellStyle name="Normal 38 6 9" xfId="4696"/>
    <cellStyle name="Normal 38 7" xfId="629"/>
    <cellStyle name="Normal 38 8" xfId="1167"/>
    <cellStyle name="Normal 38 9" xfId="1713"/>
    <cellStyle name="Normal 39" xfId="42"/>
    <cellStyle name="Normal 39 10" xfId="2254"/>
    <cellStyle name="Normal 39 11" xfId="2798"/>
    <cellStyle name="Normal 39 12" xfId="3338"/>
    <cellStyle name="Normal 39 13" xfId="3886"/>
    <cellStyle name="Normal 39 14" xfId="4439"/>
    <cellStyle name="Normal 39 15" xfId="4974"/>
    <cellStyle name="Normal 39 16" xfId="5527"/>
    <cellStyle name="Normal 39 17" xfId="6062"/>
    <cellStyle name="Normal 39 18" xfId="6606"/>
    <cellStyle name="Normal 39 19" xfId="7150"/>
    <cellStyle name="Normal 39 2" xfId="86"/>
    <cellStyle name="Normal 39 2 10" xfId="4484"/>
    <cellStyle name="Normal 39 2 11" xfId="5028"/>
    <cellStyle name="Normal 39 2 12" xfId="5572"/>
    <cellStyle name="Normal 39 2 13" xfId="6116"/>
    <cellStyle name="Normal 39 2 14" xfId="6660"/>
    <cellStyle name="Normal 39 2 15" xfId="7204"/>
    <cellStyle name="Normal 39 2 2" xfId="344"/>
    <cellStyle name="Normal 39 2 2 10" xfId="5272"/>
    <cellStyle name="Normal 39 2 2 11" xfId="5830"/>
    <cellStyle name="Normal 39 2 2 12" xfId="6374"/>
    <cellStyle name="Normal 39 2 2 13" xfId="6918"/>
    <cellStyle name="Normal 39 2 2 14" xfId="7448"/>
    <cellStyle name="Normal 39 2 2 2" xfId="933"/>
    <cellStyle name="Normal 39 2 2 3" xfId="1479"/>
    <cellStyle name="Normal 39 2 2 4" xfId="2023"/>
    <cellStyle name="Normal 39 2 2 5" xfId="2566"/>
    <cellStyle name="Normal 39 2 2 6" xfId="3108"/>
    <cellStyle name="Normal 39 2 2 7" xfId="3654"/>
    <cellStyle name="Normal 39 2 2 8" xfId="4184"/>
    <cellStyle name="Normal 39 2 2 9" xfId="4742"/>
    <cellStyle name="Normal 39 2 3" xfId="675"/>
    <cellStyle name="Normal 39 2 4" xfId="1221"/>
    <cellStyle name="Normal 39 2 5" xfId="1765"/>
    <cellStyle name="Normal 39 2 6" xfId="2308"/>
    <cellStyle name="Normal 39 2 7" xfId="2852"/>
    <cellStyle name="Normal 39 2 8" xfId="3396"/>
    <cellStyle name="Normal 39 2 9" xfId="3940"/>
    <cellStyle name="Normal 39 3" xfId="130"/>
    <cellStyle name="Normal 39 3 10" xfId="4528"/>
    <cellStyle name="Normal 39 3 11" xfId="5072"/>
    <cellStyle name="Normal 39 3 12" xfId="5616"/>
    <cellStyle name="Normal 39 3 13" xfId="6160"/>
    <cellStyle name="Normal 39 3 14" xfId="6704"/>
    <cellStyle name="Normal 39 3 15" xfId="7248"/>
    <cellStyle name="Normal 39 3 2" xfId="388"/>
    <cellStyle name="Normal 39 3 2 10" xfId="5316"/>
    <cellStyle name="Normal 39 3 2 11" xfId="5874"/>
    <cellStyle name="Normal 39 3 2 12" xfId="6418"/>
    <cellStyle name="Normal 39 3 2 13" xfId="6962"/>
    <cellStyle name="Normal 39 3 2 14" xfId="7492"/>
    <cellStyle name="Normal 39 3 2 2" xfId="977"/>
    <cellStyle name="Normal 39 3 2 3" xfId="1523"/>
    <cellStyle name="Normal 39 3 2 4" xfId="2067"/>
    <cellStyle name="Normal 39 3 2 5" xfId="2610"/>
    <cellStyle name="Normal 39 3 2 6" xfId="3152"/>
    <cellStyle name="Normal 39 3 2 7" xfId="3698"/>
    <cellStyle name="Normal 39 3 2 8" xfId="4228"/>
    <cellStyle name="Normal 39 3 2 9" xfId="4786"/>
    <cellStyle name="Normal 39 3 3" xfId="719"/>
    <cellStyle name="Normal 39 3 4" xfId="1265"/>
    <cellStyle name="Normal 39 3 5" xfId="1809"/>
    <cellStyle name="Normal 39 3 6" xfId="2352"/>
    <cellStyle name="Normal 39 3 7" xfId="2896"/>
    <cellStyle name="Normal 39 3 8" xfId="3440"/>
    <cellStyle name="Normal 39 3 9" xfId="3984"/>
    <cellStyle name="Normal 39 4" xfId="149"/>
    <cellStyle name="Normal 39 4 10" xfId="4547"/>
    <cellStyle name="Normal 39 4 11" xfId="5090"/>
    <cellStyle name="Normal 39 4 12" xfId="5635"/>
    <cellStyle name="Normal 39 4 13" xfId="6179"/>
    <cellStyle name="Normal 39 4 14" xfId="6723"/>
    <cellStyle name="Normal 39 4 15" xfId="7266"/>
    <cellStyle name="Normal 39 4 2" xfId="406"/>
    <cellStyle name="Normal 39 4 2 10" xfId="5333"/>
    <cellStyle name="Normal 39 4 2 11" xfId="5892"/>
    <cellStyle name="Normal 39 4 2 12" xfId="6436"/>
    <cellStyle name="Normal 39 4 2 13" xfId="6980"/>
    <cellStyle name="Normal 39 4 2 14" xfId="7509"/>
    <cellStyle name="Normal 39 4 2 2" xfId="995"/>
    <cellStyle name="Normal 39 4 2 3" xfId="1541"/>
    <cellStyle name="Normal 39 4 2 4" xfId="2085"/>
    <cellStyle name="Normal 39 4 2 5" xfId="2628"/>
    <cellStyle name="Normal 39 4 2 6" xfId="3170"/>
    <cellStyle name="Normal 39 4 2 7" xfId="3716"/>
    <cellStyle name="Normal 39 4 2 8" xfId="4245"/>
    <cellStyle name="Normal 39 4 2 9" xfId="4804"/>
    <cellStyle name="Normal 39 4 3" xfId="738"/>
    <cellStyle name="Normal 39 4 4" xfId="1284"/>
    <cellStyle name="Normal 39 4 5" xfId="1828"/>
    <cellStyle name="Normal 39 4 6" xfId="2371"/>
    <cellStyle name="Normal 39 4 7" xfId="2915"/>
    <cellStyle name="Normal 39 4 8" xfId="3459"/>
    <cellStyle name="Normal 39 4 9" xfId="4002"/>
    <cellStyle name="Normal 39 5" xfId="224"/>
    <cellStyle name="Normal 39 5 10" xfId="4622"/>
    <cellStyle name="Normal 39 5 11" xfId="5160"/>
    <cellStyle name="Normal 39 5 12" xfId="5710"/>
    <cellStyle name="Normal 39 5 13" xfId="6254"/>
    <cellStyle name="Normal 39 5 14" xfId="6798"/>
    <cellStyle name="Normal 39 5 15" xfId="7336"/>
    <cellStyle name="Normal 39 5 2" xfId="476"/>
    <cellStyle name="Normal 39 5 2 10" xfId="5403"/>
    <cellStyle name="Normal 39 5 2 11" xfId="5962"/>
    <cellStyle name="Normal 39 5 2 12" xfId="6506"/>
    <cellStyle name="Normal 39 5 2 13" xfId="7050"/>
    <cellStyle name="Normal 39 5 2 14" xfId="7579"/>
    <cellStyle name="Normal 39 5 2 2" xfId="1065"/>
    <cellStyle name="Normal 39 5 2 3" xfId="1611"/>
    <cellStyle name="Normal 39 5 2 4" xfId="2155"/>
    <cellStyle name="Normal 39 5 2 5" xfId="2698"/>
    <cellStyle name="Normal 39 5 2 6" xfId="3240"/>
    <cellStyle name="Normal 39 5 2 7" xfId="3786"/>
    <cellStyle name="Normal 39 5 2 8" xfId="4315"/>
    <cellStyle name="Normal 39 5 2 9" xfId="4874"/>
    <cellStyle name="Normal 39 5 3" xfId="813"/>
    <cellStyle name="Normal 39 5 4" xfId="1359"/>
    <cellStyle name="Normal 39 5 5" xfId="1903"/>
    <cellStyle name="Normal 39 5 6" xfId="2446"/>
    <cellStyle name="Normal 39 5 7" xfId="2989"/>
    <cellStyle name="Normal 39 5 8" xfId="3534"/>
    <cellStyle name="Normal 39 5 9" xfId="4072"/>
    <cellStyle name="Normal 39 6" xfId="299"/>
    <cellStyle name="Normal 39 6 10" xfId="5228"/>
    <cellStyle name="Normal 39 6 11" xfId="5785"/>
    <cellStyle name="Normal 39 6 12" xfId="6329"/>
    <cellStyle name="Normal 39 6 13" xfId="6873"/>
    <cellStyle name="Normal 39 6 14" xfId="7404"/>
    <cellStyle name="Normal 39 6 2" xfId="888"/>
    <cellStyle name="Normal 39 6 3" xfId="1434"/>
    <cellStyle name="Normal 39 6 4" xfId="1978"/>
    <cellStyle name="Normal 39 6 5" xfId="2521"/>
    <cellStyle name="Normal 39 6 6" xfId="3063"/>
    <cellStyle name="Normal 39 6 7" xfId="3609"/>
    <cellStyle name="Normal 39 6 8" xfId="4140"/>
    <cellStyle name="Normal 39 6 9" xfId="4697"/>
    <cellStyle name="Normal 39 7" xfId="630"/>
    <cellStyle name="Normal 39 8" xfId="1165"/>
    <cellStyle name="Normal 39 9" xfId="1711"/>
    <cellStyle name="Normal 4" xfId="7"/>
    <cellStyle name="Normal 4 10" xfId="2209"/>
    <cellStyle name="Normal 4 11" xfId="2752"/>
    <cellStyle name="Normal 4 12" xfId="3291"/>
    <cellStyle name="Normal 4 13" xfId="3840"/>
    <cellStyle name="Normal 4 14" xfId="4395"/>
    <cellStyle name="Normal 4 15" xfId="4928"/>
    <cellStyle name="Normal 4 16" xfId="5458"/>
    <cellStyle name="Normal 4 17" xfId="6016"/>
    <cellStyle name="Normal 4 18" xfId="6560"/>
    <cellStyle name="Normal 4 19" xfId="7104"/>
    <cellStyle name="Normal 4 2" xfId="51"/>
    <cellStyle name="Normal 4 2 10" xfId="4449"/>
    <cellStyle name="Normal 4 2 11" xfId="4944"/>
    <cellStyle name="Normal 4 2 12" xfId="5537"/>
    <cellStyle name="Normal 4 2 13" xfId="6032"/>
    <cellStyle name="Normal 4 2 14" xfId="6576"/>
    <cellStyle name="Normal 4 2 15" xfId="7120"/>
    <cellStyle name="Normal 4 2 2" xfId="309"/>
    <cellStyle name="Normal 4 2 2 10" xfId="5237"/>
    <cellStyle name="Normal 4 2 2 11" xfId="5795"/>
    <cellStyle name="Normal 4 2 2 12" xfId="6339"/>
    <cellStyle name="Normal 4 2 2 13" xfId="6883"/>
    <cellStyle name="Normal 4 2 2 14" xfId="7413"/>
    <cellStyle name="Normal 4 2 2 2" xfId="898"/>
    <cellStyle name="Normal 4 2 2 3" xfId="1444"/>
    <cellStyle name="Normal 4 2 2 4" xfId="1988"/>
    <cellStyle name="Normal 4 2 2 5" xfId="2531"/>
    <cellStyle name="Normal 4 2 2 6" xfId="3073"/>
    <cellStyle name="Normal 4 2 2 7" xfId="3619"/>
    <cellStyle name="Normal 4 2 2 8" xfId="4149"/>
    <cellStyle name="Normal 4 2 2 9" xfId="4707"/>
    <cellStyle name="Normal 4 2 3" xfId="640"/>
    <cellStyle name="Normal 4 2 4" xfId="1151"/>
    <cellStyle name="Normal 4 2 5" xfId="1681"/>
    <cellStyle name="Normal 4 2 6" xfId="2225"/>
    <cellStyle name="Normal 4 2 7" xfId="2768"/>
    <cellStyle name="Normal 4 2 8" xfId="3361"/>
    <cellStyle name="Normal 4 2 9" xfId="3856"/>
    <cellStyle name="Normal 4 3" xfId="95"/>
    <cellStyle name="Normal 4 3 10" xfId="4493"/>
    <cellStyle name="Normal 4 3 11" xfId="5037"/>
    <cellStyle name="Normal 4 3 12" xfId="5581"/>
    <cellStyle name="Normal 4 3 13" xfId="6125"/>
    <cellStyle name="Normal 4 3 14" xfId="6669"/>
    <cellStyle name="Normal 4 3 15" xfId="7213"/>
    <cellStyle name="Normal 4 3 2" xfId="353"/>
    <cellStyle name="Normal 4 3 2 10" xfId="5281"/>
    <cellStyle name="Normal 4 3 2 11" xfId="5839"/>
    <cellStyle name="Normal 4 3 2 12" xfId="6383"/>
    <cellStyle name="Normal 4 3 2 13" xfId="6927"/>
    <cellStyle name="Normal 4 3 2 14" xfId="7457"/>
    <cellStyle name="Normal 4 3 2 2" xfId="942"/>
    <cellStyle name="Normal 4 3 2 3" xfId="1488"/>
    <cellStyle name="Normal 4 3 2 4" xfId="2032"/>
    <cellStyle name="Normal 4 3 2 5" xfId="2575"/>
    <cellStyle name="Normal 4 3 2 6" xfId="3117"/>
    <cellStyle name="Normal 4 3 2 7" xfId="3663"/>
    <cellStyle name="Normal 4 3 2 8" xfId="4193"/>
    <cellStyle name="Normal 4 3 2 9" xfId="4751"/>
    <cellStyle name="Normal 4 3 3" xfId="684"/>
    <cellStyle name="Normal 4 3 4" xfId="1230"/>
    <cellStyle name="Normal 4 3 5" xfId="1774"/>
    <cellStyle name="Normal 4 3 6" xfId="2317"/>
    <cellStyle name="Normal 4 3 7" xfId="2861"/>
    <cellStyle name="Normal 4 3 8" xfId="3405"/>
    <cellStyle name="Normal 4 3 9" xfId="3949"/>
    <cellStyle name="Normal 4 4" xfId="143"/>
    <cellStyle name="Normal 4 4 10" xfId="4541"/>
    <cellStyle name="Normal 4 4 11" xfId="5084"/>
    <cellStyle name="Normal 4 4 12" xfId="5629"/>
    <cellStyle name="Normal 4 4 13" xfId="6173"/>
    <cellStyle name="Normal 4 4 14" xfId="6717"/>
    <cellStyle name="Normal 4 4 15" xfId="7260"/>
    <cellStyle name="Normal 4 4 2" xfId="400"/>
    <cellStyle name="Normal 4 4 2 10" xfId="5327"/>
    <cellStyle name="Normal 4 4 2 11" xfId="5886"/>
    <cellStyle name="Normal 4 4 2 12" xfId="6430"/>
    <cellStyle name="Normal 4 4 2 13" xfId="6974"/>
    <cellStyle name="Normal 4 4 2 14" xfId="7503"/>
    <cellStyle name="Normal 4 4 2 2" xfId="989"/>
    <cellStyle name="Normal 4 4 2 3" xfId="1535"/>
    <cellStyle name="Normal 4 4 2 4" xfId="2079"/>
    <cellStyle name="Normal 4 4 2 5" xfId="2622"/>
    <cellStyle name="Normal 4 4 2 6" xfId="3164"/>
    <cellStyle name="Normal 4 4 2 7" xfId="3710"/>
    <cellStyle name="Normal 4 4 2 8" xfId="4239"/>
    <cellStyle name="Normal 4 4 2 9" xfId="4798"/>
    <cellStyle name="Normal 4 4 3" xfId="732"/>
    <cellStyle name="Normal 4 4 4" xfId="1278"/>
    <cellStyle name="Normal 4 4 5" xfId="1822"/>
    <cellStyle name="Normal 4 4 6" xfId="2365"/>
    <cellStyle name="Normal 4 4 7" xfId="2909"/>
    <cellStyle name="Normal 4 4 8" xfId="3453"/>
    <cellStyle name="Normal 4 4 9" xfId="3996"/>
    <cellStyle name="Normal 4 5" xfId="218"/>
    <cellStyle name="Normal 4 5 10" xfId="4616"/>
    <cellStyle name="Normal 4 5 11" xfId="5155"/>
    <cellStyle name="Normal 4 5 12" xfId="5704"/>
    <cellStyle name="Normal 4 5 13" xfId="6248"/>
    <cellStyle name="Normal 4 5 14" xfId="6792"/>
    <cellStyle name="Normal 4 5 15" xfId="7331"/>
    <cellStyle name="Normal 4 5 2" xfId="471"/>
    <cellStyle name="Normal 4 5 2 10" xfId="5398"/>
    <cellStyle name="Normal 4 5 2 11" xfId="5957"/>
    <cellStyle name="Normal 4 5 2 12" xfId="6501"/>
    <cellStyle name="Normal 4 5 2 13" xfId="7045"/>
    <cellStyle name="Normal 4 5 2 14" xfId="7574"/>
    <cellStyle name="Normal 4 5 2 2" xfId="1060"/>
    <cellStyle name="Normal 4 5 2 3" xfId="1606"/>
    <cellStyle name="Normal 4 5 2 4" xfId="2150"/>
    <cellStyle name="Normal 4 5 2 5" xfId="2693"/>
    <cellStyle name="Normal 4 5 2 6" xfId="3235"/>
    <cellStyle name="Normal 4 5 2 7" xfId="3781"/>
    <cellStyle name="Normal 4 5 2 8" xfId="4310"/>
    <cellStyle name="Normal 4 5 2 9" xfId="4869"/>
    <cellStyle name="Normal 4 5 3" xfId="807"/>
    <cellStyle name="Normal 4 5 4" xfId="1353"/>
    <cellStyle name="Normal 4 5 5" xfId="1897"/>
    <cellStyle name="Normal 4 5 6" xfId="2440"/>
    <cellStyle name="Normal 4 5 7" xfId="2983"/>
    <cellStyle name="Normal 4 5 8" xfId="3528"/>
    <cellStyle name="Normal 4 5 9" xfId="4067"/>
    <cellStyle name="Normal 4 6" xfId="264"/>
    <cellStyle name="Normal 4 6 10" xfId="5193"/>
    <cellStyle name="Normal 4 6 11" xfId="5750"/>
    <cellStyle name="Normal 4 6 12" xfId="6294"/>
    <cellStyle name="Normal 4 6 13" xfId="6838"/>
    <cellStyle name="Normal 4 6 14" xfId="7369"/>
    <cellStyle name="Normal 4 6 2" xfId="853"/>
    <cellStyle name="Normal 4 6 3" xfId="1399"/>
    <cellStyle name="Normal 4 6 4" xfId="1943"/>
    <cellStyle name="Normal 4 6 5" xfId="2486"/>
    <cellStyle name="Normal 4 6 6" xfId="3028"/>
    <cellStyle name="Normal 4 6 7" xfId="3574"/>
    <cellStyle name="Normal 4 6 8" xfId="4105"/>
    <cellStyle name="Normal 4 6 9" xfId="4662"/>
    <cellStyle name="Normal 4 7" xfId="595"/>
    <cellStyle name="Normal 4 8" xfId="1119"/>
    <cellStyle name="Normal 4 9" xfId="1665"/>
    <cellStyle name="Normal 40" xfId="43"/>
    <cellStyle name="Normal 40 10" xfId="2234"/>
    <cellStyle name="Normal 40 11" xfId="2777"/>
    <cellStyle name="Normal 40 12" xfId="3331"/>
    <cellStyle name="Normal 40 13" xfId="3865"/>
    <cellStyle name="Normal 40 14" xfId="4440"/>
    <cellStyle name="Normal 40 15" xfId="4953"/>
    <cellStyle name="Normal 40 16" xfId="5528"/>
    <cellStyle name="Normal 40 17" xfId="6041"/>
    <cellStyle name="Normal 40 18" xfId="6585"/>
    <cellStyle name="Normal 40 19" xfId="7129"/>
    <cellStyle name="Normal 40 2" xfId="87"/>
    <cellStyle name="Normal 40 2 10" xfId="4485"/>
    <cellStyle name="Normal 40 2 11" xfId="5029"/>
    <cellStyle name="Normal 40 2 12" xfId="5573"/>
    <cellStyle name="Normal 40 2 13" xfId="6117"/>
    <cellStyle name="Normal 40 2 14" xfId="6661"/>
    <cellStyle name="Normal 40 2 15" xfId="7205"/>
    <cellStyle name="Normal 40 2 2" xfId="345"/>
    <cellStyle name="Normal 40 2 2 10" xfId="5273"/>
    <cellStyle name="Normal 40 2 2 11" xfId="5831"/>
    <cellStyle name="Normal 40 2 2 12" xfId="6375"/>
    <cellStyle name="Normal 40 2 2 13" xfId="6919"/>
    <cellStyle name="Normal 40 2 2 14" xfId="7449"/>
    <cellStyle name="Normal 40 2 2 2" xfId="934"/>
    <cellStyle name="Normal 40 2 2 3" xfId="1480"/>
    <cellStyle name="Normal 40 2 2 4" xfId="2024"/>
    <cellStyle name="Normal 40 2 2 5" xfId="2567"/>
    <cellStyle name="Normal 40 2 2 6" xfId="3109"/>
    <cellStyle name="Normal 40 2 2 7" xfId="3655"/>
    <cellStyle name="Normal 40 2 2 8" xfId="4185"/>
    <cellStyle name="Normal 40 2 2 9" xfId="4743"/>
    <cellStyle name="Normal 40 2 3" xfId="676"/>
    <cellStyle name="Normal 40 2 4" xfId="1222"/>
    <cellStyle name="Normal 40 2 5" xfId="1766"/>
    <cellStyle name="Normal 40 2 6" xfId="2309"/>
    <cellStyle name="Normal 40 2 7" xfId="2853"/>
    <cellStyle name="Normal 40 2 8" xfId="3397"/>
    <cellStyle name="Normal 40 2 9" xfId="3941"/>
    <cellStyle name="Normal 40 3" xfId="131"/>
    <cellStyle name="Normal 40 3 10" xfId="4529"/>
    <cellStyle name="Normal 40 3 11" xfId="5073"/>
    <cellStyle name="Normal 40 3 12" xfId="5617"/>
    <cellStyle name="Normal 40 3 13" xfId="6161"/>
    <cellStyle name="Normal 40 3 14" xfId="6705"/>
    <cellStyle name="Normal 40 3 15" xfId="7249"/>
    <cellStyle name="Normal 40 3 2" xfId="389"/>
    <cellStyle name="Normal 40 3 2 10" xfId="5317"/>
    <cellStyle name="Normal 40 3 2 11" xfId="5875"/>
    <cellStyle name="Normal 40 3 2 12" xfId="6419"/>
    <cellStyle name="Normal 40 3 2 13" xfId="6963"/>
    <cellStyle name="Normal 40 3 2 14" xfId="7493"/>
    <cellStyle name="Normal 40 3 2 2" xfId="978"/>
    <cellStyle name="Normal 40 3 2 3" xfId="1524"/>
    <cellStyle name="Normal 40 3 2 4" xfId="2068"/>
    <cellStyle name="Normal 40 3 2 5" xfId="2611"/>
    <cellStyle name="Normal 40 3 2 6" xfId="3153"/>
    <cellStyle name="Normal 40 3 2 7" xfId="3699"/>
    <cellStyle name="Normal 40 3 2 8" xfId="4229"/>
    <cellStyle name="Normal 40 3 2 9" xfId="4787"/>
    <cellStyle name="Normal 40 3 3" xfId="720"/>
    <cellStyle name="Normal 40 3 4" xfId="1266"/>
    <cellStyle name="Normal 40 3 5" xfId="1810"/>
    <cellStyle name="Normal 40 3 6" xfId="2353"/>
    <cellStyle name="Normal 40 3 7" xfId="2897"/>
    <cellStyle name="Normal 40 3 8" xfId="3441"/>
    <cellStyle name="Normal 40 3 9" xfId="3985"/>
    <cellStyle name="Normal 40 4" xfId="139"/>
    <cellStyle name="Normal 40 4 10" xfId="4537"/>
    <cellStyle name="Normal 40 4 11" xfId="5080"/>
    <cellStyle name="Normal 40 4 12" xfId="5625"/>
    <cellStyle name="Normal 40 4 13" xfId="6169"/>
    <cellStyle name="Normal 40 4 14" xfId="6713"/>
    <cellStyle name="Normal 40 4 15" xfId="7256"/>
    <cellStyle name="Normal 40 4 2" xfId="396"/>
    <cellStyle name="Normal 40 4 2 10" xfId="5323"/>
    <cellStyle name="Normal 40 4 2 11" xfId="5882"/>
    <cellStyle name="Normal 40 4 2 12" xfId="6426"/>
    <cellStyle name="Normal 40 4 2 13" xfId="6970"/>
    <cellStyle name="Normal 40 4 2 14" xfId="7499"/>
    <cellStyle name="Normal 40 4 2 2" xfId="985"/>
    <cellStyle name="Normal 40 4 2 3" xfId="1531"/>
    <cellStyle name="Normal 40 4 2 4" xfId="2075"/>
    <cellStyle name="Normal 40 4 2 5" xfId="2618"/>
    <cellStyle name="Normal 40 4 2 6" xfId="3160"/>
    <cellStyle name="Normal 40 4 2 7" xfId="3706"/>
    <cellStyle name="Normal 40 4 2 8" xfId="4235"/>
    <cellStyle name="Normal 40 4 2 9" xfId="4794"/>
    <cellStyle name="Normal 40 4 3" xfId="728"/>
    <cellStyle name="Normal 40 4 4" xfId="1274"/>
    <cellStyle name="Normal 40 4 5" xfId="1818"/>
    <cellStyle name="Normal 40 4 6" xfId="2361"/>
    <cellStyle name="Normal 40 4 7" xfId="2905"/>
    <cellStyle name="Normal 40 4 8" xfId="3449"/>
    <cellStyle name="Normal 40 4 9" xfId="3992"/>
    <cellStyle name="Normal 40 5" xfId="197"/>
    <cellStyle name="Normal 40 5 10" xfId="4595"/>
    <cellStyle name="Normal 40 5 11" xfId="5135"/>
    <cellStyle name="Normal 40 5 12" xfId="5683"/>
    <cellStyle name="Normal 40 5 13" xfId="6227"/>
    <cellStyle name="Normal 40 5 14" xfId="6771"/>
    <cellStyle name="Normal 40 5 15" xfId="7311"/>
    <cellStyle name="Normal 40 5 2" xfId="451"/>
    <cellStyle name="Normal 40 5 2 10" xfId="5378"/>
    <cellStyle name="Normal 40 5 2 11" xfId="5937"/>
    <cellStyle name="Normal 40 5 2 12" xfId="6481"/>
    <cellStyle name="Normal 40 5 2 13" xfId="7025"/>
    <cellStyle name="Normal 40 5 2 14" xfId="7554"/>
    <cellStyle name="Normal 40 5 2 2" xfId="1040"/>
    <cellStyle name="Normal 40 5 2 3" xfId="1586"/>
    <cellStyle name="Normal 40 5 2 4" xfId="2130"/>
    <cellStyle name="Normal 40 5 2 5" xfId="2673"/>
    <cellStyle name="Normal 40 5 2 6" xfId="3215"/>
    <cellStyle name="Normal 40 5 2 7" xfId="3761"/>
    <cellStyle name="Normal 40 5 2 8" xfId="4290"/>
    <cellStyle name="Normal 40 5 2 9" xfId="4849"/>
    <cellStyle name="Normal 40 5 3" xfId="786"/>
    <cellStyle name="Normal 40 5 4" xfId="1332"/>
    <cellStyle name="Normal 40 5 5" xfId="1876"/>
    <cellStyle name="Normal 40 5 6" xfId="2419"/>
    <cellStyle name="Normal 40 5 7" xfId="2962"/>
    <cellStyle name="Normal 40 5 8" xfId="3507"/>
    <cellStyle name="Normal 40 5 9" xfId="4047"/>
    <cellStyle name="Normal 40 6" xfId="300"/>
    <cellStyle name="Normal 40 6 10" xfId="5229"/>
    <cellStyle name="Normal 40 6 11" xfId="5786"/>
    <cellStyle name="Normal 40 6 12" xfId="6330"/>
    <cellStyle name="Normal 40 6 13" xfId="6874"/>
    <cellStyle name="Normal 40 6 14" xfId="7405"/>
    <cellStyle name="Normal 40 6 2" xfId="889"/>
    <cellStyle name="Normal 40 6 3" xfId="1435"/>
    <cellStyle name="Normal 40 6 4" xfId="1979"/>
    <cellStyle name="Normal 40 6 5" xfId="2522"/>
    <cellStyle name="Normal 40 6 6" xfId="3064"/>
    <cellStyle name="Normal 40 6 7" xfId="3610"/>
    <cellStyle name="Normal 40 6 8" xfId="4141"/>
    <cellStyle name="Normal 40 6 9" xfId="4698"/>
    <cellStyle name="Normal 40 7" xfId="631"/>
    <cellStyle name="Normal 40 8" xfId="1144"/>
    <cellStyle name="Normal 40 9" xfId="1690"/>
    <cellStyle name="Normal 41" xfId="44"/>
    <cellStyle name="Normal 41 10" xfId="2232"/>
    <cellStyle name="Normal 41 11" xfId="2775"/>
    <cellStyle name="Normal 41 12" xfId="3306"/>
    <cellStyle name="Normal 41 13" xfId="3863"/>
    <cellStyle name="Normal 41 14" xfId="4441"/>
    <cellStyle name="Normal 41 15" xfId="4951"/>
    <cellStyle name="Normal 41 16" xfId="5529"/>
    <cellStyle name="Normal 41 17" xfId="6039"/>
    <cellStyle name="Normal 41 18" xfId="6583"/>
    <cellStyle name="Normal 41 19" xfId="7127"/>
    <cellStyle name="Normal 41 2" xfId="88"/>
    <cellStyle name="Normal 41 2 10" xfId="4486"/>
    <cellStyle name="Normal 41 2 11" xfId="5030"/>
    <cellStyle name="Normal 41 2 12" xfId="5574"/>
    <cellStyle name="Normal 41 2 13" xfId="6118"/>
    <cellStyle name="Normal 41 2 14" xfId="6662"/>
    <cellStyle name="Normal 41 2 15" xfId="7206"/>
    <cellStyle name="Normal 41 2 2" xfId="346"/>
    <cellStyle name="Normal 41 2 2 10" xfId="5274"/>
    <cellStyle name="Normal 41 2 2 11" xfId="5832"/>
    <cellStyle name="Normal 41 2 2 12" xfId="6376"/>
    <cellStyle name="Normal 41 2 2 13" xfId="6920"/>
    <cellStyle name="Normal 41 2 2 14" xfId="7450"/>
    <cellStyle name="Normal 41 2 2 2" xfId="935"/>
    <cellStyle name="Normal 41 2 2 3" xfId="1481"/>
    <cellStyle name="Normal 41 2 2 4" xfId="2025"/>
    <cellStyle name="Normal 41 2 2 5" xfId="2568"/>
    <cellStyle name="Normal 41 2 2 6" xfId="3110"/>
    <cellStyle name="Normal 41 2 2 7" xfId="3656"/>
    <cellStyle name="Normal 41 2 2 8" xfId="4186"/>
    <cellStyle name="Normal 41 2 2 9" xfId="4744"/>
    <cellStyle name="Normal 41 2 3" xfId="677"/>
    <cellStyle name="Normal 41 2 4" xfId="1223"/>
    <cellStyle name="Normal 41 2 5" xfId="1767"/>
    <cellStyle name="Normal 41 2 6" xfId="2310"/>
    <cellStyle name="Normal 41 2 7" xfId="2854"/>
    <cellStyle name="Normal 41 2 8" xfId="3398"/>
    <cellStyle name="Normal 41 2 9" xfId="3942"/>
    <cellStyle name="Normal 41 3" xfId="132"/>
    <cellStyle name="Normal 41 3 10" xfId="4530"/>
    <cellStyle name="Normal 41 3 11" xfId="5074"/>
    <cellStyle name="Normal 41 3 12" xfId="5618"/>
    <cellStyle name="Normal 41 3 13" xfId="6162"/>
    <cellStyle name="Normal 41 3 14" xfId="6706"/>
    <cellStyle name="Normal 41 3 15" xfId="7250"/>
    <cellStyle name="Normal 41 3 2" xfId="390"/>
    <cellStyle name="Normal 41 3 2 10" xfId="5318"/>
    <cellStyle name="Normal 41 3 2 11" xfId="5876"/>
    <cellStyle name="Normal 41 3 2 12" xfId="6420"/>
    <cellStyle name="Normal 41 3 2 13" xfId="6964"/>
    <cellStyle name="Normal 41 3 2 14" xfId="7494"/>
    <cellStyle name="Normal 41 3 2 2" xfId="979"/>
    <cellStyle name="Normal 41 3 2 3" xfId="1525"/>
    <cellStyle name="Normal 41 3 2 4" xfId="2069"/>
    <cellStyle name="Normal 41 3 2 5" xfId="2612"/>
    <cellStyle name="Normal 41 3 2 6" xfId="3154"/>
    <cellStyle name="Normal 41 3 2 7" xfId="3700"/>
    <cellStyle name="Normal 41 3 2 8" xfId="4230"/>
    <cellStyle name="Normal 41 3 2 9" xfId="4788"/>
    <cellStyle name="Normal 41 3 3" xfId="721"/>
    <cellStyle name="Normal 41 3 4" xfId="1267"/>
    <cellStyle name="Normal 41 3 5" xfId="1811"/>
    <cellStyle name="Normal 41 3 6" xfId="2354"/>
    <cellStyle name="Normal 41 3 7" xfId="2898"/>
    <cellStyle name="Normal 41 3 8" xfId="3442"/>
    <cellStyle name="Normal 41 3 9" xfId="3986"/>
    <cellStyle name="Normal 41 4" xfId="148"/>
    <cellStyle name="Normal 41 4 10" xfId="4546"/>
    <cellStyle name="Normal 41 4 11" xfId="5089"/>
    <cellStyle name="Normal 41 4 12" xfId="5634"/>
    <cellStyle name="Normal 41 4 13" xfId="6178"/>
    <cellStyle name="Normal 41 4 14" xfId="6722"/>
    <cellStyle name="Normal 41 4 15" xfId="7265"/>
    <cellStyle name="Normal 41 4 2" xfId="405"/>
    <cellStyle name="Normal 41 4 2 10" xfId="5332"/>
    <cellStyle name="Normal 41 4 2 11" xfId="5891"/>
    <cellStyle name="Normal 41 4 2 12" xfId="6435"/>
    <cellStyle name="Normal 41 4 2 13" xfId="6979"/>
    <cellStyle name="Normal 41 4 2 14" xfId="7508"/>
    <cellStyle name="Normal 41 4 2 2" xfId="994"/>
    <cellStyle name="Normal 41 4 2 3" xfId="1540"/>
    <cellStyle name="Normal 41 4 2 4" xfId="2084"/>
    <cellStyle name="Normal 41 4 2 5" xfId="2627"/>
    <cellStyle name="Normal 41 4 2 6" xfId="3169"/>
    <cellStyle name="Normal 41 4 2 7" xfId="3715"/>
    <cellStyle name="Normal 41 4 2 8" xfId="4244"/>
    <cellStyle name="Normal 41 4 2 9" xfId="4803"/>
    <cellStyle name="Normal 41 4 3" xfId="737"/>
    <cellStyle name="Normal 41 4 4" xfId="1283"/>
    <cellStyle name="Normal 41 4 5" xfId="1827"/>
    <cellStyle name="Normal 41 4 6" xfId="2370"/>
    <cellStyle name="Normal 41 4 7" xfId="2914"/>
    <cellStyle name="Normal 41 4 8" xfId="3458"/>
    <cellStyle name="Normal 41 4 9" xfId="4001"/>
    <cellStyle name="Normal 41 5" xfId="223"/>
    <cellStyle name="Normal 41 5 10" xfId="4621"/>
    <cellStyle name="Normal 41 5 11" xfId="5159"/>
    <cellStyle name="Normal 41 5 12" xfId="5709"/>
    <cellStyle name="Normal 41 5 13" xfId="6253"/>
    <cellStyle name="Normal 41 5 14" xfId="6797"/>
    <cellStyle name="Normal 41 5 15" xfId="7335"/>
    <cellStyle name="Normal 41 5 2" xfId="475"/>
    <cellStyle name="Normal 41 5 2 10" xfId="5402"/>
    <cellStyle name="Normal 41 5 2 11" xfId="5961"/>
    <cellStyle name="Normal 41 5 2 12" xfId="6505"/>
    <cellStyle name="Normal 41 5 2 13" xfId="7049"/>
    <cellStyle name="Normal 41 5 2 14" xfId="7578"/>
    <cellStyle name="Normal 41 5 2 2" xfId="1064"/>
    <cellStyle name="Normal 41 5 2 3" xfId="1610"/>
    <cellStyle name="Normal 41 5 2 4" xfId="2154"/>
    <cellStyle name="Normal 41 5 2 5" xfId="2697"/>
    <cellStyle name="Normal 41 5 2 6" xfId="3239"/>
    <cellStyle name="Normal 41 5 2 7" xfId="3785"/>
    <cellStyle name="Normal 41 5 2 8" xfId="4314"/>
    <cellStyle name="Normal 41 5 2 9" xfId="4873"/>
    <cellStyle name="Normal 41 5 3" xfId="812"/>
    <cellStyle name="Normal 41 5 4" xfId="1358"/>
    <cellStyle name="Normal 41 5 5" xfId="1902"/>
    <cellStyle name="Normal 41 5 6" xfId="2445"/>
    <cellStyle name="Normal 41 5 7" xfId="2988"/>
    <cellStyle name="Normal 41 5 8" xfId="3533"/>
    <cellStyle name="Normal 41 5 9" xfId="4071"/>
    <cellStyle name="Normal 41 6" xfId="301"/>
    <cellStyle name="Normal 41 6 10" xfId="5230"/>
    <cellStyle name="Normal 41 6 11" xfId="5787"/>
    <cellStyle name="Normal 41 6 12" xfId="6331"/>
    <cellStyle name="Normal 41 6 13" xfId="6875"/>
    <cellStyle name="Normal 41 6 14" xfId="7406"/>
    <cellStyle name="Normal 41 6 2" xfId="890"/>
    <cellStyle name="Normal 41 6 3" xfId="1436"/>
    <cellStyle name="Normal 41 6 4" xfId="1980"/>
    <cellStyle name="Normal 41 6 5" xfId="2523"/>
    <cellStyle name="Normal 41 6 6" xfId="3065"/>
    <cellStyle name="Normal 41 6 7" xfId="3611"/>
    <cellStyle name="Normal 41 6 8" xfId="4142"/>
    <cellStyle name="Normal 41 6 9" xfId="4699"/>
    <cellStyle name="Normal 41 7" xfId="632"/>
    <cellStyle name="Normal 41 8" xfId="1142"/>
    <cellStyle name="Normal 41 9" xfId="1688"/>
    <cellStyle name="Normal 42" xfId="45"/>
    <cellStyle name="Normal 42 10" xfId="2230"/>
    <cellStyle name="Normal 42 11" xfId="2773"/>
    <cellStyle name="Normal 42 12" xfId="3322"/>
    <cellStyle name="Normal 42 13" xfId="3861"/>
    <cellStyle name="Normal 42 14" xfId="4442"/>
    <cellStyle name="Normal 42 15" xfId="4949"/>
    <cellStyle name="Normal 42 16" xfId="5530"/>
    <cellStyle name="Normal 42 17" xfId="6037"/>
    <cellStyle name="Normal 42 18" xfId="6581"/>
    <cellStyle name="Normal 42 19" xfId="7125"/>
    <cellStyle name="Normal 42 2" xfId="89"/>
    <cellStyle name="Normal 42 2 10" xfId="4487"/>
    <cellStyle name="Normal 42 2 11" xfId="5031"/>
    <cellStyle name="Normal 42 2 12" xfId="5575"/>
    <cellStyle name="Normal 42 2 13" xfId="6119"/>
    <cellStyle name="Normal 42 2 14" xfId="6663"/>
    <cellStyle name="Normal 42 2 15" xfId="7207"/>
    <cellStyle name="Normal 42 2 2" xfId="347"/>
    <cellStyle name="Normal 42 2 2 10" xfId="5275"/>
    <cellStyle name="Normal 42 2 2 11" xfId="5833"/>
    <cellStyle name="Normal 42 2 2 12" xfId="6377"/>
    <cellStyle name="Normal 42 2 2 13" xfId="6921"/>
    <cellStyle name="Normal 42 2 2 14" xfId="7451"/>
    <cellStyle name="Normal 42 2 2 2" xfId="936"/>
    <cellStyle name="Normal 42 2 2 3" xfId="1482"/>
    <cellStyle name="Normal 42 2 2 4" xfId="2026"/>
    <cellStyle name="Normal 42 2 2 5" xfId="2569"/>
    <cellStyle name="Normal 42 2 2 6" xfId="3111"/>
    <cellStyle name="Normal 42 2 2 7" xfId="3657"/>
    <cellStyle name="Normal 42 2 2 8" xfId="4187"/>
    <cellStyle name="Normal 42 2 2 9" xfId="4745"/>
    <cellStyle name="Normal 42 2 3" xfId="678"/>
    <cellStyle name="Normal 42 2 4" xfId="1224"/>
    <cellStyle name="Normal 42 2 5" xfId="1768"/>
    <cellStyle name="Normal 42 2 6" xfId="2311"/>
    <cellStyle name="Normal 42 2 7" xfId="2855"/>
    <cellStyle name="Normal 42 2 8" xfId="3399"/>
    <cellStyle name="Normal 42 2 9" xfId="3943"/>
    <cellStyle name="Normal 42 3" xfId="133"/>
    <cellStyle name="Normal 42 3 10" xfId="4531"/>
    <cellStyle name="Normal 42 3 11" xfId="5075"/>
    <cellStyle name="Normal 42 3 12" xfId="5619"/>
    <cellStyle name="Normal 42 3 13" xfId="6163"/>
    <cellStyle name="Normal 42 3 14" xfId="6707"/>
    <cellStyle name="Normal 42 3 15" xfId="7251"/>
    <cellStyle name="Normal 42 3 2" xfId="391"/>
    <cellStyle name="Normal 42 3 2 10" xfId="5319"/>
    <cellStyle name="Normal 42 3 2 11" xfId="5877"/>
    <cellStyle name="Normal 42 3 2 12" xfId="6421"/>
    <cellStyle name="Normal 42 3 2 13" xfId="6965"/>
    <cellStyle name="Normal 42 3 2 14" xfId="7495"/>
    <cellStyle name="Normal 42 3 2 2" xfId="980"/>
    <cellStyle name="Normal 42 3 2 3" xfId="1526"/>
    <cellStyle name="Normal 42 3 2 4" xfId="2070"/>
    <cellStyle name="Normal 42 3 2 5" xfId="2613"/>
    <cellStyle name="Normal 42 3 2 6" xfId="3155"/>
    <cellStyle name="Normal 42 3 2 7" xfId="3701"/>
    <cellStyle name="Normal 42 3 2 8" xfId="4231"/>
    <cellStyle name="Normal 42 3 2 9" xfId="4789"/>
    <cellStyle name="Normal 42 3 3" xfId="722"/>
    <cellStyle name="Normal 42 3 4" xfId="1268"/>
    <cellStyle name="Normal 42 3 5" xfId="1812"/>
    <cellStyle name="Normal 42 3 6" xfId="2355"/>
    <cellStyle name="Normal 42 3 7" xfId="2899"/>
    <cellStyle name="Normal 42 3 8" xfId="3443"/>
    <cellStyle name="Normal 42 3 9" xfId="3987"/>
    <cellStyle name="Normal 42 4" xfId="147"/>
    <cellStyle name="Normal 42 4 10" xfId="4545"/>
    <cellStyle name="Normal 42 4 11" xfId="5088"/>
    <cellStyle name="Normal 42 4 12" xfId="5633"/>
    <cellStyle name="Normal 42 4 13" xfId="6177"/>
    <cellStyle name="Normal 42 4 14" xfId="6721"/>
    <cellStyle name="Normal 42 4 15" xfId="7264"/>
    <cellStyle name="Normal 42 4 2" xfId="404"/>
    <cellStyle name="Normal 42 4 2 10" xfId="5331"/>
    <cellStyle name="Normal 42 4 2 11" xfId="5890"/>
    <cellStyle name="Normal 42 4 2 12" xfId="6434"/>
    <cellStyle name="Normal 42 4 2 13" xfId="6978"/>
    <cellStyle name="Normal 42 4 2 14" xfId="7507"/>
    <cellStyle name="Normal 42 4 2 2" xfId="993"/>
    <cellStyle name="Normal 42 4 2 3" xfId="1539"/>
    <cellStyle name="Normal 42 4 2 4" xfId="2083"/>
    <cellStyle name="Normal 42 4 2 5" xfId="2626"/>
    <cellStyle name="Normal 42 4 2 6" xfId="3168"/>
    <cellStyle name="Normal 42 4 2 7" xfId="3714"/>
    <cellStyle name="Normal 42 4 2 8" xfId="4243"/>
    <cellStyle name="Normal 42 4 2 9" xfId="4802"/>
    <cellStyle name="Normal 42 4 3" xfId="736"/>
    <cellStyle name="Normal 42 4 4" xfId="1282"/>
    <cellStyle name="Normal 42 4 5" xfId="1826"/>
    <cellStyle name="Normal 42 4 6" xfId="2369"/>
    <cellStyle name="Normal 42 4 7" xfId="2913"/>
    <cellStyle name="Normal 42 4 8" xfId="3457"/>
    <cellStyle name="Normal 42 4 9" xfId="4000"/>
    <cellStyle name="Normal 42 5" xfId="196"/>
    <cellStyle name="Normal 42 5 10" xfId="4594"/>
    <cellStyle name="Normal 42 5 11" xfId="5134"/>
    <cellStyle name="Normal 42 5 12" xfId="5682"/>
    <cellStyle name="Normal 42 5 13" xfId="6226"/>
    <cellStyle name="Normal 42 5 14" xfId="6770"/>
    <cellStyle name="Normal 42 5 15" xfId="7310"/>
    <cellStyle name="Normal 42 5 2" xfId="450"/>
    <cellStyle name="Normal 42 5 2 10" xfId="5377"/>
    <cellStyle name="Normal 42 5 2 11" xfId="5936"/>
    <cellStyle name="Normal 42 5 2 12" xfId="6480"/>
    <cellStyle name="Normal 42 5 2 13" xfId="7024"/>
    <cellStyle name="Normal 42 5 2 14" xfId="7553"/>
    <cellStyle name="Normal 42 5 2 2" xfId="1039"/>
    <cellStyle name="Normal 42 5 2 3" xfId="1585"/>
    <cellStyle name="Normal 42 5 2 4" xfId="2129"/>
    <cellStyle name="Normal 42 5 2 5" xfId="2672"/>
    <cellStyle name="Normal 42 5 2 6" xfId="3214"/>
    <cellStyle name="Normal 42 5 2 7" xfId="3760"/>
    <cellStyle name="Normal 42 5 2 8" xfId="4289"/>
    <cellStyle name="Normal 42 5 2 9" xfId="4848"/>
    <cellStyle name="Normal 42 5 3" xfId="785"/>
    <cellStyle name="Normal 42 5 4" xfId="1331"/>
    <cellStyle name="Normal 42 5 5" xfId="1875"/>
    <cellStyle name="Normal 42 5 6" xfId="2418"/>
    <cellStyle name="Normal 42 5 7" xfId="2961"/>
    <cellStyle name="Normal 42 5 8" xfId="3506"/>
    <cellStyle name="Normal 42 5 9" xfId="4046"/>
    <cellStyle name="Normal 42 6" xfId="302"/>
    <cellStyle name="Normal 42 6 10" xfId="5231"/>
    <cellStyle name="Normal 42 6 11" xfId="5788"/>
    <cellStyle name="Normal 42 6 12" xfId="6332"/>
    <cellStyle name="Normal 42 6 13" xfId="6876"/>
    <cellStyle name="Normal 42 6 14" xfId="7407"/>
    <cellStyle name="Normal 42 6 2" xfId="891"/>
    <cellStyle name="Normal 42 6 3" xfId="1437"/>
    <cellStyle name="Normal 42 6 4" xfId="1981"/>
    <cellStyle name="Normal 42 6 5" xfId="2524"/>
    <cellStyle name="Normal 42 6 6" xfId="3066"/>
    <cellStyle name="Normal 42 6 7" xfId="3612"/>
    <cellStyle name="Normal 42 6 8" xfId="4143"/>
    <cellStyle name="Normal 42 6 9" xfId="4700"/>
    <cellStyle name="Normal 42 7" xfId="633"/>
    <cellStyle name="Normal 42 8" xfId="1140"/>
    <cellStyle name="Normal 42 9" xfId="1686"/>
    <cellStyle name="Normal 43" xfId="46"/>
    <cellStyle name="Normal 43 10" xfId="2222"/>
    <cellStyle name="Normal 43 11" xfId="2765"/>
    <cellStyle name="Normal 43 12" xfId="3325"/>
    <cellStyle name="Normal 43 13" xfId="3853"/>
    <cellStyle name="Normal 43 14" xfId="4443"/>
    <cellStyle name="Normal 43 15" xfId="4941"/>
    <cellStyle name="Normal 43 16" xfId="5531"/>
    <cellStyle name="Normal 43 17" xfId="6029"/>
    <cellStyle name="Normal 43 18" xfId="6573"/>
    <cellStyle name="Normal 43 19" xfId="7117"/>
    <cellStyle name="Normal 43 2" xfId="90"/>
    <cellStyle name="Normal 43 2 10" xfId="4488"/>
    <cellStyle name="Normal 43 2 11" xfId="5032"/>
    <cellStyle name="Normal 43 2 12" xfId="5576"/>
    <cellStyle name="Normal 43 2 13" xfId="6120"/>
    <cellStyle name="Normal 43 2 14" xfId="6664"/>
    <cellStyle name="Normal 43 2 15" xfId="7208"/>
    <cellStyle name="Normal 43 2 2" xfId="348"/>
    <cellStyle name="Normal 43 2 2 10" xfId="5276"/>
    <cellStyle name="Normal 43 2 2 11" xfId="5834"/>
    <cellStyle name="Normal 43 2 2 12" xfId="6378"/>
    <cellStyle name="Normal 43 2 2 13" xfId="6922"/>
    <cellStyle name="Normal 43 2 2 14" xfId="7452"/>
    <cellStyle name="Normal 43 2 2 2" xfId="937"/>
    <cellStyle name="Normal 43 2 2 3" xfId="1483"/>
    <cellStyle name="Normal 43 2 2 4" xfId="2027"/>
    <cellStyle name="Normal 43 2 2 5" xfId="2570"/>
    <cellStyle name="Normal 43 2 2 6" xfId="3112"/>
    <cellStyle name="Normal 43 2 2 7" xfId="3658"/>
    <cellStyle name="Normal 43 2 2 8" xfId="4188"/>
    <cellStyle name="Normal 43 2 2 9" xfId="4746"/>
    <cellStyle name="Normal 43 2 3" xfId="679"/>
    <cellStyle name="Normal 43 2 4" xfId="1225"/>
    <cellStyle name="Normal 43 2 5" xfId="1769"/>
    <cellStyle name="Normal 43 2 6" xfId="2312"/>
    <cellStyle name="Normal 43 2 7" xfId="2856"/>
    <cellStyle name="Normal 43 2 8" xfId="3400"/>
    <cellStyle name="Normal 43 2 9" xfId="3944"/>
    <cellStyle name="Normal 43 3" xfId="134"/>
    <cellStyle name="Normal 43 3 10" xfId="4532"/>
    <cellStyle name="Normal 43 3 11" xfId="5076"/>
    <cellStyle name="Normal 43 3 12" xfId="5620"/>
    <cellStyle name="Normal 43 3 13" xfId="6164"/>
    <cellStyle name="Normal 43 3 14" xfId="6708"/>
    <cellStyle name="Normal 43 3 15" xfId="7252"/>
    <cellStyle name="Normal 43 3 2" xfId="392"/>
    <cellStyle name="Normal 43 3 2 10" xfId="5320"/>
    <cellStyle name="Normal 43 3 2 11" xfId="5878"/>
    <cellStyle name="Normal 43 3 2 12" xfId="6422"/>
    <cellStyle name="Normal 43 3 2 13" xfId="6966"/>
    <cellStyle name="Normal 43 3 2 14" xfId="7496"/>
    <cellStyle name="Normal 43 3 2 2" xfId="981"/>
    <cellStyle name="Normal 43 3 2 3" xfId="1527"/>
    <cellStyle name="Normal 43 3 2 4" xfId="2071"/>
    <cellStyle name="Normal 43 3 2 5" xfId="2614"/>
    <cellStyle name="Normal 43 3 2 6" xfId="3156"/>
    <cellStyle name="Normal 43 3 2 7" xfId="3702"/>
    <cellStyle name="Normal 43 3 2 8" xfId="4232"/>
    <cellStyle name="Normal 43 3 2 9" xfId="4790"/>
    <cellStyle name="Normal 43 3 3" xfId="723"/>
    <cellStyle name="Normal 43 3 4" xfId="1269"/>
    <cellStyle name="Normal 43 3 5" xfId="1813"/>
    <cellStyle name="Normal 43 3 6" xfId="2356"/>
    <cellStyle name="Normal 43 3 7" xfId="2900"/>
    <cellStyle name="Normal 43 3 8" xfId="3444"/>
    <cellStyle name="Normal 43 3 9" xfId="3988"/>
    <cellStyle name="Normal 43 4" xfId="182"/>
    <cellStyle name="Normal 43 4 10" xfId="4580"/>
    <cellStyle name="Normal 43 4 11" xfId="5123"/>
    <cellStyle name="Normal 43 4 12" xfId="5668"/>
    <cellStyle name="Normal 43 4 13" xfId="6212"/>
    <cellStyle name="Normal 43 4 14" xfId="6756"/>
    <cellStyle name="Normal 43 4 15" xfId="7299"/>
    <cellStyle name="Normal 43 4 2" xfId="439"/>
    <cellStyle name="Normal 43 4 2 10" xfId="5366"/>
    <cellStyle name="Normal 43 4 2 11" xfId="5925"/>
    <cellStyle name="Normal 43 4 2 12" xfId="6469"/>
    <cellStyle name="Normal 43 4 2 13" xfId="7013"/>
    <cellStyle name="Normal 43 4 2 14" xfId="7542"/>
    <cellStyle name="Normal 43 4 2 2" xfId="1028"/>
    <cellStyle name="Normal 43 4 2 3" xfId="1574"/>
    <cellStyle name="Normal 43 4 2 4" xfId="2118"/>
    <cellStyle name="Normal 43 4 2 5" xfId="2661"/>
    <cellStyle name="Normal 43 4 2 6" xfId="3203"/>
    <cellStyle name="Normal 43 4 2 7" xfId="3749"/>
    <cellStyle name="Normal 43 4 2 8" xfId="4278"/>
    <cellStyle name="Normal 43 4 2 9" xfId="4837"/>
    <cellStyle name="Normal 43 4 3" xfId="771"/>
    <cellStyle name="Normal 43 4 4" xfId="1317"/>
    <cellStyle name="Normal 43 4 5" xfId="1861"/>
    <cellStyle name="Normal 43 4 6" xfId="2404"/>
    <cellStyle name="Normal 43 4 7" xfId="2948"/>
    <cellStyle name="Normal 43 4 8" xfId="3492"/>
    <cellStyle name="Normal 43 4 9" xfId="4035"/>
    <cellStyle name="Normal 43 5" xfId="214"/>
    <cellStyle name="Normal 43 5 10" xfId="4612"/>
    <cellStyle name="Normal 43 5 11" xfId="5151"/>
    <cellStyle name="Normal 43 5 12" xfId="5700"/>
    <cellStyle name="Normal 43 5 13" xfId="6244"/>
    <cellStyle name="Normal 43 5 14" xfId="6788"/>
    <cellStyle name="Normal 43 5 15" xfId="7327"/>
    <cellStyle name="Normal 43 5 2" xfId="467"/>
    <cellStyle name="Normal 43 5 2 10" xfId="5394"/>
    <cellStyle name="Normal 43 5 2 11" xfId="5953"/>
    <cellStyle name="Normal 43 5 2 12" xfId="6497"/>
    <cellStyle name="Normal 43 5 2 13" xfId="7041"/>
    <cellStyle name="Normal 43 5 2 14" xfId="7570"/>
    <cellStyle name="Normal 43 5 2 2" xfId="1056"/>
    <cellStyle name="Normal 43 5 2 3" xfId="1602"/>
    <cellStyle name="Normal 43 5 2 4" xfId="2146"/>
    <cellStyle name="Normal 43 5 2 5" xfId="2689"/>
    <cellStyle name="Normal 43 5 2 6" xfId="3231"/>
    <cellStyle name="Normal 43 5 2 7" xfId="3777"/>
    <cellStyle name="Normal 43 5 2 8" xfId="4306"/>
    <cellStyle name="Normal 43 5 2 9" xfId="4865"/>
    <cellStyle name="Normal 43 5 3" xfId="803"/>
    <cellStyle name="Normal 43 5 4" xfId="1349"/>
    <cellStyle name="Normal 43 5 5" xfId="1893"/>
    <cellStyle name="Normal 43 5 6" xfId="2436"/>
    <cellStyle name="Normal 43 5 7" xfId="2979"/>
    <cellStyle name="Normal 43 5 8" xfId="3524"/>
    <cellStyle name="Normal 43 5 9" xfId="4063"/>
    <cellStyle name="Normal 43 6" xfId="303"/>
    <cellStyle name="Normal 43 6 10" xfId="5232"/>
    <cellStyle name="Normal 43 6 11" xfId="5789"/>
    <cellStyle name="Normal 43 6 12" xfId="6333"/>
    <cellStyle name="Normal 43 6 13" xfId="6877"/>
    <cellStyle name="Normal 43 6 14" xfId="7408"/>
    <cellStyle name="Normal 43 6 2" xfId="892"/>
    <cellStyle name="Normal 43 6 3" xfId="1438"/>
    <cellStyle name="Normal 43 6 4" xfId="1982"/>
    <cellStyle name="Normal 43 6 5" xfId="2525"/>
    <cellStyle name="Normal 43 6 6" xfId="3067"/>
    <cellStyle name="Normal 43 6 7" xfId="3613"/>
    <cellStyle name="Normal 43 6 8" xfId="4144"/>
    <cellStyle name="Normal 43 6 9" xfId="4701"/>
    <cellStyle name="Normal 43 7" xfId="634"/>
    <cellStyle name="Normal 43 8" xfId="1132"/>
    <cellStyle name="Normal 43 9" xfId="1678"/>
    <cellStyle name="Normal 44" xfId="47"/>
    <cellStyle name="Normal 44 10" xfId="2220"/>
    <cellStyle name="Normal 44 11" xfId="2763"/>
    <cellStyle name="Normal 44 12" xfId="3317"/>
    <cellStyle name="Normal 44 13" xfId="3851"/>
    <cellStyle name="Normal 44 14" xfId="4444"/>
    <cellStyle name="Normal 44 15" xfId="4939"/>
    <cellStyle name="Normal 44 16" xfId="5532"/>
    <cellStyle name="Normal 44 17" xfId="6027"/>
    <cellStyle name="Normal 44 18" xfId="6571"/>
    <cellStyle name="Normal 44 19" xfId="7115"/>
    <cellStyle name="Normal 44 2" xfId="91"/>
    <cellStyle name="Normal 44 2 10" xfId="4489"/>
    <cellStyle name="Normal 44 2 11" xfId="5033"/>
    <cellStyle name="Normal 44 2 12" xfId="5577"/>
    <cellStyle name="Normal 44 2 13" xfId="6121"/>
    <cellStyle name="Normal 44 2 14" xfId="6665"/>
    <cellStyle name="Normal 44 2 15" xfId="7209"/>
    <cellStyle name="Normal 44 2 2" xfId="349"/>
    <cellStyle name="Normal 44 2 2 10" xfId="5277"/>
    <cellStyle name="Normal 44 2 2 11" xfId="5835"/>
    <cellStyle name="Normal 44 2 2 12" xfId="6379"/>
    <cellStyle name="Normal 44 2 2 13" xfId="6923"/>
    <cellStyle name="Normal 44 2 2 14" xfId="7453"/>
    <cellStyle name="Normal 44 2 2 2" xfId="938"/>
    <cellStyle name="Normal 44 2 2 3" xfId="1484"/>
    <cellStyle name="Normal 44 2 2 4" xfId="2028"/>
    <cellStyle name="Normal 44 2 2 5" xfId="2571"/>
    <cellStyle name="Normal 44 2 2 6" xfId="3113"/>
    <cellStyle name="Normal 44 2 2 7" xfId="3659"/>
    <cellStyle name="Normal 44 2 2 8" xfId="4189"/>
    <cellStyle name="Normal 44 2 2 9" xfId="4747"/>
    <cellStyle name="Normal 44 2 3" xfId="680"/>
    <cellStyle name="Normal 44 2 4" xfId="1226"/>
    <cellStyle name="Normal 44 2 5" xfId="1770"/>
    <cellStyle name="Normal 44 2 6" xfId="2313"/>
    <cellStyle name="Normal 44 2 7" xfId="2857"/>
    <cellStyle name="Normal 44 2 8" xfId="3401"/>
    <cellStyle name="Normal 44 2 9" xfId="3945"/>
    <cellStyle name="Normal 44 3" xfId="135"/>
    <cellStyle name="Normal 44 3 10" xfId="4533"/>
    <cellStyle name="Normal 44 3 11" xfId="5077"/>
    <cellStyle name="Normal 44 3 12" xfId="5621"/>
    <cellStyle name="Normal 44 3 13" xfId="6165"/>
    <cellStyle name="Normal 44 3 14" xfId="6709"/>
    <cellStyle name="Normal 44 3 15" xfId="7253"/>
    <cellStyle name="Normal 44 3 2" xfId="393"/>
    <cellStyle name="Normal 44 3 2 10" xfId="5321"/>
    <cellStyle name="Normal 44 3 2 11" xfId="5879"/>
    <cellStyle name="Normal 44 3 2 12" xfId="6423"/>
    <cellStyle name="Normal 44 3 2 13" xfId="6967"/>
    <cellStyle name="Normal 44 3 2 14" xfId="7497"/>
    <cellStyle name="Normal 44 3 2 2" xfId="982"/>
    <cellStyle name="Normal 44 3 2 3" xfId="1528"/>
    <cellStyle name="Normal 44 3 2 4" xfId="2072"/>
    <cellStyle name="Normal 44 3 2 5" xfId="2615"/>
    <cellStyle name="Normal 44 3 2 6" xfId="3157"/>
    <cellStyle name="Normal 44 3 2 7" xfId="3703"/>
    <cellStyle name="Normal 44 3 2 8" xfId="4233"/>
    <cellStyle name="Normal 44 3 2 9" xfId="4791"/>
    <cellStyle name="Normal 44 3 3" xfId="724"/>
    <cellStyle name="Normal 44 3 4" xfId="1270"/>
    <cellStyle name="Normal 44 3 5" xfId="1814"/>
    <cellStyle name="Normal 44 3 6" xfId="2357"/>
    <cellStyle name="Normal 44 3 7" xfId="2901"/>
    <cellStyle name="Normal 44 3 8" xfId="3445"/>
    <cellStyle name="Normal 44 3 9" xfId="3989"/>
    <cellStyle name="Normal 44 4" xfId="183"/>
    <cellStyle name="Normal 44 4 10" xfId="4581"/>
    <cellStyle name="Normal 44 4 11" xfId="5124"/>
    <cellStyle name="Normal 44 4 12" xfId="5669"/>
    <cellStyle name="Normal 44 4 13" xfId="6213"/>
    <cellStyle name="Normal 44 4 14" xfId="6757"/>
    <cellStyle name="Normal 44 4 15" xfId="7300"/>
    <cellStyle name="Normal 44 4 2" xfId="440"/>
    <cellStyle name="Normal 44 4 2 10" xfId="5367"/>
    <cellStyle name="Normal 44 4 2 11" xfId="5926"/>
    <cellStyle name="Normal 44 4 2 12" xfId="6470"/>
    <cellStyle name="Normal 44 4 2 13" xfId="7014"/>
    <cellStyle name="Normal 44 4 2 14" xfId="7543"/>
    <cellStyle name="Normal 44 4 2 2" xfId="1029"/>
    <cellStyle name="Normal 44 4 2 3" xfId="1575"/>
    <cellStyle name="Normal 44 4 2 4" xfId="2119"/>
    <cellStyle name="Normal 44 4 2 5" xfId="2662"/>
    <cellStyle name="Normal 44 4 2 6" xfId="3204"/>
    <cellStyle name="Normal 44 4 2 7" xfId="3750"/>
    <cellStyle name="Normal 44 4 2 8" xfId="4279"/>
    <cellStyle name="Normal 44 4 2 9" xfId="4838"/>
    <cellStyle name="Normal 44 4 3" xfId="772"/>
    <cellStyle name="Normal 44 4 4" xfId="1318"/>
    <cellStyle name="Normal 44 4 5" xfId="1862"/>
    <cellStyle name="Normal 44 4 6" xfId="2405"/>
    <cellStyle name="Normal 44 4 7" xfId="2949"/>
    <cellStyle name="Normal 44 4 8" xfId="3493"/>
    <cellStyle name="Normal 44 4 9" xfId="4036"/>
    <cellStyle name="Normal 44 5" xfId="188"/>
    <cellStyle name="Normal 44 5 10" xfId="4586"/>
    <cellStyle name="Normal 44 5 11" xfId="5127"/>
    <cellStyle name="Normal 44 5 12" xfId="5674"/>
    <cellStyle name="Normal 44 5 13" xfId="6218"/>
    <cellStyle name="Normal 44 5 14" xfId="6762"/>
    <cellStyle name="Normal 44 5 15" xfId="7303"/>
    <cellStyle name="Normal 44 5 2" xfId="443"/>
    <cellStyle name="Normal 44 5 2 10" xfId="5370"/>
    <cellStyle name="Normal 44 5 2 11" xfId="5929"/>
    <cellStyle name="Normal 44 5 2 12" xfId="6473"/>
    <cellStyle name="Normal 44 5 2 13" xfId="7017"/>
    <cellStyle name="Normal 44 5 2 14" xfId="7546"/>
    <cellStyle name="Normal 44 5 2 2" xfId="1032"/>
    <cellStyle name="Normal 44 5 2 3" xfId="1578"/>
    <cellStyle name="Normal 44 5 2 4" xfId="2122"/>
    <cellStyle name="Normal 44 5 2 5" xfId="2665"/>
    <cellStyle name="Normal 44 5 2 6" xfId="3207"/>
    <cellStyle name="Normal 44 5 2 7" xfId="3753"/>
    <cellStyle name="Normal 44 5 2 8" xfId="4282"/>
    <cellStyle name="Normal 44 5 2 9" xfId="4841"/>
    <cellStyle name="Normal 44 5 3" xfId="777"/>
    <cellStyle name="Normal 44 5 4" xfId="1323"/>
    <cellStyle name="Normal 44 5 5" xfId="1867"/>
    <cellStyle name="Normal 44 5 6" xfId="2410"/>
    <cellStyle name="Normal 44 5 7" xfId="2953"/>
    <cellStyle name="Normal 44 5 8" xfId="3498"/>
    <cellStyle name="Normal 44 5 9" xfId="4039"/>
    <cellStyle name="Normal 44 6" xfId="304"/>
    <cellStyle name="Normal 44 6 10" xfId="5233"/>
    <cellStyle name="Normal 44 6 11" xfId="5790"/>
    <cellStyle name="Normal 44 6 12" xfId="6334"/>
    <cellStyle name="Normal 44 6 13" xfId="6878"/>
    <cellStyle name="Normal 44 6 14" xfId="7409"/>
    <cellStyle name="Normal 44 6 2" xfId="893"/>
    <cellStyle name="Normal 44 6 3" xfId="1439"/>
    <cellStyle name="Normal 44 6 4" xfId="1983"/>
    <cellStyle name="Normal 44 6 5" xfId="2526"/>
    <cellStyle name="Normal 44 6 6" xfId="3068"/>
    <cellStyle name="Normal 44 6 7" xfId="3614"/>
    <cellStyle name="Normal 44 6 8" xfId="4145"/>
    <cellStyle name="Normal 44 6 9" xfId="4702"/>
    <cellStyle name="Normal 44 7" xfId="635"/>
    <cellStyle name="Normal 44 8" xfId="1130"/>
    <cellStyle name="Normal 44 9" xfId="1676"/>
    <cellStyle name="Normal 45" xfId="259"/>
    <cellStyle name="Normal 45 10" xfId="4101"/>
    <cellStyle name="Normal 45 11" xfId="4657"/>
    <cellStyle name="Normal 45 12" xfId="5189"/>
    <cellStyle name="Normal 45 13" xfId="5745"/>
    <cellStyle name="Normal 45 14" xfId="6289"/>
    <cellStyle name="Normal 45 15" xfId="6833"/>
    <cellStyle name="Normal 45 16" xfId="7365"/>
    <cellStyle name="Normal 45 2" xfId="136"/>
    <cellStyle name="Normal 45 3" xfId="505"/>
    <cellStyle name="Normal 45 4" xfId="848"/>
    <cellStyle name="Normal 45 5" xfId="1394"/>
    <cellStyle name="Normal 45 6" xfId="1938"/>
    <cellStyle name="Normal 45 7" xfId="2481"/>
    <cellStyle name="Normal 45 8" xfId="3023"/>
    <cellStyle name="Normal 45 9" xfId="3569"/>
    <cellStyle name="Normal 46" xfId="533"/>
    <cellStyle name="Normal 46 2" xfId="184"/>
    <cellStyle name="Normal 47" xfId="584"/>
    <cellStyle name="Normal 47 10" xfId="4982"/>
    <cellStyle name="Normal 47 11" xfId="5488"/>
    <cellStyle name="Normal 47 12" xfId="6070"/>
    <cellStyle name="Normal 47 13" xfId="6614"/>
    <cellStyle name="Normal 47 14" xfId="7158"/>
    <cellStyle name="Normal 47 15" xfId="7647"/>
    <cellStyle name="Normal 47 2" xfId="244"/>
    <cellStyle name="Normal 47 3" xfId="1173"/>
    <cellStyle name="Normal 47 4" xfId="1719"/>
    <cellStyle name="Normal 47 5" xfId="2262"/>
    <cellStyle name="Normal 47 6" xfId="2806"/>
    <cellStyle name="Normal 47 7" xfId="3342"/>
    <cellStyle name="Normal 47 8" xfId="3894"/>
    <cellStyle name="Normal 47 9" xfId="4387"/>
    <cellStyle name="Normal 48" xfId="530"/>
    <cellStyle name="Normal 49" xfId="524"/>
    <cellStyle name="Normal 5" xfId="8"/>
    <cellStyle name="Normal 5 10" xfId="1923"/>
    <cellStyle name="Normal 5 11" xfId="2466"/>
    <cellStyle name="Normal 5 12" xfId="3284"/>
    <cellStyle name="Normal 5 13" xfId="3554"/>
    <cellStyle name="Normal 5 14" xfId="4405"/>
    <cellStyle name="Normal 5 15" xfId="4642"/>
    <cellStyle name="Normal 5 16" xfId="5452"/>
    <cellStyle name="Normal 5 17" xfId="5730"/>
    <cellStyle name="Normal 5 18" xfId="6274"/>
    <cellStyle name="Normal 5 19" xfId="6818"/>
    <cellStyle name="Normal 5 2" xfId="52"/>
    <cellStyle name="Normal 5 2 10" xfId="4450"/>
    <cellStyle name="Normal 5 2 11" xfId="4960"/>
    <cellStyle name="Normal 5 2 12" xfId="5538"/>
    <cellStyle name="Normal 5 2 13" xfId="6048"/>
    <cellStyle name="Normal 5 2 14" xfId="6592"/>
    <cellStyle name="Normal 5 2 15" xfId="7136"/>
    <cellStyle name="Normal 5 2 2" xfId="310"/>
    <cellStyle name="Normal 5 2 2 10" xfId="5238"/>
    <cellStyle name="Normal 5 2 2 11" xfId="5796"/>
    <cellStyle name="Normal 5 2 2 12" xfId="6340"/>
    <cellStyle name="Normal 5 2 2 13" xfId="6884"/>
    <cellStyle name="Normal 5 2 2 14" xfId="7414"/>
    <cellStyle name="Normal 5 2 2 2" xfId="899"/>
    <cellStyle name="Normal 5 2 2 3" xfId="1445"/>
    <cellStyle name="Normal 5 2 2 4" xfId="1989"/>
    <cellStyle name="Normal 5 2 2 5" xfId="2532"/>
    <cellStyle name="Normal 5 2 2 6" xfId="3074"/>
    <cellStyle name="Normal 5 2 2 7" xfId="3620"/>
    <cellStyle name="Normal 5 2 2 8" xfId="4150"/>
    <cellStyle name="Normal 5 2 2 9" xfId="4708"/>
    <cellStyle name="Normal 5 2 3" xfId="641"/>
    <cellStyle name="Normal 5 2 4" xfId="1154"/>
    <cellStyle name="Normal 5 2 5" xfId="1697"/>
    <cellStyle name="Normal 5 2 6" xfId="2241"/>
    <cellStyle name="Normal 5 2 7" xfId="2784"/>
    <cellStyle name="Normal 5 2 8" xfId="3362"/>
    <cellStyle name="Normal 5 2 9" xfId="3872"/>
    <cellStyle name="Normal 5 3" xfId="96"/>
    <cellStyle name="Normal 5 3 10" xfId="4494"/>
    <cellStyle name="Normal 5 3 11" xfId="5038"/>
    <cellStyle name="Normal 5 3 12" xfId="5582"/>
    <cellStyle name="Normal 5 3 13" xfId="6126"/>
    <cellStyle name="Normal 5 3 14" xfId="6670"/>
    <cellStyle name="Normal 5 3 15" xfId="7214"/>
    <cellStyle name="Normal 5 3 2" xfId="354"/>
    <cellStyle name="Normal 5 3 2 10" xfId="5282"/>
    <cellStyle name="Normal 5 3 2 11" xfId="5840"/>
    <cellStyle name="Normal 5 3 2 12" xfId="6384"/>
    <cellStyle name="Normal 5 3 2 13" xfId="6928"/>
    <cellStyle name="Normal 5 3 2 14" xfId="7458"/>
    <cellStyle name="Normal 5 3 2 2" xfId="943"/>
    <cellStyle name="Normal 5 3 2 3" xfId="1489"/>
    <cellStyle name="Normal 5 3 2 4" xfId="2033"/>
    <cellStyle name="Normal 5 3 2 5" xfId="2576"/>
    <cellStyle name="Normal 5 3 2 6" xfId="3118"/>
    <cellStyle name="Normal 5 3 2 7" xfId="3664"/>
    <cellStyle name="Normal 5 3 2 8" xfId="4194"/>
    <cellStyle name="Normal 5 3 2 9" xfId="4752"/>
    <cellStyle name="Normal 5 3 3" xfId="685"/>
    <cellStyle name="Normal 5 3 4" xfId="1231"/>
    <cellStyle name="Normal 5 3 5" xfId="1775"/>
    <cellStyle name="Normal 5 3 6" xfId="2318"/>
    <cellStyle name="Normal 5 3 7" xfId="2862"/>
    <cellStyle name="Normal 5 3 8" xfId="3406"/>
    <cellStyle name="Normal 5 3 9" xfId="3950"/>
    <cellStyle name="Normal 5 4" xfId="181"/>
    <cellStyle name="Normal 5 4 10" xfId="4579"/>
    <cellStyle name="Normal 5 4 11" xfId="5122"/>
    <cellStyle name="Normal 5 4 12" xfId="5667"/>
    <cellStyle name="Normal 5 4 13" xfId="6211"/>
    <cellStyle name="Normal 5 4 14" xfId="6755"/>
    <cellStyle name="Normal 5 4 15" xfId="7298"/>
    <cellStyle name="Normal 5 4 2" xfId="438"/>
    <cellStyle name="Normal 5 4 2 10" xfId="5365"/>
    <cellStyle name="Normal 5 4 2 11" xfId="5924"/>
    <cellStyle name="Normal 5 4 2 12" xfId="6468"/>
    <cellStyle name="Normal 5 4 2 13" xfId="7012"/>
    <cellStyle name="Normal 5 4 2 14" xfId="7541"/>
    <cellStyle name="Normal 5 4 2 2" xfId="1027"/>
    <cellStyle name="Normal 5 4 2 3" xfId="1573"/>
    <cellStyle name="Normal 5 4 2 4" xfId="2117"/>
    <cellStyle name="Normal 5 4 2 5" xfId="2660"/>
    <cellStyle name="Normal 5 4 2 6" xfId="3202"/>
    <cellStyle name="Normal 5 4 2 7" xfId="3748"/>
    <cellStyle name="Normal 5 4 2 8" xfId="4277"/>
    <cellStyle name="Normal 5 4 2 9" xfId="4836"/>
    <cellStyle name="Normal 5 4 3" xfId="770"/>
    <cellStyle name="Normal 5 4 4" xfId="1316"/>
    <cellStyle name="Normal 5 4 5" xfId="1860"/>
    <cellStyle name="Normal 5 4 6" xfId="2403"/>
    <cellStyle name="Normal 5 4 7" xfId="2947"/>
    <cellStyle name="Normal 5 4 8" xfId="3491"/>
    <cellStyle name="Normal 5 4 9" xfId="4034"/>
    <cellStyle name="Normal 5 5" xfId="192"/>
    <cellStyle name="Normal 5 5 10" xfId="4590"/>
    <cellStyle name="Normal 5 5 11" xfId="5131"/>
    <cellStyle name="Normal 5 5 12" xfId="5678"/>
    <cellStyle name="Normal 5 5 13" xfId="6222"/>
    <cellStyle name="Normal 5 5 14" xfId="6766"/>
    <cellStyle name="Normal 5 5 15" xfId="7307"/>
    <cellStyle name="Normal 5 5 2" xfId="447"/>
    <cellStyle name="Normal 5 5 2 10" xfId="5374"/>
    <cellStyle name="Normal 5 5 2 11" xfId="5933"/>
    <cellStyle name="Normal 5 5 2 12" xfId="6477"/>
    <cellStyle name="Normal 5 5 2 13" xfId="7021"/>
    <cellStyle name="Normal 5 5 2 14" xfId="7550"/>
    <cellStyle name="Normal 5 5 2 2" xfId="1036"/>
    <cellStyle name="Normal 5 5 2 3" xfId="1582"/>
    <cellStyle name="Normal 5 5 2 4" xfId="2126"/>
    <cellStyle name="Normal 5 5 2 5" xfId="2669"/>
    <cellStyle name="Normal 5 5 2 6" xfId="3211"/>
    <cellStyle name="Normal 5 5 2 7" xfId="3757"/>
    <cellStyle name="Normal 5 5 2 8" xfId="4286"/>
    <cellStyle name="Normal 5 5 2 9" xfId="4845"/>
    <cellStyle name="Normal 5 5 3" xfId="781"/>
    <cellStyle name="Normal 5 5 4" xfId="1327"/>
    <cellStyle name="Normal 5 5 5" xfId="1871"/>
    <cellStyle name="Normal 5 5 6" xfId="2414"/>
    <cellStyle name="Normal 5 5 7" xfId="2957"/>
    <cellStyle name="Normal 5 5 8" xfId="3502"/>
    <cellStyle name="Normal 5 5 9" xfId="4043"/>
    <cellStyle name="Normal 5 6" xfId="265"/>
    <cellStyle name="Normal 5 6 10" xfId="5194"/>
    <cellStyle name="Normal 5 6 11" xfId="5751"/>
    <cellStyle name="Normal 5 6 12" xfId="6295"/>
    <cellStyle name="Normal 5 6 13" xfId="6839"/>
    <cellStyle name="Normal 5 6 14" xfId="7370"/>
    <cellStyle name="Normal 5 6 2" xfId="854"/>
    <cellStyle name="Normal 5 6 3" xfId="1400"/>
    <cellStyle name="Normal 5 6 4" xfId="1944"/>
    <cellStyle name="Normal 5 6 5" xfId="2487"/>
    <cellStyle name="Normal 5 6 6" xfId="3029"/>
    <cellStyle name="Normal 5 6 7" xfId="3575"/>
    <cellStyle name="Normal 5 6 8" xfId="4106"/>
    <cellStyle name="Normal 5 6 9" xfId="4663"/>
    <cellStyle name="Normal 5 7" xfId="596"/>
    <cellStyle name="Normal 5 8" xfId="833"/>
    <cellStyle name="Normal 5 9" xfId="1379"/>
    <cellStyle name="Normal 50" xfId="536"/>
    <cellStyle name="Normal 51" xfId="570"/>
    <cellStyle name="Normal 52" xfId="567"/>
    <cellStyle name="Normal 53" xfId="585"/>
    <cellStyle name="Normal 53 10" xfId="5489"/>
    <cellStyle name="Normal 53 11" xfId="6071"/>
    <cellStyle name="Normal 53 12" xfId="6615"/>
    <cellStyle name="Normal 53 13" xfId="7159"/>
    <cellStyle name="Normal 53 14" xfId="7648"/>
    <cellStyle name="Normal 53 2" xfId="1174"/>
    <cellStyle name="Normal 53 3" xfId="1720"/>
    <cellStyle name="Normal 53 4" xfId="2263"/>
    <cellStyle name="Normal 53 5" xfId="2807"/>
    <cellStyle name="Normal 53 6" xfId="3343"/>
    <cellStyle name="Normal 53 7" xfId="3895"/>
    <cellStyle name="Normal 53 8" xfId="4388"/>
    <cellStyle name="Normal 53 9" xfId="4983"/>
    <cellStyle name="Normal 54" xfId="586"/>
    <cellStyle name="Normal 54 10" xfId="5490"/>
    <cellStyle name="Normal 54 11" xfId="6072"/>
    <cellStyle name="Normal 54 12" xfId="6616"/>
    <cellStyle name="Normal 54 13" xfId="7160"/>
    <cellStyle name="Normal 54 14" xfId="7649"/>
    <cellStyle name="Normal 54 2" xfId="1175"/>
    <cellStyle name="Normal 54 3" xfId="1721"/>
    <cellStyle name="Normal 54 4" xfId="2264"/>
    <cellStyle name="Normal 54 5" xfId="2808"/>
    <cellStyle name="Normal 54 6" xfId="3344"/>
    <cellStyle name="Normal 54 7" xfId="3896"/>
    <cellStyle name="Normal 54 8" xfId="4389"/>
    <cellStyle name="Normal 54 9" xfId="4984"/>
    <cellStyle name="Normal 55" xfId="587"/>
    <cellStyle name="Normal 55 10" xfId="5491"/>
    <cellStyle name="Normal 55 11" xfId="6073"/>
    <cellStyle name="Normal 55 12" xfId="6617"/>
    <cellStyle name="Normal 55 13" xfId="7161"/>
    <cellStyle name="Normal 55 14" xfId="7650"/>
    <cellStyle name="Normal 55 2" xfId="1176"/>
    <cellStyle name="Normal 55 3" xfId="1722"/>
    <cellStyle name="Normal 55 4" xfId="2265"/>
    <cellStyle name="Normal 55 5" xfId="2809"/>
    <cellStyle name="Normal 55 6" xfId="3345"/>
    <cellStyle name="Normal 55 7" xfId="3897"/>
    <cellStyle name="Normal 55 8" xfId="4390"/>
    <cellStyle name="Normal 55 9" xfId="4985"/>
    <cellStyle name="Normal 56" xfId="588"/>
    <cellStyle name="Normal 56 10" xfId="5492"/>
    <cellStyle name="Normal 56 11" xfId="6074"/>
    <cellStyle name="Normal 56 12" xfId="6618"/>
    <cellStyle name="Normal 56 13" xfId="7162"/>
    <cellStyle name="Normal 56 14" xfId="7651"/>
    <cellStyle name="Normal 56 2" xfId="1177"/>
    <cellStyle name="Normal 56 3" xfId="1723"/>
    <cellStyle name="Normal 56 4" xfId="2266"/>
    <cellStyle name="Normal 56 5" xfId="2810"/>
    <cellStyle name="Normal 56 6" xfId="3346"/>
    <cellStyle name="Normal 56 7" xfId="3898"/>
    <cellStyle name="Normal 56 8" xfId="4391"/>
    <cellStyle name="Normal 56 9" xfId="4986"/>
    <cellStyle name="Normal 57" xfId="589"/>
    <cellStyle name="Normal 57 10" xfId="5493"/>
    <cellStyle name="Normal 57 11" xfId="6075"/>
    <cellStyle name="Normal 57 12" xfId="6619"/>
    <cellStyle name="Normal 57 13" xfId="7163"/>
    <cellStyle name="Normal 57 14" xfId="7652"/>
    <cellStyle name="Normal 57 2" xfId="1178"/>
    <cellStyle name="Normal 57 3" xfId="1724"/>
    <cellStyle name="Normal 57 4" xfId="2267"/>
    <cellStyle name="Normal 57 5" xfId="2811"/>
    <cellStyle name="Normal 57 6" xfId="3347"/>
    <cellStyle name="Normal 57 7" xfId="3899"/>
    <cellStyle name="Normal 57 8" xfId="4392"/>
    <cellStyle name="Normal 57 9" xfId="4987"/>
    <cellStyle name="Normal 58" xfId="590"/>
    <cellStyle name="Normal 58 10" xfId="5494"/>
    <cellStyle name="Normal 58 11" xfId="6076"/>
    <cellStyle name="Normal 58 12" xfId="6620"/>
    <cellStyle name="Normal 58 13" xfId="7164"/>
    <cellStyle name="Normal 58 14" xfId="7653"/>
    <cellStyle name="Normal 58 2" xfId="1179"/>
    <cellStyle name="Normal 58 3" xfId="1725"/>
    <cellStyle name="Normal 58 4" xfId="2268"/>
    <cellStyle name="Normal 58 5" xfId="2812"/>
    <cellStyle name="Normal 58 6" xfId="3348"/>
    <cellStyle name="Normal 58 7" xfId="3900"/>
    <cellStyle name="Normal 58 8" xfId="4393"/>
    <cellStyle name="Normal 58 9" xfId="4988"/>
    <cellStyle name="Normal 59" xfId="591"/>
    <cellStyle name="Normal 59 10" xfId="5495"/>
    <cellStyle name="Normal 59 11" xfId="6077"/>
    <cellStyle name="Normal 59 12" xfId="6621"/>
    <cellStyle name="Normal 59 13" xfId="7165"/>
    <cellStyle name="Normal 59 14" xfId="7654"/>
    <cellStyle name="Normal 59 2" xfId="1180"/>
    <cellStyle name="Normal 59 3" xfId="1726"/>
    <cellStyle name="Normal 59 4" xfId="2269"/>
    <cellStyle name="Normal 59 5" xfId="2813"/>
    <cellStyle name="Normal 59 6" xfId="3349"/>
    <cellStyle name="Normal 59 7" xfId="3901"/>
    <cellStyle name="Normal 59 8" xfId="4394"/>
    <cellStyle name="Normal 59 9" xfId="4989"/>
    <cellStyle name="Normal 6" xfId="9"/>
    <cellStyle name="Normal 6 10" xfId="1863"/>
    <cellStyle name="Normal 6 11" xfId="2406"/>
    <cellStyle name="Normal 6 12" xfId="3274"/>
    <cellStyle name="Normal 6 13" xfId="3494"/>
    <cellStyle name="Normal 6 14" xfId="4406"/>
    <cellStyle name="Normal 6 15" xfId="4582"/>
    <cellStyle name="Normal 6 16" xfId="5450"/>
    <cellStyle name="Normal 6 17" xfId="5670"/>
    <cellStyle name="Normal 6 18" xfId="6214"/>
    <cellStyle name="Normal 6 19" xfId="6758"/>
    <cellStyle name="Normal 6 2" xfId="53"/>
    <cellStyle name="Normal 6 2 10" xfId="4451"/>
    <cellStyle name="Normal 6 2 11" xfId="4963"/>
    <cellStyle name="Normal 6 2 12" xfId="5539"/>
    <cellStyle name="Normal 6 2 13" xfId="6051"/>
    <cellStyle name="Normal 6 2 14" xfId="6595"/>
    <cellStyle name="Normal 6 2 15" xfId="7139"/>
    <cellStyle name="Normal 6 2 2" xfId="311"/>
    <cellStyle name="Normal 6 2 2 10" xfId="5239"/>
    <cellStyle name="Normal 6 2 2 11" xfId="5797"/>
    <cellStyle name="Normal 6 2 2 12" xfId="6341"/>
    <cellStyle name="Normal 6 2 2 13" xfId="6885"/>
    <cellStyle name="Normal 6 2 2 14" xfId="7415"/>
    <cellStyle name="Normal 6 2 2 2" xfId="900"/>
    <cellStyle name="Normal 6 2 2 3" xfId="1446"/>
    <cellStyle name="Normal 6 2 2 4" xfId="1990"/>
    <cellStyle name="Normal 6 2 2 5" xfId="2533"/>
    <cellStyle name="Normal 6 2 2 6" xfId="3075"/>
    <cellStyle name="Normal 6 2 2 7" xfId="3621"/>
    <cellStyle name="Normal 6 2 2 8" xfId="4151"/>
    <cellStyle name="Normal 6 2 2 9" xfId="4709"/>
    <cellStyle name="Normal 6 2 3" xfId="642"/>
    <cellStyle name="Normal 6 2 4" xfId="1146"/>
    <cellStyle name="Normal 6 2 5" xfId="1700"/>
    <cellStyle name="Normal 6 2 6" xfId="2244"/>
    <cellStyle name="Normal 6 2 7" xfId="2787"/>
    <cellStyle name="Normal 6 2 8" xfId="3363"/>
    <cellStyle name="Normal 6 2 9" xfId="3875"/>
    <cellStyle name="Normal 6 3" xfId="97"/>
    <cellStyle name="Normal 6 3 10" xfId="4495"/>
    <cellStyle name="Normal 6 3 11" xfId="5039"/>
    <cellStyle name="Normal 6 3 12" xfId="5583"/>
    <cellStyle name="Normal 6 3 13" xfId="6127"/>
    <cellStyle name="Normal 6 3 14" xfId="6671"/>
    <cellStyle name="Normal 6 3 15" xfId="7215"/>
    <cellStyle name="Normal 6 3 2" xfId="355"/>
    <cellStyle name="Normal 6 3 2 10" xfId="5283"/>
    <cellStyle name="Normal 6 3 2 11" xfId="5841"/>
    <cellStyle name="Normal 6 3 2 12" xfId="6385"/>
    <cellStyle name="Normal 6 3 2 13" xfId="6929"/>
    <cellStyle name="Normal 6 3 2 14" xfId="7459"/>
    <cellStyle name="Normal 6 3 2 2" xfId="944"/>
    <cellStyle name="Normal 6 3 2 3" xfId="1490"/>
    <cellStyle name="Normal 6 3 2 4" xfId="2034"/>
    <cellStyle name="Normal 6 3 2 5" xfId="2577"/>
    <cellStyle name="Normal 6 3 2 6" xfId="3119"/>
    <cellStyle name="Normal 6 3 2 7" xfId="3665"/>
    <cellStyle name="Normal 6 3 2 8" xfId="4195"/>
    <cellStyle name="Normal 6 3 2 9" xfId="4753"/>
    <cellStyle name="Normal 6 3 3" xfId="686"/>
    <cellStyle name="Normal 6 3 4" xfId="1232"/>
    <cellStyle name="Normal 6 3 5" xfId="1776"/>
    <cellStyle name="Normal 6 3 6" xfId="2319"/>
    <cellStyle name="Normal 6 3 7" xfId="2863"/>
    <cellStyle name="Normal 6 3 8" xfId="3407"/>
    <cellStyle name="Normal 6 3 9" xfId="3951"/>
    <cellStyle name="Normal 6 4" xfId="180"/>
    <cellStyle name="Normal 6 4 10" xfId="4578"/>
    <cellStyle name="Normal 6 4 11" xfId="5121"/>
    <cellStyle name="Normal 6 4 12" xfId="5666"/>
    <cellStyle name="Normal 6 4 13" xfId="6210"/>
    <cellStyle name="Normal 6 4 14" xfId="6754"/>
    <cellStyle name="Normal 6 4 15" xfId="7297"/>
    <cellStyle name="Normal 6 4 2" xfId="437"/>
    <cellStyle name="Normal 6 4 2 10" xfId="5364"/>
    <cellStyle name="Normal 6 4 2 11" xfId="5923"/>
    <cellStyle name="Normal 6 4 2 12" xfId="6467"/>
    <cellStyle name="Normal 6 4 2 13" xfId="7011"/>
    <cellStyle name="Normal 6 4 2 14" xfId="7540"/>
    <cellStyle name="Normal 6 4 2 2" xfId="1026"/>
    <cellStyle name="Normal 6 4 2 3" xfId="1572"/>
    <cellStyle name="Normal 6 4 2 4" xfId="2116"/>
    <cellStyle name="Normal 6 4 2 5" xfId="2659"/>
    <cellStyle name="Normal 6 4 2 6" xfId="3201"/>
    <cellStyle name="Normal 6 4 2 7" xfId="3747"/>
    <cellStyle name="Normal 6 4 2 8" xfId="4276"/>
    <cellStyle name="Normal 6 4 2 9" xfId="4835"/>
    <cellStyle name="Normal 6 4 3" xfId="769"/>
    <cellStyle name="Normal 6 4 4" xfId="1315"/>
    <cellStyle name="Normal 6 4 5" xfId="1859"/>
    <cellStyle name="Normal 6 4 6" xfId="2402"/>
    <cellStyle name="Normal 6 4 7" xfId="2946"/>
    <cellStyle name="Normal 6 4 8" xfId="3490"/>
    <cellStyle name="Normal 6 4 9" xfId="4033"/>
    <cellStyle name="Normal 6 5" xfId="217"/>
    <cellStyle name="Normal 6 5 10" xfId="4615"/>
    <cellStyle name="Normal 6 5 11" xfId="5154"/>
    <cellStyle name="Normal 6 5 12" xfId="5703"/>
    <cellStyle name="Normal 6 5 13" xfId="6247"/>
    <cellStyle name="Normal 6 5 14" xfId="6791"/>
    <cellStyle name="Normal 6 5 15" xfId="7330"/>
    <cellStyle name="Normal 6 5 2" xfId="470"/>
    <cellStyle name="Normal 6 5 2 10" xfId="5397"/>
    <cellStyle name="Normal 6 5 2 11" xfId="5956"/>
    <cellStyle name="Normal 6 5 2 12" xfId="6500"/>
    <cellStyle name="Normal 6 5 2 13" xfId="7044"/>
    <cellStyle name="Normal 6 5 2 14" xfId="7573"/>
    <cellStyle name="Normal 6 5 2 2" xfId="1059"/>
    <cellStyle name="Normal 6 5 2 3" xfId="1605"/>
    <cellStyle name="Normal 6 5 2 4" xfId="2149"/>
    <cellStyle name="Normal 6 5 2 5" xfId="2692"/>
    <cellStyle name="Normal 6 5 2 6" xfId="3234"/>
    <cellStyle name="Normal 6 5 2 7" xfId="3780"/>
    <cellStyle name="Normal 6 5 2 8" xfId="4309"/>
    <cellStyle name="Normal 6 5 2 9" xfId="4868"/>
    <cellStyle name="Normal 6 5 3" xfId="806"/>
    <cellStyle name="Normal 6 5 4" xfId="1352"/>
    <cellStyle name="Normal 6 5 5" xfId="1896"/>
    <cellStyle name="Normal 6 5 6" xfId="2439"/>
    <cellStyle name="Normal 6 5 7" xfId="2982"/>
    <cellStyle name="Normal 6 5 8" xfId="3527"/>
    <cellStyle name="Normal 6 5 9" xfId="4066"/>
    <cellStyle name="Normal 6 6" xfId="266"/>
    <cellStyle name="Normal 6 6 10" xfId="5195"/>
    <cellStyle name="Normal 6 6 11" xfId="5752"/>
    <cellStyle name="Normal 6 6 12" xfId="6296"/>
    <cellStyle name="Normal 6 6 13" xfId="6840"/>
    <cellStyle name="Normal 6 6 14" xfId="7371"/>
    <cellStyle name="Normal 6 6 2" xfId="855"/>
    <cellStyle name="Normal 6 6 3" xfId="1401"/>
    <cellStyle name="Normal 6 6 4" xfId="1945"/>
    <cellStyle name="Normal 6 6 5" xfId="2488"/>
    <cellStyle name="Normal 6 6 6" xfId="3030"/>
    <cellStyle name="Normal 6 6 7" xfId="3576"/>
    <cellStyle name="Normal 6 6 8" xfId="4107"/>
    <cellStyle name="Normal 6 6 9" xfId="4664"/>
    <cellStyle name="Normal 6 7" xfId="597"/>
    <cellStyle name="Normal 6 8" xfId="773"/>
    <cellStyle name="Normal 6 9" xfId="1319"/>
    <cellStyle name="Normal 60" xfId="7664"/>
    <cellStyle name="Normal 61" xfId="1156"/>
    <cellStyle name="Normal 62" xfId="1702"/>
    <cellStyle name="Normal 63" xfId="7665"/>
    <cellStyle name="Normal 64" xfId="2789"/>
    <cellStyle name="Normal 65" xfId="3269"/>
    <cellStyle name="Normal 66" xfId="3877"/>
    <cellStyle name="Normal 67" xfId="4370"/>
    <cellStyle name="Normal 68" xfId="4965"/>
    <cellStyle name="Normal 69" xfId="5482"/>
    <cellStyle name="Normal 7" xfId="10"/>
    <cellStyle name="Normal 7 10" xfId="2212"/>
    <cellStyle name="Normal 7 11" xfId="2755"/>
    <cellStyle name="Normal 7 12" xfId="2960"/>
    <cellStyle name="Normal 7 13" xfId="3843"/>
    <cellStyle name="Normal 7 14" xfId="4407"/>
    <cellStyle name="Normal 7 15" xfId="4931"/>
    <cellStyle name="Normal 7 16" xfId="5506"/>
    <cellStyle name="Normal 7 17" xfId="6019"/>
    <cellStyle name="Normal 7 18" xfId="6563"/>
    <cellStyle name="Normal 7 19" xfId="7107"/>
    <cellStyle name="Normal 7 2" xfId="54"/>
    <cellStyle name="Normal 7 2 10" xfId="4452"/>
    <cellStyle name="Normal 7 2 11" xfId="4955"/>
    <cellStyle name="Normal 7 2 12" xfId="5540"/>
    <cellStyle name="Normal 7 2 13" xfId="6043"/>
    <cellStyle name="Normal 7 2 14" xfId="6587"/>
    <cellStyle name="Normal 7 2 15" xfId="7131"/>
    <cellStyle name="Normal 7 2 2" xfId="312"/>
    <cellStyle name="Normal 7 2 2 10" xfId="5240"/>
    <cellStyle name="Normal 7 2 2 11" xfId="5798"/>
    <cellStyle name="Normal 7 2 2 12" xfId="6342"/>
    <cellStyle name="Normal 7 2 2 13" xfId="6886"/>
    <cellStyle name="Normal 7 2 2 14" xfId="7416"/>
    <cellStyle name="Normal 7 2 2 2" xfId="901"/>
    <cellStyle name="Normal 7 2 2 3" xfId="1447"/>
    <cellStyle name="Normal 7 2 2 4" xfId="1991"/>
    <cellStyle name="Normal 7 2 2 5" xfId="2534"/>
    <cellStyle name="Normal 7 2 2 6" xfId="3076"/>
    <cellStyle name="Normal 7 2 2 7" xfId="3622"/>
    <cellStyle name="Normal 7 2 2 8" xfId="4152"/>
    <cellStyle name="Normal 7 2 2 9" xfId="4710"/>
    <cellStyle name="Normal 7 2 3" xfId="643"/>
    <cellStyle name="Normal 7 2 4" xfId="1153"/>
    <cellStyle name="Normal 7 2 5" xfId="1692"/>
    <cellStyle name="Normal 7 2 6" xfId="2236"/>
    <cellStyle name="Normal 7 2 7" xfId="2779"/>
    <cellStyle name="Normal 7 2 8" xfId="3364"/>
    <cellStyle name="Normal 7 2 9" xfId="3867"/>
    <cellStyle name="Normal 7 3" xfId="98"/>
    <cellStyle name="Normal 7 3 10" xfId="4496"/>
    <cellStyle name="Normal 7 3 11" xfId="5040"/>
    <cellStyle name="Normal 7 3 12" xfId="5584"/>
    <cellStyle name="Normal 7 3 13" xfId="6128"/>
    <cellStyle name="Normal 7 3 14" xfId="6672"/>
    <cellStyle name="Normal 7 3 15" xfId="7216"/>
    <cellStyle name="Normal 7 3 2" xfId="356"/>
    <cellStyle name="Normal 7 3 2 10" xfId="5284"/>
    <cellStyle name="Normal 7 3 2 11" xfId="5842"/>
    <cellStyle name="Normal 7 3 2 12" xfId="6386"/>
    <cellStyle name="Normal 7 3 2 13" xfId="6930"/>
    <cellStyle name="Normal 7 3 2 14" xfId="7460"/>
    <cellStyle name="Normal 7 3 2 2" xfId="945"/>
    <cellStyle name="Normal 7 3 2 3" xfId="1491"/>
    <cellStyle name="Normal 7 3 2 4" xfId="2035"/>
    <cellStyle name="Normal 7 3 2 5" xfId="2578"/>
    <cellStyle name="Normal 7 3 2 6" xfId="3120"/>
    <cellStyle name="Normal 7 3 2 7" xfId="3666"/>
    <cellStyle name="Normal 7 3 2 8" xfId="4196"/>
    <cellStyle name="Normal 7 3 2 9" xfId="4754"/>
    <cellStyle name="Normal 7 3 3" xfId="687"/>
    <cellStyle name="Normal 7 3 4" xfId="1233"/>
    <cellStyle name="Normal 7 3 5" xfId="1777"/>
    <cellStyle name="Normal 7 3 6" xfId="2320"/>
    <cellStyle name="Normal 7 3 7" xfId="2864"/>
    <cellStyle name="Normal 7 3 8" xfId="3408"/>
    <cellStyle name="Normal 7 3 9" xfId="3952"/>
    <cellStyle name="Normal 7 4" xfId="179"/>
    <cellStyle name="Normal 7 4 10" xfId="4577"/>
    <cellStyle name="Normal 7 4 11" xfId="5120"/>
    <cellStyle name="Normal 7 4 12" xfId="5665"/>
    <cellStyle name="Normal 7 4 13" xfId="6209"/>
    <cellStyle name="Normal 7 4 14" xfId="6753"/>
    <cellStyle name="Normal 7 4 15" xfId="7296"/>
    <cellStyle name="Normal 7 4 2" xfId="436"/>
    <cellStyle name="Normal 7 4 2 10" xfId="5363"/>
    <cellStyle name="Normal 7 4 2 11" xfId="5922"/>
    <cellStyle name="Normal 7 4 2 12" xfId="6466"/>
    <cellStyle name="Normal 7 4 2 13" xfId="7010"/>
    <cellStyle name="Normal 7 4 2 14" xfId="7539"/>
    <cellStyle name="Normal 7 4 2 2" xfId="1025"/>
    <cellStyle name="Normal 7 4 2 3" xfId="1571"/>
    <cellStyle name="Normal 7 4 2 4" xfId="2115"/>
    <cellStyle name="Normal 7 4 2 5" xfId="2658"/>
    <cellStyle name="Normal 7 4 2 6" xfId="3200"/>
    <cellStyle name="Normal 7 4 2 7" xfId="3746"/>
    <cellStyle name="Normal 7 4 2 8" xfId="4275"/>
    <cellStyle name="Normal 7 4 2 9" xfId="4834"/>
    <cellStyle name="Normal 7 4 3" xfId="768"/>
    <cellStyle name="Normal 7 4 4" xfId="1314"/>
    <cellStyle name="Normal 7 4 5" xfId="1858"/>
    <cellStyle name="Normal 7 4 6" xfId="2401"/>
    <cellStyle name="Normal 7 4 7" xfId="2945"/>
    <cellStyle name="Normal 7 4 8" xfId="3489"/>
    <cellStyle name="Normal 7 4 9" xfId="4032"/>
    <cellStyle name="Normal 7 5" xfId="191"/>
    <cellStyle name="Normal 7 5 10" xfId="4589"/>
    <cellStyle name="Normal 7 5 11" xfId="5130"/>
    <cellStyle name="Normal 7 5 12" xfId="5677"/>
    <cellStyle name="Normal 7 5 13" xfId="6221"/>
    <cellStyle name="Normal 7 5 14" xfId="6765"/>
    <cellStyle name="Normal 7 5 15" xfId="7306"/>
    <cellStyle name="Normal 7 5 2" xfId="446"/>
    <cellStyle name="Normal 7 5 2 10" xfId="5373"/>
    <cellStyle name="Normal 7 5 2 11" xfId="5932"/>
    <cellStyle name="Normal 7 5 2 12" xfId="6476"/>
    <cellStyle name="Normal 7 5 2 13" xfId="7020"/>
    <cellStyle name="Normal 7 5 2 14" xfId="7549"/>
    <cellStyle name="Normal 7 5 2 2" xfId="1035"/>
    <cellStyle name="Normal 7 5 2 3" xfId="1581"/>
    <cellStyle name="Normal 7 5 2 4" xfId="2125"/>
    <cellStyle name="Normal 7 5 2 5" xfId="2668"/>
    <cellStyle name="Normal 7 5 2 6" xfId="3210"/>
    <cellStyle name="Normal 7 5 2 7" xfId="3756"/>
    <cellStyle name="Normal 7 5 2 8" xfId="4285"/>
    <cellStyle name="Normal 7 5 2 9" xfId="4844"/>
    <cellStyle name="Normal 7 5 3" xfId="780"/>
    <cellStyle name="Normal 7 5 4" xfId="1326"/>
    <cellStyle name="Normal 7 5 5" xfId="1870"/>
    <cellStyle name="Normal 7 5 6" xfId="2413"/>
    <cellStyle name="Normal 7 5 7" xfId="2956"/>
    <cellStyle name="Normal 7 5 8" xfId="3501"/>
    <cellStyle name="Normal 7 5 9" xfId="4042"/>
    <cellStyle name="Normal 7 6" xfId="267"/>
    <cellStyle name="Normal 7 6 10" xfId="5196"/>
    <cellStyle name="Normal 7 6 11" xfId="5753"/>
    <cellStyle name="Normal 7 6 12" xfId="6297"/>
    <cellStyle name="Normal 7 6 13" xfId="6841"/>
    <cellStyle name="Normal 7 6 14" xfId="7372"/>
    <cellStyle name="Normal 7 6 2" xfId="856"/>
    <cellStyle name="Normal 7 6 3" xfId="1402"/>
    <cellStyle name="Normal 7 6 4" xfId="1946"/>
    <cellStyle name="Normal 7 6 5" xfId="2489"/>
    <cellStyle name="Normal 7 6 6" xfId="3031"/>
    <cellStyle name="Normal 7 6 7" xfId="3577"/>
    <cellStyle name="Normal 7 6 8" xfId="4108"/>
    <cellStyle name="Normal 7 6 9" xfId="4665"/>
    <cellStyle name="Normal 7 7" xfId="598"/>
    <cellStyle name="Normal 7 8" xfId="1122"/>
    <cellStyle name="Normal 7 9" xfId="1668"/>
    <cellStyle name="Normal 70" xfId="6053"/>
    <cellStyle name="Normal 71" xfId="6597"/>
    <cellStyle name="Normal 72" xfId="7141"/>
    <cellStyle name="Normal 8" xfId="11"/>
    <cellStyle name="Normal 8 10" xfId="2184"/>
    <cellStyle name="Normal 8 11" xfId="2727"/>
    <cellStyle name="Normal 8 12" xfId="3006"/>
    <cellStyle name="Normal 8 13" xfId="3815"/>
    <cellStyle name="Normal 8 14" xfId="4408"/>
    <cellStyle name="Normal 8 15" xfId="4903"/>
    <cellStyle name="Normal 8 16" xfId="5486"/>
    <cellStyle name="Normal 8 17" xfId="5991"/>
    <cellStyle name="Normal 8 18" xfId="6535"/>
    <cellStyle name="Normal 8 19" xfId="7079"/>
    <cellStyle name="Normal 8 2" xfId="55"/>
    <cellStyle name="Normal 8 2 10" xfId="4453"/>
    <cellStyle name="Normal 8 2 11" xfId="4962"/>
    <cellStyle name="Normal 8 2 12" xfId="5541"/>
    <cellStyle name="Normal 8 2 13" xfId="6050"/>
    <cellStyle name="Normal 8 2 14" xfId="6594"/>
    <cellStyle name="Normal 8 2 15" xfId="7138"/>
    <cellStyle name="Normal 8 2 2" xfId="313"/>
    <cellStyle name="Normal 8 2 2 10" xfId="5241"/>
    <cellStyle name="Normal 8 2 2 11" xfId="5799"/>
    <cellStyle name="Normal 8 2 2 12" xfId="6343"/>
    <cellStyle name="Normal 8 2 2 13" xfId="6887"/>
    <cellStyle name="Normal 8 2 2 14" xfId="7417"/>
    <cellStyle name="Normal 8 2 2 2" xfId="902"/>
    <cellStyle name="Normal 8 2 2 3" xfId="1448"/>
    <cellStyle name="Normal 8 2 2 4" xfId="1992"/>
    <cellStyle name="Normal 8 2 2 5" xfId="2535"/>
    <cellStyle name="Normal 8 2 2 6" xfId="3077"/>
    <cellStyle name="Normal 8 2 2 7" xfId="3623"/>
    <cellStyle name="Normal 8 2 2 8" xfId="4153"/>
    <cellStyle name="Normal 8 2 2 9" xfId="4711"/>
    <cellStyle name="Normal 8 2 3" xfId="644"/>
    <cellStyle name="Normal 8 2 4" xfId="1149"/>
    <cellStyle name="Normal 8 2 5" xfId="1699"/>
    <cellStyle name="Normal 8 2 6" xfId="2243"/>
    <cellStyle name="Normal 8 2 7" xfId="2786"/>
    <cellStyle name="Normal 8 2 8" xfId="3365"/>
    <cellStyle name="Normal 8 2 9" xfId="3874"/>
    <cellStyle name="Normal 8 3" xfId="99"/>
    <cellStyle name="Normal 8 3 10" xfId="4497"/>
    <cellStyle name="Normal 8 3 11" xfId="5041"/>
    <cellStyle name="Normal 8 3 12" xfId="5585"/>
    <cellStyle name="Normal 8 3 13" xfId="6129"/>
    <cellStyle name="Normal 8 3 14" xfId="6673"/>
    <cellStyle name="Normal 8 3 15" xfId="7217"/>
    <cellStyle name="Normal 8 3 2" xfId="357"/>
    <cellStyle name="Normal 8 3 2 10" xfId="5285"/>
    <cellStyle name="Normal 8 3 2 11" xfId="5843"/>
    <cellStyle name="Normal 8 3 2 12" xfId="6387"/>
    <cellStyle name="Normal 8 3 2 13" xfId="6931"/>
    <cellStyle name="Normal 8 3 2 14" xfId="7461"/>
    <cellStyle name="Normal 8 3 2 2" xfId="946"/>
    <cellStyle name="Normal 8 3 2 3" xfId="1492"/>
    <cellStyle name="Normal 8 3 2 4" xfId="2036"/>
    <cellStyle name="Normal 8 3 2 5" xfId="2579"/>
    <cellStyle name="Normal 8 3 2 6" xfId="3121"/>
    <cellStyle name="Normal 8 3 2 7" xfId="3667"/>
    <cellStyle name="Normal 8 3 2 8" xfId="4197"/>
    <cellStyle name="Normal 8 3 2 9" xfId="4755"/>
    <cellStyle name="Normal 8 3 3" xfId="688"/>
    <cellStyle name="Normal 8 3 4" xfId="1234"/>
    <cellStyle name="Normal 8 3 5" xfId="1778"/>
    <cellStyle name="Normal 8 3 6" xfId="2321"/>
    <cellStyle name="Normal 8 3 7" xfId="2865"/>
    <cellStyle name="Normal 8 3 8" xfId="3409"/>
    <cellStyle name="Normal 8 3 9" xfId="3953"/>
    <cellStyle name="Normal 8 4" xfId="178"/>
    <cellStyle name="Normal 8 4 10" xfId="4576"/>
    <cellStyle name="Normal 8 4 11" xfId="5119"/>
    <cellStyle name="Normal 8 4 12" xfId="5664"/>
    <cellStyle name="Normal 8 4 13" xfId="6208"/>
    <cellStyle name="Normal 8 4 14" xfId="6752"/>
    <cellStyle name="Normal 8 4 15" xfId="7295"/>
    <cellStyle name="Normal 8 4 2" xfId="435"/>
    <cellStyle name="Normal 8 4 2 10" xfId="5362"/>
    <cellStyle name="Normal 8 4 2 11" xfId="5921"/>
    <cellStyle name="Normal 8 4 2 12" xfId="6465"/>
    <cellStyle name="Normal 8 4 2 13" xfId="7009"/>
    <cellStyle name="Normal 8 4 2 14" xfId="7538"/>
    <cellStyle name="Normal 8 4 2 2" xfId="1024"/>
    <cellStyle name="Normal 8 4 2 3" xfId="1570"/>
    <cellStyle name="Normal 8 4 2 4" xfId="2114"/>
    <cellStyle name="Normal 8 4 2 5" xfId="2657"/>
    <cellStyle name="Normal 8 4 2 6" xfId="3199"/>
    <cellStyle name="Normal 8 4 2 7" xfId="3745"/>
    <cellStyle name="Normal 8 4 2 8" xfId="4274"/>
    <cellStyle name="Normal 8 4 2 9" xfId="4833"/>
    <cellStyle name="Normal 8 4 3" xfId="767"/>
    <cellStyle name="Normal 8 4 4" xfId="1313"/>
    <cellStyle name="Normal 8 4 5" xfId="1857"/>
    <cellStyle name="Normal 8 4 6" xfId="2400"/>
    <cellStyle name="Normal 8 4 7" xfId="2944"/>
    <cellStyle name="Normal 8 4 8" xfId="3488"/>
    <cellStyle name="Normal 8 4 9" xfId="4031"/>
    <cellStyle name="Normal 8 5" xfId="216"/>
    <cellStyle name="Normal 8 5 10" xfId="4614"/>
    <cellStyle name="Normal 8 5 11" xfId="5153"/>
    <cellStyle name="Normal 8 5 12" xfId="5702"/>
    <cellStyle name="Normal 8 5 13" xfId="6246"/>
    <cellStyle name="Normal 8 5 14" xfId="6790"/>
    <cellStyle name="Normal 8 5 15" xfId="7329"/>
    <cellStyle name="Normal 8 5 2" xfId="469"/>
    <cellStyle name="Normal 8 5 2 10" xfId="5396"/>
    <cellStyle name="Normal 8 5 2 11" xfId="5955"/>
    <cellStyle name="Normal 8 5 2 12" xfId="6499"/>
    <cellStyle name="Normal 8 5 2 13" xfId="7043"/>
    <cellStyle name="Normal 8 5 2 14" xfId="7572"/>
    <cellStyle name="Normal 8 5 2 2" xfId="1058"/>
    <cellStyle name="Normal 8 5 2 3" xfId="1604"/>
    <cellStyle name="Normal 8 5 2 4" xfId="2148"/>
    <cellStyle name="Normal 8 5 2 5" xfId="2691"/>
    <cellStyle name="Normal 8 5 2 6" xfId="3233"/>
    <cellStyle name="Normal 8 5 2 7" xfId="3779"/>
    <cellStyle name="Normal 8 5 2 8" xfId="4308"/>
    <cellStyle name="Normal 8 5 2 9" xfId="4867"/>
    <cellStyle name="Normal 8 5 3" xfId="805"/>
    <cellStyle name="Normal 8 5 4" xfId="1351"/>
    <cellStyle name="Normal 8 5 5" xfId="1895"/>
    <cellStyle name="Normal 8 5 6" xfId="2438"/>
    <cellStyle name="Normal 8 5 7" xfId="2981"/>
    <cellStyle name="Normal 8 5 8" xfId="3526"/>
    <cellStyle name="Normal 8 5 9" xfId="4065"/>
    <cellStyle name="Normal 8 6" xfId="268"/>
    <cellStyle name="Normal 8 6 10" xfId="5197"/>
    <cellStyle name="Normal 8 6 11" xfId="5754"/>
    <cellStyle name="Normal 8 6 12" xfId="6298"/>
    <cellStyle name="Normal 8 6 13" xfId="6842"/>
    <cellStyle name="Normal 8 6 14" xfId="7373"/>
    <cellStyle name="Normal 8 6 2" xfId="857"/>
    <cellStyle name="Normal 8 6 3" xfId="1403"/>
    <cellStyle name="Normal 8 6 4" xfId="1947"/>
    <cellStyle name="Normal 8 6 5" xfId="2490"/>
    <cellStyle name="Normal 8 6 6" xfId="3032"/>
    <cellStyle name="Normal 8 6 7" xfId="3578"/>
    <cellStyle name="Normal 8 6 8" xfId="4109"/>
    <cellStyle name="Normal 8 6 9" xfId="4666"/>
    <cellStyle name="Normal 8 7" xfId="599"/>
    <cellStyle name="Normal 8 8" xfId="1094"/>
    <cellStyle name="Normal 8 9" xfId="1640"/>
    <cellStyle name="Normal 9" xfId="12"/>
    <cellStyle name="Normal 9 10" xfId="1815"/>
    <cellStyle name="Normal 9 11" xfId="2358"/>
    <cellStyle name="Normal 9 12" xfId="3018"/>
    <cellStyle name="Normal 9 13" xfId="3446"/>
    <cellStyle name="Normal 9 14" xfId="4409"/>
    <cellStyle name="Normal 9 15" xfId="4534"/>
    <cellStyle name="Normal 9 16" xfId="5484"/>
    <cellStyle name="Normal 9 17" xfId="5622"/>
    <cellStyle name="Normal 9 18" xfId="6166"/>
    <cellStyle name="Normal 9 19" xfId="6710"/>
    <cellStyle name="Normal 9 2" xfId="56"/>
    <cellStyle name="Normal 9 2 10" xfId="4454"/>
    <cellStyle name="Normal 9 2 11" xfId="4958"/>
    <cellStyle name="Normal 9 2 12" xfId="5542"/>
    <cellStyle name="Normal 9 2 13" xfId="6046"/>
    <cellStyle name="Normal 9 2 14" xfId="6590"/>
    <cellStyle name="Normal 9 2 15" xfId="7134"/>
    <cellStyle name="Normal 9 2 2" xfId="314"/>
    <cellStyle name="Normal 9 2 2 10" xfId="5242"/>
    <cellStyle name="Normal 9 2 2 11" xfId="5800"/>
    <cellStyle name="Normal 9 2 2 12" xfId="6344"/>
    <cellStyle name="Normal 9 2 2 13" xfId="6888"/>
    <cellStyle name="Normal 9 2 2 14" xfId="7418"/>
    <cellStyle name="Normal 9 2 2 2" xfId="903"/>
    <cellStyle name="Normal 9 2 2 3" xfId="1449"/>
    <cellStyle name="Normal 9 2 2 4" xfId="1993"/>
    <cellStyle name="Normal 9 2 2 5" xfId="2536"/>
    <cellStyle name="Normal 9 2 2 6" xfId="3078"/>
    <cellStyle name="Normal 9 2 2 7" xfId="3624"/>
    <cellStyle name="Normal 9 2 2 8" xfId="4154"/>
    <cellStyle name="Normal 9 2 2 9" xfId="4712"/>
    <cellStyle name="Normal 9 2 3" xfId="645"/>
    <cellStyle name="Normal 9 2 4" xfId="1115"/>
    <cellStyle name="Normal 9 2 5" xfId="1695"/>
    <cellStyle name="Normal 9 2 6" xfId="2239"/>
    <cellStyle name="Normal 9 2 7" xfId="2782"/>
    <cellStyle name="Normal 9 2 8" xfId="3366"/>
    <cellStyle name="Normal 9 2 9" xfId="3870"/>
    <cellStyle name="Normal 9 3" xfId="100"/>
    <cellStyle name="Normal 9 3 10" xfId="4498"/>
    <cellStyle name="Normal 9 3 11" xfId="5042"/>
    <cellStyle name="Normal 9 3 12" xfId="5586"/>
    <cellStyle name="Normal 9 3 13" xfId="6130"/>
    <cellStyle name="Normal 9 3 14" xfId="6674"/>
    <cellStyle name="Normal 9 3 15" xfId="7218"/>
    <cellStyle name="Normal 9 3 2" xfId="358"/>
    <cellStyle name="Normal 9 3 2 10" xfId="5286"/>
    <cellStyle name="Normal 9 3 2 11" xfId="5844"/>
    <cellStyle name="Normal 9 3 2 12" xfId="6388"/>
    <cellStyle name="Normal 9 3 2 13" xfId="6932"/>
    <cellStyle name="Normal 9 3 2 14" xfId="7462"/>
    <cellStyle name="Normal 9 3 2 2" xfId="947"/>
    <cellStyle name="Normal 9 3 2 3" xfId="1493"/>
    <cellStyle name="Normal 9 3 2 4" xfId="2037"/>
    <cellStyle name="Normal 9 3 2 5" xfId="2580"/>
    <cellStyle name="Normal 9 3 2 6" xfId="3122"/>
    <cellStyle name="Normal 9 3 2 7" xfId="3668"/>
    <cellStyle name="Normal 9 3 2 8" xfId="4198"/>
    <cellStyle name="Normal 9 3 2 9" xfId="4756"/>
    <cellStyle name="Normal 9 3 3" xfId="689"/>
    <cellStyle name="Normal 9 3 4" xfId="1235"/>
    <cellStyle name="Normal 9 3 5" xfId="1779"/>
    <cellStyle name="Normal 9 3 6" xfId="2322"/>
    <cellStyle name="Normal 9 3 7" xfId="2866"/>
    <cellStyle name="Normal 9 3 8" xfId="3410"/>
    <cellStyle name="Normal 9 3 9" xfId="3954"/>
    <cellStyle name="Normal 9 4" xfId="177"/>
    <cellStyle name="Normal 9 4 10" xfId="4575"/>
    <cellStyle name="Normal 9 4 11" xfId="5118"/>
    <cellStyle name="Normal 9 4 12" xfId="5663"/>
    <cellStyle name="Normal 9 4 13" xfId="6207"/>
    <cellStyle name="Normal 9 4 14" xfId="6751"/>
    <cellStyle name="Normal 9 4 15" xfId="7294"/>
    <cellStyle name="Normal 9 4 2" xfId="434"/>
    <cellStyle name="Normal 9 4 2 10" xfId="5361"/>
    <cellStyle name="Normal 9 4 2 11" xfId="5920"/>
    <cellStyle name="Normal 9 4 2 12" xfId="6464"/>
    <cellStyle name="Normal 9 4 2 13" xfId="7008"/>
    <cellStyle name="Normal 9 4 2 14" xfId="7537"/>
    <cellStyle name="Normal 9 4 2 2" xfId="1023"/>
    <cellStyle name="Normal 9 4 2 3" xfId="1569"/>
    <cellStyle name="Normal 9 4 2 4" xfId="2113"/>
    <cellStyle name="Normal 9 4 2 5" xfId="2656"/>
    <cellStyle name="Normal 9 4 2 6" xfId="3198"/>
    <cellStyle name="Normal 9 4 2 7" xfId="3744"/>
    <cellStyle name="Normal 9 4 2 8" xfId="4273"/>
    <cellStyle name="Normal 9 4 2 9" xfId="4832"/>
    <cellStyle name="Normal 9 4 3" xfId="766"/>
    <cellStyle name="Normal 9 4 4" xfId="1312"/>
    <cellStyle name="Normal 9 4 5" xfId="1856"/>
    <cellStyle name="Normal 9 4 6" xfId="2399"/>
    <cellStyle name="Normal 9 4 7" xfId="2943"/>
    <cellStyle name="Normal 9 4 8" xfId="3487"/>
    <cellStyle name="Normal 9 4 9" xfId="4030"/>
    <cellStyle name="Normal 9 5" xfId="190"/>
    <cellStyle name="Normal 9 5 10" xfId="4588"/>
    <cellStyle name="Normal 9 5 11" xfId="5129"/>
    <cellStyle name="Normal 9 5 12" xfId="5676"/>
    <cellStyle name="Normal 9 5 13" xfId="6220"/>
    <cellStyle name="Normal 9 5 14" xfId="6764"/>
    <cellStyle name="Normal 9 5 15" xfId="7305"/>
    <cellStyle name="Normal 9 5 2" xfId="445"/>
    <cellStyle name="Normal 9 5 2 10" xfId="5372"/>
    <cellStyle name="Normal 9 5 2 11" xfId="5931"/>
    <cellStyle name="Normal 9 5 2 12" xfId="6475"/>
    <cellStyle name="Normal 9 5 2 13" xfId="7019"/>
    <cellStyle name="Normal 9 5 2 14" xfId="7548"/>
    <cellStyle name="Normal 9 5 2 2" xfId="1034"/>
    <cellStyle name="Normal 9 5 2 3" xfId="1580"/>
    <cellStyle name="Normal 9 5 2 4" xfId="2124"/>
    <cellStyle name="Normal 9 5 2 5" xfId="2667"/>
    <cellStyle name="Normal 9 5 2 6" xfId="3209"/>
    <cellStyle name="Normal 9 5 2 7" xfId="3755"/>
    <cellStyle name="Normal 9 5 2 8" xfId="4284"/>
    <cellStyle name="Normal 9 5 2 9" xfId="4843"/>
    <cellStyle name="Normal 9 5 3" xfId="779"/>
    <cellStyle name="Normal 9 5 4" xfId="1325"/>
    <cellStyle name="Normal 9 5 5" xfId="1869"/>
    <cellStyle name="Normal 9 5 6" xfId="2412"/>
    <cellStyle name="Normal 9 5 7" xfId="2955"/>
    <cellStyle name="Normal 9 5 8" xfId="3500"/>
    <cellStyle name="Normal 9 5 9" xfId="4041"/>
    <cellStyle name="Normal 9 6" xfId="269"/>
    <cellStyle name="Normal 9 6 10" xfId="5198"/>
    <cellStyle name="Normal 9 6 11" xfId="5755"/>
    <cellStyle name="Normal 9 6 12" xfId="6299"/>
    <cellStyle name="Normal 9 6 13" xfId="6843"/>
    <cellStyle name="Normal 9 6 14" xfId="7374"/>
    <cellStyle name="Normal 9 6 2" xfId="858"/>
    <cellStyle name="Normal 9 6 3" xfId="1404"/>
    <cellStyle name="Normal 9 6 4" xfId="1948"/>
    <cellStyle name="Normal 9 6 5" xfId="2491"/>
    <cellStyle name="Normal 9 6 6" xfId="3033"/>
    <cellStyle name="Normal 9 6 7" xfId="3579"/>
    <cellStyle name="Normal 9 6 8" xfId="4110"/>
    <cellStyle name="Normal 9 6 9" xfId="4667"/>
    <cellStyle name="Normal 9 7" xfId="600"/>
    <cellStyle name="Normal 9 8" xfId="725"/>
    <cellStyle name="Normal 9 9" xfId="1271"/>
  </cellStyles>
  <dxfs count="4">
    <dxf>
      <numFmt numFmtId="165" formatCode="0.000"/>
    </dxf>
    <dxf>
      <alignment horizontal="center" readingOrder="0"/>
    </dxf>
    <dxf>
      <numFmt numFmtId="165" formatCode="0.000"/>
    </dxf>
    <dxf>
      <alignment horizontal="center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249.621608449073" createdVersion="3" refreshedVersion="3" minRefreshableVersion="3" recordCount="46">
  <cacheSource type="worksheet">
    <worksheetSource ref="A4:K48" sheet="Sheet2"/>
  </cacheSource>
  <cacheFields count="11">
    <cacheField name="GR." numFmtId="0">
      <sharedItems/>
    </cacheField>
    <cacheField name="SIZE" numFmtId="0">
      <sharedItems count="21">
        <s v="150X150X10"/>
        <s v="110X110X10"/>
        <s v="100X100X6"/>
        <s v="100X100X5"/>
        <s v="65X65X5"/>
        <s v="70X70X5"/>
        <s v="100X100X7"/>
        <s v="150X150X12"/>
        <s v="65X65X4"/>
        <s v="90X90X9"/>
        <s v="80X80X8"/>
        <s v="75X75X5"/>
        <s v="90X90X7"/>
        <s v="130X130X12"/>
        <s v="90X90X6"/>
        <s v="120X120X8"/>
        <s v="110X110X6"/>
        <s v="130X130X11"/>
        <s v="110X110X7"/>
        <s v="130X130X9"/>
        <s v="110X110X8"/>
      </sharedItems>
    </cacheField>
    <cacheField name="SEC. WT." numFmtId="2">
      <sharedItems containsSemiMixedTypes="0" containsString="0" containsNumber="1" minValue="4.03" maxValue="27.29"/>
    </cacheField>
    <cacheField name="LENGTH" numFmtId="0">
      <sharedItems containsSemiMixedTypes="0" containsString="0" containsNumber="1" minValue="4.7" maxValue="12.45"/>
    </cacheField>
    <cacheField name="PCS" numFmtId="0">
      <sharedItems containsSemiMixedTypes="0" containsString="0" containsNumber="1" containsInteger="1" minValue="1" maxValue="3"/>
    </cacheField>
    <cacheField name="QTY." numFmtId="165">
      <sharedItems containsSemiMixedTypes="0" containsString="0" containsNumber="1" minValue="2.7404000000000001E-2" maxValue="0.37802400000000003"/>
    </cacheField>
    <cacheField name="REMARK" numFmtId="0">
      <sharedItems/>
    </cacheField>
    <cacheField name="PCS2" numFmtId="0">
      <sharedItems containsNonDate="0" containsString="0" containsBlank="1"/>
    </cacheField>
    <cacheField name="QTY.2" numFmtId="165">
      <sharedItems containsSemiMixedTypes="0" containsString="0" containsNumber="1" containsInteger="1" minValue="0" maxValue="0"/>
    </cacheField>
    <cacheField name="PCS3" numFmtId="1">
      <sharedItems containsSemiMixedTypes="0" containsString="0" containsNumber="1" containsInteger="1" minValue="1" maxValue="3"/>
    </cacheField>
    <cacheField name="QTY.3" numFmtId="2">
      <sharedItems containsSemiMixedTypes="0" containsString="0" containsNumber="1" minValue="2.7404000000000001E-2" maxValue="0.37802400000000003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5257.649814236109" createdVersion="3" refreshedVersion="3" minRefreshableVersion="3" recordCount="220">
  <cacheSource type="worksheet">
    <worksheetSource ref="A4:H224" sheet="Sheet5"/>
  </cacheSource>
  <cacheFields count="8">
    <cacheField name="Embossing" numFmtId="0">
      <sharedItems/>
    </cacheField>
    <cacheField name="Gr " numFmtId="0">
      <sharedItems/>
    </cacheField>
    <cacheField name="Section" numFmtId="0">
      <sharedItems count="26">
        <s v="130X130X9"/>
        <s v="150X150X15"/>
        <s v="150X150X12"/>
        <s v="130X130X12"/>
        <s v="150X150X11"/>
        <s v="150X150X16"/>
        <s v="120X120X9"/>
        <s v="130X130X10"/>
        <s v="120X120X10"/>
        <s v="150X150X10"/>
        <s v="80X80X5"/>
        <s v="150X150X20"/>
        <s v="75X75X6"/>
        <s v="150X150X14"/>
        <s v="110X110X8"/>
        <s v="100X100X6"/>
        <s v="100X100X7"/>
        <s v="90X90X7"/>
        <s v="120X120X8"/>
        <s v="120X120X7"/>
        <s v="110X110X7"/>
        <s v="150X150X13"/>
        <s v="130X130X11"/>
        <s v="80X80X6"/>
        <s v="90X90X6"/>
        <s v="130X130X8"/>
      </sharedItems>
    </cacheField>
    <cacheField name="s/w" numFmtId="2">
      <sharedItems containsSemiMixedTypes="0" containsString="0" containsNumber="1" minValue="6.17" maxValue="44.12"/>
    </cacheField>
    <cacheField name="length" numFmtId="0">
      <sharedItems containsSemiMixedTypes="0" containsString="0" containsNumber="1" minValue="5.3" maxValue="12.2"/>
    </cacheField>
    <cacheField name="pcs" numFmtId="1">
      <sharedItems containsSemiMixedTypes="0" containsString="0" containsNumber="1" containsInteger="1" minValue="1" maxValue="24"/>
    </cacheField>
    <cacheField name="Qty(mt)" numFmtId="165">
      <sharedItems containsSemiMixedTypes="0" containsString="0" containsNumber="1" minValue="4.6480000000000007E-2" maxValue="4.3747199999999999"/>
    </cacheField>
    <cacheField name="Remarks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s v="HT"/>
    <x v="0"/>
    <n v="22.93"/>
    <n v="4.7"/>
    <n v="1"/>
    <n v="0.10777100000000001"/>
    <s v="rejected"/>
    <m/>
    <n v="0"/>
    <n v="1"/>
    <n v="0.10777100000000001"/>
  </r>
  <r>
    <s v="HT"/>
    <x v="0"/>
    <n v="22.93"/>
    <n v="7.3"/>
    <n v="1"/>
    <n v="0.16738899999999998"/>
    <s v="rejected"/>
    <m/>
    <n v="0"/>
    <n v="1"/>
    <n v="0.16738899999999998"/>
  </r>
  <r>
    <s v="HT"/>
    <x v="1"/>
    <n v="16.579999999999998"/>
    <n v="11.4"/>
    <n v="1"/>
    <n v="0.18901200000000001"/>
    <s v="rejected"/>
    <m/>
    <n v="0"/>
    <n v="1"/>
    <n v="0.18901200000000001"/>
  </r>
  <r>
    <s v="HT"/>
    <x v="2"/>
    <n v="9.26"/>
    <n v="8.5"/>
    <n v="2"/>
    <n v="0.15741999999999998"/>
    <s v="rejected"/>
    <m/>
    <n v="0"/>
    <n v="2"/>
    <n v="0.15741999999999998"/>
  </r>
  <r>
    <s v="HT"/>
    <x v="2"/>
    <n v="9.26"/>
    <n v="8.6"/>
    <n v="3"/>
    <n v="0.23890799999999998"/>
    <s v="rejected"/>
    <m/>
    <n v="0"/>
    <n v="3"/>
    <n v="0.23890799999999995"/>
  </r>
  <r>
    <s v="HT"/>
    <x v="3"/>
    <n v="7.6"/>
    <n v="11.6"/>
    <n v="1"/>
    <n v="8.8160000000000002E-2"/>
    <s v="rejected"/>
    <m/>
    <n v="0"/>
    <n v="1"/>
    <n v="8.8160000000000002E-2"/>
  </r>
  <r>
    <s v="MS"/>
    <x v="4"/>
    <n v="4.9800000000000004"/>
    <n v="10"/>
    <n v="1"/>
    <n v="4.9800000000000004E-2"/>
    <s v="rejected"/>
    <m/>
    <n v="0"/>
    <n v="1"/>
    <n v="4.9800000000000004E-2"/>
  </r>
  <r>
    <s v="HT"/>
    <x v="5"/>
    <n v="5.38"/>
    <n v="10"/>
    <n v="1"/>
    <n v="5.3800000000000001E-2"/>
    <s v="rejected"/>
    <m/>
    <n v="0"/>
    <n v="1"/>
    <n v="5.3800000000000001E-2"/>
  </r>
  <r>
    <s v="HT"/>
    <x v="6"/>
    <n v="10.73"/>
    <n v="10.9"/>
    <n v="3"/>
    <n v="0.35087100000000004"/>
    <s v="rejected"/>
    <m/>
    <n v="0"/>
    <n v="3"/>
    <n v="0.35087100000000004"/>
  </r>
  <r>
    <s v="HT"/>
    <x v="7"/>
    <n v="27.29"/>
    <n v="6.6"/>
    <n v="1"/>
    <n v="0.18011399999999997"/>
    <s v="rejected"/>
    <m/>
    <n v="0"/>
    <n v="1"/>
    <n v="0.18011399999999997"/>
  </r>
  <r>
    <s v="HT"/>
    <x v="7"/>
    <n v="27.29"/>
    <n v="6.8"/>
    <n v="1"/>
    <n v="0.18557200000000001"/>
    <s v="rejected"/>
    <m/>
    <n v="0"/>
    <n v="1"/>
    <n v="0.18557200000000001"/>
  </r>
  <r>
    <s v="HT"/>
    <x v="6"/>
    <n v="10.73"/>
    <n v="11"/>
    <n v="1"/>
    <n v="0.11803"/>
    <s v="rejected"/>
    <m/>
    <n v="0"/>
    <n v="1"/>
    <n v="0.11803"/>
  </r>
  <r>
    <s v="HT"/>
    <x v="2"/>
    <n v="9.26"/>
    <n v="5.8"/>
    <n v="1"/>
    <n v="5.3707999999999999E-2"/>
    <s v="rejected"/>
    <m/>
    <n v="0"/>
    <n v="1"/>
    <n v="5.3707999999999999E-2"/>
  </r>
  <r>
    <s v="HT"/>
    <x v="2"/>
    <n v="9.26"/>
    <n v="6.7"/>
    <n v="1"/>
    <n v="6.2042E-2"/>
    <s v="rejected"/>
    <m/>
    <n v="0"/>
    <n v="1"/>
    <n v="6.2042E-2"/>
  </r>
  <r>
    <s v="HT"/>
    <x v="2"/>
    <n v="9.26"/>
    <n v="7.5"/>
    <n v="1"/>
    <n v="6.9449999999999998E-2"/>
    <s v="rejected"/>
    <m/>
    <n v="0"/>
    <n v="1"/>
    <n v="6.9449999999999998E-2"/>
  </r>
  <r>
    <s v="HT"/>
    <x v="2"/>
    <n v="9.26"/>
    <n v="12"/>
    <n v="1"/>
    <n v="0.11112000000000001"/>
    <s v="rejected"/>
    <m/>
    <n v="0"/>
    <n v="1"/>
    <n v="0.11112000000000001"/>
  </r>
  <r>
    <s v="HT"/>
    <x v="8"/>
    <n v="4.03"/>
    <n v="6.8"/>
    <n v="1"/>
    <n v="2.7404000000000001E-2"/>
    <s v="rejected"/>
    <m/>
    <n v="0"/>
    <n v="1"/>
    <n v="2.7404000000000001E-2"/>
  </r>
  <r>
    <s v="HT"/>
    <x v="9"/>
    <n v="12.2"/>
    <n v="8"/>
    <n v="1"/>
    <n v="9.7599999999999992E-2"/>
    <s v="rejected"/>
    <m/>
    <n v="0"/>
    <n v="1"/>
    <n v="9.7599999999999992E-2"/>
  </r>
  <r>
    <s v="HT"/>
    <x v="9"/>
    <n v="12.2"/>
    <n v="4.8499999999999996"/>
    <n v="1"/>
    <n v="5.9169999999999993E-2"/>
    <s v="rejected"/>
    <m/>
    <n v="0"/>
    <n v="1"/>
    <n v="5.9169999999999993E-2"/>
  </r>
  <r>
    <s v="HT"/>
    <x v="10"/>
    <n v="9.65"/>
    <n v="8"/>
    <n v="3"/>
    <n v="0.23160000000000003"/>
    <s v="PG REJECT"/>
    <m/>
    <n v="0"/>
    <n v="3"/>
    <n v="0.23160000000000003"/>
  </r>
  <r>
    <s v="HT"/>
    <x v="11"/>
    <n v="5.77"/>
    <n v="10"/>
    <n v="1"/>
    <n v="5.7699999999999994E-2"/>
    <s v="reject"/>
    <m/>
    <n v="0"/>
    <n v="1"/>
    <n v="5.7699999999999994E-2"/>
  </r>
  <r>
    <s v="HT"/>
    <x v="12"/>
    <n v="9.61"/>
    <n v="11.5"/>
    <n v="1"/>
    <n v="0.11051499999999999"/>
    <s v="Rejected "/>
    <m/>
    <n v="0"/>
    <n v="1"/>
    <n v="0.11051499999999999"/>
  </r>
  <r>
    <s v="HT"/>
    <x v="13"/>
    <n v="23.6"/>
    <n v="12"/>
    <n v="1"/>
    <n v="0.28320000000000006"/>
    <s v="Rejected "/>
    <m/>
    <n v="0"/>
    <n v="1"/>
    <n v="0.28320000000000006"/>
  </r>
  <r>
    <s v="MS"/>
    <x v="14"/>
    <n v="8.3000000000000007"/>
    <n v="11"/>
    <n v="2"/>
    <n v="0.18260000000000001"/>
    <s v="Rejected "/>
    <m/>
    <n v="0"/>
    <n v="2"/>
    <n v="0.18260000000000001"/>
  </r>
  <r>
    <s v="HT"/>
    <x v="6"/>
    <n v="10.73"/>
    <n v="10.5"/>
    <n v="1"/>
    <n v="0.112665"/>
    <s v="Rejected "/>
    <m/>
    <n v="0"/>
    <n v="1"/>
    <n v="0.112665"/>
  </r>
  <r>
    <s v="MS"/>
    <x v="14"/>
    <n v="8.3000000000000007"/>
    <n v="10.5"/>
    <n v="1"/>
    <n v="8.7150000000000005E-2"/>
    <s v="reject"/>
    <m/>
    <n v="0"/>
    <n v="1"/>
    <n v="8.7150000000000005E-2"/>
  </r>
  <r>
    <s v="MS"/>
    <x v="14"/>
    <n v="8.3000000000000007"/>
    <n v="11"/>
    <n v="1"/>
    <n v="9.1300000000000006E-2"/>
    <s v="reject"/>
    <m/>
    <n v="0"/>
    <n v="1"/>
    <n v="9.1300000000000006E-2"/>
  </r>
  <r>
    <s v="HT"/>
    <x v="15"/>
    <n v="14.66"/>
    <n v="12.45"/>
    <n v="1"/>
    <n v="0.18251699999999998"/>
    <s v="rejected"/>
    <m/>
    <n v="0"/>
    <n v="1"/>
    <n v="0.18251699999999998"/>
  </r>
  <r>
    <s v="MS"/>
    <x v="2"/>
    <n v="9.26"/>
    <n v="6.5"/>
    <n v="1"/>
    <n v="6.019E-2"/>
    <s v="reject"/>
    <m/>
    <n v="0"/>
    <n v="1"/>
    <n v="6.019E-2"/>
  </r>
  <r>
    <s v="MS"/>
    <x v="2"/>
    <n v="9.26"/>
    <n v="7"/>
    <n v="1"/>
    <n v="6.4819999999999989E-2"/>
    <s v="reject"/>
    <m/>
    <n v="0"/>
    <n v="1"/>
    <n v="6.4819999999999989E-2"/>
  </r>
  <r>
    <s v="HT"/>
    <x v="16"/>
    <n v="10.199999999999999"/>
    <n v="10.4"/>
    <n v="1"/>
    <n v="0.10607999999999999"/>
    <s v="reject"/>
    <m/>
    <n v="0"/>
    <n v="1"/>
    <n v="0.10607999999999999"/>
  </r>
  <r>
    <s v="HT"/>
    <x v="17"/>
    <n v="21.7"/>
    <n v="6.9"/>
    <n v="1"/>
    <n v="0.14973"/>
    <s v="reject"/>
    <m/>
    <n v="0"/>
    <n v="1"/>
    <n v="0.14973"/>
  </r>
  <r>
    <s v="HT"/>
    <x v="17"/>
    <n v="21.7"/>
    <n v="7"/>
    <n v="1"/>
    <n v="0.15190000000000001"/>
    <s v="reject"/>
    <m/>
    <n v="0"/>
    <n v="1"/>
    <n v="0.15190000000000001"/>
  </r>
  <r>
    <s v="HT"/>
    <x v="1"/>
    <n v="16.579999999999998"/>
    <n v="11.4"/>
    <n v="2"/>
    <n v="0.37802400000000003"/>
    <s v="reject"/>
    <m/>
    <n v="0"/>
    <n v="2"/>
    <n v="0.37802400000000003"/>
  </r>
  <r>
    <s v="HT"/>
    <x v="1"/>
    <n v="16.579999999999998"/>
    <n v="11.9"/>
    <n v="1"/>
    <n v="0.19730200000000001"/>
    <s v="reject"/>
    <m/>
    <n v="0"/>
    <n v="1"/>
    <n v="0.19730200000000001"/>
  </r>
  <r>
    <s v="HT"/>
    <x v="18"/>
    <n v="11.8"/>
    <n v="12"/>
    <n v="1"/>
    <n v="0.14160000000000003"/>
    <s v="BEND - reject"/>
    <m/>
    <n v="0"/>
    <n v="1"/>
    <n v="0.14160000000000003"/>
  </r>
  <r>
    <s v="HT "/>
    <x v="19"/>
    <n v="17.82"/>
    <n v="6.4"/>
    <n v="1"/>
    <n v="0.114048"/>
    <s v="rejected"/>
    <m/>
    <n v="0"/>
    <n v="1"/>
    <n v="0.114048"/>
  </r>
  <r>
    <s v="HT "/>
    <x v="20"/>
    <n v="13.4"/>
    <n v="7.8"/>
    <n v="1"/>
    <n v="0.10452"/>
    <s v="rejected"/>
    <m/>
    <n v="0"/>
    <n v="1"/>
    <n v="0.10452"/>
  </r>
  <r>
    <s v="HT "/>
    <x v="20"/>
    <n v="13.4"/>
    <n v="10.9"/>
    <n v="1"/>
    <n v="0.14606"/>
    <s v="rejected"/>
    <m/>
    <n v="0"/>
    <n v="1"/>
    <n v="0.14606"/>
  </r>
  <r>
    <s v="MS"/>
    <x v="2"/>
    <n v="9.26"/>
    <n v="12"/>
    <n v="1"/>
    <n v="0.11112000000000001"/>
    <s v="rejected"/>
    <m/>
    <n v="0"/>
    <n v="1"/>
    <n v="0.11112000000000001"/>
  </r>
  <r>
    <s v="MS"/>
    <x v="11"/>
    <n v="5.77"/>
    <n v="12"/>
    <n v="1"/>
    <n v="6.9239999999999996E-2"/>
    <s v="REJECTED NO.EMB."/>
    <m/>
    <n v="0"/>
    <n v="1"/>
    <n v="6.9239999999999996E-2"/>
  </r>
  <r>
    <s v="MS"/>
    <x v="15"/>
    <n v="14.66"/>
    <n v="9.4"/>
    <n v="1"/>
    <n v="0.13780400000000001"/>
    <s v="rejected"/>
    <m/>
    <n v="0"/>
    <n v="1"/>
    <n v="0.13780400000000001"/>
  </r>
  <r>
    <s v="HT "/>
    <x v="1"/>
    <n v="16.579999999999998"/>
    <n v="11.4"/>
    <n v="1"/>
    <n v="0.18901200000000001"/>
    <s v="rejected"/>
    <m/>
    <n v="0"/>
    <n v="1"/>
    <n v="0.18901200000000001"/>
  </r>
  <r>
    <s v="HT"/>
    <x v="19"/>
    <n v="17.82"/>
    <n v="7.2"/>
    <n v="1"/>
    <n v="0.128304"/>
    <s v="reject"/>
    <m/>
    <n v="0"/>
    <n v="1"/>
    <n v="0.128304"/>
  </r>
  <r>
    <s v="HT"/>
    <x v="12"/>
    <n v="9.61"/>
    <n v="9.1999999999999993"/>
    <n v="1"/>
    <n v="8.8411999999999991E-2"/>
    <s v="reject"/>
    <m/>
    <n v="0"/>
    <n v="1"/>
    <n v="8.8411999999999991E-2"/>
  </r>
  <r>
    <s v="HT"/>
    <x v="12"/>
    <n v="9.61"/>
    <n v="5.5"/>
    <n v="1"/>
    <n v="5.2854999999999999E-2"/>
    <s v="reject"/>
    <m/>
    <n v="0"/>
    <n v="1"/>
    <n v="5.285499999999999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0">
  <r>
    <s v="VIL  HT (GR 60)"/>
    <s v="HT"/>
    <x v="0"/>
    <n v="17.82"/>
    <n v="5.5"/>
    <n v="1"/>
    <n v="9.801E-2"/>
    <m/>
  </r>
  <r>
    <s v="VIL  HT (GR 60)"/>
    <s v="HT"/>
    <x v="0"/>
    <n v="17.82"/>
    <n v="6.1"/>
    <n v="2"/>
    <n v="0.21740399999999999"/>
    <m/>
  </r>
  <r>
    <s v="VIL  HT (GR 60)"/>
    <s v="HT"/>
    <x v="1"/>
    <n v="33.72"/>
    <n v="7.3"/>
    <n v="1"/>
    <n v="0.24615599999999999"/>
    <m/>
  </r>
  <r>
    <s v="VIL  HT (GR 60)"/>
    <s v="HT"/>
    <x v="1"/>
    <n v="33.72"/>
    <n v="7.8"/>
    <n v="3"/>
    <n v="0.78904799999999986"/>
    <m/>
  </r>
  <r>
    <s v="VIL  HT (GR 60)"/>
    <s v="HT"/>
    <x v="1"/>
    <n v="33.72"/>
    <n v="7.7"/>
    <n v="1"/>
    <n v="0.25964399999999999"/>
    <m/>
  </r>
  <r>
    <s v="VIL  HT (GR 60)"/>
    <s v="HT"/>
    <x v="0"/>
    <n v="17.82"/>
    <n v="6.2"/>
    <n v="1"/>
    <n v="0.11048400000000001"/>
    <m/>
  </r>
  <r>
    <s v="VIL  HT (GR 60)"/>
    <s v="HT"/>
    <x v="1"/>
    <n v="33.72"/>
    <n v="6.5"/>
    <n v="5"/>
    <n v="1.0959000000000001"/>
    <m/>
  </r>
  <r>
    <s v="VIL  HT (GR 60)"/>
    <s v="HT"/>
    <x v="1"/>
    <n v="33.72"/>
    <n v="6"/>
    <n v="1"/>
    <n v="0.20232"/>
    <m/>
  </r>
  <r>
    <s v="VIL  HT (GR 60)"/>
    <s v="HT"/>
    <x v="1"/>
    <n v="33.72"/>
    <n v="6.5"/>
    <n v="6"/>
    <n v="1.31508"/>
    <m/>
  </r>
  <r>
    <s v="VIL  HT (GR 60)"/>
    <s v="HT"/>
    <x v="1"/>
    <n v="33.72"/>
    <n v="6.15"/>
    <n v="2"/>
    <n v="0.41475600000000001"/>
    <m/>
  </r>
  <r>
    <s v="VIL  HT (GR 60)"/>
    <s v="HT"/>
    <x v="1"/>
    <n v="33.72"/>
    <n v="7"/>
    <n v="1"/>
    <n v="0.23604"/>
    <m/>
  </r>
  <r>
    <s v="VIL  HT (GR 60)"/>
    <s v="HT"/>
    <x v="1"/>
    <n v="33.72"/>
    <n v="7.7"/>
    <n v="1"/>
    <n v="0.25964399999999999"/>
    <m/>
  </r>
  <r>
    <s v="VIL  HT (GR 60)"/>
    <s v="HT"/>
    <x v="1"/>
    <n v="33.72"/>
    <n v="6.7"/>
    <n v="1"/>
    <n v="0.22592400000000001"/>
    <m/>
  </r>
  <r>
    <s v="VIL  HT (GR 60)"/>
    <s v="HT"/>
    <x v="1"/>
    <n v="33.72"/>
    <n v="7.1"/>
    <n v="1"/>
    <n v="0.23941199999999999"/>
    <m/>
  </r>
  <r>
    <s v="VIL  HT (GR 60)"/>
    <s v="HT"/>
    <x v="1"/>
    <n v="33.72"/>
    <n v="8.5"/>
    <n v="1"/>
    <n v="0.28661999999999999"/>
    <m/>
  </r>
  <r>
    <s v="VIL  HT (GR 60)"/>
    <s v="HT"/>
    <x v="1"/>
    <n v="33.72"/>
    <n v="6.7"/>
    <n v="1"/>
    <n v="0.22592400000000001"/>
    <m/>
  </r>
  <r>
    <s v="VIL  HT (GR 60)"/>
    <s v="HT"/>
    <x v="1"/>
    <n v="33.72"/>
    <n v="7"/>
    <n v="7"/>
    <n v="1.65228"/>
    <m/>
  </r>
  <r>
    <s v="VIL  HT (GR 60)"/>
    <s v="HT"/>
    <x v="2"/>
    <n v="27.29"/>
    <n v="5.8"/>
    <n v="1"/>
    <n v="0.15828199999999998"/>
    <m/>
  </r>
  <r>
    <s v="VIL  HT (GR 60)"/>
    <s v="HT"/>
    <x v="2"/>
    <n v="27.29"/>
    <n v="6"/>
    <n v="1"/>
    <n v="0.16374"/>
    <m/>
  </r>
  <r>
    <s v="VIL  HT (GR 60)"/>
    <s v="HT"/>
    <x v="1"/>
    <n v="33.72"/>
    <n v="5.6"/>
    <n v="1"/>
    <n v="0.188832"/>
    <m/>
  </r>
  <r>
    <s v="VIL  HT (GR 60)"/>
    <s v="HT"/>
    <x v="1"/>
    <n v="33.72"/>
    <n v="6.2"/>
    <n v="1"/>
    <n v="0.209064"/>
    <m/>
  </r>
  <r>
    <s v="VIL  HT (GR 60)"/>
    <s v="HT"/>
    <x v="3"/>
    <n v="23.6"/>
    <n v="7.8"/>
    <n v="1"/>
    <n v="0.18408000000000002"/>
    <m/>
  </r>
  <r>
    <s v="VIL  HT (GR 60)"/>
    <s v="HT"/>
    <x v="3"/>
    <n v="23.6"/>
    <n v="8.3000000000000007"/>
    <n v="1"/>
    <n v="0.19588000000000003"/>
    <m/>
  </r>
  <r>
    <s v="VIL  HT (GR 60)"/>
    <s v="HT"/>
    <x v="3"/>
    <n v="23.6"/>
    <n v="11"/>
    <n v="1"/>
    <n v="0.2596"/>
    <m/>
  </r>
  <r>
    <s v="VIL  HT (GR 60)"/>
    <s v="HT"/>
    <x v="4"/>
    <n v="25.2"/>
    <n v="9.9"/>
    <n v="1"/>
    <n v="0.24947999999999998"/>
    <m/>
  </r>
  <r>
    <s v="VIL  HT (GR 60)"/>
    <s v="HT"/>
    <x v="5"/>
    <n v="35.840000000000003"/>
    <n v="7.4"/>
    <n v="1"/>
    <n v="0.26521600000000006"/>
    <m/>
  </r>
  <r>
    <s v="VIL  HT (GR 60)"/>
    <s v="HT"/>
    <x v="1"/>
    <n v="33.72"/>
    <n v="7.5"/>
    <n v="2"/>
    <n v="0.50579999999999992"/>
    <m/>
  </r>
  <r>
    <s v="VIL  HT (GR 60)"/>
    <s v="HT"/>
    <x v="1"/>
    <n v="33.72"/>
    <n v="7.8"/>
    <n v="3"/>
    <n v="0.78904799999999986"/>
    <m/>
  </r>
  <r>
    <s v="VIL  HT (GR 60)"/>
    <s v="HT"/>
    <x v="1"/>
    <n v="33.72"/>
    <n v="6.5"/>
    <n v="1"/>
    <n v="0.21918000000000001"/>
    <m/>
  </r>
  <r>
    <s v="VIL  HT (GR 60)"/>
    <s v="HT"/>
    <x v="1"/>
    <n v="33.72"/>
    <n v="7.8"/>
    <n v="11"/>
    <n v="2.8931759999999995"/>
    <m/>
  </r>
  <r>
    <s v="VIL  HT (GR 60)"/>
    <s v="HT"/>
    <x v="2"/>
    <n v="27.29"/>
    <n v="6"/>
    <n v="2"/>
    <n v="0.32747999999999999"/>
    <m/>
  </r>
  <r>
    <s v="VIL  HT (GR 60)"/>
    <s v="HT"/>
    <x v="1"/>
    <n v="33.72"/>
    <n v="7.3"/>
    <n v="1"/>
    <n v="0.24615599999999999"/>
    <m/>
  </r>
  <r>
    <s v="VIL  HT (GR 60)"/>
    <s v="HT"/>
    <x v="1"/>
    <n v="33.72"/>
    <n v="7.5"/>
    <n v="8"/>
    <n v="2.0231999999999997"/>
    <m/>
  </r>
  <r>
    <s v="VIL  HT (GR 60)"/>
    <s v="HT"/>
    <x v="1"/>
    <n v="33.72"/>
    <n v="7.8"/>
    <n v="11"/>
    <n v="2.8931759999999995"/>
    <m/>
  </r>
  <r>
    <s v="VIL  HT (GR 60)"/>
    <s v="HT"/>
    <x v="6"/>
    <n v="16.5"/>
    <n v="7.1"/>
    <n v="1"/>
    <n v="0.11714999999999999"/>
    <m/>
  </r>
  <r>
    <s v="VIL  HT (GR 60)"/>
    <s v="HT"/>
    <x v="7"/>
    <n v="19.72"/>
    <n v="6"/>
    <n v="3"/>
    <n v="0.35496"/>
    <m/>
  </r>
  <r>
    <s v="VIL  HT (GR 60)"/>
    <s v="HT"/>
    <x v="8"/>
    <n v="18.149999999999999"/>
    <n v="9"/>
    <n v="1"/>
    <n v="0.16335"/>
    <m/>
  </r>
  <r>
    <s v="VIL  HT (GR 60)"/>
    <s v="HT"/>
    <x v="8"/>
    <n v="18.149999999999999"/>
    <n v="9.3000000000000007"/>
    <n v="1"/>
    <n v="0.168795"/>
    <m/>
  </r>
  <r>
    <s v="VIL  HT (GR 60)"/>
    <s v="HT"/>
    <x v="9"/>
    <n v="22.93"/>
    <n v="9.5"/>
    <n v="1"/>
    <n v="0.217835"/>
    <m/>
  </r>
  <r>
    <s v="VIL  HT (GR 60)"/>
    <s v="HT"/>
    <x v="9"/>
    <n v="22.93"/>
    <n v="7.3"/>
    <n v="1"/>
    <n v="0.16738899999999998"/>
    <m/>
  </r>
  <r>
    <s v="VIL  HT (GR 60)"/>
    <s v="HT"/>
    <x v="1"/>
    <n v="33.72"/>
    <n v="5.3"/>
    <n v="1"/>
    <n v="0.17871599999999999"/>
    <m/>
  </r>
  <r>
    <s v="VIL  HT (GR 60)"/>
    <s v="HT"/>
    <x v="1"/>
    <n v="33.72"/>
    <n v="8.5"/>
    <n v="1"/>
    <n v="0.28661999999999999"/>
    <m/>
  </r>
  <r>
    <s v="VIL  HT (GR 60)"/>
    <s v="HT"/>
    <x v="1"/>
    <n v="33.72"/>
    <n v="10"/>
    <n v="1"/>
    <n v="0.3372"/>
    <m/>
  </r>
  <r>
    <s v="VIL  HT (GR 60)"/>
    <s v="HT"/>
    <x v="1"/>
    <n v="33.72"/>
    <n v="10.199999999999999"/>
    <n v="1"/>
    <n v="0.34394399999999997"/>
    <m/>
  </r>
  <r>
    <s v="VIL  HT (GR 60)"/>
    <s v="HT"/>
    <x v="9"/>
    <n v="22.93"/>
    <n v="6"/>
    <n v="2"/>
    <n v="0.27515999999999996"/>
    <m/>
  </r>
  <r>
    <s v="VIL  HT (GR 60)"/>
    <s v="HT"/>
    <x v="10"/>
    <n v="6.17"/>
    <n v="9.5"/>
    <n v="8"/>
    <n v="0.46892"/>
    <m/>
  </r>
  <r>
    <s v="VIL  HT (GR 60)"/>
    <s v="HT"/>
    <x v="10"/>
    <n v="6.17"/>
    <n v="9"/>
    <n v="1"/>
    <n v="5.5530000000000003E-2"/>
    <m/>
  </r>
  <r>
    <s v="VIL  HT (GR 60)"/>
    <s v="HT"/>
    <x v="0"/>
    <n v="17.82"/>
    <n v="6.8"/>
    <n v="1"/>
    <n v="0.12117600000000001"/>
    <m/>
  </r>
  <r>
    <s v="VIL  HT (GR 60)"/>
    <s v="HT"/>
    <x v="0"/>
    <n v="17.82"/>
    <n v="7.6"/>
    <n v="1"/>
    <n v="0.135432"/>
    <m/>
  </r>
  <r>
    <s v="VIL  HT (GR 60)"/>
    <s v="HT"/>
    <x v="11"/>
    <n v="44.12"/>
    <n v="10.1"/>
    <n v="3"/>
    <n v="1.3368359999999997"/>
    <m/>
  </r>
  <r>
    <s v="VIL  HT (GR 60)"/>
    <s v="HT"/>
    <x v="11"/>
    <n v="44.12"/>
    <n v="10"/>
    <n v="1"/>
    <n v="0.44119999999999998"/>
    <m/>
  </r>
  <r>
    <s v="VIL  HT (GR 60)"/>
    <s v="HT"/>
    <x v="12"/>
    <n v="6.86"/>
    <n v="9.5"/>
    <n v="3"/>
    <n v="0.19550999999999999"/>
    <m/>
  </r>
  <r>
    <s v="VIL  HT (GR 60)"/>
    <s v="HT"/>
    <x v="12"/>
    <n v="6.86"/>
    <n v="10"/>
    <n v="9"/>
    <n v="0.61740000000000006"/>
    <m/>
  </r>
  <r>
    <s v="VIL  HT (GR 60)"/>
    <s v="HT"/>
    <x v="12"/>
    <n v="6.86"/>
    <n v="11"/>
    <n v="3"/>
    <n v="0.22638000000000003"/>
    <m/>
  </r>
  <r>
    <s v="VIL  HT (GR 60)"/>
    <s v="HT"/>
    <x v="12"/>
    <n v="6.86"/>
    <n v="11.5"/>
    <n v="4"/>
    <n v="0.31556000000000001"/>
    <m/>
  </r>
  <r>
    <s v="VIL  HT (GR 60)"/>
    <s v="HT"/>
    <x v="12"/>
    <n v="6.86"/>
    <n v="12"/>
    <n v="1"/>
    <n v="8.2320000000000004E-2"/>
    <m/>
  </r>
  <r>
    <s v="VIL  HT (GR 60)"/>
    <s v="HT"/>
    <x v="1"/>
    <n v="33.72"/>
    <n v="7.5"/>
    <n v="3"/>
    <n v="0.75869999999999993"/>
    <m/>
  </r>
  <r>
    <s v="VIL  HT (GR 60)"/>
    <s v="HT"/>
    <x v="1"/>
    <n v="33.72"/>
    <n v="8"/>
    <n v="2"/>
    <n v="0.53952"/>
    <m/>
  </r>
  <r>
    <s v="VIL  HT (GR 60)"/>
    <s v="HT"/>
    <x v="13"/>
    <n v="31.6"/>
    <n v="8.1"/>
    <n v="1"/>
    <n v="0.25596000000000002"/>
    <m/>
  </r>
  <r>
    <s v="VIL  HT (GR 60)"/>
    <s v="HT"/>
    <x v="13"/>
    <n v="31.6"/>
    <n v="8.4"/>
    <n v="2"/>
    <n v="0.53088000000000002"/>
    <m/>
  </r>
  <r>
    <s v="VIL  HT (GR 60)"/>
    <s v="HT"/>
    <x v="13"/>
    <n v="31.6"/>
    <n v="9.5"/>
    <n v="1"/>
    <n v="0.30019999999999997"/>
    <m/>
  </r>
  <r>
    <s v="VIL  HT (GR 60)"/>
    <s v="HT"/>
    <x v="14"/>
    <n v="13.4"/>
    <n v="7.2"/>
    <n v="1"/>
    <n v="9.648000000000001E-2"/>
    <m/>
  </r>
  <r>
    <s v="VIL  HT (GR 60)"/>
    <s v="HT"/>
    <x v="14"/>
    <n v="13.4"/>
    <n v="7.6"/>
    <n v="2"/>
    <n v="0.20368"/>
    <m/>
  </r>
  <r>
    <s v="VIL  HT (GR 60)"/>
    <s v="HT"/>
    <x v="14"/>
    <n v="13.4"/>
    <n v="7.8"/>
    <n v="1"/>
    <n v="0.10452"/>
    <m/>
  </r>
  <r>
    <s v="VIL  HT (GR 60)"/>
    <s v="HT"/>
    <x v="15"/>
    <n v="9.26"/>
    <n v="7"/>
    <n v="1"/>
    <n v="6.4819999999999989E-2"/>
    <m/>
  </r>
  <r>
    <s v="VIL  HT (GR 60)"/>
    <s v="HT"/>
    <x v="15"/>
    <n v="9.26"/>
    <n v="7.8"/>
    <n v="1"/>
    <n v="7.2228000000000001E-2"/>
    <m/>
  </r>
  <r>
    <s v="VIL  HT (GR 60)"/>
    <s v="HT"/>
    <x v="15"/>
    <n v="9.26"/>
    <n v="8.5"/>
    <n v="2"/>
    <n v="0.15741999999999998"/>
    <m/>
  </r>
  <r>
    <s v="VIL  HT (GR 60)"/>
    <s v="HT"/>
    <x v="15"/>
    <n v="9.26"/>
    <n v="9"/>
    <n v="1"/>
    <n v="8.3339999999999997E-2"/>
    <m/>
  </r>
  <r>
    <s v="VIL  HT (GR 60)"/>
    <s v="HT"/>
    <x v="2"/>
    <n v="27.29"/>
    <n v="5.9"/>
    <n v="2"/>
    <n v="0.32202199999999997"/>
    <m/>
  </r>
  <r>
    <s v="VIL  HT (GR 60)"/>
    <s v="HT"/>
    <x v="2"/>
    <n v="27.29"/>
    <n v="6"/>
    <n v="1"/>
    <n v="0.16374"/>
    <m/>
  </r>
  <r>
    <s v="VIL  HT (GR 60)"/>
    <s v="HT"/>
    <x v="16"/>
    <n v="10.73"/>
    <n v="12"/>
    <n v="2"/>
    <n v="0.25751999999999997"/>
    <m/>
  </r>
  <r>
    <s v="VIL  HT (GR 60)"/>
    <s v="HT"/>
    <x v="16"/>
    <n v="10.73"/>
    <n v="11.8"/>
    <n v="2"/>
    <n v="0.25322800000000006"/>
    <m/>
  </r>
  <r>
    <s v="VIL  HT (GR 60)"/>
    <s v="HT"/>
    <x v="17"/>
    <n v="9.61"/>
    <n v="12"/>
    <n v="3"/>
    <n v="0.34595999999999999"/>
    <m/>
  </r>
  <r>
    <s v="VIL  HT (GR 60)"/>
    <s v="HT"/>
    <x v="8"/>
    <n v="18.149999999999999"/>
    <n v="8.3000000000000007"/>
    <n v="1"/>
    <n v="0.150645"/>
    <m/>
  </r>
  <r>
    <s v="VIL  HT (GR 60)"/>
    <s v="HT"/>
    <x v="15"/>
    <n v="9.26"/>
    <n v="10.5"/>
    <n v="2"/>
    <n v="0.19446000000000002"/>
    <m/>
  </r>
  <r>
    <s v="VIL  HT (GR 60)"/>
    <s v="HT"/>
    <x v="18"/>
    <n v="14.66"/>
    <n v="6.5"/>
    <n v="2"/>
    <n v="0.19058"/>
    <s v="Allocated for Dubai"/>
  </r>
  <r>
    <s v="VIL  HT (GR 60)"/>
    <s v="HT"/>
    <x v="19"/>
    <n v="12.9"/>
    <n v="9.1999999999999993"/>
    <n v="2"/>
    <n v="0.23735999999999999"/>
    <m/>
  </r>
  <r>
    <s v="VIL  HT (GR 60)"/>
    <s v="HT"/>
    <x v="19"/>
    <n v="12.9"/>
    <n v="9.9"/>
    <n v="1"/>
    <n v="0.12771000000000002"/>
    <m/>
  </r>
  <r>
    <s v="VIL  HT (GR 60)"/>
    <s v="HT"/>
    <x v="19"/>
    <n v="12.9"/>
    <n v="9.6999999999999993"/>
    <n v="1"/>
    <n v="0.12512999999999999"/>
    <m/>
  </r>
  <r>
    <s v="VIL  HT (GR 60)"/>
    <s v="HT"/>
    <x v="19"/>
    <n v="12.9"/>
    <n v="9.8000000000000007"/>
    <n v="1"/>
    <n v="0.12642"/>
    <m/>
  </r>
  <r>
    <s v="VIL  HT (GR 60)"/>
    <s v="HT"/>
    <x v="19"/>
    <n v="12.9"/>
    <n v="11.3"/>
    <n v="1"/>
    <n v="0.14577000000000001"/>
    <m/>
  </r>
  <r>
    <s v="VIL  HT (GR 60)"/>
    <s v="HT"/>
    <x v="19"/>
    <n v="12.9"/>
    <n v="7.2"/>
    <n v="1"/>
    <n v="9.2880000000000004E-2"/>
    <m/>
  </r>
  <r>
    <s v="VIL  HT (GR 60)"/>
    <s v="HT"/>
    <x v="19"/>
    <n v="12.9"/>
    <n v="10"/>
    <n v="1"/>
    <n v="0.129"/>
    <m/>
  </r>
  <r>
    <s v="VIL  HT (GR 60)"/>
    <s v="HT"/>
    <x v="19"/>
    <n v="12.9"/>
    <n v="7"/>
    <n v="2"/>
    <n v="0.18059999999999998"/>
    <m/>
  </r>
  <r>
    <s v="VIL  HT (GR 60)"/>
    <s v="HT"/>
    <x v="14"/>
    <n v="13.4"/>
    <n v="8.6999999999999993"/>
    <n v="2"/>
    <n v="0.23316000000000001"/>
    <m/>
  </r>
  <r>
    <s v="VIL  HT (GR 60)"/>
    <s v="HT"/>
    <x v="14"/>
    <n v="13.4"/>
    <n v="10.5"/>
    <n v="1"/>
    <n v="0.14070000000000002"/>
    <m/>
  </r>
  <r>
    <s v="VIL  HT (GR 60)"/>
    <s v="HT"/>
    <x v="14"/>
    <n v="13.4"/>
    <n v="7.4"/>
    <n v="1"/>
    <n v="9.9160000000000012E-2"/>
    <m/>
  </r>
  <r>
    <s v="VIL  HT (GR 60)"/>
    <s v="HT"/>
    <x v="14"/>
    <n v="13.4"/>
    <n v="6.8"/>
    <n v="1"/>
    <n v="9.1120000000000007E-2"/>
    <m/>
  </r>
  <r>
    <s v="VIL  HT (GR 60)"/>
    <s v="HT"/>
    <x v="14"/>
    <n v="13.4"/>
    <n v="6.4"/>
    <n v="1"/>
    <n v="8.5760000000000003E-2"/>
    <m/>
  </r>
  <r>
    <s v="VIL  HT (GR 60)"/>
    <s v="HT"/>
    <x v="20"/>
    <n v="11.8"/>
    <n v="12"/>
    <n v="8"/>
    <n v="1.1328000000000003"/>
    <m/>
  </r>
  <r>
    <s v="VIL  HT (GR 60)"/>
    <s v="HT"/>
    <x v="19"/>
    <n v="12.9"/>
    <n v="9.6999999999999993"/>
    <n v="4"/>
    <n v="0.50051999999999996"/>
    <m/>
  </r>
  <r>
    <s v="VIL  HT (GR 60)"/>
    <s v="HT"/>
    <x v="19"/>
    <n v="12.9"/>
    <n v="8.1"/>
    <n v="1"/>
    <n v="0.10449"/>
    <m/>
  </r>
  <r>
    <s v="VIL  HT (GR 60)"/>
    <s v="HT"/>
    <x v="19"/>
    <n v="12.9"/>
    <n v="12"/>
    <n v="1"/>
    <n v="0.15480000000000002"/>
    <m/>
  </r>
  <r>
    <s v="VIL  HT (GR 60)"/>
    <s v="HT"/>
    <x v="19"/>
    <n v="12.9"/>
    <n v="6"/>
    <n v="1"/>
    <n v="7.740000000000001E-2"/>
    <m/>
  </r>
  <r>
    <s v="VIL  HT (GR 60)"/>
    <s v="HT"/>
    <x v="15"/>
    <n v="9.26"/>
    <n v="10.75"/>
    <n v="3"/>
    <n v="0.29863499999999998"/>
    <m/>
  </r>
  <r>
    <s v="VIL  HT (GR 60)"/>
    <s v="HT"/>
    <x v="0"/>
    <n v="17.82"/>
    <n v="6.6"/>
    <n v="15"/>
    <n v="1.7641799999999999"/>
    <m/>
  </r>
  <r>
    <s v="VIL  HT (GR 60)"/>
    <s v="HT "/>
    <x v="6"/>
    <n v="16.5"/>
    <n v="7.5"/>
    <n v="2"/>
    <n v="0.2475"/>
    <m/>
  </r>
  <r>
    <s v="VIL  HT (GR 60)"/>
    <s v="HT "/>
    <x v="6"/>
    <n v="16.5"/>
    <n v="7.3"/>
    <n v="1"/>
    <n v="0.12045"/>
    <m/>
  </r>
  <r>
    <s v="VIL  HT (GR 60)"/>
    <s v="HT "/>
    <x v="6"/>
    <n v="16.5"/>
    <n v="7.4"/>
    <n v="1"/>
    <n v="0.12210000000000001"/>
    <m/>
  </r>
  <r>
    <s v="VIL  HT (GR 60)"/>
    <s v="HT "/>
    <x v="20"/>
    <n v="11.8"/>
    <n v="7"/>
    <n v="3"/>
    <n v="0.24780000000000002"/>
    <m/>
  </r>
  <r>
    <s v="VIL  HT (GR 60)"/>
    <s v="HT "/>
    <x v="20"/>
    <n v="11.8"/>
    <n v="6"/>
    <n v="1"/>
    <n v="7.0800000000000016E-2"/>
    <m/>
  </r>
  <r>
    <s v="VIL  HT (GR 60)"/>
    <s v="HT "/>
    <x v="20"/>
    <n v="11.8"/>
    <n v="6.2"/>
    <n v="4"/>
    <n v="0.29264000000000007"/>
    <m/>
  </r>
  <r>
    <s v="VIL  HT (GR 60)"/>
    <s v="HT"/>
    <x v="7"/>
    <n v="19.72"/>
    <n v="6"/>
    <n v="1"/>
    <n v="0.11831999999999999"/>
    <m/>
  </r>
  <r>
    <s v="VIL  HT (GR 60)"/>
    <s v="HT"/>
    <x v="1"/>
    <n v="33.72"/>
    <n v="7.5"/>
    <n v="4"/>
    <n v="1.0115999999999998"/>
    <m/>
  </r>
  <r>
    <s v="VIL  HT (GR 60)"/>
    <s v="HT"/>
    <x v="21"/>
    <n v="29.5"/>
    <n v="6.8"/>
    <n v="3"/>
    <n v="0.6018"/>
    <m/>
  </r>
  <r>
    <s v="VIL  HT (GR 60)"/>
    <s v="HT"/>
    <x v="21"/>
    <n v="29.5"/>
    <n v="6.5"/>
    <n v="1"/>
    <n v="0.19175"/>
    <m/>
  </r>
  <r>
    <s v="VIL  HT (GR 60)"/>
    <s v="HT"/>
    <x v="21"/>
    <n v="29.5"/>
    <n v="10.3"/>
    <n v="1"/>
    <n v="0.30385000000000001"/>
    <m/>
  </r>
  <r>
    <s v="VIL  HT (GR 60)"/>
    <s v="HT"/>
    <x v="21"/>
    <n v="29.5"/>
    <n v="12"/>
    <n v="1"/>
    <n v="0.35399999999999998"/>
    <m/>
  </r>
  <r>
    <s v="VIL  HT (GR 60)"/>
    <s v="HT"/>
    <x v="2"/>
    <n v="27.29"/>
    <n v="11.2"/>
    <n v="1"/>
    <n v="0.30564799999999998"/>
    <m/>
  </r>
  <r>
    <s v="VIL  HT (GR 60)"/>
    <s v="HT"/>
    <x v="2"/>
    <n v="27.29"/>
    <n v="9.1999999999999993"/>
    <n v="3"/>
    <n v="0.75320399999999998"/>
    <m/>
  </r>
  <r>
    <s v="VIL  HT (GR 60)"/>
    <s v="HT"/>
    <x v="7"/>
    <n v="19.72"/>
    <n v="7.5"/>
    <n v="1"/>
    <n v="0.14789999999999998"/>
    <m/>
  </r>
  <r>
    <s v="VIL  HT (GR 60)"/>
    <s v="HT"/>
    <x v="1"/>
    <n v="33.72"/>
    <n v="9.6999999999999993"/>
    <n v="2"/>
    <n v="0.65416799999999986"/>
    <m/>
  </r>
  <r>
    <s v="VIL  HT (GR 60)"/>
    <s v="HT"/>
    <x v="1"/>
    <n v="33.72"/>
    <n v="9.1"/>
    <n v="1"/>
    <n v="0.30685199999999996"/>
    <m/>
  </r>
  <r>
    <s v="VIL  HT (GR 60)"/>
    <s v="HT"/>
    <x v="1"/>
    <n v="33.72"/>
    <n v="7.5"/>
    <n v="3"/>
    <n v="0.75869999999999993"/>
    <m/>
  </r>
  <r>
    <s v="VIL  HT (GR 60)"/>
    <s v="HT"/>
    <x v="5"/>
    <n v="35.840000000000003"/>
    <n v="7.5"/>
    <n v="1"/>
    <n v="0.26880000000000004"/>
    <m/>
  </r>
  <r>
    <s v="VIL  HT (GR 60)"/>
    <s v="HT"/>
    <x v="2"/>
    <n v="27.29"/>
    <n v="6"/>
    <n v="1"/>
    <n v="0.16374"/>
    <m/>
  </r>
  <r>
    <s v="VIL  HT (GR 60)"/>
    <s v="HT"/>
    <x v="22"/>
    <n v="21.7"/>
    <n v="8.5"/>
    <n v="1"/>
    <n v="0.18444999999999998"/>
    <m/>
  </r>
  <r>
    <s v="VIL  HT (GR 60)"/>
    <s v="HT"/>
    <x v="1"/>
    <n v="33.72"/>
    <n v="8.6"/>
    <n v="1"/>
    <n v="0.28999199999999997"/>
    <m/>
  </r>
  <r>
    <s v="VIL  HT (GR 60)"/>
    <s v="HT"/>
    <x v="9"/>
    <n v="22.93"/>
    <n v="5.8"/>
    <n v="1"/>
    <n v="0.132994"/>
    <m/>
  </r>
  <r>
    <s v="VIL  HT (GR 60)"/>
    <s v="HT"/>
    <x v="9"/>
    <n v="22.93"/>
    <n v="6.1"/>
    <n v="2"/>
    <n v="0.27974599999999999"/>
    <m/>
  </r>
  <r>
    <s v="VIL  HT (GR 60)"/>
    <s v="HT"/>
    <x v="2"/>
    <n v="27.29"/>
    <n v="6"/>
    <n v="1"/>
    <n v="0.16374"/>
    <m/>
  </r>
  <r>
    <s v="VIL  HT (GR 60)"/>
    <s v="HT"/>
    <x v="2"/>
    <n v="27.29"/>
    <n v="6.5"/>
    <n v="1"/>
    <n v="0.17738499999999999"/>
    <m/>
  </r>
  <r>
    <s v="VIL  HT (GR 60)"/>
    <s v="HT"/>
    <x v="1"/>
    <n v="33.72"/>
    <n v="6"/>
    <n v="2"/>
    <n v="0.40464"/>
    <m/>
  </r>
  <r>
    <s v="VIL  HT (GR 60)"/>
    <s v="HT"/>
    <x v="1"/>
    <n v="33.72"/>
    <n v="6.6"/>
    <n v="3"/>
    <n v="0.66765599999999992"/>
    <m/>
  </r>
  <r>
    <s v="VIL  HT (GR 60)"/>
    <s v="HT"/>
    <x v="1"/>
    <n v="33.72"/>
    <n v="6.5"/>
    <n v="2"/>
    <n v="0.43836000000000003"/>
    <m/>
  </r>
  <r>
    <s v="VIL  HT (GR 60)"/>
    <s v="HT"/>
    <x v="1"/>
    <n v="33.72"/>
    <n v="7"/>
    <n v="2"/>
    <n v="0.47208"/>
    <m/>
  </r>
  <r>
    <s v="VIL  HT (GR 60)"/>
    <s v="HT"/>
    <x v="1"/>
    <n v="33.72"/>
    <n v="6.5"/>
    <n v="3"/>
    <n v="0.65754000000000001"/>
    <m/>
  </r>
  <r>
    <s v="VIL  HT (GR 60)"/>
    <s v="HT"/>
    <x v="1"/>
    <n v="33.72"/>
    <n v="7"/>
    <n v="2"/>
    <n v="0.47208"/>
    <m/>
  </r>
  <r>
    <s v="VIL  HT (GR 60)"/>
    <s v="HT"/>
    <x v="3"/>
    <n v="23.6"/>
    <n v="10.7"/>
    <n v="1"/>
    <n v="0.25252000000000002"/>
    <m/>
  </r>
  <r>
    <s v="VIL  HT (GR 60)"/>
    <s v="HT"/>
    <x v="1"/>
    <n v="33.72"/>
    <n v="7"/>
    <n v="2"/>
    <n v="0.47208"/>
    <m/>
  </r>
  <r>
    <s v="VIL  HT (GR 60)"/>
    <s v="HT"/>
    <x v="17"/>
    <n v="9.61"/>
    <n v="8.3000000000000007"/>
    <n v="2"/>
    <n v="0.159526"/>
    <m/>
  </r>
  <r>
    <s v="VIL  HT (GR 60)"/>
    <s v="HT"/>
    <x v="17"/>
    <n v="9.61"/>
    <n v="6.5"/>
    <n v="1"/>
    <n v="6.2465E-2"/>
    <m/>
  </r>
  <r>
    <s v="VIL  HT (GR 60)"/>
    <s v="HT"/>
    <x v="13"/>
    <n v="31.6"/>
    <n v="9.3000000000000007"/>
    <n v="1"/>
    <n v="0.29388000000000003"/>
    <m/>
  </r>
  <r>
    <s v="VIL  HT (GR 60)"/>
    <s v="HT"/>
    <x v="13"/>
    <n v="31.6"/>
    <n v="7.4"/>
    <n v="1"/>
    <n v="0.23384000000000002"/>
    <m/>
  </r>
  <r>
    <s v="VIL  HT (GR 60)"/>
    <s v="HT"/>
    <x v="13"/>
    <n v="31.6"/>
    <n v="7.2"/>
    <n v="1"/>
    <n v="0.22752"/>
    <m/>
  </r>
  <r>
    <s v="VIL  HT (GR 60)"/>
    <s v="HT"/>
    <x v="23"/>
    <n v="7.34"/>
    <n v="12"/>
    <n v="4"/>
    <n v="0.35231999999999997"/>
    <m/>
  </r>
  <r>
    <s v="VIL  HT (GR 60)"/>
    <s v="HT"/>
    <x v="1"/>
    <n v="33.72"/>
    <n v="8"/>
    <n v="1"/>
    <n v="0.26976"/>
    <m/>
  </r>
  <r>
    <s v="VIL  HT (GR 60)"/>
    <s v="HT"/>
    <x v="1"/>
    <n v="33.72"/>
    <n v="11"/>
    <n v="1"/>
    <n v="0.37091999999999997"/>
    <m/>
  </r>
  <r>
    <s v="VIL  HT (GR 60)"/>
    <s v="HT"/>
    <x v="1"/>
    <n v="33.72"/>
    <n v="11.2"/>
    <n v="2"/>
    <n v="0.755328"/>
    <m/>
  </r>
  <r>
    <s v="VIL  HT (GR 60)"/>
    <s v="HT"/>
    <x v="4"/>
    <n v="25.2"/>
    <n v="8.4"/>
    <n v="1"/>
    <n v="0.21168000000000001"/>
    <m/>
  </r>
  <r>
    <s v="VIL  HT (GR 60)"/>
    <s v="HT"/>
    <x v="4"/>
    <n v="25.2"/>
    <n v="9.6999999999999993"/>
    <n v="1"/>
    <n v="0.24443999999999996"/>
    <m/>
  </r>
  <r>
    <s v="VIL  HT (GR 60)"/>
    <s v="HT"/>
    <x v="4"/>
    <n v="25.2"/>
    <n v="10.199999999999999"/>
    <n v="1"/>
    <n v="0.25703999999999999"/>
    <m/>
  </r>
  <r>
    <s v="VIL  HT (GR 60)"/>
    <s v="HT"/>
    <x v="4"/>
    <n v="25.2"/>
    <n v="10.6"/>
    <n v="1"/>
    <n v="0.26712000000000002"/>
    <m/>
  </r>
  <r>
    <s v="VIL  HT (GR 60)"/>
    <s v="HT"/>
    <x v="2"/>
    <n v="27.29"/>
    <n v="5.8"/>
    <n v="1"/>
    <n v="0.15828199999999998"/>
    <m/>
  </r>
  <r>
    <s v="VIL  HT (GR 60)"/>
    <s v="HT"/>
    <x v="2"/>
    <n v="27.29"/>
    <n v="5.9"/>
    <n v="1"/>
    <n v="0.16101099999999999"/>
    <m/>
  </r>
  <r>
    <s v="VIL  HT (GR 60)"/>
    <s v="HT"/>
    <x v="1"/>
    <n v="33.72"/>
    <n v="7.2"/>
    <n v="1"/>
    <n v="0.242784"/>
    <m/>
  </r>
  <r>
    <s v="VIL  HT (GR 60)"/>
    <s v="HT"/>
    <x v="1"/>
    <n v="33.72"/>
    <n v="7.5"/>
    <n v="3"/>
    <n v="0.75869999999999993"/>
    <m/>
  </r>
  <r>
    <s v="VIL  HT (GR 60)"/>
    <s v="HT"/>
    <x v="1"/>
    <n v="33.72"/>
    <n v="7.8"/>
    <n v="4"/>
    <n v="1.0520639999999999"/>
    <m/>
  </r>
  <r>
    <s v="VIL  HT (GR 60)"/>
    <s v="HT"/>
    <x v="1"/>
    <n v="33.72"/>
    <n v="10"/>
    <n v="3"/>
    <n v="1.0115999999999998"/>
    <m/>
  </r>
  <r>
    <s v="VIL  HT (GR 60)"/>
    <s v="HT"/>
    <x v="24"/>
    <n v="8.3000000000000007"/>
    <n v="5.6"/>
    <n v="1"/>
    <n v="4.6480000000000007E-2"/>
    <m/>
  </r>
  <r>
    <s v="VIL  HT (GR 60)"/>
    <s v="HT"/>
    <x v="24"/>
    <n v="8.3000000000000007"/>
    <n v="9.8000000000000007"/>
    <n v="1"/>
    <n v="8.1340000000000023E-2"/>
    <m/>
  </r>
  <r>
    <s v="VIL  HT (GR 60)"/>
    <s v="HT"/>
    <x v="24"/>
    <n v="8.3000000000000007"/>
    <n v="7"/>
    <n v="1"/>
    <n v="5.8100000000000006E-2"/>
    <m/>
  </r>
  <r>
    <s v="VIL  HT (GR 60)"/>
    <s v="HT"/>
    <x v="24"/>
    <n v="8.3000000000000007"/>
    <n v="8"/>
    <n v="1"/>
    <n v="6.6400000000000001E-2"/>
    <m/>
  </r>
  <r>
    <s v="VIL  HT (GR 60)"/>
    <s v="HT"/>
    <x v="24"/>
    <n v="8.3000000000000007"/>
    <n v="12"/>
    <n v="1"/>
    <n v="9.9600000000000008E-2"/>
    <m/>
  </r>
  <r>
    <s v="VIL  HT (GR 60)"/>
    <s v="HT"/>
    <x v="12"/>
    <n v="6.86"/>
    <n v="9"/>
    <n v="2"/>
    <n v="0.12348000000000001"/>
    <m/>
  </r>
  <r>
    <s v="VIL  HT (GR 60)"/>
    <s v="HT"/>
    <x v="12"/>
    <n v="6.86"/>
    <n v="9.5"/>
    <n v="2"/>
    <n v="0.13034000000000001"/>
    <m/>
  </r>
  <r>
    <s v="VIL  HT (GR 60)"/>
    <s v="HT"/>
    <x v="12"/>
    <n v="6.86"/>
    <n v="9.6999999999999993"/>
    <n v="5"/>
    <n v="0.33271000000000006"/>
    <m/>
  </r>
  <r>
    <s v="VIL  HT (GR 60)"/>
    <s v="HT"/>
    <x v="17"/>
    <n v="9.61"/>
    <n v="8.5"/>
    <n v="1"/>
    <n v="8.1685000000000008E-2"/>
    <m/>
  </r>
  <r>
    <s v="VIL  HT (GR 60)"/>
    <s v="HT"/>
    <x v="17"/>
    <n v="9.61"/>
    <n v="10"/>
    <n v="1"/>
    <n v="9.6099999999999991E-2"/>
    <m/>
  </r>
  <r>
    <s v="VIL  HT (GR 60)"/>
    <s v="HT"/>
    <x v="17"/>
    <n v="9.61"/>
    <n v="12"/>
    <n v="1"/>
    <n v="0.11531999999999999"/>
    <m/>
  </r>
  <r>
    <s v="VIL  HT (GR 60)"/>
    <s v="HT"/>
    <x v="4"/>
    <n v="25.2"/>
    <n v="6.1"/>
    <n v="1"/>
    <n v="0.15372"/>
    <m/>
  </r>
  <r>
    <s v="VIL  HT (GR 60)"/>
    <s v="HT"/>
    <x v="4"/>
    <n v="25.2"/>
    <n v="10"/>
    <n v="1"/>
    <n v="0.252"/>
    <m/>
  </r>
  <r>
    <s v="VIL  HT (GR 60)"/>
    <s v="HT"/>
    <x v="4"/>
    <n v="25.2"/>
    <n v="11.2"/>
    <n v="1"/>
    <n v="0.28223999999999994"/>
    <m/>
  </r>
  <r>
    <s v="VIL  HT (GR 60)"/>
    <s v="HT"/>
    <x v="4"/>
    <n v="25.2"/>
    <n v="12.2"/>
    <n v="1"/>
    <n v="0.30743999999999999"/>
    <m/>
  </r>
  <r>
    <s v="VIL  HT (GR 60)"/>
    <s v="HT"/>
    <x v="9"/>
    <n v="23"/>
    <n v="5.5"/>
    <n v="1"/>
    <n v="0.1265"/>
    <m/>
  </r>
  <r>
    <s v="VIL  HT (GR 60)"/>
    <s v="HT"/>
    <x v="9"/>
    <n v="23"/>
    <n v="5.9"/>
    <n v="2"/>
    <n v="0.27140000000000003"/>
    <m/>
  </r>
  <r>
    <s v="VIL  HT (GR 60)"/>
    <s v="HT"/>
    <x v="9"/>
    <n v="23"/>
    <n v="6.1"/>
    <n v="1"/>
    <n v="0.14029999999999998"/>
    <m/>
  </r>
  <r>
    <s v="VIL  HT (GR 60)"/>
    <s v="HT"/>
    <x v="9"/>
    <n v="23"/>
    <n v="11.25"/>
    <n v="1"/>
    <n v="0.25874999999999998"/>
    <m/>
  </r>
  <r>
    <s v="VIL  HT (GR 60)"/>
    <s v="HT"/>
    <x v="5"/>
    <n v="35.9"/>
    <n v="7.1"/>
    <n v="1"/>
    <n v="0.25489000000000001"/>
    <m/>
  </r>
  <r>
    <s v="VIL  HT (GR 60)"/>
    <s v="HT"/>
    <x v="5"/>
    <n v="35.9"/>
    <n v="7.45"/>
    <n v="4"/>
    <n v="1.06982"/>
    <m/>
  </r>
  <r>
    <s v="VIL  HT (GR 60)"/>
    <s v="HT"/>
    <x v="8"/>
    <n v="18.2"/>
    <n v="10.6"/>
    <n v="1"/>
    <n v="0.19291999999999998"/>
    <s v="Allocated for Dubai"/>
  </r>
  <r>
    <s v="VIL  HT (GR 60)"/>
    <s v="HT"/>
    <x v="8"/>
    <n v="18.2"/>
    <n v="10.4"/>
    <n v="1"/>
    <n v="0.18928"/>
    <s v="Allocated for Dubai"/>
  </r>
  <r>
    <s v="VIL  HT (GR 60)"/>
    <s v="HT"/>
    <x v="8"/>
    <n v="18.2"/>
    <n v="9.4"/>
    <n v="1"/>
    <n v="0.17108000000000001"/>
    <m/>
  </r>
  <r>
    <s v="VIL  HT (GR 60)"/>
    <s v="HT"/>
    <x v="6"/>
    <n v="16.5"/>
    <n v="9.1"/>
    <n v="6"/>
    <n v="0.90090000000000015"/>
    <m/>
  </r>
  <r>
    <s v="VIL  HT (GR 60)"/>
    <s v="HT"/>
    <x v="6"/>
    <n v="16.5"/>
    <n v="11.2"/>
    <n v="1"/>
    <n v="0.18479999999999999"/>
    <m/>
  </r>
  <r>
    <s v="VIL  HT (GR 60)"/>
    <s v="HT"/>
    <x v="6"/>
    <n v="16.5"/>
    <n v="7.9"/>
    <n v="2"/>
    <n v="0.26069999999999999"/>
    <m/>
  </r>
  <r>
    <s v="VIL  HT (GR 60)"/>
    <s v="HT"/>
    <x v="18"/>
    <n v="14.7"/>
    <n v="11.3"/>
    <n v="9"/>
    <n v="1.4949900000000003"/>
    <s v="Allocated for Dubai"/>
  </r>
  <r>
    <s v="VIL  HT (GR 60)"/>
    <s v="HT"/>
    <x v="18"/>
    <n v="14.7"/>
    <n v="11.7"/>
    <n v="4"/>
    <n v="0.6879599999999999"/>
    <s v="Allocated for Dubai"/>
  </r>
  <r>
    <s v="VIL  HT (GR 60)"/>
    <s v="HT"/>
    <x v="18"/>
    <n v="14.7"/>
    <n v="8"/>
    <n v="1"/>
    <n v="0.1176"/>
    <s v="Allocated for Dubai"/>
  </r>
  <r>
    <s v="VIL  HT (GR 60)"/>
    <s v="HT"/>
    <x v="18"/>
    <n v="14.7"/>
    <n v="9.4"/>
    <n v="1"/>
    <n v="0.13818"/>
    <s v="Allocated for Dubai"/>
  </r>
  <r>
    <s v="VIL  HT (GR 60)"/>
    <s v="HT"/>
    <x v="18"/>
    <n v="14.7"/>
    <n v="7"/>
    <n v="1"/>
    <n v="0.10289999999999999"/>
    <s v="Allocated for Dubai"/>
  </r>
  <r>
    <s v="VIL  HT (GR 60)"/>
    <s v="HT"/>
    <x v="22"/>
    <n v="21.7"/>
    <n v="6.3"/>
    <n v="18"/>
    <n v="2.4607799999999997"/>
    <m/>
  </r>
  <r>
    <s v="VIL  HT (GR 60)"/>
    <s v="HT"/>
    <x v="22"/>
    <n v="21.7"/>
    <n v="8.4"/>
    <n v="24"/>
    <n v="4.3747199999999999"/>
    <m/>
  </r>
  <r>
    <s v="VIL  HT (GR 60)"/>
    <s v="HT"/>
    <x v="22"/>
    <n v="21.7"/>
    <n v="9.1"/>
    <n v="2"/>
    <n v="0.39494000000000001"/>
    <m/>
  </r>
  <r>
    <s v="VIL  HT (GR 60)"/>
    <s v="HT"/>
    <x v="22"/>
    <n v="21.7"/>
    <n v="10.1"/>
    <n v="10"/>
    <n v="2.1917"/>
    <m/>
  </r>
  <r>
    <s v="VIL  HT (GR 60)"/>
    <s v="HT"/>
    <x v="22"/>
    <n v="21.7"/>
    <n v="6"/>
    <n v="1"/>
    <n v="0.13019999999999998"/>
    <m/>
  </r>
  <r>
    <s v="VIL  HT (GR 60)"/>
    <s v="HT"/>
    <x v="22"/>
    <n v="21.7"/>
    <n v="7.5"/>
    <n v="1"/>
    <n v="0.16275000000000001"/>
    <m/>
  </r>
  <r>
    <s v="VIL  HT (GR 60)"/>
    <s v="HT"/>
    <x v="22"/>
    <n v="21.7"/>
    <n v="7.9"/>
    <n v="2"/>
    <n v="0.34286"/>
    <m/>
  </r>
  <r>
    <s v="VIL  HT (GR 60)"/>
    <s v="HT"/>
    <x v="22"/>
    <n v="21.7"/>
    <n v="8.4"/>
    <n v="1"/>
    <n v="0.18228"/>
    <m/>
  </r>
  <r>
    <s v="VIL  HT (GR 60)"/>
    <s v="HT"/>
    <x v="22"/>
    <n v="21.7"/>
    <n v="11.5"/>
    <n v="1"/>
    <n v="0.24954999999999999"/>
    <m/>
  </r>
  <r>
    <s v="VIL  HT (GR 60)"/>
    <s v="HT"/>
    <x v="22"/>
    <n v="21.7"/>
    <n v="11"/>
    <n v="3"/>
    <n v="0.71609999999999996"/>
    <m/>
  </r>
  <r>
    <s v="VIL  HT (GR 60)"/>
    <s v="HT"/>
    <x v="22"/>
    <n v="21.7"/>
    <n v="9.6999999999999993"/>
    <n v="3"/>
    <n v="0.63146999999999986"/>
    <m/>
  </r>
  <r>
    <s v="VIL  HT (GR 60)"/>
    <s v="HT"/>
    <x v="22"/>
    <n v="21.7"/>
    <n v="8.6"/>
    <n v="1"/>
    <n v="0.18661999999999998"/>
    <m/>
  </r>
  <r>
    <s v="VIL  HT (GR 60)"/>
    <s v="HT"/>
    <x v="22"/>
    <n v="21.7"/>
    <n v="7.7"/>
    <n v="2"/>
    <n v="0.33418000000000003"/>
    <m/>
  </r>
  <r>
    <s v="VIL  HT (GR 60)"/>
    <s v="HT"/>
    <x v="22"/>
    <n v="21.7"/>
    <n v="7.8"/>
    <n v="1"/>
    <n v="0.16925999999999999"/>
    <m/>
  </r>
  <r>
    <s v="VIL  HT (GR 60)"/>
    <s v="HT"/>
    <x v="22"/>
    <n v="21.7"/>
    <n v="6.3"/>
    <n v="2"/>
    <n v="0.27341999999999994"/>
    <m/>
  </r>
  <r>
    <s v="VIL  HT (GR 60)"/>
    <s v="HT"/>
    <x v="3"/>
    <n v="23.6"/>
    <n v="8.6999999999999993"/>
    <n v="3"/>
    <n v="0.61596000000000006"/>
    <m/>
  </r>
  <r>
    <s v="VIL  HT (GR 60)"/>
    <s v="HT"/>
    <x v="3"/>
    <n v="23.6"/>
    <n v="8.5"/>
    <n v="1"/>
    <n v="0.20060000000000003"/>
    <m/>
  </r>
  <r>
    <s v="VIL  HT (GR 60)"/>
    <s v="HT"/>
    <x v="3"/>
    <n v="23.6"/>
    <n v="8.6"/>
    <n v="1"/>
    <n v="0.20296"/>
    <m/>
  </r>
  <r>
    <s v="VIL  HT (GR 60)"/>
    <s v="HT"/>
    <x v="3"/>
    <n v="23.6"/>
    <n v="7.5"/>
    <n v="1"/>
    <n v="0.17699999999999999"/>
    <m/>
  </r>
  <r>
    <s v="VIL  HT (GR 60)"/>
    <s v="HT"/>
    <x v="3"/>
    <n v="23.6"/>
    <n v="8.6999999999999993"/>
    <n v="6"/>
    <n v="1.2319200000000001"/>
    <m/>
  </r>
  <r>
    <s v="VIL  HT (GR 60)"/>
    <s v="HT"/>
    <x v="7"/>
    <n v="19.8"/>
    <n v="11.7"/>
    <n v="2"/>
    <n v="0.46332000000000001"/>
    <m/>
  </r>
  <r>
    <s v="VIL  HT (GR 60)"/>
    <s v="HT"/>
    <x v="7"/>
    <n v="19.8"/>
    <n v="6.8"/>
    <n v="1"/>
    <n v="0.13464000000000001"/>
    <m/>
  </r>
  <r>
    <s v="VIL  HT (GR 60)"/>
    <s v="HT"/>
    <x v="7"/>
    <n v="19.8"/>
    <n v="11.7"/>
    <n v="2"/>
    <n v="0.46332000000000001"/>
    <m/>
  </r>
  <r>
    <s v="VIL  HT (GR 60)"/>
    <s v="HT"/>
    <x v="7"/>
    <n v="19.8"/>
    <n v="8.1"/>
    <n v="2"/>
    <n v="0.32075999999999999"/>
    <m/>
  </r>
  <r>
    <s v="VIL  HT (GR 60)"/>
    <s v="HT"/>
    <x v="7"/>
    <n v="19.8"/>
    <n v="6.5"/>
    <n v="1"/>
    <n v="0.12870000000000001"/>
    <m/>
  </r>
  <r>
    <s v="VIL  HT (GR 60)"/>
    <s v="HT"/>
    <x v="7"/>
    <n v="19.8"/>
    <n v="11.5"/>
    <n v="1"/>
    <n v="0.22770000000000001"/>
    <m/>
  </r>
  <r>
    <s v="VIL  HT (GR 60)"/>
    <s v="HT"/>
    <x v="0"/>
    <n v="17.899999999999999"/>
    <n v="7.7"/>
    <n v="1"/>
    <n v="0.13782999999999998"/>
    <m/>
  </r>
  <r>
    <s v="VIL  HT (GR 60)"/>
    <s v="HT"/>
    <x v="0"/>
    <n v="17.899999999999999"/>
    <n v="7.25"/>
    <n v="1"/>
    <n v="0.12977499999999997"/>
    <m/>
  </r>
  <r>
    <s v="VIL  HT (GR 60)"/>
    <s v="HT"/>
    <x v="0"/>
    <n v="17.899999999999999"/>
    <n v="10.7"/>
    <n v="1"/>
    <n v="0.19152999999999998"/>
    <m/>
  </r>
  <r>
    <s v="VIL  HT (GR 60)"/>
    <s v="HT"/>
    <x v="0"/>
    <n v="17.899999999999999"/>
    <n v="9.6999999999999993"/>
    <n v="4"/>
    <n v="0.69451999999999992"/>
    <m/>
  </r>
  <r>
    <s v="VIL  HT (GR 60)"/>
    <s v="HT"/>
    <x v="0"/>
    <n v="17.899999999999999"/>
    <n v="11.5"/>
    <n v="1"/>
    <n v="0.20585000000000001"/>
    <m/>
  </r>
  <r>
    <s v="VIL  HT (GR 60)"/>
    <s v="HT"/>
    <x v="0"/>
    <n v="17.899999999999999"/>
    <n v="11.1"/>
    <n v="1"/>
    <n v="0.19868999999999998"/>
    <m/>
  </r>
  <r>
    <s v="VIL  HT (GR 60)"/>
    <s v="HT"/>
    <x v="0"/>
    <n v="17.899999999999999"/>
    <n v="8.9"/>
    <n v="1"/>
    <n v="0.15931000000000001"/>
    <m/>
  </r>
  <r>
    <s v="VIL  HT (GR 60)"/>
    <s v="HT"/>
    <x v="0"/>
    <n v="17.899999999999999"/>
    <n v="7"/>
    <n v="1"/>
    <n v="0.12529999999999999"/>
    <m/>
  </r>
  <r>
    <s v="VIL  HT (GR 60)"/>
    <s v="HT"/>
    <x v="0"/>
    <n v="17.899999999999999"/>
    <n v="9.6999999999999993"/>
    <n v="1"/>
    <n v="0.17362999999999998"/>
    <m/>
  </r>
  <r>
    <s v="VIL  HT (GR 60)"/>
    <s v="HT"/>
    <x v="25"/>
    <n v="16"/>
    <n v="10.5"/>
    <n v="1"/>
    <n v="0.16800000000000001"/>
    <m/>
  </r>
  <r>
    <s v="VIL  HT (GR 60)"/>
    <s v="HT"/>
    <x v="25"/>
    <n v="16"/>
    <n v="10"/>
    <n v="2"/>
    <n v="0.32"/>
    <m/>
  </r>
  <r>
    <s v="VIL  HT (GR 60)"/>
    <s v="HT"/>
    <x v="25"/>
    <n v="16"/>
    <n v="11.8"/>
    <n v="3"/>
    <n v="0.56640000000000013"/>
    <m/>
  </r>
  <r>
    <s v="VIL  HT (GR 60)"/>
    <s v="HT"/>
    <x v="25"/>
    <n v="16"/>
    <n v="11"/>
    <n v="3"/>
    <n v="0.5280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5" firstHeaderRow="1" firstDataRow="1" firstDataCol="1"/>
  <pivotFields count="11">
    <pivotField showAll="0"/>
    <pivotField axis="axisRow" showAll="0">
      <items count="22">
        <item x="3"/>
        <item x="2"/>
        <item x="6"/>
        <item x="1"/>
        <item x="16"/>
        <item x="18"/>
        <item x="20"/>
        <item x="15"/>
        <item x="17"/>
        <item x="13"/>
        <item x="19"/>
        <item x="0"/>
        <item x="7"/>
        <item x="8"/>
        <item x="4"/>
        <item x="5"/>
        <item x="11"/>
        <item x="10"/>
        <item x="14"/>
        <item x="12"/>
        <item x="9"/>
        <item t="default"/>
      </items>
    </pivotField>
    <pivotField numFmtId="2" showAll="0"/>
    <pivotField showAll="0"/>
    <pivotField showAll="0"/>
    <pivotField numFmtId="165" showAll="0"/>
    <pivotField showAll="0"/>
    <pivotField showAll="0"/>
    <pivotField numFmtId="165" showAll="0"/>
    <pivotField numFmtId="1" showAll="0"/>
    <pivotField dataField="1" numFmtId="2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QTY.3" fld="10" baseField="0" baseItem="0" numFmtId="165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30" firstHeaderRow="1" firstDataRow="1" firstDataCol="1"/>
  <pivotFields count="8">
    <pivotField showAll="0"/>
    <pivotField showAll="0"/>
    <pivotField axis="axisRow" showAll="0">
      <items count="27">
        <item x="15"/>
        <item x="16"/>
        <item x="20"/>
        <item x="14"/>
        <item x="8"/>
        <item x="19"/>
        <item x="18"/>
        <item x="6"/>
        <item x="7"/>
        <item x="22"/>
        <item x="3"/>
        <item x="25"/>
        <item x="0"/>
        <item x="9"/>
        <item x="4"/>
        <item x="2"/>
        <item x="21"/>
        <item x="13"/>
        <item x="1"/>
        <item x="5"/>
        <item x="11"/>
        <item x="12"/>
        <item x="10"/>
        <item x="23"/>
        <item x="24"/>
        <item x="17"/>
        <item t="default"/>
      </items>
    </pivotField>
    <pivotField numFmtId="2" showAll="0"/>
    <pivotField showAll="0"/>
    <pivotField numFmtId="1" showAll="0"/>
    <pivotField dataField="1" numFmtId="165"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Qty(mt)" fld="6" baseField="0" baseItem="0" numFmtId="165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2679"/>
  <sheetViews>
    <sheetView tabSelected="1" workbookViewId="0">
      <pane ySplit="3" topLeftCell="A4" activePane="bottomLeft" state="frozen"/>
      <selection pane="bottomLeft" activeCell="K846" sqref="K846"/>
    </sheetView>
  </sheetViews>
  <sheetFormatPr defaultRowHeight="14.4"/>
  <cols>
    <col min="1" max="1" width="12.5546875" bestFit="1" customWidth="1"/>
    <col min="2" max="2" width="18.33203125" bestFit="1" customWidth="1"/>
    <col min="3" max="3" width="10.5546875" bestFit="1" customWidth="1"/>
    <col min="4" max="4" width="16.6640625" hidden="1" customWidth="1"/>
    <col min="5" max="5" width="20.88671875" customWidth="1"/>
    <col min="6" max="6" width="4.6640625" bestFit="1" customWidth="1"/>
    <col min="7" max="7" width="13.5546875" bestFit="1" customWidth="1"/>
    <col min="8" max="8" width="9" customWidth="1"/>
    <col min="9" max="9" width="10" customWidth="1"/>
    <col min="10" max="10" width="6" style="27" bestFit="1" customWidth="1"/>
    <col min="11" max="11" width="8.5546875" bestFit="1" customWidth="1"/>
    <col min="12" max="12" width="21.88671875" hidden="1" customWidth="1"/>
    <col min="13" max="13" width="6" bestFit="1" customWidth="1"/>
    <col min="14" max="14" width="8.5546875" bestFit="1" customWidth="1"/>
    <col min="15" max="15" width="5.109375" customWidth="1"/>
    <col min="16" max="16" width="7.5546875" bestFit="1" customWidth="1"/>
    <col min="17" max="17" width="14.88671875" customWidth="1"/>
    <col min="18" max="18" width="5" bestFit="1" customWidth="1"/>
    <col min="19" max="19" width="22.109375" customWidth="1"/>
    <col min="20" max="20" width="6.33203125" customWidth="1"/>
    <col min="21" max="21" width="8.44140625" customWidth="1"/>
    <col min="22" max="22" width="12.44140625" customWidth="1"/>
  </cols>
  <sheetData>
    <row r="2" spans="1:20">
      <c r="J2" s="6">
        <f>SUBTOTAL(9,J4:J2684)</f>
        <v>14580</v>
      </c>
      <c r="K2" s="5">
        <f>SUBTOTAL(9,K4:K2684)</f>
        <v>1460.8275220000014</v>
      </c>
      <c r="M2" s="6">
        <f>SUBTOTAL(9,M4:M2684)</f>
        <v>13523</v>
      </c>
      <c r="N2" s="5">
        <f>SUBTOTAL(9,N4:N2684)</f>
        <v>1349.3427719000017</v>
      </c>
      <c r="O2" s="6">
        <f>SUBTOTAL(9,O4:O2684)</f>
        <v>1056</v>
      </c>
      <c r="P2" s="5">
        <f>SUBTOTAL(9,P4:P2684)</f>
        <v>111.26355010000007</v>
      </c>
      <c r="Q2" s="15"/>
      <c r="R2" s="6">
        <f>SUBTOTAL(9,R4:R2684)</f>
        <v>3475</v>
      </c>
    </row>
    <row r="3" spans="1:20" ht="27.6">
      <c r="A3" s="14" t="s">
        <v>12</v>
      </c>
      <c r="B3" s="15" t="s">
        <v>0</v>
      </c>
      <c r="C3" s="15" t="s">
        <v>67</v>
      </c>
      <c r="D3" s="15" t="s">
        <v>13</v>
      </c>
      <c r="E3" s="16" t="s">
        <v>1</v>
      </c>
      <c r="F3" s="15" t="s">
        <v>2</v>
      </c>
      <c r="G3" s="15" t="s">
        <v>3</v>
      </c>
      <c r="H3" s="15" t="s">
        <v>10</v>
      </c>
      <c r="I3" s="15" t="s">
        <v>4</v>
      </c>
      <c r="J3" s="25" t="s">
        <v>5</v>
      </c>
      <c r="K3" s="15" t="s">
        <v>6</v>
      </c>
      <c r="L3" s="15" t="s">
        <v>7</v>
      </c>
      <c r="M3" s="15" t="s">
        <v>5</v>
      </c>
      <c r="N3" s="15" t="s">
        <v>6</v>
      </c>
      <c r="O3" s="15" t="s">
        <v>5</v>
      </c>
      <c r="P3" s="15" t="s">
        <v>6</v>
      </c>
      <c r="Q3" s="15" t="s">
        <v>8</v>
      </c>
      <c r="R3" s="15" t="s">
        <v>9</v>
      </c>
      <c r="S3" s="15" t="s">
        <v>11</v>
      </c>
    </row>
    <row r="4" spans="1:20">
      <c r="A4" s="42" t="s">
        <v>77</v>
      </c>
      <c r="B4" s="3" t="s">
        <v>68</v>
      </c>
      <c r="C4" s="3">
        <v>11</v>
      </c>
      <c r="D4" s="1"/>
      <c r="E4" s="20" t="s">
        <v>24</v>
      </c>
      <c r="F4" s="7" t="s">
        <v>14</v>
      </c>
      <c r="G4" s="7" t="s">
        <v>28</v>
      </c>
      <c r="H4" s="11">
        <v>12.18</v>
      </c>
      <c r="I4" s="8">
        <v>5.5</v>
      </c>
      <c r="J4" s="26">
        <v>1</v>
      </c>
      <c r="K4" s="10">
        <f>(H4*I4*J4/1000)</f>
        <v>6.6989999999999994E-2</v>
      </c>
      <c r="L4" s="4"/>
      <c r="M4" s="17"/>
      <c r="N4" s="18">
        <f>I4*M4*H4/1000</f>
        <v>0</v>
      </c>
      <c r="O4" s="19">
        <f>J4-M4</f>
        <v>1</v>
      </c>
      <c r="P4" s="13">
        <f>I4*O4*H4/1000</f>
        <v>6.6989999999999994E-2</v>
      </c>
      <c r="Q4" s="9"/>
      <c r="R4" s="2"/>
      <c r="S4" s="2"/>
    </row>
    <row r="5" spans="1:20">
      <c r="A5" s="42" t="s">
        <v>77</v>
      </c>
      <c r="B5" s="3" t="s">
        <v>68</v>
      </c>
      <c r="C5" s="3">
        <v>11</v>
      </c>
      <c r="D5" s="1"/>
      <c r="E5" s="20" t="s">
        <v>24</v>
      </c>
      <c r="F5" s="7" t="s">
        <v>14</v>
      </c>
      <c r="G5" s="7" t="s">
        <v>28</v>
      </c>
      <c r="H5" s="11">
        <v>12.18</v>
      </c>
      <c r="I5" s="8">
        <v>6</v>
      </c>
      <c r="J5" s="26">
        <v>1</v>
      </c>
      <c r="K5" s="10">
        <f t="shared" ref="K5:K54" si="0">(H5*I5*J5/1000)</f>
        <v>7.3079999999999992E-2</v>
      </c>
      <c r="L5" s="4"/>
      <c r="M5" s="17"/>
      <c r="N5" s="18">
        <f t="shared" ref="N5:N54" si="1">I5*M5*H5/1000</f>
        <v>0</v>
      </c>
      <c r="O5" s="19">
        <f t="shared" ref="O5:O54" si="2">J5-M5</f>
        <v>1</v>
      </c>
      <c r="P5" s="13">
        <f t="shared" ref="P5:P54" si="3">I5*O5*H5/1000</f>
        <v>7.3079999999999992E-2</v>
      </c>
      <c r="Q5" s="9"/>
      <c r="R5" s="2"/>
      <c r="S5" s="2"/>
    </row>
    <row r="6" spans="1:20">
      <c r="A6" s="42" t="s">
        <v>77</v>
      </c>
      <c r="B6" s="3" t="s">
        <v>68</v>
      </c>
      <c r="C6" s="3">
        <v>11</v>
      </c>
      <c r="D6" s="1"/>
      <c r="E6" s="20" t="s">
        <v>24</v>
      </c>
      <c r="F6" s="7" t="s">
        <v>14</v>
      </c>
      <c r="G6" s="7" t="s">
        <v>28</v>
      </c>
      <c r="H6" s="11">
        <v>12.18</v>
      </c>
      <c r="I6" s="8">
        <v>6.3</v>
      </c>
      <c r="J6" s="26">
        <v>2</v>
      </c>
      <c r="K6" s="10">
        <f t="shared" si="0"/>
        <v>0.15346799999999999</v>
      </c>
      <c r="L6" s="4"/>
      <c r="M6" s="17"/>
      <c r="N6" s="18">
        <f t="shared" si="1"/>
        <v>0</v>
      </c>
      <c r="O6" s="19">
        <f t="shared" si="2"/>
        <v>2</v>
      </c>
      <c r="P6" s="13">
        <f t="shared" si="3"/>
        <v>0.15346799999999999</v>
      </c>
      <c r="Q6" s="9"/>
      <c r="R6" s="2"/>
      <c r="S6" s="2"/>
    </row>
    <row r="7" spans="1:20">
      <c r="A7" s="42" t="s">
        <v>77</v>
      </c>
      <c r="B7" s="3" t="s">
        <v>68</v>
      </c>
      <c r="C7" s="3">
        <v>11</v>
      </c>
      <c r="D7" s="1"/>
      <c r="E7" s="20" t="s">
        <v>24</v>
      </c>
      <c r="F7" s="7" t="s">
        <v>14</v>
      </c>
      <c r="G7" s="7" t="s">
        <v>28</v>
      </c>
      <c r="H7" s="11">
        <v>12.18</v>
      </c>
      <c r="I7" s="8">
        <v>6.4</v>
      </c>
      <c r="J7" s="26">
        <v>1</v>
      </c>
      <c r="K7" s="10">
        <f t="shared" si="0"/>
        <v>7.7951999999999994E-2</v>
      </c>
      <c r="L7" s="4"/>
      <c r="M7" s="17"/>
      <c r="N7" s="18">
        <f t="shared" si="1"/>
        <v>0</v>
      </c>
      <c r="O7" s="19">
        <f t="shared" si="2"/>
        <v>1</v>
      </c>
      <c r="P7" s="13">
        <f t="shared" si="3"/>
        <v>7.7951999999999994E-2</v>
      </c>
      <c r="Q7" s="9"/>
      <c r="R7" s="2"/>
      <c r="S7" s="2"/>
    </row>
    <row r="8" spans="1:20">
      <c r="A8" s="42" t="s">
        <v>77</v>
      </c>
      <c r="B8" s="3" t="s">
        <v>68</v>
      </c>
      <c r="C8" s="3">
        <v>23</v>
      </c>
      <c r="D8" s="1"/>
      <c r="E8" s="20" t="s">
        <v>17</v>
      </c>
      <c r="F8" s="7" t="s">
        <v>15</v>
      </c>
      <c r="G8" s="7" t="s">
        <v>34</v>
      </c>
      <c r="H8" s="11">
        <v>9.61</v>
      </c>
      <c r="I8" s="8">
        <v>12</v>
      </c>
      <c r="J8" s="26">
        <v>3</v>
      </c>
      <c r="K8" s="10">
        <f t="shared" si="0"/>
        <v>0.34595999999999999</v>
      </c>
      <c r="L8" s="4"/>
      <c r="M8" s="17">
        <f>1+2</f>
        <v>3</v>
      </c>
      <c r="N8" s="18">
        <f t="shared" si="1"/>
        <v>0.34595999999999999</v>
      </c>
      <c r="O8" s="19">
        <f t="shared" si="2"/>
        <v>0</v>
      </c>
      <c r="P8" s="13">
        <f t="shared" si="3"/>
        <v>0</v>
      </c>
      <c r="Q8" s="9">
        <v>8.75</v>
      </c>
      <c r="R8" s="2">
        <v>1</v>
      </c>
      <c r="S8" s="2"/>
    </row>
    <row r="9" spans="1:20">
      <c r="A9" s="42" t="s">
        <v>77</v>
      </c>
      <c r="B9" s="3" t="s">
        <v>68</v>
      </c>
      <c r="C9" s="3">
        <v>23</v>
      </c>
      <c r="D9" s="1"/>
      <c r="E9" s="20" t="s">
        <v>17</v>
      </c>
      <c r="F9" s="7" t="s">
        <v>15</v>
      </c>
      <c r="G9" s="7" t="s">
        <v>34</v>
      </c>
      <c r="H9" s="11">
        <v>9.61</v>
      </c>
      <c r="I9" s="8">
        <v>9.85</v>
      </c>
      <c r="J9" s="26">
        <v>1</v>
      </c>
      <c r="K9" s="10">
        <f t="shared" si="0"/>
        <v>9.4658499999999993E-2</v>
      </c>
      <c r="L9" s="4"/>
      <c r="M9" s="17">
        <v>1</v>
      </c>
      <c r="N9" s="18">
        <f t="shared" si="1"/>
        <v>9.4658499999999993E-2</v>
      </c>
      <c r="O9" s="19">
        <f t="shared" si="2"/>
        <v>0</v>
      </c>
      <c r="P9" s="13">
        <f t="shared" si="3"/>
        <v>0</v>
      </c>
      <c r="Q9" s="9"/>
      <c r="R9" s="2"/>
      <c r="S9" s="2"/>
    </row>
    <row r="10" spans="1:20">
      <c r="A10" s="42" t="s">
        <v>77</v>
      </c>
      <c r="B10" s="3" t="s">
        <v>68</v>
      </c>
      <c r="C10" s="3">
        <v>23</v>
      </c>
      <c r="D10" s="1"/>
      <c r="E10" s="20" t="s">
        <v>17</v>
      </c>
      <c r="F10" s="7" t="s">
        <v>15</v>
      </c>
      <c r="G10" s="7" t="s">
        <v>34</v>
      </c>
      <c r="H10" s="11">
        <v>9.61</v>
      </c>
      <c r="I10" s="8">
        <v>6.25</v>
      </c>
      <c r="J10" s="26">
        <v>8</v>
      </c>
      <c r="K10" s="10">
        <f t="shared" si="0"/>
        <v>0.48049999999999998</v>
      </c>
      <c r="L10" s="4"/>
      <c r="M10" s="17">
        <v>8</v>
      </c>
      <c r="N10" s="18">
        <f t="shared" si="1"/>
        <v>0.48049999999999998</v>
      </c>
      <c r="O10" s="19">
        <f t="shared" si="2"/>
        <v>0</v>
      </c>
      <c r="P10" s="13">
        <f t="shared" si="3"/>
        <v>0</v>
      </c>
      <c r="Q10" s="9"/>
      <c r="R10" s="35">
        <v>8</v>
      </c>
      <c r="S10" s="2" t="s">
        <v>721</v>
      </c>
      <c r="T10" s="213"/>
    </row>
    <row r="11" spans="1:20">
      <c r="A11" s="42" t="s">
        <v>77</v>
      </c>
      <c r="B11" s="3" t="s">
        <v>68</v>
      </c>
      <c r="C11" s="3">
        <v>30</v>
      </c>
      <c r="D11" s="1"/>
      <c r="E11" s="20" t="s">
        <v>24</v>
      </c>
      <c r="F11" s="7" t="s">
        <v>14</v>
      </c>
      <c r="G11" s="7" t="s">
        <v>16</v>
      </c>
      <c r="H11" s="11">
        <v>5.77</v>
      </c>
      <c r="I11" s="8">
        <v>7</v>
      </c>
      <c r="J11" s="26">
        <v>2</v>
      </c>
      <c r="K11" s="10">
        <f t="shared" si="0"/>
        <v>8.0780000000000005E-2</v>
      </c>
      <c r="L11" s="4"/>
      <c r="M11" s="17">
        <v>2</v>
      </c>
      <c r="N11" s="18">
        <f t="shared" si="1"/>
        <v>8.0780000000000005E-2</v>
      </c>
      <c r="O11" s="19">
        <f t="shared" si="2"/>
        <v>0</v>
      </c>
      <c r="P11" s="13">
        <f t="shared" si="3"/>
        <v>0</v>
      </c>
      <c r="Q11" s="9"/>
      <c r="R11" s="2">
        <v>2</v>
      </c>
      <c r="S11" s="2" t="s">
        <v>351</v>
      </c>
    </row>
    <row r="12" spans="1:20">
      <c r="A12" s="42" t="s">
        <v>77</v>
      </c>
      <c r="B12" s="3" t="s">
        <v>68</v>
      </c>
      <c r="C12" s="3">
        <v>30</v>
      </c>
      <c r="D12" s="1"/>
      <c r="E12" s="20" t="s">
        <v>24</v>
      </c>
      <c r="F12" s="7" t="s">
        <v>14</v>
      </c>
      <c r="G12" s="7" t="s">
        <v>16</v>
      </c>
      <c r="H12" s="11">
        <v>5.77</v>
      </c>
      <c r="I12" s="8">
        <v>8</v>
      </c>
      <c r="J12" s="26">
        <v>1</v>
      </c>
      <c r="K12" s="10">
        <f t="shared" si="0"/>
        <v>4.616E-2</v>
      </c>
      <c r="L12" s="4"/>
      <c r="M12" s="17">
        <v>1</v>
      </c>
      <c r="N12" s="18">
        <f t="shared" si="1"/>
        <v>4.616E-2</v>
      </c>
      <c r="O12" s="19">
        <f t="shared" si="2"/>
        <v>0</v>
      </c>
      <c r="P12" s="13">
        <f t="shared" si="3"/>
        <v>0</v>
      </c>
      <c r="Q12" s="9"/>
      <c r="R12" s="2">
        <v>1</v>
      </c>
      <c r="S12" s="2" t="s">
        <v>351</v>
      </c>
    </row>
    <row r="13" spans="1:20">
      <c r="A13" s="42" t="s">
        <v>77</v>
      </c>
      <c r="B13" s="3" t="s">
        <v>68</v>
      </c>
      <c r="C13" s="3">
        <v>30</v>
      </c>
      <c r="D13" s="1"/>
      <c r="E13" s="20" t="s">
        <v>24</v>
      </c>
      <c r="F13" s="7" t="s">
        <v>14</v>
      </c>
      <c r="G13" s="7" t="s">
        <v>16</v>
      </c>
      <c r="H13" s="11">
        <v>5.77</v>
      </c>
      <c r="I13" s="8">
        <v>8.5</v>
      </c>
      <c r="J13" s="26">
        <v>1</v>
      </c>
      <c r="K13" s="10">
        <f t="shared" si="0"/>
        <v>4.9044999999999991E-2</v>
      </c>
      <c r="L13" s="4"/>
      <c r="M13" s="17">
        <v>1</v>
      </c>
      <c r="N13" s="18">
        <f t="shared" si="1"/>
        <v>4.9044999999999991E-2</v>
      </c>
      <c r="O13" s="19">
        <f t="shared" si="2"/>
        <v>0</v>
      </c>
      <c r="P13" s="13">
        <f t="shared" si="3"/>
        <v>0</v>
      </c>
      <c r="Q13" s="9"/>
      <c r="R13" s="2">
        <v>1</v>
      </c>
      <c r="S13" s="2" t="s">
        <v>351</v>
      </c>
    </row>
    <row r="14" spans="1:20">
      <c r="A14" s="42" t="s">
        <v>77</v>
      </c>
      <c r="B14" s="3" t="s">
        <v>68</v>
      </c>
      <c r="C14" s="3">
        <v>30</v>
      </c>
      <c r="D14" s="1"/>
      <c r="E14" s="20" t="s">
        <v>24</v>
      </c>
      <c r="F14" s="7" t="s">
        <v>14</v>
      </c>
      <c r="G14" s="7" t="s">
        <v>16</v>
      </c>
      <c r="H14" s="11">
        <v>5.77</v>
      </c>
      <c r="I14" s="8">
        <v>8.9</v>
      </c>
      <c r="J14" s="26">
        <v>1</v>
      </c>
      <c r="K14" s="10">
        <f t="shared" si="0"/>
        <v>5.1353000000000003E-2</v>
      </c>
      <c r="L14" s="4"/>
      <c r="M14" s="17">
        <v>1</v>
      </c>
      <c r="N14" s="18">
        <f t="shared" si="1"/>
        <v>5.1353000000000003E-2</v>
      </c>
      <c r="O14" s="19">
        <f t="shared" si="2"/>
        <v>0</v>
      </c>
      <c r="P14" s="13">
        <f t="shared" si="3"/>
        <v>0</v>
      </c>
      <c r="Q14" s="9"/>
      <c r="R14" s="2">
        <v>1</v>
      </c>
      <c r="S14" s="2" t="s">
        <v>351</v>
      </c>
    </row>
    <row r="15" spans="1:20">
      <c r="A15" s="42" t="s">
        <v>77</v>
      </c>
      <c r="B15" s="3" t="s">
        <v>68</v>
      </c>
      <c r="C15" s="3">
        <v>30</v>
      </c>
      <c r="D15" s="1"/>
      <c r="E15" s="20" t="s">
        <v>24</v>
      </c>
      <c r="F15" s="7" t="s">
        <v>14</v>
      </c>
      <c r="G15" s="7" t="s">
        <v>16</v>
      </c>
      <c r="H15" s="11">
        <v>5.77</v>
      </c>
      <c r="I15" s="8">
        <v>9</v>
      </c>
      <c r="J15" s="26">
        <v>3</v>
      </c>
      <c r="K15" s="10">
        <f t="shared" si="0"/>
        <v>0.15578999999999996</v>
      </c>
      <c r="L15" s="4"/>
      <c r="M15" s="17">
        <v>3</v>
      </c>
      <c r="N15" s="18">
        <f t="shared" si="1"/>
        <v>0.15578999999999998</v>
      </c>
      <c r="O15" s="19">
        <f t="shared" si="2"/>
        <v>0</v>
      </c>
      <c r="P15" s="13">
        <f t="shared" si="3"/>
        <v>0</v>
      </c>
      <c r="Q15" s="9"/>
      <c r="R15" s="2">
        <v>3</v>
      </c>
      <c r="S15" s="2" t="s">
        <v>351</v>
      </c>
    </row>
    <row r="16" spans="1:20">
      <c r="A16" s="42" t="s">
        <v>77</v>
      </c>
      <c r="B16" s="3" t="s">
        <v>68</v>
      </c>
      <c r="C16" s="3">
        <v>30</v>
      </c>
      <c r="D16" s="1"/>
      <c r="E16" s="20" t="s">
        <v>24</v>
      </c>
      <c r="F16" s="7" t="s">
        <v>14</v>
      </c>
      <c r="G16" s="7" t="s">
        <v>16</v>
      </c>
      <c r="H16" s="11">
        <v>5.77</v>
      </c>
      <c r="I16" s="8">
        <v>9.5</v>
      </c>
      <c r="J16" s="26">
        <v>4</v>
      </c>
      <c r="K16" s="10">
        <f t="shared" si="0"/>
        <v>0.21925999999999998</v>
      </c>
      <c r="L16" s="4"/>
      <c r="M16" s="17">
        <v>4</v>
      </c>
      <c r="N16" s="18">
        <f t="shared" si="1"/>
        <v>0.21925999999999998</v>
      </c>
      <c r="O16" s="19">
        <f t="shared" si="2"/>
        <v>0</v>
      </c>
      <c r="P16" s="13">
        <f t="shared" si="3"/>
        <v>0</v>
      </c>
      <c r="Q16" s="9">
        <v>9.1999999999999993</v>
      </c>
      <c r="R16" s="2">
        <v>4</v>
      </c>
      <c r="S16" s="2" t="s">
        <v>218</v>
      </c>
    </row>
    <row r="17" spans="1:23">
      <c r="A17" s="42" t="s">
        <v>77</v>
      </c>
      <c r="B17" s="3" t="s">
        <v>68</v>
      </c>
      <c r="C17" s="3">
        <v>30</v>
      </c>
      <c r="D17" s="1"/>
      <c r="E17" s="20" t="s">
        <v>24</v>
      </c>
      <c r="F17" s="7" t="s">
        <v>14</v>
      </c>
      <c r="G17" s="7" t="s">
        <v>16</v>
      </c>
      <c r="H17" s="11">
        <v>5.77</v>
      </c>
      <c r="I17" s="8">
        <v>9.6999999999999993</v>
      </c>
      <c r="J17" s="26">
        <v>8</v>
      </c>
      <c r="K17" s="10">
        <f t="shared" si="0"/>
        <v>0.44775199999999993</v>
      </c>
      <c r="L17" s="4"/>
      <c r="M17" s="17">
        <f>1+3+4</f>
        <v>8</v>
      </c>
      <c r="N17" s="18">
        <f t="shared" si="1"/>
        <v>0.44775199999999993</v>
      </c>
      <c r="O17" s="19">
        <f t="shared" si="2"/>
        <v>0</v>
      </c>
      <c r="P17" s="13">
        <f t="shared" si="3"/>
        <v>0</v>
      </c>
      <c r="Q17" s="9" t="s">
        <v>348</v>
      </c>
      <c r="R17" s="2">
        <f>1+3</f>
        <v>4</v>
      </c>
      <c r="S17" s="2" t="s">
        <v>349</v>
      </c>
      <c r="T17" s="158">
        <v>9.6999999999999993</v>
      </c>
      <c r="U17">
        <v>4</v>
      </c>
      <c r="V17" s="213" t="s">
        <v>392</v>
      </c>
    </row>
    <row r="18" spans="1:23">
      <c r="A18" s="42" t="s">
        <v>77</v>
      </c>
      <c r="B18" s="3" t="s">
        <v>68</v>
      </c>
      <c r="C18" s="3">
        <v>33</v>
      </c>
      <c r="D18" s="1"/>
      <c r="E18" s="20" t="s">
        <v>24</v>
      </c>
      <c r="F18" s="7" t="s">
        <v>14</v>
      </c>
      <c r="G18" s="7" t="s">
        <v>32</v>
      </c>
      <c r="H18" s="11">
        <v>8.3000000000000007</v>
      </c>
      <c r="I18" s="8">
        <v>6.1</v>
      </c>
      <c r="J18" s="26">
        <v>1</v>
      </c>
      <c r="K18" s="10">
        <f t="shared" si="0"/>
        <v>5.0630000000000001E-2</v>
      </c>
      <c r="L18" s="4"/>
      <c r="M18" s="17">
        <v>1</v>
      </c>
      <c r="N18" s="18">
        <f t="shared" si="1"/>
        <v>5.0630000000000001E-2</v>
      </c>
      <c r="O18" s="19">
        <f t="shared" si="2"/>
        <v>0</v>
      </c>
      <c r="P18" s="13">
        <f t="shared" si="3"/>
        <v>0</v>
      </c>
      <c r="Q18" s="9"/>
      <c r="R18" s="35">
        <v>1</v>
      </c>
      <c r="S18" s="2" t="s">
        <v>663</v>
      </c>
    </row>
    <row r="19" spans="1:23">
      <c r="A19" s="42" t="s">
        <v>77</v>
      </c>
      <c r="B19" s="3" t="s">
        <v>68</v>
      </c>
      <c r="C19" s="3">
        <v>33</v>
      </c>
      <c r="D19" s="1"/>
      <c r="E19" s="20" t="s">
        <v>24</v>
      </c>
      <c r="F19" s="7" t="s">
        <v>14</v>
      </c>
      <c r="G19" s="7" t="s">
        <v>32</v>
      </c>
      <c r="H19" s="11">
        <v>8.3000000000000007</v>
      </c>
      <c r="I19" s="8">
        <v>6.4</v>
      </c>
      <c r="J19" s="26">
        <v>2</v>
      </c>
      <c r="K19" s="10">
        <f t="shared" si="0"/>
        <v>0.10624000000000001</v>
      </c>
      <c r="L19" s="4"/>
      <c r="M19" s="17">
        <v>2</v>
      </c>
      <c r="N19" s="18">
        <f t="shared" si="1"/>
        <v>0.10624000000000001</v>
      </c>
      <c r="O19" s="19">
        <f t="shared" si="2"/>
        <v>0</v>
      </c>
      <c r="P19" s="13">
        <f t="shared" si="3"/>
        <v>0</v>
      </c>
      <c r="Q19" s="9"/>
      <c r="R19" s="35">
        <v>2</v>
      </c>
      <c r="S19" s="2" t="s">
        <v>663</v>
      </c>
    </row>
    <row r="20" spans="1:23">
      <c r="A20" s="42" t="s">
        <v>77</v>
      </c>
      <c r="B20" s="3" t="s">
        <v>68</v>
      </c>
      <c r="C20" s="3">
        <v>44</v>
      </c>
      <c r="D20" s="1"/>
      <c r="E20" s="20" t="s">
        <v>24</v>
      </c>
      <c r="F20" s="7" t="s">
        <v>14</v>
      </c>
      <c r="G20" s="7" t="s">
        <v>32</v>
      </c>
      <c r="H20" s="11">
        <v>8.3000000000000007</v>
      </c>
      <c r="I20" s="8">
        <v>11</v>
      </c>
      <c r="J20" s="26">
        <v>9</v>
      </c>
      <c r="K20" s="10">
        <f t="shared" si="0"/>
        <v>0.8217000000000001</v>
      </c>
      <c r="L20" s="4"/>
      <c r="M20" s="17">
        <v>9</v>
      </c>
      <c r="N20" s="18">
        <f t="shared" si="1"/>
        <v>0.8217000000000001</v>
      </c>
      <c r="O20" s="19">
        <f t="shared" si="2"/>
        <v>0</v>
      </c>
      <c r="P20" s="13">
        <f t="shared" si="3"/>
        <v>0</v>
      </c>
      <c r="Q20" s="9"/>
      <c r="R20" s="2"/>
      <c r="S20" s="2"/>
    </row>
    <row r="21" spans="1:23">
      <c r="A21" s="42" t="s">
        <v>77</v>
      </c>
      <c r="B21" s="3" t="s">
        <v>68</v>
      </c>
      <c r="C21" s="3">
        <v>50</v>
      </c>
      <c r="D21" s="1"/>
      <c r="E21" s="20" t="s">
        <v>17</v>
      </c>
      <c r="F21" s="7" t="s">
        <v>15</v>
      </c>
      <c r="G21" s="7" t="s">
        <v>32</v>
      </c>
      <c r="H21" s="11">
        <v>8.32</v>
      </c>
      <c r="I21" s="8">
        <v>6</v>
      </c>
      <c r="J21" s="26">
        <v>1</v>
      </c>
      <c r="K21" s="10">
        <f t="shared" si="0"/>
        <v>4.9919999999999999E-2</v>
      </c>
      <c r="L21" s="4"/>
      <c r="M21" s="17">
        <v>1</v>
      </c>
      <c r="N21" s="18">
        <f t="shared" si="1"/>
        <v>4.9919999999999999E-2</v>
      </c>
      <c r="O21" s="19">
        <f t="shared" si="2"/>
        <v>0</v>
      </c>
      <c r="P21" s="13">
        <f t="shared" si="3"/>
        <v>0</v>
      </c>
      <c r="Q21" s="9"/>
      <c r="R21" s="2"/>
      <c r="S21" s="2"/>
      <c r="V21" s="354">
        <v>1</v>
      </c>
      <c r="W21" s="213" t="s">
        <v>713</v>
      </c>
    </row>
    <row r="22" spans="1:23">
      <c r="A22" s="42" t="s">
        <v>77</v>
      </c>
      <c r="B22" s="3" t="s">
        <v>68</v>
      </c>
      <c r="C22" s="3">
        <v>50</v>
      </c>
      <c r="D22" s="1"/>
      <c r="E22" s="20" t="s">
        <v>17</v>
      </c>
      <c r="F22" s="7" t="s">
        <v>15</v>
      </c>
      <c r="G22" s="7" t="s">
        <v>32</v>
      </c>
      <c r="H22" s="11">
        <v>8.32</v>
      </c>
      <c r="I22" s="8">
        <v>9.6</v>
      </c>
      <c r="J22" s="26">
        <v>4</v>
      </c>
      <c r="K22" s="10">
        <f t="shared" si="0"/>
        <v>0.31948799999999999</v>
      </c>
      <c r="L22" s="4"/>
      <c r="M22" s="17">
        <v>4</v>
      </c>
      <c r="N22" s="18">
        <f t="shared" si="1"/>
        <v>0.31948799999999999</v>
      </c>
      <c r="O22" s="19">
        <f t="shared" si="2"/>
        <v>0</v>
      </c>
      <c r="P22" s="13">
        <f t="shared" si="3"/>
        <v>0</v>
      </c>
      <c r="Q22" s="9"/>
      <c r="R22" s="2"/>
      <c r="S22" s="2"/>
    </row>
    <row r="23" spans="1:23">
      <c r="A23" s="42" t="s">
        <v>77</v>
      </c>
      <c r="B23" s="3" t="s">
        <v>68</v>
      </c>
      <c r="C23" s="3">
        <v>50</v>
      </c>
      <c r="D23" s="1"/>
      <c r="E23" s="20" t="s">
        <v>17</v>
      </c>
      <c r="F23" s="7" t="s">
        <v>15</v>
      </c>
      <c r="G23" s="7" t="s">
        <v>32</v>
      </c>
      <c r="H23" s="11">
        <v>8.32</v>
      </c>
      <c r="I23" s="8">
        <v>10.5</v>
      </c>
      <c r="J23" s="26">
        <v>1</v>
      </c>
      <c r="K23" s="10">
        <f t="shared" si="0"/>
        <v>8.7359999999999993E-2</v>
      </c>
      <c r="L23" s="4"/>
      <c r="M23" s="17">
        <v>1</v>
      </c>
      <c r="N23" s="18">
        <f t="shared" si="1"/>
        <v>8.7359999999999993E-2</v>
      </c>
      <c r="O23" s="19">
        <f t="shared" si="2"/>
        <v>0</v>
      </c>
      <c r="P23" s="13">
        <f t="shared" si="3"/>
        <v>0</v>
      </c>
      <c r="Q23" s="9">
        <v>10.199999999999999</v>
      </c>
      <c r="R23" s="35">
        <v>1</v>
      </c>
      <c r="S23" s="2" t="s">
        <v>213</v>
      </c>
    </row>
    <row r="24" spans="1:23">
      <c r="A24" s="42" t="s">
        <v>77</v>
      </c>
      <c r="B24" s="3" t="s">
        <v>68</v>
      </c>
      <c r="C24" s="3">
        <v>50</v>
      </c>
      <c r="D24" s="1"/>
      <c r="E24" s="20" t="s">
        <v>17</v>
      </c>
      <c r="F24" s="7" t="s">
        <v>15</v>
      </c>
      <c r="G24" s="7" t="s">
        <v>32</v>
      </c>
      <c r="H24" s="11">
        <v>8.32</v>
      </c>
      <c r="I24" s="8">
        <v>11</v>
      </c>
      <c r="J24" s="26">
        <v>3</v>
      </c>
      <c r="K24" s="10">
        <f t="shared" si="0"/>
        <v>0.27456000000000008</v>
      </c>
      <c r="L24" s="4"/>
      <c r="M24" s="17">
        <v>3</v>
      </c>
      <c r="N24" s="18">
        <f t="shared" si="1"/>
        <v>0.27456000000000003</v>
      </c>
      <c r="O24" s="19">
        <f t="shared" si="2"/>
        <v>0</v>
      </c>
      <c r="P24" s="13">
        <f t="shared" si="3"/>
        <v>0</v>
      </c>
      <c r="Q24" s="9"/>
      <c r="R24" s="2"/>
      <c r="S24" s="2"/>
    </row>
    <row r="25" spans="1:23">
      <c r="A25" s="42" t="s">
        <v>77</v>
      </c>
      <c r="B25" s="3" t="s">
        <v>68</v>
      </c>
      <c r="C25" s="3">
        <v>50</v>
      </c>
      <c r="D25" s="1"/>
      <c r="E25" s="20" t="s">
        <v>17</v>
      </c>
      <c r="F25" s="7" t="s">
        <v>15</v>
      </c>
      <c r="G25" s="7" t="s">
        <v>32</v>
      </c>
      <c r="H25" s="11">
        <v>8.32</v>
      </c>
      <c r="I25" s="8">
        <v>11.35</v>
      </c>
      <c r="J25" s="26">
        <v>1</v>
      </c>
      <c r="K25" s="10">
        <f t="shared" si="0"/>
        <v>9.4432000000000002E-2</v>
      </c>
      <c r="L25" s="4"/>
      <c r="M25" s="17">
        <v>1</v>
      </c>
      <c r="N25" s="18">
        <f t="shared" si="1"/>
        <v>9.4432000000000002E-2</v>
      </c>
      <c r="O25" s="19">
        <f t="shared" si="2"/>
        <v>0</v>
      </c>
      <c r="P25" s="13">
        <f t="shared" si="3"/>
        <v>0</v>
      </c>
      <c r="Q25" s="9">
        <v>11.3</v>
      </c>
      <c r="R25" s="35">
        <v>1</v>
      </c>
      <c r="S25" s="2" t="s">
        <v>213</v>
      </c>
    </row>
    <row r="26" spans="1:23">
      <c r="A26" s="42" t="s">
        <v>77</v>
      </c>
      <c r="B26" s="3" t="s">
        <v>68</v>
      </c>
      <c r="C26" s="3">
        <v>50</v>
      </c>
      <c r="D26" s="1"/>
      <c r="E26" s="20" t="s">
        <v>17</v>
      </c>
      <c r="F26" s="7" t="s">
        <v>15</v>
      </c>
      <c r="G26" s="7" t="s">
        <v>32</v>
      </c>
      <c r="H26" s="11">
        <v>8.32</v>
      </c>
      <c r="I26" s="8">
        <v>11.5</v>
      </c>
      <c r="J26" s="26">
        <v>1</v>
      </c>
      <c r="K26" s="10">
        <f t="shared" si="0"/>
        <v>9.5680000000000001E-2</v>
      </c>
      <c r="L26" s="4"/>
      <c r="M26" s="17">
        <v>1</v>
      </c>
      <c r="N26" s="18">
        <f t="shared" si="1"/>
        <v>9.5680000000000001E-2</v>
      </c>
      <c r="O26" s="19">
        <f t="shared" si="2"/>
        <v>0</v>
      </c>
      <c r="P26" s="13">
        <f t="shared" si="3"/>
        <v>0</v>
      </c>
      <c r="Q26" s="9">
        <v>11.5</v>
      </c>
      <c r="R26" s="35">
        <v>1</v>
      </c>
      <c r="S26" s="2" t="s">
        <v>213</v>
      </c>
    </row>
    <row r="27" spans="1:23">
      <c r="A27" s="42" t="s">
        <v>77</v>
      </c>
      <c r="B27" s="3" t="s">
        <v>68</v>
      </c>
      <c r="C27" s="3">
        <v>50</v>
      </c>
      <c r="D27" s="1"/>
      <c r="E27" s="20" t="s">
        <v>17</v>
      </c>
      <c r="F27" s="7" t="s">
        <v>15</v>
      </c>
      <c r="G27" s="7" t="s">
        <v>32</v>
      </c>
      <c r="H27" s="11">
        <v>8.32</v>
      </c>
      <c r="I27" s="8">
        <v>11.7</v>
      </c>
      <c r="J27" s="26">
        <v>2</v>
      </c>
      <c r="K27" s="10">
        <f t="shared" si="0"/>
        <v>0.194688</v>
      </c>
      <c r="L27" s="4"/>
      <c r="M27" s="17">
        <v>2</v>
      </c>
      <c r="N27" s="18">
        <f t="shared" si="1"/>
        <v>0.194688</v>
      </c>
      <c r="O27" s="19">
        <f t="shared" si="2"/>
        <v>0</v>
      </c>
      <c r="P27" s="13">
        <f t="shared" si="3"/>
        <v>0</v>
      </c>
      <c r="Q27" s="9">
        <v>11.7</v>
      </c>
      <c r="R27" s="35">
        <v>2</v>
      </c>
      <c r="S27" s="2" t="s">
        <v>213</v>
      </c>
    </row>
    <row r="28" spans="1:23">
      <c r="A28" s="42" t="s">
        <v>77</v>
      </c>
      <c r="B28" s="3" t="s">
        <v>68</v>
      </c>
      <c r="C28" s="3">
        <v>50</v>
      </c>
      <c r="D28" s="1"/>
      <c r="E28" s="20" t="s">
        <v>17</v>
      </c>
      <c r="F28" s="7" t="s">
        <v>15</v>
      </c>
      <c r="G28" s="7" t="s">
        <v>32</v>
      </c>
      <c r="H28" s="11">
        <v>8.32</v>
      </c>
      <c r="I28" s="8">
        <v>11.8</v>
      </c>
      <c r="J28" s="26">
        <v>1</v>
      </c>
      <c r="K28" s="10">
        <f t="shared" si="0"/>
        <v>9.8176000000000013E-2</v>
      </c>
      <c r="L28" s="4"/>
      <c r="M28" s="17">
        <v>1</v>
      </c>
      <c r="N28" s="18">
        <f t="shared" si="1"/>
        <v>9.8176000000000013E-2</v>
      </c>
      <c r="O28" s="19">
        <f t="shared" si="2"/>
        <v>0</v>
      </c>
      <c r="P28" s="13">
        <f t="shared" si="3"/>
        <v>0</v>
      </c>
      <c r="Q28" s="9">
        <v>11.7</v>
      </c>
      <c r="R28" s="35">
        <v>1</v>
      </c>
      <c r="S28" s="2" t="s">
        <v>213</v>
      </c>
    </row>
    <row r="29" spans="1:23">
      <c r="A29" s="42" t="s">
        <v>77</v>
      </c>
      <c r="B29" s="3" t="s">
        <v>68</v>
      </c>
      <c r="C29" s="3">
        <v>50</v>
      </c>
      <c r="D29" s="1"/>
      <c r="E29" s="20" t="s">
        <v>17</v>
      </c>
      <c r="F29" s="7" t="s">
        <v>15</v>
      </c>
      <c r="G29" s="7" t="s">
        <v>32</v>
      </c>
      <c r="H29" s="11">
        <v>8.32</v>
      </c>
      <c r="I29" s="8">
        <v>12</v>
      </c>
      <c r="J29" s="26">
        <v>2</v>
      </c>
      <c r="K29" s="10">
        <f t="shared" si="0"/>
        <v>0.19968</v>
      </c>
      <c r="L29" s="4"/>
      <c r="M29" s="17">
        <v>2</v>
      </c>
      <c r="N29" s="18">
        <f t="shared" si="1"/>
        <v>0.19968</v>
      </c>
      <c r="O29" s="19">
        <f t="shared" si="2"/>
        <v>0</v>
      </c>
      <c r="P29" s="13">
        <f t="shared" si="3"/>
        <v>0</v>
      </c>
      <c r="Q29" s="9">
        <v>12</v>
      </c>
      <c r="R29" s="35">
        <v>2</v>
      </c>
      <c r="S29" s="2" t="s">
        <v>213</v>
      </c>
    </row>
    <row r="30" spans="1:23">
      <c r="A30" s="42" t="s">
        <v>77</v>
      </c>
      <c r="B30" s="3" t="s">
        <v>68</v>
      </c>
      <c r="C30" s="3">
        <v>64</v>
      </c>
      <c r="D30" s="1"/>
      <c r="E30" s="20" t="s">
        <v>24</v>
      </c>
      <c r="F30" s="7" t="s">
        <v>14</v>
      </c>
      <c r="G30" s="7" t="s">
        <v>44</v>
      </c>
      <c r="H30" s="11">
        <v>13.4</v>
      </c>
      <c r="I30" s="8">
        <v>6.2</v>
      </c>
      <c r="J30" s="26">
        <v>1</v>
      </c>
      <c r="K30" s="10">
        <f t="shared" si="0"/>
        <v>8.3080000000000001E-2</v>
      </c>
      <c r="L30" s="4"/>
      <c r="M30" s="17">
        <v>1</v>
      </c>
      <c r="N30" s="18">
        <f t="shared" si="1"/>
        <v>8.3080000000000001E-2</v>
      </c>
      <c r="O30" s="19">
        <f t="shared" si="2"/>
        <v>0</v>
      </c>
      <c r="P30" s="13">
        <f t="shared" si="3"/>
        <v>0</v>
      </c>
      <c r="Q30" s="9">
        <v>6.25</v>
      </c>
      <c r="R30" s="2">
        <v>1</v>
      </c>
      <c r="S30" s="2" t="s">
        <v>194</v>
      </c>
    </row>
    <row r="31" spans="1:23">
      <c r="A31" s="42" t="s">
        <v>77</v>
      </c>
      <c r="B31" s="3" t="s">
        <v>68</v>
      </c>
      <c r="C31" s="3">
        <v>64</v>
      </c>
      <c r="D31" s="1"/>
      <c r="E31" s="20" t="s">
        <v>24</v>
      </c>
      <c r="F31" s="7" t="s">
        <v>14</v>
      </c>
      <c r="G31" s="7" t="s">
        <v>44</v>
      </c>
      <c r="H31" s="11">
        <v>13.4</v>
      </c>
      <c r="I31" s="8">
        <v>10</v>
      </c>
      <c r="J31" s="26">
        <v>2</v>
      </c>
      <c r="K31" s="10">
        <f t="shared" si="0"/>
        <v>0.26800000000000002</v>
      </c>
      <c r="L31" s="4"/>
      <c r="M31" s="17">
        <v>2</v>
      </c>
      <c r="N31" s="18">
        <f t="shared" si="1"/>
        <v>0.26800000000000002</v>
      </c>
      <c r="O31" s="19">
        <f t="shared" si="2"/>
        <v>0</v>
      </c>
      <c r="P31" s="13">
        <f t="shared" si="3"/>
        <v>0</v>
      </c>
      <c r="Q31" s="9">
        <v>7.5</v>
      </c>
      <c r="R31" s="2">
        <v>2</v>
      </c>
      <c r="S31" s="2" t="s">
        <v>193</v>
      </c>
    </row>
    <row r="32" spans="1:23">
      <c r="A32" s="42" t="s">
        <v>77</v>
      </c>
      <c r="B32" s="3" t="s">
        <v>68</v>
      </c>
      <c r="C32" s="3">
        <v>70</v>
      </c>
      <c r="D32" s="1"/>
      <c r="E32" s="20" t="s">
        <v>24</v>
      </c>
      <c r="F32" s="7" t="s">
        <v>14</v>
      </c>
      <c r="G32" s="7" t="s">
        <v>44</v>
      </c>
      <c r="H32" s="11">
        <v>13.4</v>
      </c>
      <c r="I32" s="8">
        <v>8.0500000000000007</v>
      </c>
      <c r="J32" s="56">
        <v>2</v>
      </c>
      <c r="K32" s="10">
        <f t="shared" si="0"/>
        <v>0.21574000000000004</v>
      </c>
      <c r="L32" s="4"/>
      <c r="M32" s="17">
        <v>2</v>
      </c>
      <c r="N32" s="18">
        <f t="shared" si="1"/>
        <v>0.21574000000000004</v>
      </c>
      <c r="O32" s="19">
        <f t="shared" si="2"/>
        <v>0</v>
      </c>
      <c r="P32" s="13">
        <f t="shared" si="3"/>
        <v>0</v>
      </c>
      <c r="Q32" s="9"/>
      <c r="R32" s="2"/>
      <c r="S32" s="2"/>
    </row>
    <row r="33" spans="1:19">
      <c r="A33" s="42" t="s">
        <v>77</v>
      </c>
      <c r="B33" s="3" t="s">
        <v>68</v>
      </c>
      <c r="C33" s="3">
        <v>70</v>
      </c>
      <c r="D33" s="1"/>
      <c r="E33" s="20" t="s">
        <v>24</v>
      </c>
      <c r="F33" s="7" t="s">
        <v>14</v>
      </c>
      <c r="G33" s="7" t="s">
        <v>44</v>
      </c>
      <c r="H33" s="11">
        <v>13.4</v>
      </c>
      <c r="I33" s="8">
        <v>8.0500000000000007</v>
      </c>
      <c r="J33" s="56">
        <v>1</v>
      </c>
      <c r="K33" s="10">
        <f t="shared" si="0"/>
        <v>0.10787000000000002</v>
      </c>
      <c r="L33" s="4"/>
      <c r="M33" s="17">
        <v>1</v>
      </c>
      <c r="N33" s="18">
        <f t="shared" si="1"/>
        <v>0.10787000000000002</v>
      </c>
      <c r="O33" s="19">
        <f t="shared" si="2"/>
        <v>0</v>
      </c>
      <c r="P33" s="13">
        <f t="shared" si="3"/>
        <v>0</v>
      </c>
      <c r="Q33" s="9"/>
      <c r="R33" s="2"/>
      <c r="S33" s="2"/>
    </row>
    <row r="34" spans="1:19">
      <c r="A34" s="42" t="s">
        <v>77</v>
      </c>
      <c r="B34" s="3" t="s">
        <v>68</v>
      </c>
      <c r="C34" s="3">
        <v>70</v>
      </c>
      <c r="D34" s="1"/>
      <c r="E34" s="20" t="s">
        <v>24</v>
      </c>
      <c r="F34" s="7" t="s">
        <v>14</v>
      </c>
      <c r="G34" s="7" t="s">
        <v>44</v>
      </c>
      <c r="H34" s="11">
        <v>13.4</v>
      </c>
      <c r="I34" s="8">
        <v>8.5500000000000007</v>
      </c>
      <c r="J34" s="56">
        <v>3</v>
      </c>
      <c r="K34" s="10">
        <f t="shared" si="0"/>
        <v>0.34371000000000002</v>
      </c>
      <c r="L34" s="4"/>
      <c r="M34" s="17">
        <v>3</v>
      </c>
      <c r="N34" s="18">
        <f t="shared" si="1"/>
        <v>0.34371000000000002</v>
      </c>
      <c r="O34" s="19">
        <f t="shared" si="2"/>
        <v>0</v>
      </c>
      <c r="P34" s="13">
        <f t="shared" si="3"/>
        <v>0</v>
      </c>
      <c r="Q34" s="9"/>
      <c r="R34" s="2"/>
      <c r="S34" s="2"/>
    </row>
    <row r="35" spans="1:19">
      <c r="A35" s="42" t="s">
        <v>77</v>
      </c>
      <c r="B35" s="3" t="s">
        <v>68</v>
      </c>
      <c r="C35" s="3">
        <v>70</v>
      </c>
      <c r="D35" s="1"/>
      <c r="E35" s="20" t="s">
        <v>24</v>
      </c>
      <c r="F35" s="7" t="s">
        <v>14</v>
      </c>
      <c r="G35" s="7" t="s">
        <v>44</v>
      </c>
      <c r="H35" s="11">
        <v>13.4</v>
      </c>
      <c r="I35" s="8">
        <v>8.0500000000000007</v>
      </c>
      <c r="J35" s="56">
        <v>3</v>
      </c>
      <c r="K35" s="10">
        <f t="shared" si="0"/>
        <v>0.32361000000000006</v>
      </c>
      <c r="L35" s="4"/>
      <c r="M35" s="17">
        <v>3</v>
      </c>
      <c r="N35" s="18">
        <f t="shared" si="1"/>
        <v>0.32361000000000001</v>
      </c>
      <c r="O35" s="19">
        <f t="shared" si="2"/>
        <v>0</v>
      </c>
      <c r="P35" s="13">
        <f t="shared" si="3"/>
        <v>0</v>
      </c>
      <c r="Q35" s="9"/>
      <c r="R35" s="2"/>
      <c r="S35" s="2"/>
    </row>
    <row r="36" spans="1:19">
      <c r="A36" s="42" t="s">
        <v>77</v>
      </c>
      <c r="B36" s="3" t="s">
        <v>68</v>
      </c>
      <c r="C36" s="3">
        <v>86</v>
      </c>
      <c r="D36" s="1"/>
      <c r="E36" s="20" t="s">
        <v>17</v>
      </c>
      <c r="F36" s="7" t="s">
        <v>15</v>
      </c>
      <c r="G36" s="7" t="s">
        <v>30</v>
      </c>
      <c r="H36" s="11">
        <v>9.26</v>
      </c>
      <c r="I36" s="8">
        <v>7.25</v>
      </c>
      <c r="J36" s="56">
        <v>1</v>
      </c>
      <c r="K36" s="10">
        <f t="shared" si="0"/>
        <v>6.7135E-2</v>
      </c>
      <c r="L36" s="4"/>
      <c r="M36" s="17">
        <v>1</v>
      </c>
      <c r="N36" s="18">
        <f t="shared" si="1"/>
        <v>6.7135E-2</v>
      </c>
      <c r="O36" s="19">
        <f t="shared" si="2"/>
        <v>0</v>
      </c>
      <c r="P36" s="13">
        <f t="shared" si="3"/>
        <v>0</v>
      </c>
      <c r="Q36" s="9"/>
      <c r="R36" s="2"/>
      <c r="S36" s="2"/>
    </row>
    <row r="37" spans="1:19">
      <c r="A37" s="42" t="s">
        <v>77</v>
      </c>
      <c r="B37" s="3" t="s">
        <v>68</v>
      </c>
      <c r="C37" s="3">
        <v>86</v>
      </c>
      <c r="D37" s="1"/>
      <c r="E37" s="20" t="s">
        <v>17</v>
      </c>
      <c r="F37" s="7" t="s">
        <v>15</v>
      </c>
      <c r="G37" s="7" t="s">
        <v>30</v>
      </c>
      <c r="H37" s="11">
        <v>9.26</v>
      </c>
      <c r="I37" s="8">
        <v>7.95</v>
      </c>
      <c r="J37" s="56">
        <v>19</v>
      </c>
      <c r="K37" s="10">
        <f t="shared" si="0"/>
        <v>1.3987230000000002</v>
      </c>
      <c r="L37" s="4"/>
      <c r="M37" s="17">
        <v>19</v>
      </c>
      <c r="N37" s="18">
        <f t="shared" si="1"/>
        <v>1.3987230000000002</v>
      </c>
      <c r="O37" s="19">
        <f t="shared" si="2"/>
        <v>0</v>
      </c>
      <c r="P37" s="13">
        <f t="shared" si="3"/>
        <v>0</v>
      </c>
      <c r="Q37" s="9"/>
      <c r="R37" s="2"/>
      <c r="S37" s="2"/>
    </row>
    <row r="38" spans="1:19">
      <c r="A38" s="42" t="s">
        <v>77</v>
      </c>
      <c r="B38" s="3" t="s">
        <v>68</v>
      </c>
      <c r="C38" s="3">
        <v>107</v>
      </c>
      <c r="D38" s="1"/>
      <c r="E38" s="20" t="s">
        <v>17</v>
      </c>
      <c r="F38" s="7" t="s">
        <v>15</v>
      </c>
      <c r="G38" s="7" t="s">
        <v>36</v>
      </c>
      <c r="H38" s="11">
        <v>10.199999999999999</v>
      </c>
      <c r="I38" s="8">
        <v>7</v>
      </c>
      <c r="J38" s="26">
        <v>1</v>
      </c>
      <c r="K38" s="10">
        <f t="shared" si="0"/>
        <v>7.1399999999999991E-2</v>
      </c>
      <c r="L38" s="4"/>
      <c r="M38" s="17">
        <v>1</v>
      </c>
      <c r="N38" s="18">
        <f t="shared" si="1"/>
        <v>7.1399999999999991E-2</v>
      </c>
      <c r="O38" s="19">
        <f t="shared" si="2"/>
        <v>0</v>
      </c>
      <c r="P38" s="13">
        <f t="shared" si="3"/>
        <v>0</v>
      </c>
      <c r="Q38" s="9">
        <v>6.6</v>
      </c>
      <c r="R38" s="2">
        <v>1</v>
      </c>
      <c r="S38" s="2" t="s">
        <v>200</v>
      </c>
    </row>
    <row r="39" spans="1:19">
      <c r="A39" s="42" t="s">
        <v>77</v>
      </c>
      <c r="B39" s="3" t="s">
        <v>68</v>
      </c>
      <c r="C39" s="3">
        <v>107</v>
      </c>
      <c r="D39" s="1"/>
      <c r="E39" s="20" t="s">
        <v>17</v>
      </c>
      <c r="F39" s="7" t="s">
        <v>15</v>
      </c>
      <c r="G39" s="7" t="s">
        <v>36</v>
      </c>
      <c r="H39" s="11">
        <v>10.199999999999999</v>
      </c>
      <c r="I39" s="8">
        <v>9</v>
      </c>
      <c r="J39" s="26">
        <v>1</v>
      </c>
      <c r="K39" s="10">
        <f t="shared" si="0"/>
        <v>9.1799999999999993E-2</v>
      </c>
      <c r="L39" s="4"/>
      <c r="M39" s="17">
        <v>1</v>
      </c>
      <c r="N39" s="18">
        <f t="shared" si="1"/>
        <v>9.1799999999999993E-2</v>
      </c>
      <c r="O39" s="19">
        <f t="shared" si="2"/>
        <v>0</v>
      </c>
      <c r="P39" s="13">
        <f t="shared" si="3"/>
        <v>0</v>
      </c>
      <c r="Q39" s="9">
        <v>8.25</v>
      </c>
      <c r="R39" s="2">
        <v>1</v>
      </c>
      <c r="S39" s="2" t="s">
        <v>196</v>
      </c>
    </row>
    <row r="40" spans="1:19">
      <c r="A40" s="42" t="s">
        <v>77</v>
      </c>
      <c r="B40" s="3" t="s">
        <v>68</v>
      </c>
      <c r="C40" s="3">
        <v>107</v>
      </c>
      <c r="D40" s="1"/>
      <c r="E40" s="20" t="s">
        <v>17</v>
      </c>
      <c r="F40" s="7" t="s">
        <v>15</v>
      </c>
      <c r="G40" s="7" t="s">
        <v>36</v>
      </c>
      <c r="H40" s="11">
        <v>10.199999999999999</v>
      </c>
      <c r="I40" s="8">
        <v>10.9</v>
      </c>
      <c r="J40" s="26">
        <v>3</v>
      </c>
      <c r="K40" s="10">
        <f t="shared" si="0"/>
        <v>0.33353999999999995</v>
      </c>
      <c r="L40" s="4"/>
      <c r="M40" s="17">
        <v>3</v>
      </c>
      <c r="N40" s="18">
        <f t="shared" si="1"/>
        <v>0.33354</v>
      </c>
      <c r="O40" s="19">
        <f t="shared" si="2"/>
        <v>0</v>
      </c>
      <c r="P40" s="13">
        <f t="shared" si="3"/>
        <v>0</v>
      </c>
      <c r="Q40" s="9">
        <v>10.5</v>
      </c>
      <c r="R40" s="2">
        <v>3</v>
      </c>
      <c r="S40" s="2" t="s">
        <v>196</v>
      </c>
    </row>
    <row r="41" spans="1:19">
      <c r="A41" s="42" t="s">
        <v>77</v>
      </c>
      <c r="B41" s="3" t="s">
        <v>68</v>
      </c>
      <c r="C41" s="3">
        <v>108</v>
      </c>
      <c r="D41" s="1"/>
      <c r="E41" s="20" t="s">
        <v>20</v>
      </c>
      <c r="F41" s="7" t="s">
        <v>15</v>
      </c>
      <c r="G41" s="7" t="s">
        <v>50</v>
      </c>
      <c r="H41" s="11">
        <v>21.7</v>
      </c>
      <c r="I41" s="8">
        <v>9.6999999999999993</v>
      </c>
      <c r="J41" s="26">
        <v>1</v>
      </c>
      <c r="K41" s="10">
        <f t="shared" si="0"/>
        <v>0.21048999999999998</v>
      </c>
      <c r="L41" s="4"/>
      <c r="M41" s="17">
        <v>1</v>
      </c>
      <c r="N41" s="18">
        <f t="shared" si="1"/>
        <v>0.21048999999999998</v>
      </c>
      <c r="O41" s="19">
        <f t="shared" si="2"/>
        <v>0</v>
      </c>
      <c r="P41" s="13">
        <f t="shared" si="3"/>
        <v>0</v>
      </c>
      <c r="Q41" s="9">
        <v>8.5500000000000007</v>
      </c>
      <c r="R41" s="2">
        <v>1</v>
      </c>
      <c r="S41" s="32" t="s">
        <v>602</v>
      </c>
    </row>
    <row r="42" spans="1:19">
      <c r="A42" s="42" t="s">
        <v>77</v>
      </c>
      <c r="B42" s="3" t="s">
        <v>68</v>
      </c>
      <c r="C42" s="3">
        <v>108</v>
      </c>
      <c r="D42" s="1"/>
      <c r="E42" s="20" t="s">
        <v>20</v>
      </c>
      <c r="F42" s="7" t="s">
        <v>15</v>
      </c>
      <c r="G42" s="7" t="s">
        <v>50</v>
      </c>
      <c r="H42" s="11">
        <v>21.7</v>
      </c>
      <c r="I42" s="8">
        <v>11.2</v>
      </c>
      <c r="J42" s="26">
        <v>2</v>
      </c>
      <c r="K42" s="10">
        <f t="shared" si="0"/>
        <v>0.4860799999999999</v>
      </c>
      <c r="L42" s="4"/>
      <c r="M42" s="17">
        <v>2</v>
      </c>
      <c r="N42" s="18">
        <f t="shared" si="1"/>
        <v>0.4860799999999999</v>
      </c>
      <c r="O42" s="19">
        <f t="shared" si="2"/>
        <v>0</v>
      </c>
      <c r="P42" s="13">
        <f t="shared" si="3"/>
        <v>0</v>
      </c>
      <c r="Q42" s="9">
        <v>8.5500000000000007</v>
      </c>
      <c r="R42" s="2">
        <v>2</v>
      </c>
      <c r="S42" s="32" t="s">
        <v>602</v>
      </c>
    </row>
    <row r="43" spans="1:19">
      <c r="A43" s="42" t="s">
        <v>77</v>
      </c>
      <c r="B43" s="3" t="s">
        <v>68</v>
      </c>
      <c r="C43" s="3">
        <v>109</v>
      </c>
      <c r="D43" s="1"/>
      <c r="E43" s="20" t="s">
        <v>17</v>
      </c>
      <c r="F43" s="7" t="s">
        <v>15</v>
      </c>
      <c r="G43" s="7" t="s">
        <v>36</v>
      </c>
      <c r="H43" s="11">
        <v>10.199999999999999</v>
      </c>
      <c r="I43" s="8">
        <v>7</v>
      </c>
      <c r="J43" s="26">
        <v>3</v>
      </c>
      <c r="K43" s="10">
        <f t="shared" si="0"/>
        <v>0.2142</v>
      </c>
      <c r="L43" s="4"/>
      <c r="M43" s="17">
        <v>3</v>
      </c>
      <c r="N43" s="18">
        <f t="shared" si="1"/>
        <v>0.2142</v>
      </c>
      <c r="O43" s="19">
        <f t="shared" si="2"/>
        <v>0</v>
      </c>
      <c r="P43" s="13">
        <f t="shared" si="3"/>
        <v>0</v>
      </c>
      <c r="Q43" s="9">
        <v>6.6</v>
      </c>
      <c r="R43" s="2">
        <v>3</v>
      </c>
      <c r="S43" s="2" t="s">
        <v>200</v>
      </c>
    </row>
    <row r="44" spans="1:19">
      <c r="A44" s="42" t="s">
        <v>77</v>
      </c>
      <c r="B44" s="3" t="s">
        <v>68</v>
      </c>
      <c r="C44" s="3">
        <v>109</v>
      </c>
      <c r="D44" s="1"/>
      <c r="E44" s="20" t="s">
        <v>17</v>
      </c>
      <c r="F44" s="7" t="s">
        <v>15</v>
      </c>
      <c r="G44" s="7" t="s">
        <v>36</v>
      </c>
      <c r="H44" s="11">
        <v>10.199999999999999</v>
      </c>
      <c r="I44" s="8">
        <v>8.4</v>
      </c>
      <c r="J44" s="26">
        <v>2</v>
      </c>
      <c r="K44" s="10">
        <f t="shared" si="0"/>
        <v>0.17135999999999998</v>
      </c>
      <c r="L44" s="4"/>
      <c r="M44" s="17">
        <v>2</v>
      </c>
      <c r="N44" s="18">
        <f t="shared" si="1"/>
        <v>0.17135999999999998</v>
      </c>
      <c r="O44" s="19">
        <f t="shared" si="2"/>
        <v>0</v>
      </c>
      <c r="P44" s="13">
        <f t="shared" si="3"/>
        <v>0</v>
      </c>
      <c r="Q44" s="9">
        <v>8.25</v>
      </c>
      <c r="R44" s="2">
        <v>2</v>
      </c>
      <c r="S44" s="2" t="s">
        <v>196</v>
      </c>
    </row>
    <row r="45" spans="1:19">
      <c r="A45" s="42" t="s">
        <v>77</v>
      </c>
      <c r="B45" s="3" t="s">
        <v>68</v>
      </c>
      <c r="C45" s="3">
        <v>109</v>
      </c>
      <c r="D45" s="1"/>
      <c r="E45" s="20" t="s">
        <v>17</v>
      </c>
      <c r="F45" s="7" t="s">
        <v>15</v>
      </c>
      <c r="G45" s="7" t="s">
        <v>36</v>
      </c>
      <c r="H45" s="11">
        <v>10.199999999999999</v>
      </c>
      <c r="I45" s="8">
        <v>11.2</v>
      </c>
      <c r="J45" s="26">
        <v>4</v>
      </c>
      <c r="K45" s="10">
        <f t="shared" si="0"/>
        <v>0.45695999999999992</v>
      </c>
      <c r="L45" s="4"/>
      <c r="M45" s="17">
        <v>4</v>
      </c>
      <c r="N45" s="18">
        <f t="shared" si="1"/>
        <v>0.45695999999999992</v>
      </c>
      <c r="O45" s="19">
        <f t="shared" si="2"/>
        <v>0</v>
      </c>
      <c r="P45" s="13">
        <f t="shared" si="3"/>
        <v>0</v>
      </c>
      <c r="Q45" s="9">
        <v>10.5</v>
      </c>
      <c r="R45" s="2">
        <v>4</v>
      </c>
      <c r="S45" s="2" t="s">
        <v>196</v>
      </c>
    </row>
    <row r="46" spans="1:19">
      <c r="A46" s="42" t="s">
        <v>77</v>
      </c>
      <c r="B46" s="3" t="s">
        <v>68</v>
      </c>
      <c r="C46" s="3">
        <v>120</v>
      </c>
      <c r="D46" s="1"/>
      <c r="E46" s="20" t="s">
        <v>24</v>
      </c>
      <c r="F46" s="7" t="s">
        <v>14</v>
      </c>
      <c r="G46" s="7" t="s">
        <v>30</v>
      </c>
      <c r="H46" s="11">
        <v>9.26</v>
      </c>
      <c r="I46" s="8">
        <v>9</v>
      </c>
      <c r="J46" s="26">
        <v>1</v>
      </c>
      <c r="K46" s="10">
        <f t="shared" si="0"/>
        <v>8.3339999999999997E-2</v>
      </c>
      <c r="L46" s="4"/>
      <c r="M46" s="17">
        <v>1</v>
      </c>
      <c r="N46" s="18">
        <f t="shared" si="1"/>
        <v>8.3339999999999997E-2</v>
      </c>
      <c r="O46" s="19">
        <f t="shared" si="2"/>
        <v>0</v>
      </c>
      <c r="P46" s="13">
        <f t="shared" si="3"/>
        <v>0</v>
      </c>
      <c r="Q46" s="9">
        <v>7.6</v>
      </c>
      <c r="R46" s="2">
        <v>1</v>
      </c>
      <c r="S46" s="2"/>
    </row>
    <row r="47" spans="1:19">
      <c r="A47" s="42" t="s">
        <v>77</v>
      </c>
      <c r="B47" s="3" t="s">
        <v>68</v>
      </c>
      <c r="C47" s="3">
        <v>120</v>
      </c>
      <c r="D47" s="1"/>
      <c r="E47" s="20" t="s">
        <v>24</v>
      </c>
      <c r="F47" s="7" t="s">
        <v>14</v>
      </c>
      <c r="G47" s="7" t="s">
        <v>30</v>
      </c>
      <c r="H47" s="11">
        <v>9.26</v>
      </c>
      <c r="I47" s="8">
        <v>9.5</v>
      </c>
      <c r="J47" s="26">
        <v>1</v>
      </c>
      <c r="K47" s="10">
        <f t="shared" si="0"/>
        <v>8.7969999999999993E-2</v>
      </c>
      <c r="L47" s="4"/>
      <c r="M47" s="17">
        <v>1</v>
      </c>
      <c r="N47" s="18">
        <f t="shared" si="1"/>
        <v>8.7969999999999993E-2</v>
      </c>
      <c r="O47" s="19">
        <f t="shared" si="2"/>
        <v>0</v>
      </c>
      <c r="P47" s="13">
        <f t="shared" si="3"/>
        <v>0</v>
      </c>
      <c r="Q47" s="9">
        <v>7.6</v>
      </c>
      <c r="R47" s="2">
        <v>1</v>
      </c>
      <c r="S47" s="2"/>
    </row>
    <row r="48" spans="1:19">
      <c r="A48" s="42" t="s">
        <v>77</v>
      </c>
      <c r="B48" s="3" t="s">
        <v>68</v>
      </c>
      <c r="C48" s="3">
        <v>120</v>
      </c>
      <c r="D48" s="1"/>
      <c r="E48" s="20" t="s">
        <v>24</v>
      </c>
      <c r="F48" s="7" t="s">
        <v>14</v>
      </c>
      <c r="G48" s="7" t="s">
        <v>30</v>
      </c>
      <c r="H48" s="11">
        <v>9.26</v>
      </c>
      <c r="I48" s="8">
        <v>11</v>
      </c>
      <c r="J48" s="26">
        <v>2</v>
      </c>
      <c r="K48" s="10">
        <f t="shared" si="0"/>
        <v>0.20372000000000001</v>
      </c>
      <c r="L48" s="4"/>
      <c r="M48" s="17">
        <v>2</v>
      </c>
      <c r="N48" s="18">
        <f t="shared" si="1"/>
        <v>0.20372000000000001</v>
      </c>
      <c r="O48" s="106">
        <f t="shared" si="2"/>
        <v>0</v>
      </c>
      <c r="P48" s="13">
        <f t="shared" si="3"/>
        <v>0</v>
      </c>
      <c r="Q48" s="9"/>
      <c r="R48" s="2">
        <v>2</v>
      </c>
      <c r="S48" s="2" t="s">
        <v>222</v>
      </c>
    </row>
    <row r="49" spans="1:19">
      <c r="A49" s="42" t="s">
        <v>77</v>
      </c>
      <c r="B49" s="3" t="s">
        <v>68</v>
      </c>
      <c r="C49" s="3">
        <v>128</v>
      </c>
      <c r="D49" s="1"/>
      <c r="E49" s="20" t="s">
        <v>24</v>
      </c>
      <c r="F49" s="7" t="s">
        <v>14</v>
      </c>
      <c r="G49" s="7" t="s">
        <v>22</v>
      </c>
      <c r="H49" s="11">
        <v>10.73</v>
      </c>
      <c r="I49" s="8">
        <v>6.9</v>
      </c>
      <c r="J49" s="26">
        <v>1</v>
      </c>
      <c r="K49" s="10">
        <f t="shared" si="0"/>
        <v>7.4037000000000006E-2</v>
      </c>
      <c r="L49" s="4"/>
      <c r="M49" s="17">
        <v>1</v>
      </c>
      <c r="N49" s="18">
        <f t="shared" si="1"/>
        <v>7.4037000000000006E-2</v>
      </c>
      <c r="O49" s="19">
        <f t="shared" si="2"/>
        <v>0</v>
      </c>
      <c r="P49" s="13">
        <f t="shared" si="3"/>
        <v>0</v>
      </c>
      <c r="Q49" s="9">
        <v>6.5</v>
      </c>
      <c r="R49" s="35">
        <v>1</v>
      </c>
      <c r="S49" s="2" t="s">
        <v>278</v>
      </c>
    </row>
    <row r="50" spans="1:19">
      <c r="A50" s="42" t="s">
        <v>77</v>
      </c>
      <c r="B50" s="3" t="s">
        <v>68</v>
      </c>
      <c r="C50" s="3">
        <v>128</v>
      </c>
      <c r="D50" s="1"/>
      <c r="E50" s="20" t="s">
        <v>24</v>
      </c>
      <c r="F50" s="7" t="s">
        <v>14</v>
      </c>
      <c r="G50" s="7" t="s">
        <v>22</v>
      </c>
      <c r="H50" s="11">
        <v>10.73</v>
      </c>
      <c r="I50" s="8">
        <v>7</v>
      </c>
      <c r="J50" s="26">
        <v>3</v>
      </c>
      <c r="K50" s="10">
        <f t="shared" si="0"/>
        <v>0.22532999999999997</v>
      </c>
      <c r="L50" s="4"/>
      <c r="M50" s="17">
        <v>3</v>
      </c>
      <c r="N50" s="18">
        <f t="shared" si="1"/>
        <v>0.22533</v>
      </c>
      <c r="O50" s="19">
        <f t="shared" si="2"/>
        <v>0</v>
      </c>
      <c r="P50" s="13">
        <f t="shared" si="3"/>
        <v>0</v>
      </c>
      <c r="Q50" s="9">
        <v>6.5</v>
      </c>
      <c r="R50" s="35">
        <v>3</v>
      </c>
      <c r="S50" s="2" t="s">
        <v>278</v>
      </c>
    </row>
    <row r="51" spans="1:19">
      <c r="A51" s="42" t="s">
        <v>77</v>
      </c>
      <c r="B51" s="3" t="s">
        <v>68</v>
      </c>
      <c r="C51" s="3">
        <v>133</v>
      </c>
      <c r="D51" s="1"/>
      <c r="E51" s="20" t="s">
        <v>24</v>
      </c>
      <c r="F51" s="7" t="s">
        <v>14</v>
      </c>
      <c r="G51" s="7" t="s">
        <v>22</v>
      </c>
      <c r="H51" s="11">
        <v>10.73</v>
      </c>
      <c r="I51" s="8">
        <v>9.5</v>
      </c>
      <c r="J51" s="26">
        <v>1</v>
      </c>
      <c r="K51" s="10">
        <f t="shared" si="0"/>
        <v>0.101935</v>
      </c>
      <c r="L51" s="4"/>
      <c r="M51" s="17">
        <v>1</v>
      </c>
      <c r="N51" s="18">
        <f t="shared" si="1"/>
        <v>0.101935</v>
      </c>
      <c r="O51" s="19">
        <f t="shared" si="2"/>
        <v>0</v>
      </c>
      <c r="P51" s="13">
        <f t="shared" si="3"/>
        <v>0</v>
      </c>
      <c r="Q51" s="9"/>
      <c r="R51" s="2">
        <v>1</v>
      </c>
      <c r="S51" s="2" t="s">
        <v>223</v>
      </c>
    </row>
    <row r="52" spans="1:19">
      <c r="A52" s="42" t="s">
        <v>77</v>
      </c>
      <c r="B52" s="3" t="s">
        <v>68</v>
      </c>
      <c r="C52" s="3">
        <v>133</v>
      </c>
      <c r="D52" s="1"/>
      <c r="E52" s="20" t="s">
        <v>24</v>
      </c>
      <c r="F52" s="7" t="s">
        <v>14</v>
      </c>
      <c r="G52" s="7" t="s">
        <v>22</v>
      </c>
      <c r="H52" s="11">
        <v>10.73</v>
      </c>
      <c r="I52" s="8">
        <v>10</v>
      </c>
      <c r="J52" s="26">
        <v>2</v>
      </c>
      <c r="K52" s="10">
        <f t="shared" si="0"/>
        <v>0.21460000000000001</v>
      </c>
      <c r="L52" s="4"/>
      <c r="M52" s="17">
        <v>2</v>
      </c>
      <c r="N52" s="18">
        <f t="shared" si="1"/>
        <v>0.21460000000000001</v>
      </c>
      <c r="O52" s="19">
        <f t="shared" si="2"/>
        <v>0</v>
      </c>
      <c r="P52" s="13">
        <f t="shared" si="3"/>
        <v>0</v>
      </c>
      <c r="Q52" s="9">
        <v>8.75</v>
      </c>
      <c r="R52" s="2">
        <v>2</v>
      </c>
      <c r="S52" s="2" t="s">
        <v>450</v>
      </c>
    </row>
    <row r="53" spans="1:19">
      <c r="A53" s="42" t="s">
        <v>77</v>
      </c>
      <c r="B53" s="3" t="s">
        <v>68</v>
      </c>
      <c r="C53" s="3">
        <v>133</v>
      </c>
      <c r="D53" s="1"/>
      <c r="E53" s="20" t="s">
        <v>24</v>
      </c>
      <c r="F53" s="7" t="s">
        <v>14</v>
      </c>
      <c r="G53" s="7" t="s">
        <v>22</v>
      </c>
      <c r="H53" s="11">
        <v>10.73</v>
      </c>
      <c r="I53" s="8">
        <v>11</v>
      </c>
      <c r="J53" s="26">
        <v>4</v>
      </c>
      <c r="K53" s="10">
        <f t="shared" si="0"/>
        <v>0.47211999999999998</v>
      </c>
      <c r="L53" s="4"/>
      <c r="M53" s="17">
        <v>4</v>
      </c>
      <c r="N53" s="18">
        <f t="shared" si="1"/>
        <v>0.47211999999999998</v>
      </c>
      <c r="O53" s="19">
        <f t="shared" si="2"/>
        <v>0</v>
      </c>
      <c r="P53" s="13">
        <f t="shared" si="3"/>
        <v>0</v>
      </c>
      <c r="Q53" s="9"/>
      <c r="R53" s="2">
        <v>4</v>
      </c>
      <c r="S53" s="2" t="s">
        <v>223</v>
      </c>
    </row>
    <row r="54" spans="1:19">
      <c r="A54" s="42" t="s">
        <v>77</v>
      </c>
      <c r="B54" s="3" t="s">
        <v>68</v>
      </c>
      <c r="C54" s="3">
        <v>133</v>
      </c>
      <c r="D54" s="1"/>
      <c r="E54" s="20" t="s">
        <v>24</v>
      </c>
      <c r="F54" s="7" t="s">
        <v>14</v>
      </c>
      <c r="G54" s="7" t="s">
        <v>22</v>
      </c>
      <c r="H54" s="11">
        <v>10.73</v>
      </c>
      <c r="I54" s="8">
        <v>12</v>
      </c>
      <c r="J54" s="26">
        <v>7</v>
      </c>
      <c r="K54" s="10">
        <f t="shared" si="0"/>
        <v>0.9013199999999999</v>
      </c>
      <c r="L54" s="4"/>
      <c r="M54" s="17">
        <v>7</v>
      </c>
      <c r="N54" s="18">
        <f t="shared" si="1"/>
        <v>0.90132000000000001</v>
      </c>
      <c r="O54" s="19">
        <f t="shared" si="2"/>
        <v>0</v>
      </c>
      <c r="P54" s="13">
        <f t="shared" si="3"/>
        <v>0</v>
      </c>
      <c r="Q54" s="9"/>
      <c r="R54" s="2">
        <v>7</v>
      </c>
      <c r="S54" s="2" t="s">
        <v>223</v>
      </c>
    </row>
    <row r="55" spans="1:19">
      <c r="A55" s="42" t="s">
        <v>77</v>
      </c>
      <c r="B55" s="3" t="s">
        <v>68</v>
      </c>
      <c r="C55" s="3">
        <v>134</v>
      </c>
      <c r="D55" s="1"/>
      <c r="E55" s="20" t="s">
        <v>19</v>
      </c>
      <c r="F55" s="7" t="s">
        <v>14</v>
      </c>
      <c r="G55" s="7" t="s">
        <v>40</v>
      </c>
      <c r="H55" s="11">
        <v>16.5</v>
      </c>
      <c r="I55" s="8">
        <v>11</v>
      </c>
      <c r="J55" s="26">
        <v>1</v>
      </c>
      <c r="K55" s="10">
        <f t="shared" ref="K55:K95" si="4">(H55*I55*J55/1000)</f>
        <v>0.18149999999999999</v>
      </c>
      <c r="L55" s="4"/>
      <c r="M55" s="17"/>
      <c r="N55" s="18">
        <f t="shared" ref="N55:N95" si="5">I55*M55*H55/1000</f>
        <v>0</v>
      </c>
      <c r="O55" s="19">
        <f t="shared" ref="O55:O95" si="6">J55-M55</f>
        <v>1</v>
      </c>
      <c r="P55" s="13">
        <f t="shared" ref="P55:P95" si="7">I55*O55*H55/1000</f>
        <v>0.18149999999999999</v>
      </c>
      <c r="Q55" s="9"/>
      <c r="R55" s="2"/>
      <c r="S55" s="2"/>
    </row>
    <row r="56" spans="1:19">
      <c r="A56" s="42" t="s">
        <v>77</v>
      </c>
      <c r="B56" s="3" t="s">
        <v>68</v>
      </c>
      <c r="C56" s="3">
        <v>134</v>
      </c>
      <c r="D56" s="1"/>
      <c r="E56" s="20" t="s">
        <v>19</v>
      </c>
      <c r="F56" s="7" t="s">
        <v>14</v>
      </c>
      <c r="G56" s="7" t="s">
        <v>40</v>
      </c>
      <c r="H56" s="11">
        <v>16.5</v>
      </c>
      <c r="I56" s="8">
        <v>11.1</v>
      </c>
      <c r="J56" s="26">
        <v>2</v>
      </c>
      <c r="K56" s="10">
        <f t="shared" si="4"/>
        <v>0.36630000000000001</v>
      </c>
      <c r="L56" s="4"/>
      <c r="M56" s="17"/>
      <c r="N56" s="18">
        <f t="shared" si="5"/>
        <v>0</v>
      </c>
      <c r="O56" s="19">
        <f t="shared" si="6"/>
        <v>2</v>
      </c>
      <c r="P56" s="13">
        <f t="shared" si="7"/>
        <v>0.36630000000000001</v>
      </c>
      <c r="Q56" s="9"/>
      <c r="R56" s="2"/>
      <c r="S56" s="2"/>
    </row>
    <row r="57" spans="1:19">
      <c r="A57" s="42" t="s">
        <v>77</v>
      </c>
      <c r="B57" s="3" t="s">
        <v>68</v>
      </c>
      <c r="C57" s="3">
        <v>134</v>
      </c>
      <c r="D57" s="1"/>
      <c r="E57" s="20" t="s">
        <v>19</v>
      </c>
      <c r="F57" s="7" t="s">
        <v>14</v>
      </c>
      <c r="G57" s="7" t="s">
        <v>40</v>
      </c>
      <c r="H57" s="11">
        <v>16.5</v>
      </c>
      <c r="I57" s="8">
        <v>11.1</v>
      </c>
      <c r="J57" s="26">
        <v>1</v>
      </c>
      <c r="K57" s="10">
        <f t="shared" si="4"/>
        <v>0.18315000000000001</v>
      </c>
      <c r="L57" s="4"/>
      <c r="M57" s="17"/>
      <c r="N57" s="18">
        <f t="shared" si="5"/>
        <v>0</v>
      </c>
      <c r="O57" s="19">
        <f t="shared" si="6"/>
        <v>1</v>
      </c>
      <c r="P57" s="13">
        <f t="shared" si="7"/>
        <v>0.18315000000000001</v>
      </c>
      <c r="Q57" s="9"/>
      <c r="R57" s="2"/>
      <c r="S57" s="2"/>
    </row>
    <row r="58" spans="1:19">
      <c r="A58" s="42" t="s">
        <v>77</v>
      </c>
      <c r="B58" s="3" t="s">
        <v>68</v>
      </c>
      <c r="C58" s="3">
        <v>135</v>
      </c>
      <c r="D58" s="1"/>
      <c r="E58" s="20" t="s">
        <v>19</v>
      </c>
      <c r="F58" s="7" t="s">
        <v>14</v>
      </c>
      <c r="G58" s="7" t="s">
        <v>49</v>
      </c>
      <c r="H58" s="11">
        <v>17.82</v>
      </c>
      <c r="I58" s="8">
        <v>6.5</v>
      </c>
      <c r="J58" s="26">
        <v>1</v>
      </c>
      <c r="K58" s="10">
        <f t="shared" si="4"/>
        <v>0.11583</v>
      </c>
      <c r="L58" s="4"/>
      <c r="M58" s="17"/>
      <c r="N58" s="18">
        <f t="shared" si="5"/>
        <v>0</v>
      </c>
      <c r="O58" s="19">
        <f t="shared" si="6"/>
        <v>1</v>
      </c>
      <c r="P58" s="13">
        <f t="shared" si="7"/>
        <v>0.11583</v>
      </c>
      <c r="Q58" s="9"/>
      <c r="R58" s="2"/>
      <c r="S58" s="2"/>
    </row>
    <row r="59" spans="1:19">
      <c r="A59" s="42" t="s">
        <v>77</v>
      </c>
      <c r="B59" s="3" t="s">
        <v>68</v>
      </c>
      <c r="C59" s="3">
        <v>136</v>
      </c>
      <c r="D59" s="1"/>
      <c r="E59" s="20" t="s">
        <v>20</v>
      </c>
      <c r="F59" s="7" t="s">
        <v>15</v>
      </c>
      <c r="G59" s="7" t="s">
        <v>57</v>
      </c>
      <c r="H59" s="11">
        <v>33.72</v>
      </c>
      <c r="I59" s="8">
        <v>6.1</v>
      </c>
      <c r="J59" s="26">
        <v>2</v>
      </c>
      <c r="K59" s="10">
        <f t="shared" si="4"/>
        <v>0.41138399999999997</v>
      </c>
      <c r="L59" s="4"/>
      <c r="M59" s="17">
        <v>2</v>
      </c>
      <c r="N59" s="18">
        <f t="shared" si="5"/>
        <v>0.41138399999999997</v>
      </c>
      <c r="O59" s="19">
        <f t="shared" si="6"/>
        <v>0</v>
      </c>
      <c r="P59" s="13">
        <f t="shared" si="7"/>
        <v>0</v>
      </c>
      <c r="Q59" s="9">
        <v>6.1</v>
      </c>
      <c r="R59" s="2">
        <v>2</v>
      </c>
      <c r="S59" s="2" t="s">
        <v>278</v>
      </c>
    </row>
    <row r="60" spans="1:19">
      <c r="A60" s="42" t="s">
        <v>77</v>
      </c>
      <c r="B60" s="3" t="s">
        <v>68</v>
      </c>
      <c r="C60" s="3">
        <v>137</v>
      </c>
      <c r="D60" s="1"/>
      <c r="E60" s="20" t="s">
        <v>20</v>
      </c>
      <c r="F60" s="7" t="s">
        <v>15</v>
      </c>
      <c r="G60" s="7" t="s">
        <v>39</v>
      </c>
      <c r="H60" s="11">
        <v>14.66</v>
      </c>
      <c r="I60" s="8">
        <v>7</v>
      </c>
      <c r="J60" s="26">
        <v>1</v>
      </c>
      <c r="K60" s="10">
        <f t="shared" si="4"/>
        <v>0.10262</v>
      </c>
      <c r="L60" s="4"/>
      <c r="M60" s="17">
        <v>1</v>
      </c>
      <c r="N60" s="18">
        <f t="shared" si="5"/>
        <v>0.10262</v>
      </c>
      <c r="O60" s="19">
        <f t="shared" si="6"/>
        <v>0</v>
      </c>
      <c r="P60" s="13">
        <f t="shared" si="7"/>
        <v>0</v>
      </c>
      <c r="Q60" s="9">
        <v>6.5</v>
      </c>
      <c r="R60" s="35">
        <v>1</v>
      </c>
      <c r="S60" s="2" t="s">
        <v>444</v>
      </c>
    </row>
    <row r="61" spans="1:19">
      <c r="A61" s="42" t="s">
        <v>77</v>
      </c>
      <c r="B61" s="3" t="s">
        <v>68</v>
      </c>
      <c r="C61" s="3">
        <v>138</v>
      </c>
      <c r="D61" s="1"/>
      <c r="E61" s="20" t="s">
        <v>20</v>
      </c>
      <c r="F61" s="7" t="s">
        <v>15</v>
      </c>
      <c r="G61" s="7" t="s">
        <v>45</v>
      </c>
      <c r="H61" s="11">
        <v>13.6</v>
      </c>
      <c r="I61" s="8">
        <v>8</v>
      </c>
      <c r="J61" s="26">
        <v>1</v>
      </c>
      <c r="K61" s="10">
        <f t="shared" si="4"/>
        <v>0.10879999999999999</v>
      </c>
      <c r="L61" s="4"/>
      <c r="M61" s="17">
        <v>1</v>
      </c>
      <c r="N61" s="18">
        <f t="shared" si="5"/>
        <v>0.10879999999999999</v>
      </c>
      <c r="O61" s="19">
        <f t="shared" si="6"/>
        <v>0</v>
      </c>
      <c r="P61" s="13">
        <f t="shared" si="7"/>
        <v>0</v>
      </c>
      <c r="Q61" s="9">
        <v>6.6</v>
      </c>
      <c r="R61" s="2">
        <v>1</v>
      </c>
      <c r="S61" s="2" t="s">
        <v>279</v>
      </c>
    </row>
    <row r="62" spans="1:19">
      <c r="A62" s="42" t="s">
        <v>77</v>
      </c>
      <c r="B62" s="3" t="s">
        <v>68</v>
      </c>
      <c r="C62" s="3">
        <v>139</v>
      </c>
      <c r="D62" s="1"/>
      <c r="E62" s="20" t="s">
        <v>127</v>
      </c>
      <c r="F62" s="7" t="s">
        <v>15</v>
      </c>
      <c r="G62" s="7" t="s">
        <v>57</v>
      </c>
      <c r="H62" s="11">
        <v>33.72</v>
      </c>
      <c r="I62" s="8">
        <v>6.3</v>
      </c>
      <c r="J62" s="26">
        <v>2</v>
      </c>
      <c r="K62" s="10">
        <f t="shared" si="4"/>
        <v>0.42487199999999997</v>
      </c>
      <c r="L62" s="4"/>
      <c r="M62" s="17">
        <v>2</v>
      </c>
      <c r="N62" s="18">
        <f t="shared" si="5"/>
        <v>0.42487199999999997</v>
      </c>
      <c r="O62" s="19">
        <f t="shared" si="6"/>
        <v>0</v>
      </c>
      <c r="P62" s="13">
        <f t="shared" si="7"/>
        <v>0</v>
      </c>
      <c r="Q62" s="9">
        <v>6.3</v>
      </c>
      <c r="R62" s="2">
        <v>2</v>
      </c>
      <c r="S62" s="2" t="s">
        <v>278</v>
      </c>
    </row>
    <row r="63" spans="1:19">
      <c r="A63" s="42" t="s">
        <v>77</v>
      </c>
      <c r="B63" s="3" t="s">
        <v>68</v>
      </c>
      <c r="C63" s="3">
        <v>139</v>
      </c>
      <c r="D63" s="1"/>
      <c r="E63" s="20" t="s">
        <v>127</v>
      </c>
      <c r="F63" s="7" t="s">
        <v>15</v>
      </c>
      <c r="G63" s="7" t="s">
        <v>57</v>
      </c>
      <c r="H63" s="11">
        <v>33.72</v>
      </c>
      <c r="I63" s="8">
        <v>8.1999999999999993</v>
      </c>
      <c r="J63" s="26">
        <v>1</v>
      </c>
      <c r="K63" s="10">
        <f t="shared" si="4"/>
        <v>0.27650399999999997</v>
      </c>
      <c r="L63" s="4"/>
      <c r="M63" s="17">
        <v>1</v>
      </c>
      <c r="N63" s="18">
        <f t="shared" si="5"/>
        <v>0.27650399999999997</v>
      </c>
      <c r="O63" s="19">
        <f t="shared" si="6"/>
        <v>0</v>
      </c>
      <c r="P63" s="13">
        <f t="shared" si="7"/>
        <v>0</v>
      </c>
      <c r="Q63" s="9">
        <v>8.1999999999999993</v>
      </c>
      <c r="R63" s="2">
        <v>1</v>
      </c>
      <c r="S63" s="2" t="s">
        <v>278</v>
      </c>
    </row>
    <row r="64" spans="1:19">
      <c r="A64" s="42" t="s">
        <v>77</v>
      </c>
      <c r="B64" s="3" t="s">
        <v>68</v>
      </c>
      <c r="C64" s="3">
        <v>140</v>
      </c>
      <c r="D64" s="1"/>
      <c r="E64" s="24" t="s">
        <v>20</v>
      </c>
      <c r="F64" s="60" t="s">
        <v>15</v>
      </c>
      <c r="G64" s="60" t="s">
        <v>60</v>
      </c>
      <c r="H64" s="61">
        <v>22.93</v>
      </c>
      <c r="I64" s="21">
        <v>4.7</v>
      </c>
      <c r="J64" s="22">
        <v>1</v>
      </c>
      <c r="K64" s="62">
        <f t="shared" si="4"/>
        <v>0.10777100000000001</v>
      </c>
      <c r="L64" s="253" t="s">
        <v>69</v>
      </c>
      <c r="M64" s="22"/>
      <c r="N64" s="63">
        <f t="shared" si="5"/>
        <v>0</v>
      </c>
      <c r="O64" s="64">
        <f t="shared" si="6"/>
        <v>1</v>
      </c>
      <c r="P64" s="65">
        <f t="shared" si="7"/>
        <v>0.10777100000000001</v>
      </c>
      <c r="Q64" s="9"/>
      <c r="R64" s="2"/>
      <c r="S64" s="2"/>
    </row>
    <row r="65" spans="1:24">
      <c r="A65" s="42" t="s">
        <v>77</v>
      </c>
      <c r="B65" s="3" t="s">
        <v>68</v>
      </c>
      <c r="C65" s="3">
        <v>140</v>
      </c>
      <c r="D65" s="1"/>
      <c r="E65" s="24" t="s">
        <v>20</v>
      </c>
      <c r="F65" s="60" t="s">
        <v>15</v>
      </c>
      <c r="G65" s="60" t="s">
        <v>60</v>
      </c>
      <c r="H65" s="61">
        <v>22.93</v>
      </c>
      <c r="I65" s="21">
        <v>7.3</v>
      </c>
      <c r="J65" s="22">
        <v>1</v>
      </c>
      <c r="K65" s="62">
        <f t="shared" si="4"/>
        <v>0.16738899999999998</v>
      </c>
      <c r="L65" s="253" t="s">
        <v>69</v>
      </c>
      <c r="M65" s="22"/>
      <c r="N65" s="63">
        <f t="shared" si="5"/>
        <v>0</v>
      </c>
      <c r="O65" s="64">
        <f t="shared" si="6"/>
        <v>1</v>
      </c>
      <c r="P65" s="65">
        <f t="shared" si="7"/>
        <v>0.16738899999999998</v>
      </c>
      <c r="Q65" s="9"/>
      <c r="R65" s="2"/>
      <c r="S65" s="2"/>
    </row>
    <row r="66" spans="1:24">
      <c r="A66" s="42" t="s">
        <v>77</v>
      </c>
      <c r="B66" s="3" t="s">
        <v>68</v>
      </c>
      <c r="C66" s="3">
        <v>141</v>
      </c>
      <c r="D66" s="1"/>
      <c r="E66" s="20" t="s">
        <v>20</v>
      </c>
      <c r="F66" s="7" t="s">
        <v>15</v>
      </c>
      <c r="G66" s="7" t="s">
        <v>62</v>
      </c>
      <c r="H66" s="11">
        <v>19.899999999999999</v>
      </c>
      <c r="I66" s="8">
        <v>11</v>
      </c>
      <c r="J66" s="26">
        <v>1</v>
      </c>
      <c r="K66" s="10">
        <f t="shared" si="4"/>
        <v>0.21889999999999998</v>
      </c>
      <c r="L66" s="4"/>
      <c r="M66" s="17">
        <v>1</v>
      </c>
      <c r="N66" s="18">
        <f t="shared" si="5"/>
        <v>0.21889999999999998</v>
      </c>
      <c r="O66" s="19">
        <f t="shared" si="6"/>
        <v>0</v>
      </c>
      <c r="P66" s="13">
        <f t="shared" si="7"/>
        <v>0</v>
      </c>
      <c r="Q66" s="9">
        <v>11</v>
      </c>
      <c r="R66" s="2">
        <v>1</v>
      </c>
      <c r="S66" s="2" t="s">
        <v>279</v>
      </c>
    </row>
    <row r="67" spans="1:24">
      <c r="A67" s="42" t="s">
        <v>77</v>
      </c>
      <c r="B67" s="3" t="s">
        <v>68</v>
      </c>
      <c r="C67" s="3">
        <v>141</v>
      </c>
      <c r="D67" s="1"/>
      <c r="E67" s="20" t="s">
        <v>20</v>
      </c>
      <c r="F67" s="7" t="s">
        <v>15</v>
      </c>
      <c r="G67" s="7" t="s">
        <v>62</v>
      </c>
      <c r="H67" s="11">
        <v>19.899999999999999</v>
      </c>
      <c r="I67" s="8">
        <v>12</v>
      </c>
      <c r="J67" s="26">
        <v>1</v>
      </c>
      <c r="K67" s="10">
        <f t="shared" si="4"/>
        <v>0.23879999999999998</v>
      </c>
      <c r="L67" s="4"/>
      <c r="M67" s="17">
        <v>1</v>
      </c>
      <c r="N67" s="18">
        <f t="shared" si="5"/>
        <v>0.23879999999999998</v>
      </c>
      <c r="O67" s="19">
        <f t="shared" si="6"/>
        <v>0</v>
      </c>
      <c r="P67" s="13">
        <f t="shared" si="7"/>
        <v>0</v>
      </c>
      <c r="Q67" s="9"/>
      <c r="R67" s="2">
        <v>1</v>
      </c>
      <c r="S67" s="2" t="s">
        <v>278</v>
      </c>
    </row>
    <row r="68" spans="1:24">
      <c r="A68" s="42" t="s">
        <v>77</v>
      </c>
      <c r="B68" s="3" t="s">
        <v>68</v>
      </c>
      <c r="C68" s="3">
        <v>142</v>
      </c>
      <c r="D68" s="1"/>
      <c r="E68" s="20" t="s">
        <v>20</v>
      </c>
      <c r="F68" s="7" t="s">
        <v>15</v>
      </c>
      <c r="G68" s="7" t="s">
        <v>61</v>
      </c>
      <c r="H68" s="11">
        <v>19.68</v>
      </c>
      <c r="I68" s="8">
        <v>5.4</v>
      </c>
      <c r="J68" s="26">
        <v>1</v>
      </c>
      <c r="K68" s="10">
        <f t="shared" si="4"/>
        <v>0.10627200000000001</v>
      </c>
      <c r="L68" s="4"/>
      <c r="M68" s="17"/>
      <c r="N68" s="18">
        <f t="shared" si="5"/>
        <v>0</v>
      </c>
      <c r="O68" s="19">
        <f t="shared" si="6"/>
        <v>1</v>
      </c>
      <c r="P68" s="13">
        <f t="shared" si="7"/>
        <v>0.10627200000000001</v>
      </c>
      <c r="Q68" s="9"/>
      <c r="R68" s="2"/>
      <c r="S68" s="2"/>
    </row>
    <row r="69" spans="1:24">
      <c r="A69" s="42" t="s">
        <v>77</v>
      </c>
      <c r="B69" s="3" t="s">
        <v>68</v>
      </c>
      <c r="C69" s="3">
        <v>143</v>
      </c>
      <c r="D69" s="1"/>
      <c r="E69" s="20" t="s">
        <v>20</v>
      </c>
      <c r="F69" s="7" t="s">
        <v>15</v>
      </c>
      <c r="G69" s="7" t="s">
        <v>44</v>
      </c>
      <c r="H69" s="11">
        <v>13.4</v>
      </c>
      <c r="I69" s="8">
        <v>6.8</v>
      </c>
      <c r="J69" s="26">
        <v>2</v>
      </c>
      <c r="K69" s="10">
        <f t="shared" si="4"/>
        <v>0.18224000000000001</v>
      </c>
      <c r="L69" s="4"/>
      <c r="M69" s="17">
        <v>2</v>
      </c>
      <c r="N69" s="18">
        <f t="shared" si="5"/>
        <v>0.18224000000000001</v>
      </c>
      <c r="O69" s="19">
        <f t="shared" si="6"/>
        <v>0</v>
      </c>
      <c r="P69" s="13">
        <f t="shared" si="7"/>
        <v>0</v>
      </c>
      <c r="Q69" s="9"/>
      <c r="R69" s="2">
        <v>2</v>
      </c>
      <c r="S69" s="2" t="s">
        <v>485</v>
      </c>
    </row>
    <row r="70" spans="1:24">
      <c r="A70" s="42" t="s">
        <v>77</v>
      </c>
      <c r="B70" s="3" t="s">
        <v>68</v>
      </c>
      <c r="C70" s="3">
        <v>143</v>
      </c>
      <c r="D70" s="1"/>
      <c r="E70" s="20" t="s">
        <v>20</v>
      </c>
      <c r="F70" s="7" t="s">
        <v>15</v>
      </c>
      <c r="G70" s="7" t="s">
        <v>44</v>
      </c>
      <c r="H70" s="11">
        <v>13.4</v>
      </c>
      <c r="I70" s="8">
        <v>7.2</v>
      </c>
      <c r="J70" s="26">
        <v>1</v>
      </c>
      <c r="K70" s="10">
        <f t="shared" si="4"/>
        <v>9.648000000000001E-2</v>
      </c>
      <c r="L70" s="4"/>
      <c r="M70" s="17">
        <v>1</v>
      </c>
      <c r="N70" s="18">
        <f t="shared" si="5"/>
        <v>9.648000000000001E-2</v>
      </c>
      <c r="O70" s="19">
        <f t="shared" si="6"/>
        <v>0</v>
      </c>
      <c r="P70" s="13">
        <f t="shared" si="7"/>
        <v>0</v>
      </c>
      <c r="Q70" s="9"/>
      <c r="R70" s="2">
        <v>1</v>
      </c>
      <c r="S70" s="2" t="s">
        <v>485</v>
      </c>
    </row>
    <row r="71" spans="1:24">
      <c r="A71" s="42" t="s">
        <v>77</v>
      </c>
      <c r="B71" s="3" t="s">
        <v>68</v>
      </c>
      <c r="C71" s="3">
        <v>144</v>
      </c>
      <c r="D71" s="1"/>
      <c r="E71" s="20" t="s">
        <v>24</v>
      </c>
      <c r="F71" s="7" t="s">
        <v>14</v>
      </c>
      <c r="G71" s="7" t="s">
        <v>36</v>
      </c>
      <c r="H71" s="11">
        <v>10.199999999999999</v>
      </c>
      <c r="I71" s="8">
        <v>6.9</v>
      </c>
      <c r="J71" s="26">
        <v>24</v>
      </c>
      <c r="K71" s="10">
        <f t="shared" si="4"/>
        <v>1.68912</v>
      </c>
      <c r="L71" s="4"/>
      <c r="M71" s="17">
        <f>6+3+12+3</f>
        <v>24</v>
      </c>
      <c r="N71" s="18">
        <f t="shared" si="5"/>
        <v>1.6891200000000002</v>
      </c>
      <c r="O71" s="19">
        <f t="shared" si="6"/>
        <v>0</v>
      </c>
      <c r="P71" s="13">
        <f t="shared" si="7"/>
        <v>0</v>
      </c>
      <c r="Q71" s="9">
        <v>6.9</v>
      </c>
      <c r="R71" s="35">
        <v>3</v>
      </c>
      <c r="S71" s="2" t="s">
        <v>661</v>
      </c>
      <c r="T71">
        <v>12</v>
      </c>
      <c r="U71" s="213" t="s">
        <v>295</v>
      </c>
      <c r="W71" s="9">
        <v>6.9</v>
      </c>
      <c r="X71" s="2">
        <v>9</v>
      </c>
    </row>
    <row r="72" spans="1:24">
      <c r="A72" s="42" t="s">
        <v>77</v>
      </c>
      <c r="B72" s="3" t="s">
        <v>68</v>
      </c>
      <c r="C72" s="3">
        <v>145</v>
      </c>
      <c r="D72" s="1"/>
      <c r="E72" s="20" t="s">
        <v>24</v>
      </c>
      <c r="F72" s="7" t="s">
        <v>14</v>
      </c>
      <c r="G72" s="7" t="s">
        <v>41</v>
      </c>
      <c r="H72" s="11">
        <v>11.8</v>
      </c>
      <c r="I72" s="8">
        <v>6.9</v>
      </c>
      <c r="J72" s="26">
        <v>3</v>
      </c>
      <c r="K72" s="10">
        <f t="shared" si="4"/>
        <v>0.24426000000000006</v>
      </c>
      <c r="L72" s="4"/>
      <c r="M72" s="17">
        <v>3</v>
      </c>
      <c r="N72" s="18">
        <f t="shared" si="5"/>
        <v>0.24426000000000006</v>
      </c>
      <c r="O72" s="19">
        <f t="shared" si="6"/>
        <v>0</v>
      </c>
      <c r="P72" s="13">
        <f t="shared" si="7"/>
        <v>0</v>
      </c>
      <c r="Q72" s="9">
        <v>6.75</v>
      </c>
      <c r="R72" s="2">
        <v>3</v>
      </c>
      <c r="S72" s="2" t="s">
        <v>192</v>
      </c>
    </row>
    <row r="73" spans="1:24">
      <c r="A73" s="42" t="s">
        <v>77</v>
      </c>
      <c r="B73" s="3" t="s">
        <v>68</v>
      </c>
      <c r="C73" s="3">
        <v>145</v>
      </c>
      <c r="D73" s="1"/>
      <c r="E73" s="20" t="s">
        <v>24</v>
      </c>
      <c r="F73" s="7" t="s">
        <v>14</v>
      </c>
      <c r="G73" s="7" t="s">
        <v>41</v>
      </c>
      <c r="H73" s="11">
        <v>11.8</v>
      </c>
      <c r="I73" s="8">
        <v>9.3000000000000007</v>
      </c>
      <c r="J73" s="26">
        <v>1</v>
      </c>
      <c r="K73" s="10">
        <f t="shared" si="4"/>
        <v>0.10974</v>
      </c>
      <c r="L73" s="4"/>
      <c r="M73" s="17">
        <v>1</v>
      </c>
      <c r="N73" s="18">
        <f t="shared" si="5"/>
        <v>0.10974</v>
      </c>
      <c r="O73" s="19">
        <f t="shared" si="6"/>
        <v>0</v>
      </c>
      <c r="P73" s="13">
        <f t="shared" si="7"/>
        <v>0</v>
      </c>
      <c r="Q73" s="9">
        <v>8.25</v>
      </c>
      <c r="R73" s="2">
        <v>1</v>
      </c>
      <c r="S73" s="2" t="s">
        <v>192</v>
      </c>
    </row>
    <row r="74" spans="1:24">
      <c r="A74" s="42" t="s">
        <v>77</v>
      </c>
      <c r="B74" s="3" t="s">
        <v>68</v>
      </c>
      <c r="C74" s="3">
        <v>146</v>
      </c>
      <c r="D74" s="1"/>
      <c r="E74" s="20" t="s">
        <v>24</v>
      </c>
      <c r="F74" s="7" t="s">
        <v>14</v>
      </c>
      <c r="G74" s="7" t="s">
        <v>36</v>
      </c>
      <c r="H74" s="11">
        <v>10.199999999999999</v>
      </c>
      <c r="I74" s="8">
        <v>6.4</v>
      </c>
      <c r="J74" s="26">
        <v>1</v>
      </c>
      <c r="K74" s="10">
        <f t="shared" si="4"/>
        <v>6.5280000000000005E-2</v>
      </c>
      <c r="L74" s="4"/>
      <c r="M74" s="17">
        <v>1</v>
      </c>
      <c r="N74" s="18">
        <f t="shared" si="5"/>
        <v>6.5280000000000005E-2</v>
      </c>
      <c r="O74" s="19">
        <f t="shared" si="6"/>
        <v>0</v>
      </c>
      <c r="P74" s="13">
        <f t="shared" si="7"/>
        <v>0</v>
      </c>
      <c r="Q74" s="9">
        <v>6.4</v>
      </c>
      <c r="R74" s="35">
        <v>1</v>
      </c>
      <c r="S74" s="2" t="s">
        <v>661</v>
      </c>
    </row>
    <row r="75" spans="1:24">
      <c r="A75" s="42" t="s">
        <v>77</v>
      </c>
      <c r="B75" s="3" t="s">
        <v>68</v>
      </c>
      <c r="C75" s="3">
        <v>146</v>
      </c>
      <c r="D75" s="1"/>
      <c r="E75" s="20" t="s">
        <v>24</v>
      </c>
      <c r="F75" s="7" t="s">
        <v>14</v>
      </c>
      <c r="G75" s="7" t="s">
        <v>36</v>
      </c>
      <c r="H75" s="11">
        <v>10.199999999999999</v>
      </c>
      <c r="I75" s="8">
        <v>7</v>
      </c>
      <c r="J75" s="26">
        <v>3</v>
      </c>
      <c r="K75" s="10">
        <f t="shared" si="4"/>
        <v>0.2142</v>
      </c>
      <c r="L75" s="4"/>
      <c r="M75" s="17">
        <v>3</v>
      </c>
      <c r="N75" s="18">
        <f t="shared" si="5"/>
        <v>0.2142</v>
      </c>
      <c r="O75" s="19">
        <f t="shared" si="6"/>
        <v>0</v>
      </c>
      <c r="P75" s="13">
        <f t="shared" si="7"/>
        <v>0</v>
      </c>
      <c r="Q75" s="9">
        <v>7</v>
      </c>
      <c r="R75" s="2">
        <v>3</v>
      </c>
      <c r="S75" s="2"/>
    </row>
    <row r="76" spans="1:24">
      <c r="A76" s="42" t="s">
        <v>77</v>
      </c>
      <c r="B76" s="3" t="s">
        <v>68</v>
      </c>
      <c r="C76" s="3">
        <v>146</v>
      </c>
      <c r="D76" s="1"/>
      <c r="E76" s="20" t="s">
        <v>24</v>
      </c>
      <c r="F76" s="7" t="s">
        <v>14</v>
      </c>
      <c r="G76" s="7" t="s">
        <v>36</v>
      </c>
      <c r="H76" s="11">
        <v>10.199999999999999</v>
      </c>
      <c r="I76" s="8">
        <v>10</v>
      </c>
      <c r="J76" s="26">
        <v>1</v>
      </c>
      <c r="K76" s="10">
        <f t="shared" si="4"/>
        <v>0.10199999999999999</v>
      </c>
      <c r="L76" s="4" t="s">
        <v>104</v>
      </c>
      <c r="M76" s="17"/>
      <c r="N76" s="18">
        <f t="shared" si="5"/>
        <v>0</v>
      </c>
      <c r="O76" s="19">
        <f t="shared" si="6"/>
        <v>1</v>
      </c>
      <c r="P76" s="13">
        <f t="shared" si="7"/>
        <v>0.10199999999999999</v>
      </c>
      <c r="Q76" s="9"/>
      <c r="R76" s="2"/>
      <c r="S76" s="2"/>
    </row>
    <row r="77" spans="1:24">
      <c r="A77" s="42" t="s">
        <v>77</v>
      </c>
      <c r="B77" s="3" t="s">
        <v>68</v>
      </c>
      <c r="C77" s="3">
        <v>146</v>
      </c>
      <c r="D77" s="1"/>
      <c r="E77" s="20" t="s">
        <v>24</v>
      </c>
      <c r="F77" s="7" t="s">
        <v>14</v>
      </c>
      <c r="G77" s="7" t="s">
        <v>36</v>
      </c>
      <c r="H77" s="11">
        <v>10.199999999999999</v>
      </c>
      <c r="I77" s="8">
        <v>6.4</v>
      </c>
      <c r="J77" s="26">
        <v>1</v>
      </c>
      <c r="K77" s="10">
        <f t="shared" si="4"/>
        <v>6.5280000000000005E-2</v>
      </c>
      <c r="L77" s="4"/>
      <c r="M77" s="17">
        <v>1</v>
      </c>
      <c r="N77" s="18">
        <f t="shared" si="5"/>
        <v>6.5280000000000005E-2</v>
      </c>
      <c r="O77" s="19">
        <f t="shared" si="6"/>
        <v>0</v>
      </c>
      <c r="P77" s="13">
        <f t="shared" si="7"/>
        <v>0</v>
      </c>
      <c r="Q77" s="9">
        <v>6.4</v>
      </c>
      <c r="R77" s="35">
        <v>1</v>
      </c>
      <c r="S77" s="2" t="s">
        <v>661</v>
      </c>
    </row>
    <row r="78" spans="1:24">
      <c r="A78" s="42" t="s">
        <v>77</v>
      </c>
      <c r="B78" s="3" t="s">
        <v>68</v>
      </c>
      <c r="C78" s="3">
        <v>146</v>
      </c>
      <c r="D78" s="1"/>
      <c r="E78" s="20" t="s">
        <v>24</v>
      </c>
      <c r="F78" s="7" t="s">
        <v>14</v>
      </c>
      <c r="G78" s="7" t="s">
        <v>36</v>
      </c>
      <c r="H78" s="11">
        <v>10.199999999999999</v>
      </c>
      <c r="I78" s="8">
        <v>6.5</v>
      </c>
      <c r="J78" s="26">
        <v>3</v>
      </c>
      <c r="K78" s="10">
        <f t="shared" si="4"/>
        <v>0.19889999999999997</v>
      </c>
      <c r="L78" s="4"/>
      <c r="M78" s="17">
        <v>3</v>
      </c>
      <c r="N78" s="18">
        <f t="shared" si="5"/>
        <v>0.19889999999999997</v>
      </c>
      <c r="O78" s="19">
        <f t="shared" si="6"/>
        <v>0</v>
      </c>
      <c r="P78" s="13">
        <f t="shared" si="7"/>
        <v>0</v>
      </c>
      <c r="Q78" s="9">
        <v>6.5</v>
      </c>
      <c r="R78" s="35">
        <v>3</v>
      </c>
      <c r="S78" s="2" t="s">
        <v>661</v>
      </c>
    </row>
    <row r="79" spans="1:24">
      <c r="A79" s="42" t="s">
        <v>77</v>
      </c>
      <c r="B79" s="3" t="s">
        <v>68</v>
      </c>
      <c r="C79" s="3">
        <v>147</v>
      </c>
      <c r="D79" s="1"/>
      <c r="E79" s="20" t="s">
        <v>17</v>
      </c>
      <c r="F79" s="7" t="s">
        <v>15</v>
      </c>
      <c r="G79" s="7" t="s">
        <v>35</v>
      </c>
      <c r="H79" s="11">
        <v>16.579999999999998</v>
      </c>
      <c r="I79" s="8">
        <v>10.1</v>
      </c>
      <c r="J79" s="26">
        <v>1</v>
      </c>
      <c r="K79" s="10">
        <f t="shared" si="4"/>
        <v>0.16745799999999997</v>
      </c>
      <c r="L79" s="4"/>
      <c r="M79" s="17">
        <v>1</v>
      </c>
      <c r="N79" s="18">
        <f t="shared" si="5"/>
        <v>0.16745799999999997</v>
      </c>
      <c r="O79" s="19">
        <f t="shared" si="6"/>
        <v>0</v>
      </c>
      <c r="P79" s="13">
        <f t="shared" si="7"/>
        <v>0</v>
      </c>
      <c r="Q79" s="9"/>
      <c r="R79" s="2">
        <v>1</v>
      </c>
      <c r="S79" s="2" t="s">
        <v>189</v>
      </c>
    </row>
    <row r="80" spans="1:24">
      <c r="A80" s="42" t="s">
        <v>77</v>
      </c>
      <c r="B80" s="3" t="s">
        <v>68</v>
      </c>
      <c r="C80" s="3">
        <v>147</v>
      </c>
      <c r="D80" s="1"/>
      <c r="E80" s="20" t="s">
        <v>17</v>
      </c>
      <c r="F80" s="7" t="s">
        <v>15</v>
      </c>
      <c r="G80" s="7" t="s">
        <v>35</v>
      </c>
      <c r="H80" s="11">
        <v>16.579999999999998</v>
      </c>
      <c r="I80" s="8">
        <v>10.9</v>
      </c>
      <c r="J80" s="26">
        <v>2</v>
      </c>
      <c r="K80" s="10">
        <f t="shared" si="4"/>
        <v>0.36144399999999999</v>
      </c>
      <c r="L80" s="4"/>
      <c r="M80" s="17">
        <v>2</v>
      </c>
      <c r="N80" s="18">
        <f t="shared" si="5"/>
        <v>0.36144399999999999</v>
      </c>
      <c r="O80" s="19">
        <f t="shared" si="6"/>
        <v>0</v>
      </c>
      <c r="P80" s="13">
        <f t="shared" si="7"/>
        <v>0</v>
      </c>
      <c r="Q80" s="9"/>
      <c r="R80" s="2">
        <v>2</v>
      </c>
      <c r="S80" s="2" t="s">
        <v>189</v>
      </c>
    </row>
    <row r="81" spans="1:19">
      <c r="A81" s="42" t="s">
        <v>77</v>
      </c>
      <c r="B81" s="3" t="s">
        <v>68</v>
      </c>
      <c r="C81" s="3">
        <v>147</v>
      </c>
      <c r="D81" s="1"/>
      <c r="E81" s="20" t="s">
        <v>17</v>
      </c>
      <c r="F81" s="7" t="s">
        <v>15</v>
      </c>
      <c r="G81" s="7" t="s">
        <v>35</v>
      </c>
      <c r="H81" s="11">
        <v>16.579999999999998</v>
      </c>
      <c r="I81" s="8">
        <v>12</v>
      </c>
      <c r="J81" s="26">
        <v>1</v>
      </c>
      <c r="K81" s="10">
        <f t="shared" si="4"/>
        <v>0.19895999999999997</v>
      </c>
      <c r="L81" s="4"/>
      <c r="M81" s="17">
        <v>1</v>
      </c>
      <c r="N81" s="18">
        <f t="shared" si="5"/>
        <v>0.19895999999999997</v>
      </c>
      <c r="O81" s="19">
        <f t="shared" si="6"/>
        <v>0</v>
      </c>
      <c r="P81" s="13">
        <f t="shared" si="7"/>
        <v>0</v>
      </c>
      <c r="Q81" s="9"/>
      <c r="R81" s="2">
        <v>1</v>
      </c>
      <c r="S81" s="2" t="s">
        <v>189</v>
      </c>
    </row>
    <row r="82" spans="1:19">
      <c r="A82" s="42" t="s">
        <v>77</v>
      </c>
      <c r="B82" s="3" t="s">
        <v>68</v>
      </c>
      <c r="C82" s="3">
        <v>148</v>
      </c>
      <c r="D82" s="1"/>
      <c r="E82" s="20" t="s">
        <v>17</v>
      </c>
      <c r="F82" s="7" t="s">
        <v>15</v>
      </c>
      <c r="G82" s="7" t="s">
        <v>35</v>
      </c>
      <c r="H82" s="11">
        <v>16.579999999999998</v>
      </c>
      <c r="I82" s="8">
        <v>8.3000000000000007</v>
      </c>
      <c r="J82" s="26">
        <v>1</v>
      </c>
      <c r="K82" s="10">
        <f t="shared" si="4"/>
        <v>0.13761400000000001</v>
      </c>
      <c r="L82" s="4"/>
      <c r="M82" s="17">
        <v>1</v>
      </c>
      <c r="N82" s="18">
        <f t="shared" si="5"/>
        <v>0.13761400000000001</v>
      </c>
      <c r="O82" s="19">
        <f t="shared" si="6"/>
        <v>0</v>
      </c>
      <c r="P82" s="13">
        <f t="shared" si="7"/>
        <v>0</v>
      </c>
      <c r="Q82" s="9"/>
      <c r="R82" s="2">
        <v>1</v>
      </c>
      <c r="S82" s="2" t="s">
        <v>189</v>
      </c>
    </row>
    <row r="83" spans="1:19">
      <c r="A83" s="42" t="s">
        <v>77</v>
      </c>
      <c r="B83" s="3" t="s">
        <v>68</v>
      </c>
      <c r="C83" s="3">
        <v>148</v>
      </c>
      <c r="D83" s="1"/>
      <c r="E83" s="20" t="s">
        <v>17</v>
      </c>
      <c r="F83" s="7" t="s">
        <v>15</v>
      </c>
      <c r="G83" s="7" t="s">
        <v>35</v>
      </c>
      <c r="H83" s="11">
        <v>16.579999999999998</v>
      </c>
      <c r="I83" s="8">
        <v>8.5</v>
      </c>
      <c r="J83" s="26">
        <v>1</v>
      </c>
      <c r="K83" s="10">
        <f t="shared" si="4"/>
        <v>0.14092999999999997</v>
      </c>
      <c r="L83" s="4"/>
      <c r="M83" s="17">
        <v>1</v>
      </c>
      <c r="N83" s="18">
        <f t="shared" si="5"/>
        <v>0.14092999999999997</v>
      </c>
      <c r="O83" s="19">
        <f t="shared" si="6"/>
        <v>0</v>
      </c>
      <c r="P83" s="13">
        <f t="shared" si="7"/>
        <v>0</v>
      </c>
      <c r="Q83" s="9"/>
      <c r="R83" s="2">
        <v>1</v>
      </c>
      <c r="S83" s="2" t="s">
        <v>189</v>
      </c>
    </row>
    <row r="84" spans="1:19">
      <c r="A84" s="42" t="s">
        <v>77</v>
      </c>
      <c r="B84" s="3" t="s">
        <v>68</v>
      </c>
      <c r="C84" s="3">
        <v>148</v>
      </c>
      <c r="D84" s="1"/>
      <c r="E84" s="20" t="s">
        <v>17</v>
      </c>
      <c r="F84" s="7" t="s">
        <v>15</v>
      </c>
      <c r="G84" s="7" t="s">
        <v>35</v>
      </c>
      <c r="H84" s="11">
        <v>16.579999999999998</v>
      </c>
      <c r="I84" s="8">
        <v>9.5</v>
      </c>
      <c r="J84" s="26">
        <v>1</v>
      </c>
      <c r="K84" s="10">
        <f t="shared" si="4"/>
        <v>0.15750999999999998</v>
      </c>
      <c r="L84" s="4"/>
      <c r="M84" s="17">
        <v>1</v>
      </c>
      <c r="N84" s="18">
        <f t="shared" si="5"/>
        <v>0.15750999999999998</v>
      </c>
      <c r="O84" s="19">
        <f t="shared" si="6"/>
        <v>0</v>
      </c>
      <c r="P84" s="13">
        <f t="shared" si="7"/>
        <v>0</v>
      </c>
      <c r="Q84" s="32">
        <v>8.75</v>
      </c>
      <c r="R84" s="2">
        <v>1</v>
      </c>
      <c r="S84" s="2" t="s">
        <v>189</v>
      </c>
    </row>
    <row r="85" spans="1:19">
      <c r="A85" s="42" t="s">
        <v>77</v>
      </c>
      <c r="B85" s="3" t="s">
        <v>68</v>
      </c>
      <c r="C85" s="3">
        <v>148</v>
      </c>
      <c r="D85" s="1"/>
      <c r="E85" s="20" t="s">
        <v>17</v>
      </c>
      <c r="F85" s="7" t="s">
        <v>15</v>
      </c>
      <c r="G85" s="7" t="s">
        <v>35</v>
      </c>
      <c r="H85" s="11">
        <v>16.579999999999998</v>
      </c>
      <c r="I85" s="8">
        <v>6.5</v>
      </c>
      <c r="J85" s="26">
        <v>1</v>
      </c>
      <c r="K85" s="10">
        <f t="shared" si="4"/>
        <v>0.10776999999999998</v>
      </c>
      <c r="L85" s="4"/>
      <c r="M85" s="17">
        <v>1</v>
      </c>
      <c r="N85" s="18">
        <f t="shared" si="5"/>
        <v>0.10776999999999998</v>
      </c>
      <c r="O85" s="19">
        <f t="shared" si="6"/>
        <v>0</v>
      </c>
      <c r="P85" s="13">
        <f t="shared" si="7"/>
        <v>0</v>
      </c>
      <c r="Q85" s="9"/>
      <c r="R85" s="2">
        <v>1</v>
      </c>
      <c r="S85" s="2" t="s">
        <v>189</v>
      </c>
    </row>
    <row r="86" spans="1:19">
      <c r="A86" s="42" t="s">
        <v>77</v>
      </c>
      <c r="B86" s="3" t="s">
        <v>68</v>
      </c>
      <c r="C86" s="3">
        <v>148</v>
      </c>
      <c r="D86" s="1"/>
      <c r="E86" s="20" t="s">
        <v>17</v>
      </c>
      <c r="F86" s="7" t="s">
        <v>15</v>
      </c>
      <c r="G86" s="7" t="s">
        <v>35</v>
      </c>
      <c r="H86" s="11">
        <v>16.579999999999998</v>
      </c>
      <c r="I86" s="8">
        <v>5.8</v>
      </c>
      <c r="J86" s="26">
        <v>1</v>
      </c>
      <c r="K86" s="10">
        <f t="shared" si="4"/>
        <v>9.6163999999999986E-2</v>
      </c>
      <c r="L86" s="4"/>
      <c r="M86" s="17"/>
      <c r="N86" s="18">
        <f t="shared" si="5"/>
        <v>0</v>
      </c>
      <c r="O86" s="19">
        <f t="shared" si="6"/>
        <v>1</v>
      </c>
      <c r="P86" s="13">
        <f t="shared" si="7"/>
        <v>9.6163999999999986E-2</v>
      </c>
      <c r="Q86" s="9"/>
      <c r="R86" s="2">
        <v>1</v>
      </c>
      <c r="S86" s="2" t="s">
        <v>189</v>
      </c>
    </row>
    <row r="87" spans="1:19">
      <c r="A87" s="42" t="s">
        <v>77</v>
      </c>
      <c r="B87" s="3" t="s">
        <v>68</v>
      </c>
      <c r="C87" s="3">
        <v>149</v>
      </c>
      <c r="D87" s="1"/>
      <c r="E87" s="20" t="s">
        <v>17</v>
      </c>
      <c r="F87" s="7" t="s">
        <v>15</v>
      </c>
      <c r="G87" s="7" t="s">
        <v>47</v>
      </c>
      <c r="H87" s="11">
        <v>15</v>
      </c>
      <c r="I87" s="8">
        <v>6.5</v>
      </c>
      <c r="J87" s="26">
        <v>1</v>
      </c>
      <c r="K87" s="10">
        <f t="shared" si="4"/>
        <v>9.7500000000000003E-2</v>
      </c>
      <c r="L87" s="4"/>
      <c r="M87" s="17"/>
      <c r="N87" s="18">
        <f t="shared" si="5"/>
        <v>0</v>
      </c>
      <c r="O87" s="19">
        <f t="shared" si="6"/>
        <v>1</v>
      </c>
      <c r="P87" s="13">
        <f t="shared" si="7"/>
        <v>9.7500000000000003E-2</v>
      </c>
      <c r="Q87" s="9"/>
      <c r="R87" s="2"/>
      <c r="S87" s="2"/>
    </row>
    <row r="88" spans="1:19">
      <c r="A88" s="42" t="s">
        <v>77</v>
      </c>
      <c r="B88" s="3" t="s">
        <v>68</v>
      </c>
      <c r="C88" s="3">
        <v>149</v>
      </c>
      <c r="D88" s="1"/>
      <c r="E88" s="20" t="s">
        <v>17</v>
      </c>
      <c r="F88" s="7" t="s">
        <v>15</v>
      </c>
      <c r="G88" s="7" t="s">
        <v>47</v>
      </c>
      <c r="H88" s="11">
        <v>15</v>
      </c>
      <c r="I88" s="8">
        <v>8.8000000000000007</v>
      </c>
      <c r="J88" s="26">
        <v>1</v>
      </c>
      <c r="K88" s="10">
        <f t="shared" si="4"/>
        <v>0.13200000000000001</v>
      </c>
      <c r="L88" s="4"/>
      <c r="M88" s="17"/>
      <c r="N88" s="18">
        <f t="shared" si="5"/>
        <v>0</v>
      </c>
      <c r="O88" s="19">
        <f t="shared" si="6"/>
        <v>1</v>
      </c>
      <c r="P88" s="13">
        <f t="shared" si="7"/>
        <v>0.13200000000000001</v>
      </c>
      <c r="Q88" s="9"/>
      <c r="R88" s="2"/>
      <c r="S88" s="2"/>
    </row>
    <row r="89" spans="1:19">
      <c r="A89" s="42" t="s">
        <v>77</v>
      </c>
      <c r="B89" s="3" t="s">
        <v>68</v>
      </c>
      <c r="C89" s="3">
        <v>149</v>
      </c>
      <c r="D89" s="1"/>
      <c r="E89" s="20" t="s">
        <v>17</v>
      </c>
      <c r="F89" s="7" t="s">
        <v>15</v>
      </c>
      <c r="G89" s="7" t="s">
        <v>47</v>
      </c>
      <c r="H89" s="11">
        <v>15</v>
      </c>
      <c r="I89" s="8">
        <v>10.3</v>
      </c>
      <c r="J89" s="26">
        <v>1</v>
      </c>
      <c r="K89" s="10">
        <f t="shared" si="4"/>
        <v>0.1545</v>
      </c>
      <c r="L89" s="4"/>
      <c r="M89" s="17"/>
      <c r="N89" s="18">
        <f t="shared" si="5"/>
        <v>0</v>
      </c>
      <c r="O89" s="19">
        <f t="shared" si="6"/>
        <v>1</v>
      </c>
      <c r="P89" s="13">
        <f t="shared" si="7"/>
        <v>0.1545</v>
      </c>
      <c r="Q89" s="9"/>
      <c r="R89" s="2"/>
      <c r="S89" s="2"/>
    </row>
    <row r="90" spans="1:19">
      <c r="A90" s="42" t="s">
        <v>77</v>
      </c>
      <c r="B90" s="3" t="s">
        <v>68</v>
      </c>
      <c r="C90" s="3">
        <v>151</v>
      </c>
      <c r="D90" s="1"/>
      <c r="E90" s="20" t="s">
        <v>24</v>
      </c>
      <c r="F90" s="7" t="s">
        <v>14</v>
      </c>
      <c r="G90" s="7" t="s">
        <v>18</v>
      </c>
      <c r="H90" s="11">
        <v>6.86</v>
      </c>
      <c r="I90" s="8">
        <v>10</v>
      </c>
      <c r="J90" s="26">
        <v>2</v>
      </c>
      <c r="K90" s="10">
        <f t="shared" si="4"/>
        <v>0.13720000000000002</v>
      </c>
      <c r="L90" s="4"/>
      <c r="M90" s="17">
        <v>2</v>
      </c>
      <c r="N90" s="18">
        <f t="shared" si="5"/>
        <v>0.13720000000000002</v>
      </c>
      <c r="O90" s="19">
        <f t="shared" si="6"/>
        <v>0</v>
      </c>
      <c r="P90" s="13">
        <f t="shared" si="7"/>
        <v>0</v>
      </c>
      <c r="Q90" s="159">
        <v>8</v>
      </c>
      <c r="R90" s="32">
        <v>2</v>
      </c>
      <c r="S90" s="32" t="s">
        <v>314</v>
      </c>
    </row>
    <row r="91" spans="1:19">
      <c r="A91" s="42" t="s">
        <v>77</v>
      </c>
      <c r="B91" s="3" t="s">
        <v>68</v>
      </c>
      <c r="C91" s="3">
        <v>151</v>
      </c>
      <c r="D91" s="1"/>
      <c r="E91" s="20" t="s">
        <v>24</v>
      </c>
      <c r="F91" s="7" t="s">
        <v>14</v>
      </c>
      <c r="G91" s="7" t="s">
        <v>18</v>
      </c>
      <c r="H91" s="11">
        <v>6.86</v>
      </c>
      <c r="I91" s="8">
        <v>8</v>
      </c>
      <c r="J91" s="26">
        <v>1</v>
      </c>
      <c r="K91" s="10">
        <f t="shared" si="4"/>
        <v>5.4880000000000005E-2</v>
      </c>
      <c r="L91" s="4"/>
      <c r="M91" s="17">
        <v>1</v>
      </c>
      <c r="N91" s="18">
        <f t="shared" si="5"/>
        <v>5.4880000000000005E-2</v>
      </c>
      <c r="O91" s="19">
        <f t="shared" si="6"/>
        <v>0</v>
      </c>
      <c r="P91" s="13">
        <f t="shared" si="7"/>
        <v>0</v>
      </c>
      <c r="Q91" s="159">
        <v>8</v>
      </c>
      <c r="R91" s="32">
        <v>1</v>
      </c>
      <c r="S91" s="32" t="s">
        <v>314</v>
      </c>
    </row>
    <row r="92" spans="1:19">
      <c r="A92" s="42" t="s">
        <v>77</v>
      </c>
      <c r="B92" s="3" t="s">
        <v>68</v>
      </c>
      <c r="C92" s="3">
        <v>154</v>
      </c>
      <c r="D92" s="1"/>
      <c r="E92" s="20" t="s">
        <v>24</v>
      </c>
      <c r="F92" s="7" t="s">
        <v>14</v>
      </c>
      <c r="G92" s="7" t="s">
        <v>18</v>
      </c>
      <c r="H92" s="11">
        <v>6.86</v>
      </c>
      <c r="I92" s="8">
        <v>7.5</v>
      </c>
      <c r="J92" s="26">
        <v>1</v>
      </c>
      <c r="K92" s="10">
        <f t="shared" si="4"/>
        <v>5.1450000000000003E-2</v>
      </c>
      <c r="L92" s="4"/>
      <c r="M92" s="17">
        <v>1</v>
      </c>
      <c r="N92" s="18">
        <f t="shared" si="5"/>
        <v>5.1450000000000003E-2</v>
      </c>
      <c r="O92" s="19">
        <f t="shared" si="6"/>
        <v>0</v>
      </c>
      <c r="P92" s="13">
        <f t="shared" si="7"/>
        <v>0</v>
      </c>
      <c r="Q92" s="111">
        <v>6</v>
      </c>
      <c r="R92" s="2">
        <v>1</v>
      </c>
      <c r="S92" s="32" t="s">
        <v>459</v>
      </c>
    </row>
    <row r="93" spans="1:19">
      <c r="A93" s="42" t="s">
        <v>77</v>
      </c>
      <c r="B93" s="3" t="s">
        <v>68</v>
      </c>
      <c r="C93" s="3">
        <v>154</v>
      </c>
      <c r="D93" s="1"/>
      <c r="E93" s="20" t="s">
        <v>24</v>
      </c>
      <c r="F93" s="7" t="s">
        <v>14</v>
      </c>
      <c r="G93" s="7" t="s">
        <v>18</v>
      </c>
      <c r="H93" s="11">
        <v>6.86</v>
      </c>
      <c r="I93" s="8">
        <v>8</v>
      </c>
      <c r="J93" s="26">
        <v>1</v>
      </c>
      <c r="K93" s="10">
        <f t="shared" si="4"/>
        <v>5.4880000000000005E-2</v>
      </c>
      <c r="L93" s="4"/>
      <c r="M93" s="17">
        <v>1</v>
      </c>
      <c r="N93" s="18">
        <f t="shared" si="5"/>
        <v>5.4880000000000005E-2</v>
      </c>
      <c r="O93" s="19">
        <f t="shared" si="6"/>
        <v>0</v>
      </c>
      <c r="P93" s="13">
        <f t="shared" si="7"/>
        <v>0</v>
      </c>
      <c r="Q93" s="159">
        <v>8</v>
      </c>
      <c r="R93" s="32">
        <v>1</v>
      </c>
      <c r="S93" s="32" t="s">
        <v>314</v>
      </c>
    </row>
    <row r="94" spans="1:19">
      <c r="A94" s="42" t="s">
        <v>77</v>
      </c>
      <c r="B94" s="3" t="s">
        <v>68</v>
      </c>
      <c r="C94" s="3">
        <v>154</v>
      </c>
      <c r="D94" s="1"/>
      <c r="E94" s="20" t="s">
        <v>24</v>
      </c>
      <c r="F94" s="7" t="s">
        <v>14</v>
      </c>
      <c r="G94" s="7" t="s">
        <v>18</v>
      </c>
      <c r="H94" s="11">
        <v>6.86</v>
      </c>
      <c r="I94" s="8">
        <v>9.3000000000000007</v>
      </c>
      <c r="J94" s="26">
        <v>1</v>
      </c>
      <c r="K94" s="10">
        <f t="shared" si="4"/>
        <v>6.3798000000000007E-2</v>
      </c>
      <c r="L94" s="4"/>
      <c r="M94" s="17">
        <v>1</v>
      </c>
      <c r="N94" s="18">
        <f t="shared" si="5"/>
        <v>6.3798000000000007E-2</v>
      </c>
      <c r="O94" s="19">
        <f t="shared" si="6"/>
        <v>0</v>
      </c>
      <c r="P94" s="13">
        <f t="shared" si="7"/>
        <v>0</v>
      </c>
      <c r="Q94" s="159">
        <v>8</v>
      </c>
      <c r="R94" s="32">
        <v>1</v>
      </c>
      <c r="S94" s="32" t="s">
        <v>314</v>
      </c>
    </row>
    <row r="95" spans="1:19">
      <c r="A95" s="42" t="s">
        <v>77</v>
      </c>
      <c r="B95" s="3" t="s">
        <v>68</v>
      </c>
      <c r="C95" s="3">
        <v>156</v>
      </c>
      <c r="D95" s="1"/>
      <c r="E95" s="20" t="s">
        <v>17</v>
      </c>
      <c r="F95" s="7" t="s">
        <v>15</v>
      </c>
      <c r="G95" s="7" t="s">
        <v>53</v>
      </c>
      <c r="H95" s="11">
        <v>35.840000000000003</v>
      </c>
      <c r="I95" s="8">
        <v>9.5</v>
      </c>
      <c r="J95" s="26">
        <v>1</v>
      </c>
      <c r="K95" s="10">
        <f t="shared" si="4"/>
        <v>0.34048</v>
      </c>
      <c r="L95" s="4"/>
      <c r="M95" s="17">
        <v>1</v>
      </c>
      <c r="N95" s="18">
        <f t="shared" si="5"/>
        <v>0.34048</v>
      </c>
      <c r="O95" s="19">
        <f t="shared" si="6"/>
        <v>0</v>
      </c>
      <c r="P95" s="13">
        <f t="shared" si="7"/>
        <v>0</v>
      </c>
      <c r="Q95" s="9">
        <v>8</v>
      </c>
      <c r="R95" s="2">
        <v>1</v>
      </c>
      <c r="S95" s="2" t="s">
        <v>213</v>
      </c>
    </row>
    <row r="96" spans="1:19">
      <c r="A96" s="42" t="s">
        <v>77</v>
      </c>
      <c r="B96" s="3" t="s">
        <v>68</v>
      </c>
      <c r="C96" s="3">
        <v>156</v>
      </c>
      <c r="D96" s="1"/>
      <c r="E96" s="20" t="s">
        <v>17</v>
      </c>
      <c r="F96" s="7" t="s">
        <v>15</v>
      </c>
      <c r="G96" s="7" t="s">
        <v>53</v>
      </c>
      <c r="H96" s="11">
        <v>35.840000000000003</v>
      </c>
      <c r="I96" s="8">
        <v>10</v>
      </c>
      <c r="J96" s="26">
        <v>1</v>
      </c>
      <c r="K96" s="10">
        <f t="shared" ref="K96:K137" si="8">(H96*I96*J96/1000)</f>
        <v>0.35840000000000005</v>
      </c>
      <c r="L96" s="4"/>
      <c r="M96" s="17">
        <v>1</v>
      </c>
      <c r="N96" s="18">
        <f t="shared" ref="N96:N137" si="9">I96*M96*H96/1000</f>
        <v>0.35840000000000005</v>
      </c>
      <c r="O96" s="19">
        <f t="shared" ref="O96:O137" si="10">J96-M96</f>
        <v>0</v>
      </c>
      <c r="P96" s="13">
        <f t="shared" ref="P96:P137" si="11">I96*O96*H96/1000</f>
        <v>0</v>
      </c>
      <c r="Q96" s="9">
        <v>10</v>
      </c>
      <c r="R96" s="2">
        <v>1</v>
      </c>
      <c r="S96" s="2" t="s">
        <v>213</v>
      </c>
    </row>
    <row r="97" spans="1:19">
      <c r="A97" s="42" t="s">
        <v>77</v>
      </c>
      <c r="B97" s="3" t="s">
        <v>68</v>
      </c>
      <c r="C97" s="3">
        <v>156</v>
      </c>
      <c r="D97" s="1"/>
      <c r="E97" s="20" t="s">
        <v>17</v>
      </c>
      <c r="F97" s="7" t="s">
        <v>15</v>
      </c>
      <c r="G97" s="7" t="s">
        <v>53</v>
      </c>
      <c r="H97" s="11">
        <v>35.840000000000003</v>
      </c>
      <c r="I97" s="8">
        <v>11</v>
      </c>
      <c r="J97" s="26">
        <v>2</v>
      </c>
      <c r="K97" s="10">
        <f t="shared" si="8"/>
        <v>0.78848000000000007</v>
      </c>
      <c r="L97" s="4"/>
      <c r="M97" s="17">
        <v>2</v>
      </c>
      <c r="N97" s="18">
        <f t="shared" si="9"/>
        <v>0.78848000000000007</v>
      </c>
      <c r="O97" s="19">
        <f t="shared" si="10"/>
        <v>0</v>
      </c>
      <c r="P97" s="13">
        <f t="shared" si="11"/>
        <v>0</v>
      </c>
      <c r="Q97" s="9">
        <v>10.7</v>
      </c>
      <c r="R97" s="2">
        <v>2</v>
      </c>
      <c r="S97" s="2" t="s">
        <v>213</v>
      </c>
    </row>
    <row r="98" spans="1:19">
      <c r="A98" s="42" t="s">
        <v>77</v>
      </c>
      <c r="B98" s="3" t="s">
        <v>68</v>
      </c>
      <c r="C98" s="3">
        <v>156</v>
      </c>
      <c r="D98" s="1"/>
      <c r="E98" s="20" t="s">
        <v>24</v>
      </c>
      <c r="F98" s="7" t="s">
        <v>14</v>
      </c>
      <c r="G98" s="7" t="s">
        <v>36</v>
      </c>
      <c r="H98" s="11">
        <v>10.199999999999999</v>
      </c>
      <c r="I98" s="8">
        <v>6</v>
      </c>
      <c r="J98" s="26">
        <v>1</v>
      </c>
      <c r="K98" s="10">
        <f t="shared" si="8"/>
        <v>6.1199999999999997E-2</v>
      </c>
      <c r="L98" s="4"/>
      <c r="M98" s="17">
        <v>1</v>
      </c>
      <c r="N98" s="18">
        <f t="shared" si="9"/>
        <v>6.1199999999999997E-2</v>
      </c>
      <c r="O98" s="19">
        <f t="shared" si="10"/>
        <v>0</v>
      </c>
      <c r="P98" s="13">
        <f t="shared" si="11"/>
        <v>0</v>
      </c>
      <c r="Q98" s="9"/>
      <c r="R98" s="2">
        <v>1</v>
      </c>
      <c r="S98" s="2" t="s">
        <v>663</v>
      </c>
    </row>
    <row r="99" spans="1:19">
      <c r="A99" s="42" t="s">
        <v>77</v>
      </c>
      <c r="B99" s="3" t="s">
        <v>68</v>
      </c>
      <c r="C99" s="3">
        <v>156</v>
      </c>
      <c r="D99" s="1"/>
      <c r="E99" s="20" t="s">
        <v>24</v>
      </c>
      <c r="F99" s="7" t="s">
        <v>14</v>
      </c>
      <c r="G99" s="7" t="s">
        <v>36</v>
      </c>
      <c r="H99" s="11">
        <v>10.199999999999999</v>
      </c>
      <c r="I99" s="8">
        <v>6.3</v>
      </c>
      <c r="J99" s="26">
        <v>1</v>
      </c>
      <c r="K99" s="10">
        <f t="shared" si="8"/>
        <v>6.4259999999999998E-2</v>
      </c>
      <c r="L99" s="4"/>
      <c r="M99" s="17">
        <v>1</v>
      </c>
      <c r="N99" s="18">
        <f t="shared" si="9"/>
        <v>6.4259999999999998E-2</v>
      </c>
      <c r="O99" s="19">
        <f t="shared" si="10"/>
        <v>0</v>
      </c>
      <c r="P99" s="13">
        <f t="shared" si="11"/>
        <v>0</v>
      </c>
      <c r="Q99" s="9"/>
      <c r="R99" s="2">
        <v>1</v>
      </c>
      <c r="S99" s="2" t="s">
        <v>663</v>
      </c>
    </row>
    <row r="100" spans="1:19">
      <c r="A100" s="42" t="s">
        <v>77</v>
      </c>
      <c r="B100" s="3" t="s">
        <v>68</v>
      </c>
      <c r="C100" s="3">
        <v>156</v>
      </c>
      <c r="D100" s="1"/>
      <c r="E100" s="20" t="s">
        <v>24</v>
      </c>
      <c r="F100" s="7" t="s">
        <v>14</v>
      </c>
      <c r="G100" s="7" t="s">
        <v>36</v>
      </c>
      <c r="H100" s="11">
        <v>10.199999999999999</v>
      </c>
      <c r="I100" s="8">
        <v>6.5</v>
      </c>
      <c r="J100" s="26">
        <v>2</v>
      </c>
      <c r="K100" s="10">
        <f t="shared" si="8"/>
        <v>0.1326</v>
      </c>
      <c r="L100" s="4"/>
      <c r="M100" s="17">
        <v>2</v>
      </c>
      <c r="N100" s="18">
        <f t="shared" si="9"/>
        <v>0.1326</v>
      </c>
      <c r="O100" s="19">
        <f t="shared" si="10"/>
        <v>0</v>
      </c>
      <c r="P100" s="13">
        <f t="shared" si="11"/>
        <v>0</v>
      </c>
      <c r="Q100" s="9">
        <v>6.5</v>
      </c>
      <c r="R100" s="35">
        <v>2</v>
      </c>
      <c r="S100" s="2" t="s">
        <v>661</v>
      </c>
    </row>
    <row r="101" spans="1:19">
      <c r="A101" s="42" t="s">
        <v>77</v>
      </c>
      <c r="B101" s="3" t="s">
        <v>68</v>
      </c>
      <c r="C101" s="3">
        <v>157</v>
      </c>
      <c r="D101" s="1"/>
      <c r="E101" s="20" t="s">
        <v>24</v>
      </c>
      <c r="F101" s="7" t="s">
        <v>14</v>
      </c>
      <c r="G101" s="7" t="s">
        <v>30</v>
      </c>
      <c r="H101" s="11">
        <v>9.26</v>
      </c>
      <c r="I101" s="8">
        <v>6.3</v>
      </c>
      <c r="J101" s="26">
        <v>5</v>
      </c>
      <c r="K101" s="10">
        <f t="shared" si="8"/>
        <v>0.29168999999999995</v>
      </c>
      <c r="L101" s="4"/>
      <c r="M101" s="17">
        <f>2+3</f>
        <v>5</v>
      </c>
      <c r="N101" s="18">
        <f t="shared" si="9"/>
        <v>0.29169</v>
      </c>
      <c r="O101" s="106">
        <f t="shared" si="10"/>
        <v>0</v>
      </c>
      <c r="P101" s="13">
        <f t="shared" si="11"/>
        <v>0</v>
      </c>
      <c r="Q101" s="9"/>
      <c r="R101" s="2">
        <v>3</v>
      </c>
      <c r="S101" s="2" t="s">
        <v>222</v>
      </c>
    </row>
    <row r="102" spans="1:19">
      <c r="A102" s="42" t="s">
        <v>77</v>
      </c>
      <c r="B102" s="3" t="s">
        <v>68</v>
      </c>
      <c r="C102" s="3">
        <v>157</v>
      </c>
      <c r="D102" s="1"/>
      <c r="E102" s="20" t="s">
        <v>24</v>
      </c>
      <c r="F102" s="7" t="s">
        <v>14</v>
      </c>
      <c r="G102" s="7" t="s">
        <v>30</v>
      </c>
      <c r="H102" s="11">
        <v>9.26</v>
      </c>
      <c r="I102" s="8">
        <v>7.6</v>
      </c>
      <c r="J102" s="26">
        <v>2</v>
      </c>
      <c r="K102" s="10">
        <f t="shared" si="8"/>
        <v>0.14075199999999999</v>
      </c>
      <c r="L102" s="4"/>
      <c r="M102" s="17">
        <v>2</v>
      </c>
      <c r="N102" s="18">
        <f t="shared" si="9"/>
        <v>0.14075199999999999</v>
      </c>
      <c r="O102" s="19">
        <f t="shared" si="10"/>
        <v>0</v>
      </c>
      <c r="P102" s="13">
        <f t="shared" si="11"/>
        <v>0</v>
      </c>
      <c r="Q102" s="9"/>
      <c r="R102" s="2"/>
      <c r="S102" s="2"/>
    </row>
    <row r="103" spans="1:19">
      <c r="A103" s="42" t="s">
        <v>77</v>
      </c>
      <c r="B103" s="3" t="s">
        <v>68</v>
      </c>
      <c r="C103" s="3">
        <v>157</v>
      </c>
      <c r="D103" s="1"/>
      <c r="E103" s="20" t="s">
        <v>24</v>
      </c>
      <c r="F103" s="7" t="s">
        <v>14</v>
      </c>
      <c r="G103" s="7" t="s">
        <v>30</v>
      </c>
      <c r="H103" s="11">
        <v>9.26</v>
      </c>
      <c r="I103" s="8">
        <v>10.9</v>
      </c>
      <c r="J103" s="26">
        <v>1</v>
      </c>
      <c r="K103" s="10">
        <f t="shared" si="8"/>
        <v>0.100934</v>
      </c>
      <c r="L103" s="4"/>
      <c r="M103" s="17">
        <v>1</v>
      </c>
      <c r="N103" s="18">
        <f t="shared" si="9"/>
        <v>0.100934</v>
      </c>
      <c r="O103" s="106">
        <f t="shared" si="10"/>
        <v>0</v>
      </c>
      <c r="P103" s="13">
        <f t="shared" si="11"/>
        <v>0</v>
      </c>
      <c r="Q103" s="9"/>
      <c r="R103" s="2">
        <v>1</v>
      </c>
      <c r="S103" s="2" t="s">
        <v>222</v>
      </c>
    </row>
    <row r="104" spans="1:19">
      <c r="A104" s="42" t="s">
        <v>77</v>
      </c>
      <c r="B104" s="3" t="s">
        <v>68</v>
      </c>
      <c r="C104" s="3">
        <v>157</v>
      </c>
      <c r="D104" s="1"/>
      <c r="E104" s="20" t="s">
        <v>24</v>
      </c>
      <c r="F104" s="7" t="s">
        <v>14</v>
      </c>
      <c r="G104" s="7" t="s">
        <v>30</v>
      </c>
      <c r="H104" s="11">
        <v>9.26</v>
      </c>
      <c r="I104" s="8">
        <v>11</v>
      </c>
      <c r="J104" s="26">
        <v>3</v>
      </c>
      <c r="K104" s="10">
        <f t="shared" si="8"/>
        <v>0.30557999999999996</v>
      </c>
      <c r="L104" s="4"/>
      <c r="M104" s="17">
        <v>3</v>
      </c>
      <c r="N104" s="18">
        <f t="shared" si="9"/>
        <v>0.30557999999999996</v>
      </c>
      <c r="O104" s="19">
        <f t="shared" si="10"/>
        <v>0</v>
      </c>
      <c r="P104" s="13">
        <f t="shared" si="11"/>
        <v>0</v>
      </c>
      <c r="Q104" s="9"/>
      <c r="R104" s="2"/>
      <c r="S104" s="2"/>
    </row>
    <row r="105" spans="1:19">
      <c r="A105" s="42" t="s">
        <v>77</v>
      </c>
      <c r="B105" s="3" t="s">
        <v>68</v>
      </c>
      <c r="C105" s="3">
        <v>165</v>
      </c>
      <c r="D105" s="1"/>
      <c r="E105" s="20" t="s">
        <v>17</v>
      </c>
      <c r="F105" s="7" t="s">
        <v>15</v>
      </c>
      <c r="G105" s="7" t="s">
        <v>34</v>
      </c>
      <c r="H105" s="11">
        <v>9.61</v>
      </c>
      <c r="I105" s="8">
        <v>8.75</v>
      </c>
      <c r="J105" s="26">
        <v>28</v>
      </c>
      <c r="K105" s="10">
        <f t="shared" si="8"/>
        <v>2.3544499999999999</v>
      </c>
      <c r="L105" s="4"/>
      <c r="M105" s="17">
        <v>28</v>
      </c>
      <c r="N105" s="18">
        <f t="shared" si="9"/>
        <v>2.3544499999999999</v>
      </c>
      <c r="O105" s="19">
        <f t="shared" si="10"/>
        <v>0</v>
      </c>
      <c r="P105" s="13">
        <f t="shared" si="11"/>
        <v>0</v>
      </c>
      <c r="Q105" s="9"/>
      <c r="R105" s="2"/>
      <c r="S105" s="2"/>
    </row>
    <row r="106" spans="1:19">
      <c r="A106" s="42" t="s">
        <v>77</v>
      </c>
      <c r="B106" s="3" t="s">
        <v>68</v>
      </c>
      <c r="C106" s="3">
        <v>166</v>
      </c>
      <c r="D106" s="1"/>
      <c r="E106" s="20" t="s">
        <v>17</v>
      </c>
      <c r="F106" s="7" t="s">
        <v>15</v>
      </c>
      <c r="G106" s="7" t="s">
        <v>34</v>
      </c>
      <c r="H106" s="11">
        <v>9.61</v>
      </c>
      <c r="I106" s="8">
        <v>11.65</v>
      </c>
      <c r="J106" s="26">
        <v>29</v>
      </c>
      <c r="K106" s="10">
        <f t="shared" si="8"/>
        <v>3.2467384999999997</v>
      </c>
      <c r="L106" s="4"/>
      <c r="M106" s="17">
        <v>29</v>
      </c>
      <c r="N106" s="18">
        <f t="shared" si="9"/>
        <v>3.2467384999999997</v>
      </c>
      <c r="O106" s="19">
        <f t="shared" si="10"/>
        <v>0</v>
      </c>
      <c r="P106" s="13">
        <f t="shared" si="11"/>
        <v>0</v>
      </c>
      <c r="Q106" s="9"/>
      <c r="R106" s="2"/>
      <c r="S106" s="2"/>
    </row>
    <row r="107" spans="1:19">
      <c r="A107" s="42" t="s">
        <v>77</v>
      </c>
      <c r="B107" s="3" t="s">
        <v>68</v>
      </c>
      <c r="C107" s="3">
        <v>167</v>
      </c>
      <c r="D107" s="1"/>
      <c r="E107" s="20" t="s">
        <v>17</v>
      </c>
      <c r="F107" s="7" t="s">
        <v>15</v>
      </c>
      <c r="G107" s="7" t="s">
        <v>34</v>
      </c>
      <c r="H107" s="11">
        <v>9.61</v>
      </c>
      <c r="I107" s="8">
        <v>12</v>
      </c>
      <c r="J107" s="26">
        <v>28</v>
      </c>
      <c r="K107" s="10">
        <f t="shared" si="8"/>
        <v>3.2289599999999998</v>
      </c>
      <c r="L107" s="4"/>
      <c r="M107" s="17">
        <v>28</v>
      </c>
      <c r="N107" s="18">
        <f t="shared" si="9"/>
        <v>3.2289599999999998</v>
      </c>
      <c r="O107" s="19">
        <f t="shared" si="10"/>
        <v>0</v>
      </c>
      <c r="P107" s="13">
        <f t="shared" si="11"/>
        <v>0</v>
      </c>
      <c r="Q107" s="9"/>
      <c r="R107" s="2"/>
      <c r="S107" s="2"/>
    </row>
    <row r="108" spans="1:19">
      <c r="A108" s="42" t="s">
        <v>77</v>
      </c>
      <c r="B108" s="3" t="s">
        <v>68</v>
      </c>
      <c r="C108" s="3">
        <v>168</v>
      </c>
      <c r="D108" s="1"/>
      <c r="E108" s="20" t="s">
        <v>17</v>
      </c>
      <c r="F108" s="7" t="s">
        <v>15</v>
      </c>
      <c r="G108" s="7" t="s">
        <v>34</v>
      </c>
      <c r="H108" s="11">
        <v>9.61</v>
      </c>
      <c r="I108" s="8">
        <v>9.85</v>
      </c>
      <c r="J108" s="26">
        <v>27</v>
      </c>
      <c r="K108" s="10">
        <f t="shared" si="8"/>
        <v>2.5557794999999994</v>
      </c>
      <c r="L108" s="4"/>
      <c r="M108" s="17">
        <f>27+6-6</f>
        <v>27</v>
      </c>
      <c r="N108" s="18">
        <f t="shared" si="9"/>
        <v>2.5557794999999994</v>
      </c>
      <c r="O108" s="19">
        <f t="shared" si="10"/>
        <v>0</v>
      </c>
      <c r="P108" s="13">
        <f t="shared" si="11"/>
        <v>0</v>
      </c>
      <c r="Q108" s="9"/>
      <c r="R108" s="2"/>
      <c r="S108" s="2"/>
    </row>
    <row r="109" spans="1:19">
      <c r="A109" s="42" t="s">
        <v>77</v>
      </c>
      <c r="B109" s="3" t="s">
        <v>68</v>
      </c>
      <c r="C109" s="3">
        <v>169</v>
      </c>
      <c r="D109" s="1"/>
      <c r="E109" s="20" t="s">
        <v>24</v>
      </c>
      <c r="F109" s="7" t="s">
        <v>14</v>
      </c>
      <c r="G109" s="7" t="s">
        <v>32</v>
      </c>
      <c r="H109" s="11">
        <v>8.3000000000000007</v>
      </c>
      <c r="I109" s="8">
        <v>12</v>
      </c>
      <c r="J109" s="26">
        <v>29</v>
      </c>
      <c r="K109" s="10">
        <f t="shared" si="8"/>
        <v>2.8884000000000003</v>
      </c>
      <c r="L109" s="4"/>
      <c r="M109" s="17">
        <v>29</v>
      </c>
      <c r="N109" s="18">
        <f t="shared" si="9"/>
        <v>2.8884000000000003</v>
      </c>
      <c r="O109" s="19">
        <f t="shared" si="10"/>
        <v>0</v>
      </c>
      <c r="P109" s="13">
        <f t="shared" si="11"/>
        <v>0</v>
      </c>
      <c r="Q109" s="9"/>
      <c r="R109" s="2"/>
      <c r="S109" s="2"/>
    </row>
    <row r="110" spans="1:19">
      <c r="A110" s="42" t="s">
        <v>77</v>
      </c>
      <c r="B110" s="3" t="s">
        <v>68</v>
      </c>
      <c r="C110" s="3">
        <v>170</v>
      </c>
      <c r="D110" s="1"/>
      <c r="E110" s="20" t="s">
        <v>17</v>
      </c>
      <c r="F110" s="7" t="s">
        <v>15</v>
      </c>
      <c r="G110" s="7" t="s">
        <v>25</v>
      </c>
      <c r="H110" s="11">
        <v>7.34</v>
      </c>
      <c r="I110" s="8">
        <v>11.5</v>
      </c>
      <c r="J110" s="26">
        <v>14</v>
      </c>
      <c r="K110" s="10">
        <f t="shared" si="8"/>
        <v>1.18174</v>
      </c>
      <c r="L110" s="4"/>
      <c r="M110" s="17">
        <v>14</v>
      </c>
      <c r="N110" s="18">
        <f t="shared" si="9"/>
        <v>1.18174</v>
      </c>
      <c r="O110" s="19">
        <f t="shared" si="10"/>
        <v>0</v>
      </c>
      <c r="P110" s="13">
        <f t="shared" si="11"/>
        <v>0</v>
      </c>
      <c r="Q110" s="9"/>
      <c r="R110" s="2"/>
      <c r="S110" s="2"/>
    </row>
    <row r="111" spans="1:19">
      <c r="A111" s="42" t="s">
        <v>77</v>
      </c>
      <c r="B111" s="3" t="s">
        <v>68</v>
      </c>
      <c r="C111" s="3">
        <v>170</v>
      </c>
      <c r="D111" s="1"/>
      <c r="E111" s="20" t="s">
        <v>17</v>
      </c>
      <c r="F111" s="7" t="s">
        <v>15</v>
      </c>
      <c r="G111" s="7" t="s">
        <v>25</v>
      </c>
      <c r="H111" s="11">
        <v>7.34</v>
      </c>
      <c r="I111" s="8">
        <v>11.55</v>
      </c>
      <c r="J111" s="26">
        <v>14</v>
      </c>
      <c r="K111" s="10">
        <f t="shared" si="8"/>
        <v>1.1868779999999999</v>
      </c>
      <c r="L111" s="4"/>
      <c r="M111" s="17">
        <v>14</v>
      </c>
      <c r="N111" s="18">
        <f t="shared" si="9"/>
        <v>1.1868780000000001</v>
      </c>
      <c r="O111" s="19">
        <f t="shared" si="10"/>
        <v>0</v>
      </c>
      <c r="P111" s="13">
        <f t="shared" si="11"/>
        <v>0</v>
      </c>
      <c r="Q111" s="9"/>
      <c r="R111" s="2"/>
      <c r="S111" s="2"/>
    </row>
    <row r="112" spans="1:19">
      <c r="A112" s="42" t="s">
        <v>77</v>
      </c>
      <c r="B112" s="3" t="s">
        <v>68</v>
      </c>
      <c r="C112" s="3">
        <v>171</v>
      </c>
      <c r="D112" s="1"/>
      <c r="E112" s="20" t="s">
        <v>70</v>
      </c>
      <c r="F112" s="7" t="s">
        <v>15</v>
      </c>
      <c r="G112" s="7" t="s">
        <v>49</v>
      </c>
      <c r="H112" s="11">
        <v>17.82</v>
      </c>
      <c r="I112" s="8">
        <v>9.5</v>
      </c>
      <c r="J112" s="26">
        <v>1</v>
      </c>
      <c r="K112" s="10">
        <f t="shared" si="8"/>
        <v>0.16929</v>
      </c>
      <c r="L112" s="4"/>
      <c r="M112" s="17">
        <v>1</v>
      </c>
      <c r="N112" s="18">
        <f t="shared" si="9"/>
        <v>0.16929</v>
      </c>
      <c r="O112" s="19">
        <f t="shared" si="10"/>
        <v>0</v>
      </c>
      <c r="P112" s="13">
        <f t="shared" si="11"/>
        <v>0</v>
      </c>
      <c r="Q112" s="9">
        <v>7.1</v>
      </c>
      <c r="R112" s="2">
        <v>1</v>
      </c>
      <c r="S112" s="2" t="s">
        <v>602</v>
      </c>
    </row>
    <row r="113" spans="1:19">
      <c r="A113" s="42" t="s">
        <v>77</v>
      </c>
      <c r="B113" s="3" t="s">
        <v>68</v>
      </c>
      <c r="C113" s="3">
        <v>172</v>
      </c>
      <c r="D113" s="1"/>
      <c r="E113" s="20" t="s">
        <v>71</v>
      </c>
      <c r="F113" s="7" t="s">
        <v>15</v>
      </c>
      <c r="G113" s="7" t="s">
        <v>37</v>
      </c>
      <c r="H113" s="11">
        <v>18.149999999999999</v>
      </c>
      <c r="I113" s="8">
        <v>6</v>
      </c>
      <c r="J113" s="26">
        <v>1</v>
      </c>
      <c r="K113" s="10">
        <f t="shared" si="8"/>
        <v>0.1089</v>
      </c>
      <c r="L113" s="4"/>
      <c r="M113" s="17">
        <v>1</v>
      </c>
      <c r="N113" s="18">
        <f t="shared" si="9"/>
        <v>0.1089</v>
      </c>
      <c r="O113" s="19">
        <f t="shared" si="10"/>
        <v>0</v>
      </c>
      <c r="P113" s="13">
        <f t="shared" si="11"/>
        <v>0</v>
      </c>
      <c r="Q113" s="9"/>
      <c r="R113" s="2">
        <v>1</v>
      </c>
      <c r="S113" s="2" t="s">
        <v>643</v>
      </c>
    </row>
    <row r="114" spans="1:19">
      <c r="A114" s="42" t="s">
        <v>77</v>
      </c>
      <c r="B114" s="3" t="s">
        <v>68</v>
      </c>
      <c r="C114" s="3">
        <v>173</v>
      </c>
      <c r="D114" s="1"/>
      <c r="E114" s="20" t="s">
        <v>72</v>
      </c>
      <c r="F114" s="7" t="s">
        <v>15</v>
      </c>
      <c r="G114" s="7" t="s">
        <v>49</v>
      </c>
      <c r="H114" s="11">
        <v>17.82</v>
      </c>
      <c r="I114" s="8">
        <v>5.5</v>
      </c>
      <c r="J114" s="26">
        <v>1</v>
      </c>
      <c r="K114" s="10">
        <f t="shared" si="8"/>
        <v>9.801E-2</v>
      </c>
      <c r="L114" s="4"/>
      <c r="M114" s="17"/>
      <c r="N114" s="18">
        <f t="shared" si="9"/>
        <v>0</v>
      </c>
      <c r="O114" s="19">
        <f t="shared" si="10"/>
        <v>1</v>
      </c>
      <c r="P114" s="13">
        <f t="shared" si="11"/>
        <v>9.801E-2</v>
      </c>
      <c r="Q114" s="9"/>
      <c r="R114" s="2"/>
      <c r="S114" s="2"/>
    </row>
    <row r="115" spans="1:19">
      <c r="A115" s="42" t="s">
        <v>77</v>
      </c>
      <c r="B115" s="3" t="s">
        <v>68</v>
      </c>
      <c r="C115" s="3">
        <v>173</v>
      </c>
      <c r="D115" s="1"/>
      <c r="E115" s="20" t="s">
        <v>72</v>
      </c>
      <c r="F115" s="7" t="s">
        <v>15</v>
      </c>
      <c r="G115" s="7" t="s">
        <v>49</v>
      </c>
      <c r="H115" s="11">
        <v>17.82</v>
      </c>
      <c r="I115" s="8">
        <v>6.1</v>
      </c>
      <c r="J115" s="26">
        <v>2</v>
      </c>
      <c r="K115" s="10">
        <f t="shared" si="8"/>
        <v>0.21740399999999999</v>
      </c>
      <c r="L115" s="4"/>
      <c r="M115" s="17">
        <v>2</v>
      </c>
      <c r="N115" s="18">
        <f t="shared" si="9"/>
        <v>0.21740399999999999</v>
      </c>
      <c r="O115" s="19">
        <f t="shared" si="10"/>
        <v>0</v>
      </c>
      <c r="P115" s="13">
        <f t="shared" si="11"/>
        <v>0</v>
      </c>
      <c r="Q115" s="9">
        <v>6.1</v>
      </c>
      <c r="R115" s="2">
        <v>2</v>
      </c>
      <c r="S115" s="2" t="s">
        <v>602</v>
      </c>
    </row>
    <row r="116" spans="1:19">
      <c r="A116" s="42" t="s">
        <v>77</v>
      </c>
      <c r="B116" s="3" t="s">
        <v>68</v>
      </c>
      <c r="C116" s="3">
        <v>174</v>
      </c>
      <c r="D116" s="1"/>
      <c r="E116" s="20" t="s">
        <v>72</v>
      </c>
      <c r="F116" s="7" t="s">
        <v>15</v>
      </c>
      <c r="G116" s="7" t="s">
        <v>57</v>
      </c>
      <c r="H116" s="11">
        <v>33.72</v>
      </c>
      <c r="I116" s="8">
        <v>7.3</v>
      </c>
      <c r="J116" s="26">
        <v>1</v>
      </c>
      <c r="K116" s="10">
        <f t="shared" si="8"/>
        <v>0.24615599999999999</v>
      </c>
      <c r="L116" s="4"/>
      <c r="M116" s="17">
        <v>1</v>
      </c>
      <c r="N116" s="18">
        <f t="shared" si="9"/>
        <v>0.24615599999999999</v>
      </c>
      <c r="O116" s="310">
        <f t="shared" si="10"/>
        <v>0</v>
      </c>
      <c r="P116" s="13">
        <f t="shared" si="11"/>
        <v>0</v>
      </c>
      <c r="Q116" s="9"/>
      <c r="R116" s="2">
        <v>1</v>
      </c>
      <c r="S116" s="2" t="s">
        <v>514</v>
      </c>
    </row>
    <row r="117" spans="1:19">
      <c r="A117" s="42" t="s">
        <v>77</v>
      </c>
      <c r="B117" s="3" t="s">
        <v>68</v>
      </c>
      <c r="C117" s="3">
        <v>174</v>
      </c>
      <c r="D117" s="1"/>
      <c r="E117" s="20" t="s">
        <v>72</v>
      </c>
      <c r="F117" s="7" t="s">
        <v>15</v>
      </c>
      <c r="G117" s="7" t="s">
        <v>57</v>
      </c>
      <c r="H117" s="11">
        <v>33.72</v>
      </c>
      <c r="I117" s="8">
        <v>7.8</v>
      </c>
      <c r="J117" s="26">
        <v>3</v>
      </c>
      <c r="K117" s="10">
        <f t="shared" si="8"/>
        <v>0.78904799999999986</v>
      </c>
      <c r="L117" s="4"/>
      <c r="M117" s="17">
        <v>3</v>
      </c>
      <c r="N117" s="18">
        <f t="shared" si="9"/>
        <v>0.78904799999999986</v>
      </c>
      <c r="O117" s="310">
        <f t="shared" si="10"/>
        <v>0</v>
      </c>
      <c r="P117" s="13">
        <f t="shared" si="11"/>
        <v>0</v>
      </c>
      <c r="Q117" s="9"/>
      <c r="R117" s="2">
        <v>3</v>
      </c>
      <c r="S117" s="2" t="s">
        <v>514</v>
      </c>
    </row>
    <row r="118" spans="1:19">
      <c r="A118" s="42" t="s">
        <v>77</v>
      </c>
      <c r="B118" s="3" t="s">
        <v>68</v>
      </c>
      <c r="C118" s="3">
        <v>174</v>
      </c>
      <c r="D118" s="1"/>
      <c r="E118" s="20" t="s">
        <v>72</v>
      </c>
      <c r="F118" s="7" t="s">
        <v>15</v>
      </c>
      <c r="G118" s="7" t="s">
        <v>57</v>
      </c>
      <c r="H118" s="11">
        <v>33.72</v>
      </c>
      <c r="I118" s="8">
        <v>7.7</v>
      </c>
      <c r="J118" s="26">
        <v>1</v>
      </c>
      <c r="K118" s="10">
        <f t="shared" si="8"/>
        <v>0.25964399999999999</v>
      </c>
      <c r="L118" s="4"/>
      <c r="M118" s="17">
        <v>1</v>
      </c>
      <c r="N118" s="18">
        <f t="shared" si="9"/>
        <v>0.25964399999999999</v>
      </c>
      <c r="O118" s="310">
        <f t="shared" si="10"/>
        <v>0</v>
      </c>
      <c r="P118" s="13">
        <f t="shared" si="11"/>
        <v>0</v>
      </c>
      <c r="Q118" s="9"/>
      <c r="R118" s="2">
        <v>1</v>
      </c>
      <c r="S118" s="2" t="s">
        <v>514</v>
      </c>
    </row>
    <row r="119" spans="1:19">
      <c r="A119" s="42" t="s">
        <v>77</v>
      </c>
      <c r="B119" s="3" t="s">
        <v>68</v>
      </c>
      <c r="C119" s="3">
        <v>175</v>
      </c>
      <c r="D119" s="1"/>
      <c r="E119" s="12" t="s">
        <v>20</v>
      </c>
      <c r="F119" s="7" t="s">
        <v>15</v>
      </c>
      <c r="G119" s="7" t="s">
        <v>50</v>
      </c>
      <c r="H119" s="11">
        <v>21.7</v>
      </c>
      <c r="I119" s="8">
        <v>11.4</v>
      </c>
      <c r="J119" s="26">
        <v>2</v>
      </c>
      <c r="K119" s="10">
        <f t="shared" si="8"/>
        <v>0.49475999999999998</v>
      </c>
      <c r="L119" s="4"/>
      <c r="M119" s="17">
        <v>2</v>
      </c>
      <c r="N119" s="18">
        <f t="shared" si="9"/>
        <v>0.49475999999999998</v>
      </c>
      <c r="O119" s="19">
        <f t="shared" si="10"/>
        <v>0</v>
      </c>
      <c r="P119" s="13">
        <f t="shared" si="11"/>
        <v>0</v>
      </c>
      <c r="Q119" s="9">
        <v>8.5500000000000007</v>
      </c>
      <c r="R119" s="2">
        <v>2</v>
      </c>
      <c r="S119" s="2" t="s">
        <v>792</v>
      </c>
    </row>
    <row r="120" spans="1:19">
      <c r="A120" s="42" t="s">
        <v>77</v>
      </c>
      <c r="B120" s="3" t="s">
        <v>68</v>
      </c>
      <c r="C120" s="3">
        <v>175</v>
      </c>
      <c r="D120" s="1"/>
      <c r="E120" s="12" t="s">
        <v>20</v>
      </c>
      <c r="F120" s="7" t="s">
        <v>15</v>
      </c>
      <c r="G120" s="7" t="s">
        <v>50</v>
      </c>
      <c r="H120" s="11">
        <v>21.7</v>
      </c>
      <c r="I120" s="8">
        <v>12</v>
      </c>
      <c r="J120" s="26">
        <v>2</v>
      </c>
      <c r="K120" s="10">
        <f t="shared" si="8"/>
        <v>0.52079999999999993</v>
      </c>
      <c r="L120" s="4"/>
      <c r="M120" s="17">
        <v>2</v>
      </c>
      <c r="N120" s="18">
        <f t="shared" si="9"/>
        <v>0.52079999999999993</v>
      </c>
      <c r="O120" s="19">
        <f t="shared" si="10"/>
        <v>0</v>
      </c>
      <c r="P120" s="13">
        <f t="shared" si="11"/>
        <v>0</v>
      </c>
      <c r="Q120" s="9">
        <v>8.5500000000000007</v>
      </c>
      <c r="R120" s="2">
        <v>2</v>
      </c>
      <c r="S120" s="2" t="s">
        <v>792</v>
      </c>
    </row>
    <row r="121" spans="1:19">
      <c r="A121" s="42" t="s">
        <v>77</v>
      </c>
      <c r="B121" s="3" t="s">
        <v>68</v>
      </c>
      <c r="C121" s="3">
        <v>176</v>
      </c>
      <c r="D121" s="1"/>
      <c r="E121" s="12" t="s">
        <v>91</v>
      </c>
      <c r="F121" s="7" t="s">
        <v>15</v>
      </c>
      <c r="G121" s="7" t="s">
        <v>49</v>
      </c>
      <c r="H121" s="11">
        <v>17.82</v>
      </c>
      <c r="I121" s="8">
        <v>6.2</v>
      </c>
      <c r="J121" s="26">
        <v>1</v>
      </c>
      <c r="K121" s="10">
        <f t="shared" si="8"/>
        <v>0.11048400000000001</v>
      </c>
      <c r="L121" s="4"/>
      <c r="M121" s="17">
        <v>1</v>
      </c>
      <c r="N121" s="18">
        <f t="shared" si="9"/>
        <v>0.11048400000000001</v>
      </c>
      <c r="O121" s="19">
        <f t="shared" si="10"/>
        <v>0</v>
      </c>
      <c r="P121" s="13">
        <f t="shared" si="11"/>
        <v>0</v>
      </c>
      <c r="Q121" s="9">
        <v>6.1</v>
      </c>
      <c r="R121" s="2">
        <v>1</v>
      </c>
      <c r="S121" s="2" t="s">
        <v>602</v>
      </c>
    </row>
    <row r="122" spans="1:19">
      <c r="A122" s="42" t="s">
        <v>77</v>
      </c>
      <c r="B122" s="3" t="s">
        <v>68</v>
      </c>
      <c r="C122" s="3">
        <v>177</v>
      </c>
      <c r="D122" s="1"/>
      <c r="E122" s="12" t="s">
        <v>51</v>
      </c>
      <c r="F122" s="7" t="s">
        <v>15</v>
      </c>
      <c r="G122" s="7" t="s">
        <v>49</v>
      </c>
      <c r="H122" s="11">
        <v>17.82</v>
      </c>
      <c r="I122" s="8">
        <v>9.3000000000000007</v>
      </c>
      <c r="J122" s="26">
        <v>3</v>
      </c>
      <c r="K122" s="10">
        <f t="shared" si="8"/>
        <v>0.49717800000000012</v>
      </c>
      <c r="L122" s="4"/>
      <c r="M122" s="17">
        <v>3</v>
      </c>
      <c r="N122" s="18">
        <f t="shared" si="9"/>
        <v>0.49717800000000006</v>
      </c>
      <c r="O122" s="19">
        <f t="shared" si="10"/>
        <v>0</v>
      </c>
      <c r="P122" s="13">
        <f t="shared" si="11"/>
        <v>0</v>
      </c>
      <c r="Q122" s="9"/>
      <c r="R122" s="2"/>
      <c r="S122" s="2"/>
    </row>
    <row r="123" spans="1:19">
      <c r="A123" s="42" t="s">
        <v>77</v>
      </c>
      <c r="B123" s="3" t="s">
        <v>68</v>
      </c>
      <c r="C123" s="3">
        <v>178</v>
      </c>
      <c r="D123" s="1"/>
      <c r="E123" s="20" t="s">
        <v>72</v>
      </c>
      <c r="F123" s="7" t="s">
        <v>15</v>
      </c>
      <c r="G123" s="7" t="s">
        <v>57</v>
      </c>
      <c r="H123" s="11">
        <v>33.72</v>
      </c>
      <c r="I123" s="8">
        <v>6.5</v>
      </c>
      <c r="J123" s="26">
        <v>5</v>
      </c>
      <c r="K123" s="10">
        <f t="shared" si="8"/>
        <v>1.0959000000000001</v>
      </c>
      <c r="L123" s="4"/>
      <c r="M123" s="17">
        <v>5</v>
      </c>
      <c r="N123" s="18">
        <f t="shared" si="9"/>
        <v>1.0958999999999999</v>
      </c>
      <c r="O123" s="310">
        <f t="shared" si="10"/>
        <v>0</v>
      </c>
      <c r="P123" s="13">
        <f t="shared" si="11"/>
        <v>0</v>
      </c>
      <c r="Q123" s="9"/>
      <c r="R123" s="2">
        <v>5</v>
      </c>
      <c r="S123" s="2" t="s">
        <v>514</v>
      </c>
    </row>
    <row r="124" spans="1:19">
      <c r="A124" s="42" t="s">
        <v>77</v>
      </c>
      <c r="B124" s="3" t="s">
        <v>68</v>
      </c>
      <c r="C124" s="3">
        <v>178</v>
      </c>
      <c r="D124" s="1"/>
      <c r="E124" s="20" t="s">
        <v>72</v>
      </c>
      <c r="F124" s="7" t="s">
        <v>15</v>
      </c>
      <c r="G124" s="7" t="s">
        <v>57</v>
      </c>
      <c r="H124" s="11">
        <v>33.72</v>
      </c>
      <c r="I124" s="8">
        <v>6</v>
      </c>
      <c r="J124" s="26">
        <v>1</v>
      </c>
      <c r="K124" s="10">
        <f t="shared" si="8"/>
        <v>0.20232</v>
      </c>
      <c r="L124" s="4"/>
      <c r="M124" s="17">
        <v>1</v>
      </c>
      <c r="N124" s="18">
        <f t="shared" si="9"/>
        <v>0.20232</v>
      </c>
      <c r="O124" s="310">
        <f t="shared" si="10"/>
        <v>0</v>
      </c>
      <c r="P124" s="13">
        <f t="shared" si="11"/>
        <v>0</v>
      </c>
      <c r="Q124" s="9"/>
      <c r="R124" s="2">
        <v>1</v>
      </c>
      <c r="S124" s="2" t="s">
        <v>514</v>
      </c>
    </row>
    <row r="125" spans="1:19">
      <c r="A125" s="42" t="s">
        <v>77</v>
      </c>
      <c r="B125" s="3" t="s">
        <v>68</v>
      </c>
      <c r="C125" s="3">
        <v>179</v>
      </c>
      <c r="D125" s="1"/>
      <c r="E125" s="20" t="s">
        <v>72</v>
      </c>
      <c r="F125" s="7" t="s">
        <v>15</v>
      </c>
      <c r="G125" s="7" t="s">
        <v>57</v>
      </c>
      <c r="H125" s="11">
        <v>33.72</v>
      </c>
      <c r="I125" s="8">
        <v>6.5</v>
      </c>
      <c r="J125" s="26">
        <v>6</v>
      </c>
      <c r="K125" s="10">
        <f t="shared" si="8"/>
        <v>1.31508</v>
      </c>
      <c r="L125" s="4"/>
      <c r="M125" s="17">
        <v>6</v>
      </c>
      <c r="N125" s="18">
        <f t="shared" si="9"/>
        <v>1.31508</v>
      </c>
      <c r="O125" s="310">
        <f t="shared" si="10"/>
        <v>0</v>
      </c>
      <c r="P125" s="13">
        <f t="shared" si="11"/>
        <v>0</v>
      </c>
      <c r="Q125" s="9"/>
      <c r="R125" s="2">
        <v>6</v>
      </c>
      <c r="S125" s="2" t="s">
        <v>514</v>
      </c>
    </row>
    <row r="126" spans="1:19">
      <c r="A126" s="42" t="s">
        <v>77</v>
      </c>
      <c r="B126" s="3" t="s">
        <v>68</v>
      </c>
      <c r="C126" s="3">
        <v>180</v>
      </c>
      <c r="D126" s="1"/>
      <c r="E126" s="12" t="s">
        <v>19</v>
      </c>
      <c r="F126" s="7" t="s">
        <v>14</v>
      </c>
      <c r="G126" s="7" t="s">
        <v>49</v>
      </c>
      <c r="H126" s="11">
        <v>17.82</v>
      </c>
      <c r="I126" s="8">
        <v>6.6</v>
      </c>
      <c r="J126" s="26">
        <v>2</v>
      </c>
      <c r="K126" s="10">
        <f t="shared" si="8"/>
        <v>0.23522399999999999</v>
      </c>
      <c r="L126" s="4"/>
      <c r="M126" s="17"/>
      <c r="N126" s="18">
        <f t="shared" si="9"/>
        <v>0</v>
      </c>
      <c r="O126" s="19">
        <f t="shared" si="10"/>
        <v>2</v>
      </c>
      <c r="P126" s="13">
        <f t="shared" si="11"/>
        <v>0.23522399999999999</v>
      </c>
      <c r="Q126" s="9"/>
      <c r="R126" s="2"/>
      <c r="S126" s="2"/>
    </row>
    <row r="127" spans="1:19">
      <c r="A127" s="42" t="s">
        <v>77</v>
      </c>
      <c r="B127" s="3" t="s">
        <v>68</v>
      </c>
      <c r="C127" s="3">
        <v>180</v>
      </c>
      <c r="D127" s="1"/>
      <c r="E127" s="12" t="s">
        <v>19</v>
      </c>
      <c r="F127" s="7" t="s">
        <v>14</v>
      </c>
      <c r="G127" s="7" t="s">
        <v>49</v>
      </c>
      <c r="H127" s="11">
        <v>17.82</v>
      </c>
      <c r="I127" s="8">
        <v>7.8</v>
      </c>
      <c r="J127" s="26">
        <v>1</v>
      </c>
      <c r="K127" s="10">
        <f t="shared" si="8"/>
        <v>0.13899600000000001</v>
      </c>
      <c r="L127" s="4"/>
      <c r="M127" s="17"/>
      <c r="N127" s="18">
        <f t="shared" si="9"/>
        <v>0</v>
      </c>
      <c r="O127" s="19">
        <f t="shared" si="10"/>
        <v>1</v>
      </c>
      <c r="P127" s="13">
        <f t="shared" si="11"/>
        <v>0.13899600000000001</v>
      </c>
      <c r="Q127" s="9"/>
      <c r="R127" s="2"/>
      <c r="S127" s="2"/>
    </row>
    <row r="128" spans="1:19">
      <c r="A128" s="42" t="s">
        <v>77</v>
      </c>
      <c r="B128" s="3" t="s">
        <v>68</v>
      </c>
      <c r="C128" s="3">
        <v>180</v>
      </c>
      <c r="D128" s="1"/>
      <c r="E128" s="12" t="s">
        <v>19</v>
      </c>
      <c r="F128" s="7" t="s">
        <v>14</v>
      </c>
      <c r="G128" s="7" t="s">
        <v>49</v>
      </c>
      <c r="H128" s="11">
        <v>17.82</v>
      </c>
      <c r="I128" s="8">
        <v>7</v>
      </c>
      <c r="J128" s="26">
        <v>1</v>
      </c>
      <c r="K128" s="10">
        <f t="shared" si="8"/>
        <v>0.12474</v>
      </c>
      <c r="L128" s="4"/>
      <c r="M128" s="17"/>
      <c r="N128" s="18">
        <f t="shared" si="9"/>
        <v>0</v>
      </c>
      <c r="O128" s="19">
        <f t="shared" si="10"/>
        <v>1</v>
      </c>
      <c r="P128" s="13">
        <f t="shared" si="11"/>
        <v>0.12474</v>
      </c>
      <c r="Q128" s="9"/>
      <c r="R128" s="2"/>
      <c r="S128" s="2"/>
    </row>
    <row r="129" spans="1:19">
      <c r="A129" s="42" t="s">
        <v>77</v>
      </c>
      <c r="B129" s="3" t="s">
        <v>68</v>
      </c>
      <c r="C129" s="3">
        <v>181</v>
      </c>
      <c r="D129" s="1"/>
      <c r="E129" s="20" t="s">
        <v>72</v>
      </c>
      <c r="F129" s="7" t="s">
        <v>15</v>
      </c>
      <c r="G129" s="7" t="s">
        <v>57</v>
      </c>
      <c r="H129" s="11">
        <v>33.72</v>
      </c>
      <c r="I129" s="8">
        <v>6.15</v>
      </c>
      <c r="J129" s="26">
        <v>2</v>
      </c>
      <c r="K129" s="10">
        <f t="shared" si="8"/>
        <v>0.41475600000000001</v>
      </c>
      <c r="L129" s="4"/>
      <c r="M129" s="17">
        <v>2</v>
      </c>
      <c r="N129" s="18">
        <f t="shared" si="9"/>
        <v>0.41475600000000001</v>
      </c>
      <c r="O129" s="310">
        <f t="shared" si="10"/>
        <v>0</v>
      </c>
      <c r="P129" s="13">
        <f t="shared" si="11"/>
        <v>0</v>
      </c>
      <c r="Q129" s="9"/>
      <c r="R129" s="2">
        <v>2</v>
      </c>
      <c r="S129" s="2" t="s">
        <v>514</v>
      </c>
    </row>
    <row r="130" spans="1:19">
      <c r="A130" s="42" t="s">
        <v>77</v>
      </c>
      <c r="B130" s="3" t="s">
        <v>68</v>
      </c>
      <c r="C130" s="3">
        <v>181</v>
      </c>
      <c r="D130" s="1"/>
      <c r="E130" s="20" t="s">
        <v>72</v>
      </c>
      <c r="F130" s="7" t="s">
        <v>15</v>
      </c>
      <c r="G130" s="7" t="s">
        <v>57</v>
      </c>
      <c r="H130" s="11">
        <v>33.72</v>
      </c>
      <c r="I130" s="8">
        <v>7</v>
      </c>
      <c r="J130" s="26">
        <v>1</v>
      </c>
      <c r="K130" s="10">
        <f t="shared" si="8"/>
        <v>0.23604</v>
      </c>
      <c r="L130" s="4"/>
      <c r="M130" s="17">
        <v>1</v>
      </c>
      <c r="N130" s="18">
        <f t="shared" si="9"/>
        <v>0.23604</v>
      </c>
      <c r="O130" s="310">
        <f t="shared" si="10"/>
        <v>0</v>
      </c>
      <c r="P130" s="13">
        <f t="shared" si="11"/>
        <v>0</v>
      </c>
      <c r="Q130" s="9"/>
      <c r="R130" s="2">
        <v>1</v>
      </c>
      <c r="S130" s="2" t="s">
        <v>514</v>
      </c>
    </row>
    <row r="131" spans="1:19">
      <c r="A131" s="42" t="s">
        <v>77</v>
      </c>
      <c r="B131" s="3" t="s">
        <v>68</v>
      </c>
      <c r="C131" s="3">
        <v>181</v>
      </c>
      <c r="D131" s="1"/>
      <c r="E131" s="20" t="s">
        <v>72</v>
      </c>
      <c r="F131" s="7" t="s">
        <v>15</v>
      </c>
      <c r="G131" s="7" t="s">
        <v>57</v>
      </c>
      <c r="H131" s="11">
        <v>33.72</v>
      </c>
      <c r="I131" s="8">
        <v>7.7</v>
      </c>
      <c r="J131" s="26">
        <v>1</v>
      </c>
      <c r="K131" s="10">
        <f t="shared" si="8"/>
        <v>0.25964399999999999</v>
      </c>
      <c r="L131" s="4"/>
      <c r="M131" s="17">
        <v>1</v>
      </c>
      <c r="N131" s="18">
        <f t="shared" si="9"/>
        <v>0.25964399999999999</v>
      </c>
      <c r="O131" s="310">
        <f t="shared" si="10"/>
        <v>0</v>
      </c>
      <c r="P131" s="13">
        <f t="shared" si="11"/>
        <v>0</v>
      </c>
      <c r="Q131" s="9"/>
      <c r="R131" s="2">
        <v>1</v>
      </c>
      <c r="S131" s="2" t="s">
        <v>514</v>
      </c>
    </row>
    <row r="132" spans="1:19">
      <c r="A132" s="42" t="s">
        <v>77</v>
      </c>
      <c r="B132" s="3" t="s">
        <v>68</v>
      </c>
      <c r="C132" s="3">
        <v>182</v>
      </c>
      <c r="D132" s="1"/>
      <c r="E132" s="20" t="s">
        <v>72</v>
      </c>
      <c r="F132" s="7" t="s">
        <v>15</v>
      </c>
      <c r="G132" s="7" t="s">
        <v>57</v>
      </c>
      <c r="H132" s="11">
        <v>33.72</v>
      </c>
      <c r="I132" s="8">
        <v>6.7</v>
      </c>
      <c r="J132" s="26">
        <v>1</v>
      </c>
      <c r="K132" s="10">
        <f t="shared" si="8"/>
        <v>0.22592400000000001</v>
      </c>
      <c r="L132" s="4"/>
      <c r="M132" s="17">
        <v>1</v>
      </c>
      <c r="N132" s="18">
        <f t="shared" si="9"/>
        <v>0.22592400000000001</v>
      </c>
      <c r="O132" s="310">
        <f t="shared" si="10"/>
        <v>0</v>
      </c>
      <c r="P132" s="13">
        <f t="shared" si="11"/>
        <v>0</v>
      </c>
      <c r="Q132" s="9"/>
      <c r="R132" s="2">
        <v>1</v>
      </c>
      <c r="S132" s="2" t="s">
        <v>514</v>
      </c>
    </row>
    <row r="133" spans="1:19">
      <c r="A133" s="42" t="s">
        <v>77</v>
      </c>
      <c r="B133" s="3" t="s">
        <v>68</v>
      </c>
      <c r="C133" s="3">
        <v>182</v>
      </c>
      <c r="D133" s="1"/>
      <c r="E133" s="20" t="s">
        <v>72</v>
      </c>
      <c r="F133" s="7" t="s">
        <v>15</v>
      </c>
      <c r="G133" s="7" t="s">
        <v>57</v>
      </c>
      <c r="H133" s="11">
        <v>33.72</v>
      </c>
      <c r="I133" s="8">
        <v>7.1</v>
      </c>
      <c r="J133" s="26">
        <v>1</v>
      </c>
      <c r="K133" s="10">
        <f t="shared" si="8"/>
        <v>0.23941199999999999</v>
      </c>
      <c r="L133" s="4"/>
      <c r="M133" s="17">
        <v>1</v>
      </c>
      <c r="N133" s="18">
        <f t="shared" si="9"/>
        <v>0.23941199999999999</v>
      </c>
      <c r="O133" s="310">
        <f t="shared" si="10"/>
        <v>0</v>
      </c>
      <c r="P133" s="13">
        <f t="shared" si="11"/>
        <v>0</v>
      </c>
      <c r="Q133" s="9"/>
      <c r="R133" s="2">
        <v>1</v>
      </c>
      <c r="S133" s="2" t="s">
        <v>514</v>
      </c>
    </row>
    <row r="134" spans="1:19">
      <c r="A134" s="42" t="s">
        <v>77</v>
      </c>
      <c r="B134" s="3" t="s">
        <v>68</v>
      </c>
      <c r="C134" s="3">
        <v>182</v>
      </c>
      <c r="D134" s="1"/>
      <c r="E134" s="20" t="s">
        <v>72</v>
      </c>
      <c r="F134" s="7" t="s">
        <v>15</v>
      </c>
      <c r="G134" s="7" t="s">
        <v>57</v>
      </c>
      <c r="H134" s="11">
        <v>33.72</v>
      </c>
      <c r="I134" s="8">
        <v>8.5</v>
      </c>
      <c r="J134" s="26">
        <v>1</v>
      </c>
      <c r="K134" s="10">
        <f t="shared" si="8"/>
        <v>0.28661999999999999</v>
      </c>
      <c r="L134" s="4"/>
      <c r="M134" s="17">
        <v>1</v>
      </c>
      <c r="N134" s="18">
        <f t="shared" si="9"/>
        <v>0.28661999999999999</v>
      </c>
      <c r="O134" s="310">
        <f t="shared" si="10"/>
        <v>0</v>
      </c>
      <c r="P134" s="13">
        <f t="shared" si="11"/>
        <v>0</v>
      </c>
      <c r="Q134" s="9"/>
      <c r="R134" s="2">
        <v>1</v>
      </c>
      <c r="S134" s="2" t="s">
        <v>514</v>
      </c>
    </row>
    <row r="135" spans="1:19">
      <c r="A135" s="42" t="s">
        <v>77</v>
      </c>
      <c r="B135" s="3" t="s">
        <v>68</v>
      </c>
      <c r="C135" s="3">
        <v>183</v>
      </c>
      <c r="D135" s="1"/>
      <c r="E135" s="12" t="s">
        <v>20</v>
      </c>
      <c r="F135" s="7" t="s">
        <v>15</v>
      </c>
      <c r="G135" s="7" t="s">
        <v>57</v>
      </c>
      <c r="H135" s="11">
        <v>33.72</v>
      </c>
      <c r="I135" s="8">
        <v>7</v>
      </c>
      <c r="J135" s="26">
        <v>5</v>
      </c>
      <c r="K135" s="10">
        <f t="shared" si="8"/>
        <v>1.1802000000000001</v>
      </c>
      <c r="L135" s="4"/>
      <c r="M135" s="17">
        <v>5</v>
      </c>
      <c r="N135" s="18">
        <f t="shared" si="9"/>
        <v>1.1802000000000001</v>
      </c>
      <c r="O135" s="19">
        <f t="shared" si="10"/>
        <v>0</v>
      </c>
      <c r="P135" s="13">
        <f t="shared" si="11"/>
        <v>0</v>
      </c>
      <c r="Q135" s="9">
        <v>7</v>
      </c>
      <c r="R135" s="2">
        <v>5</v>
      </c>
      <c r="S135" s="2" t="s">
        <v>278</v>
      </c>
    </row>
    <row r="136" spans="1:19">
      <c r="A136" s="42" t="s">
        <v>77</v>
      </c>
      <c r="B136" s="3" t="s">
        <v>68</v>
      </c>
      <c r="C136" s="3">
        <v>184</v>
      </c>
      <c r="D136" s="1"/>
      <c r="E136" s="12" t="s">
        <v>20</v>
      </c>
      <c r="F136" s="7" t="s">
        <v>15</v>
      </c>
      <c r="G136" s="7" t="s">
        <v>28</v>
      </c>
      <c r="H136" s="11">
        <v>12.18</v>
      </c>
      <c r="I136" s="8">
        <v>9.1</v>
      </c>
      <c r="J136" s="26">
        <v>1</v>
      </c>
      <c r="K136" s="10">
        <f t="shared" si="8"/>
        <v>0.11083799999999999</v>
      </c>
      <c r="L136" s="4"/>
      <c r="M136" s="17">
        <v>1</v>
      </c>
      <c r="N136" s="18">
        <f t="shared" si="9"/>
        <v>0.11083799999999999</v>
      </c>
      <c r="O136" s="106">
        <f t="shared" si="10"/>
        <v>0</v>
      </c>
      <c r="P136" s="13">
        <f t="shared" si="11"/>
        <v>0</v>
      </c>
      <c r="Q136" s="9">
        <v>7.13</v>
      </c>
      <c r="R136" s="90">
        <v>1</v>
      </c>
      <c r="S136" s="2" t="s">
        <v>467</v>
      </c>
    </row>
    <row r="137" spans="1:19">
      <c r="A137" s="42" t="s">
        <v>77</v>
      </c>
      <c r="B137" s="3" t="s">
        <v>68</v>
      </c>
      <c r="C137" s="3">
        <v>185</v>
      </c>
      <c r="D137" s="1"/>
      <c r="E137" s="20" t="s">
        <v>72</v>
      </c>
      <c r="F137" s="7" t="s">
        <v>15</v>
      </c>
      <c r="G137" s="7" t="s">
        <v>57</v>
      </c>
      <c r="H137" s="11">
        <v>33.72</v>
      </c>
      <c r="I137" s="8">
        <v>6.7</v>
      </c>
      <c r="J137" s="26">
        <v>1</v>
      </c>
      <c r="K137" s="10">
        <f t="shared" si="8"/>
        <v>0.22592400000000001</v>
      </c>
      <c r="L137" s="4"/>
      <c r="M137" s="17">
        <v>1</v>
      </c>
      <c r="N137" s="18">
        <f t="shared" si="9"/>
        <v>0.22592400000000001</v>
      </c>
      <c r="O137" s="310">
        <f t="shared" si="10"/>
        <v>0</v>
      </c>
      <c r="P137" s="13">
        <f t="shared" si="11"/>
        <v>0</v>
      </c>
      <c r="Q137" s="9"/>
      <c r="R137" s="2">
        <v>1</v>
      </c>
      <c r="S137" s="2" t="s">
        <v>514</v>
      </c>
    </row>
    <row r="138" spans="1:19">
      <c r="A138" s="42" t="s">
        <v>77</v>
      </c>
      <c r="B138" s="3" t="s">
        <v>68</v>
      </c>
      <c r="C138" s="3">
        <v>185</v>
      </c>
      <c r="D138" s="1"/>
      <c r="E138" s="20" t="s">
        <v>72</v>
      </c>
      <c r="F138" s="7" t="s">
        <v>15</v>
      </c>
      <c r="G138" s="7" t="s">
        <v>57</v>
      </c>
      <c r="H138" s="11">
        <v>33.72</v>
      </c>
      <c r="I138" s="8">
        <v>7</v>
      </c>
      <c r="J138" s="26">
        <v>7</v>
      </c>
      <c r="K138" s="10">
        <f t="shared" ref="K138:K178" si="12">(H138*I138*J138/1000)</f>
        <v>1.65228</v>
      </c>
      <c r="L138" s="4"/>
      <c r="M138" s="17">
        <v>7</v>
      </c>
      <c r="N138" s="18">
        <f t="shared" ref="N138:N178" si="13">I138*M138*H138/1000</f>
        <v>1.65228</v>
      </c>
      <c r="O138" s="310">
        <f t="shared" ref="O138:O178" si="14">J138-M138</f>
        <v>0</v>
      </c>
      <c r="P138" s="13">
        <f t="shared" ref="P138:P178" si="15">I138*O138*H138/1000</f>
        <v>0</v>
      </c>
      <c r="Q138" s="9"/>
      <c r="R138" s="2">
        <v>7</v>
      </c>
      <c r="S138" s="2" t="s">
        <v>514</v>
      </c>
    </row>
    <row r="139" spans="1:19">
      <c r="A139" s="42" t="s">
        <v>77</v>
      </c>
      <c r="B139" s="3" t="s">
        <v>68</v>
      </c>
      <c r="C139" s="3">
        <v>186</v>
      </c>
      <c r="D139" s="1"/>
      <c r="E139" s="20" t="s">
        <v>63</v>
      </c>
      <c r="F139" s="7" t="s">
        <v>15</v>
      </c>
      <c r="G139" s="7" t="s">
        <v>58</v>
      </c>
      <c r="H139" s="11">
        <v>27.29</v>
      </c>
      <c r="I139" s="8">
        <v>5.8</v>
      </c>
      <c r="J139" s="26">
        <v>1</v>
      </c>
      <c r="K139" s="10">
        <f t="shared" si="12"/>
        <v>0.15828199999999998</v>
      </c>
      <c r="L139" s="4"/>
      <c r="M139" s="17"/>
      <c r="N139" s="18">
        <f t="shared" si="13"/>
        <v>0</v>
      </c>
      <c r="O139" s="19">
        <f t="shared" si="14"/>
        <v>1</v>
      </c>
      <c r="P139" s="13">
        <f t="shared" si="15"/>
        <v>0.15828199999999998</v>
      </c>
      <c r="Q139" s="9"/>
      <c r="R139" s="2"/>
      <c r="S139" s="2"/>
    </row>
    <row r="140" spans="1:19">
      <c r="A140" s="42" t="s">
        <v>77</v>
      </c>
      <c r="B140" s="3" t="s">
        <v>68</v>
      </c>
      <c r="C140" s="3">
        <v>186</v>
      </c>
      <c r="D140" s="1"/>
      <c r="E140" s="20" t="s">
        <v>63</v>
      </c>
      <c r="F140" s="7" t="s">
        <v>15</v>
      </c>
      <c r="G140" s="7" t="s">
        <v>58</v>
      </c>
      <c r="H140" s="11">
        <v>27.29</v>
      </c>
      <c r="I140" s="8">
        <v>6</v>
      </c>
      <c r="J140" s="26">
        <v>1</v>
      </c>
      <c r="K140" s="10">
        <f t="shared" si="12"/>
        <v>0.16374</v>
      </c>
      <c r="L140" s="4"/>
      <c r="M140" s="17"/>
      <c r="N140" s="18">
        <f t="shared" si="13"/>
        <v>0</v>
      </c>
      <c r="O140" s="19">
        <f t="shared" si="14"/>
        <v>1</v>
      </c>
      <c r="P140" s="13">
        <f t="shared" si="15"/>
        <v>0.16374</v>
      </c>
      <c r="Q140" s="9"/>
      <c r="R140" s="2"/>
      <c r="S140" s="2"/>
    </row>
    <row r="141" spans="1:19">
      <c r="A141" s="42" t="s">
        <v>77</v>
      </c>
      <c r="B141" s="3" t="s">
        <v>68</v>
      </c>
      <c r="C141" s="3">
        <v>187</v>
      </c>
      <c r="D141" s="1"/>
      <c r="E141" s="12" t="s">
        <v>20</v>
      </c>
      <c r="F141" s="7" t="s">
        <v>15</v>
      </c>
      <c r="G141" s="7" t="s">
        <v>48</v>
      </c>
      <c r="H141" s="11">
        <v>23.6</v>
      </c>
      <c r="I141" s="8">
        <v>7.2</v>
      </c>
      <c r="J141" s="26">
        <v>1</v>
      </c>
      <c r="K141" s="10">
        <f t="shared" si="12"/>
        <v>0.16992000000000002</v>
      </c>
      <c r="L141" s="4"/>
      <c r="M141" s="17">
        <v>1</v>
      </c>
      <c r="N141" s="18">
        <f t="shared" si="13"/>
        <v>0.16992000000000002</v>
      </c>
      <c r="O141" s="19">
        <f t="shared" si="14"/>
        <v>0</v>
      </c>
      <c r="P141" s="13">
        <f t="shared" si="15"/>
        <v>0</v>
      </c>
      <c r="Q141" s="9">
        <v>7</v>
      </c>
      <c r="R141" s="2">
        <v>1</v>
      </c>
      <c r="S141" s="2" t="s">
        <v>457</v>
      </c>
    </row>
    <row r="142" spans="1:19">
      <c r="A142" s="42" t="s">
        <v>77</v>
      </c>
      <c r="B142" s="3" t="s">
        <v>68</v>
      </c>
      <c r="C142" s="3">
        <v>187</v>
      </c>
      <c r="D142" s="1"/>
      <c r="E142" s="12" t="s">
        <v>20</v>
      </c>
      <c r="F142" s="7" t="s">
        <v>15</v>
      </c>
      <c r="G142" s="7" t="s">
        <v>54</v>
      </c>
      <c r="H142" s="11">
        <v>31.6</v>
      </c>
      <c r="I142" s="8">
        <v>10</v>
      </c>
      <c r="J142" s="26">
        <v>1</v>
      </c>
      <c r="K142" s="10">
        <f t="shared" si="12"/>
        <v>0.316</v>
      </c>
      <c r="L142" s="4"/>
      <c r="M142" s="17">
        <v>1</v>
      </c>
      <c r="N142" s="18">
        <f t="shared" si="13"/>
        <v>0.316</v>
      </c>
      <c r="O142" s="106">
        <f t="shared" si="14"/>
        <v>0</v>
      </c>
      <c r="P142" s="13">
        <f t="shared" si="15"/>
        <v>0</v>
      </c>
      <c r="Q142" s="55">
        <v>8.14</v>
      </c>
      <c r="R142" s="90">
        <v>1</v>
      </c>
      <c r="S142" s="32" t="s">
        <v>462</v>
      </c>
    </row>
    <row r="143" spans="1:19">
      <c r="A143" s="42" t="s">
        <v>77</v>
      </c>
      <c r="B143" s="3" t="s">
        <v>68</v>
      </c>
      <c r="C143" s="3">
        <v>188</v>
      </c>
      <c r="D143" s="1"/>
      <c r="E143" s="20" t="s">
        <v>72</v>
      </c>
      <c r="F143" s="7" t="s">
        <v>15</v>
      </c>
      <c r="G143" s="7" t="s">
        <v>57</v>
      </c>
      <c r="H143" s="11">
        <v>33.72</v>
      </c>
      <c r="I143" s="8">
        <v>5.6</v>
      </c>
      <c r="J143" s="26">
        <v>1</v>
      </c>
      <c r="K143" s="10">
        <f t="shared" si="12"/>
        <v>0.188832</v>
      </c>
      <c r="L143" s="4"/>
      <c r="M143" s="17">
        <v>1</v>
      </c>
      <c r="N143" s="18">
        <f t="shared" si="13"/>
        <v>0.188832</v>
      </c>
      <c r="O143" s="310">
        <f t="shared" si="14"/>
        <v>0</v>
      </c>
      <c r="P143" s="13">
        <f t="shared" si="15"/>
        <v>0</v>
      </c>
      <c r="Q143" s="9"/>
      <c r="R143" s="2">
        <v>1</v>
      </c>
      <c r="S143" s="2" t="s">
        <v>514</v>
      </c>
    </row>
    <row r="144" spans="1:19">
      <c r="A144" s="42" t="s">
        <v>77</v>
      </c>
      <c r="B144" s="3" t="s">
        <v>68</v>
      </c>
      <c r="C144" s="3">
        <v>189</v>
      </c>
      <c r="D144" s="1"/>
      <c r="E144" s="20" t="s">
        <v>72</v>
      </c>
      <c r="F144" s="7" t="s">
        <v>15</v>
      </c>
      <c r="G144" s="7" t="s">
        <v>57</v>
      </c>
      <c r="H144" s="11">
        <v>33.72</v>
      </c>
      <c r="I144" s="8">
        <v>6.2</v>
      </c>
      <c r="J144" s="26">
        <v>1</v>
      </c>
      <c r="K144" s="10">
        <f t="shared" si="12"/>
        <v>0.209064</v>
      </c>
      <c r="L144" s="4"/>
      <c r="M144" s="17">
        <v>1</v>
      </c>
      <c r="N144" s="18">
        <f t="shared" si="13"/>
        <v>0.209064</v>
      </c>
      <c r="O144" s="310">
        <f t="shared" si="14"/>
        <v>0</v>
      </c>
      <c r="P144" s="13">
        <f t="shared" si="15"/>
        <v>0</v>
      </c>
      <c r="Q144" s="9"/>
      <c r="R144" s="2">
        <v>1</v>
      </c>
      <c r="S144" s="2" t="s">
        <v>514</v>
      </c>
    </row>
    <row r="145" spans="1:19">
      <c r="A145" s="42" t="s">
        <v>77</v>
      </c>
      <c r="B145" s="3" t="s">
        <v>68</v>
      </c>
      <c r="C145" s="3">
        <v>190</v>
      </c>
      <c r="D145" s="1"/>
      <c r="E145" s="12" t="s">
        <v>20</v>
      </c>
      <c r="F145" s="7" t="s">
        <v>15</v>
      </c>
      <c r="G145" s="7" t="s">
        <v>56</v>
      </c>
      <c r="H145" s="11">
        <v>25.2</v>
      </c>
      <c r="I145" s="8">
        <v>10.1</v>
      </c>
      <c r="J145" s="26">
        <v>2</v>
      </c>
      <c r="K145" s="10">
        <f t="shared" si="12"/>
        <v>0.50903999999999994</v>
      </c>
      <c r="L145" s="4"/>
      <c r="M145" s="17">
        <v>2</v>
      </c>
      <c r="N145" s="18">
        <f t="shared" si="13"/>
        <v>0.50903999999999994</v>
      </c>
      <c r="O145" s="106">
        <f t="shared" si="14"/>
        <v>0</v>
      </c>
      <c r="P145" s="13">
        <f t="shared" si="15"/>
        <v>0</v>
      </c>
      <c r="Q145" s="9" t="s">
        <v>373</v>
      </c>
      <c r="R145" s="2">
        <v>2</v>
      </c>
      <c r="S145" s="2"/>
    </row>
    <row r="146" spans="1:19">
      <c r="A146" s="42" t="s">
        <v>77</v>
      </c>
      <c r="B146" s="3" t="s">
        <v>68</v>
      </c>
      <c r="C146" s="3">
        <v>191</v>
      </c>
      <c r="D146" s="1"/>
      <c r="E146" s="12" t="s">
        <v>20</v>
      </c>
      <c r="F146" s="7" t="s">
        <v>15</v>
      </c>
      <c r="G146" s="7" t="s">
        <v>30</v>
      </c>
      <c r="H146" s="11">
        <v>9.26</v>
      </c>
      <c r="I146" s="184">
        <v>6.8</v>
      </c>
      <c r="J146" s="56">
        <v>1</v>
      </c>
      <c r="K146" s="10">
        <f t="shared" si="12"/>
        <v>6.2967999999999996E-2</v>
      </c>
      <c r="L146" s="4"/>
      <c r="M146" s="17">
        <v>1</v>
      </c>
      <c r="N146" s="18">
        <f t="shared" si="13"/>
        <v>6.2967999999999996E-2</v>
      </c>
      <c r="O146" s="19">
        <f t="shared" si="14"/>
        <v>0</v>
      </c>
      <c r="P146" s="13">
        <f t="shared" si="15"/>
        <v>0</v>
      </c>
      <c r="Q146" s="159">
        <v>6.4</v>
      </c>
      <c r="R146" s="35">
        <v>1</v>
      </c>
      <c r="S146" s="2" t="s">
        <v>739</v>
      </c>
    </row>
    <row r="147" spans="1:19">
      <c r="A147" s="42" t="s">
        <v>77</v>
      </c>
      <c r="B147" s="3" t="s">
        <v>68</v>
      </c>
      <c r="C147" s="3">
        <v>191</v>
      </c>
      <c r="D147" s="1"/>
      <c r="E147" s="12" t="s">
        <v>20</v>
      </c>
      <c r="F147" s="7" t="s">
        <v>15</v>
      </c>
      <c r="G147" s="7" t="s">
        <v>30</v>
      </c>
      <c r="H147" s="11">
        <v>9.26</v>
      </c>
      <c r="I147" s="184">
        <v>7.8</v>
      </c>
      <c r="J147" s="56">
        <v>2</v>
      </c>
      <c r="K147" s="10">
        <f t="shared" si="12"/>
        <v>0.144456</v>
      </c>
      <c r="L147" s="4"/>
      <c r="M147" s="17">
        <v>2</v>
      </c>
      <c r="N147" s="18">
        <f t="shared" si="13"/>
        <v>0.144456</v>
      </c>
      <c r="O147" s="19">
        <f t="shared" si="14"/>
        <v>0</v>
      </c>
      <c r="P147" s="13">
        <f t="shared" si="15"/>
        <v>0</v>
      </c>
      <c r="Q147" s="159">
        <v>6.4</v>
      </c>
      <c r="R147" s="35">
        <v>2</v>
      </c>
      <c r="S147" s="2" t="s">
        <v>739</v>
      </c>
    </row>
    <row r="148" spans="1:19">
      <c r="A148" s="42" t="s">
        <v>77</v>
      </c>
      <c r="B148" s="3" t="s">
        <v>68</v>
      </c>
      <c r="C148" s="3">
        <v>191</v>
      </c>
      <c r="D148" s="1"/>
      <c r="E148" s="12" t="s">
        <v>20</v>
      </c>
      <c r="F148" s="7" t="s">
        <v>15</v>
      </c>
      <c r="G148" s="7" t="s">
        <v>30</v>
      </c>
      <c r="H148" s="11">
        <v>9.26</v>
      </c>
      <c r="I148" s="184">
        <v>8.8000000000000007</v>
      </c>
      <c r="J148" s="56">
        <v>1</v>
      </c>
      <c r="K148" s="10">
        <f t="shared" si="12"/>
        <v>8.1488000000000005E-2</v>
      </c>
      <c r="L148" s="4"/>
      <c r="M148" s="17">
        <v>1</v>
      </c>
      <c r="N148" s="18">
        <f t="shared" si="13"/>
        <v>8.1488000000000005E-2</v>
      </c>
      <c r="O148" s="19">
        <f t="shared" si="14"/>
        <v>0</v>
      </c>
      <c r="P148" s="13">
        <f t="shared" si="15"/>
        <v>0</v>
      </c>
      <c r="Q148" s="159">
        <v>6.4</v>
      </c>
      <c r="R148" s="35">
        <v>1</v>
      </c>
      <c r="S148" s="2" t="s">
        <v>739</v>
      </c>
    </row>
    <row r="149" spans="1:19">
      <c r="A149" s="42" t="s">
        <v>77</v>
      </c>
      <c r="B149" s="3" t="s">
        <v>68</v>
      </c>
      <c r="C149" s="3">
        <v>192</v>
      </c>
      <c r="D149" s="1"/>
      <c r="E149" s="20" t="s">
        <v>19</v>
      </c>
      <c r="F149" s="7" t="s">
        <v>14</v>
      </c>
      <c r="G149" s="7" t="s">
        <v>40</v>
      </c>
      <c r="H149" s="11">
        <v>16.5</v>
      </c>
      <c r="I149" s="8">
        <v>7.3</v>
      </c>
      <c r="J149" s="26">
        <v>1</v>
      </c>
      <c r="K149" s="10">
        <f t="shared" si="12"/>
        <v>0.12045</v>
      </c>
      <c r="L149" s="4"/>
      <c r="M149" s="17"/>
      <c r="N149" s="18">
        <f t="shared" si="13"/>
        <v>0</v>
      </c>
      <c r="O149" s="19">
        <f t="shared" si="14"/>
        <v>1</v>
      </c>
      <c r="P149" s="13">
        <f t="shared" si="15"/>
        <v>0.12045</v>
      </c>
      <c r="Q149" s="9"/>
      <c r="R149" s="2"/>
      <c r="S149" s="2"/>
    </row>
    <row r="150" spans="1:19">
      <c r="A150" s="42" t="s">
        <v>77</v>
      </c>
      <c r="B150" s="3" t="s">
        <v>68</v>
      </c>
      <c r="C150" s="3">
        <v>192</v>
      </c>
      <c r="D150" s="1"/>
      <c r="E150" s="20" t="s">
        <v>19</v>
      </c>
      <c r="F150" s="7" t="s">
        <v>14</v>
      </c>
      <c r="G150" s="7" t="s">
        <v>40</v>
      </c>
      <c r="H150" s="11">
        <v>16.5</v>
      </c>
      <c r="I150" s="8">
        <v>9.1</v>
      </c>
      <c r="J150" s="26">
        <v>1</v>
      </c>
      <c r="K150" s="10">
        <f t="shared" si="12"/>
        <v>0.15015000000000001</v>
      </c>
      <c r="L150" s="4"/>
      <c r="M150" s="17"/>
      <c r="N150" s="18">
        <f t="shared" si="13"/>
        <v>0</v>
      </c>
      <c r="O150" s="19">
        <f t="shared" si="14"/>
        <v>1</v>
      </c>
      <c r="P150" s="13">
        <f t="shared" si="15"/>
        <v>0.15015000000000001</v>
      </c>
      <c r="Q150" s="9"/>
      <c r="R150" s="2"/>
      <c r="S150" s="2"/>
    </row>
    <row r="151" spans="1:19">
      <c r="A151" s="42" t="s">
        <v>77</v>
      </c>
      <c r="B151" s="3" t="s">
        <v>68</v>
      </c>
      <c r="C151" s="3">
        <v>192</v>
      </c>
      <c r="D151" s="1"/>
      <c r="E151" s="20" t="s">
        <v>19</v>
      </c>
      <c r="F151" s="7" t="s">
        <v>14</v>
      </c>
      <c r="G151" s="7" t="s">
        <v>40</v>
      </c>
      <c r="H151" s="11">
        <v>16.5</v>
      </c>
      <c r="I151" s="8">
        <v>9.6</v>
      </c>
      <c r="J151" s="26">
        <v>1</v>
      </c>
      <c r="K151" s="10">
        <f t="shared" si="12"/>
        <v>0.15840000000000001</v>
      </c>
      <c r="L151" s="4"/>
      <c r="M151" s="17"/>
      <c r="N151" s="18">
        <f t="shared" si="13"/>
        <v>0</v>
      </c>
      <c r="O151" s="19">
        <f t="shared" si="14"/>
        <v>1</v>
      </c>
      <c r="P151" s="13">
        <f t="shared" si="15"/>
        <v>0.15840000000000001</v>
      </c>
      <c r="Q151" s="9"/>
      <c r="R151" s="2"/>
      <c r="S151" s="2"/>
    </row>
    <row r="152" spans="1:19">
      <c r="A152" s="42" t="s">
        <v>77</v>
      </c>
      <c r="B152" s="3" t="s">
        <v>68</v>
      </c>
      <c r="C152" s="3">
        <v>193</v>
      </c>
      <c r="D152" s="1"/>
      <c r="E152" s="12" t="s">
        <v>20</v>
      </c>
      <c r="F152" s="7" t="s">
        <v>15</v>
      </c>
      <c r="G152" s="7" t="s">
        <v>60</v>
      </c>
      <c r="H152" s="11">
        <v>22.93</v>
      </c>
      <c r="I152" s="8">
        <v>6.6</v>
      </c>
      <c r="J152" s="26">
        <v>1</v>
      </c>
      <c r="K152" s="10">
        <f t="shared" si="12"/>
        <v>0.151338</v>
      </c>
      <c r="L152" s="4"/>
      <c r="M152" s="17">
        <v>1</v>
      </c>
      <c r="N152" s="18">
        <f t="shared" si="13"/>
        <v>0.151338</v>
      </c>
      <c r="O152" s="19">
        <f t="shared" si="14"/>
        <v>0</v>
      </c>
      <c r="P152" s="13">
        <f t="shared" si="15"/>
        <v>0</v>
      </c>
      <c r="Q152" s="9">
        <v>6.1</v>
      </c>
      <c r="R152" s="2">
        <v>1</v>
      </c>
      <c r="S152" s="2" t="s">
        <v>212</v>
      </c>
    </row>
    <row r="153" spans="1:19">
      <c r="A153" s="42" t="s">
        <v>77</v>
      </c>
      <c r="B153" s="3" t="s">
        <v>68</v>
      </c>
      <c r="C153" s="3">
        <v>194</v>
      </c>
      <c r="D153" s="1"/>
      <c r="E153" s="12" t="s">
        <v>20</v>
      </c>
      <c r="F153" s="7" t="s">
        <v>15</v>
      </c>
      <c r="G153" s="7" t="s">
        <v>44</v>
      </c>
      <c r="H153" s="11">
        <v>13.4</v>
      </c>
      <c r="I153" s="8">
        <v>10</v>
      </c>
      <c r="J153" s="26">
        <v>1</v>
      </c>
      <c r="K153" s="10">
        <f t="shared" si="12"/>
        <v>0.13400000000000001</v>
      </c>
      <c r="L153" s="4"/>
      <c r="M153" s="17">
        <v>1</v>
      </c>
      <c r="N153" s="18">
        <f t="shared" si="13"/>
        <v>0.13400000000000001</v>
      </c>
      <c r="O153" s="19">
        <f t="shared" si="14"/>
        <v>0</v>
      </c>
      <c r="P153" s="13">
        <f t="shared" si="15"/>
        <v>0</v>
      </c>
      <c r="Q153" s="9">
        <v>8.1</v>
      </c>
      <c r="R153" s="2">
        <v>1</v>
      </c>
      <c r="S153" s="2" t="s">
        <v>485</v>
      </c>
    </row>
    <row r="154" spans="1:19">
      <c r="A154" s="42" t="s">
        <v>77</v>
      </c>
      <c r="B154" s="3" t="s">
        <v>68</v>
      </c>
      <c r="C154" s="3">
        <v>194</v>
      </c>
      <c r="D154" s="1"/>
      <c r="E154" s="12" t="s">
        <v>20</v>
      </c>
      <c r="F154" s="7" t="s">
        <v>15</v>
      </c>
      <c r="G154" s="7" t="s">
        <v>44</v>
      </c>
      <c r="H154" s="11">
        <v>13.4</v>
      </c>
      <c r="I154" s="8">
        <v>12</v>
      </c>
      <c r="J154" s="26">
        <v>1</v>
      </c>
      <c r="K154" s="10">
        <f t="shared" si="12"/>
        <v>0.1608</v>
      </c>
      <c r="L154" s="4"/>
      <c r="M154" s="17">
        <v>1</v>
      </c>
      <c r="N154" s="18">
        <f t="shared" si="13"/>
        <v>0.1608</v>
      </c>
      <c r="O154" s="19">
        <f t="shared" si="14"/>
        <v>0</v>
      </c>
      <c r="P154" s="13">
        <f t="shared" si="15"/>
        <v>0</v>
      </c>
      <c r="Q154" s="9">
        <v>11</v>
      </c>
      <c r="R154" s="2">
        <v>1</v>
      </c>
      <c r="S154" s="2" t="s">
        <v>485</v>
      </c>
    </row>
    <row r="155" spans="1:19">
      <c r="A155" s="42" t="s">
        <v>77</v>
      </c>
      <c r="B155" s="3" t="s">
        <v>68</v>
      </c>
      <c r="C155" s="3">
        <v>195</v>
      </c>
      <c r="D155" s="1"/>
      <c r="E155" s="20" t="s">
        <v>19</v>
      </c>
      <c r="F155" s="7" t="s">
        <v>14</v>
      </c>
      <c r="G155" s="7" t="s">
        <v>34</v>
      </c>
      <c r="H155" s="11">
        <v>9.61</v>
      </c>
      <c r="I155" s="8">
        <v>7.9</v>
      </c>
      <c r="J155" s="26">
        <v>2</v>
      </c>
      <c r="K155" s="10">
        <f t="shared" si="12"/>
        <v>0.151838</v>
      </c>
      <c r="L155" s="4"/>
      <c r="M155" s="17">
        <v>2</v>
      </c>
      <c r="N155" s="18">
        <f t="shared" si="13"/>
        <v>0.151838</v>
      </c>
      <c r="O155" s="19">
        <f t="shared" si="14"/>
        <v>0</v>
      </c>
      <c r="P155" s="13">
        <f t="shared" si="15"/>
        <v>0</v>
      </c>
      <c r="Q155" s="9"/>
      <c r="R155" s="2">
        <v>2</v>
      </c>
      <c r="S155" s="2" t="s">
        <v>278</v>
      </c>
    </row>
    <row r="156" spans="1:19">
      <c r="A156" s="42" t="s">
        <v>77</v>
      </c>
      <c r="B156" s="3" t="s">
        <v>68</v>
      </c>
      <c r="C156" s="3">
        <v>195</v>
      </c>
      <c r="D156" s="1"/>
      <c r="E156" s="20" t="s">
        <v>19</v>
      </c>
      <c r="F156" s="7" t="s">
        <v>14</v>
      </c>
      <c r="G156" s="7" t="s">
        <v>34</v>
      </c>
      <c r="H156" s="11">
        <v>9.61</v>
      </c>
      <c r="I156" s="8">
        <v>7.6</v>
      </c>
      <c r="J156" s="26">
        <v>1</v>
      </c>
      <c r="K156" s="10">
        <f t="shared" si="12"/>
        <v>7.303599999999999E-2</v>
      </c>
      <c r="L156" s="4"/>
      <c r="M156" s="17">
        <v>1</v>
      </c>
      <c r="N156" s="18">
        <f t="shared" si="13"/>
        <v>7.303599999999999E-2</v>
      </c>
      <c r="O156" s="19">
        <f t="shared" si="14"/>
        <v>0</v>
      </c>
      <c r="P156" s="13">
        <f t="shared" si="15"/>
        <v>0</v>
      </c>
      <c r="Q156" s="9"/>
      <c r="R156" s="2">
        <v>1</v>
      </c>
      <c r="S156" s="2" t="s">
        <v>278</v>
      </c>
    </row>
    <row r="157" spans="1:19">
      <c r="A157" s="42" t="s">
        <v>77</v>
      </c>
      <c r="B157" s="3" t="s">
        <v>68</v>
      </c>
      <c r="C157" s="3">
        <v>195</v>
      </c>
      <c r="D157" s="1"/>
      <c r="E157" s="20" t="s">
        <v>19</v>
      </c>
      <c r="F157" s="7" t="s">
        <v>14</v>
      </c>
      <c r="G157" s="7" t="s">
        <v>34</v>
      </c>
      <c r="H157" s="11">
        <v>9.61</v>
      </c>
      <c r="I157" s="8">
        <v>8.8000000000000007</v>
      </c>
      <c r="J157" s="26">
        <v>2</v>
      </c>
      <c r="K157" s="10">
        <f t="shared" si="12"/>
        <v>0.16913600000000001</v>
      </c>
      <c r="L157" s="4"/>
      <c r="M157" s="17">
        <v>2</v>
      </c>
      <c r="N157" s="18">
        <f t="shared" si="13"/>
        <v>0.16913600000000001</v>
      </c>
      <c r="O157" s="19">
        <f t="shared" si="14"/>
        <v>0</v>
      </c>
      <c r="P157" s="13">
        <f t="shared" si="15"/>
        <v>0</v>
      </c>
      <c r="Q157" s="9"/>
      <c r="R157" s="2">
        <v>2</v>
      </c>
      <c r="S157" s="2" t="s">
        <v>278</v>
      </c>
    </row>
    <row r="158" spans="1:19">
      <c r="A158" s="42" t="s">
        <v>77</v>
      </c>
      <c r="B158" s="3" t="s">
        <v>68</v>
      </c>
      <c r="C158" s="3">
        <v>196</v>
      </c>
      <c r="D158" s="1"/>
      <c r="E158" s="12" t="s">
        <v>20</v>
      </c>
      <c r="F158" s="7" t="s">
        <v>15</v>
      </c>
      <c r="G158" s="7" t="s">
        <v>50</v>
      </c>
      <c r="H158" s="11">
        <v>21.7</v>
      </c>
      <c r="I158" s="8">
        <v>11.6</v>
      </c>
      <c r="J158" s="26">
        <v>1</v>
      </c>
      <c r="K158" s="10">
        <f t="shared" si="12"/>
        <v>0.25171999999999994</v>
      </c>
      <c r="L158" s="4"/>
      <c r="M158" s="17">
        <v>1</v>
      </c>
      <c r="N158" s="18">
        <f t="shared" si="13"/>
        <v>0.25171999999999994</v>
      </c>
      <c r="O158" s="19">
        <f t="shared" si="14"/>
        <v>0</v>
      </c>
      <c r="P158" s="13">
        <f t="shared" si="15"/>
        <v>0</v>
      </c>
      <c r="Q158" s="9">
        <v>8.5500000000000007</v>
      </c>
      <c r="R158" s="2">
        <v>1</v>
      </c>
      <c r="S158" s="2" t="s">
        <v>792</v>
      </c>
    </row>
    <row r="159" spans="1:19">
      <c r="A159" s="42" t="s">
        <v>77</v>
      </c>
      <c r="B159" s="3" t="s">
        <v>68</v>
      </c>
      <c r="C159" s="3">
        <v>198</v>
      </c>
      <c r="D159" s="1"/>
      <c r="E159" s="12" t="s">
        <v>20</v>
      </c>
      <c r="F159" s="7" t="s">
        <v>15</v>
      </c>
      <c r="G159" s="7" t="s">
        <v>50</v>
      </c>
      <c r="H159" s="11">
        <v>21.7</v>
      </c>
      <c r="I159" s="8">
        <v>4.9000000000000004</v>
      </c>
      <c r="J159" s="26">
        <v>14</v>
      </c>
      <c r="K159" s="10">
        <f t="shared" si="12"/>
        <v>1.4886199999999998</v>
      </c>
      <c r="L159" s="4"/>
      <c r="M159" s="17"/>
      <c r="N159" s="18">
        <f t="shared" si="13"/>
        <v>0</v>
      </c>
      <c r="O159" s="19">
        <f t="shared" si="14"/>
        <v>14</v>
      </c>
      <c r="P159" s="13">
        <f t="shared" si="15"/>
        <v>1.4886200000000001</v>
      </c>
      <c r="Q159" s="9"/>
      <c r="R159" s="2"/>
      <c r="S159" s="2"/>
    </row>
    <row r="160" spans="1:19">
      <c r="A160" s="42" t="s">
        <v>77</v>
      </c>
      <c r="B160" s="3" t="s">
        <v>68</v>
      </c>
      <c r="C160" s="3">
        <v>199</v>
      </c>
      <c r="D160" s="1"/>
      <c r="E160" s="12" t="s">
        <v>20</v>
      </c>
      <c r="F160" s="7" t="s">
        <v>15</v>
      </c>
      <c r="G160" s="7" t="s">
        <v>64</v>
      </c>
      <c r="H160" s="11">
        <v>40.1</v>
      </c>
      <c r="I160" s="8">
        <v>7</v>
      </c>
      <c r="J160" s="26">
        <v>1</v>
      </c>
      <c r="K160" s="10">
        <f t="shared" si="12"/>
        <v>0.28070000000000001</v>
      </c>
      <c r="L160" s="4"/>
      <c r="M160" s="17"/>
      <c r="N160" s="18">
        <f t="shared" si="13"/>
        <v>0</v>
      </c>
      <c r="O160" s="19">
        <f t="shared" si="14"/>
        <v>1</v>
      </c>
      <c r="P160" s="13">
        <f t="shared" si="15"/>
        <v>0.28070000000000001</v>
      </c>
      <c r="Q160" s="9"/>
      <c r="R160" s="2"/>
      <c r="S160" s="2"/>
    </row>
    <row r="161" spans="1:21">
      <c r="A161" s="42" t="s">
        <v>77</v>
      </c>
      <c r="B161" s="3" t="s">
        <v>68</v>
      </c>
      <c r="C161" s="3">
        <v>200</v>
      </c>
      <c r="D161" s="1"/>
      <c r="E161" s="12" t="s">
        <v>20</v>
      </c>
      <c r="F161" s="7" t="s">
        <v>15</v>
      </c>
      <c r="G161" s="7" t="s">
        <v>56</v>
      </c>
      <c r="H161" s="11">
        <v>25.2</v>
      </c>
      <c r="I161" s="8">
        <v>6.1</v>
      </c>
      <c r="J161" s="26">
        <v>1</v>
      </c>
      <c r="K161" s="10">
        <f t="shared" si="12"/>
        <v>0.15372</v>
      </c>
      <c r="L161" s="4"/>
      <c r="M161" s="17">
        <v>1</v>
      </c>
      <c r="N161" s="18">
        <f t="shared" si="13"/>
        <v>0.15372</v>
      </c>
      <c r="O161" s="106">
        <f t="shared" si="14"/>
        <v>0</v>
      </c>
      <c r="P161" s="13">
        <f t="shared" si="15"/>
        <v>0</v>
      </c>
      <c r="Q161" s="9" t="s">
        <v>373</v>
      </c>
      <c r="R161" s="2">
        <v>1</v>
      </c>
      <c r="S161" s="2"/>
    </row>
    <row r="162" spans="1:21">
      <c r="A162" s="42" t="s">
        <v>77</v>
      </c>
      <c r="B162" s="3" t="s">
        <v>68</v>
      </c>
      <c r="C162" s="3">
        <v>201</v>
      </c>
      <c r="D162" s="1"/>
      <c r="E162" s="12" t="s">
        <v>20</v>
      </c>
      <c r="F162" s="7" t="s">
        <v>15</v>
      </c>
      <c r="G162" s="7" t="s">
        <v>34</v>
      </c>
      <c r="H162" s="11">
        <v>9.61</v>
      </c>
      <c r="I162" s="8">
        <v>11.3</v>
      </c>
      <c r="J162" s="26">
        <v>4</v>
      </c>
      <c r="K162" s="10">
        <f t="shared" si="12"/>
        <v>0.43437200000000004</v>
      </c>
      <c r="L162" s="4"/>
      <c r="M162" s="17">
        <v>4</v>
      </c>
      <c r="N162" s="18">
        <f t="shared" si="13"/>
        <v>0.43437200000000004</v>
      </c>
      <c r="O162" s="19">
        <f t="shared" si="14"/>
        <v>0</v>
      </c>
      <c r="P162" s="13">
        <f t="shared" si="15"/>
        <v>0</v>
      </c>
      <c r="Q162" s="9"/>
      <c r="R162" s="2">
        <v>4</v>
      </c>
      <c r="S162" s="32" t="s">
        <v>259</v>
      </c>
    </row>
    <row r="163" spans="1:21">
      <c r="A163" s="42" t="s">
        <v>77</v>
      </c>
      <c r="B163" s="3" t="s">
        <v>68</v>
      </c>
      <c r="C163" s="3">
        <v>201</v>
      </c>
      <c r="D163" s="1"/>
      <c r="E163" s="12" t="s">
        <v>20</v>
      </c>
      <c r="F163" s="7" t="s">
        <v>15</v>
      </c>
      <c r="G163" s="7" t="s">
        <v>34</v>
      </c>
      <c r="H163" s="11">
        <v>9.61</v>
      </c>
      <c r="I163" s="8">
        <v>12</v>
      </c>
      <c r="J163" s="26">
        <v>1</v>
      </c>
      <c r="K163" s="10">
        <f t="shared" si="12"/>
        <v>0.11531999999999999</v>
      </c>
      <c r="L163" s="4"/>
      <c r="M163" s="17">
        <v>1</v>
      </c>
      <c r="N163" s="18">
        <f t="shared" si="13"/>
        <v>0.11531999999999999</v>
      </c>
      <c r="O163" s="19">
        <f t="shared" si="14"/>
        <v>0</v>
      </c>
      <c r="P163" s="13">
        <f t="shared" si="15"/>
        <v>0</v>
      </c>
      <c r="Q163" s="9"/>
      <c r="R163" s="2">
        <v>1</v>
      </c>
      <c r="S163" s="32" t="s">
        <v>259</v>
      </c>
    </row>
    <row r="164" spans="1:21">
      <c r="A164" s="42" t="s">
        <v>77</v>
      </c>
      <c r="B164" s="3" t="s">
        <v>68</v>
      </c>
      <c r="C164" s="3">
        <v>202</v>
      </c>
      <c r="D164" s="1"/>
      <c r="E164" s="20" t="s">
        <v>17</v>
      </c>
      <c r="F164" s="7" t="s">
        <v>15</v>
      </c>
      <c r="G164" s="7" t="s">
        <v>56</v>
      </c>
      <c r="H164" s="11">
        <v>25.2</v>
      </c>
      <c r="I164" s="8">
        <v>5.5</v>
      </c>
      <c r="J164" s="26">
        <v>5</v>
      </c>
      <c r="K164" s="10">
        <f t="shared" si="12"/>
        <v>0.69299999999999995</v>
      </c>
      <c r="L164" s="4"/>
      <c r="M164" s="17">
        <v>5</v>
      </c>
      <c r="N164" s="18">
        <f t="shared" si="13"/>
        <v>0.69299999999999995</v>
      </c>
      <c r="O164" s="19">
        <f t="shared" si="14"/>
        <v>0</v>
      </c>
      <c r="P164" s="13">
        <f t="shared" si="15"/>
        <v>0</v>
      </c>
      <c r="Q164" s="9"/>
      <c r="R164" s="2"/>
      <c r="S164" s="2">
        <v>5.5</v>
      </c>
      <c r="T164" s="354">
        <v>5</v>
      </c>
      <c r="U164" s="213" t="s">
        <v>717</v>
      </c>
    </row>
    <row r="165" spans="1:21">
      <c r="A165" s="42" t="s">
        <v>77</v>
      </c>
      <c r="B165" s="3" t="s">
        <v>68</v>
      </c>
      <c r="C165" s="3">
        <v>202</v>
      </c>
      <c r="D165" s="1"/>
      <c r="E165" s="20" t="s">
        <v>17</v>
      </c>
      <c r="F165" s="7" t="s">
        <v>15</v>
      </c>
      <c r="G165" s="7" t="s">
        <v>56</v>
      </c>
      <c r="H165" s="11">
        <v>25.2</v>
      </c>
      <c r="I165" s="8">
        <v>5.8</v>
      </c>
      <c r="J165" s="26">
        <v>5</v>
      </c>
      <c r="K165" s="10">
        <f t="shared" si="12"/>
        <v>0.73080000000000001</v>
      </c>
      <c r="L165" s="4"/>
      <c r="M165" s="17">
        <v>5</v>
      </c>
      <c r="N165" s="18">
        <f t="shared" si="13"/>
        <v>0.73080000000000001</v>
      </c>
      <c r="O165" s="19">
        <f t="shared" si="14"/>
        <v>0</v>
      </c>
      <c r="P165" s="13">
        <f t="shared" si="15"/>
        <v>0</v>
      </c>
      <c r="Q165" s="9"/>
      <c r="R165" s="2"/>
      <c r="S165" s="2">
        <v>5.8</v>
      </c>
      <c r="T165" s="354">
        <v>5</v>
      </c>
      <c r="U165" s="213" t="s">
        <v>717</v>
      </c>
    </row>
    <row r="166" spans="1:21">
      <c r="A166" s="42" t="s">
        <v>77</v>
      </c>
      <c r="B166" s="3" t="s">
        <v>68</v>
      </c>
      <c r="C166" s="3">
        <v>203</v>
      </c>
      <c r="D166" s="1"/>
      <c r="E166" s="20" t="s">
        <v>24</v>
      </c>
      <c r="F166" s="7" t="s">
        <v>14</v>
      </c>
      <c r="G166" s="7" t="s">
        <v>39</v>
      </c>
      <c r="H166" s="11">
        <v>14.66</v>
      </c>
      <c r="I166" s="8">
        <v>8.1</v>
      </c>
      <c r="J166" s="26">
        <v>1</v>
      </c>
      <c r="K166" s="10">
        <f t="shared" si="12"/>
        <v>0.11874599999999999</v>
      </c>
      <c r="L166" s="4"/>
      <c r="M166" s="17">
        <v>1</v>
      </c>
      <c r="N166" s="18">
        <f t="shared" si="13"/>
        <v>0.11874599999999999</v>
      </c>
      <c r="O166" s="19">
        <f t="shared" si="14"/>
        <v>0</v>
      </c>
      <c r="P166" s="13">
        <f t="shared" si="15"/>
        <v>0</v>
      </c>
      <c r="Q166" s="9"/>
      <c r="R166" s="35">
        <v>1</v>
      </c>
      <c r="S166" s="2" t="s">
        <v>642</v>
      </c>
    </row>
    <row r="167" spans="1:21">
      <c r="A167" s="42" t="s">
        <v>77</v>
      </c>
      <c r="B167" s="3" t="s">
        <v>68</v>
      </c>
      <c r="C167" s="3">
        <v>203</v>
      </c>
      <c r="D167" s="1"/>
      <c r="E167" s="20" t="s">
        <v>24</v>
      </c>
      <c r="F167" s="7" t="s">
        <v>14</v>
      </c>
      <c r="G167" s="7" t="s">
        <v>39</v>
      </c>
      <c r="H167" s="11">
        <v>14.66</v>
      </c>
      <c r="I167" s="8">
        <v>9.3000000000000007</v>
      </c>
      <c r="J167" s="26">
        <v>2</v>
      </c>
      <c r="K167" s="10">
        <f t="shared" si="12"/>
        <v>0.27267600000000003</v>
      </c>
      <c r="L167" s="4"/>
      <c r="M167" s="17">
        <v>2</v>
      </c>
      <c r="N167" s="18">
        <f t="shared" si="13"/>
        <v>0.27267600000000003</v>
      </c>
      <c r="O167" s="19">
        <f t="shared" si="14"/>
        <v>0</v>
      </c>
      <c r="P167" s="13">
        <f t="shared" si="15"/>
        <v>0</v>
      </c>
      <c r="Q167" s="9"/>
      <c r="R167" s="2"/>
      <c r="S167" s="2"/>
    </row>
    <row r="168" spans="1:21">
      <c r="A168" s="42" t="s">
        <v>77</v>
      </c>
      <c r="B168" s="3" t="s">
        <v>68</v>
      </c>
      <c r="C168" s="3">
        <v>203</v>
      </c>
      <c r="D168" s="1"/>
      <c r="E168" s="20" t="s">
        <v>24</v>
      </c>
      <c r="F168" s="7" t="s">
        <v>14</v>
      </c>
      <c r="G168" s="7" t="s">
        <v>39</v>
      </c>
      <c r="H168" s="11">
        <v>14.66</v>
      </c>
      <c r="I168" s="8">
        <v>9.6</v>
      </c>
      <c r="J168" s="26">
        <v>1</v>
      </c>
      <c r="K168" s="10">
        <f t="shared" si="12"/>
        <v>0.140736</v>
      </c>
      <c r="L168" s="4"/>
      <c r="M168" s="17">
        <v>1</v>
      </c>
      <c r="N168" s="18">
        <f t="shared" si="13"/>
        <v>0.140736</v>
      </c>
      <c r="O168" s="19">
        <f t="shared" si="14"/>
        <v>0</v>
      </c>
      <c r="P168" s="13">
        <f t="shared" si="15"/>
        <v>0</v>
      </c>
      <c r="Q168" s="9"/>
      <c r="R168" s="2"/>
      <c r="S168" s="2"/>
    </row>
    <row r="169" spans="1:21">
      <c r="A169" s="42" t="s">
        <v>77</v>
      </c>
      <c r="B169" s="3" t="s">
        <v>68</v>
      </c>
      <c r="C169" s="3">
        <v>204</v>
      </c>
      <c r="D169" s="1"/>
      <c r="E169" s="20" t="s">
        <v>17</v>
      </c>
      <c r="F169" s="7" t="s">
        <v>15</v>
      </c>
      <c r="G169" s="7" t="s">
        <v>59</v>
      </c>
      <c r="H169" s="11">
        <v>38</v>
      </c>
      <c r="I169" s="8">
        <v>9.6</v>
      </c>
      <c r="J169" s="26">
        <v>1</v>
      </c>
      <c r="K169" s="10">
        <f t="shared" si="12"/>
        <v>0.36480000000000001</v>
      </c>
      <c r="L169" s="4"/>
      <c r="M169" s="17">
        <v>1</v>
      </c>
      <c r="N169" s="18">
        <f t="shared" si="13"/>
        <v>0.36480000000000001</v>
      </c>
      <c r="O169" s="19">
        <f t="shared" si="14"/>
        <v>0</v>
      </c>
      <c r="P169" s="13">
        <f t="shared" si="15"/>
        <v>0</v>
      </c>
      <c r="Q169" s="9">
        <v>7.6</v>
      </c>
      <c r="R169" s="2">
        <v>1</v>
      </c>
      <c r="S169" s="32" t="s">
        <v>220</v>
      </c>
    </row>
    <row r="170" spans="1:21">
      <c r="A170" s="42" t="s">
        <v>77</v>
      </c>
      <c r="B170" s="3" t="s">
        <v>68</v>
      </c>
      <c r="C170" s="3">
        <v>204</v>
      </c>
      <c r="D170" s="1"/>
      <c r="E170" s="20" t="s">
        <v>17</v>
      </c>
      <c r="F170" s="7" t="s">
        <v>15</v>
      </c>
      <c r="G170" s="7" t="s">
        <v>59</v>
      </c>
      <c r="H170" s="11">
        <v>38</v>
      </c>
      <c r="I170" s="8">
        <v>9.6999999999999993</v>
      </c>
      <c r="J170" s="26">
        <v>1</v>
      </c>
      <c r="K170" s="10">
        <f t="shared" si="12"/>
        <v>0.36859999999999998</v>
      </c>
      <c r="L170" s="4"/>
      <c r="M170" s="17">
        <v>1</v>
      </c>
      <c r="N170" s="18">
        <f t="shared" si="13"/>
        <v>0.36859999999999998</v>
      </c>
      <c r="O170" s="19">
        <f t="shared" si="14"/>
        <v>0</v>
      </c>
      <c r="P170" s="13">
        <f t="shared" si="15"/>
        <v>0</v>
      </c>
      <c r="Q170" s="9">
        <v>7.6</v>
      </c>
      <c r="R170" s="2">
        <v>1</v>
      </c>
      <c r="S170" s="32" t="s">
        <v>220</v>
      </c>
    </row>
    <row r="171" spans="1:21">
      <c r="A171" s="42" t="s">
        <v>77</v>
      </c>
      <c r="B171" s="3" t="s">
        <v>68</v>
      </c>
      <c r="C171" s="3">
        <v>204</v>
      </c>
      <c r="D171" s="1"/>
      <c r="E171" s="20" t="s">
        <v>17</v>
      </c>
      <c r="F171" s="7" t="s">
        <v>15</v>
      </c>
      <c r="G171" s="7" t="s">
        <v>59</v>
      </c>
      <c r="H171" s="11">
        <v>38</v>
      </c>
      <c r="I171" s="8">
        <v>9.8000000000000007</v>
      </c>
      <c r="J171" s="26">
        <v>2</v>
      </c>
      <c r="K171" s="10">
        <f t="shared" si="12"/>
        <v>0.74480000000000002</v>
      </c>
      <c r="L171" s="4"/>
      <c r="M171" s="17">
        <v>2</v>
      </c>
      <c r="N171" s="18">
        <f t="shared" si="13"/>
        <v>0.74480000000000002</v>
      </c>
      <c r="O171" s="19">
        <f t="shared" si="14"/>
        <v>0</v>
      </c>
      <c r="P171" s="13">
        <f t="shared" si="15"/>
        <v>0</v>
      </c>
      <c r="Q171" s="9">
        <v>7.6</v>
      </c>
      <c r="R171" s="2">
        <v>2</v>
      </c>
      <c r="S171" s="32" t="s">
        <v>220</v>
      </c>
    </row>
    <row r="172" spans="1:21">
      <c r="A172" s="42" t="s">
        <v>77</v>
      </c>
      <c r="B172" s="3" t="s">
        <v>68</v>
      </c>
      <c r="C172" s="3">
        <v>205</v>
      </c>
      <c r="D172" s="1"/>
      <c r="E172" s="20" t="s">
        <v>17</v>
      </c>
      <c r="F172" s="7" t="s">
        <v>15</v>
      </c>
      <c r="G172" s="7" t="s">
        <v>36</v>
      </c>
      <c r="H172" s="11">
        <v>10.199999999999999</v>
      </c>
      <c r="I172" s="8">
        <v>5.3</v>
      </c>
      <c r="J172" s="26">
        <v>1</v>
      </c>
      <c r="K172" s="10">
        <f t="shared" si="12"/>
        <v>5.4059999999999997E-2</v>
      </c>
      <c r="L172" s="4"/>
      <c r="M172" s="17"/>
      <c r="N172" s="18">
        <f t="shared" si="13"/>
        <v>0</v>
      </c>
      <c r="O172" s="19">
        <f t="shared" si="14"/>
        <v>1</v>
      </c>
      <c r="P172" s="13">
        <f t="shared" si="15"/>
        <v>5.4059999999999997E-2</v>
      </c>
      <c r="Q172" s="9"/>
      <c r="R172" s="2"/>
      <c r="S172" s="2"/>
    </row>
    <row r="173" spans="1:21">
      <c r="A173" s="42" t="s">
        <v>77</v>
      </c>
      <c r="B173" s="3" t="s">
        <v>68</v>
      </c>
      <c r="C173" s="3">
        <v>205</v>
      </c>
      <c r="D173" s="1"/>
      <c r="E173" s="20" t="s">
        <v>17</v>
      </c>
      <c r="F173" s="7" t="s">
        <v>15</v>
      </c>
      <c r="G173" s="7" t="s">
        <v>36</v>
      </c>
      <c r="H173" s="11">
        <v>10.199999999999999</v>
      </c>
      <c r="I173" s="8">
        <v>10.6</v>
      </c>
      <c r="J173" s="26">
        <v>1</v>
      </c>
      <c r="K173" s="10">
        <f t="shared" si="12"/>
        <v>0.10811999999999999</v>
      </c>
      <c r="L173" s="4"/>
      <c r="M173" s="17">
        <v>1</v>
      </c>
      <c r="N173" s="18">
        <f t="shared" si="13"/>
        <v>0.10811999999999999</v>
      </c>
      <c r="O173" s="19">
        <f t="shared" si="14"/>
        <v>0</v>
      </c>
      <c r="P173" s="13">
        <f t="shared" si="15"/>
        <v>0</v>
      </c>
      <c r="Q173" s="9">
        <v>10.5</v>
      </c>
      <c r="R173" s="2">
        <v>1</v>
      </c>
      <c r="S173" s="2" t="s">
        <v>196</v>
      </c>
    </row>
    <row r="174" spans="1:21">
      <c r="A174" s="42" t="s">
        <v>77</v>
      </c>
      <c r="B174" s="3" t="s">
        <v>68</v>
      </c>
      <c r="C174" s="3">
        <v>205</v>
      </c>
      <c r="D174" s="1"/>
      <c r="E174" s="20" t="s">
        <v>17</v>
      </c>
      <c r="F174" s="7" t="s">
        <v>15</v>
      </c>
      <c r="G174" s="7" t="s">
        <v>36</v>
      </c>
      <c r="H174" s="11">
        <v>10.199999999999999</v>
      </c>
      <c r="I174" s="8">
        <v>11</v>
      </c>
      <c r="J174" s="26">
        <v>4</v>
      </c>
      <c r="K174" s="10">
        <f t="shared" si="12"/>
        <v>0.44879999999999998</v>
      </c>
      <c r="L174" s="4"/>
      <c r="M174" s="17">
        <v>4</v>
      </c>
      <c r="N174" s="18">
        <f t="shared" si="13"/>
        <v>0.44879999999999998</v>
      </c>
      <c r="O174" s="19">
        <f t="shared" si="14"/>
        <v>0</v>
      </c>
      <c r="P174" s="13">
        <f t="shared" si="15"/>
        <v>0</v>
      </c>
      <c r="Q174" s="9">
        <v>10.5</v>
      </c>
      <c r="R174" s="2">
        <v>4</v>
      </c>
      <c r="S174" s="2" t="s">
        <v>196</v>
      </c>
    </row>
    <row r="175" spans="1:21">
      <c r="A175" s="42" t="s">
        <v>77</v>
      </c>
      <c r="B175" s="3" t="s">
        <v>68</v>
      </c>
      <c r="C175" s="3">
        <v>206</v>
      </c>
      <c r="D175" s="1"/>
      <c r="E175" s="20" t="s">
        <v>63</v>
      </c>
      <c r="F175" s="7" t="s">
        <v>15</v>
      </c>
      <c r="G175" s="7" t="s">
        <v>48</v>
      </c>
      <c r="H175" s="11">
        <v>23.6</v>
      </c>
      <c r="I175" s="8">
        <v>7.8</v>
      </c>
      <c r="J175" s="26">
        <v>1</v>
      </c>
      <c r="K175" s="10">
        <f t="shared" si="12"/>
        <v>0.18408000000000002</v>
      </c>
      <c r="L175" s="4"/>
      <c r="M175" s="17">
        <v>1</v>
      </c>
      <c r="N175" s="18">
        <f t="shared" si="13"/>
        <v>0.18408000000000002</v>
      </c>
      <c r="O175" s="106">
        <f t="shared" si="14"/>
        <v>0</v>
      </c>
      <c r="P175" s="13">
        <f t="shared" si="15"/>
        <v>0</v>
      </c>
      <c r="Q175" s="9">
        <v>7.8</v>
      </c>
      <c r="R175" s="2">
        <v>1</v>
      </c>
      <c r="S175" s="2" t="s">
        <v>529</v>
      </c>
    </row>
    <row r="176" spans="1:21">
      <c r="A176" s="42" t="s">
        <v>77</v>
      </c>
      <c r="B176" s="3" t="s">
        <v>68</v>
      </c>
      <c r="C176" s="3">
        <v>206</v>
      </c>
      <c r="D176" s="1"/>
      <c r="E176" s="20" t="s">
        <v>63</v>
      </c>
      <c r="F176" s="7" t="s">
        <v>15</v>
      </c>
      <c r="G176" s="7" t="s">
        <v>48</v>
      </c>
      <c r="H176" s="11">
        <v>23.6</v>
      </c>
      <c r="I176" s="8">
        <v>8.3000000000000007</v>
      </c>
      <c r="J176" s="26">
        <v>1</v>
      </c>
      <c r="K176" s="10">
        <f t="shared" si="12"/>
        <v>0.19588000000000003</v>
      </c>
      <c r="L176" s="4"/>
      <c r="M176" s="17">
        <v>1</v>
      </c>
      <c r="N176" s="18">
        <f t="shared" si="13"/>
        <v>0.19588000000000003</v>
      </c>
      <c r="O176" s="19">
        <f t="shared" si="14"/>
        <v>0</v>
      </c>
      <c r="P176" s="13">
        <f t="shared" si="15"/>
        <v>0</v>
      </c>
      <c r="Q176" s="9">
        <v>7.2</v>
      </c>
      <c r="R176" s="2">
        <v>1</v>
      </c>
      <c r="S176" s="2" t="s">
        <v>760</v>
      </c>
    </row>
    <row r="177" spans="1:19">
      <c r="A177" s="42" t="s">
        <v>77</v>
      </c>
      <c r="B177" s="3" t="s">
        <v>68</v>
      </c>
      <c r="C177" s="3">
        <v>206</v>
      </c>
      <c r="D177" s="1"/>
      <c r="E177" s="20" t="s">
        <v>63</v>
      </c>
      <c r="F177" s="7" t="s">
        <v>15</v>
      </c>
      <c r="G177" s="7" t="s">
        <v>48</v>
      </c>
      <c r="H177" s="11">
        <v>23.6</v>
      </c>
      <c r="I177" s="8">
        <v>11</v>
      </c>
      <c r="J177" s="26">
        <v>1</v>
      </c>
      <c r="K177" s="10">
        <f t="shared" si="12"/>
        <v>0.2596</v>
      </c>
      <c r="L177" s="4"/>
      <c r="M177" s="17">
        <v>1</v>
      </c>
      <c r="N177" s="18">
        <f t="shared" si="13"/>
        <v>0.2596</v>
      </c>
      <c r="O177" s="19">
        <f t="shared" si="14"/>
        <v>0</v>
      </c>
      <c r="P177" s="13">
        <f t="shared" si="15"/>
        <v>0</v>
      </c>
      <c r="Q177" s="9">
        <v>10.25</v>
      </c>
      <c r="R177" s="2">
        <v>1</v>
      </c>
      <c r="S177" s="2" t="s">
        <v>760</v>
      </c>
    </row>
    <row r="178" spans="1:19">
      <c r="A178" s="42" t="s">
        <v>77</v>
      </c>
      <c r="B178" s="3" t="s">
        <v>68</v>
      </c>
      <c r="C178" s="3">
        <v>207</v>
      </c>
      <c r="D178" s="1"/>
      <c r="E178" s="20" t="s">
        <v>17</v>
      </c>
      <c r="F178" s="7" t="s">
        <v>15</v>
      </c>
      <c r="G178" s="7" t="s">
        <v>59</v>
      </c>
      <c r="H178" s="11">
        <v>38</v>
      </c>
      <c r="I178" s="8">
        <v>10</v>
      </c>
      <c r="J178" s="26">
        <v>1</v>
      </c>
      <c r="K178" s="10">
        <f t="shared" si="12"/>
        <v>0.38</v>
      </c>
      <c r="L178" s="4"/>
      <c r="M178" s="17">
        <v>1</v>
      </c>
      <c r="N178" s="18">
        <f t="shared" si="13"/>
        <v>0.38</v>
      </c>
      <c r="O178" s="19">
        <f t="shared" si="14"/>
        <v>0</v>
      </c>
      <c r="P178" s="13">
        <f t="shared" si="15"/>
        <v>0</v>
      </c>
      <c r="Q178" s="9">
        <v>7.6</v>
      </c>
      <c r="R178" s="2">
        <v>1</v>
      </c>
      <c r="S178" s="32" t="s">
        <v>220</v>
      </c>
    </row>
    <row r="179" spans="1:19">
      <c r="A179" s="42" t="s">
        <v>77</v>
      </c>
      <c r="B179" s="3" t="s">
        <v>68</v>
      </c>
      <c r="C179" s="3">
        <v>208</v>
      </c>
      <c r="D179" s="1"/>
      <c r="E179" s="20" t="s">
        <v>63</v>
      </c>
      <c r="F179" s="7" t="s">
        <v>15</v>
      </c>
      <c r="G179" s="7" t="s">
        <v>56</v>
      </c>
      <c r="H179" s="11">
        <v>25.2</v>
      </c>
      <c r="I179" s="8">
        <v>9.9</v>
      </c>
      <c r="J179" s="26">
        <v>1</v>
      </c>
      <c r="K179" s="10">
        <f t="shared" ref="K179:K219" si="16">(H179*I179*J179/1000)</f>
        <v>0.24947999999999998</v>
      </c>
      <c r="L179" s="4"/>
      <c r="M179" s="22"/>
      <c r="N179" s="18">
        <f t="shared" ref="N179:N219" si="17">I179*M179*H179/1000</f>
        <v>0</v>
      </c>
      <c r="O179" s="19">
        <f t="shared" ref="O179:O219" si="18">J179-M179</f>
        <v>1</v>
      </c>
      <c r="P179" s="13">
        <f t="shared" ref="P179:P219" si="19">I179*O179*H179/1000</f>
        <v>0.24947999999999998</v>
      </c>
      <c r="Q179" s="9"/>
      <c r="R179" s="2"/>
      <c r="S179" s="2"/>
    </row>
    <row r="180" spans="1:19">
      <c r="A180" s="42" t="s">
        <v>77</v>
      </c>
      <c r="B180" s="3" t="s">
        <v>68</v>
      </c>
      <c r="C180" s="3">
        <v>209</v>
      </c>
      <c r="D180" s="1"/>
      <c r="E180" s="20" t="s">
        <v>17</v>
      </c>
      <c r="F180" s="7" t="s">
        <v>15</v>
      </c>
      <c r="G180" s="7" t="s">
        <v>36</v>
      </c>
      <c r="H180" s="11">
        <v>10.199999999999999</v>
      </c>
      <c r="I180" s="8">
        <v>7.9</v>
      </c>
      <c r="J180" s="26">
        <v>2</v>
      </c>
      <c r="K180" s="10">
        <f t="shared" si="16"/>
        <v>0.16116</v>
      </c>
      <c r="L180" s="4"/>
      <c r="M180" s="22">
        <v>2</v>
      </c>
      <c r="N180" s="18">
        <f t="shared" si="17"/>
        <v>0.16116</v>
      </c>
      <c r="O180" s="19">
        <f t="shared" si="18"/>
        <v>0</v>
      </c>
      <c r="P180" s="13">
        <f t="shared" si="19"/>
        <v>0</v>
      </c>
      <c r="Q180" s="9">
        <v>7.25</v>
      </c>
      <c r="R180" s="2">
        <v>2</v>
      </c>
      <c r="S180" s="2" t="s">
        <v>196</v>
      </c>
    </row>
    <row r="181" spans="1:19">
      <c r="A181" s="42" t="s">
        <v>77</v>
      </c>
      <c r="B181" s="3" t="s">
        <v>68</v>
      </c>
      <c r="C181" s="3">
        <v>209</v>
      </c>
      <c r="D181" s="1"/>
      <c r="E181" s="20" t="s">
        <v>17</v>
      </c>
      <c r="F181" s="7" t="s">
        <v>15</v>
      </c>
      <c r="G181" s="7" t="s">
        <v>36</v>
      </c>
      <c r="H181" s="11">
        <v>10.199999999999999</v>
      </c>
      <c r="I181" s="8">
        <v>8.3000000000000007</v>
      </c>
      <c r="J181" s="26">
        <v>1</v>
      </c>
      <c r="K181" s="10">
        <f t="shared" si="16"/>
        <v>8.4659999999999999E-2</v>
      </c>
      <c r="L181" s="4"/>
      <c r="M181" s="22">
        <v>1</v>
      </c>
      <c r="N181" s="18">
        <f t="shared" si="17"/>
        <v>8.4659999999999999E-2</v>
      </c>
      <c r="O181" s="19">
        <f t="shared" si="18"/>
        <v>0</v>
      </c>
      <c r="P181" s="13">
        <f t="shared" si="19"/>
        <v>0</v>
      </c>
      <c r="Q181" s="9">
        <v>8.25</v>
      </c>
      <c r="R181" s="2">
        <v>1</v>
      </c>
      <c r="S181" s="2" t="s">
        <v>196</v>
      </c>
    </row>
    <row r="182" spans="1:19">
      <c r="A182" s="42" t="s">
        <v>77</v>
      </c>
      <c r="B182" s="3" t="s">
        <v>68</v>
      </c>
      <c r="C182" s="3">
        <v>209</v>
      </c>
      <c r="D182" s="1"/>
      <c r="E182" s="20" t="s">
        <v>17</v>
      </c>
      <c r="F182" s="7" t="s">
        <v>15</v>
      </c>
      <c r="G182" s="7" t="s">
        <v>36</v>
      </c>
      <c r="H182" s="11">
        <v>10.199999999999999</v>
      </c>
      <c r="I182" s="8">
        <v>11.6</v>
      </c>
      <c r="J182" s="26">
        <v>1</v>
      </c>
      <c r="K182" s="10">
        <f t="shared" si="16"/>
        <v>0.11831999999999999</v>
      </c>
      <c r="L182" s="4"/>
      <c r="M182" s="17">
        <v>1</v>
      </c>
      <c r="N182" s="18">
        <f t="shared" si="17"/>
        <v>0.11831999999999999</v>
      </c>
      <c r="O182" s="19">
        <f t="shared" si="18"/>
        <v>0</v>
      </c>
      <c r="P182" s="13">
        <f t="shared" si="19"/>
        <v>0</v>
      </c>
      <c r="Q182" s="9">
        <v>11.25</v>
      </c>
      <c r="R182" s="2">
        <v>1</v>
      </c>
      <c r="S182" s="2" t="s">
        <v>199</v>
      </c>
    </row>
    <row r="183" spans="1:19">
      <c r="A183" s="42" t="s">
        <v>77</v>
      </c>
      <c r="B183" s="3" t="s">
        <v>68</v>
      </c>
      <c r="C183" s="3">
        <v>209</v>
      </c>
      <c r="D183" s="1"/>
      <c r="E183" s="20" t="s">
        <v>17</v>
      </c>
      <c r="F183" s="7" t="s">
        <v>15</v>
      </c>
      <c r="G183" s="7" t="s">
        <v>36</v>
      </c>
      <c r="H183" s="11">
        <v>10.199999999999999</v>
      </c>
      <c r="I183" s="8">
        <v>11.7</v>
      </c>
      <c r="J183" s="26">
        <v>1</v>
      </c>
      <c r="K183" s="10">
        <f t="shared" si="16"/>
        <v>0.11933999999999999</v>
      </c>
      <c r="L183" s="4"/>
      <c r="M183" s="17">
        <v>1</v>
      </c>
      <c r="N183" s="18">
        <f t="shared" si="17"/>
        <v>0.11933999999999999</v>
      </c>
      <c r="O183" s="19">
        <f t="shared" si="18"/>
        <v>0</v>
      </c>
      <c r="P183" s="13">
        <f t="shared" si="19"/>
        <v>0</v>
      </c>
      <c r="Q183" s="9">
        <v>11.25</v>
      </c>
      <c r="R183" s="2">
        <v>1</v>
      </c>
      <c r="S183" s="2" t="s">
        <v>199</v>
      </c>
    </row>
    <row r="184" spans="1:19">
      <c r="A184" s="42" t="s">
        <v>77</v>
      </c>
      <c r="B184" s="3" t="s">
        <v>68</v>
      </c>
      <c r="C184" s="3">
        <v>209</v>
      </c>
      <c r="D184" s="1"/>
      <c r="E184" s="20" t="s">
        <v>17</v>
      </c>
      <c r="F184" s="7" t="s">
        <v>15</v>
      </c>
      <c r="G184" s="7" t="s">
        <v>36</v>
      </c>
      <c r="H184" s="11">
        <v>10.199999999999999</v>
      </c>
      <c r="I184" s="8">
        <v>11.9</v>
      </c>
      <c r="J184" s="26">
        <v>1</v>
      </c>
      <c r="K184" s="10">
        <f t="shared" si="16"/>
        <v>0.12138</v>
      </c>
      <c r="L184" s="4"/>
      <c r="M184" s="17">
        <v>1</v>
      </c>
      <c r="N184" s="18">
        <f t="shared" si="17"/>
        <v>0.12138</v>
      </c>
      <c r="O184" s="19">
        <f t="shared" si="18"/>
        <v>0</v>
      </c>
      <c r="P184" s="13">
        <f t="shared" si="19"/>
        <v>0</v>
      </c>
      <c r="Q184" s="9">
        <v>11.25</v>
      </c>
      <c r="R184" s="2">
        <v>1</v>
      </c>
      <c r="S184" s="2" t="s">
        <v>199</v>
      </c>
    </row>
    <row r="185" spans="1:19">
      <c r="A185" s="42" t="s">
        <v>77</v>
      </c>
      <c r="B185" s="3" t="s">
        <v>68</v>
      </c>
      <c r="C185" s="3">
        <v>210</v>
      </c>
      <c r="D185" s="1"/>
      <c r="E185" s="20" t="s">
        <v>24</v>
      </c>
      <c r="F185" s="7" t="s">
        <v>14</v>
      </c>
      <c r="G185" s="7" t="s">
        <v>36</v>
      </c>
      <c r="H185" s="11">
        <v>10.199999999999999</v>
      </c>
      <c r="I185" s="8">
        <v>8.1999999999999993</v>
      </c>
      <c r="J185" s="26">
        <v>10</v>
      </c>
      <c r="K185" s="10">
        <f t="shared" si="16"/>
        <v>0.83639999999999981</v>
      </c>
      <c r="L185" s="4"/>
      <c r="M185" s="17">
        <v>10</v>
      </c>
      <c r="N185" s="18">
        <f t="shared" si="17"/>
        <v>0.83640000000000003</v>
      </c>
      <c r="O185" s="19">
        <f t="shared" si="18"/>
        <v>0</v>
      </c>
      <c r="P185" s="13">
        <f t="shared" si="19"/>
        <v>0</v>
      </c>
      <c r="Q185" s="10" t="s">
        <v>187</v>
      </c>
      <c r="R185" s="2">
        <v>10</v>
      </c>
      <c r="S185" s="2"/>
    </row>
    <row r="186" spans="1:19">
      <c r="A186" s="42" t="s">
        <v>77</v>
      </c>
      <c r="B186" s="3" t="s">
        <v>68</v>
      </c>
      <c r="C186" s="3">
        <v>211</v>
      </c>
      <c r="D186" s="1"/>
      <c r="E186" s="20" t="s">
        <v>63</v>
      </c>
      <c r="F186" s="7" t="s">
        <v>15</v>
      </c>
      <c r="G186" s="7" t="s">
        <v>53</v>
      </c>
      <c r="H186" s="11">
        <v>35.840000000000003</v>
      </c>
      <c r="I186" s="8">
        <v>7.4</v>
      </c>
      <c r="J186" s="26">
        <v>1</v>
      </c>
      <c r="K186" s="10">
        <f t="shared" si="16"/>
        <v>0.26521600000000006</v>
      </c>
      <c r="L186" s="4"/>
      <c r="M186" s="17">
        <v>1</v>
      </c>
      <c r="N186" s="18">
        <f t="shared" si="17"/>
        <v>0.26521600000000006</v>
      </c>
      <c r="O186" s="19">
        <f t="shared" si="18"/>
        <v>0</v>
      </c>
      <c r="P186" s="13">
        <f t="shared" si="19"/>
        <v>0</v>
      </c>
      <c r="Q186" s="34">
        <v>7.2</v>
      </c>
      <c r="R186" s="35">
        <v>1</v>
      </c>
      <c r="S186" s="35" t="s">
        <v>764</v>
      </c>
    </row>
    <row r="187" spans="1:19">
      <c r="A187" s="42" t="s">
        <v>77</v>
      </c>
      <c r="B187" s="3" t="s">
        <v>68</v>
      </c>
      <c r="C187" s="3">
        <v>211</v>
      </c>
      <c r="D187" s="1"/>
      <c r="E187" s="20" t="s">
        <v>63</v>
      </c>
      <c r="F187" s="7" t="s">
        <v>15</v>
      </c>
      <c r="G187" s="7" t="s">
        <v>53</v>
      </c>
      <c r="H187" s="11">
        <v>35.840000000000003</v>
      </c>
      <c r="I187" s="8">
        <v>8.1</v>
      </c>
      <c r="J187" s="26">
        <v>1</v>
      </c>
      <c r="K187" s="10">
        <f t="shared" si="16"/>
        <v>0.29030400000000001</v>
      </c>
      <c r="L187" s="4"/>
      <c r="M187" s="17">
        <v>1</v>
      </c>
      <c r="N187" s="18">
        <f t="shared" si="17"/>
        <v>0.29030400000000001</v>
      </c>
      <c r="O187" s="19">
        <f t="shared" si="18"/>
        <v>0</v>
      </c>
      <c r="P187" s="13">
        <f t="shared" si="19"/>
        <v>0</v>
      </c>
      <c r="Q187" s="9">
        <v>8.1</v>
      </c>
      <c r="R187" s="2">
        <v>1</v>
      </c>
      <c r="S187" s="2" t="s">
        <v>209</v>
      </c>
    </row>
    <row r="188" spans="1:19">
      <c r="A188" s="42" t="s">
        <v>77</v>
      </c>
      <c r="B188" s="3" t="s">
        <v>68</v>
      </c>
      <c r="C188" s="3">
        <v>211</v>
      </c>
      <c r="D188" s="1"/>
      <c r="E188" s="20" t="s">
        <v>63</v>
      </c>
      <c r="F188" s="7" t="s">
        <v>15</v>
      </c>
      <c r="G188" s="7" t="s">
        <v>53</v>
      </c>
      <c r="H188" s="11">
        <v>35.840000000000003</v>
      </c>
      <c r="I188" s="8">
        <v>8.4</v>
      </c>
      <c r="J188" s="26">
        <v>2</v>
      </c>
      <c r="K188" s="10">
        <f t="shared" si="16"/>
        <v>0.60211200000000009</v>
      </c>
      <c r="L188" s="4"/>
      <c r="M188" s="17">
        <v>2</v>
      </c>
      <c r="N188" s="18">
        <f t="shared" si="17"/>
        <v>0.60211200000000009</v>
      </c>
      <c r="O188" s="19">
        <f t="shared" si="18"/>
        <v>0</v>
      </c>
      <c r="P188" s="13">
        <f t="shared" si="19"/>
        <v>0</v>
      </c>
      <c r="Q188" s="9">
        <v>8.1</v>
      </c>
      <c r="R188" s="2">
        <v>2</v>
      </c>
      <c r="S188" s="2" t="s">
        <v>209</v>
      </c>
    </row>
    <row r="189" spans="1:19">
      <c r="A189" s="42" t="s">
        <v>77</v>
      </c>
      <c r="B189" s="3" t="s">
        <v>68</v>
      </c>
      <c r="C189" s="3">
        <v>212</v>
      </c>
      <c r="D189" s="1"/>
      <c r="E189" s="20" t="s">
        <v>17</v>
      </c>
      <c r="F189" s="7" t="s">
        <v>15</v>
      </c>
      <c r="G189" s="7" t="s">
        <v>59</v>
      </c>
      <c r="H189" s="11">
        <v>38</v>
      </c>
      <c r="I189" s="8">
        <v>5.2</v>
      </c>
      <c r="J189" s="26">
        <v>3</v>
      </c>
      <c r="K189" s="10">
        <f t="shared" si="16"/>
        <v>0.59279999999999999</v>
      </c>
      <c r="L189" s="4"/>
      <c r="M189" s="17">
        <v>3</v>
      </c>
      <c r="N189" s="18">
        <f t="shared" si="17"/>
        <v>0.5928000000000001</v>
      </c>
      <c r="O189" s="19">
        <f t="shared" si="18"/>
        <v>0</v>
      </c>
      <c r="P189" s="13">
        <f t="shared" si="19"/>
        <v>0</v>
      </c>
      <c r="Q189" s="9">
        <v>5.2</v>
      </c>
      <c r="R189" s="35">
        <v>3</v>
      </c>
      <c r="S189" s="2" t="s">
        <v>721</v>
      </c>
    </row>
    <row r="190" spans="1:19">
      <c r="A190" s="42" t="s">
        <v>77</v>
      </c>
      <c r="B190" s="3" t="s">
        <v>68</v>
      </c>
      <c r="C190" s="3">
        <v>213</v>
      </c>
      <c r="D190" s="1"/>
      <c r="E190" s="20" t="s">
        <v>17</v>
      </c>
      <c r="F190" s="7" t="s">
        <v>15</v>
      </c>
      <c r="G190" s="7" t="s">
        <v>59</v>
      </c>
      <c r="H190" s="11">
        <v>38</v>
      </c>
      <c r="I190" s="8">
        <v>6.4</v>
      </c>
      <c r="J190" s="26">
        <v>1</v>
      </c>
      <c r="K190" s="10">
        <f t="shared" si="16"/>
        <v>0.24320000000000003</v>
      </c>
      <c r="L190" s="4"/>
      <c r="M190" s="17">
        <v>1</v>
      </c>
      <c r="N190" s="18">
        <f t="shared" si="17"/>
        <v>0.24320000000000003</v>
      </c>
      <c r="O190" s="19">
        <f t="shared" si="18"/>
        <v>0</v>
      </c>
      <c r="P190" s="13">
        <f t="shared" si="19"/>
        <v>0</v>
      </c>
      <c r="Q190" s="9">
        <v>6.4</v>
      </c>
      <c r="R190" s="35">
        <v>1</v>
      </c>
      <c r="S190" s="2" t="s">
        <v>721</v>
      </c>
    </row>
    <row r="191" spans="1:19">
      <c r="A191" s="42" t="s">
        <v>77</v>
      </c>
      <c r="B191" s="3" t="s">
        <v>68</v>
      </c>
      <c r="C191" s="3">
        <v>214</v>
      </c>
      <c r="D191" s="1"/>
      <c r="E191" s="20" t="s">
        <v>51</v>
      </c>
      <c r="F191" s="7" t="s">
        <v>15</v>
      </c>
      <c r="G191" s="7" t="s">
        <v>60</v>
      </c>
      <c r="H191" s="11">
        <v>22.93</v>
      </c>
      <c r="I191" s="8">
        <v>7.9</v>
      </c>
      <c r="J191" s="26">
        <v>3</v>
      </c>
      <c r="K191" s="10">
        <f t="shared" si="16"/>
        <v>0.54344100000000006</v>
      </c>
      <c r="L191" s="4"/>
      <c r="M191" s="17">
        <v>3</v>
      </c>
      <c r="N191" s="18">
        <f t="shared" si="17"/>
        <v>0.54344100000000006</v>
      </c>
      <c r="O191" s="19">
        <f t="shared" si="18"/>
        <v>0</v>
      </c>
      <c r="P191" s="13">
        <f t="shared" si="19"/>
        <v>0</v>
      </c>
      <c r="Q191" s="34">
        <v>6</v>
      </c>
      <c r="R191" s="35">
        <v>3</v>
      </c>
      <c r="S191" s="35" t="s">
        <v>681</v>
      </c>
    </row>
    <row r="192" spans="1:19">
      <c r="A192" s="42" t="s">
        <v>77</v>
      </c>
      <c r="B192" s="3" t="s">
        <v>68</v>
      </c>
      <c r="C192" s="3">
        <v>215</v>
      </c>
      <c r="D192" s="1"/>
      <c r="E192" s="20" t="s">
        <v>63</v>
      </c>
      <c r="F192" s="7" t="s">
        <v>15</v>
      </c>
      <c r="G192" s="7" t="s">
        <v>57</v>
      </c>
      <c r="H192" s="11">
        <v>33.72</v>
      </c>
      <c r="I192" s="8">
        <v>7.5</v>
      </c>
      <c r="J192" s="26">
        <v>2</v>
      </c>
      <c r="K192" s="10">
        <f t="shared" si="16"/>
        <v>0.50579999999999992</v>
      </c>
      <c r="L192" s="4"/>
      <c r="M192" s="17">
        <v>2</v>
      </c>
      <c r="N192" s="18">
        <f t="shared" si="17"/>
        <v>0.50579999999999992</v>
      </c>
      <c r="O192" s="310">
        <f t="shared" si="18"/>
        <v>0</v>
      </c>
      <c r="P192" s="13">
        <f t="shared" si="19"/>
        <v>0</v>
      </c>
      <c r="Q192" s="9"/>
      <c r="R192" s="2">
        <v>2</v>
      </c>
      <c r="S192" s="2" t="s">
        <v>514</v>
      </c>
    </row>
    <row r="193" spans="1:19">
      <c r="A193" s="42" t="s">
        <v>77</v>
      </c>
      <c r="B193" s="3" t="s">
        <v>68</v>
      </c>
      <c r="C193" s="3">
        <v>215</v>
      </c>
      <c r="D193" s="1"/>
      <c r="E193" s="20" t="s">
        <v>63</v>
      </c>
      <c r="F193" s="7" t="s">
        <v>15</v>
      </c>
      <c r="G193" s="7" t="s">
        <v>57</v>
      </c>
      <c r="H193" s="11">
        <v>33.72</v>
      </c>
      <c r="I193" s="8">
        <v>7.8</v>
      </c>
      <c r="J193" s="26">
        <v>3</v>
      </c>
      <c r="K193" s="10">
        <f t="shared" si="16"/>
        <v>0.78904799999999986</v>
      </c>
      <c r="L193" s="4"/>
      <c r="M193" s="17">
        <v>3</v>
      </c>
      <c r="N193" s="18">
        <f t="shared" si="17"/>
        <v>0.78904799999999986</v>
      </c>
      <c r="O193" s="310">
        <f t="shared" si="18"/>
        <v>0</v>
      </c>
      <c r="P193" s="13">
        <f t="shared" si="19"/>
        <v>0</v>
      </c>
      <c r="Q193" s="9"/>
      <c r="R193" s="2">
        <v>3</v>
      </c>
      <c r="S193" s="2" t="s">
        <v>514</v>
      </c>
    </row>
    <row r="194" spans="1:19">
      <c r="A194" s="42" t="s">
        <v>77</v>
      </c>
      <c r="B194" s="3" t="s">
        <v>68</v>
      </c>
      <c r="C194" s="3">
        <v>216</v>
      </c>
      <c r="D194" s="1"/>
      <c r="E194" s="12" t="s">
        <v>73</v>
      </c>
      <c r="F194" s="7" t="s">
        <v>15</v>
      </c>
      <c r="G194" s="7" t="s">
        <v>53</v>
      </c>
      <c r="H194" s="11">
        <v>35.840000000000003</v>
      </c>
      <c r="I194" s="8">
        <v>7.4</v>
      </c>
      <c r="J194" s="26">
        <v>1</v>
      </c>
      <c r="K194" s="10">
        <f t="shared" si="16"/>
        <v>0.26521600000000006</v>
      </c>
      <c r="L194" s="4"/>
      <c r="M194" s="17">
        <v>1</v>
      </c>
      <c r="N194" s="18">
        <f t="shared" si="17"/>
        <v>0.26521600000000006</v>
      </c>
      <c r="O194" s="19">
        <f t="shared" si="18"/>
        <v>0</v>
      </c>
      <c r="P194" s="13">
        <f t="shared" si="19"/>
        <v>0</v>
      </c>
      <c r="Q194" s="9">
        <v>7.05</v>
      </c>
      <c r="R194" s="35">
        <v>1</v>
      </c>
      <c r="S194" s="2" t="s">
        <v>674</v>
      </c>
    </row>
    <row r="195" spans="1:19">
      <c r="A195" s="42" t="s">
        <v>77</v>
      </c>
      <c r="B195" s="3" t="s">
        <v>68</v>
      </c>
      <c r="C195" s="3">
        <v>217</v>
      </c>
      <c r="D195" s="1"/>
      <c r="E195" s="20" t="s">
        <v>63</v>
      </c>
      <c r="F195" s="7" t="s">
        <v>15</v>
      </c>
      <c r="G195" s="7" t="s">
        <v>57</v>
      </c>
      <c r="H195" s="11">
        <v>33.72</v>
      </c>
      <c r="I195" s="8">
        <v>6.5</v>
      </c>
      <c r="J195" s="26">
        <v>1</v>
      </c>
      <c r="K195" s="10">
        <f t="shared" si="16"/>
        <v>0.21918000000000001</v>
      </c>
      <c r="L195" s="4"/>
      <c r="M195" s="17">
        <v>1</v>
      </c>
      <c r="N195" s="18">
        <f t="shared" si="17"/>
        <v>0.21918000000000001</v>
      </c>
      <c r="O195" s="19">
        <f t="shared" si="18"/>
        <v>0</v>
      </c>
      <c r="P195" s="13">
        <f t="shared" si="19"/>
        <v>0</v>
      </c>
      <c r="Q195" s="9"/>
      <c r="R195" s="2">
        <v>1</v>
      </c>
      <c r="S195" s="2" t="s">
        <v>514</v>
      </c>
    </row>
    <row r="196" spans="1:19">
      <c r="A196" s="42" t="s">
        <v>77</v>
      </c>
      <c r="B196" s="3" t="s">
        <v>68</v>
      </c>
      <c r="C196" s="3">
        <v>218</v>
      </c>
      <c r="D196" s="1"/>
      <c r="E196" s="20" t="s">
        <v>63</v>
      </c>
      <c r="F196" s="7" t="s">
        <v>15</v>
      </c>
      <c r="G196" s="7" t="s">
        <v>57</v>
      </c>
      <c r="H196" s="11">
        <v>33.72</v>
      </c>
      <c r="I196" s="8">
        <v>7.8</v>
      </c>
      <c r="J196" s="26">
        <v>11</v>
      </c>
      <c r="K196" s="10">
        <f t="shared" si="16"/>
        <v>2.8931759999999995</v>
      </c>
      <c r="L196" s="4"/>
      <c r="M196" s="17">
        <v>11</v>
      </c>
      <c r="N196" s="18">
        <f t="shared" si="17"/>
        <v>2.893176</v>
      </c>
      <c r="O196" s="310">
        <f t="shared" si="18"/>
        <v>0</v>
      </c>
      <c r="P196" s="13">
        <f t="shared" si="19"/>
        <v>0</v>
      </c>
      <c r="Q196" s="9"/>
      <c r="R196" s="2">
        <v>11</v>
      </c>
      <c r="S196" s="2" t="s">
        <v>514</v>
      </c>
    </row>
    <row r="197" spans="1:19">
      <c r="A197" s="42" t="s">
        <v>77</v>
      </c>
      <c r="B197" s="3" t="s">
        <v>68</v>
      </c>
      <c r="C197" s="3">
        <v>219</v>
      </c>
      <c r="D197" s="1"/>
      <c r="E197" s="20" t="s">
        <v>63</v>
      </c>
      <c r="F197" s="7" t="s">
        <v>15</v>
      </c>
      <c r="G197" s="7" t="s">
        <v>58</v>
      </c>
      <c r="H197" s="11">
        <v>27.29</v>
      </c>
      <c r="I197" s="8">
        <v>6</v>
      </c>
      <c r="J197" s="26">
        <v>2</v>
      </c>
      <c r="K197" s="10">
        <f t="shared" si="16"/>
        <v>0.32747999999999999</v>
      </c>
      <c r="L197" s="4"/>
      <c r="M197" s="17"/>
      <c r="N197" s="18">
        <f t="shared" si="17"/>
        <v>0</v>
      </c>
      <c r="O197" s="19">
        <f t="shared" si="18"/>
        <v>2</v>
      </c>
      <c r="P197" s="13">
        <f t="shared" si="19"/>
        <v>0.32747999999999999</v>
      </c>
      <c r="Q197" s="9"/>
      <c r="R197" s="2"/>
      <c r="S197" s="2"/>
    </row>
    <row r="198" spans="1:19">
      <c r="A198" s="42" t="s">
        <v>77</v>
      </c>
      <c r="B198" s="3" t="s">
        <v>68</v>
      </c>
      <c r="C198" s="3">
        <v>220</v>
      </c>
      <c r="D198" s="1"/>
      <c r="E198" s="20" t="s">
        <v>63</v>
      </c>
      <c r="F198" s="7" t="s">
        <v>15</v>
      </c>
      <c r="G198" s="7" t="s">
        <v>57</v>
      </c>
      <c r="H198" s="11">
        <v>33.72</v>
      </c>
      <c r="I198" s="8">
        <v>7.3</v>
      </c>
      <c r="J198" s="26">
        <v>1</v>
      </c>
      <c r="K198" s="10">
        <f t="shared" si="16"/>
        <v>0.24615599999999999</v>
      </c>
      <c r="L198" s="4"/>
      <c r="M198" s="17">
        <v>1</v>
      </c>
      <c r="N198" s="18">
        <f t="shared" si="17"/>
        <v>0.24615599999999999</v>
      </c>
      <c r="O198" s="310">
        <f t="shared" si="18"/>
        <v>0</v>
      </c>
      <c r="P198" s="13">
        <f t="shared" si="19"/>
        <v>0</v>
      </c>
      <c r="Q198" s="9"/>
      <c r="R198" s="2">
        <v>1</v>
      </c>
      <c r="S198" s="2" t="s">
        <v>514</v>
      </c>
    </row>
    <row r="199" spans="1:19">
      <c r="A199" s="42" t="s">
        <v>77</v>
      </c>
      <c r="B199" s="3" t="s">
        <v>68</v>
      </c>
      <c r="C199" s="3">
        <v>220</v>
      </c>
      <c r="D199" s="1"/>
      <c r="E199" s="20" t="s">
        <v>63</v>
      </c>
      <c r="F199" s="7" t="s">
        <v>15</v>
      </c>
      <c r="G199" s="7" t="s">
        <v>57</v>
      </c>
      <c r="H199" s="11">
        <v>33.72</v>
      </c>
      <c r="I199" s="8">
        <v>7.5</v>
      </c>
      <c r="J199" s="26">
        <v>8</v>
      </c>
      <c r="K199" s="10">
        <f t="shared" si="16"/>
        <v>2.0231999999999997</v>
      </c>
      <c r="L199" s="4"/>
      <c r="M199" s="17">
        <v>8</v>
      </c>
      <c r="N199" s="18">
        <f t="shared" si="17"/>
        <v>2.0231999999999997</v>
      </c>
      <c r="O199" s="310">
        <f t="shared" si="18"/>
        <v>0</v>
      </c>
      <c r="P199" s="13">
        <f t="shared" si="19"/>
        <v>0</v>
      </c>
      <c r="Q199" s="9"/>
      <c r="R199" s="2">
        <v>8</v>
      </c>
      <c r="S199" s="2" t="s">
        <v>514</v>
      </c>
    </row>
    <row r="200" spans="1:19">
      <c r="A200" s="42" t="s">
        <v>77</v>
      </c>
      <c r="B200" s="3" t="s">
        <v>68</v>
      </c>
      <c r="C200" s="3">
        <v>221</v>
      </c>
      <c r="D200" s="1"/>
      <c r="E200" s="20" t="s">
        <v>63</v>
      </c>
      <c r="F200" s="7" t="s">
        <v>15</v>
      </c>
      <c r="G200" s="7" t="s">
        <v>60</v>
      </c>
      <c r="H200" s="11">
        <v>22.93</v>
      </c>
      <c r="I200" s="8">
        <v>6.4</v>
      </c>
      <c r="J200" s="26">
        <v>1</v>
      </c>
      <c r="K200" s="10">
        <f t="shared" si="16"/>
        <v>0.14675200000000002</v>
      </c>
      <c r="L200" s="4"/>
      <c r="M200" s="17">
        <v>1</v>
      </c>
      <c r="N200" s="18">
        <f t="shared" si="17"/>
        <v>0.14675200000000002</v>
      </c>
      <c r="O200" s="19">
        <f t="shared" si="18"/>
        <v>0</v>
      </c>
      <c r="P200" s="13">
        <f t="shared" si="19"/>
        <v>0</v>
      </c>
      <c r="Q200" s="9">
        <v>6.3</v>
      </c>
      <c r="R200" s="2">
        <v>1</v>
      </c>
      <c r="S200" s="2" t="s">
        <v>209</v>
      </c>
    </row>
    <row r="201" spans="1:19">
      <c r="A201" s="42" t="s">
        <v>77</v>
      </c>
      <c r="B201" s="3" t="s">
        <v>68</v>
      </c>
      <c r="C201" s="3">
        <v>221</v>
      </c>
      <c r="D201" s="1"/>
      <c r="E201" s="20" t="s">
        <v>63</v>
      </c>
      <c r="F201" s="7" t="s">
        <v>15</v>
      </c>
      <c r="G201" s="7" t="s">
        <v>60</v>
      </c>
      <c r="H201" s="11">
        <v>22.93</v>
      </c>
      <c r="I201" s="8">
        <v>7</v>
      </c>
      <c r="J201" s="26">
        <v>2</v>
      </c>
      <c r="K201" s="10">
        <f t="shared" si="16"/>
        <v>0.32101999999999997</v>
      </c>
      <c r="L201" s="4"/>
      <c r="M201" s="17">
        <v>2</v>
      </c>
      <c r="N201" s="18">
        <f t="shared" si="17"/>
        <v>0.32101999999999997</v>
      </c>
      <c r="O201" s="19">
        <f t="shared" si="18"/>
        <v>0</v>
      </c>
      <c r="P201" s="13">
        <f t="shared" si="19"/>
        <v>0</v>
      </c>
      <c r="Q201" s="9">
        <v>6.3</v>
      </c>
      <c r="R201" s="2">
        <v>2</v>
      </c>
      <c r="S201" s="2" t="s">
        <v>209</v>
      </c>
    </row>
    <row r="202" spans="1:19">
      <c r="A202" s="42" t="s">
        <v>77</v>
      </c>
      <c r="B202" s="3" t="s">
        <v>68</v>
      </c>
      <c r="C202" s="3">
        <v>221</v>
      </c>
      <c r="D202" s="1"/>
      <c r="E202" s="20" t="s">
        <v>63</v>
      </c>
      <c r="F202" s="7" t="s">
        <v>15</v>
      </c>
      <c r="G202" s="7" t="s">
        <v>60</v>
      </c>
      <c r="H202" s="11">
        <v>22.93</v>
      </c>
      <c r="I202" s="21">
        <v>8.6999999999999993</v>
      </c>
      <c r="J202" s="26">
        <v>2</v>
      </c>
      <c r="K202" s="10">
        <f t="shared" si="16"/>
        <v>0.39898199999999995</v>
      </c>
      <c r="L202" s="23"/>
      <c r="M202" s="17">
        <v>2</v>
      </c>
      <c r="N202" s="18">
        <f t="shared" si="17"/>
        <v>0.39898199999999995</v>
      </c>
      <c r="O202" s="19">
        <f t="shared" si="18"/>
        <v>0</v>
      </c>
      <c r="P202" s="13">
        <f t="shared" si="19"/>
        <v>0</v>
      </c>
      <c r="Q202" s="9">
        <v>7.6</v>
      </c>
      <c r="R202" s="2">
        <v>2</v>
      </c>
      <c r="S202" s="2" t="s">
        <v>209</v>
      </c>
    </row>
    <row r="203" spans="1:19">
      <c r="A203" s="42" t="s">
        <v>77</v>
      </c>
      <c r="B203" s="3" t="s">
        <v>68</v>
      </c>
      <c r="C203" s="3">
        <v>221</v>
      </c>
      <c r="D203" s="1"/>
      <c r="E203" s="20" t="s">
        <v>63</v>
      </c>
      <c r="F203" s="7" t="s">
        <v>15</v>
      </c>
      <c r="G203" s="7" t="s">
        <v>60</v>
      </c>
      <c r="H203" s="11">
        <v>22.93</v>
      </c>
      <c r="I203" s="8">
        <v>9</v>
      </c>
      <c r="J203" s="26">
        <v>1</v>
      </c>
      <c r="K203" s="10">
        <f t="shared" si="16"/>
        <v>0.20637</v>
      </c>
      <c r="L203" s="4"/>
      <c r="M203" s="17">
        <v>1</v>
      </c>
      <c r="N203" s="18">
        <f t="shared" si="17"/>
        <v>0.20637</v>
      </c>
      <c r="O203" s="19">
        <f t="shared" si="18"/>
        <v>0</v>
      </c>
      <c r="P203" s="13">
        <f t="shared" si="19"/>
        <v>0</v>
      </c>
      <c r="Q203" s="9">
        <v>7.6</v>
      </c>
      <c r="R203" s="2">
        <v>1</v>
      </c>
      <c r="S203" s="2" t="s">
        <v>209</v>
      </c>
    </row>
    <row r="204" spans="1:19">
      <c r="A204" s="42" t="s">
        <v>77</v>
      </c>
      <c r="B204" s="3" t="s">
        <v>68</v>
      </c>
      <c r="C204" s="3">
        <v>221</v>
      </c>
      <c r="D204" s="1"/>
      <c r="E204" s="20" t="s">
        <v>63</v>
      </c>
      <c r="F204" s="7" t="s">
        <v>15</v>
      </c>
      <c r="G204" s="7" t="s">
        <v>60</v>
      </c>
      <c r="H204" s="11">
        <v>22.93</v>
      </c>
      <c r="I204" s="8">
        <v>10.5</v>
      </c>
      <c r="J204" s="26">
        <v>1</v>
      </c>
      <c r="K204" s="10">
        <f t="shared" si="16"/>
        <v>0.24076499999999998</v>
      </c>
      <c r="L204" s="4"/>
      <c r="M204" s="17">
        <v>1</v>
      </c>
      <c r="N204" s="18">
        <f t="shared" si="17"/>
        <v>0.24076499999999998</v>
      </c>
      <c r="O204" s="19">
        <f t="shared" si="18"/>
        <v>0</v>
      </c>
      <c r="P204" s="13">
        <f t="shared" si="19"/>
        <v>0</v>
      </c>
      <c r="Q204" s="9">
        <v>7.6</v>
      </c>
      <c r="R204" s="2">
        <v>1</v>
      </c>
      <c r="S204" s="2" t="s">
        <v>209</v>
      </c>
    </row>
    <row r="205" spans="1:19">
      <c r="A205" s="42" t="s">
        <v>77</v>
      </c>
      <c r="B205" s="3" t="s">
        <v>68</v>
      </c>
      <c r="C205" s="3">
        <v>222</v>
      </c>
      <c r="D205" s="1"/>
      <c r="E205" s="20" t="s">
        <v>17</v>
      </c>
      <c r="F205" s="7" t="s">
        <v>15</v>
      </c>
      <c r="G205" s="7" t="s">
        <v>66</v>
      </c>
      <c r="H205" s="11">
        <v>29.5</v>
      </c>
      <c r="I205" s="8">
        <v>10</v>
      </c>
      <c r="J205" s="26"/>
      <c r="K205" s="10">
        <f t="shared" si="16"/>
        <v>0</v>
      </c>
      <c r="L205" s="4"/>
      <c r="M205" s="17"/>
      <c r="N205" s="18">
        <f t="shared" si="17"/>
        <v>0</v>
      </c>
      <c r="O205" s="19">
        <f t="shared" si="18"/>
        <v>0</v>
      </c>
      <c r="P205" s="13">
        <f t="shared" si="19"/>
        <v>0</v>
      </c>
      <c r="Q205" s="9"/>
      <c r="R205" s="2"/>
      <c r="S205" s="2"/>
    </row>
    <row r="206" spans="1:19">
      <c r="A206" s="42" t="s">
        <v>77</v>
      </c>
      <c r="B206" s="3" t="s">
        <v>68</v>
      </c>
      <c r="C206" s="3">
        <v>222</v>
      </c>
      <c r="D206" s="1"/>
      <c r="E206" s="20" t="s">
        <v>17</v>
      </c>
      <c r="F206" s="7" t="s">
        <v>15</v>
      </c>
      <c r="G206" s="7" t="s">
        <v>66</v>
      </c>
      <c r="H206" s="11">
        <v>29.5</v>
      </c>
      <c r="I206" s="8">
        <v>7.9</v>
      </c>
      <c r="J206" s="26">
        <v>2</v>
      </c>
      <c r="K206" s="10">
        <f t="shared" si="16"/>
        <v>0.46610000000000001</v>
      </c>
      <c r="L206" s="4"/>
      <c r="M206" s="17"/>
      <c r="N206" s="18">
        <f t="shared" si="17"/>
        <v>0</v>
      </c>
      <c r="O206" s="19">
        <f t="shared" si="18"/>
        <v>2</v>
      </c>
      <c r="P206" s="13">
        <f t="shared" si="19"/>
        <v>0.46610000000000001</v>
      </c>
      <c r="Q206" s="9"/>
      <c r="R206" s="2"/>
      <c r="S206" s="2"/>
    </row>
    <row r="207" spans="1:19">
      <c r="A207" s="42" t="s">
        <v>77</v>
      </c>
      <c r="B207" s="3" t="s">
        <v>68</v>
      </c>
      <c r="C207" s="3">
        <v>222</v>
      </c>
      <c r="D207" s="1"/>
      <c r="E207" s="20" t="s">
        <v>17</v>
      </c>
      <c r="F207" s="7" t="s">
        <v>15</v>
      </c>
      <c r="G207" s="7" t="s">
        <v>66</v>
      </c>
      <c r="H207" s="11">
        <v>29.5</v>
      </c>
      <c r="I207" s="8">
        <v>8</v>
      </c>
      <c r="J207" s="26">
        <v>4</v>
      </c>
      <c r="K207" s="10">
        <f t="shared" si="16"/>
        <v>0.94399999999999995</v>
      </c>
      <c r="L207" s="4"/>
      <c r="M207" s="17">
        <v>4</v>
      </c>
      <c r="N207" s="18">
        <f t="shared" si="17"/>
        <v>0.94399999999999995</v>
      </c>
      <c r="O207" s="19">
        <f t="shared" si="18"/>
        <v>0</v>
      </c>
      <c r="P207" s="13">
        <f t="shared" si="19"/>
        <v>0</v>
      </c>
      <c r="Q207" s="9">
        <v>8</v>
      </c>
      <c r="R207" s="2">
        <v>4</v>
      </c>
      <c r="S207" s="2" t="s">
        <v>278</v>
      </c>
    </row>
    <row r="208" spans="1:19">
      <c r="A208" s="42" t="s">
        <v>77</v>
      </c>
      <c r="B208" s="3" t="s">
        <v>68</v>
      </c>
      <c r="C208" s="3">
        <v>222</v>
      </c>
      <c r="D208" s="1"/>
      <c r="E208" s="20" t="s">
        <v>17</v>
      </c>
      <c r="F208" s="7" t="s">
        <v>15</v>
      </c>
      <c r="G208" s="7" t="s">
        <v>66</v>
      </c>
      <c r="H208" s="11">
        <v>29.5</v>
      </c>
      <c r="I208" s="8">
        <v>10.6</v>
      </c>
      <c r="J208" s="26">
        <v>1</v>
      </c>
      <c r="K208" s="10">
        <f t="shared" si="16"/>
        <v>0.31269999999999998</v>
      </c>
      <c r="L208" s="4"/>
      <c r="M208" s="17">
        <v>1</v>
      </c>
      <c r="N208" s="18">
        <f t="shared" si="17"/>
        <v>0.31269999999999998</v>
      </c>
      <c r="O208" s="19">
        <f t="shared" si="18"/>
        <v>0</v>
      </c>
      <c r="P208" s="13">
        <f t="shared" si="19"/>
        <v>0</v>
      </c>
      <c r="Q208" s="9">
        <v>10.5</v>
      </c>
      <c r="R208" s="2">
        <v>1</v>
      </c>
      <c r="S208" s="2" t="s">
        <v>210</v>
      </c>
    </row>
    <row r="209" spans="1:19">
      <c r="A209" s="42" t="s">
        <v>77</v>
      </c>
      <c r="B209" s="3" t="s">
        <v>68</v>
      </c>
      <c r="C209" s="3">
        <v>222</v>
      </c>
      <c r="D209" s="1"/>
      <c r="E209" s="20" t="s">
        <v>17</v>
      </c>
      <c r="F209" s="7" t="s">
        <v>15</v>
      </c>
      <c r="G209" s="7" t="s">
        <v>66</v>
      </c>
      <c r="H209" s="11">
        <v>29.5</v>
      </c>
      <c r="I209" s="8">
        <v>7.5</v>
      </c>
      <c r="J209" s="26">
        <v>1</v>
      </c>
      <c r="K209" s="10">
        <f t="shared" si="16"/>
        <v>0.22125</v>
      </c>
      <c r="L209" s="4"/>
      <c r="M209" s="17"/>
      <c r="N209" s="18">
        <f t="shared" si="17"/>
        <v>0</v>
      </c>
      <c r="O209" s="19">
        <f t="shared" si="18"/>
        <v>1</v>
      </c>
      <c r="P209" s="13">
        <f t="shared" si="19"/>
        <v>0.22125</v>
      </c>
      <c r="Q209" s="9"/>
      <c r="R209" s="2"/>
      <c r="S209" s="2"/>
    </row>
    <row r="210" spans="1:19">
      <c r="A210" s="42" t="s">
        <v>77</v>
      </c>
      <c r="B210" s="3" t="s">
        <v>68</v>
      </c>
      <c r="C210" s="3">
        <v>222</v>
      </c>
      <c r="D210" s="1"/>
      <c r="E210" s="20" t="s">
        <v>17</v>
      </c>
      <c r="F210" s="7" t="s">
        <v>15</v>
      </c>
      <c r="G210" s="7" t="s">
        <v>66</v>
      </c>
      <c r="H210" s="11">
        <v>29.5</v>
      </c>
      <c r="I210" s="8">
        <v>11.2</v>
      </c>
      <c r="J210" s="26">
        <v>1</v>
      </c>
      <c r="K210" s="10">
        <f t="shared" si="16"/>
        <v>0.33039999999999997</v>
      </c>
      <c r="L210" s="4"/>
      <c r="M210" s="17">
        <v>1</v>
      </c>
      <c r="N210" s="18">
        <f t="shared" si="17"/>
        <v>0.33039999999999997</v>
      </c>
      <c r="O210" s="19">
        <f t="shared" si="18"/>
        <v>0</v>
      </c>
      <c r="P210" s="13">
        <f t="shared" si="19"/>
        <v>0</v>
      </c>
      <c r="Q210" s="9">
        <v>10.5</v>
      </c>
      <c r="R210" s="2">
        <v>1</v>
      </c>
      <c r="S210" s="2" t="s">
        <v>210</v>
      </c>
    </row>
    <row r="211" spans="1:19">
      <c r="A211" s="42" t="s">
        <v>77</v>
      </c>
      <c r="B211" s="3" t="s">
        <v>68</v>
      </c>
      <c r="C211" s="3">
        <v>222</v>
      </c>
      <c r="D211" s="1"/>
      <c r="E211" s="20" t="s">
        <v>17</v>
      </c>
      <c r="F211" s="7" t="s">
        <v>15</v>
      </c>
      <c r="G211" s="7" t="s">
        <v>58</v>
      </c>
      <c r="H211" s="11">
        <v>29.5</v>
      </c>
      <c r="I211" s="8">
        <v>12</v>
      </c>
      <c r="J211" s="26">
        <v>1</v>
      </c>
      <c r="K211" s="10">
        <f t="shared" si="16"/>
        <v>0.35399999999999998</v>
      </c>
      <c r="L211" s="4"/>
      <c r="M211" s="17">
        <v>1</v>
      </c>
      <c r="N211" s="18">
        <f t="shared" si="17"/>
        <v>0.35399999999999998</v>
      </c>
      <c r="O211" s="19">
        <f t="shared" si="18"/>
        <v>0</v>
      </c>
      <c r="P211" s="13">
        <f t="shared" si="19"/>
        <v>0</v>
      </c>
      <c r="Q211" s="33">
        <v>12</v>
      </c>
      <c r="R211" s="35">
        <v>1</v>
      </c>
      <c r="S211" s="32" t="s">
        <v>718</v>
      </c>
    </row>
    <row r="212" spans="1:19">
      <c r="A212" s="42" t="s">
        <v>77</v>
      </c>
      <c r="B212" s="3" t="s">
        <v>68</v>
      </c>
      <c r="C212" s="3">
        <v>223</v>
      </c>
      <c r="D212" s="1"/>
      <c r="E212" s="20" t="s">
        <v>63</v>
      </c>
      <c r="F212" s="7" t="s">
        <v>15</v>
      </c>
      <c r="G212" s="7" t="s">
        <v>57</v>
      </c>
      <c r="H212" s="11">
        <v>33.72</v>
      </c>
      <c r="I212" s="8">
        <v>7.8</v>
      </c>
      <c r="J212" s="26">
        <v>11</v>
      </c>
      <c r="K212" s="10">
        <f t="shared" si="16"/>
        <v>2.8931759999999995</v>
      </c>
      <c r="L212" s="4"/>
      <c r="M212" s="17">
        <v>11</v>
      </c>
      <c r="N212" s="18">
        <f t="shared" si="17"/>
        <v>2.893176</v>
      </c>
      <c r="O212" s="310">
        <f t="shared" si="18"/>
        <v>0</v>
      </c>
      <c r="P212" s="13">
        <f t="shared" si="19"/>
        <v>0</v>
      </c>
      <c r="Q212" s="9"/>
      <c r="R212" s="2">
        <v>11</v>
      </c>
      <c r="S212" s="2" t="s">
        <v>514</v>
      </c>
    </row>
    <row r="213" spans="1:19">
      <c r="A213" s="42" t="s">
        <v>77</v>
      </c>
      <c r="B213" s="3" t="s">
        <v>68</v>
      </c>
      <c r="C213" s="3">
        <v>224</v>
      </c>
      <c r="D213" s="1"/>
      <c r="E213" s="12" t="s">
        <v>20</v>
      </c>
      <c r="F213" s="7" t="s">
        <v>15</v>
      </c>
      <c r="G213" s="7" t="s">
        <v>49</v>
      </c>
      <c r="H213" s="11">
        <v>17.82</v>
      </c>
      <c r="I213" s="8">
        <v>7.7</v>
      </c>
      <c r="J213" s="26">
        <v>1</v>
      </c>
      <c r="K213" s="10">
        <f t="shared" si="16"/>
        <v>0.137214</v>
      </c>
      <c r="L213" s="4"/>
      <c r="M213" s="17">
        <v>1</v>
      </c>
      <c r="N213" s="18">
        <f t="shared" si="17"/>
        <v>0.137214</v>
      </c>
      <c r="O213" s="19">
        <f t="shared" si="18"/>
        <v>0</v>
      </c>
      <c r="P213" s="13">
        <f t="shared" si="19"/>
        <v>0</v>
      </c>
      <c r="Q213" s="9"/>
      <c r="R213" s="2">
        <v>1</v>
      </c>
      <c r="S213" s="2" t="s">
        <v>442</v>
      </c>
    </row>
    <row r="214" spans="1:19">
      <c r="A214" s="42" t="s">
        <v>77</v>
      </c>
      <c r="B214" s="3" t="s">
        <v>68</v>
      </c>
      <c r="C214" s="3">
        <v>224</v>
      </c>
      <c r="D214" s="1"/>
      <c r="E214" s="12" t="s">
        <v>20</v>
      </c>
      <c r="F214" s="7" t="s">
        <v>15</v>
      </c>
      <c r="G214" s="7" t="s">
        <v>49</v>
      </c>
      <c r="H214" s="11">
        <v>17.82</v>
      </c>
      <c r="I214" s="8">
        <v>8.5</v>
      </c>
      <c r="J214" s="26">
        <v>1</v>
      </c>
      <c r="K214" s="10">
        <f t="shared" si="16"/>
        <v>0.15146999999999999</v>
      </c>
      <c r="L214" s="4"/>
      <c r="M214" s="17">
        <v>1</v>
      </c>
      <c r="N214" s="18">
        <f t="shared" si="17"/>
        <v>0.15146999999999999</v>
      </c>
      <c r="O214" s="19">
        <f t="shared" si="18"/>
        <v>0</v>
      </c>
      <c r="P214" s="13">
        <f t="shared" si="19"/>
        <v>0</v>
      </c>
      <c r="Q214" s="9"/>
      <c r="R214" s="2">
        <v>1</v>
      </c>
      <c r="S214" s="2" t="s">
        <v>442</v>
      </c>
    </row>
    <row r="215" spans="1:19">
      <c r="A215" s="42" t="s">
        <v>77</v>
      </c>
      <c r="B215" s="3" t="s">
        <v>68</v>
      </c>
      <c r="C215" s="3">
        <v>225</v>
      </c>
      <c r="D215" s="1"/>
      <c r="E215" s="12" t="s">
        <v>20</v>
      </c>
      <c r="F215" s="7" t="s">
        <v>15</v>
      </c>
      <c r="G215" s="7" t="s">
        <v>48</v>
      </c>
      <c r="H215" s="11">
        <v>23.6</v>
      </c>
      <c r="I215" s="8">
        <v>9</v>
      </c>
      <c r="J215" s="26">
        <v>1</v>
      </c>
      <c r="K215" s="10">
        <f t="shared" si="16"/>
        <v>0.21240000000000001</v>
      </c>
      <c r="L215" s="4"/>
      <c r="M215" s="17">
        <v>1</v>
      </c>
      <c r="N215" s="18">
        <f t="shared" si="17"/>
        <v>0.21240000000000001</v>
      </c>
      <c r="O215" s="19">
        <f t="shared" si="18"/>
        <v>0</v>
      </c>
      <c r="P215" s="13">
        <f t="shared" si="19"/>
        <v>0</v>
      </c>
      <c r="Q215" s="9">
        <v>7</v>
      </c>
      <c r="R215" s="2">
        <v>1</v>
      </c>
      <c r="S215" s="2" t="s">
        <v>457</v>
      </c>
    </row>
    <row r="216" spans="1:19">
      <c r="A216" s="42" t="s">
        <v>77</v>
      </c>
      <c r="B216" s="3" t="s">
        <v>68</v>
      </c>
      <c r="C216" s="3">
        <v>226</v>
      </c>
      <c r="D216" s="1"/>
      <c r="E216" s="12" t="s">
        <v>20</v>
      </c>
      <c r="F216" s="7" t="s">
        <v>15</v>
      </c>
      <c r="G216" s="7" t="s">
        <v>39</v>
      </c>
      <c r="H216" s="11">
        <v>14.66</v>
      </c>
      <c r="I216" s="8">
        <v>10.199999999999999</v>
      </c>
      <c r="J216" s="26">
        <v>1</v>
      </c>
      <c r="K216" s="10">
        <f t="shared" si="16"/>
        <v>0.14953199999999997</v>
      </c>
      <c r="L216" s="4"/>
      <c r="M216" s="17">
        <v>1</v>
      </c>
      <c r="N216" s="18">
        <f t="shared" si="17"/>
        <v>0.14953199999999997</v>
      </c>
      <c r="O216" s="19">
        <f t="shared" si="18"/>
        <v>0</v>
      </c>
      <c r="P216" s="13">
        <f t="shared" si="19"/>
        <v>0</v>
      </c>
      <c r="Q216" s="9">
        <v>10.1</v>
      </c>
      <c r="R216" s="35">
        <v>1</v>
      </c>
      <c r="S216" s="2" t="s">
        <v>444</v>
      </c>
    </row>
    <row r="217" spans="1:19">
      <c r="A217" s="42" t="s">
        <v>77</v>
      </c>
      <c r="B217" s="3" t="s">
        <v>68</v>
      </c>
      <c r="C217" s="3">
        <v>227</v>
      </c>
      <c r="D217" s="1"/>
      <c r="E217" s="12" t="s">
        <v>19</v>
      </c>
      <c r="F217" s="7" t="s">
        <v>14</v>
      </c>
      <c r="G217" s="7" t="s">
        <v>39</v>
      </c>
      <c r="H217" s="11">
        <v>14.66</v>
      </c>
      <c r="I217" s="8">
        <v>8.1</v>
      </c>
      <c r="J217" s="26">
        <v>2</v>
      </c>
      <c r="K217" s="10">
        <f t="shared" si="16"/>
        <v>0.23749199999999998</v>
      </c>
      <c r="L217" s="4"/>
      <c r="M217" s="17">
        <v>2</v>
      </c>
      <c r="N217" s="18">
        <f t="shared" si="17"/>
        <v>0.23749199999999998</v>
      </c>
      <c r="O217" s="19">
        <f t="shared" si="18"/>
        <v>0</v>
      </c>
      <c r="P217" s="13">
        <f t="shared" si="19"/>
        <v>0</v>
      </c>
      <c r="Q217" s="9"/>
      <c r="R217" s="35">
        <v>2</v>
      </c>
      <c r="S217" s="2" t="s">
        <v>642</v>
      </c>
    </row>
    <row r="218" spans="1:19">
      <c r="A218" s="42" t="s">
        <v>77</v>
      </c>
      <c r="B218" s="3" t="s">
        <v>68</v>
      </c>
      <c r="C218" s="3">
        <v>227</v>
      </c>
      <c r="D218" s="1"/>
      <c r="E218" s="12" t="s">
        <v>19</v>
      </c>
      <c r="F218" s="7" t="s">
        <v>14</v>
      </c>
      <c r="G218" s="7" t="s">
        <v>39</v>
      </c>
      <c r="H218" s="11">
        <v>14.66</v>
      </c>
      <c r="I218" s="8">
        <v>9</v>
      </c>
      <c r="J218" s="26">
        <v>1</v>
      </c>
      <c r="K218" s="10">
        <f t="shared" si="16"/>
        <v>0.13194</v>
      </c>
      <c r="L218" s="4"/>
      <c r="M218" s="17">
        <v>1</v>
      </c>
      <c r="N218" s="18">
        <f t="shared" si="17"/>
        <v>0.13194</v>
      </c>
      <c r="O218" s="19">
        <f t="shared" si="18"/>
        <v>0</v>
      </c>
      <c r="P218" s="13">
        <f t="shared" si="19"/>
        <v>0</v>
      </c>
      <c r="Q218" s="9"/>
      <c r="R218" s="2"/>
      <c r="S218" s="2"/>
    </row>
    <row r="219" spans="1:19">
      <c r="A219" s="42" t="s">
        <v>77</v>
      </c>
      <c r="B219" s="3" t="s">
        <v>68</v>
      </c>
      <c r="C219" s="3">
        <v>228</v>
      </c>
      <c r="D219" s="1"/>
      <c r="E219" s="12" t="s">
        <v>19</v>
      </c>
      <c r="F219" s="7" t="s">
        <v>14</v>
      </c>
      <c r="G219" s="7" t="s">
        <v>40</v>
      </c>
      <c r="H219" s="11">
        <v>16.5</v>
      </c>
      <c r="I219" s="8">
        <v>11.2</v>
      </c>
      <c r="J219" s="26">
        <v>1</v>
      </c>
      <c r="K219" s="10">
        <f t="shared" si="16"/>
        <v>0.18479999999999999</v>
      </c>
      <c r="L219" s="4"/>
      <c r="M219" s="17"/>
      <c r="N219" s="18">
        <f t="shared" si="17"/>
        <v>0</v>
      </c>
      <c r="O219" s="19">
        <f t="shared" si="18"/>
        <v>1</v>
      </c>
      <c r="P219" s="13">
        <f t="shared" si="19"/>
        <v>0.18479999999999999</v>
      </c>
      <c r="Q219" s="9"/>
      <c r="R219" s="2"/>
      <c r="S219" s="2"/>
    </row>
    <row r="220" spans="1:19">
      <c r="A220" s="42" t="s">
        <v>77</v>
      </c>
      <c r="B220" s="3" t="s">
        <v>68</v>
      </c>
      <c r="C220" s="3">
        <v>228</v>
      </c>
      <c r="D220" s="1"/>
      <c r="E220" s="12" t="s">
        <v>19</v>
      </c>
      <c r="F220" s="7" t="s">
        <v>14</v>
      </c>
      <c r="G220" s="7" t="s">
        <v>40</v>
      </c>
      <c r="H220" s="11">
        <v>16.5</v>
      </c>
      <c r="I220" s="8">
        <v>11.9</v>
      </c>
      <c r="J220" s="26">
        <v>5</v>
      </c>
      <c r="K220" s="10">
        <f t="shared" ref="K220:K262" si="20">(H220*I220*J220/1000)</f>
        <v>0.98175000000000001</v>
      </c>
      <c r="L220" s="4"/>
      <c r="M220" s="17"/>
      <c r="N220" s="18">
        <f t="shared" ref="N220:N262" si="21">I220*M220*H220/1000</f>
        <v>0</v>
      </c>
      <c r="O220" s="19">
        <f t="shared" ref="O220:O262" si="22">J220-M220</f>
        <v>5</v>
      </c>
      <c r="P220" s="13">
        <f t="shared" ref="P220:P262" si="23">I220*O220*H220/1000</f>
        <v>0.98175000000000001</v>
      </c>
      <c r="Q220" s="9"/>
      <c r="R220" s="2"/>
      <c r="S220" s="2"/>
    </row>
    <row r="221" spans="1:19">
      <c r="A221" s="42" t="s">
        <v>77</v>
      </c>
      <c r="B221" s="3" t="s">
        <v>68</v>
      </c>
      <c r="C221" s="3">
        <v>229</v>
      </c>
      <c r="D221" s="1"/>
      <c r="E221" s="20" t="s">
        <v>17</v>
      </c>
      <c r="F221" s="7" t="s">
        <v>15</v>
      </c>
      <c r="G221" s="7" t="s">
        <v>33</v>
      </c>
      <c r="H221" s="11">
        <v>15.92</v>
      </c>
      <c r="I221" s="8">
        <v>5.9</v>
      </c>
      <c r="J221" s="26">
        <v>1</v>
      </c>
      <c r="K221" s="10">
        <f t="shared" si="20"/>
        <v>9.3928000000000011E-2</v>
      </c>
      <c r="L221" s="4"/>
      <c r="M221" s="17"/>
      <c r="N221" s="18">
        <f t="shared" si="21"/>
        <v>0</v>
      </c>
      <c r="O221" s="19">
        <f t="shared" si="22"/>
        <v>1</v>
      </c>
      <c r="P221" s="13">
        <f t="shared" si="23"/>
        <v>9.3928000000000011E-2</v>
      </c>
      <c r="Q221" s="9"/>
      <c r="R221" s="2"/>
      <c r="S221" s="2"/>
    </row>
    <row r="222" spans="1:19">
      <c r="A222" s="42" t="s">
        <v>77</v>
      </c>
      <c r="B222" s="3" t="s">
        <v>68</v>
      </c>
      <c r="C222" s="3">
        <v>229</v>
      </c>
      <c r="D222" s="1"/>
      <c r="E222" s="20" t="s">
        <v>17</v>
      </c>
      <c r="F222" s="7" t="s">
        <v>15</v>
      </c>
      <c r="G222" s="7" t="s">
        <v>33</v>
      </c>
      <c r="H222" s="11">
        <v>15.92</v>
      </c>
      <c r="I222" s="8">
        <v>6</v>
      </c>
      <c r="J222" s="26">
        <v>1</v>
      </c>
      <c r="K222" s="10">
        <f t="shared" si="20"/>
        <v>9.5519999999999994E-2</v>
      </c>
      <c r="L222" s="4"/>
      <c r="M222" s="17"/>
      <c r="N222" s="18">
        <f t="shared" si="21"/>
        <v>0</v>
      </c>
      <c r="O222" s="19">
        <f t="shared" si="22"/>
        <v>1</v>
      </c>
      <c r="P222" s="13">
        <f t="shared" si="23"/>
        <v>9.5519999999999994E-2</v>
      </c>
      <c r="Q222" s="9"/>
      <c r="R222" s="2"/>
      <c r="S222" s="2"/>
    </row>
    <row r="223" spans="1:19">
      <c r="A223" s="42" t="s">
        <v>77</v>
      </c>
      <c r="B223" s="3" t="s">
        <v>68</v>
      </c>
      <c r="C223" s="3">
        <v>230</v>
      </c>
      <c r="D223" s="1"/>
      <c r="E223" s="20" t="s">
        <v>63</v>
      </c>
      <c r="F223" s="7" t="s">
        <v>15</v>
      </c>
      <c r="G223" s="7" t="s">
        <v>40</v>
      </c>
      <c r="H223" s="11">
        <v>16.5</v>
      </c>
      <c r="I223" s="8">
        <v>7.1</v>
      </c>
      <c r="J223" s="26">
        <v>1</v>
      </c>
      <c r="K223" s="10">
        <f t="shared" si="20"/>
        <v>0.11714999999999999</v>
      </c>
      <c r="L223" s="4"/>
      <c r="M223" s="17">
        <v>1</v>
      </c>
      <c r="N223" s="18">
        <f t="shared" si="21"/>
        <v>0.11714999999999999</v>
      </c>
      <c r="O223" s="19">
        <f t="shared" si="22"/>
        <v>0</v>
      </c>
      <c r="P223" s="13">
        <f t="shared" si="23"/>
        <v>0</v>
      </c>
      <c r="Q223" s="9">
        <v>6.9</v>
      </c>
      <c r="R223" s="2">
        <v>1</v>
      </c>
      <c r="S223" s="2" t="s">
        <v>789</v>
      </c>
    </row>
    <row r="224" spans="1:19">
      <c r="A224" s="42" t="s">
        <v>77</v>
      </c>
      <c r="B224" s="3" t="s">
        <v>68</v>
      </c>
      <c r="C224" s="3">
        <v>231</v>
      </c>
      <c r="D224" s="1"/>
      <c r="E224" s="20" t="s">
        <v>20</v>
      </c>
      <c r="F224" s="7" t="s">
        <v>15</v>
      </c>
      <c r="G224" s="7" t="s">
        <v>57</v>
      </c>
      <c r="H224" s="11">
        <v>33.72</v>
      </c>
      <c r="I224" s="8">
        <v>9</v>
      </c>
      <c r="J224" s="26">
        <v>1</v>
      </c>
      <c r="K224" s="10">
        <f t="shared" si="20"/>
        <v>0.30348000000000003</v>
      </c>
      <c r="L224" s="4"/>
      <c r="M224" s="17">
        <v>1</v>
      </c>
      <c r="N224" s="18">
        <f t="shared" si="21"/>
        <v>0.30348000000000003</v>
      </c>
      <c r="O224" s="19">
        <f t="shared" si="22"/>
        <v>0</v>
      </c>
      <c r="P224" s="13">
        <f t="shared" si="23"/>
        <v>0</v>
      </c>
      <c r="Q224" s="9">
        <v>9</v>
      </c>
      <c r="R224" s="2">
        <v>1</v>
      </c>
      <c r="S224" s="2" t="s">
        <v>278</v>
      </c>
    </row>
    <row r="225" spans="1:21">
      <c r="A225" s="42" t="s">
        <v>77</v>
      </c>
      <c r="B225" s="3" t="s">
        <v>68</v>
      </c>
      <c r="C225" s="3">
        <v>232</v>
      </c>
      <c r="D225" s="1"/>
      <c r="E225" s="20" t="s">
        <v>17</v>
      </c>
      <c r="F225" s="7" t="s">
        <v>15</v>
      </c>
      <c r="G225" s="7" t="s">
        <v>56</v>
      </c>
      <c r="H225" s="11">
        <v>25.2</v>
      </c>
      <c r="I225" s="8">
        <v>6</v>
      </c>
      <c r="J225" s="26">
        <v>3</v>
      </c>
      <c r="K225" s="10">
        <f t="shared" si="20"/>
        <v>0.45359999999999995</v>
      </c>
      <c r="L225" s="4"/>
      <c r="M225" s="17">
        <v>3</v>
      </c>
      <c r="N225" s="18">
        <f t="shared" si="21"/>
        <v>0.45359999999999995</v>
      </c>
      <c r="O225" s="19">
        <f t="shared" si="22"/>
        <v>0</v>
      </c>
      <c r="P225" s="13">
        <f t="shared" si="23"/>
        <v>0</v>
      </c>
      <c r="Q225" s="9"/>
      <c r="R225" s="2"/>
      <c r="S225" s="167">
        <v>6</v>
      </c>
      <c r="T225" s="354">
        <v>3</v>
      </c>
      <c r="U225" s="213" t="s">
        <v>717</v>
      </c>
    </row>
    <row r="226" spans="1:21">
      <c r="A226" s="42" t="s">
        <v>77</v>
      </c>
      <c r="B226" s="3" t="s">
        <v>68</v>
      </c>
      <c r="C226" s="3">
        <v>232</v>
      </c>
      <c r="D226" s="1"/>
      <c r="E226" s="20" t="s">
        <v>17</v>
      </c>
      <c r="F226" s="7" t="s">
        <v>15</v>
      </c>
      <c r="G226" s="7" t="s">
        <v>56</v>
      </c>
      <c r="H226" s="11">
        <v>25.2</v>
      </c>
      <c r="I226" s="8">
        <v>9.3000000000000007</v>
      </c>
      <c r="J226" s="26">
        <v>1</v>
      </c>
      <c r="K226" s="10">
        <f t="shared" si="20"/>
        <v>0.23436000000000001</v>
      </c>
      <c r="L226" s="4"/>
      <c r="M226" s="17">
        <v>1</v>
      </c>
      <c r="N226" s="18">
        <f t="shared" si="21"/>
        <v>0.23436000000000001</v>
      </c>
      <c r="O226" s="19">
        <f t="shared" si="22"/>
        <v>0</v>
      </c>
      <c r="P226" s="13">
        <f t="shared" si="23"/>
        <v>0</v>
      </c>
      <c r="Q226" s="9">
        <v>9.1</v>
      </c>
      <c r="R226" s="2">
        <v>1</v>
      </c>
      <c r="S226" s="2" t="s">
        <v>213</v>
      </c>
    </row>
    <row r="227" spans="1:21">
      <c r="A227" s="42" t="s">
        <v>77</v>
      </c>
      <c r="B227" s="3" t="s">
        <v>68</v>
      </c>
      <c r="C227" s="3">
        <v>233</v>
      </c>
      <c r="D227" s="1"/>
      <c r="E227" s="20" t="s">
        <v>63</v>
      </c>
      <c r="F227" s="7" t="s">
        <v>15</v>
      </c>
      <c r="G227" s="7" t="s">
        <v>42</v>
      </c>
      <c r="H227" s="11">
        <v>19.72</v>
      </c>
      <c r="I227" s="8">
        <v>6</v>
      </c>
      <c r="J227" s="26">
        <v>3</v>
      </c>
      <c r="K227" s="10">
        <f t="shared" si="20"/>
        <v>0.35496</v>
      </c>
      <c r="L227" s="4"/>
      <c r="M227" s="17"/>
      <c r="N227" s="18">
        <f t="shared" si="21"/>
        <v>0</v>
      </c>
      <c r="O227" s="19">
        <f t="shared" si="22"/>
        <v>3</v>
      </c>
      <c r="P227" s="13">
        <f t="shared" si="23"/>
        <v>0.35496</v>
      </c>
      <c r="Q227" s="9"/>
      <c r="R227" s="2"/>
      <c r="S227" s="2"/>
    </row>
    <row r="228" spans="1:21">
      <c r="A228" s="42" t="s">
        <v>77</v>
      </c>
      <c r="B228" s="3" t="s">
        <v>68</v>
      </c>
      <c r="C228" s="3">
        <v>234</v>
      </c>
      <c r="D228" s="1"/>
      <c r="E228" s="20" t="s">
        <v>17</v>
      </c>
      <c r="F228" s="7" t="s">
        <v>15</v>
      </c>
      <c r="G228" s="7" t="s">
        <v>60</v>
      </c>
      <c r="H228" s="11">
        <v>22.93</v>
      </c>
      <c r="I228" s="8">
        <v>6</v>
      </c>
      <c r="J228" s="26">
        <v>1</v>
      </c>
      <c r="K228" s="10">
        <f t="shared" si="20"/>
        <v>0.13757999999999998</v>
      </c>
      <c r="L228" s="4"/>
      <c r="M228" s="17">
        <v>1</v>
      </c>
      <c r="N228" s="18">
        <f t="shared" si="21"/>
        <v>0.13757999999999998</v>
      </c>
      <c r="O228" s="19">
        <f t="shared" si="22"/>
        <v>0</v>
      </c>
      <c r="P228" s="13">
        <f t="shared" si="23"/>
        <v>0</v>
      </c>
      <c r="Q228" s="34">
        <v>6</v>
      </c>
      <c r="R228" s="35">
        <v>1</v>
      </c>
      <c r="S228" s="35" t="s">
        <v>682</v>
      </c>
    </row>
    <row r="229" spans="1:21">
      <c r="A229" s="42" t="s">
        <v>77</v>
      </c>
      <c r="B229" s="3" t="s">
        <v>68</v>
      </c>
      <c r="C229" s="3">
        <v>234</v>
      </c>
      <c r="D229" s="1"/>
      <c r="E229" s="20" t="s">
        <v>17</v>
      </c>
      <c r="F229" s="7" t="s">
        <v>15</v>
      </c>
      <c r="G229" s="7" t="s">
        <v>60</v>
      </c>
      <c r="H229" s="11">
        <v>22.93</v>
      </c>
      <c r="I229" s="8">
        <v>6.9</v>
      </c>
      <c r="J229" s="26">
        <v>1</v>
      </c>
      <c r="K229" s="10">
        <f t="shared" si="20"/>
        <v>0.15821700000000002</v>
      </c>
      <c r="L229" s="4"/>
      <c r="M229" s="17">
        <v>1</v>
      </c>
      <c r="N229" s="18">
        <f t="shared" si="21"/>
        <v>0.15821700000000002</v>
      </c>
      <c r="O229" s="19">
        <f t="shared" si="22"/>
        <v>0</v>
      </c>
      <c r="P229" s="13">
        <f t="shared" si="23"/>
        <v>0</v>
      </c>
      <c r="Q229" s="34">
        <v>6.9</v>
      </c>
      <c r="R229" s="35">
        <v>1</v>
      </c>
      <c r="S229" s="35" t="s">
        <v>682</v>
      </c>
    </row>
    <row r="230" spans="1:21">
      <c r="A230" s="42" t="s">
        <v>77</v>
      </c>
      <c r="B230" s="3" t="s">
        <v>68</v>
      </c>
      <c r="C230" s="3">
        <v>234</v>
      </c>
      <c r="D230" s="1"/>
      <c r="E230" s="20" t="s">
        <v>17</v>
      </c>
      <c r="F230" s="7" t="s">
        <v>15</v>
      </c>
      <c r="G230" s="7" t="s">
        <v>60</v>
      </c>
      <c r="H230" s="11">
        <v>22.93</v>
      </c>
      <c r="I230" s="8">
        <v>7.6</v>
      </c>
      <c r="J230" s="26">
        <v>1</v>
      </c>
      <c r="K230" s="10">
        <f t="shared" si="20"/>
        <v>0.17426800000000001</v>
      </c>
      <c r="L230" s="4"/>
      <c r="M230" s="17">
        <v>1</v>
      </c>
      <c r="N230" s="18">
        <f t="shared" si="21"/>
        <v>0.17426800000000001</v>
      </c>
      <c r="O230" s="19">
        <f t="shared" si="22"/>
        <v>0</v>
      </c>
      <c r="P230" s="13">
        <f t="shared" si="23"/>
        <v>0</v>
      </c>
      <c r="Q230" s="9">
        <v>7.6</v>
      </c>
      <c r="R230" s="2">
        <v>1</v>
      </c>
      <c r="S230" s="2" t="s">
        <v>210</v>
      </c>
    </row>
    <row r="231" spans="1:21">
      <c r="A231" s="42" t="s">
        <v>77</v>
      </c>
      <c r="B231" s="3" t="s">
        <v>68</v>
      </c>
      <c r="C231" s="3">
        <v>234</v>
      </c>
      <c r="D231" s="1"/>
      <c r="E231" s="20" t="s">
        <v>17</v>
      </c>
      <c r="F231" s="7" t="s">
        <v>15</v>
      </c>
      <c r="G231" s="7" t="s">
        <v>60</v>
      </c>
      <c r="H231" s="11">
        <v>22.93</v>
      </c>
      <c r="I231" s="8">
        <v>9.5</v>
      </c>
      <c r="J231" s="26">
        <v>1</v>
      </c>
      <c r="K231" s="10">
        <f t="shared" si="20"/>
        <v>0.217835</v>
      </c>
      <c r="L231" s="4"/>
      <c r="M231" s="17">
        <v>1</v>
      </c>
      <c r="N231" s="18">
        <f t="shared" si="21"/>
        <v>0.217835</v>
      </c>
      <c r="O231" s="19">
        <f t="shared" si="22"/>
        <v>0</v>
      </c>
      <c r="P231" s="13">
        <f t="shared" si="23"/>
        <v>0</v>
      </c>
      <c r="Q231" s="9">
        <v>7.95</v>
      </c>
      <c r="R231" s="35">
        <v>1</v>
      </c>
      <c r="S231" s="2" t="s">
        <v>683</v>
      </c>
    </row>
    <row r="232" spans="1:21">
      <c r="A232" s="42" t="s">
        <v>77</v>
      </c>
      <c r="B232" s="3" t="s">
        <v>68</v>
      </c>
      <c r="C232" s="3">
        <v>234</v>
      </c>
      <c r="D232" s="1"/>
      <c r="E232" s="20" t="s">
        <v>17</v>
      </c>
      <c r="F232" s="7" t="s">
        <v>15</v>
      </c>
      <c r="G232" s="7" t="s">
        <v>60</v>
      </c>
      <c r="H232" s="11">
        <v>22.93</v>
      </c>
      <c r="I232" s="8">
        <v>10</v>
      </c>
      <c r="J232" s="26">
        <v>1</v>
      </c>
      <c r="K232" s="10">
        <f t="shared" si="20"/>
        <v>0.2293</v>
      </c>
      <c r="L232" s="4"/>
      <c r="M232" s="17">
        <v>1</v>
      </c>
      <c r="N232" s="18">
        <f t="shared" si="21"/>
        <v>0.2293</v>
      </c>
      <c r="O232" s="19">
        <f t="shared" si="22"/>
        <v>0</v>
      </c>
      <c r="P232" s="13">
        <f t="shared" si="23"/>
        <v>0</v>
      </c>
      <c r="Q232" s="9">
        <v>10</v>
      </c>
      <c r="R232" s="2">
        <v>1</v>
      </c>
      <c r="S232" s="2" t="s">
        <v>401</v>
      </c>
    </row>
    <row r="233" spans="1:21">
      <c r="A233" s="42" t="s">
        <v>77</v>
      </c>
      <c r="B233" s="3" t="s">
        <v>68</v>
      </c>
      <c r="C233" s="3">
        <v>234</v>
      </c>
      <c r="D233" s="1"/>
      <c r="E233" s="20" t="s">
        <v>17</v>
      </c>
      <c r="F233" s="7" t="s">
        <v>15</v>
      </c>
      <c r="G233" s="7" t="s">
        <v>60</v>
      </c>
      <c r="H233" s="11">
        <v>22.93</v>
      </c>
      <c r="I233" s="8">
        <v>10.5</v>
      </c>
      <c r="J233" s="26">
        <v>1</v>
      </c>
      <c r="K233" s="10">
        <f t="shared" si="20"/>
        <v>0.24076499999999998</v>
      </c>
      <c r="L233" s="4"/>
      <c r="M233" s="17">
        <v>1</v>
      </c>
      <c r="N233" s="18">
        <f t="shared" si="21"/>
        <v>0.24076499999999998</v>
      </c>
      <c r="O233" s="19">
        <f t="shared" si="22"/>
        <v>0</v>
      </c>
      <c r="P233" s="13">
        <f t="shared" si="23"/>
        <v>0</v>
      </c>
      <c r="Q233" s="9">
        <v>7.95</v>
      </c>
      <c r="R233" s="35">
        <v>1</v>
      </c>
      <c r="S233" s="2" t="s">
        <v>683</v>
      </c>
    </row>
    <row r="234" spans="1:21">
      <c r="A234" s="42" t="s">
        <v>77</v>
      </c>
      <c r="B234" s="3" t="s">
        <v>68</v>
      </c>
      <c r="C234" s="3">
        <v>234</v>
      </c>
      <c r="D234" s="1"/>
      <c r="E234" s="20" t="s">
        <v>17</v>
      </c>
      <c r="F234" s="7" t="s">
        <v>15</v>
      </c>
      <c r="G234" s="7" t="s">
        <v>60</v>
      </c>
      <c r="H234" s="11">
        <v>22.93</v>
      </c>
      <c r="I234" s="8">
        <v>11.5</v>
      </c>
      <c r="J234" s="26">
        <v>1</v>
      </c>
      <c r="K234" s="10">
        <f t="shared" si="20"/>
        <v>0.26369500000000001</v>
      </c>
      <c r="L234" s="4"/>
      <c r="M234" s="17">
        <v>1</v>
      </c>
      <c r="N234" s="18">
        <f t="shared" si="21"/>
        <v>0.26369500000000001</v>
      </c>
      <c r="O234" s="19">
        <f t="shared" si="22"/>
        <v>0</v>
      </c>
      <c r="P234" s="13">
        <f t="shared" si="23"/>
        <v>0</v>
      </c>
      <c r="Q234" s="9">
        <v>11.25</v>
      </c>
      <c r="R234" s="2">
        <v>1</v>
      </c>
      <c r="S234" s="2" t="s">
        <v>211</v>
      </c>
    </row>
    <row r="235" spans="1:21">
      <c r="A235" s="42" t="s">
        <v>77</v>
      </c>
      <c r="B235" s="3" t="s">
        <v>68</v>
      </c>
      <c r="C235" s="3">
        <v>234</v>
      </c>
      <c r="D235" s="1"/>
      <c r="E235" s="20" t="s">
        <v>17</v>
      </c>
      <c r="F235" s="7" t="s">
        <v>15</v>
      </c>
      <c r="G235" s="7" t="s">
        <v>60</v>
      </c>
      <c r="H235" s="11">
        <v>22.93</v>
      </c>
      <c r="I235" s="8">
        <v>11.7</v>
      </c>
      <c r="J235" s="26">
        <v>1</v>
      </c>
      <c r="K235" s="10">
        <f t="shared" si="20"/>
        <v>0.26828099999999999</v>
      </c>
      <c r="L235" s="4"/>
      <c r="M235" s="17">
        <v>1</v>
      </c>
      <c r="N235" s="18">
        <f t="shared" si="21"/>
        <v>0.26828099999999999</v>
      </c>
      <c r="O235" s="19">
        <f t="shared" si="22"/>
        <v>0</v>
      </c>
      <c r="P235" s="13">
        <f t="shared" si="23"/>
        <v>0</v>
      </c>
      <c r="Q235" s="9">
        <v>11.25</v>
      </c>
      <c r="R235" s="2">
        <v>1</v>
      </c>
      <c r="S235" s="2" t="s">
        <v>211</v>
      </c>
    </row>
    <row r="236" spans="1:21">
      <c r="A236" s="42" t="s">
        <v>77</v>
      </c>
      <c r="B236" s="3" t="s">
        <v>68</v>
      </c>
      <c r="C236" s="3">
        <v>235</v>
      </c>
      <c r="D236" s="1"/>
      <c r="E236" s="20" t="s">
        <v>17</v>
      </c>
      <c r="F236" s="7" t="s">
        <v>15</v>
      </c>
      <c r="G236" s="7" t="s">
        <v>60</v>
      </c>
      <c r="H236" s="11">
        <v>22.93</v>
      </c>
      <c r="I236" s="8">
        <v>5.25</v>
      </c>
      <c r="J236" s="26">
        <v>1</v>
      </c>
      <c r="K236" s="10">
        <f t="shared" si="20"/>
        <v>0.12038249999999999</v>
      </c>
      <c r="L236" s="4"/>
      <c r="M236" s="17"/>
      <c r="N236" s="18">
        <f t="shared" si="21"/>
        <v>0</v>
      </c>
      <c r="O236" s="19">
        <f t="shared" si="22"/>
        <v>1</v>
      </c>
      <c r="P236" s="13">
        <f t="shared" si="23"/>
        <v>0.12038249999999999</v>
      </c>
      <c r="Q236" s="9"/>
      <c r="R236" s="2"/>
      <c r="S236" s="2"/>
    </row>
    <row r="237" spans="1:21">
      <c r="A237" s="42" t="s">
        <v>77</v>
      </c>
      <c r="B237" s="3" t="s">
        <v>68</v>
      </c>
      <c r="C237" s="3">
        <v>235</v>
      </c>
      <c r="D237" s="1"/>
      <c r="E237" s="20" t="s">
        <v>17</v>
      </c>
      <c r="F237" s="7" t="s">
        <v>15</v>
      </c>
      <c r="G237" s="7" t="s">
        <v>60</v>
      </c>
      <c r="H237" s="11">
        <v>22.93</v>
      </c>
      <c r="I237" s="8">
        <v>6</v>
      </c>
      <c r="J237" s="26">
        <v>1</v>
      </c>
      <c r="K237" s="10">
        <f t="shared" si="20"/>
        <v>0.13757999999999998</v>
      </c>
      <c r="L237" s="4"/>
      <c r="M237" s="17">
        <v>1</v>
      </c>
      <c r="N237" s="18">
        <f t="shared" si="21"/>
        <v>0.13757999999999998</v>
      </c>
      <c r="O237" s="19">
        <f t="shared" si="22"/>
        <v>0</v>
      </c>
      <c r="P237" s="13">
        <f t="shared" si="23"/>
        <v>0</v>
      </c>
      <c r="Q237" s="9">
        <v>6</v>
      </c>
      <c r="R237" s="35">
        <v>1</v>
      </c>
      <c r="S237" s="2" t="s">
        <v>683</v>
      </c>
    </row>
    <row r="238" spans="1:21">
      <c r="A238" s="42" t="s">
        <v>77</v>
      </c>
      <c r="B238" s="3" t="s">
        <v>68</v>
      </c>
      <c r="C238" s="3">
        <v>235</v>
      </c>
      <c r="D238" s="1"/>
      <c r="E238" s="20" t="s">
        <v>17</v>
      </c>
      <c r="F238" s="7" t="s">
        <v>15</v>
      </c>
      <c r="G238" s="7" t="s">
        <v>60</v>
      </c>
      <c r="H238" s="11">
        <v>22.93</v>
      </c>
      <c r="I238" s="8">
        <v>7.6</v>
      </c>
      <c r="J238" s="26">
        <v>3</v>
      </c>
      <c r="K238" s="10">
        <f t="shared" si="20"/>
        <v>0.52280399999999994</v>
      </c>
      <c r="L238" s="4"/>
      <c r="M238" s="17">
        <v>3</v>
      </c>
      <c r="N238" s="18">
        <f t="shared" si="21"/>
        <v>0.52280399999999994</v>
      </c>
      <c r="O238" s="19">
        <f t="shared" si="22"/>
        <v>0</v>
      </c>
      <c r="P238" s="13">
        <f t="shared" si="23"/>
        <v>0</v>
      </c>
      <c r="Q238" s="9">
        <v>7.6</v>
      </c>
      <c r="R238" s="2">
        <v>3</v>
      </c>
      <c r="S238" s="2" t="s">
        <v>210</v>
      </c>
    </row>
    <row r="239" spans="1:21">
      <c r="A239" s="42" t="s">
        <v>77</v>
      </c>
      <c r="B239" s="3" t="s">
        <v>68</v>
      </c>
      <c r="C239" s="3">
        <v>235</v>
      </c>
      <c r="D239" s="1"/>
      <c r="E239" s="20" t="s">
        <v>17</v>
      </c>
      <c r="F239" s="7" t="s">
        <v>15</v>
      </c>
      <c r="G239" s="7" t="s">
        <v>60</v>
      </c>
      <c r="H239" s="11">
        <v>22.93</v>
      </c>
      <c r="I239" s="8">
        <v>10.1</v>
      </c>
      <c r="J239" s="26">
        <v>1</v>
      </c>
      <c r="K239" s="10">
        <f t="shared" si="20"/>
        <v>0.23159299999999999</v>
      </c>
      <c r="L239" s="4"/>
      <c r="M239" s="17">
        <v>1</v>
      </c>
      <c r="N239" s="18">
        <f t="shared" si="21"/>
        <v>0.23159299999999999</v>
      </c>
      <c r="O239" s="19">
        <f t="shared" si="22"/>
        <v>0</v>
      </c>
      <c r="P239" s="13">
        <f t="shared" si="23"/>
        <v>0</v>
      </c>
      <c r="Q239" s="9">
        <v>6</v>
      </c>
      <c r="R239" s="35">
        <v>1</v>
      </c>
      <c r="S239" s="2" t="s">
        <v>683</v>
      </c>
    </row>
    <row r="240" spans="1:21">
      <c r="A240" s="42" t="s">
        <v>77</v>
      </c>
      <c r="B240" s="3" t="s">
        <v>68</v>
      </c>
      <c r="C240" s="3">
        <v>235</v>
      </c>
      <c r="D240" s="1"/>
      <c r="E240" s="20" t="s">
        <v>17</v>
      </c>
      <c r="F240" s="7" t="s">
        <v>15</v>
      </c>
      <c r="G240" s="7" t="s">
        <v>60</v>
      </c>
      <c r="H240" s="11">
        <v>22.93</v>
      </c>
      <c r="I240" s="8">
        <v>11.7</v>
      </c>
      <c r="J240" s="26">
        <v>1</v>
      </c>
      <c r="K240" s="10">
        <f t="shared" si="20"/>
        <v>0.26828099999999999</v>
      </c>
      <c r="L240" s="4"/>
      <c r="M240" s="17">
        <v>1</v>
      </c>
      <c r="N240" s="18">
        <f t="shared" si="21"/>
        <v>0.26828099999999999</v>
      </c>
      <c r="O240" s="19">
        <f t="shared" si="22"/>
        <v>0</v>
      </c>
      <c r="P240" s="13">
        <f t="shared" si="23"/>
        <v>0</v>
      </c>
      <c r="Q240" s="9">
        <v>11.25</v>
      </c>
      <c r="R240" s="2">
        <v>1</v>
      </c>
      <c r="S240" s="2" t="s">
        <v>211</v>
      </c>
    </row>
    <row r="241" spans="1:19">
      <c r="A241" s="42" t="s">
        <v>77</v>
      </c>
      <c r="B241" s="3" t="s">
        <v>68</v>
      </c>
      <c r="C241" s="3">
        <v>236</v>
      </c>
      <c r="D241" s="1"/>
      <c r="E241" s="38" t="s">
        <v>63</v>
      </c>
      <c r="F241" s="7" t="s">
        <v>15</v>
      </c>
      <c r="G241" s="1" t="s">
        <v>37</v>
      </c>
      <c r="H241" s="11">
        <v>18.149999999999999</v>
      </c>
      <c r="I241" s="36">
        <v>9</v>
      </c>
      <c r="J241" s="37">
        <v>1</v>
      </c>
      <c r="K241" s="10">
        <f t="shared" si="20"/>
        <v>0.16335</v>
      </c>
      <c r="L241" s="4"/>
      <c r="M241" s="37">
        <v>1</v>
      </c>
      <c r="N241" s="18">
        <f t="shared" si="21"/>
        <v>0.16335</v>
      </c>
      <c r="O241" s="19">
        <f t="shared" si="22"/>
        <v>0</v>
      </c>
      <c r="P241" s="13">
        <f t="shared" si="23"/>
        <v>0</v>
      </c>
      <c r="Q241" s="9">
        <v>8.1999999999999993</v>
      </c>
      <c r="R241" s="2">
        <v>1</v>
      </c>
      <c r="S241" s="2" t="s">
        <v>602</v>
      </c>
    </row>
    <row r="242" spans="1:19">
      <c r="A242" s="42" t="s">
        <v>77</v>
      </c>
      <c r="B242" s="3" t="s">
        <v>68</v>
      </c>
      <c r="C242" s="3">
        <v>236</v>
      </c>
      <c r="D242" s="1"/>
      <c r="E242" s="38" t="s">
        <v>63</v>
      </c>
      <c r="F242" s="7" t="s">
        <v>15</v>
      </c>
      <c r="G242" s="1" t="s">
        <v>37</v>
      </c>
      <c r="H242" s="11">
        <v>18.149999999999999</v>
      </c>
      <c r="I242" s="36">
        <v>9.3000000000000007</v>
      </c>
      <c r="J242" s="37">
        <v>1</v>
      </c>
      <c r="K242" s="10">
        <f t="shared" si="20"/>
        <v>0.168795</v>
      </c>
      <c r="L242" s="4"/>
      <c r="M242" s="37">
        <v>1</v>
      </c>
      <c r="N242" s="18">
        <f t="shared" si="21"/>
        <v>0.168795</v>
      </c>
      <c r="O242" s="19">
        <f t="shared" si="22"/>
        <v>0</v>
      </c>
      <c r="P242" s="13">
        <f t="shared" si="23"/>
        <v>0</v>
      </c>
      <c r="Q242" s="9">
        <v>8.1999999999999993</v>
      </c>
      <c r="R242" s="2">
        <v>1</v>
      </c>
      <c r="S242" s="2" t="s">
        <v>602</v>
      </c>
    </row>
    <row r="243" spans="1:19">
      <c r="A243" s="42" t="s">
        <v>77</v>
      </c>
      <c r="B243" s="3" t="s">
        <v>68</v>
      </c>
      <c r="C243" s="3">
        <v>236</v>
      </c>
      <c r="D243" s="1"/>
      <c r="E243" s="38" t="s">
        <v>63</v>
      </c>
      <c r="F243" s="7" t="s">
        <v>15</v>
      </c>
      <c r="G243" s="1" t="s">
        <v>37</v>
      </c>
      <c r="H243" s="11">
        <v>18.149999999999999</v>
      </c>
      <c r="I243" s="36">
        <v>10.4</v>
      </c>
      <c r="J243" s="37">
        <v>2</v>
      </c>
      <c r="K243" s="10">
        <f t="shared" si="20"/>
        <v>0.37751999999999997</v>
      </c>
      <c r="L243" s="4"/>
      <c r="M243" s="37">
        <v>2</v>
      </c>
      <c r="N243" s="18">
        <f t="shared" si="21"/>
        <v>0.37751999999999997</v>
      </c>
      <c r="O243" s="19">
        <f t="shared" si="22"/>
        <v>0</v>
      </c>
      <c r="P243" s="13">
        <f t="shared" si="23"/>
        <v>0</v>
      </c>
      <c r="Q243" s="9">
        <v>9.5</v>
      </c>
      <c r="R243" s="2">
        <v>2</v>
      </c>
      <c r="S243" s="2" t="s">
        <v>209</v>
      </c>
    </row>
    <row r="244" spans="1:19">
      <c r="A244" s="42" t="s">
        <v>77</v>
      </c>
      <c r="B244" s="3" t="s">
        <v>68</v>
      </c>
      <c r="C244" s="3">
        <v>237</v>
      </c>
      <c r="D244" s="1"/>
      <c r="E244" s="38" t="s">
        <v>19</v>
      </c>
      <c r="F244" s="1" t="s">
        <v>14</v>
      </c>
      <c r="G244" s="1" t="s">
        <v>40</v>
      </c>
      <c r="H244" s="11">
        <v>16.5</v>
      </c>
      <c r="I244" s="8">
        <v>7</v>
      </c>
      <c r="J244" s="26">
        <v>1</v>
      </c>
      <c r="K244" s="10">
        <f t="shared" si="20"/>
        <v>0.11550000000000001</v>
      </c>
      <c r="L244" s="4"/>
      <c r="M244" s="17"/>
      <c r="N244" s="18">
        <f t="shared" si="21"/>
        <v>0</v>
      </c>
      <c r="O244" s="19">
        <f t="shared" si="22"/>
        <v>1</v>
      </c>
      <c r="P244" s="13">
        <f t="shared" si="23"/>
        <v>0.11550000000000001</v>
      </c>
      <c r="Q244" s="9"/>
      <c r="R244" s="2"/>
      <c r="S244" s="2"/>
    </row>
    <row r="245" spans="1:19">
      <c r="A245" s="42" t="s">
        <v>77</v>
      </c>
      <c r="B245" s="3" t="s">
        <v>68</v>
      </c>
      <c r="C245" s="3">
        <v>238</v>
      </c>
      <c r="D245" s="1"/>
      <c r="E245" s="12" t="s">
        <v>20</v>
      </c>
      <c r="F245" s="7" t="s">
        <v>15</v>
      </c>
      <c r="G245" s="7" t="s">
        <v>45</v>
      </c>
      <c r="H245" s="11">
        <v>13.6</v>
      </c>
      <c r="I245" s="8">
        <v>6.5</v>
      </c>
      <c r="J245" s="26">
        <v>2</v>
      </c>
      <c r="K245" s="10">
        <f t="shared" si="20"/>
        <v>0.17679999999999998</v>
      </c>
      <c r="L245" s="4"/>
      <c r="M245" s="17">
        <v>2</v>
      </c>
      <c r="N245" s="18">
        <f t="shared" si="21"/>
        <v>0.17679999999999998</v>
      </c>
      <c r="O245" s="19">
        <f t="shared" si="22"/>
        <v>0</v>
      </c>
      <c r="P245" s="13">
        <f t="shared" si="23"/>
        <v>0</v>
      </c>
      <c r="Q245" s="9">
        <v>6.55</v>
      </c>
      <c r="R245" s="35">
        <v>2</v>
      </c>
      <c r="S245" s="2" t="s">
        <v>740</v>
      </c>
    </row>
    <row r="246" spans="1:19">
      <c r="A246" s="42" t="s">
        <v>77</v>
      </c>
      <c r="B246" s="3" t="s">
        <v>68</v>
      </c>
      <c r="C246" s="3">
        <v>238</v>
      </c>
      <c r="D246" s="1"/>
      <c r="E246" s="12" t="s">
        <v>20</v>
      </c>
      <c r="F246" s="7" t="s">
        <v>15</v>
      </c>
      <c r="G246" s="7" t="s">
        <v>45</v>
      </c>
      <c r="H246" s="11">
        <v>13.6</v>
      </c>
      <c r="I246" s="8">
        <v>7</v>
      </c>
      <c r="J246" s="26">
        <v>2</v>
      </c>
      <c r="K246" s="10">
        <f t="shared" si="20"/>
        <v>0.19040000000000001</v>
      </c>
      <c r="L246" s="4"/>
      <c r="M246" s="17">
        <v>2</v>
      </c>
      <c r="N246" s="18">
        <f t="shared" si="21"/>
        <v>0.19040000000000001</v>
      </c>
      <c r="O246" s="19">
        <f t="shared" si="22"/>
        <v>0</v>
      </c>
      <c r="P246" s="13">
        <f t="shared" si="23"/>
        <v>0</v>
      </c>
      <c r="Q246" s="9">
        <v>6.6</v>
      </c>
      <c r="R246" s="2">
        <v>2</v>
      </c>
      <c r="S246" s="2" t="s">
        <v>279</v>
      </c>
    </row>
    <row r="247" spans="1:19">
      <c r="A247" s="42" t="s">
        <v>77</v>
      </c>
      <c r="B247" s="3" t="s">
        <v>68</v>
      </c>
      <c r="C247" s="3">
        <v>238</v>
      </c>
      <c r="D247" s="1"/>
      <c r="E247" s="12" t="s">
        <v>20</v>
      </c>
      <c r="F247" s="7" t="s">
        <v>15</v>
      </c>
      <c r="G247" s="7" t="s">
        <v>45</v>
      </c>
      <c r="H247" s="11">
        <v>13.6</v>
      </c>
      <c r="I247" s="8">
        <v>7.2</v>
      </c>
      <c r="J247" s="26">
        <v>2</v>
      </c>
      <c r="K247" s="10">
        <f t="shared" si="20"/>
        <v>0.19584000000000001</v>
      </c>
      <c r="L247" s="4"/>
      <c r="M247" s="17">
        <v>2</v>
      </c>
      <c r="N247" s="18">
        <f t="shared" si="21"/>
        <v>0.19584000000000001</v>
      </c>
      <c r="O247" s="19">
        <f t="shared" si="22"/>
        <v>0</v>
      </c>
      <c r="P247" s="13">
        <f t="shared" si="23"/>
        <v>0</v>
      </c>
      <c r="Q247" s="9">
        <v>6.6</v>
      </c>
      <c r="R247" s="2">
        <v>2</v>
      </c>
      <c r="S247" s="2" t="s">
        <v>279</v>
      </c>
    </row>
    <row r="248" spans="1:19">
      <c r="A248" s="42" t="s">
        <v>77</v>
      </c>
      <c r="B248" s="3" t="s">
        <v>68</v>
      </c>
      <c r="C248" s="3">
        <v>239</v>
      </c>
      <c r="D248" s="1"/>
      <c r="E248" s="59" t="s">
        <v>20</v>
      </c>
      <c r="F248" s="60" t="s">
        <v>15</v>
      </c>
      <c r="G248" s="60" t="s">
        <v>35</v>
      </c>
      <c r="H248" s="61">
        <v>16.579999999999998</v>
      </c>
      <c r="I248" s="21">
        <v>11.4</v>
      </c>
      <c r="J248" s="22">
        <v>1</v>
      </c>
      <c r="K248" s="62">
        <f t="shared" si="20"/>
        <v>0.18901200000000001</v>
      </c>
      <c r="L248" s="253" t="s">
        <v>69</v>
      </c>
      <c r="M248" s="22"/>
      <c r="N248" s="63">
        <f t="shared" si="21"/>
        <v>0</v>
      </c>
      <c r="O248" s="64">
        <f t="shared" si="22"/>
        <v>1</v>
      </c>
      <c r="P248" s="65">
        <f t="shared" si="23"/>
        <v>0.18901200000000001</v>
      </c>
      <c r="Q248" s="9"/>
      <c r="R248" s="2"/>
      <c r="S248" s="2"/>
    </row>
    <row r="249" spans="1:19">
      <c r="A249" s="42" t="s">
        <v>77</v>
      </c>
      <c r="B249" s="3" t="s">
        <v>68</v>
      </c>
      <c r="C249" s="3">
        <v>240</v>
      </c>
      <c r="D249" s="1"/>
      <c r="E249" s="12" t="s">
        <v>20</v>
      </c>
      <c r="F249" s="7" t="s">
        <v>15</v>
      </c>
      <c r="G249" s="7" t="s">
        <v>40</v>
      </c>
      <c r="H249" s="11">
        <v>16.5</v>
      </c>
      <c r="I249" s="8">
        <v>7.6</v>
      </c>
      <c r="J249" s="26">
        <v>1</v>
      </c>
      <c r="K249" s="10">
        <f t="shared" si="20"/>
        <v>0.12539999999999998</v>
      </c>
      <c r="L249" s="4"/>
      <c r="M249" s="17">
        <v>1</v>
      </c>
      <c r="N249" s="18">
        <f t="shared" si="21"/>
        <v>0.12539999999999998</v>
      </c>
      <c r="O249" s="19">
        <f t="shared" si="22"/>
        <v>0</v>
      </c>
      <c r="P249" s="13">
        <f t="shared" si="23"/>
        <v>0</v>
      </c>
      <c r="Q249" s="9"/>
      <c r="R249" s="2">
        <v>1</v>
      </c>
      <c r="S249" s="2" t="s">
        <v>278</v>
      </c>
    </row>
    <row r="250" spans="1:19">
      <c r="A250" s="42" t="s">
        <v>77</v>
      </c>
      <c r="B250" s="3" t="s">
        <v>68</v>
      </c>
      <c r="C250" s="3">
        <v>241</v>
      </c>
      <c r="D250" s="1"/>
      <c r="E250" s="12" t="s">
        <v>19</v>
      </c>
      <c r="F250" s="7" t="s">
        <v>14</v>
      </c>
      <c r="G250" s="7" t="s">
        <v>40</v>
      </c>
      <c r="H250" s="11">
        <v>16.5</v>
      </c>
      <c r="I250" s="8">
        <v>6.7</v>
      </c>
      <c r="J250" s="26">
        <v>1</v>
      </c>
      <c r="K250" s="10">
        <f t="shared" si="20"/>
        <v>0.11055</v>
      </c>
      <c r="L250" s="4"/>
      <c r="M250" s="17"/>
      <c r="N250" s="18">
        <f t="shared" si="21"/>
        <v>0</v>
      </c>
      <c r="O250" s="19">
        <f t="shared" si="22"/>
        <v>1</v>
      </c>
      <c r="P250" s="13">
        <f t="shared" si="23"/>
        <v>0.11055</v>
      </c>
      <c r="Q250" s="9"/>
      <c r="R250" s="2"/>
      <c r="S250" s="2"/>
    </row>
    <row r="251" spans="1:19">
      <c r="A251" s="42" t="s">
        <v>77</v>
      </c>
      <c r="B251" s="3" t="s">
        <v>68</v>
      </c>
      <c r="C251" s="3">
        <v>241</v>
      </c>
      <c r="D251" s="1"/>
      <c r="E251" s="12" t="s">
        <v>19</v>
      </c>
      <c r="F251" s="7" t="s">
        <v>14</v>
      </c>
      <c r="G251" s="7" t="s">
        <v>40</v>
      </c>
      <c r="H251" s="11">
        <v>16.5</v>
      </c>
      <c r="I251" s="8">
        <v>6.9</v>
      </c>
      <c r="J251" s="26">
        <v>2</v>
      </c>
      <c r="K251" s="10">
        <f t="shared" si="20"/>
        <v>0.22770000000000001</v>
      </c>
      <c r="L251" s="4"/>
      <c r="M251" s="17"/>
      <c r="N251" s="18">
        <f t="shared" si="21"/>
        <v>0</v>
      </c>
      <c r="O251" s="19">
        <f t="shared" si="22"/>
        <v>2</v>
      </c>
      <c r="P251" s="13">
        <f t="shared" si="23"/>
        <v>0.22770000000000001</v>
      </c>
      <c r="Q251" s="9"/>
      <c r="R251" s="2"/>
      <c r="S251" s="2"/>
    </row>
    <row r="252" spans="1:19">
      <c r="A252" s="42" t="s">
        <v>77</v>
      </c>
      <c r="B252" s="3" t="s">
        <v>68</v>
      </c>
      <c r="C252" s="3">
        <v>241</v>
      </c>
      <c r="D252" s="1"/>
      <c r="E252" s="12" t="s">
        <v>19</v>
      </c>
      <c r="F252" s="7" t="s">
        <v>14</v>
      </c>
      <c r="G252" s="7" t="s">
        <v>40</v>
      </c>
      <c r="H252" s="11">
        <v>16.5</v>
      </c>
      <c r="I252" s="8">
        <v>8.5</v>
      </c>
      <c r="J252" s="26">
        <v>1</v>
      </c>
      <c r="K252" s="10">
        <f t="shared" si="20"/>
        <v>0.14025000000000001</v>
      </c>
      <c r="L252" s="4"/>
      <c r="M252" s="17"/>
      <c r="N252" s="18">
        <f t="shared" si="21"/>
        <v>0</v>
      </c>
      <c r="O252" s="19">
        <f t="shared" si="22"/>
        <v>1</v>
      </c>
      <c r="P252" s="13">
        <f t="shared" si="23"/>
        <v>0.14025000000000001</v>
      </c>
      <c r="Q252" s="9"/>
      <c r="R252" s="2"/>
      <c r="S252" s="2"/>
    </row>
    <row r="253" spans="1:19">
      <c r="A253" s="42" t="s">
        <v>77</v>
      </c>
      <c r="B253" s="3" t="s">
        <v>68</v>
      </c>
      <c r="C253" s="3">
        <v>242</v>
      </c>
      <c r="D253" s="1"/>
      <c r="E253" s="12" t="s">
        <v>19</v>
      </c>
      <c r="F253" s="7" t="s">
        <v>14</v>
      </c>
      <c r="G253" s="7" t="s">
        <v>40</v>
      </c>
      <c r="H253" s="11">
        <v>16.5</v>
      </c>
      <c r="I253" s="8">
        <v>7.3</v>
      </c>
      <c r="J253" s="26">
        <v>3</v>
      </c>
      <c r="K253" s="10">
        <f t="shared" si="20"/>
        <v>0.36135</v>
      </c>
      <c r="L253" s="4"/>
      <c r="M253" s="17"/>
      <c r="N253" s="18">
        <f t="shared" si="21"/>
        <v>0</v>
      </c>
      <c r="O253" s="19">
        <f t="shared" si="22"/>
        <v>3</v>
      </c>
      <c r="P253" s="13">
        <f t="shared" si="23"/>
        <v>0.36134999999999995</v>
      </c>
      <c r="Q253" s="9"/>
      <c r="R253" s="2"/>
      <c r="S253" s="2"/>
    </row>
    <row r="254" spans="1:19">
      <c r="A254" s="42" t="s">
        <v>77</v>
      </c>
      <c r="B254" s="3" t="s">
        <v>68</v>
      </c>
      <c r="C254" s="3">
        <v>243</v>
      </c>
      <c r="D254" s="1"/>
      <c r="E254" s="12" t="s">
        <v>20</v>
      </c>
      <c r="F254" s="7" t="s">
        <v>15</v>
      </c>
      <c r="G254" s="7" t="s">
        <v>49</v>
      </c>
      <c r="H254" s="11">
        <v>17.82</v>
      </c>
      <c r="I254" s="8">
        <v>8.3000000000000007</v>
      </c>
      <c r="J254" s="26">
        <v>2</v>
      </c>
      <c r="K254" s="10">
        <f t="shared" si="20"/>
        <v>0.29581200000000002</v>
      </c>
      <c r="L254" s="4"/>
      <c r="M254" s="17">
        <v>2</v>
      </c>
      <c r="N254" s="18">
        <f t="shared" si="21"/>
        <v>0.29581200000000002</v>
      </c>
      <c r="O254" s="19">
        <f t="shared" si="22"/>
        <v>0</v>
      </c>
      <c r="P254" s="13">
        <f t="shared" si="23"/>
        <v>0</v>
      </c>
      <c r="Q254" s="9">
        <v>7.2</v>
      </c>
      <c r="R254" s="2">
        <v>2</v>
      </c>
      <c r="S254" s="2" t="s">
        <v>295</v>
      </c>
    </row>
    <row r="255" spans="1:19">
      <c r="A255" s="42" t="s">
        <v>77</v>
      </c>
      <c r="B255" s="3" t="s">
        <v>68</v>
      </c>
      <c r="C255" s="3">
        <v>243</v>
      </c>
      <c r="D255" s="1"/>
      <c r="E255" s="12" t="s">
        <v>20</v>
      </c>
      <c r="F255" s="7" t="s">
        <v>15</v>
      </c>
      <c r="G255" s="7" t="s">
        <v>49</v>
      </c>
      <c r="H255" s="11">
        <v>17.82</v>
      </c>
      <c r="I255" s="8">
        <v>9.1</v>
      </c>
      <c r="J255" s="26">
        <v>1</v>
      </c>
      <c r="K255" s="10">
        <f t="shared" si="20"/>
        <v>0.162162</v>
      </c>
      <c r="L255" s="4"/>
      <c r="M255" s="17">
        <v>1</v>
      </c>
      <c r="N255" s="18">
        <f t="shared" si="21"/>
        <v>0.162162</v>
      </c>
      <c r="O255" s="19">
        <f t="shared" si="22"/>
        <v>0</v>
      </c>
      <c r="P255" s="13">
        <f t="shared" si="23"/>
        <v>0</v>
      </c>
      <c r="Q255" s="9">
        <v>7.2</v>
      </c>
      <c r="R255" s="2">
        <v>1</v>
      </c>
      <c r="S255" s="2" t="s">
        <v>295</v>
      </c>
    </row>
    <row r="256" spans="1:19">
      <c r="A256" s="42" t="s">
        <v>77</v>
      </c>
      <c r="B256" s="3" t="s">
        <v>68</v>
      </c>
      <c r="C256" s="3">
        <v>244</v>
      </c>
      <c r="D256" s="1"/>
      <c r="E256" s="12" t="s">
        <v>20</v>
      </c>
      <c r="F256" s="7" t="s">
        <v>15</v>
      </c>
      <c r="G256" s="7" t="s">
        <v>42</v>
      </c>
      <c r="H256" s="11">
        <v>19.72</v>
      </c>
      <c r="I256" s="8">
        <v>7.6</v>
      </c>
      <c r="J256" s="26">
        <v>1</v>
      </c>
      <c r="K256" s="10">
        <f t="shared" si="20"/>
        <v>0.14987199999999998</v>
      </c>
      <c r="L256" s="4"/>
      <c r="M256" s="17">
        <v>1</v>
      </c>
      <c r="N256" s="18">
        <f t="shared" si="21"/>
        <v>0.14987199999999998</v>
      </c>
      <c r="O256" s="19">
        <f t="shared" si="22"/>
        <v>0</v>
      </c>
      <c r="P256" s="13">
        <f t="shared" si="23"/>
        <v>0</v>
      </c>
      <c r="Q256" s="9">
        <v>7.1</v>
      </c>
      <c r="R256" s="2">
        <v>1</v>
      </c>
      <c r="S256" s="2" t="s">
        <v>313</v>
      </c>
    </row>
    <row r="257" spans="1:22">
      <c r="A257" s="42" t="s">
        <v>77</v>
      </c>
      <c r="B257" s="3" t="s">
        <v>68</v>
      </c>
      <c r="C257" s="3">
        <v>245</v>
      </c>
      <c r="D257" s="1"/>
      <c r="E257" s="12" t="s">
        <v>20</v>
      </c>
      <c r="F257" s="7" t="s">
        <v>15</v>
      </c>
      <c r="G257" s="7" t="s">
        <v>39</v>
      </c>
      <c r="H257" s="11">
        <v>14.66</v>
      </c>
      <c r="I257" s="8">
        <v>6.5</v>
      </c>
      <c r="J257" s="26">
        <v>1</v>
      </c>
      <c r="K257" s="10">
        <f t="shared" si="20"/>
        <v>9.529E-2</v>
      </c>
      <c r="L257" s="4"/>
      <c r="M257" s="17">
        <v>1</v>
      </c>
      <c r="N257" s="18">
        <f t="shared" si="21"/>
        <v>9.529E-2</v>
      </c>
      <c r="O257" s="19">
        <f t="shared" si="22"/>
        <v>0</v>
      </c>
      <c r="P257" s="13">
        <f t="shared" si="23"/>
        <v>0</v>
      </c>
      <c r="Q257" s="9">
        <v>6.5</v>
      </c>
      <c r="R257" s="35">
        <v>1</v>
      </c>
      <c r="S257" s="2" t="s">
        <v>444</v>
      </c>
    </row>
    <row r="258" spans="1:22">
      <c r="A258" s="42" t="s">
        <v>77</v>
      </c>
      <c r="B258" s="3" t="s">
        <v>68</v>
      </c>
      <c r="C258" s="3">
        <v>245</v>
      </c>
      <c r="D258" s="1"/>
      <c r="E258" s="12" t="s">
        <v>20</v>
      </c>
      <c r="F258" s="7" t="s">
        <v>15</v>
      </c>
      <c r="G258" s="7" t="s">
        <v>39</v>
      </c>
      <c r="H258" s="11">
        <v>14.66</v>
      </c>
      <c r="I258" s="8">
        <v>7.3</v>
      </c>
      <c r="J258" s="26">
        <v>1</v>
      </c>
      <c r="K258" s="10">
        <f t="shared" si="20"/>
        <v>0.107018</v>
      </c>
      <c r="L258" s="4"/>
      <c r="M258" s="17">
        <v>1</v>
      </c>
      <c r="N258" s="18">
        <f t="shared" si="21"/>
        <v>0.107018</v>
      </c>
      <c r="O258" s="19">
        <f t="shared" si="22"/>
        <v>0</v>
      </c>
      <c r="P258" s="13">
        <f t="shared" si="23"/>
        <v>0</v>
      </c>
      <c r="Q258" s="9">
        <v>6.5</v>
      </c>
      <c r="R258" s="35">
        <v>1</v>
      </c>
      <c r="S258" s="2" t="s">
        <v>444</v>
      </c>
    </row>
    <row r="259" spans="1:22">
      <c r="A259" s="42" t="s">
        <v>77</v>
      </c>
      <c r="B259" s="3" t="s">
        <v>68</v>
      </c>
      <c r="C259" s="3">
        <v>246</v>
      </c>
      <c r="D259" s="1"/>
      <c r="E259" s="12" t="s">
        <v>19</v>
      </c>
      <c r="F259" s="7" t="s">
        <v>14</v>
      </c>
      <c r="G259" s="7" t="s">
        <v>40</v>
      </c>
      <c r="H259" s="11">
        <v>16.5</v>
      </c>
      <c r="I259" s="8">
        <v>11.9</v>
      </c>
      <c r="J259" s="26">
        <v>3</v>
      </c>
      <c r="K259" s="10">
        <f t="shared" si="20"/>
        <v>0.58904999999999996</v>
      </c>
      <c r="L259" s="4"/>
      <c r="M259" s="17"/>
      <c r="N259" s="18">
        <f t="shared" si="21"/>
        <v>0</v>
      </c>
      <c r="O259" s="19">
        <f t="shared" si="22"/>
        <v>3</v>
      </c>
      <c r="P259" s="13">
        <f t="shared" si="23"/>
        <v>0.58905000000000007</v>
      </c>
      <c r="Q259" s="9"/>
      <c r="R259" s="2"/>
      <c r="S259" s="2"/>
    </row>
    <row r="260" spans="1:22">
      <c r="A260" s="42" t="s">
        <v>77</v>
      </c>
      <c r="B260" s="3" t="s">
        <v>68</v>
      </c>
      <c r="C260" s="3">
        <v>246</v>
      </c>
      <c r="D260" s="1"/>
      <c r="E260" s="12" t="s">
        <v>19</v>
      </c>
      <c r="F260" s="7" t="s">
        <v>14</v>
      </c>
      <c r="G260" s="7" t="s">
        <v>40</v>
      </c>
      <c r="H260" s="11">
        <v>16.5</v>
      </c>
      <c r="I260" s="8">
        <v>11.8</v>
      </c>
      <c r="J260" s="26">
        <v>1</v>
      </c>
      <c r="K260" s="10">
        <f t="shared" si="20"/>
        <v>0.19470000000000001</v>
      </c>
      <c r="L260" s="23"/>
      <c r="M260" s="17"/>
      <c r="N260" s="18">
        <f t="shared" si="21"/>
        <v>0</v>
      </c>
      <c r="O260" s="19">
        <f t="shared" si="22"/>
        <v>1</v>
      </c>
      <c r="P260" s="13">
        <f t="shared" si="23"/>
        <v>0.19470000000000001</v>
      </c>
      <c r="Q260" s="9"/>
      <c r="R260" s="2"/>
      <c r="S260" s="2"/>
    </row>
    <row r="261" spans="1:22">
      <c r="A261" s="42" t="s">
        <v>77</v>
      </c>
      <c r="B261" s="3" t="s">
        <v>68</v>
      </c>
      <c r="C261" s="3">
        <v>247</v>
      </c>
      <c r="D261" s="1"/>
      <c r="E261" s="12" t="s">
        <v>19</v>
      </c>
      <c r="F261" s="7" t="s">
        <v>14</v>
      </c>
      <c r="G261" s="7" t="s">
        <v>34</v>
      </c>
      <c r="H261" s="11">
        <v>9.61</v>
      </c>
      <c r="I261" s="8">
        <v>12</v>
      </c>
      <c r="J261" s="26">
        <v>2</v>
      </c>
      <c r="K261" s="10">
        <f t="shared" si="20"/>
        <v>0.23063999999999998</v>
      </c>
      <c r="L261" s="4"/>
      <c r="M261" s="17">
        <f>1+1</f>
        <v>2</v>
      </c>
      <c r="N261" s="18">
        <f t="shared" si="21"/>
        <v>0.23063999999999998</v>
      </c>
      <c r="O261" s="19">
        <f t="shared" si="22"/>
        <v>0</v>
      </c>
      <c r="P261" s="13">
        <f t="shared" si="23"/>
        <v>0</v>
      </c>
      <c r="Q261" s="9"/>
      <c r="R261" s="2">
        <v>1</v>
      </c>
      <c r="S261" s="2" t="s">
        <v>278</v>
      </c>
      <c r="T261">
        <v>6.55</v>
      </c>
      <c r="U261" s="457">
        <v>1</v>
      </c>
      <c r="V261" s="213" t="s">
        <v>733</v>
      </c>
    </row>
    <row r="262" spans="1:22">
      <c r="A262" s="42" t="s">
        <v>77</v>
      </c>
      <c r="B262" s="3" t="s">
        <v>68</v>
      </c>
      <c r="C262" s="3">
        <v>248</v>
      </c>
      <c r="D262" s="1"/>
      <c r="E262" s="12" t="s">
        <v>19</v>
      </c>
      <c r="F262" s="7" t="s">
        <v>14</v>
      </c>
      <c r="G262" s="7" t="s">
        <v>32</v>
      </c>
      <c r="H262" s="11">
        <v>8.3000000000000007</v>
      </c>
      <c r="I262" s="8">
        <v>11.6</v>
      </c>
      <c r="J262" s="26">
        <v>1</v>
      </c>
      <c r="K262" s="10">
        <f t="shared" si="20"/>
        <v>9.6280000000000004E-2</v>
      </c>
      <c r="L262" s="4"/>
      <c r="M262" s="17">
        <v>1</v>
      </c>
      <c r="N262" s="18">
        <f t="shared" si="21"/>
        <v>9.6280000000000004E-2</v>
      </c>
      <c r="O262" s="19">
        <f t="shared" si="22"/>
        <v>0</v>
      </c>
      <c r="P262" s="13">
        <f t="shared" si="23"/>
        <v>0</v>
      </c>
      <c r="Q262" s="9">
        <v>10.4</v>
      </c>
      <c r="R262" s="2">
        <v>1</v>
      </c>
      <c r="S262" s="2" t="s">
        <v>732</v>
      </c>
    </row>
    <row r="263" spans="1:22">
      <c r="A263" s="42" t="s">
        <v>77</v>
      </c>
      <c r="B263" s="3" t="s">
        <v>68</v>
      </c>
      <c r="C263" s="3">
        <v>249</v>
      </c>
      <c r="D263" s="1"/>
      <c r="E263" s="12" t="s">
        <v>20</v>
      </c>
      <c r="F263" s="7" t="s">
        <v>15</v>
      </c>
      <c r="G263" s="7" t="s">
        <v>61</v>
      </c>
      <c r="H263" s="11">
        <v>19.68</v>
      </c>
      <c r="I263" s="8">
        <v>12</v>
      </c>
      <c r="J263" s="26">
        <v>2</v>
      </c>
      <c r="K263" s="10">
        <f t="shared" ref="K263:K315" si="24">(H263*I263*J263/1000)</f>
        <v>0.47232000000000002</v>
      </c>
      <c r="L263" s="4"/>
      <c r="M263" s="17">
        <v>2</v>
      </c>
      <c r="N263" s="18">
        <f t="shared" ref="N263:N315" si="25">I263*M263*H263/1000</f>
        <v>0.47232000000000002</v>
      </c>
      <c r="O263" s="19">
        <f t="shared" ref="O263:O315" si="26">J263-M263</f>
        <v>0</v>
      </c>
      <c r="P263" s="13">
        <f t="shared" ref="P263:P315" si="27">I263*O263*H263/1000</f>
        <v>0</v>
      </c>
      <c r="Q263" s="9">
        <v>12</v>
      </c>
      <c r="R263" s="2">
        <v>2</v>
      </c>
      <c r="S263" s="2" t="s">
        <v>734</v>
      </c>
    </row>
    <row r="264" spans="1:22">
      <c r="A264" s="42" t="s">
        <v>77</v>
      </c>
      <c r="B264" s="3" t="s">
        <v>68</v>
      </c>
      <c r="C264" s="3">
        <v>250</v>
      </c>
      <c r="D264" s="1"/>
      <c r="E264" s="12" t="s">
        <v>20</v>
      </c>
      <c r="F264" s="7" t="s">
        <v>15</v>
      </c>
      <c r="G264" s="7" t="s">
        <v>34</v>
      </c>
      <c r="H264" s="11">
        <v>9.61</v>
      </c>
      <c r="I264" s="8">
        <v>7.75</v>
      </c>
      <c r="J264" s="26">
        <v>1</v>
      </c>
      <c r="K264" s="10">
        <f t="shared" si="24"/>
        <v>7.4477499999999988E-2</v>
      </c>
      <c r="L264" s="4"/>
      <c r="M264" s="17">
        <v>1</v>
      </c>
      <c r="N264" s="18">
        <f t="shared" si="25"/>
        <v>7.4477499999999988E-2</v>
      </c>
      <c r="O264" s="19">
        <f t="shared" si="26"/>
        <v>0</v>
      </c>
      <c r="P264" s="13">
        <f t="shared" si="27"/>
        <v>0</v>
      </c>
      <c r="Q264" s="9"/>
      <c r="R264" s="2">
        <v>1</v>
      </c>
      <c r="S264" s="32" t="s">
        <v>259</v>
      </c>
    </row>
    <row r="265" spans="1:22">
      <c r="A265" s="42" t="s">
        <v>77</v>
      </c>
      <c r="B265" s="3" t="s">
        <v>68</v>
      </c>
      <c r="C265" s="3">
        <v>250</v>
      </c>
      <c r="D265" s="1"/>
      <c r="E265" s="12" t="s">
        <v>20</v>
      </c>
      <c r="F265" s="7" t="s">
        <v>15</v>
      </c>
      <c r="G265" s="7" t="s">
        <v>34</v>
      </c>
      <c r="H265" s="11">
        <v>9.61</v>
      </c>
      <c r="I265" s="8">
        <v>10.6</v>
      </c>
      <c r="J265" s="26">
        <v>1</v>
      </c>
      <c r="K265" s="10">
        <f t="shared" si="24"/>
        <v>0.10186599999999998</v>
      </c>
      <c r="L265" s="4"/>
      <c r="M265" s="17">
        <v>1</v>
      </c>
      <c r="N265" s="18">
        <f t="shared" si="25"/>
        <v>0.10186599999999998</v>
      </c>
      <c r="O265" s="19">
        <f t="shared" si="26"/>
        <v>0</v>
      </c>
      <c r="P265" s="13">
        <f t="shared" si="27"/>
        <v>0</v>
      </c>
      <c r="Q265" s="9"/>
      <c r="R265" s="2">
        <v>1</v>
      </c>
      <c r="S265" s="32" t="s">
        <v>259</v>
      </c>
    </row>
    <row r="266" spans="1:22">
      <c r="A266" s="42" t="s">
        <v>77</v>
      </c>
      <c r="B266" s="3" t="s">
        <v>68</v>
      </c>
      <c r="C266" s="3">
        <v>250</v>
      </c>
      <c r="D266" s="1"/>
      <c r="E266" s="12" t="s">
        <v>20</v>
      </c>
      <c r="F266" s="7" t="s">
        <v>15</v>
      </c>
      <c r="G266" s="7" t="s">
        <v>34</v>
      </c>
      <c r="H266" s="11">
        <v>9.61</v>
      </c>
      <c r="I266" s="8">
        <v>10</v>
      </c>
      <c r="J266" s="26">
        <v>2</v>
      </c>
      <c r="K266" s="10">
        <f t="shared" si="24"/>
        <v>0.19219999999999998</v>
      </c>
      <c r="L266" s="4"/>
      <c r="M266" s="17">
        <v>2</v>
      </c>
      <c r="N266" s="18">
        <f t="shared" si="25"/>
        <v>0.19219999999999998</v>
      </c>
      <c r="O266" s="19">
        <f t="shared" si="26"/>
        <v>0</v>
      </c>
      <c r="P266" s="13">
        <f t="shared" si="27"/>
        <v>0</v>
      </c>
      <c r="Q266" s="9"/>
      <c r="R266" s="2">
        <v>2</v>
      </c>
      <c r="S266" s="32" t="s">
        <v>259</v>
      </c>
    </row>
    <row r="267" spans="1:22">
      <c r="A267" s="42" t="s">
        <v>77</v>
      </c>
      <c r="B267" s="3" t="s">
        <v>68</v>
      </c>
      <c r="C267" s="3">
        <v>251</v>
      </c>
      <c r="D267" s="1"/>
      <c r="E267" s="12" t="s">
        <v>20</v>
      </c>
      <c r="F267" s="7" t="s">
        <v>15</v>
      </c>
      <c r="G267" s="7" t="s">
        <v>41</v>
      </c>
      <c r="H267" s="11">
        <v>11.8</v>
      </c>
      <c r="I267" s="8">
        <v>6.2</v>
      </c>
      <c r="J267" s="26">
        <v>1</v>
      </c>
      <c r="K267" s="10">
        <f t="shared" si="24"/>
        <v>7.3160000000000017E-2</v>
      </c>
      <c r="L267" s="4"/>
      <c r="M267" s="17"/>
      <c r="N267" s="18">
        <f t="shared" si="25"/>
        <v>0</v>
      </c>
      <c r="O267" s="19">
        <f t="shared" si="26"/>
        <v>1</v>
      </c>
      <c r="P267" s="13">
        <f t="shared" si="27"/>
        <v>7.3160000000000017E-2</v>
      </c>
      <c r="Q267" s="9"/>
      <c r="R267" s="2"/>
      <c r="S267" s="2"/>
    </row>
    <row r="268" spans="1:22">
      <c r="A268" s="42" t="s">
        <v>77</v>
      </c>
      <c r="B268" s="3" t="s">
        <v>68</v>
      </c>
      <c r="C268" s="3">
        <v>251</v>
      </c>
      <c r="D268" s="1"/>
      <c r="E268" s="12" t="s">
        <v>20</v>
      </c>
      <c r="F268" s="7" t="s">
        <v>15</v>
      </c>
      <c r="G268" s="7" t="s">
        <v>41</v>
      </c>
      <c r="H268" s="11">
        <v>11.8</v>
      </c>
      <c r="I268" s="8">
        <v>6.4</v>
      </c>
      <c r="J268" s="26">
        <v>1</v>
      </c>
      <c r="K268" s="10">
        <f t="shared" si="24"/>
        <v>7.5520000000000004E-2</v>
      </c>
      <c r="L268" s="4"/>
      <c r="M268" s="17"/>
      <c r="N268" s="18">
        <f t="shared" si="25"/>
        <v>0</v>
      </c>
      <c r="O268" s="19">
        <f t="shared" si="26"/>
        <v>1</v>
      </c>
      <c r="P268" s="13">
        <f t="shared" si="27"/>
        <v>7.5520000000000004E-2</v>
      </c>
      <c r="Q268" s="9"/>
      <c r="R268" s="2"/>
      <c r="S268" s="2"/>
    </row>
    <row r="269" spans="1:22">
      <c r="A269" s="42" t="s">
        <v>77</v>
      </c>
      <c r="B269" s="3" t="s">
        <v>68</v>
      </c>
      <c r="C269" s="3">
        <v>252</v>
      </c>
      <c r="D269" s="1"/>
      <c r="E269" s="12" t="s">
        <v>20</v>
      </c>
      <c r="F269" s="7" t="s">
        <v>15</v>
      </c>
      <c r="G269" s="7" t="s">
        <v>53</v>
      </c>
      <c r="H269" s="11">
        <v>35.840000000000003</v>
      </c>
      <c r="I269" s="8">
        <v>6</v>
      </c>
      <c r="J269" s="26">
        <v>1</v>
      </c>
      <c r="K269" s="10">
        <f t="shared" si="24"/>
        <v>0.21504000000000001</v>
      </c>
      <c r="L269" s="4"/>
      <c r="M269" s="17">
        <v>1</v>
      </c>
      <c r="N269" s="18">
        <f t="shared" si="25"/>
        <v>0.21504000000000001</v>
      </c>
      <c r="O269" s="19">
        <f t="shared" si="26"/>
        <v>0</v>
      </c>
      <c r="P269" s="13">
        <f t="shared" si="27"/>
        <v>0</v>
      </c>
      <c r="Q269" s="9">
        <v>6</v>
      </c>
      <c r="R269" s="35">
        <v>1</v>
      </c>
      <c r="S269" s="2" t="s">
        <v>675</v>
      </c>
    </row>
    <row r="270" spans="1:22">
      <c r="A270" s="42" t="s">
        <v>77</v>
      </c>
      <c r="B270" s="3" t="s">
        <v>68</v>
      </c>
      <c r="C270" s="3">
        <v>253</v>
      </c>
      <c r="D270" s="1"/>
      <c r="E270" s="12" t="s">
        <v>20</v>
      </c>
      <c r="F270" s="7" t="s">
        <v>15</v>
      </c>
      <c r="G270" s="7" t="s">
        <v>52</v>
      </c>
      <c r="H270" s="11">
        <v>17.829999999999998</v>
      </c>
      <c r="I270" s="8">
        <v>11.9</v>
      </c>
      <c r="J270" s="26">
        <v>1</v>
      </c>
      <c r="K270" s="10">
        <f t="shared" si="24"/>
        <v>0.212177</v>
      </c>
      <c r="L270" s="4"/>
      <c r="M270" s="17"/>
      <c r="N270" s="18">
        <f t="shared" si="25"/>
        <v>0</v>
      </c>
      <c r="O270" s="19">
        <f t="shared" si="26"/>
        <v>1</v>
      </c>
      <c r="P270" s="13">
        <f t="shared" si="27"/>
        <v>0.212177</v>
      </c>
      <c r="Q270" s="9"/>
      <c r="R270" s="2"/>
      <c r="S270" s="2"/>
    </row>
    <row r="271" spans="1:22">
      <c r="A271" s="42" t="s">
        <v>77</v>
      </c>
      <c r="B271" s="3" t="s">
        <v>68</v>
      </c>
      <c r="C271" s="3">
        <v>254</v>
      </c>
      <c r="D271" s="1"/>
      <c r="E271" s="12" t="s">
        <v>20</v>
      </c>
      <c r="F271" s="7" t="s">
        <v>15</v>
      </c>
      <c r="G271" s="7" t="s">
        <v>42</v>
      </c>
      <c r="H271" s="11">
        <v>19.72</v>
      </c>
      <c r="I271" s="8">
        <v>6.6</v>
      </c>
      <c r="J271" s="26">
        <v>1</v>
      </c>
      <c r="K271" s="10">
        <f t="shared" si="24"/>
        <v>0.13015199999999999</v>
      </c>
      <c r="L271" s="23"/>
      <c r="M271" s="17"/>
      <c r="N271" s="18">
        <f t="shared" si="25"/>
        <v>0</v>
      </c>
      <c r="O271" s="19">
        <f t="shared" si="26"/>
        <v>1</v>
      </c>
      <c r="P271" s="13">
        <f t="shared" si="27"/>
        <v>0.13015199999999999</v>
      </c>
      <c r="Q271" s="9"/>
      <c r="R271" s="2"/>
      <c r="S271" s="2"/>
    </row>
    <row r="272" spans="1:22">
      <c r="A272" s="42" t="s">
        <v>77</v>
      </c>
      <c r="B272" s="3" t="s">
        <v>68</v>
      </c>
      <c r="C272" s="3">
        <v>255</v>
      </c>
      <c r="D272" s="1"/>
      <c r="E272" s="12" t="s">
        <v>20</v>
      </c>
      <c r="F272" s="7" t="s">
        <v>15</v>
      </c>
      <c r="G272" s="7" t="s">
        <v>54</v>
      </c>
      <c r="H272" s="11">
        <v>31.6</v>
      </c>
      <c r="I272" s="8">
        <v>4</v>
      </c>
      <c r="J272" s="26">
        <v>1</v>
      </c>
      <c r="K272" s="10">
        <f t="shared" si="24"/>
        <v>0.12640000000000001</v>
      </c>
      <c r="L272" s="4"/>
      <c r="M272" s="17"/>
      <c r="N272" s="18">
        <f t="shared" si="25"/>
        <v>0</v>
      </c>
      <c r="O272" s="19">
        <f t="shared" si="26"/>
        <v>1</v>
      </c>
      <c r="P272" s="13">
        <f t="shared" si="27"/>
        <v>0.12640000000000001</v>
      </c>
      <c r="Q272" s="9"/>
      <c r="R272" s="2"/>
      <c r="S272" s="2"/>
    </row>
    <row r="273" spans="1:21">
      <c r="A273" s="42"/>
      <c r="B273" s="3"/>
      <c r="C273" s="3"/>
      <c r="D273" s="1"/>
      <c r="E273" s="12" t="s">
        <v>20</v>
      </c>
      <c r="F273" s="7" t="s">
        <v>15</v>
      </c>
      <c r="G273" s="7" t="s">
        <v>32</v>
      </c>
      <c r="H273" s="11">
        <v>8.3000000000000007</v>
      </c>
      <c r="I273" s="8">
        <v>12</v>
      </c>
      <c r="J273" s="26">
        <v>1</v>
      </c>
      <c r="K273" s="10">
        <f t="shared" si="24"/>
        <v>9.9600000000000008E-2</v>
      </c>
      <c r="L273" s="4"/>
      <c r="M273" s="17">
        <v>1</v>
      </c>
      <c r="N273" s="18">
        <f t="shared" si="25"/>
        <v>9.9600000000000008E-2</v>
      </c>
      <c r="O273" s="19">
        <f t="shared" si="26"/>
        <v>0</v>
      </c>
      <c r="P273" s="13">
        <f t="shared" si="27"/>
        <v>0</v>
      </c>
      <c r="Q273" s="9"/>
      <c r="R273" s="2"/>
      <c r="S273" s="2">
        <v>12</v>
      </c>
      <c r="T273">
        <v>1</v>
      </c>
      <c r="U273" t="s">
        <v>272</v>
      </c>
    </row>
    <row r="274" spans="1:21">
      <c r="A274" s="42" t="s">
        <v>77</v>
      </c>
      <c r="B274" s="3" t="s">
        <v>68</v>
      </c>
      <c r="C274" s="3">
        <v>256</v>
      </c>
      <c r="D274" s="1"/>
      <c r="E274" s="20" t="s">
        <v>24</v>
      </c>
      <c r="F274" s="7" t="s">
        <v>14</v>
      </c>
      <c r="G274" s="7" t="s">
        <v>25</v>
      </c>
      <c r="H274" s="11">
        <v>7.34</v>
      </c>
      <c r="I274" s="8">
        <v>8</v>
      </c>
      <c r="J274" s="26">
        <v>7</v>
      </c>
      <c r="K274" s="10">
        <f t="shared" si="24"/>
        <v>0.41103999999999996</v>
      </c>
      <c r="L274" s="4"/>
      <c r="M274" s="17">
        <f>5+2</f>
        <v>7</v>
      </c>
      <c r="N274" s="18">
        <f t="shared" si="25"/>
        <v>0.41103999999999996</v>
      </c>
      <c r="O274" s="19">
        <f t="shared" si="26"/>
        <v>0</v>
      </c>
      <c r="P274" s="13">
        <f t="shared" si="27"/>
        <v>0</v>
      </c>
      <c r="Q274" s="9">
        <v>7.55</v>
      </c>
      <c r="R274" s="2">
        <v>2</v>
      </c>
      <c r="S274" s="2" t="s">
        <v>335</v>
      </c>
    </row>
    <row r="275" spans="1:21">
      <c r="A275" s="42" t="s">
        <v>77</v>
      </c>
      <c r="B275" s="3" t="s">
        <v>68</v>
      </c>
      <c r="C275" s="3">
        <v>258</v>
      </c>
      <c r="D275" s="1"/>
      <c r="E275" s="20" t="s">
        <v>17</v>
      </c>
      <c r="F275" s="7" t="s">
        <v>15</v>
      </c>
      <c r="G275" s="7" t="s">
        <v>16</v>
      </c>
      <c r="H275" s="11">
        <v>5.77</v>
      </c>
      <c r="I275" s="8">
        <v>8.4</v>
      </c>
      <c r="J275" s="26">
        <v>1</v>
      </c>
      <c r="K275" s="10">
        <f t="shared" si="24"/>
        <v>4.8467999999999997E-2</v>
      </c>
      <c r="L275" s="4"/>
      <c r="M275" s="17">
        <v>1</v>
      </c>
      <c r="N275" s="18">
        <f t="shared" si="25"/>
        <v>4.8467999999999997E-2</v>
      </c>
      <c r="O275" s="19">
        <f t="shared" si="26"/>
        <v>0</v>
      </c>
      <c r="P275" s="13">
        <f t="shared" si="27"/>
        <v>0</v>
      </c>
      <c r="Q275" s="9"/>
      <c r="R275" s="35">
        <v>1</v>
      </c>
      <c r="S275" s="2" t="s">
        <v>715</v>
      </c>
    </row>
    <row r="276" spans="1:21">
      <c r="A276" s="42" t="s">
        <v>77</v>
      </c>
      <c r="B276" s="3" t="s">
        <v>68</v>
      </c>
      <c r="C276" s="3">
        <v>258</v>
      </c>
      <c r="D276" s="1"/>
      <c r="E276" s="20" t="s">
        <v>17</v>
      </c>
      <c r="F276" s="7" t="s">
        <v>15</v>
      </c>
      <c r="G276" s="7" t="s">
        <v>16</v>
      </c>
      <c r="H276" s="11">
        <v>5.77</v>
      </c>
      <c r="I276" s="8">
        <v>9.6</v>
      </c>
      <c r="J276" s="26">
        <v>1</v>
      </c>
      <c r="K276" s="10">
        <f t="shared" si="24"/>
        <v>5.5391999999999997E-2</v>
      </c>
      <c r="L276" s="4"/>
      <c r="M276" s="17">
        <v>1</v>
      </c>
      <c r="N276" s="18">
        <f t="shared" si="25"/>
        <v>5.5391999999999997E-2</v>
      </c>
      <c r="O276" s="19">
        <f t="shared" si="26"/>
        <v>0</v>
      </c>
      <c r="P276" s="13">
        <f t="shared" si="27"/>
        <v>0</v>
      </c>
      <c r="Q276" s="9"/>
      <c r="R276" s="35">
        <v>1</v>
      </c>
      <c r="S276" s="2" t="s">
        <v>715</v>
      </c>
    </row>
    <row r="277" spans="1:21">
      <c r="A277" s="42" t="s">
        <v>77</v>
      </c>
      <c r="B277" s="3" t="s">
        <v>68</v>
      </c>
      <c r="C277" s="3">
        <v>258</v>
      </c>
      <c r="D277" s="1"/>
      <c r="E277" s="20" t="s">
        <v>17</v>
      </c>
      <c r="F277" s="7" t="s">
        <v>15</v>
      </c>
      <c r="G277" s="7" t="s">
        <v>16</v>
      </c>
      <c r="H277" s="11">
        <v>5.77</v>
      </c>
      <c r="I277" s="8">
        <v>12</v>
      </c>
      <c r="J277" s="26">
        <v>5</v>
      </c>
      <c r="K277" s="10">
        <f t="shared" si="24"/>
        <v>0.34620000000000001</v>
      </c>
      <c r="L277" s="4"/>
      <c r="M277" s="17">
        <v>5</v>
      </c>
      <c r="N277" s="18">
        <f t="shared" si="25"/>
        <v>0.34620000000000001</v>
      </c>
      <c r="O277" s="19">
        <f t="shared" si="26"/>
        <v>0</v>
      </c>
      <c r="P277" s="13">
        <f t="shared" si="27"/>
        <v>0</v>
      </c>
      <c r="Q277" s="9">
        <v>11</v>
      </c>
      <c r="R277" s="2">
        <v>5</v>
      </c>
      <c r="S277" s="2" t="s">
        <v>208</v>
      </c>
    </row>
    <row r="278" spans="1:21">
      <c r="A278" s="42" t="s">
        <v>77</v>
      </c>
      <c r="B278" s="3" t="s">
        <v>68</v>
      </c>
      <c r="C278" s="3">
        <v>272</v>
      </c>
      <c r="D278" s="1"/>
      <c r="E278" s="20" t="s">
        <v>17</v>
      </c>
      <c r="F278" s="7" t="s">
        <v>15</v>
      </c>
      <c r="G278" s="7" t="s">
        <v>28</v>
      </c>
      <c r="H278" s="11">
        <v>12.18</v>
      </c>
      <c r="I278" s="57">
        <v>8.35</v>
      </c>
      <c r="J278" s="56">
        <v>12</v>
      </c>
      <c r="K278" s="10">
        <f t="shared" si="24"/>
        <v>1.2204359999999999</v>
      </c>
      <c r="L278" s="4"/>
      <c r="M278" s="17">
        <v>12</v>
      </c>
      <c r="N278" s="18">
        <f t="shared" si="25"/>
        <v>1.2204359999999999</v>
      </c>
      <c r="O278" s="19">
        <f t="shared" si="26"/>
        <v>0</v>
      </c>
      <c r="P278" s="13">
        <f t="shared" si="27"/>
        <v>0</v>
      </c>
      <c r="Q278" s="9"/>
      <c r="R278" s="2"/>
      <c r="S278" s="2"/>
    </row>
    <row r="279" spans="1:21">
      <c r="A279" s="42" t="s">
        <v>77</v>
      </c>
      <c r="B279" s="3" t="s">
        <v>68</v>
      </c>
      <c r="C279" s="3">
        <v>272</v>
      </c>
      <c r="D279" s="1"/>
      <c r="E279" s="20" t="s">
        <v>17</v>
      </c>
      <c r="F279" s="7" t="s">
        <v>15</v>
      </c>
      <c r="G279" s="7" t="s">
        <v>28</v>
      </c>
      <c r="H279" s="11">
        <v>12.18</v>
      </c>
      <c r="I279" s="57">
        <v>10.1</v>
      </c>
      <c r="J279" s="56">
        <v>6</v>
      </c>
      <c r="K279" s="10">
        <f t="shared" si="24"/>
        <v>0.73810799999999999</v>
      </c>
      <c r="L279" s="4"/>
      <c r="M279" s="17">
        <v>6</v>
      </c>
      <c r="N279" s="18">
        <f t="shared" si="25"/>
        <v>0.73810799999999999</v>
      </c>
      <c r="O279" s="19">
        <f t="shared" si="26"/>
        <v>0</v>
      </c>
      <c r="P279" s="13">
        <f t="shared" si="27"/>
        <v>0</v>
      </c>
      <c r="Q279" s="9"/>
      <c r="R279" s="2"/>
      <c r="S279" s="2"/>
    </row>
    <row r="280" spans="1:21">
      <c r="A280" s="42" t="s">
        <v>77</v>
      </c>
      <c r="B280" s="3" t="s">
        <v>68</v>
      </c>
      <c r="C280" s="3">
        <v>1</v>
      </c>
      <c r="D280" s="1"/>
      <c r="E280" s="20" t="s">
        <v>17</v>
      </c>
      <c r="F280" s="7" t="s">
        <v>15</v>
      </c>
      <c r="G280" s="7" t="s">
        <v>21</v>
      </c>
      <c r="H280" s="11">
        <v>6.97</v>
      </c>
      <c r="I280" s="57">
        <v>10</v>
      </c>
      <c r="J280" s="56">
        <v>14</v>
      </c>
      <c r="K280" s="10">
        <f t="shared" si="24"/>
        <v>0.97580000000000011</v>
      </c>
      <c r="L280" s="4"/>
      <c r="M280" s="17">
        <f>10+4</f>
        <v>14</v>
      </c>
      <c r="N280" s="18">
        <f t="shared" si="25"/>
        <v>0.9758</v>
      </c>
      <c r="O280" s="19">
        <f t="shared" si="26"/>
        <v>0</v>
      </c>
      <c r="P280" s="13">
        <f t="shared" si="27"/>
        <v>0</v>
      </c>
      <c r="Q280" s="9"/>
      <c r="R280" s="2"/>
      <c r="S280" s="18">
        <v>9.5</v>
      </c>
      <c r="T280">
        <v>4</v>
      </c>
      <c r="U280" t="s">
        <v>268</v>
      </c>
    </row>
    <row r="281" spans="1:21">
      <c r="A281" s="42" t="s">
        <v>77</v>
      </c>
      <c r="B281" s="3" t="s">
        <v>68</v>
      </c>
      <c r="C281" s="3">
        <v>2</v>
      </c>
      <c r="D281" s="1"/>
      <c r="E281" s="20" t="s">
        <v>17</v>
      </c>
      <c r="F281" s="7" t="s">
        <v>15</v>
      </c>
      <c r="G281" s="7" t="s">
        <v>21</v>
      </c>
      <c r="H281" s="11">
        <v>6.97</v>
      </c>
      <c r="I281" s="57">
        <v>9.8000000000000007</v>
      </c>
      <c r="J281" s="56">
        <v>3</v>
      </c>
      <c r="K281" s="10">
        <f t="shared" si="24"/>
        <v>0.20491800000000002</v>
      </c>
      <c r="L281" s="4"/>
      <c r="M281" s="17">
        <v>3</v>
      </c>
      <c r="N281" s="18">
        <f t="shared" si="25"/>
        <v>0.20491800000000002</v>
      </c>
      <c r="O281" s="19">
        <f t="shared" si="26"/>
        <v>0</v>
      </c>
      <c r="P281" s="13">
        <f t="shared" si="27"/>
        <v>0</v>
      </c>
      <c r="Q281" s="9"/>
      <c r="R281" s="2"/>
      <c r="S281" s="18">
        <v>9.5</v>
      </c>
      <c r="T281">
        <v>3</v>
      </c>
      <c r="U281" t="s">
        <v>268</v>
      </c>
    </row>
    <row r="282" spans="1:21">
      <c r="A282" s="42" t="s">
        <v>77</v>
      </c>
      <c r="B282" s="3" t="s">
        <v>68</v>
      </c>
      <c r="C282" s="3">
        <v>3</v>
      </c>
      <c r="D282" s="1"/>
      <c r="E282" s="20" t="s">
        <v>17</v>
      </c>
      <c r="F282" s="7" t="s">
        <v>15</v>
      </c>
      <c r="G282" s="7" t="s">
        <v>21</v>
      </c>
      <c r="H282" s="11">
        <v>6.97</v>
      </c>
      <c r="I282" s="57">
        <v>8.6999999999999993</v>
      </c>
      <c r="J282" s="56">
        <v>1</v>
      </c>
      <c r="K282" s="10">
        <f t="shared" si="24"/>
        <v>6.0638999999999998E-2</v>
      </c>
      <c r="L282" s="4"/>
      <c r="M282" s="17">
        <v>1</v>
      </c>
      <c r="N282" s="18">
        <f t="shared" si="25"/>
        <v>6.0638999999999998E-2</v>
      </c>
      <c r="O282" s="19">
        <f t="shared" si="26"/>
        <v>0</v>
      </c>
      <c r="P282" s="13">
        <f t="shared" si="27"/>
        <v>0</v>
      </c>
      <c r="Q282" s="9"/>
      <c r="R282" s="2"/>
      <c r="S282" s="18">
        <v>8</v>
      </c>
      <c r="T282">
        <v>1</v>
      </c>
      <c r="U282" t="s">
        <v>268</v>
      </c>
    </row>
    <row r="283" spans="1:21">
      <c r="A283" s="42" t="s">
        <v>77</v>
      </c>
      <c r="B283" s="3" t="s">
        <v>68</v>
      </c>
      <c r="C283" s="3">
        <v>3</v>
      </c>
      <c r="D283" s="1"/>
      <c r="E283" s="20" t="s">
        <v>17</v>
      </c>
      <c r="F283" s="7" t="s">
        <v>15</v>
      </c>
      <c r="G283" s="7" t="s">
        <v>21</v>
      </c>
      <c r="H283" s="11">
        <v>6.97</v>
      </c>
      <c r="I283" s="57">
        <v>10.5</v>
      </c>
      <c r="J283" s="56">
        <v>1</v>
      </c>
      <c r="K283" s="10">
        <f t="shared" si="24"/>
        <v>7.3185E-2</v>
      </c>
      <c r="L283" s="4"/>
      <c r="M283" s="17">
        <v>1</v>
      </c>
      <c r="N283" s="18">
        <f t="shared" si="25"/>
        <v>7.3185E-2</v>
      </c>
      <c r="O283" s="19">
        <f t="shared" si="26"/>
        <v>0</v>
      </c>
      <c r="P283" s="13">
        <f t="shared" si="27"/>
        <v>0</v>
      </c>
      <c r="Q283" s="9"/>
      <c r="R283" s="2"/>
      <c r="S283" s="18">
        <v>10.5</v>
      </c>
      <c r="T283">
        <v>1</v>
      </c>
      <c r="U283" t="s">
        <v>268</v>
      </c>
    </row>
    <row r="284" spans="1:21">
      <c r="A284" s="42" t="s">
        <v>77</v>
      </c>
      <c r="B284" s="3" t="s">
        <v>68</v>
      </c>
      <c r="C284" s="3">
        <v>3</v>
      </c>
      <c r="D284" s="1"/>
      <c r="E284" s="20" t="s">
        <v>17</v>
      </c>
      <c r="F284" s="7" t="s">
        <v>15</v>
      </c>
      <c r="G284" s="7" t="s">
        <v>21</v>
      </c>
      <c r="H284" s="11">
        <v>6.97</v>
      </c>
      <c r="I284" s="57">
        <v>5.41</v>
      </c>
      <c r="J284" s="56">
        <v>8</v>
      </c>
      <c r="K284" s="10">
        <f t="shared" si="24"/>
        <v>0.30166160000000003</v>
      </c>
      <c r="L284" s="4"/>
      <c r="M284" s="17">
        <v>8</v>
      </c>
      <c r="N284" s="18">
        <f t="shared" si="25"/>
        <v>0.30166160000000003</v>
      </c>
      <c r="O284" s="19">
        <f t="shared" si="26"/>
        <v>0</v>
      </c>
      <c r="P284" s="13">
        <f t="shared" si="27"/>
        <v>0</v>
      </c>
      <c r="Q284" s="9"/>
      <c r="R284" s="2"/>
      <c r="S284" s="2"/>
    </row>
    <row r="285" spans="1:21">
      <c r="A285" s="42" t="s">
        <v>77</v>
      </c>
      <c r="B285" s="3" t="s">
        <v>68</v>
      </c>
      <c r="C285" s="3">
        <v>3</v>
      </c>
      <c r="D285" s="1"/>
      <c r="E285" s="20" t="s">
        <v>17</v>
      </c>
      <c r="F285" s="7" t="s">
        <v>15</v>
      </c>
      <c r="G285" s="7" t="s">
        <v>21</v>
      </c>
      <c r="H285" s="11">
        <v>6.97</v>
      </c>
      <c r="I285" s="57">
        <v>5.73</v>
      </c>
      <c r="J285" s="56">
        <v>8</v>
      </c>
      <c r="K285" s="10">
        <f t="shared" si="24"/>
        <v>0.31950479999999998</v>
      </c>
      <c r="L285" s="4"/>
      <c r="M285" s="17">
        <v>8</v>
      </c>
      <c r="N285" s="18">
        <f t="shared" si="25"/>
        <v>0.31950479999999998</v>
      </c>
      <c r="O285" s="19">
        <f t="shared" si="26"/>
        <v>0</v>
      </c>
      <c r="P285" s="13">
        <f t="shared" si="27"/>
        <v>0</v>
      </c>
      <c r="Q285" s="9"/>
      <c r="R285" s="2"/>
      <c r="S285" s="2"/>
    </row>
    <row r="286" spans="1:21">
      <c r="A286" s="42" t="s">
        <v>77</v>
      </c>
      <c r="B286" s="3" t="s">
        <v>68</v>
      </c>
      <c r="C286" s="3">
        <v>3</v>
      </c>
      <c r="D286" s="1"/>
      <c r="E286" s="20" t="s">
        <v>17</v>
      </c>
      <c r="F286" s="7" t="s">
        <v>15</v>
      </c>
      <c r="G286" s="7" t="s">
        <v>21</v>
      </c>
      <c r="H286" s="11">
        <v>6.97</v>
      </c>
      <c r="I286" s="57">
        <v>9</v>
      </c>
      <c r="J286" s="56">
        <v>2</v>
      </c>
      <c r="K286" s="10">
        <f t="shared" si="24"/>
        <v>0.12545999999999999</v>
      </c>
      <c r="L286" s="4"/>
      <c r="M286" s="17">
        <v>2</v>
      </c>
      <c r="N286" s="18">
        <f t="shared" si="25"/>
        <v>0.12545999999999999</v>
      </c>
      <c r="O286" s="19">
        <f t="shared" si="26"/>
        <v>0</v>
      </c>
      <c r="P286" s="13">
        <f t="shared" si="27"/>
        <v>0</v>
      </c>
      <c r="Q286" s="9">
        <v>8.25</v>
      </c>
      <c r="R286" s="2">
        <v>2</v>
      </c>
      <c r="S286" s="2"/>
    </row>
    <row r="287" spans="1:21">
      <c r="A287" s="42" t="s">
        <v>77</v>
      </c>
      <c r="B287" s="3" t="s">
        <v>68</v>
      </c>
      <c r="C287" s="3">
        <v>3</v>
      </c>
      <c r="D287" s="1"/>
      <c r="E287" s="20" t="s">
        <v>17</v>
      </c>
      <c r="F287" s="7" t="s">
        <v>15</v>
      </c>
      <c r="G287" s="7" t="s">
        <v>21</v>
      </c>
      <c r="H287" s="11">
        <v>6.97</v>
      </c>
      <c r="I287" s="57">
        <v>9.3000000000000007</v>
      </c>
      <c r="J287" s="56">
        <v>4</v>
      </c>
      <c r="K287" s="10">
        <f t="shared" si="24"/>
        <v>0.25928400000000001</v>
      </c>
      <c r="L287" s="4"/>
      <c r="M287" s="17">
        <v>4</v>
      </c>
      <c r="N287" s="18">
        <f t="shared" si="25"/>
        <v>0.25928400000000001</v>
      </c>
      <c r="O287" s="19">
        <f t="shared" si="26"/>
        <v>0</v>
      </c>
      <c r="P287" s="13">
        <f t="shared" si="27"/>
        <v>0</v>
      </c>
      <c r="Q287" s="9">
        <v>8.1</v>
      </c>
      <c r="R287" s="2">
        <v>4</v>
      </c>
      <c r="S287" s="2"/>
    </row>
    <row r="288" spans="1:21">
      <c r="A288" s="42" t="s">
        <v>77</v>
      </c>
      <c r="B288" s="3" t="s">
        <v>68</v>
      </c>
      <c r="C288" s="3">
        <v>3</v>
      </c>
      <c r="D288" s="1"/>
      <c r="E288" s="20" t="s">
        <v>17</v>
      </c>
      <c r="F288" s="7" t="s">
        <v>15</v>
      </c>
      <c r="G288" s="7" t="s">
        <v>21</v>
      </c>
      <c r="H288" s="11">
        <v>6.97</v>
      </c>
      <c r="I288" s="57">
        <v>9.5</v>
      </c>
      <c r="J288" s="56">
        <v>5</v>
      </c>
      <c r="K288" s="10">
        <f t="shared" si="24"/>
        <v>0.33107500000000006</v>
      </c>
      <c r="L288" s="4"/>
      <c r="M288" s="17">
        <f>2+3</f>
        <v>5</v>
      </c>
      <c r="N288" s="18">
        <f t="shared" si="25"/>
        <v>0.33107500000000001</v>
      </c>
      <c r="O288" s="19">
        <f t="shared" si="26"/>
        <v>0</v>
      </c>
      <c r="P288" s="13">
        <f t="shared" si="27"/>
        <v>0</v>
      </c>
      <c r="Q288" s="9">
        <v>9.15</v>
      </c>
      <c r="R288" s="2">
        <v>2</v>
      </c>
      <c r="S288" s="13">
        <v>9.5</v>
      </c>
      <c r="T288">
        <v>3</v>
      </c>
      <c r="U288" t="s">
        <v>268</v>
      </c>
    </row>
    <row r="289" spans="1:21">
      <c r="A289" s="42" t="s">
        <v>77</v>
      </c>
      <c r="B289" s="3" t="s">
        <v>68</v>
      </c>
      <c r="C289" s="3">
        <v>3</v>
      </c>
      <c r="D289" s="1"/>
      <c r="E289" s="20" t="s">
        <v>17</v>
      </c>
      <c r="F289" s="7" t="s">
        <v>15</v>
      </c>
      <c r="G289" s="7" t="s">
        <v>21</v>
      </c>
      <c r="H289" s="11">
        <v>6.97</v>
      </c>
      <c r="I289" s="57">
        <v>9.6999999999999993</v>
      </c>
      <c r="J289" s="56">
        <v>10</v>
      </c>
      <c r="K289" s="10">
        <f t="shared" ref="K289:K293" si="28">(H289*I289*J289/1000)</f>
        <v>0.67608999999999997</v>
      </c>
      <c r="L289" s="4"/>
      <c r="M289" s="17">
        <v>10</v>
      </c>
      <c r="N289" s="18">
        <f t="shared" ref="N289:N293" si="29">I289*M289*H289/1000</f>
        <v>0.67609000000000008</v>
      </c>
      <c r="O289" s="19">
        <f t="shared" ref="O289:O293" si="30">J289-M289</f>
        <v>0</v>
      </c>
      <c r="P289" s="13">
        <f t="shared" ref="P289:P293" si="31">I289*O289*H289/1000</f>
        <v>0</v>
      </c>
      <c r="Q289" s="9"/>
      <c r="R289" s="2"/>
      <c r="S289" s="13">
        <v>9.5</v>
      </c>
      <c r="T289">
        <v>10</v>
      </c>
      <c r="U289" t="s">
        <v>268</v>
      </c>
    </row>
    <row r="290" spans="1:21">
      <c r="A290" s="42" t="s">
        <v>77</v>
      </c>
      <c r="B290" s="3" t="s">
        <v>68</v>
      </c>
      <c r="C290" s="3">
        <v>3</v>
      </c>
      <c r="D290" s="1"/>
      <c r="E290" s="20" t="s">
        <v>17</v>
      </c>
      <c r="F290" s="7" t="s">
        <v>15</v>
      </c>
      <c r="G290" s="7" t="s">
        <v>21</v>
      </c>
      <c r="H290" s="11">
        <v>6.97</v>
      </c>
      <c r="I290" s="57">
        <v>2.7</v>
      </c>
      <c r="J290" s="56">
        <v>1</v>
      </c>
      <c r="K290" s="10">
        <f t="shared" si="28"/>
        <v>1.8818999999999999E-2</v>
      </c>
      <c r="L290" s="4"/>
      <c r="M290" s="17">
        <v>1</v>
      </c>
      <c r="N290" s="18">
        <f t="shared" si="29"/>
        <v>1.8818999999999999E-2</v>
      </c>
      <c r="O290" s="19">
        <f t="shared" si="30"/>
        <v>0</v>
      </c>
      <c r="P290" s="13">
        <f t="shared" si="31"/>
        <v>0</v>
      </c>
      <c r="Q290" s="9" t="s">
        <v>226</v>
      </c>
      <c r="R290" s="2"/>
      <c r="S290" s="13"/>
    </row>
    <row r="291" spans="1:21">
      <c r="A291" s="42" t="s">
        <v>77</v>
      </c>
      <c r="B291" s="3" t="s">
        <v>68</v>
      </c>
      <c r="C291" s="3">
        <v>3</v>
      </c>
      <c r="D291" s="1"/>
      <c r="E291" s="20" t="s">
        <v>17</v>
      </c>
      <c r="F291" s="7" t="s">
        <v>15</v>
      </c>
      <c r="G291" s="7" t="s">
        <v>21</v>
      </c>
      <c r="H291" s="11">
        <v>6.97</v>
      </c>
      <c r="I291" s="57">
        <v>3.1</v>
      </c>
      <c r="J291" s="56">
        <v>2</v>
      </c>
      <c r="K291" s="10">
        <f t="shared" si="28"/>
        <v>4.3213999999999995E-2</v>
      </c>
      <c r="L291" s="4"/>
      <c r="M291" s="17">
        <v>2</v>
      </c>
      <c r="N291" s="18">
        <f t="shared" si="29"/>
        <v>4.3213999999999995E-2</v>
      </c>
      <c r="O291" s="19">
        <f t="shared" si="30"/>
        <v>0</v>
      </c>
      <c r="P291" s="13">
        <f t="shared" si="31"/>
        <v>0</v>
      </c>
      <c r="Q291" s="9" t="s">
        <v>226</v>
      </c>
      <c r="R291" s="2"/>
      <c r="S291" s="13"/>
    </row>
    <row r="292" spans="1:21">
      <c r="A292" s="42" t="s">
        <v>77</v>
      </c>
      <c r="B292" s="3" t="s">
        <v>68</v>
      </c>
      <c r="C292" s="3">
        <v>3</v>
      </c>
      <c r="D292" s="1"/>
      <c r="E292" s="20" t="s">
        <v>17</v>
      </c>
      <c r="F292" s="7" t="s">
        <v>15</v>
      </c>
      <c r="G292" s="7" t="s">
        <v>21</v>
      </c>
      <c r="H292" s="11">
        <v>6.97</v>
      </c>
      <c r="I292" s="57">
        <v>3.5</v>
      </c>
      <c r="J292" s="56">
        <v>5</v>
      </c>
      <c r="K292" s="10">
        <f t="shared" si="28"/>
        <v>0.121975</v>
      </c>
      <c r="L292" s="4"/>
      <c r="M292" s="17">
        <v>5</v>
      </c>
      <c r="N292" s="18">
        <f t="shared" si="29"/>
        <v>0.121975</v>
      </c>
      <c r="O292" s="19">
        <f t="shared" si="30"/>
        <v>0</v>
      </c>
      <c r="P292" s="13">
        <f t="shared" si="31"/>
        <v>0</v>
      </c>
      <c r="Q292" s="9" t="s">
        <v>226</v>
      </c>
      <c r="R292" s="2"/>
      <c r="S292" s="13"/>
    </row>
    <row r="293" spans="1:21">
      <c r="A293" s="42" t="s">
        <v>77</v>
      </c>
      <c r="B293" s="3" t="s">
        <v>68</v>
      </c>
      <c r="C293" s="3">
        <v>3</v>
      </c>
      <c r="D293" s="1"/>
      <c r="E293" s="20" t="s">
        <v>17</v>
      </c>
      <c r="F293" s="7" t="s">
        <v>15</v>
      </c>
      <c r="G293" s="7" t="s">
        <v>21</v>
      </c>
      <c r="H293" s="11">
        <v>6.97</v>
      </c>
      <c r="I293" s="57">
        <v>3.8</v>
      </c>
      <c r="J293" s="56">
        <v>7</v>
      </c>
      <c r="K293" s="10">
        <f t="shared" si="28"/>
        <v>0.18540199999999998</v>
      </c>
      <c r="L293" s="4"/>
      <c r="M293" s="17">
        <v>7</v>
      </c>
      <c r="N293" s="18">
        <f t="shared" si="29"/>
        <v>0.18540199999999998</v>
      </c>
      <c r="O293" s="19">
        <f t="shared" si="30"/>
        <v>0</v>
      </c>
      <c r="P293" s="13">
        <f t="shared" si="31"/>
        <v>0</v>
      </c>
      <c r="Q293" s="9" t="s">
        <v>226</v>
      </c>
      <c r="R293" s="2"/>
      <c r="S293" s="13"/>
    </row>
    <row r="294" spans="1:21">
      <c r="A294" s="42" t="s">
        <v>77</v>
      </c>
      <c r="B294" s="3" t="s">
        <v>68</v>
      </c>
      <c r="C294" s="3">
        <v>3</v>
      </c>
      <c r="D294" s="1"/>
      <c r="E294" s="20" t="s">
        <v>17</v>
      </c>
      <c r="F294" s="7" t="s">
        <v>15</v>
      </c>
      <c r="G294" s="7" t="s">
        <v>21</v>
      </c>
      <c r="H294" s="11">
        <v>6.97</v>
      </c>
      <c r="I294" s="57">
        <v>4.0999999999999996</v>
      </c>
      <c r="J294" s="56">
        <v>1</v>
      </c>
      <c r="K294" s="10">
        <f t="shared" si="24"/>
        <v>2.8576999999999998E-2</v>
      </c>
      <c r="L294" s="4"/>
      <c r="M294" s="17">
        <v>1</v>
      </c>
      <c r="N294" s="18">
        <f t="shared" si="25"/>
        <v>2.8576999999999998E-2</v>
      </c>
      <c r="O294" s="19">
        <f t="shared" si="26"/>
        <v>0</v>
      </c>
      <c r="P294" s="13">
        <f t="shared" si="27"/>
        <v>0</v>
      </c>
      <c r="Q294" s="9" t="s">
        <v>226</v>
      </c>
      <c r="R294" s="2"/>
      <c r="S294" s="13"/>
    </row>
    <row r="295" spans="1:21">
      <c r="A295" s="42" t="s">
        <v>77</v>
      </c>
      <c r="B295" s="3" t="s">
        <v>68</v>
      </c>
      <c r="C295" s="3">
        <v>4</v>
      </c>
      <c r="D295" s="1"/>
      <c r="E295" s="20" t="s">
        <v>24</v>
      </c>
      <c r="F295" s="7" t="s">
        <v>14</v>
      </c>
      <c r="G295" s="7" t="s">
        <v>21</v>
      </c>
      <c r="H295" s="11">
        <v>6.97</v>
      </c>
      <c r="I295" s="8">
        <v>10.199999999999999</v>
      </c>
      <c r="J295" s="26">
        <v>4</v>
      </c>
      <c r="K295" s="10">
        <f t="shared" si="24"/>
        <v>0.28437599999999996</v>
      </c>
      <c r="L295" s="4"/>
      <c r="M295" s="17">
        <v>4</v>
      </c>
      <c r="N295" s="18">
        <f t="shared" si="25"/>
        <v>0.28437599999999996</v>
      </c>
      <c r="O295" s="19">
        <f t="shared" si="26"/>
        <v>0</v>
      </c>
      <c r="P295" s="13">
        <f t="shared" si="27"/>
        <v>0</v>
      </c>
      <c r="Q295" s="9">
        <v>10</v>
      </c>
      <c r="R295" s="2">
        <v>4</v>
      </c>
      <c r="S295" s="2"/>
    </row>
    <row r="296" spans="1:21">
      <c r="A296" s="42" t="s">
        <v>77</v>
      </c>
      <c r="B296" s="3" t="s">
        <v>68</v>
      </c>
      <c r="C296" s="3">
        <v>4</v>
      </c>
      <c r="D296" s="1"/>
      <c r="E296" s="20" t="s">
        <v>24</v>
      </c>
      <c r="F296" s="7" t="s">
        <v>14</v>
      </c>
      <c r="G296" s="7" t="s">
        <v>21</v>
      </c>
      <c r="H296" s="11">
        <v>6.97</v>
      </c>
      <c r="I296" s="8">
        <v>10</v>
      </c>
      <c r="J296" s="26">
        <v>1</v>
      </c>
      <c r="K296" s="10">
        <f t="shared" si="24"/>
        <v>6.9699999999999998E-2</v>
      </c>
      <c r="L296" s="4"/>
      <c r="M296" s="17">
        <v>1</v>
      </c>
      <c r="N296" s="18">
        <f t="shared" si="25"/>
        <v>6.9699999999999998E-2</v>
      </c>
      <c r="O296" s="19">
        <f t="shared" si="26"/>
        <v>0</v>
      </c>
      <c r="P296" s="13">
        <f t="shared" si="27"/>
        <v>0</v>
      </c>
      <c r="Q296" s="9">
        <v>10</v>
      </c>
      <c r="R296" s="2">
        <v>1</v>
      </c>
      <c r="S296" s="2"/>
    </row>
    <row r="297" spans="1:21">
      <c r="A297" s="42" t="s">
        <v>77</v>
      </c>
      <c r="B297" s="3" t="s">
        <v>68</v>
      </c>
      <c r="C297" s="3">
        <v>4</v>
      </c>
      <c r="D297" s="1"/>
      <c r="E297" s="20" t="s">
        <v>24</v>
      </c>
      <c r="F297" s="7" t="s">
        <v>14</v>
      </c>
      <c r="G297" s="7" t="s">
        <v>21</v>
      </c>
      <c r="H297" s="11">
        <v>6.97</v>
      </c>
      <c r="I297" s="8">
        <v>9.8000000000000007</v>
      </c>
      <c r="J297" s="26">
        <v>3</v>
      </c>
      <c r="K297" s="10">
        <f t="shared" si="24"/>
        <v>0.20491800000000002</v>
      </c>
      <c r="L297" s="4"/>
      <c r="M297" s="17">
        <v>3</v>
      </c>
      <c r="N297" s="18">
        <f t="shared" si="25"/>
        <v>0.20491800000000002</v>
      </c>
      <c r="O297" s="19">
        <f t="shared" si="26"/>
        <v>0</v>
      </c>
      <c r="P297" s="13">
        <f t="shared" si="27"/>
        <v>0</v>
      </c>
      <c r="Q297" s="9">
        <v>8.8000000000000007</v>
      </c>
      <c r="R297" s="2">
        <v>3</v>
      </c>
      <c r="S297" s="2" t="s">
        <v>614</v>
      </c>
    </row>
    <row r="298" spans="1:21">
      <c r="A298" s="42" t="s">
        <v>77</v>
      </c>
      <c r="B298" s="3" t="s">
        <v>68</v>
      </c>
      <c r="C298" s="3">
        <v>4</v>
      </c>
      <c r="D298" s="1"/>
      <c r="E298" s="20" t="s">
        <v>24</v>
      </c>
      <c r="F298" s="7" t="s">
        <v>14</v>
      </c>
      <c r="G298" s="7" t="s">
        <v>21</v>
      </c>
      <c r="H298" s="11">
        <v>6.97</v>
      </c>
      <c r="I298" s="8">
        <v>9.5</v>
      </c>
      <c r="J298" s="26">
        <v>1</v>
      </c>
      <c r="K298" s="10">
        <f t="shared" si="24"/>
        <v>6.621500000000001E-2</v>
      </c>
      <c r="L298" s="4"/>
      <c r="M298" s="17">
        <v>1</v>
      </c>
      <c r="N298" s="18">
        <f t="shared" si="25"/>
        <v>6.621500000000001E-2</v>
      </c>
      <c r="O298" s="19">
        <f t="shared" si="26"/>
        <v>0</v>
      </c>
      <c r="P298" s="13">
        <f t="shared" si="27"/>
        <v>0</v>
      </c>
      <c r="Q298" s="9">
        <v>8.8000000000000007</v>
      </c>
      <c r="R298" s="2">
        <v>1</v>
      </c>
      <c r="S298" s="2" t="s">
        <v>614</v>
      </c>
    </row>
    <row r="299" spans="1:21">
      <c r="A299" s="42" t="s">
        <v>77</v>
      </c>
      <c r="B299" s="3" t="s">
        <v>68</v>
      </c>
      <c r="C299" s="3">
        <v>4</v>
      </c>
      <c r="D299" s="1"/>
      <c r="E299" s="20" t="s">
        <v>24</v>
      </c>
      <c r="F299" s="7" t="s">
        <v>14</v>
      </c>
      <c r="G299" s="7" t="s">
        <v>21</v>
      </c>
      <c r="H299" s="11">
        <v>6.97</v>
      </c>
      <c r="I299" s="8">
        <v>9.6</v>
      </c>
      <c r="J299" s="26">
        <v>1</v>
      </c>
      <c r="K299" s="10">
        <f t="shared" si="24"/>
        <v>6.6911999999999985E-2</v>
      </c>
      <c r="L299" s="4"/>
      <c r="M299" s="17">
        <v>1</v>
      </c>
      <c r="N299" s="18">
        <f t="shared" si="25"/>
        <v>6.6911999999999985E-2</v>
      </c>
      <c r="O299" s="19">
        <f t="shared" si="26"/>
        <v>0</v>
      </c>
      <c r="P299" s="13">
        <f t="shared" si="27"/>
        <v>0</v>
      </c>
      <c r="Q299" s="9">
        <v>8.8000000000000007</v>
      </c>
      <c r="R299" s="2">
        <v>1</v>
      </c>
      <c r="S299" s="2" t="s">
        <v>614</v>
      </c>
    </row>
    <row r="300" spans="1:21">
      <c r="A300" s="42" t="s">
        <v>77</v>
      </c>
      <c r="B300" s="3" t="s">
        <v>68</v>
      </c>
      <c r="C300" s="3">
        <v>4</v>
      </c>
      <c r="D300" s="1"/>
      <c r="E300" s="20" t="s">
        <v>24</v>
      </c>
      <c r="F300" s="7" t="s">
        <v>14</v>
      </c>
      <c r="G300" s="7" t="s">
        <v>21</v>
      </c>
      <c r="H300" s="11">
        <v>6.97</v>
      </c>
      <c r="I300" s="8">
        <v>9.1999999999999993</v>
      </c>
      <c r="J300" s="26">
        <v>3</v>
      </c>
      <c r="K300" s="10">
        <f t="shared" si="24"/>
        <v>0.19237199999999999</v>
      </c>
      <c r="L300" s="4"/>
      <c r="M300" s="17">
        <v>3</v>
      </c>
      <c r="N300" s="18">
        <f t="shared" si="25"/>
        <v>0.19237199999999999</v>
      </c>
      <c r="O300" s="19">
        <f t="shared" si="26"/>
        <v>0</v>
      </c>
      <c r="P300" s="13">
        <f t="shared" si="27"/>
        <v>0</v>
      </c>
      <c r="Q300" s="9">
        <v>8.8000000000000007</v>
      </c>
      <c r="R300" s="2">
        <v>3</v>
      </c>
      <c r="S300" s="2" t="s">
        <v>614</v>
      </c>
    </row>
    <row r="301" spans="1:21">
      <c r="A301" s="42" t="s">
        <v>77</v>
      </c>
      <c r="B301" s="3" t="s">
        <v>68</v>
      </c>
      <c r="C301" s="3">
        <v>4</v>
      </c>
      <c r="D301" s="1"/>
      <c r="E301" s="20" t="s">
        <v>24</v>
      </c>
      <c r="F301" s="7" t="s">
        <v>14</v>
      </c>
      <c r="G301" s="7" t="s">
        <v>21</v>
      </c>
      <c r="H301" s="11">
        <v>6.97</v>
      </c>
      <c r="I301" s="8">
        <v>7.5</v>
      </c>
      <c r="J301" s="26">
        <v>2</v>
      </c>
      <c r="K301" s="10">
        <f t="shared" ref="K301" si="32">(H301*I301*J301/1000)</f>
        <v>0.10455</v>
      </c>
      <c r="L301" s="4"/>
      <c r="M301" s="17">
        <v>2</v>
      </c>
      <c r="N301" s="18">
        <f t="shared" ref="N301" si="33">I301*M301*H301/1000</f>
        <v>0.10455</v>
      </c>
      <c r="O301" s="19">
        <f t="shared" ref="O301" si="34">J301-M301</f>
        <v>0</v>
      </c>
      <c r="P301" s="13">
        <f t="shared" ref="P301" si="35">I301*O301*H301/1000</f>
        <v>0</v>
      </c>
      <c r="Q301" s="9">
        <v>6.6</v>
      </c>
      <c r="R301" s="2">
        <v>2</v>
      </c>
      <c r="S301" s="2" t="s">
        <v>614</v>
      </c>
    </row>
    <row r="302" spans="1:21">
      <c r="A302" s="42" t="s">
        <v>77</v>
      </c>
      <c r="B302" s="3" t="s">
        <v>68</v>
      </c>
      <c r="C302" s="3">
        <v>4</v>
      </c>
      <c r="D302" s="1"/>
      <c r="E302" s="20" t="s">
        <v>24</v>
      </c>
      <c r="F302" s="7" t="s">
        <v>14</v>
      </c>
      <c r="G302" s="7" t="s">
        <v>21</v>
      </c>
      <c r="H302" s="11">
        <v>6.97</v>
      </c>
      <c r="I302" s="8">
        <v>9</v>
      </c>
      <c r="J302" s="26">
        <v>2</v>
      </c>
      <c r="K302" s="10">
        <f t="shared" si="24"/>
        <v>0.12545999999999999</v>
      </c>
      <c r="L302" s="4"/>
      <c r="M302" s="17">
        <v>2</v>
      </c>
      <c r="N302" s="18">
        <f t="shared" si="25"/>
        <v>0.12545999999999999</v>
      </c>
      <c r="O302" s="19">
        <f t="shared" si="26"/>
        <v>0</v>
      </c>
      <c r="P302" s="13">
        <f t="shared" si="27"/>
        <v>0</v>
      </c>
      <c r="Q302" s="9">
        <v>8.8000000000000007</v>
      </c>
      <c r="R302" s="2">
        <v>2</v>
      </c>
      <c r="S302" s="2" t="s">
        <v>614</v>
      </c>
    </row>
    <row r="303" spans="1:21">
      <c r="A303" s="42" t="s">
        <v>77</v>
      </c>
      <c r="B303" s="3" t="s">
        <v>68</v>
      </c>
      <c r="C303" s="3">
        <v>287</v>
      </c>
      <c r="D303" s="1"/>
      <c r="E303" s="20" t="s">
        <v>24</v>
      </c>
      <c r="F303" s="7" t="s">
        <v>14</v>
      </c>
      <c r="G303" s="7" t="s">
        <v>30</v>
      </c>
      <c r="H303" s="11">
        <v>9.26</v>
      </c>
      <c r="I303" s="8">
        <v>9.5</v>
      </c>
      <c r="J303" s="26">
        <v>1</v>
      </c>
      <c r="K303" s="10">
        <f t="shared" si="24"/>
        <v>8.7969999999999993E-2</v>
      </c>
      <c r="L303" s="4"/>
      <c r="M303" s="17">
        <v>1</v>
      </c>
      <c r="N303" s="18">
        <f t="shared" si="25"/>
        <v>8.7969999999999993E-2</v>
      </c>
      <c r="O303" s="19">
        <f t="shared" si="26"/>
        <v>0</v>
      </c>
      <c r="P303" s="13">
        <f t="shared" si="27"/>
        <v>0</v>
      </c>
      <c r="Q303" s="95">
        <v>9.5</v>
      </c>
      <c r="R303" s="96">
        <v>1</v>
      </c>
      <c r="S303" s="44" t="s">
        <v>208</v>
      </c>
    </row>
    <row r="304" spans="1:21">
      <c r="A304" s="42" t="s">
        <v>77</v>
      </c>
      <c r="B304" s="3" t="s">
        <v>68</v>
      </c>
      <c r="C304" s="3">
        <v>287</v>
      </c>
      <c r="D304" s="1"/>
      <c r="E304" s="20" t="s">
        <v>24</v>
      </c>
      <c r="F304" s="7" t="s">
        <v>14</v>
      </c>
      <c r="G304" s="7" t="s">
        <v>30</v>
      </c>
      <c r="H304" s="11">
        <v>9.26</v>
      </c>
      <c r="I304" s="8">
        <v>11.2</v>
      </c>
      <c r="J304" s="26">
        <v>4</v>
      </c>
      <c r="K304" s="10">
        <f t="shared" si="24"/>
        <v>0.41484799999999994</v>
      </c>
      <c r="L304" s="4"/>
      <c r="M304" s="17">
        <v>4</v>
      </c>
      <c r="N304" s="18">
        <f t="shared" si="25"/>
        <v>0.41484799999999994</v>
      </c>
      <c r="O304" s="106">
        <f t="shared" si="26"/>
        <v>0</v>
      </c>
      <c r="P304" s="13">
        <f t="shared" si="27"/>
        <v>0</v>
      </c>
      <c r="Q304" s="9"/>
      <c r="R304" s="2">
        <v>4</v>
      </c>
      <c r="S304" s="2" t="s">
        <v>222</v>
      </c>
    </row>
    <row r="305" spans="1:22">
      <c r="A305" s="42" t="s">
        <v>77</v>
      </c>
      <c r="B305" s="3" t="s">
        <v>68</v>
      </c>
      <c r="C305" s="3">
        <v>294</v>
      </c>
      <c r="D305" s="1"/>
      <c r="E305" s="20" t="s">
        <v>17</v>
      </c>
      <c r="F305" s="7" t="s">
        <v>15</v>
      </c>
      <c r="G305" s="7" t="s">
        <v>30</v>
      </c>
      <c r="H305" s="11">
        <v>9.26</v>
      </c>
      <c r="I305" s="184">
        <v>6.75</v>
      </c>
      <c r="J305" s="26">
        <v>33</v>
      </c>
      <c r="K305" s="10">
        <f t="shared" si="24"/>
        <v>2.062665</v>
      </c>
      <c r="L305" s="4"/>
      <c r="M305" s="17">
        <f>10+23</f>
        <v>33</v>
      </c>
      <c r="N305" s="18">
        <f t="shared" si="25"/>
        <v>2.062665</v>
      </c>
      <c r="O305" s="87">
        <f t="shared" si="26"/>
        <v>0</v>
      </c>
      <c r="P305" s="13">
        <f t="shared" si="27"/>
        <v>0</v>
      </c>
      <c r="Q305" s="9">
        <v>6.25</v>
      </c>
      <c r="R305" s="2">
        <v>23</v>
      </c>
      <c r="S305" s="2" t="s">
        <v>516</v>
      </c>
      <c r="T305" s="9"/>
      <c r="U305" s="2">
        <v>10</v>
      </c>
      <c r="V305" s="2" t="s">
        <v>484</v>
      </c>
    </row>
    <row r="306" spans="1:22">
      <c r="A306" s="42" t="s">
        <v>77</v>
      </c>
      <c r="B306" s="3" t="s">
        <v>68</v>
      </c>
      <c r="C306" s="3">
        <v>295</v>
      </c>
      <c r="D306" s="1"/>
      <c r="E306" s="20" t="s">
        <v>17</v>
      </c>
      <c r="F306" s="7" t="s">
        <v>15</v>
      </c>
      <c r="G306" s="7" t="s">
        <v>30</v>
      </c>
      <c r="H306" s="11">
        <v>9.26</v>
      </c>
      <c r="I306" s="184">
        <v>6.75</v>
      </c>
      <c r="J306" s="26">
        <v>35</v>
      </c>
      <c r="K306" s="10">
        <f t="shared" si="24"/>
        <v>2.1876749999999996</v>
      </c>
      <c r="L306" s="4"/>
      <c r="M306" s="17">
        <v>35</v>
      </c>
      <c r="N306" s="18">
        <f t="shared" si="25"/>
        <v>2.1876749999999996</v>
      </c>
      <c r="O306" s="19">
        <f t="shared" si="26"/>
        <v>0</v>
      </c>
      <c r="P306" s="13">
        <f t="shared" si="27"/>
        <v>0</v>
      </c>
      <c r="Q306" s="9"/>
      <c r="R306" s="2">
        <v>35</v>
      </c>
      <c r="S306" s="2" t="s">
        <v>266</v>
      </c>
    </row>
    <row r="307" spans="1:22">
      <c r="A307" s="42" t="s">
        <v>77</v>
      </c>
      <c r="B307" s="3" t="s">
        <v>68</v>
      </c>
      <c r="C307" s="3">
        <v>296</v>
      </c>
      <c r="D307" s="1"/>
      <c r="E307" s="20" t="s">
        <v>17</v>
      </c>
      <c r="F307" s="7" t="s">
        <v>15</v>
      </c>
      <c r="G307" s="7" t="s">
        <v>30</v>
      </c>
      <c r="H307" s="11">
        <v>9.26</v>
      </c>
      <c r="I307" s="184">
        <v>6.75</v>
      </c>
      <c r="J307" s="26">
        <v>28</v>
      </c>
      <c r="K307" s="10">
        <f t="shared" si="24"/>
        <v>1.7501399999999998</v>
      </c>
      <c r="L307" s="4"/>
      <c r="M307" s="17">
        <v>28</v>
      </c>
      <c r="N307" s="18">
        <f t="shared" si="25"/>
        <v>1.7501399999999998</v>
      </c>
      <c r="O307" s="19">
        <f t="shared" si="26"/>
        <v>0</v>
      </c>
      <c r="P307" s="13">
        <f t="shared" si="27"/>
        <v>0</v>
      </c>
      <c r="Q307" s="9">
        <v>6.7</v>
      </c>
      <c r="R307" s="35">
        <v>28</v>
      </c>
      <c r="S307" s="2" t="s">
        <v>267</v>
      </c>
    </row>
    <row r="308" spans="1:22">
      <c r="A308" s="42" t="s">
        <v>77</v>
      </c>
      <c r="B308" s="3" t="s">
        <v>68</v>
      </c>
      <c r="C308" s="3">
        <v>297</v>
      </c>
      <c r="D308" s="1"/>
      <c r="E308" s="20" t="s">
        <v>17</v>
      </c>
      <c r="F308" s="7" t="s">
        <v>15</v>
      </c>
      <c r="G308" s="7" t="s">
        <v>30</v>
      </c>
      <c r="H308" s="11">
        <v>9.26</v>
      </c>
      <c r="I308" s="184">
        <v>6.75</v>
      </c>
      <c r="J308" s="26">
        <v>30</v>
      </c>
      <c r="K308" s="10">
        <f t="shared" si="24"/>
        <v>1.8751499999999999</v>
      </c>
      <c r="L308" s="4"/>
      <c r="M308" s="17">
        <v>30</v>
      </c>
      <c r="N308" s="18">
        <f t="shared" si="25"/>
        <v>1.8751499999999999</v>
      </c>
      <c r="O308" s="19">
        <f t="shared" si="26"/>
        <v>0</v>
      </c>
      <c r="P308" s="13">
        <f t="shared" si="27"/>
        <v>0</v>
      </c>
      <c r="Q308" s="9">
        <v>6.7</v>
      </c>
      <c r="R308" s="35">
        <v>30</v>
      </c>
      <c r="S308" s="2" t="s">
        <v>267</v>
      </c>
    </row>
    <row r="309" spans="1:22">
      <c r="A309" s="42" t="s">
        <v>77</v>
      </c>
      <c r="B309" s="3" t="s">
        <v>68</v>
      </c>
      <c r="C309" s="3">
        <v>298</v>
      </c>
      <c r="D309" s="1"/>
      <c r="E309" s="20" t="s">
        <v>17</v>
      </c>
      <c r="F309" s="7" t="s">
        <v>15</v>
      </c>
      <c r="G309" s="7" t="s">
        <v>30</v>
      </c>
      <c r="H309" s="11">
        <v>9.26</v>
      </c>
      <c r="I309" s="184">
        <v>6.75</v>
      </c>
      <c r="J309" s="26">
        <v>30</v>
      </c>
      <c r="K309" s="10">
        <f t="shared" si="24"/>
        <v>1.8751499999999999</v>
      </c>
      <c r="L309" s="4"/>
      <c r="M309" s="17">
        <v>30</v>
      </c>
      <c r="N309" s="18">
        <f t="shared" si="25"/>
        <v>1.8751499999999999</v>
      </c>
      <c r="O309" s="19">
        <f t="shared" si="26"/>
        <v>0</v>
      </c>
      <c r="P309" s="13">
        <f t="shared" si="27"/>
        <v>0</v>
      </c>
      <c r="Q309" s="9">
        <v>6.7</v>
      </c>
      <c r="R309" s="35">
        <v>30</v>
      </c>
      <c r="S309" s="2" t="s">
        <v>267</v>
      </c>
    </row>
    <row r="310" spans="1:22">
      <c r="A310" s="42" t="s">
        <v>77</v>
      </c>
      <c r="B310" s="3" t="s">
        <v>68</v>
      </c>
      <c r="C310" s="3">
        <v>299</v>
      </c>
      <c r="D310" s="1"/>
      <c r="E310" s="20" t="s">
        <v>17</v>
      </c>
      <c r="F310" s="7" t="s">
        <v>15</v>
      </c>
      <c r="G310" s="7" t="s">
        <v>30</v>
      </c>
      <c r="H310" s="11">
        <v>9.26</v>
      </c>
      <c r="I310" s="184">
        <v>6.75</v>
      </c>
      <c r="J310" s="26">
        <v>30</v>
      </c>
      <c r="K310" s="10">
        <f t="shared" si="24"/>
        <v>1.8751499999999999</v>
      </c>
      <c r="L310" s="4"/>
      <c r="M310" s="17">
        <f>6+24</f>
        <v>30</v>
      </c>
      <c r="N310" s="18">
        <f t="shared" si="25"/>
        <v>1.8751499999999999</v>
      </c>
      <c r="O310" s="87">
        <f t="shared" si="26"/>
        <v>0</v>
      </c>
      <c r="P310" s="13">
        <f t="shared" si="27"/>
        <v>0</v>
      </c>
      <c r="Q310" s="9">
        <v>6.25</v>
      </c>
      <c r="R310" s="2">
        <v>24</v>
      </c>
      <c r="S310" s="2" t="s">
        <v>516</v>
      </c>
      <c r="T310" s="9">
        <v>6.7</v>
      </c>
      <c r="U310" s="35">
        <v>6</v>
      </c>
      <c r="V310" s="2" t="s">
        <v>267</v>
      </c>
    </row>
    <row r="311" spans="1:22">
      <c r="A311" s="42" t="s">
        <v>77</v>
      </c>
      <c r="B311" s="3" t="s">
        <v>68</v>
      </c>
      <c r="C311" s="3">
        <v>300</v>
      </c>
      <c r="D311" s="1"/>
      <c r="E311" s="20" t="s">
        <v>17</v>
      </c>
      <c r="F311" s="7" t="s">
        <v>15</v>
      </c>
      <c r="G311" s="7" t="s">
        <v>25</v>
      </c>
      <c r="H311" s="11">
        <v>7.34</v>
      </c>
      <c r="I311" s="8">
        <v>7.55</v>
      </c>
      <c r="J311" s="26">
        <v>5</v>
      </c>
      <c r="K311" s="10">
        <f t="shared" si="24"/>
        <v>0.27708499999999997</v>
      </c>
      <c r="L311" s="4"/>
      <c r="M311" s="17">
        <v>5</v>
      </c>
      <c r="N311" s="18">
        <f t="shared" si="25"/>
        <v>0.27708499999999997</v>
      </c>
      <c r="O311" s="19">
        <f t="shared" si="26"/>
        <v>0</v>
      </c>
      <c r="P311" s="13">
        <f t="shared" si="27"/>
        <v>0</v>
      </c>
      <c r="Q311" s="9"/>
      <c r="R311" s="2"/>
      <c r="S311" s="2"/>
    </row>
    <row r="312" spans="1:22">
      <c r="A312" s="42" t="s">
        <v>77</v>
      </c>
      <c r="B312" s="3" t="s">
        <v>68</v>
      </c>
      <c r="C312" s="3">
        <v>300</v>
      </c>
      <c r="D312" s="1"/>
      <c r="E312" s="20" t="s">
        <v>17</v>
      </c>
      <c r="F312" s="7" t="s">
        <v>15</v>
      </c>
      <c r="G312" s="7" t="s">
        <v>25</v>
      </c>
      <c r="H312" s="11">
        <v>7.34</v>
      </c>
      <c r="I312" s="8">
        <v>8.5</v>
      </c>
      <c r="J312" s="26">
        <v>26</v>
      </c>
      <c r="K312" s="10">
        <f t="shared" si="24"/>
        <v>1.6221400000000001</v>
      </c>
      <c r="L312" s="4"/>
      <c r="M312" s="17">
        <v>26</v>
      </c>
      <c r="N312" s="18">
        <f t="shared" si="25"/>
        <v>1.6221399999999999</v>
      </c>
      <c r="O312" s="19">
        <f t="shared" si="26"/>
        <v>0</v>
      </c>
      <c r="P312" s="13">
        <f t="shared" si="27"/>
        <v>0</v>
      </c>
      <c r="Q312" s="9"/>
      <c r="R312" s="2"/>
      <c r="S312" s="2"/>
    </row>
    <row r="313" spans="1:22">
      <c r="A313" s="42" t="s">
        <v>77</v>
      </c>
      <c r="B313" s="3" t="s">
        <v>68</v>
      </c>
      <c r="C313" s="3">
        <v>301</v>
      </c>
      <c r="D313" s="1"/>
      <c r="E313" s="20" t="s">
        <v>17</v>
      </c>
      <c r="F313" s="7" t="s">
        <v>15</v>
      </c>
      <c r="G313" s="7" t="s">
        <v>25</v>
      </c>
      <c r="H313" s="11">
        <v>7.34</v>
      </c>
      <c r="I313" s="8">
        <v>9.0500000000000007</v>
      </c>
      <c r="J313" s="26">
        <v>9</v>
      </c>
      <c r="K313" s="10">
        <f t="shared" si="24"/>
        <v>0.59784300000000012</v>
      </c>
      <c r="L313" s="4"/>
      <c r="M313" s="17">
        <f>11-2</f>
        <v>9</v>
      </c>
      <c r="N313" s="18">
        <f t="shared" si="25"/>
        <v>0.59784300000000001</v>
      </c>
      <c r="O313" s="19">
        <f t="shared" si="26"/>
        <v>0</v>
      </c>
      <c r="P313" s="13">
        <f t="shared" si="27"/>
        <v>0</v>
      </c>
      <c r="Q313" s="9"/>
      <c r="R313" s="2"/>
      <c r="S313" s="2"/>
    </row>
    <row r="314" spans="1:22">
      <c r="A314" s="42" t="s">
        <v>77</v>
      </c>
      <c r="B314" s="3" t="s">
        <v>68</v>
      </c>
      <c r="C314" s="3">
        <v>302</v>
      </c>
      <c r="D314" s="1"/>
      <c r="E314" s="20" t="s">
        <v>17</v>
      </c>
      <c r="F314" s="7" t="s">
        <v>15</v>
      </c>
      <c r="G314" s="7" t="s">
        <v>27</v>
      </c>
      <c r="H314" s="11">
        <v>6.17</v>
      </c>
      <c r="I314" s="8">
        <v>7.25</v>
      </c>
      <c r="J314" s="26">
        <v>35</v>
      </c>
      <c r="K314" s="10">
        <f t="shared" si="24"/>
        <v>1.5656375</v>
      </c>
      <c r="L314" s="4"/>
      <c r="M314" s="17">
        <v>35</v>
      </c>
      <c r="N314" s="18">
        <f t="shared" si="25"/>
        <v>1.5656375</v>
      </c>
      <c r="O314" s="19">
        <f t="shared" si="26"/>
        <v>0</v>
      </c>
      <c r="P314" s="13">
        <f t="shared" si="27"/>
        <v>0</v>
      </c>
      <c r="Q314" s="9"/>
      <c r="R314" s="2"/>
      <c r="S314" s="2"/>
    </row>
    <row r="315" spans="1:22">
      <c r="A315" s="42" t="s">
        <v>77</v>
      </c>
      <c r="B315" s="3" t="s">
        <v>68</v>
      </c>
      <c r="C315" s="3">
        <v>303</v>
      </c>
      <c r="D315" s="1"/>
      <c r="E315" s="20" t="s">
        <v>17</v>
      </c>
      <c r="F315" s="7" t="s">
        <v>15</v>
      </c>
      <c r="G315" s="7" t="s">
        <v>27</v>
      </c>
      <c r="H315" s="11">
        <v>6.17</v>
      </c>
      <c r="I315" s="8">
        <v>10.5</v>
      </c>
      <c r="J315" s="26">
        <v>25</v>
      </c>
      <c r="K315" s="10">
        <f t="shared" si="24"/>
        <v>1.6196250000000001</v>
      </c>
      <c r="L315" s="4"/>
      <c r="M315" s="26">
        <v>25</v>
      </c>
      <c r="N315" s="18">
        <f t="shared" si="25"/>
        <v>1.6196250000000001</v>
      </c>
      <c r="O315" s="19">
        <f t="shared" si="26"/>
        <v>0</v>
      </c>
      <c r="P315" s="13">
        <f t="shared" si="27"/>
        <v>0</v>
      </c>
      <c r="Q315" s="9"/>
      <c r="R315" s="2"/>
      <c r="S315" s="2"/>
    </row>
    <row r="316" spans="1:22">
      <c r="A316" s="42" t="s">
        <v>77</v>
      </c>
      <c r="B316" s="3" t="s">
        <v>68</v>
      </c>
      <c r="C316" s="3">
        <v>304</v>
      </c>
      <c r="D316" s="1"/>
      <c r="E316" s="20" t="s">
        <v>17</v>
      </c>
      <c r="F316" s="7" t="s">
        <v>15</v>
      </c>
      <c r="G316" s="7" t="s">
        <v>27</v>
      </c>
      <c r="H316" s="11">
        <v>6.17</v>
      </c>
      <c r="I316" s="8">
        <v>7.25</v>
      </c>
      <c r="J316" s="26">
        <v>1</v>
      </c>
      <c r="K316" s="10">
        <f t="shared" ref="K316:K364" si="36">(H316*I316*J316/1000)</f>
        <v>4.4732500000000001E-2</v>
      </c>
      <c r="L316" s="4"/>
      <c r="M316" s="17">
        <v>1</v>
      </c>
      <c r="N316" s="18">
        <f t="shared" ref="N316:N364" si="37">I316*M316*H316/1000</f>
        <v>4.4732500000000001E-2</v>
      </c>
      <c r="O316" s="19">
        <f t="shared" ref="O316:O364" si="38">J316-M316</f>
        <v>0</v>
      </c>
      <c r="P316" s="13">
        <f t="shared" ref="P316:P364" si="39">I316*O316*H316/1000</f>
        <v>0</v>
      </c>
      <c r="Q316" s="9">
        <v>7.25</v>
      </c>
      <c r="R316" s="2">
        <v>1</v>
      </c>
      <c r="S316" s="2" t="s">
        <v>272</v>
      </c>
    </row>
    <row r="317" spans="1:22">
      <c r="A317" s="42" t="s">
        <v>77</v>
      </c>
      <c r="B317" s="3" t="s">
        <v>68</v>
      </c>
      <c r="C317" s="3">
        <v>304</v>
      </c>
      <c r="D317" s="1"/>
      <c r="E317" s="20" t="s">
        <v>17</v>
      </c>
      <c r="F317" s="7" t="s">
        <v>15</v>
      </c>
      <c r="G317" s="7" t="s">
        <v>27</v>
      </c>
      <c r="H317" s="11">
        <v>6.17</v>
      </c>
      <c r="I317" s="8">
        <v>9.5</v>
      </c>
      <c r="J317" s="26">
        <v>6</v>
      </c>
      <c r="K317" s="10">
        <f t="shared" si="36"/>
        <v>0.35169</v>
      </c>
      <c r="L317" s="4"/>
      <c r="M317" s="17">
        <v>6</v>
      </c>
      <c r="N317" s="18">
        <f t="shared" si="37"/>
        <v>0.35169</v>
      </c>
      <c r="O317" s="19">
        <f t="shared" si="38"/>
        <v>0</v>
      </c>
      <c r="P317" s="13">
        <f t="shared" si="39"/>
        <v>0</v>
      </c>
      <c r="Q317" s="9"/>
      <c r="R317" s="2"/>
      <c r="S317" s="2"/>
    </row>
    <row r="318" spans="1:22">
      <c r="A318" s="42" t="s">
        <v>77</v>
      </c>
      <c r="B318" s="3" t="s">
        <v>68</v>
      </c>
      <c r="C318" s="3">
        <v>304</v>
      </c>
      <c r="D318" s="1"/>
      <c r="E318" s="20" t="s">
        <v>17</v>
      </c>
      <c r="F318" s="7" t="s">
        <v>15</v>
      </c>
      <c r="G318" s="7" t="s">
        <v>27</v>
      </c>
      <c r="H318" s="11">
        <v>6.17</v>
      </c>
      <c r="I318" s="8">
        <v>10.5</v>
      </c>
      <c r="J318" s="26">
        <v>15</v>
      </c>
      <c r="K318" s="10">
        <f t="shared" si="36"/>
        <v>0.97177499999999994</v>
      </c>
      <c r="L318" s="4"/>
      <c r="M318" s="17">
        <f>10+4+1</f>
        <v>15</v>
      </c>
      <c r="N318" s="18">
        <f t="shared" si="37"/>
        <v>0.97177499999999994</v>
      </c>
      <c r="O318" s="19">
        <f t="shared" si="38"/>
        <v>0</v>
      </c>
      <c r="P318" s="13">
        <f t="shared" si="39"/>
        <v>0</v>
      </c>
      <c r="Q318" s="9">
        <v>9.5</v>
      </c>
      <c r="R318" s="2">
        <v>4</v>
      </c>
      <c r="S318" s="2"/>
      <c r="T318" s="158">
        <v>10.5</v>
      </c>
      <c r="U318">
        <v>1</v>
      </c>
      <c r="V318" s="213" t="s">
        <v>213</v>
      </c>
    </row>
    <row r="319" spans="1:22">
      <c r="A319" s="42" t="s">
        <v>77</v>
      </c>
      <c r="B319" s="3" t="s">
        <v>68</v>
      </c>
      <c r="C319" s="3">
        <v>305</v>
      </c>
      <c r="D319" s="1"/>
      <c r="E319" s="20" t="s">
        <v>17</v>
      </c>
      <c r="F319" s="7" t="s">
        <v>15</v>
      </c>
      <c r="G319" s="7" t="s">
        <v>27</v>
      </c>
      <c r="H319" s="11">
        <v>6.17</v>
      </c>
      <c r="I319" s="8">
        <v>9.75</v>
      </c>
      <c r="J319" s="26">
        <v>9</v>
      </c>
      <c r="K319" s="10">
        <f t="shared" si="36"/>
        <v>0.5414175</v>
      </c>
      <c r="L319" s="4"/>
      <c r="M319" s="17">
        <v>9</v>
      </c>
      <c r="N319" s="18">
        <f t="shared" si="37"/>
        <v>0.5414175</v>
      </c>
      <c r="O319" s="19">
        <f t="shared" si="38"/>
        <v>0</v>
      </c>
      <c r="P319" s="13">
        <f t="shared" si="39"/>
        <v>0</v>
      </c>
      <c r="Q319" s="9"/>
      <c r="R319" s="2"/>
      <c r="S319" s="2"/>
      <c r="T319" s="158"/>
    </row>
    <row r="320" spans="1:22">
      <c r="A320" s="42" t="s">
        <v>77</v>
      </c>
      <c r="B320" s="3" t="s">
        <v>68</v>
      </c>
      <c r="C320" s="3">
        <v>306</v>
      </c>
      <c r="D320" s="1"/>
      <c r="E320" s="20" t="s">
        <v>17</v>
      </c>
      <c r="F320" s="7" t="s">
        <v>15</v>
      </c>
      <c r="G320" s="7" t="s">
        <v>27</v>
      </c>
      <c r="H320" s="11">
        <v>6.17</v>
      </c>
      <c r="I320" s="8">
        <v>9</v>
      </c>
      <c r="J320" s="26">
        <v>4</v>
      </c>
      <c r="K320" s="10">
        <f t="shared" si="36"/>
        <v>0.22212000000000001</v>
      </c>
      <c r="L320" s="4"/>
      <c r="M320" s="17">
        <v>4</v>
      </c>
      <c r="N320" s="18">
        <f t="shared" si="37"/>
        <v>0.22212000000000001</v>
      </c>
      <c r="O320" s="19">
        <f t="shared" si="38"/>
        <v>0</v>
      </c>
      <c r="P320" s="13">
        <f t="shared" si="39"/>
        <v>0</v>
      </c>
      <c r="Q320" s="9"/>
      <c r="R320" s="2"/>
      <c r="S320" s="2"/>
      <c r="T320" s="158">
        <v>8</v>
      </c>
      <c r="U320">
        <v>4</v>
      </c>
      <c r="V320" s="213" t="s">
        <v>213</v>
      </c>
    </row>
    <row r="321" spans="1:22">
      <c r="A321" s="42" t="s">
        <v>77</v>
      </c>
      <c r="B321" s="3" t="s">
        <v>68</v>
      </c>
      <c r="C321" s="3">
        <v>307</v>
      </c>
      <c r="D321" s="1"/>
      <c r="E321" s="20" t="s">
        <v>17</v>
      </c>
      <c r="F321" s="7" t="s">
        <v>15</v>
      </c>
      <c r="G321" s="7" t="s">
        <v>27</v>
      </c>
      <c r="H321" s="11">
        <v>6.17</v>
      </c>
      <c r="I321" s="8">
        <v>11</v>
      </c>
      <c r="J321" s="26">
        <v>3</v>
      </c>
      <c r="K321" s="10">
        <f t="shared" si="36"/>
        <v>0.20361000000000001</v>
      </c>
      <c r="L321" s="4"/>
      <c r="M321" s="17">
        <v>3</v>
      </c>
      <c r="N321" s="18">
        <f t="shared" si="37"/>
        <v>0.20360999999999999</v>
      </c>
      <c r="O321" s="19">
        <f t="shared" si="38"/>
        <v>0</v>
      </c>
      <c r="P321" s="13">
        <f t="shared" si="39"/>
        <v>0</v>
      </c>
      <c r="Q321" s="9"/>
      <c r="R321" s="2"/>
      <c r="S321" s="2"/>
      <c r="T321" s="158">
        <v>11</v>
      </c>
      <c r="U321">
        <v>3</v>
      </c>
      <c r="V321" s="213" t="s">
        <v>213</v>
      </c>
    </row>
    <row r="322" spans="1:22">
      <c r="A322" s="42" t="s">
        <v>77</v>
      </c>
      <c r="B322" s="3" t="s">
        <v>68</v>
      </c>
      <c r="C322" s="3">
        <v>307</v>
      </c>
      <c r="D322" s="1"/>
      <c r="E322" s="20" t="s">
        <v>17</v>
      </c>
      <c r="F322" s="7" t="s">
        <v>15</v>
      </c>
      <c r="G322" s="7" t="s">
        <v>27</v>
      </c>
      <c r="H322" s="11">
        <v>6.17</v>
      </c>
      <c r="I322" s="8">
        <v>12</v>
      </c>
      <c r="J322" s="26">
        <v>26</v>
      </c>
      <c r="K322" s="10">
        <f t="shared" si="36"/>
        <v>1.9250399999999996</v>
      </c>
      <c r="L322" s="4"/>
      <c r="M322" s="17">
        <v>26</v>
      </c>
      <c r="N322" s="18">
        <f t="shared" si="37"/>
        <v>1.9250399999999999</v>
      </c>
      <c r="O322" s="19">
        <f t="shared" si="38"/>
        <v>0</v>
      </c>
      <c r="P322" s="13">
        <f t="shared" si="39"/>
        <v>0</v>
      </c>
      <c r="Q322" s="9"/>
      <c r="R322" s="2"/>
      <c r="S322" s="2"/>
      <c r="T322" s="158"/>
    </row>
    <row r="323" spans="1:22">
      <c r="A323" s="42" t="s">
        <v>77</v>
      </c>
      <c r="B323" s="3" t="s">
        <v>68</v>
      </c>
      <c r="C323" s="3">
        <v>308</v>
      </c>
      <c r="D323" s="1"/>
      <c r="E323" s="20" t="s">
        <v>17</v>
      </c>
      <c r="F323" s="7" t="s">
        <v>15</v>
      </c>
      <c r="G323" s="7" t="s">
        <v>27</v>
      </c>
      <c r="H323" s="11">
        <v>6.17</v>
      </c>
      <c r="I323" s="8">
        <v>11</v>
      </c>
      <c r="J323" s="26">
        <v>30</v>
      </c>
      <c r="K323" s="10">
        <f t="shared" si="36"/>
        <v>2.0361000000000002</v>
      </c>
      <c r="L323" s="4"/>
      <c r="M323" s="17">
        <v>30</v>
      </c>
      <c r="N323" s="18">
        <f t="shared" si="37"/>
        <v>2.0360999999999998</v>
      </c>
      <c r="O323" s="19">
        <f t="shared" si="38"/>
        <v>0</v>
      </c>
      <c r="P323" s="13">
        <f t="shared" si="39"/>
        <v>0</v>
      </c>
      <c r="Q323" s="9"/>
      <c r="R323" s="2"/>
      <c r="S323" s="2"/>
      <c r="T323" s="158"/>
    </row>
    <row r="324" spans="1:22">
      <c r="A324" s="42" t="s">
        <v>77</v>
      </c>
      <c r="B324" s="3" t="s">
        <v>68</v>
      </c>
      <c r="C324" s="3">
        <v>309</v>
      </c>
      <c r="D324" s="1"/>
      <c r="E324" s="20" t="s">
        <v>17</v>
      </c>
      <c r="F324" s="7" t="s">
        <v>15</v>
      </c>
      <c r="G324" s="7" t="s">
        <v>27</v>
      </c>
      <c r="H324" s="11">
        <v>6.17</v>
      </c>
      <c r="I324" s="8">
        <v>12</v>
      </c>
      <c r="J324" s="26">
        <v>31</v>
      </c>
      <c r="K324" s="10">
        <f t="shared" si="36"/>
        <v>2.2952399999999997</v>
      </c>
      <c r="L324" s="4"/>
      <c r="M324" s="17">
        <v>31</v>
      </c>
      <c r="N324" s="18">
        <f t="shared" si="37"/>
        <v>2.2952399999999997</v>
      </c>
      <c r="O324" s="19">
        <f t="shared" si="38"/>
        <v>0</v>
      </c>
      <c r="P324" s="13">
        <f t="shared" si="39"/>
        <v>0</v>
      </c>
      <c r="Q324" s="9"/>
      <c r="R324" s="2"/>
      <c r="S324" s="2"/>
      <c r="T324" s="158"/>
    </row>
    <row r="325" spans="1:22">
      <c r="A325" s="42" t="s">
        <v>77</v>
      </c>
      <c r="B325" s="3" t="s">
        <v>68</v>
      </c>
      <c r="C325" s="3">
        <v>1</v>
      </c>
      <c r="D325" s="1"/>
      <c r="E325" s="20" t="s">
        <v>17</v>
      </c>
      <c r="F325" s="7" t="s">
        <v>15</v>
      </c>
      <c r="G325" s="7" t="s">
        <v>27</v>
      </c>
      <c r="H325" s="11">
        <v>6.17</v>
      </c>
      <c r="I325" s="8">
        <v>9.75</v>
      </c>
      <c r="J325" s="26">
        <v>9</v>
      </c>
      <c r="K325" s="10">
        <f t="shared" si="36"/>
        <v>0.5414175</v>
      </c>
      <c r="L325" s="4"/>
      <c r="M325" s="17">
        <f>8+1</f>
        <v>9</v>
      </c>
      <c r="N325" s="18">
        <f t="shared" si="37"/>
        <v>0.5414175</v>
      </c>
      <c r="O325" s="19">
        <f t="shared" si="38"/>
        <v>0</v>
      </c>
      <c r="P325" s="13">
        <f t="shared" si="39"/>
        <v>0</v>
      </c>
      <c r="Q325" s="9"/>
      <c r="R325" s="2"/>
      <c r="S325" s="2"/>
      <c r="T325" s="158">
        <v>9.6999999999999993</v>
      </c>
      <c r="U325">
        <v>1</v>
      </c>
      <c r="V325" s="213" t="s">
        <v>213</v>
      </c>
    </row>
    <row r="326" spans="1:22">
      <c r="A326" s="42" t="s">
        <v>77</v>
      </c>
      <c r="B326" s="3" t="s">
        <v>68</v>
      </c>
      <c r="C326" s="3">
        <v>1</v>
      </c>
      <c r="D326" s="1"/>
      <c r="E326" s="20" t="s">
        <v>17</v>
      </c>
      <c r="F326" s="7" t="s">
        <v>15</v>
      </c>
      <c r="G326" s="7" t="s">
        <v>27</v>
      </c>
      <c r="H326" s="11">
        <v>6.17</v>
      </c>
      <c r="I326" s="8">
        <v>9.5</v>
      </c>
      <c r="J326" s="26">
        <v>1</v>
      </c>
      <c r="K326" s="10">
        <f t="shared" si="36"/>
        <v>5.8615E-2</v>
      </c>
      <c r="L326" s="4"/>
      <c r="M326" s="17">
        <v>1</v>
      </c>
      <c r="N326" s="18">
        <f t="shared" si="37"/>
        <v>5.8615E-2</v>
      </c>
      <c r="O326" s="19">
        <f t="shared" si="38"/>
        <v>0</v>
      </c>
      <c r="P326" s="13">
        <f t="shared" si="39"/>
        <v>0</v>
      </c>
      <c r="Q326" s="9"/>
      <c r="R326" s="2"/>
      <c r="S326" s="2"/>
      <c r="T326" s="158"/>
    </row>
    <row r="327" spans="1:22">
      <c r="A327" s="42" t="s">
        <v>77</v>
      </c>
      <c r="B327" s="3" t="s">
        <v>68</v>
      </c>
      <c r="C327" s="3">
        <v>1</v>
      </c>
      <c r="D327" s="1"/>
      <c r="E327" s="20" t="s">
        <v>17</v>
      </c>
      <c r="F327" s="7" t="s">
        <v>15</v>
      </c>
      <c r="G327" s="7" t="s">
        <v>27</v>
      </c>
      <c r="H327" s="11">
        <v>6.17</v>
      </c>
      <c r="I327" s="8">
        <v>9</v>
      </c>
      <c r="J327" s="26">
        <v>1</v>
      </c>
      <c r="K327" s="10">
        <f t="shared" si="36"/>
        <v>5.5530000000000003E-2</v>
      </c>
      <c r="L327" s="4"/>
      <c r="M327" s="17">
        <v>1</v>
      </c>
      <c r="N327" s="18">
        <f t="shared" si="37"/>
        <v>5.5530000000000003E-2</v>
      </c>
      <c r="O327" s="19">
        <f t="shared" si="38"/>
        <v>0</v>
      </c>
      <c r="P327" s="13">
        <f t="shared" si="39"/>
        <v>0</v>
      </c>
      <c r="Q327" s="9"/>
      <c r="R327" s="2"/>
      <c r="S327" s="2"/>
      <c r="T327" s="158">
        <v>8</v>
      </c>
      <c r="U327">
        <v>1</v>
      </c>
      <c r="V327" s="213" t="s">
        <v>213</v>
      </c>
    </row>
    <row r="328" spans="1:22">
      <c r="A328" s="42" t="s">
        <v>77</v>
      </c>
      <c r="B328" s="3" t="s">
        <v>68</v>
      </c>
      <c r="C328" s="3">
        <v>2</v>
      </c>
      <c r="D328" s="1"/>
      <c r="E328" s="20" t="s">
        <v>17</v>
      </c>
      <c r="F328" s="7" t="s">
        <v>15</v>
      </c>
      <c r="G328" s="7" t="s">
        <v>27</v>
      </c>
      <c r="H328" s="11">
        <v>6.17</v>
      </c>
      <c r="I328" s="8">
        <v>11</v>
      </c>
      <c r="J328" s="26">
        <v>4</v>
      </c>
      <c r="K328" s="10">
        <f t="shared" si="36"/>
        <v>0.27148</v>
      </c>
      <c r="L328" s="4"/>
      <c r="M328" s="17">
        <v>4</v>
      </c>
      <c r="N328" s="18">
        <f t="shared" si="37"/>
        <v>0.27148</v>
      </c>
      <c r="O328" s="19">
        <f t="shared" si="38"/>
        <v>0</v>
      </c>
      <c r="P328" s="13">
        <f t="shared" si="39"/>
        <v>0</v>
      </c>
      <c r="Q328" s="9"/>
      <c r="R328" s="2"/>
      <c r="S328" s="2"/>
      <c r="T328" s="158">
        <v>11</v>
      </c>
      <c r="U328">
        <v>4</v>
      </c>
      <c r="V328" s="213" t="s">
        <v>213</v>
      </c>
    </row>
    <row r="329" spans="1:22">
      <c r="A329" s="42" t="s">
        <v>77</v>
      </c>
      <c r="B329" s="3" t="s">
        <v>68</v>
      </c>
      <c r="C329" s="3">
        <v>2</v>
      </c>
      <c r="D329" s="1"/>
      <c r="E329" s="20" t="s">
        <v>17</v>
      </c>
      <c r="F329" s="7" t="s">
        <v>15</v>
      </c>
      <c r="G329" s="7" t="s">
        <v>27</v>
      </c>
      <c r="H329" s="11">
        <v>6.17</v>
      </c>
      <c r="I329" s="8">
        <v>10.5</v>
      </c>
      <c r="J329" s="26">
        <v>3</v>
      </c>
      <c r="K329" s="10">
        <f t="shared" si="36"/>
        <v>0.194355</v>
      </c>
      <c r="L329" s="4"/>
      <c r="M329" s="17">
        <v>3</v>
      </c>
      <c r="N329" s="18">
        <f t="shared" si="37"/>
        <v>0.194355</v>
      </c>
      <c r="O329" s="19">
        <f t="shared" si="38"/>
        <v>0</v>
      </c>
      <c r="P329" s="13">
        <f t="shared" si="39"/>
        <v>0</v>
      </c>
      <c r="Q329" s="9"/>
      <c r="R329" s="2"/>
      <c r="S329" s="2"/>
      <c r="T329" s="158">
        <v>10.5</v>
      </c>
      <c r="U329">
        <v>3</v>
      </c>
      <c r="V329" s="213" t="s">
        <v>213</v>
      </c>
    </row>
    <row r="330" spans="1:22">
      <c r="A330" s="42" t="s">
        <v>77</v>
      </c>
      <c r="B330" s="3" t="s">
        <v>68</v>
      </c>
      <c r="C330" s="3">
        <v>2</v>
      </c>
      <c r="D330" s="1"/>
      <c r="E330" s="20" t="s">
        <v>17</v>
      </c>
      <c r="F330" s="7" t="s">
        <v>15</v>
      </c>
      <c r="G330" s="7" t="s">
        <v>27</v>
      </c>
      <c r="H330" s="11">
        <v>6.17</v>
      </c>
      <c r="I330" s="8">
        <v>7.25</v>
      </c>
      <c r="J330" s="26">
        <v>2</v>
      </c>
      <c r="K330" s="10">
        <f t="shared" si="36"/>
        <v>8.9465000000000003E-2</v>
      </c>
      <c r="L330" s="4"/>
      <c r="M330" s="17">
        <v>2</v>
      </c>
      <c r="N330" s="18">
        <f t="shared" si="37"/>
        <v>8.9465000000000003E-2</v>
      </c>
      <c r="O330" s="19">
        <f t="shared" si="38"/>
        <v>0</v>
      </c>
      <c r="P330" s="13">
        <f t="shared" si="39"/>
        <v>0</v>
      </c>
      <c r="Q330" s="9"/>
      <c r="R330" s="2">
        <v>2</v>
      </c>
      <c r="S330" s="2" t="s">
        <v>700</v>
      </c>
    </row>
    <row r="331" spans="1:22">
      <c r="A331" s="42" t="s">
        <v>77</v>
      </c>
      <c r="B331" s="3" t="s">
        <v>68</v>
      </c>
      <c r="C331" s="3">
        <v>3</v>
      </c>
      <c r="D331" s="1"/>
      <c r="E331" s="20" t="s">
        <v>17</v>
      </c>
      <c r="F331" s="7" t="s">
        <v>15</v>
      </c>
      <c r="G331" s="7" t="s">
        <v>27</v>
      </c>
      <c r="H331" s="11">
        <v>6.17</v>
      </c>
      <c r="I331" s="8">
        <v>12</v>
      </c>
      <c r="J331" s="26">
        <v>10</v>
      </c>
      <c r="K331" s="10">
        <f t="shared" si="36"/>
        <v>0.74039999999999984</v>
      </c>
      <c r="L331" s="4"/>
      <c r="M331" s="17">
        <v>10</v>
      </c>
      <c r="N331" s="18">
        <f t="shared" si="37"/>
        <v>0.74039999999999995</v>
      </c>
      <c r="O331" s="19">
        <f t="shared" si="38"/>
        <v>0</v>
      </c>
      <c r="P331" s="13">
        <f t="shared" si="39"/>
        <v>0</v>
      </c>
      <c r="Q331" s="9">
        <v>11.55</v>
      </c>
      <c r="R331" s="2">
        <v>10</v>
      </c>
      <c r="S331" s="2" t="s">
        <v>241</v>
      </c>
    </row>
    <row r="332" spans="1:22">
      <c r="A332" s="42" t="s">
        <v>77</v>
      </c>
      <c r="B332" s="3" t="s">
        <v>68</v>
      </c>
      <c r="C332" s="3">
        <v>3</v>
      </c>
      <c r="D332" s="1"/>
      <c r="E332" s="20" t="s">
        <v>17</v>
      </c>
      <c r="F332" s="7" t="s">
        <v>15</v>
      </c>
      <c r="G332" s="7" t="s">
        <v>27</v>
      </c>
      <c r="H332" s="11">
        <v>6.17</v>
      </c>
      <c r="I332" s="8">
        <v>9.9</v>
      </c>
      <c r="J332" s="26">
        <v>5</v>
      </c>
      <c r="K332" s="10">
        <f t="shared" si="36"/>
        <v>0.30541499999999994</v>
      </c>
      <c r="L332" s="4"/>
      <c r="M332" s="17">
        <v>5</v>
      </c>
      <c r="N332" s="18">
        <f t="shared" si="37"/>
        <v>0.30541500000000005</v>
      </c>
      <c r="O332" s="19">
        <f t="shared" si="38"/>
        <v>0</v>
      </c>
      <c r="P332" s="13">
        <f t="shared" si="39"/>
        <v>0</v>
      </c>
      <c r="Q332" s="9">
        <v>9.5</v>
      </c>
      <c r="R332" s="2">
        <v>5</v>
      </c>
      <c r="S332" s="2"/>
    </row>
    <row r="333" spans="1:22">
      <c r="A333" s="42" t="s">
        <v>77</v>
      </c>
      <c r="B333" s="3" t="s">
        <v>68</v>
      </c>
      <c r="C333" s="3">
        <v>310</v>
      </c>
      <c r="D333" s="1"/>
      <c r="E333" s="20" t="s">
        <v>20</v>
      </c>
      <c r="F333" s="7" t="s">
        <v>15</v>
      </c>
      <c r="G333" s="7" t="s">
        <v>56</v>
      </c>
      <c r="H333" s="11">
        <v>25.2</v>
      </c>
      <c r="I333" s="8">
        <v>12</v>
      </c>
      <c r="J333" s="26">
        <v>3</v>
      </c>
      <c r="K333" s="10">
        <f t="shared" si="36"/>
        <v>0.9071999999999999</v>
      </c>
      <c r="L333" s="4"/>
      <c r="M333" s="17">
        <v>3</v>
      </c>
      <c r="N333" s="18">
        <f t="shared" si="37"/>
        <v>0.9071999999999999</v>
      </c>
      <c r="O333" s="106">
        <f t="shared" si="38"/>
        <v>0</v>
      </c>
      <c r="P333" s="13">
        <f t="shared" si="39"/>
        <v>0</v>
      </c>
      <c r="Q333" s="9" t="s">
        <v>373</v>
      </c>
      <c r="R333" s="2">
        <v>3</v>
      </c>
      <c r="S333" s="2"/>
    </row>
    <row r="334" spans="1:22">
      <c r="A334" s="42" t="s">
        <v>77</v>
      </c>
      <c r="B334" s="3" t="s">
        <v>68</v>
      </c>
      <c r="C334" s="3">
        <v>311</v>
      </c>
      <c r="D334" s="1"/>
      <c r="E334" s="20" t="s">
        <v>17</v>
      </c>
      <c r="F334" s="7" t="s">
        <v>15</v>
      </c>
      <c r="G334" s="7" t="s">
        <v>64</v>
      </c>
      <c r="H334" s="11">
        <v>40.1</v>
      </c>
      <c r="I334" s="8">
        <v>6</v>
      </c>
      <c r="J334" s="26">
        <v>1</v>
      </c>
      <c r="K334" s="10">
        <f t="shared" si="36"/>
        <v>0.24060000000000004</v>
      </c>
      <c r="L334" s="4"/>
      <c r="M334" s="17">
        <v>1</v>
      </c>
      <c r="N334" s="18">
        <f t="shared" si="37"/>
        <v>0.24060000000000004</v>
      </c>
      <c r="O334" s="19">
        <f t="shared" si="38"/>
        <v>0</v>
      </c>
      <c r="P334" s="13">
        <f t="shared" si="39"/>
        <v>0</v>
      </c>
      <c r="Q334" s="9">
        <v>6</v>
      </c>
      <c r="R334" s="2">
        <v>1</v>
      </c>
      <c r="S334" s="2" t="s">
        <v>196</v>
      </c>
    </row>
    <row r="335" spans="1:22">
      <c r="A335" s="42" t="s">
        <v>77</v>
      </c>
      <c r="B335" s="3" t="s">
        <v>68</v>
      </c>
      <c r="C335" s="3">
        <v>311</v>
      </c>
      <c r="D335" s="1"/>
      <c r="E335" s="20" t="s">
        <v>17</v>
      </c>
      <c r="F335" s="7" t="s">
        <v>15</v>
      </c>
      <c r="G335" s="7" t="s">
        <v>64</v>
      </c>
      <c r="H335" s="11">
        <v>40.1</v>
      </c>
      <c r="I335" s="8">
        <v>8.5</v>
      </c>
      <c r="J335" s="26">
        <v>1</v>
      </c>
      <c r="K335" s="10">
        <f t="shared" si="36"/>
        <v>0.34085000000000004</v>
      </c>
      <c r="L335" s="4"/>
      <c r="M335" s="17">
        <v>1</v>
      </c>
      <c r="N335" s="18">
        <f t="shared" si="37"/>
        <v>0.34085000000000004</v>
      </c>
      <c r="O335" s="19">
        <f t="shared" si="38"/>
        <v>0</v>
      </c>
      <c r="P335" s="13">
        <f t="shared" si="39"/>
        <v>0</v>
      </c>
      <c r="Q335" s="9">
        <v>8</v>
      </c>
      <c r="R335" s="2">
        <v>1</v>
      </c>
      <c r="S335" s="2" t="s">
        <v>213</v>
      </c>
    </row>
    <row r="336" spans="1:22">
      <c r="A336" s="42" t="s">
        <v>77</v>
      </c>
      <c r="B336" s="3" t="s">
        <v>68</v>
      </c>
      <c r="C336" s="3">
        <v>311</v>
      </c>
      <c r="D336" s="1"/>
      <c r="E336" s="20" t="s">
        <v>17</v>
      </c>
      <c r="F336" s="7" t="s">
        <v>15</v>
      </c>
      <c r="G336" s="7" t="s">
        <v>64</v>
      </c>
      <c r="H336" s="11">
        <v>40.1</v>
      </c>
      <c r="I336" s="8">
        <v>9.1</v>
      </c>
      <c r="J336" s="26">
        <v>1</v>
      </c>
      <c r="K336" s="10">
        <f t="shared" si="36"/>
        <v>0.36491000000000001</v>
      </c>
      <c r="L336" s="4"/>
      <c r="M336" s="17">
        <v>1</v>
      </c>
      <c r="N336" s="18">
        <f t="shared" si="37"/>
        <v>0.36491000000000001</v>
      </c>
      <c r="O336" s="19">
        <f t="shared" si="38"/>
        <v>0</v>
      </c>
      <c r="P336" s="13">
        <f t="shared" si="39"/>
        <v>0</v>
      </c>
      <c r="Q336" s="9">
        <v>8</v>
      </c>
      <c r="R336" s="2">
        <v>1</v>
      </c>
      <c r="S336" s="2" t="s">
        <v>213</v>
      </c>
    </row>
    <row r="337" spans="1:23">
      <c r="A337" s="42" t="s">
        <v>77</v>
      </c>
      <c r="B337" s="3" t="s">
        <v>68</v>
      </c>
      <c r="C337" s="3">
        <v>312</v>
      </c>
      <c r="D337" s="1"/>
      <c r="E337" s="20" t="s">
        <v>17</v>
      </c>
      <c r="F337" s="7" t="s">
        <v>15</v>
      </c>
      <c r="G337" s="7" t="s">
        <v>56</v>
      </c>
      <c r="H337" s="11">
        <v>25.2</v>
      </c>
      <c r="I337" s="8">
        <v>8.5</v>
      </c>
      <c r="J337" s="26">
        <v>1</v>
      </c>
      <c r="K337" s="10">
        <f t="shared" si="36"/>
        <v>0.2142</v>
      </c>
      <c r="L337" s="4"/>
      <c r="M337" s="17">
        <v>1</v>
      </c>
      <c r="N337" s="18">
        <f t="shared" si="37"/>
        <v>0.2142</v>
      </c>
      <c r="O337" s="19">
        <f t="shared" si="38"/>
        <v>0</v>
      </c>
      <c r="P337" s="13">
        <f t="shared" si="39"/>
        <v>0</v>
      </c>
      <c r="Q337" s="9" t="s">
        <v>373</v>
      </c>
      <c r="R337" s="2">
        <v>1</v>
      </c>
      <c r="S337" s="2"/>
    </row>
    <row r="338" spans="1:23">
      <c r="A338" s="42" t="s">
        <v>77</v>
      </c>
      <c r="B338" s="3" t="s">
        <v>68</v>
      </c>
      <c r="C338" s="3">
        <v>312</v>
      </c>
      <c r="D338" s="1"/>
      <c r="E338" s="20" t="s">
        <v>17</v>
      </c>
      <c r="F338" s="7" t="s">
        <v>15</v>
      </c>
      <c r="G338" s="7" t="s">
        <v>56</v>
      </c>
      <c r="H338" s="11">
        <v>25.2</v>
      </c>
      <c r="I338" s="8">
        <v>9.1999999999999993</v>
      </c>
      <c r="J338" s="26">
        <v>1</v>
      </c>
      <c r="K338" s="10">
        <f t="shared" si="36"/>
        <v>0.23183999999999996</v>
      </c>
      <c r="L338" s="4"/>
      <c r="M338" s="17">
        <v>1</v>
      </c>
      <c r="N338" s="18">
        <f t="shared" si="37"/>
        <v>0.23183999999999996</v>
      </c>
      <c r="O338" s="19">
        <f t="shared" si="38"/>
        <v>0</v>
      </c>
      <c r="P338" s="13">
        <f t="shared" si="39"/>
        <v>0</v>
      </c>
      <c r="Q338" s="9">
        <v>9.1</v>
      </c>
      <c r="R338" s="2">
        <v>1</v>
      </c>
      <c r="S338" s="2" t="s">
        <v>213</v>
      </c>
    </row>
    <row r="339" spans="1:23">
      <c r="A339" s="42" t="s">
        <v>77</v>
      </c>
      <c r="B339" s="3" t="s">
        <v>68</v>
      </c>
      <c r="C339" s="3">
        <v>312</v>
      </c>
      <c r="D339" s="1"/>
      <c r="E339" s="20" t="s">
        <v>17</v>
      </c>
      <c r="F339" s="7" t="s">
        <v>15</v>
      </c>
      <c r="G339" s="7" t="s">
        <v>56</v>
      </c>
      <c r="H339" s="11">
        <v>25.2</v>
      </c>
      <c r="I339" s="8">
        <v>9.4</v>
      </c>
      <c r="J339" s="26">
        <v>3</v>
      </c>
      <c r="K339" s="10">
        <f t="shared" si="36"/>
        <v>0.71063999999999994</v>
      </c>
      <c r="L339" s="4"/>
      <c r="M339" s="17">
        <v>3</v>
      </c>
      <c r="N339" s="18">
        <f t="shared" si="37"/>
        <v>0.71064000000000005</v>
      </c>
      <c r="O339" s="19">
        <f t="shared" si="38"/>
        <v>0</v>
      </c>
      <c r="P339" s="13">
        <f t="shared" si="39"/>
        <v>0</v>
      </c>
      <c r="Q339" s="9">
        <v>9.1</v>
      </c>
      <c r="R339" s="2">
        <v>3</v>
      </c>
      <c r="S339" s="2" t="s">
        <v>213</v>
      </c>
    </row>
    <row r="340" spans="1:23">
      <c r="A340" s="42" t="s">
        <v>77</v>
      </c>
      <c r="B340" s="3" t="s">
        <v>68</v>
      </c>
      <c r="C340" s="3">
        <v>313</v>
      </c>
      <c r="D340" s="1"/>
      <c r="E340" s="20" t="s">
        <v>17</v>
      </c>
      <c r="F340" s="7" t="s">
        <v>15</v>
      </c>
      <c r="G340" s="7" t="s">
        <v>25</v>
      </c>
      <c r="H340" s="11">
        <v>7.34</v>
      </c>
      <c r="I340" s="8">
        <v>6.65</v>
      </c>
      <c r="J340" s="26">
        <v>7</v>
      </c>
      <c r="K340" s="10">
        <f t="shared" si="36"/>
        <v>0.34167700000000001</v>
      </c>
      <c r="L340" s="4"/>
      <c r="M340" s="17">
        <v>7</v>
      </c>
      <c r="N340" s="18">
        <f t="shared" si="37"/>
        <v>0.34167700000000001</v>
      </c>
      <c r="O340" s="19">
        <f t="shared" si="38"/>
        <v>0</v>
      </c>
      <c r="P340" s="13">
        <f t="shared" si="39"/>
        <v>0</v>
      </c>
      <c r="Q340" s="9"/>
      <c r="R340" s="2"/>
      <c r="S340" s="2"/>
    </row>
    <row r="341" spans="1:23">
      <c r="A341" s="42" t="s">
        <v>77</v>
      </c>
      <c r="B341" s="3" t="s">
        <v>68</v>
      </c>
      <c r="C341" s="3">
        <v>314</v>
      </c>
      <c r="D341" s="1"/>
      <c r="E341" s="20" t="s">
        <v>17</v>
      </c>
      <c r="F341" s="7" t="s">
        <v>15</v>
      </c>
      <c r="G341" s="7" t="s">
        <v>32</v>
      </c>
      <c r="H341" s="11">
        <v>8.32</v>
      </c>
      <c r="I341" s="8">
        <v>10</v>
      </c>
      <c r="J341" s="26">
        <v>30</v>
      </c>
      <c r="K341" s="10">
        <f t="shared" si="36"/>
        <v>2.496</v>
      </c>
      <c r="L341" s="4"/>
      <c r="M341" s="17">
        <v>30</v>
      </c>
      <c r="N341" s="18">
        <f t="shared" si="37"/>
        <v>2.496</v>
      </c>
      <c r="O341" s="19">
        <f t="shared" si="38"/>
        <v>0</v>
      </c>
      <c r="P341" s="13">
        <f t="shared" si="39"/>
        <v>0</v>
      </c>
      <c r="Q341" s="9"/>
      <c r="R341" s="2"/>
      <c r="S341" s="2"/>
    </row>
    <row r="342" spans="1:23">
      <c r="A342" s="42" t="s">
        <v>77</v>
      </c>
      <c r="B342" s="3" t="s">
        <v>68</v>
      </c>
      <c r="C342" s="3">
        <v>315</v>
      </c>
      <c r="D342" s="1"/>
      <c r="E342" s="20" t="s">
        <v>17</v>
      </c>
      <c r="F342" s="7" t="s">
        <v>15</v>
      </c>
      <c r="G342" s="7" t="s">
        <v>32</v>
      </c>
      <c r="H342" s="11">
        <v>8.32</v>
      </c>
      <c r="I342" s="8">
        <v>10.5</v>
      </c>
      <c r="J342" s="26">
        <v>25</v>
      </c>
      <c r="K342" s="10">
        <f t="shared" si="36"/>
        <v>2.1840000000000002</v>
      </c>
      <c r="L342" s="4"/>
      <c r="M342" s="17">
        <v>25</v>
      </c>
      <c r="N342" s="18">
        <f t="shared" si="37"/>
        <v>2.1840000000000002</v>
      </c>
      <c r="O342" s="19">
        <f t="shared" si="38"/>
        <v>0</v>
      </c>
      <c r="P342" s="13">
        <f t="shared" si="39"/>
        <v>0</v>
      </c>
      <c r="Q342" s="9"/>
      <c r="R342" s="2"/>
      <c r="S342" s="2"/>
    </row>
    <row r="343" spans="1:23">
      <c r="A343" s="42" t="s">
        <v>77</v>
      </c>
      <c r="B343" s="3" t="s">
        <v>68</v>
      </c>
      <c r="C343" s="3">
        <v>316</v>
      </c>
      <c r="D343" s="1"/>
      <c r="E343" s="20" t="s">
        <v>17</v>
      </c>
      <c r="F343" s="7" t="s">
        <v>15</v>
      </c>
      <c r="G343" s="7" t="s">
        <v>32</v>
      </c>
      <c r="H343" s="11">
        <v>8.32</v>
      </c>
      <c r="I343" s="8">
        <v>11.6</v>
      </c>
      <c r="J343" s="26">
        <v>29</v>
      </c>
      <c r="K343" s="10">
        <f t="shared" si="36"/>
        <v>2.798848</v>
      </c>
      <c r="L343" s="4"/>
      <c r="M343" s="17">
        <v>29</v>
      </c>
      <c r="N343" s="18">
        <f t="shared" si="37"/>
        <v>2.798848</v>
      </c>
      <c r="O343" s="19">
        <f t="shared" si="38"/>
        <v>0</v>
      </c>
      <c r="P343" s="13">
        <f t="shared" si="39"/>
        <v>0</v>
      </c>
      <c r="Q343" s="9"/>
      <c r="R343" s="2"/>
      <c r="S343" s="2"/>
    </row>
    <row r="344" spans="1:23">
      <c r="A344" s="42" t="s">
        <v>77</v>
      </c>
      <c r="B344" s="3" t="s">
        <v>68</v>
      </c>
      <c r="C344" s="3">
        <v>317</v>
      </c>
      <c r="D344" s="1"/>
      <c r="E344" s="20" t="s">
        <v>17</v>
      </c>
      <c r="F344" s="7" t="s">
        <v>15</v>
      </c>
      <c r="G344" s="7" t="s">
        <v>32</v>
      </c>
      <c r="H344" s="11">
        <v>8.32</v>
      </c>
      <c r="I344" s="8">
        <v>10</v>
      </c>
      <c r="J344" s="26">
        <v>24</v>
      </c>
      <c r="K344" s="10">
        <f t="shared" si="36"/>
        <v>1.9968000000000001</v>
      </c>
      <c r="L344" s="4"/>
      <c r="M344" s="17">
        <v>24</v>
      </c>
      <c r="N344" s="18">
        <f t="shared" si="37"/>
        <v>1.9968000000000001</v>
      </c>
      <c r="O344" s="19">
        <f t="shared" si="38"/>
        <v>0</v>
      </c>
      <c r="P344" s="13">
        <f t="shared" si="39"/>
        <v>0</v>
      </c>
      <c r="Q344" s="9"/>
      <c r="R344" s="2"/>
      <c r="S344" s="2"/>
    </row>
    <row r="345" spans="1:23">
      <c r="A345" s="42" t="s">
        <v>77</v>
      </c>
      <c r="B345" s="3" t="s">
        <v>68</v>
      </c>
      <c r="C345" s="3">
        <v>318</v>
      </c>
      <c r="D345" s="1"/>
      <c r="E345" s="20" t="s">
        <v>17</v>
      </c>
      <c r="F345" s="7" t="s">
        <v>15</v>
      </c>
      <c r="G345" s="7" t="s">
        <v>32</v>
      </c>
      <c r="H345" s="11">
        <v>8.32</v>
      </c>
      <c r="I345" s="8">
        <v>12</v>
      </c>
      <c r="J345" s="26">
        <v>21</v>
      </c>
      <c r="K345" s="10">
        <f t="shared" si="36"/>
        <v>2.0966399999999998</v>
      </c>
      <c r="L345" s="4"/>
      <c r="M345" s="17">
        <f>8+13</f>
        <v>21</v>
      </c>
      <c r="N345" s="18">
        <f t="shared" si="37"/>
        <v>2.0966399999999998</v>
      </c>
      <c r="O345" s="19">
        <f t="shared" si="38"/>
        <v>0</v>
      </c>
      <c r="P345" s="13">
        <f t="shared" si="39"/>
        <v>0</v>
      </c>
      <c r="Q345" s="9"/>
      <c r="R345" s="2"/>
      <c r="S345" s="2"/>
    </row>
    <row r="346" spans="1:23">
      <c r="A346" s="42" t="s">
        <v>77</v>
      </c>
      <c r="B346" s="3" t="s">
        <v>68</v>
      </c>
      <c r="C346" s="3">
        <v>319</v>
      </c>
      <c r="D346" s="1"/>
      <c r="E346" s="20" t="s">
        <v>17</v>
      </c>
      <c r="F346" s="7" t="s">
        <v>15</v>
      </c>
      <c r="G346" s="7" t="s">
        <v>32</v>
      </c>
      <c r="H346" s="11">
        <v>8.32</v>
      </c>
      <c r="I346" s="8">
        <v>11.6</v>
      </c>
      <c r="J346" s="26">
        <v>29</v>
      </c>
      <c r="K346" s="10">
        <f t="shared" si="36"/>
        <v>2.798848</v>
      </c>
      <c r="L346" s="4"/>
      <c r="M346" s="17">
        <f>7+20+1+1</f>
        <v>29</v>
      </c>
      <c r="N346" s="18">
        <f t="shared" si="37"/>
        <v>2.798848</v>
      </c>
      <c r="O346" s="19">
        <f t="shared" si="38"/>
        <v>0</v>
      </c>
      <c r="P346" s="13">
        <f t="shared" si="39"/>
        <v>0</v>
      </c>
      <c r="Q346" s="9">
        <v>11.5</v>
      </c>
      <c r="R346" s="35">
        <v>1</v>
      </c>
      <c r="S346" s="2" t="s">
        <v>213</v>
      </c>
      <c r="T346" s="9">
        <v>11</v>
      </c>
      <c r="U346" s="2">
        <v>1</v>
      </c>
      <c r="V346" s="354">
        <v>1</v>
      </c>
      <c r="W346" s="213" t="s">
        <v>713</v>
      </c>
    </row>
    <row r="347" spans="1:23">
      <c r="A347" s="42" t="s">
        <v>77</v>
      </c>
      <c r="B347" s="3" t="s">
        <v>68</v>
      </c>
      <c r="C347" s="3">
        <v>320</v>
      </c>
      <c r="D347" s="1"/>
      <c r="E347" s="20" t="s">
        <v>17</v>
      </c>
      <c r="F347" s="7" t="s">
        <v>15</v>
      </c>
      <c r="G347" s="7" t="s">
        <v>32</v>
      </c>
      <c r="H347" s="11">
        <v>8.32</v>
      </c>
      <c r="I347" s="8">
        <v>11</v>
      </c>
      <c r="J347" s="26">
        <v>30</v>
      </c>
      <c r="K347" s="10">
        <f t="shared" si="36"/>
        <v>2.7456000000000005</v>
      </c>
      <c r="L347" s="4"/>
      <c r="M347" s="17">
        <v>30</v>
      </c>
      <c r="N347" s="18">
        <f t="shared" si="37"/>
        <v>2.7456</v>
      </c>
      <c r="O347" s="19">
        <f t="shared" si="38"/>
        <v>0</v>
      </c>
      <c r="P347" s="13">
        <f t="shared" si="39"/>
        <v>0</v>
      </c>
      <c r="Q347" s="9"/>
      <c r="R347" s="2"/>
      <c r="S347" s="2"/>
    </row>
    <row r="348" spans="1:23">
      <c r="A348" s="42" t="s">
        <v>77</v>
      </c>
      <c r="B348" s="3" t="s">
        <v>68</v>
      </c>
      <c r="C348" s="3">
        <v>1</v>
      </c>
      <c r="D348" s="1"/>
      <c r="E348" s="20" t="s">
        <v>17</v>
      </c>
      <c r="F348" s="7" t="s">
        <v>15</v>
      </c>
      <c r="G348" s="7" t="s">
        <v>32</v>
      </c>
      <c r="H348" s="11">
        <v>8.32</v>
      </c>
      <c r="I348" s="8">
        <v>10.5</v>
      </c>
      <c r="J348" s="26">
        <v>14</v>
      </c>
      <c r="K348" s="10">
        <f t="shared" si="36"/>
        <v>1.2230399999999999</v>
      </c>
      <c r="L348" s="4"/>
      <c r="M348" s="17">
        <f>7+7</f>
        <v>14</v>
      </c>
      <c r="N348" s="18">
        <f t="shared" si="37"/>
        <v>1.2230399999999999</v>
      </c>
      <c r="O348" s="19">
        <f t="shared" si="38"/>
        <v>0</v>
      </c>
      <c r="P348" s="13">
        <f t="shared" si="39"/>
        <v>0</v>
      </c>
      <c r="Q348" s="9"/>
      <c r="R348" s="2"/>
      <c r="S348" s="2"/>
    </row>
    <row r="349" spans="1:23">
      <c r="A349" s="42" t="s">
        <v>77</v>
      </c>
      <c r="B349" s="3" t="s">
        <v>68</v>
      </c>
      <c r="C349" s="3">
        <v>2</v>
      </c>
      <c r="D349" s="1"/>
      <c r="E349" s="20" t="s">
        <v>17</v>
      </c>
      <c r="F349" s="7" t="s">
        <v>15</v>
      </c>
      <c r="G349" s="7" t="s">
        <v>32</v>
      </c>
      <c r="H349" s="11">
        <v>8.32</v>
      </c>
      <c r="I349" s="8">
        <v>7.35</v>
      </c>
      <c r="J349" s="26">
        <v>24</v>
      </c>
      <c r="K349" s="10">
        <f t="shared" si="36"/>
        <v>1.4676480000000001</v>
      </c>
      <c r="L349" s="4"/>
      <c r="M349" s="17">
        <v>24</v>
      </c>
      <c r="N349" s="18">
        <f t="shared" si="37"/>
        <v>1.4676479999999998</v>
      </c>
      <c r="O349" s="19">
        <f t="shared" si="38"/>
        <v>0</v>
      </c>
      <c r="P349" s="13">
        <f t="shared" si="39"/>
        <v>0</v>
      </c>
      <c r="Q349" s="9"/>
      <c r="R349" s="2"/>
      <c r="S349" s="2"/>
    </row>
    <row r="350" spans="1:23">
      <c r="A350" s="42" t="s">
        <v>77</v>
      </c>
      <c r="B350" s="3" t="s">
        <v>68</v>
      </c>
      <c r="C350" s="3">
        <v>3</v>
      </c>
      <c r="D350" s="1"/>
      <c r="E350" s="20" t="s">
        <v>17</v>
      </c>
      <c r="F350" s="7" t="s">
        <v>15</v>
      </c>
      <c r="G350" s="7" t="s">
        <v>32</v>
      </c>
      <c r="H350" s="11">
        <v>8.32</v>
      </c>
      <c r="I350" s="8">
        <v>10.55</v>
      </c>
      <c r="J350" s="26">
        <v>8</v>
      </c>
      <c r="K350" s="10">
        <f t="shared" si="36"/>
        <v>0.70220800000000005</v>
      </c>
      <c r="L350" s="4"/>
      <c r="M350" s="17">
        <v>8</v>
      </c>
      <c r="N350" s="18">
        <f t="shared" si="37"/>
        <v>0.70220800000000005</v>
      </c>
      <c r="O350" s="19">
        <f t="shared" si="38"/>
        <v>0</v>
      </c>
      <c r="P350" s="13">
        <f t="shared" si="39"/>
        <v>0</v>
      </c>
      <c r="Q350" s="9"/>
      <c r="R350" s="2"/>
      <c r="S350" s="2"/>
    </row>
    <row r="351" spans="1:23">
      <c r="A351" s="42" t="s">
        <v>77</v>
      </c>
      <c r="B351" s="3" t="s">
        <v>68</v>
      </c>
      <c r="C351" s="3">
        <v>4</v>
      </c>
      <c r="D351" s="1"/>
      <c r="E351" s="20" t="s">
        <v>17</v>
      </c>
      <c r="F351" s="7" t="s">
        <v>15</v>
      </c>
      <c r="G351" s="7" t="s">
        <v>32</v>
      </c>
      <c r="H351" s="11">
        <v>8.32</v>
      </c>
      <c r="I351" s="8">
        <v>9</v>
      </c>
      <c r="J351" s="26">
        <v>21</v>
      </c>
      <c r="K351" s="10">
        <f t="shared" si="36"/>
        <v>1.5724800000000001</v>
      </c>
      <c r="L351" s="4"/>
      <c r="M351" s="17">
        <v>21</v>
      </c>
      <c r="N351" s="18">
        <f t="shared" si="37"/>
        <v>1.5724800000000001</v>
      </c>
      <c r="O351" s="19">
        <f t="shared" si="38"/>
        <v>0</v>
      </c>
      <c r="P351" s="13">
        <f t="shared" si="39"/>
        <v>0</v>
      </c>
      <c r="Q351" s="9"/>
      <c r="R351" s="2"/>
      <c r="S351" s="2"/>
    </row>
    <row r="352" spans="1:23">
      <c r="A352" s="42" t="s">
        <v>77</v>
      </c>
      <c r="B352" s="3" t="s">
        <v>68</v>
      </c>
      <c r="C352" s="3">
        <v>322</v>
      </c>
      <c r="D352" s="1" t="s">
        <v>384</v>
      </c>
      <c r="E352" s="20" t="s">
        <v>17</v>
      </c>
      <c r="F352" s="7" t="s">
        <v>15</v>
      </c>
      <c r="G352" s="7" t="s">
        <v>43</v>
      </c>
      <c r="H352" s="11">
        <v>15.04</v>
      </c>
      <c r="I352" s="8">
        <v>5.7</v>
      </c>
      <c r="J352" s="26">
        <v>2</v>
      </c>
      <c r="K352" s="10">
        <f t="shared" si="36"/>
        <v>0.171456</v>
      </c>
      <c r="L352" s="4"/>
      <c r="M352" s="17"/>
      <c r="N352" s="18">
        <f t="shared" si="37"/>
        <v>0</v>
      </c>
      <c r="O352" s="19">
        <f t="shared" si="38"/>
        <v>2</v>
      </c>
      <c r="P352" s="13">
        <f t="shared" si="39"/>
        <v>0.171456</v>
      </c>
      <c r="Q352" s="9"/>
      <c r="R352" s="2"/>
      <c r="S352" s="2"/>
    </row>
    <row r="353" spans="1:19">
      <c r="A353" s="42" t="s">
        <v>77</v>
      </c>
      <c r="B353" s="3" t="s">
        <v>68</v>
      </c>
      <c r="C353" s="3">
        <v>322</v>
      </c>
      <c r="D353" s="1" t="s">
        <v>384</v>
      </c>
      <c r="E353" s="20" t="s">
        <v>17</v>
      </c>
      <c r="F353" s="7" t="s">
        <v>15</v>
      </c>
      <c r="G353" s="7" t="s">
        <v>43</v>
      </c>
      <c r="H353" s="11">
        <v>15.04</v>
      </c>
      <c r="I353" s="8">
        <v>5.8</v>
      </c>
      <c r="J353" s="26">
        <v>1</v>
      </c>
      <c r="K353" s="10">
        <f t="shared" si="36"/>
        <v>8.7232000000000004E-2</v>
      </c>
      <c r="L353" s="4"/>
      <c r="M353" s="17"/>
      <c r="N353" s="18">
        <f t="shared" si="37"/>
        <v>0</v>
      </c>
      <c r="O353" s="19">
        <f t="shared" si="38"/>
        <v>1</v>
      </c>
      <c r="P353" s="13">
        <f t="shared" si="39"/>
        <v>8.7232000000000004E-2</v>
      </c>
      <c r="Q353" s="9"/>
      <c r="R353" s="2"/>
      <c r="S353" s="2"/>
    </row>
    <row r="354" spans="1:19">
      <c r="A354" s="42" t="s">
        <v>77</v>
      </c>
      <c r="B354" s="3" t="s">
        <v>68</v>
      </c>
      <c r="C354" s="3">
        <v>322</v>
      </c>
      <c r="D354" s="1" t="s">
        <v>384</v>
      </c>
      <c r="E354" s="20" t="s">
        <v>17</v>
      </c>
      <c r="F354" s="7" t="s">
        <v>15</v>
      </c>
      <c r="G354" s="7" t="s">
        <v>43</v>
      </c>
      <c r="H354" s="11">
        <v>15.04</v>
      </c>
      <c r="I354" s="8">
        <v>5.9</v>
      </c>
      <c r="J354" s="26">
        <v>1</v>
      </c>
      <c r="K354" s="10">
        <f t="shared" si="36"/>
        <v>8.8736000000000009E-2</v>
      </c>
      <c r="L354" s="4"/>
      <c r="M354" s="17"/>
      <c r="N354" s="18">
        <f t="shared" si="37"/>
        <v>0</v>
      </c>
      <c r="O354" s="19">
        <f t="shared" si="38"/>
        <v>1</v>
      </c>
      <c r="P354" s="13">
        <f t="shared" si="39"/>
        <v>8.8736000000000009E-2</v>
      </c>
      <c r="Q354" s="9"/>
      <c r="R354" s="2"/>
      <c r="S354" s="2"/>
    </row>
    <row r="355" spans="1:19">
      <c r="A355" s="42" t="s">
        <v>77</v>
      </c>
      <c r="B355" s="3" t="s">
        <v>68</v>
      </c>
      <c r="C355" s="3">
        <v>323</v>
      </c>
      <c r="D355" s="1"/>
      <c r="E355" s="20" t="s">
        <v>17</v>
      </c>
      <c r="F355" s="7" t="s">
        <v>15</v>
      </c>
      <c r="G355" s="7" t="s">
        <v>43</v>
      </c>
      <c r="H355" s="11">
        <v>15.04</v>
      </c>
      <c r="I355" s="8">
        <v>6</v>
      </c>
      <c r="J355" s="26">
        <v>1</v>
      </c>
      <c r="K355" s="10">
        <f t="shared" ref="K355" si="40">(H355*I355*J355/1000)</f>
        <v>9.0240000000000001E-2</v>
      </c>
      <c r="L355" s="4"/>
      <c r="M355" s="17">
        <v>1</v>
      </c>
      <c r="N355" s="18">
        <f t="shared" ref="N355" si="41">I355*M355*H355/1000</f>
        <v>9.0240000000000001E-2</v>
      </c>
      <c r="O355" s="19">
        <f t="shared" ref="O355" si="42">J355-M355</f>
        <v>0</v>
      </c>
      <c r="P355" s="13">
        <f t="shared" ref="P355" si="43">I355*O355*H355/1000</f>
        <v>0</v>
      </c>
      <c r="Q355" s="9"/>
      <c r="R355" s="2"/>
      <c r="S355" s="2"/>
    </row>
    <row r="356" spans="1:19">
      <c r="A356" s="42" t="s">
        <v>77</v>
      </c>
      <c r="B356" s="3" t="s">
        <v>68</v>
      </c>
      <c r="C356" s="3">
        <v>323</v>
      </c>
      <c r="D356" s="1"/>
      <c r="E356" s="20" t="s">
        <v>17</v>
      </c>
      <c r="F356" s="7" t="s">
        <v>15</v>
      </c>
      <c r="G356" s="7" t="s">
        <v>43</v>
      </c>
      <c r="H356" s="11">
        <v>15.04</v>
      </c>
      <c r="I356" s="8">
        <v>6</v>
      </c>
      <c r="J356" s="26">
        <v>1</v>
      </c>
      <c r="K356" s="10">
        <f t="shared" si="36"/>
        <v>9.0240000000000001E-2</v>
      </c>
      <c r="L356" s="4"/>
      <c r="M356" s="17">
        <v>1</v>
      </c>
      <c r="N356" s="18">
        <f t="shared" si="37"/>
        <v>9.0240000000000001E-2</v>
      </c>
      <c r="O356" s="19">
        <f t="shared" si="38"/>
        <v>0</v>
      </c>
      <c r="P356" s="13">
        <f t="shared" si="39"/>
        <v>0</v>
      </c>
      <c r="Q356" s="9"/>
      <c r="R356" s="2">
        <v>1</v>
      </c>
      <c r="S356" s="2" t="s">
        <v>263</v>
      </c>
    </row>
    <row r="357" spans="1:19">
      <c r="A357" s="42" t="s">
        <v>77</v>
      </c>
      <c r="B357" s="3" t="s">
        <v>68</v>
      </c>
      <c r="C357" s="3">
        <v>338</v>
      </c>
      <c r="D357" s="1"/>
      <c r="E357" s="20" t="s">
        <v>17</v>
      </c>
      <c r="F357" s="7" t="s">
        <v>15</v>
      </c>
      <c r="G357" s="7" t="s">
        <v>25</v>
      </c>
      <c r="H357" s="11">
        <v>7.34</v>
      </c>
      <c r="I357" s="8">
        <v>10</v>
      </c>
      <c r="J357" s="26">
        <v>3</v>
      </c>
      <c r="K357" s="10">
        <f t="shared" si="36"/>
        <v>0.22020000000000001</v>
      </c>
      <c r="L357" s="4"/>
      <c r="M357" s="17">
        <v>3</v>
      </c>
      <c r="N357" s="18">
        <f t="shared" si="37"/>
        <v>0.22019999999999998</v>
      </c>
      <c r="O357" s="19">
        <f t="shared" si="38"/>
        <v>0</v>
      </c>
      <c r="P357" s="13">
        <f t="shared" si="39"/>
        <v>0</v>
      </c>
      <c r="Q357" s="9" t="s">
        <v>292</v>
      </c>
      <c r="R357" s="2">
        <v>3</v>
      </c>
      <c r="S357" s="2"/>
    </row>
    <row r="358" spans="1:19">
      <c r="A358" s="42" t="s">
        <v>77</v>
      </c>
      <c r="B358" s="3" t="s">
        <v>68</v>
      </c>
      <c r="C358" s="3">
        <v>338</v>
      </c>
      <c r="D358" s="1"/>
      <c r="E358" s="20" t="s">
        <v>17</v>
      </c>
      <c r="F358" s="7" t="s">
        <v>15</v>
      </c>
      <c r="G358" s="7" t="s">
        <v>25</v>
      </c>
      <c r="H358" s="11">
        <v>7.34</v>
      </c>
      <c r="I358" s="8">
        <v>11</v>
      </c>
      <c r="J358" s="26">
        <v>9</v>
      </c>
      <c r="K358" s="10">
        <f t="shared" si="36"/>
        <v>0.72665999999999997</v>
      </c>
      <c r="L358" s="4"/>
      <c r="M358" s="17">
        <v>9</v>
      </c>
      <c r="N358" s="18">
        <f t="shared" si="37"/>
        <v>0.72665999999999997</v>
      </c>
      <c r="O358" s="19">
        <f t="shared" si="38"/>
        <v>0</v>
      </c>
      <c r="P358" s="13">
        <f t="shared" si="39"/>
        <v>0</v>
      </c>
      <c r="Q358" s="9"/>
      <c r="R358" s="2"/>
      <c r="S358" s="2"/>
    </row>
    <row r="359" spans="1:19">
      <c r="A359" s="42" t="s">
        <v>77</v>
      </c>
      <c r="B359" s="3" t="s">
        <v>68</v>
      </c>
      <c r="C359" s="3">
        <v>338</v>
      </c>
      <c r="D359" s="1"/>
      <c r="E359" s="20" t="s">
        <v>17</v>
      </c>
      <c r="F359" s="7" t="s">
        <v>15</v>
      </c>
      <c r="G359" s="7" t="s">
        <v>25</v>
      </c>
      <c r="H359" s="11">
        <v>7.34</v>
      </c>
      <c r="I359" s="8">
        <v>12</v>
      </c>
      <c r="J359" s="26">
        <v>24</v>
      </c>
      <c r="K359" s="10">
        <f t="shared" si="36"/>
        <v>2.1139200000000002</v>
      </c>
      <c r="L359" s="4"/>
      <c r="M359" s="17">
        <v>24</v>
      </c>
      <c r="N359" s="18">
        <f t="shared" si="37"/>
        <v>2.1139200000000002</v>
      </c>
      <c r="O359" s="19">
        <f t="shared" si="38"/>
        <v>0</v>
      </c>
      <c r="P359" s="13">
        <f t="shared" si="39"/>
        <v>0</v>
      </c>
      <c r="Q359" s="9"/>
      <c r="R359" s="2"/>
      <c r="S359" s="2"/>
    </row>
    <row r="360" spans="1:19">
      <c r="A360" s="42" t="s">
        <v>77</v>
      </c>
      <c r="B360" s="3" t="s">
        <v>68</v>
      </c>
      <c r="C360" s="3">
        <v>339</v>
      </c>
      <c r="D360" s="1"/>
      <c r="E360" s="20" t="s">
        <v>17</v>
      </c>
      <c r="F360" s="7" t="s">
        <v>15</v>
      </c>
      <c r="G360" s="7" t="s">
        <v>32</v>
      </c>
      <c r="H360" s="11">
        <v>8.32</v>
      </c>
      <c r="I360" s="8">
        <v>10</v>
      </c>
      <c r="J360" s="26">
        <v>30</v>
      </c>
      <c r="K360" s="10">
        <f t="shared" si="36"/>
        <v>2.496</v>
      </c>
      <c r="L360" s="4"/>
      <c r="M360" s="17">
        <v>30</v>
      </c>
      <c r="N360" s="18">
        <f t="shared" si="37"/>
        <v>2.496</v>
      </c>
      <c r="O360" s="19">
        <f t="shared" si="38"/>
        <v>0</v>
      </c>
      <c r="P360" s="13">
        <f t="shared" si="39"/>
        <v>0</v>
      </c>
      <c r="Q360" s="9"/>
      <c r="R360" s="2"/>
      <c r="S360" s="2"/>
    </row>
    <row r="361" spans="1:19">
      <c r="A361" s="42" t="s">
        <v>77</v>
      </c>
      <c r="B361" s="3" t="s">
        <v>68</v>
      </c>
      <c r="C361" s="3">
        <v>340</v>
      </c>
      <c r="D361" s="1"/>
      <c r="E361" s="20" t="s">
        <v>17</v>
      </c>
      <c r="F361" s="7" t="s">
        <v>15</v>
      </c>
      <c r="G361" s="7" t="s">
        <v>32</v>
      </c>
      <c r="H361" s="11">
        <v>8.32</v>
      </c>
      <c r="I361" s="8">
        <v>12</v>
      </c>
      <c r="J361" s="26">
        <v>15</v>
      </c>
      <c r="K361" s="10">
        <f t="shared" si="36"/>
        <v>1.4976</v>
      </c>
      <c r="L361" s="4"/>
      <c r="M361" s="17">
        <v>15</v>
      </c>
      <c r="N361" s="18">
        <f t="shared" si="37"/>
        <v>1.4976</v>
      </c>
      <c r="O361" s="19">
        <f t="shared" si="38"/>
        <v>0</v>
      </c>
      <c r="P361" s="13">
        <f t="shared" si="39"/>
        <v>0</v>
      </c>
      <c r="Q361" s="9"/>
      <c r="R361" s="2"/>
      <c r="S361" s="2"/>
    </row>
    <row r="362" spans="1:19">
      <c r="A362" s="42" t="s">
        <v>77</v>
      </c>
      <c r="B362" s="3" t="s">
        <v>68</v>
      </c>
      <c r="C362" s="3">
        <v>341</v>
      </c>
      <c r="D362" s="1"/>
      <c r="E362" s="20" t="s">
        <v>17</v>
      </c>
      <c r="F362" s="7" t="s">
        <v>15</v>
      </c>
      <c r="G362" s="7" t="s">
        <v>32</v>
      </c>
      <c r="H362" s="11">
        <v>8.32</v>
      </c>
      <c r="I362" s="8">
        <v>10.1</v>
      </c>
      <c r="J362" s="26">
        <v>29</v>
      </c>
      <c r="K362" s="10">
        <f t="shared" si="36"/>
        <v>2.436928</v>
      </c>
      <c r="L362" s="4"/>
      <c r="M362" s="17">
        <v>29</v>
      </c>
      <c r="N362" s="18">
        <f t="shared" si="37"/>
        <v>2.436928</v>
      </c>
      <c r="O362" s="19">
        <f t="shared" si="38"/>
        <v>0</v>
      </c>
      <c r="P362" s="13">
        <f t="shared" si="39"/>
        <v>0</v>
      </c>
      <c r="Q362" s="9"/>
      <c r="R362" s="2"/>
      <c r="S362" s="2"/>
    </row>
    <row r="363" spans="1:19">
      <c r="A363" s="42" t="s">
        <v>77</v>
      </c>
      <c r="B363" s="3" t="s">
        <v>68</v>
      </c>
      <c r="C363" s="3">
        <v>342</v>
      </c>
      <c r="D363" s="1"/>
      <c r="E363" s="20" t="s">
        <v>17</v>
      </c>
      <c r="F363" s="7" t="s">
        <v>15</v>
      </c>
      <c r="G363" s="7" t="s">
        <v>32</v>
      </c>
      <c r="H363" s="11">
        <v>8.32</v>
      </c>
      <c r="I363" s="8">
        <v>12</v>
      </c>
      <c r="J363" s="26">
        <v>30</v>
      </c>
      <c r="K363" s="10">
        <f t="shared" si="36"/>
        <v>2.9952000000000001</v>
      </c>
      <c r="L363" s="4"/>
      <c r="M363" s="17">
        <v>30</v>
      </c>
      <c r="N363" s="18">
        <f t="shared" si="37"/>
        <v>2.9952000000000001</v>
      </c>
      <c r="O363" s="19">
        <f t="shared" si="38"/>
        <v>0</v>
      </c>
      <c r="P363" s="13">
        <f t="shared" si="39"/>
        <v>0</v>
      </c>
      <c r="Q363" s="9"/>
      <c r="R363" s="2"/>
      <c r="S363" s="2"/>
    </row>
    <row r="364" spans="1:19">
      <c r="A364" s="42" t="s">
        <v>77</v>
      </c>
      <c r="B364" s="3" t="s">
        <v>68</v>
      </c>
      <c r="C364" s="3">
        <v>343</v>
      </c>
      <c r="D364" s="1"/>
      <c r="E364" s="20" t="s">
        <v>17</v>
      </c>
      <c r="F364" s="7" t="s">
        <v>15</v>
      </c>
      <c r="G364" s="7" t="s">
        <v>32</v>
      </c>
      <c r="H364" s="11">
        <v>8.32</v>
      </c>
      <c r="I364" s="8">
        <v>12</v>
      </c>
      <c r="J364" s="26">
        <v>30</v>
      </c>
      <c r="K364" s="10">
        <f t="shared" si="36"/>
        <v>2.9952000000000001</v>
      </c>
      <c r="L364" s="4"/>
      <c r="M364" s="17">
        <v>30</v>
      </c>
      <c r="N364" s="18">
        <f t="shared" si="37"/>
        <v>2.9952000000000001</v>
      </c>
      <c r="O364" s="19">
        <f t="shared" si="38"/>
        <v>0</v>
      </c>
      <c r="P364" s="13">
        <f t="shared" si="39"/>
        <v>0</v>
      </c>
      <c r="Q364" s="9"/>
      <c r="R364" s="2"/>
      <c r="S364" s="2"/>
    </row>
    <row r="365" spans="1:19">
      <c r="A365" s="42" t="s">
        <v>77</v>
      </c>
      <c r="B365" s="3" t="s">
        <v>68</v>
      </c>
      <c r="C365" s="3">
        <v>344</v>
      </c>
      <c r="D365" s="1"/>
      <c r="E365" s="20" t="s">
        <v>17</v>
      </c>
      <c r="F365" s="7" t="s">
        <v>15</v>
      </c>
      <c r="G365" s="7" t="s">
        <v>32</v>
      </c>
      <c r="H365" s="11">
        <v>8.32</v>
      </c>
      <c r="I365" s="8">
        <v>12</v>
      </c>
      <c r="J365" s="26">
        <v>33</v>
      </c>
      <c r="K365" s="10">
        <f t="shared" ref="K365:K417" si="44">(H365*I365*J365/1000)</f>
        <v>3.2947200000000003</v>
      </c>
      <c r="L365" s="4"/>
      <c r="M365" s="17">
        <v>33</v>
      </c>
      <c r="N365" s="18">
        <f t="shared" ref="N365:N417" si="45">I365*M365*H365/1000</f>
        <v>3.2947200000000003</v>
      </c>
      <c r="O365" s="19">
        <f t="shared" ref="O365:O417" si="46">J365-M365</f>
        <v>0</v>
      </c>
      <c r="P365" s="13">
        <f t="shared" ref="P365:P417" si="47">I365*O365*H365/1000</f>
        <v>0</v>
      </c>
      <c r="Q365" s="9"/>
      <c r="R365" s="2"/>
      <c r="S365" s="2"/>
    </row>
    <row r="366" spans="1:19">
      <c r="A366" s="42" t="s">
        <v>77</v>
      </c>
      <c r="B366" s="3" t="s">
        <v>68</v>
      </c>
      <c r="C366" s="3">
        <v>345</v>
      </c>
      <c r="D366" s="1"/>
      <c r="E366" s="20" t="s">
        <v>17</v>
      </c>
      <c r="F366" s="7" t="s">
        <v>15</v>
      </c>
      <c r="G366" s="7" t="s">
        <v>32</v>
      </c>
      <c r="H366" s="11">
        <v>8.32</v>
      </c>
      <c r="I366" s="8">
        <v>12</v>
      </c>
      <c r="J366" s="26">
        <v>31</v>
      </c>
      <c r="K366" s="10">
        <f t="shared" si="44"/>
        <v>3.09504</v>
      </c>
      <c r="L366" s="4"/>
      <c r="M366" s="17">
        <v>31</v>
      </c>
      <c r="N366" s="18">
        <f t="shared" si="45"/>
        <v>3.09504</v>
      </c>
      <c r="O366" s="19">
        <f t="shared" si="46"/>
        <v>0</v>
      </c>
      <c r="P366" s="13">
        <f t="shared" si="47"/>
        <v>0</v>
      </c>
      <c r="Q366" s="9"/>
      <c r="R366" s="2"/>
      <c r="S366" s="2"/>
    </row>
    <row r="367" spans="1:19">
      <c r="A367" s="42"/>
      <c r="B367" s="3"/>
      <c r="C367" s="3"/>
      <c r="D367" s="1"/>
      <c r="E367" s="20" t="s">
        <v>17</v>
      </c>
      <c r="F367" s="7" t="s">
        <v>15</v>
      </c>
      <c r="G367" s="7" t="s">
        <v>32</v>
      </c>
      <c r="H367" s="11">
        <v>8.32</v>
      </c>
      <c r="I367" s="8">
        <v>6.5</v>
      </c>
      <c r="J367" s="26">
        <v>22</v>
      </c>
      <c r="K367" s="10">
        <f t="shared" si="44"/>
        <v>1.1897599999999999</v>
      </c>
      <c r="L367" s="4"/>
      <c r="M367" s="17">
        <v>22</v>
      </c>
      <c r="N367" s="18">
        <f t="shared" si="45"/>
        <v>1.1897599999999999</v>
      </c>
      <c r="O367" s="19">
        <f t="shared" si="46"/>
        <v>0</v>
      </c>
      <c r="P367" s="13">
        <f t="shared" si="47"/>
        <v>0</v>
      </c>
      <c r="Q367" s="9"/>
      <c r="R367" s="2"/>
      <c r="S367" s="2"/>
    </row>
    <row r="368" spans="1:19">
      <c r="A368" s="42" t="s">
        <v>77</v>
      </c>
      <c r="B368" s="3" t="s">
        <v>68</v>
      </c>
      <c r="C368" s="3">
        <v>346</v>
      </c>
      <c r="D368" s="1"/>
      <c r="E368" s="20" t="s">
        <v>17</v>
      </c>
      <c r="F368" s="7" t="s">
        <v>15</v>
      </c>
      <c r="G368" s="7" t="s">
        <v>54</v>
      </c>
      <c r="H368" s="11">
        <v>31.6</v>
      </c>
      <c r="I368" s="8">
        <v>10.6</v>
      </c>
      <c r="J368" s="26">
        <v>1</v>
      </c>
      <c r="K368" s="10">
        <f t="shared" si="44"/>
        <v>0.33495999999999998</v>
      </c>
      <c r="L368" s="4"/>
      <c r="M368" s="17">
        <v>1</v>
      </c>
      <c r="N368" s="18">
        <f t="shared" si="45"/>
        <v>0.33495999999999998</v>
      </c>
      <c r="O368" s="19">
        <f t="shared" si="46"/>
        <v>0</v>
      </c>
      <c r="P368" s="13">
        <f t="shared" si="47"/>
        <v>0</v>
      </c>
      <c r="Q368" s="9">
        <v>7.2</v>
      </c>
      <c r="R368" s="35">
        <v>1</v>
      </c>
      <c r="S368" s="32" t="s">
        <v>673</v>
      </c>
    </row>
    <row r="369" spans="1:22">
      <c r="A369" s="42" t="s">
        <v>77</v>
      </c>
      <c r="B369" s="3" t="s">
        <v>68</v>
      </c>
      <c r="C369" s="3">
        <v>347</v>
      </c>
      <c r="D369" s="1"/>
      <c r="E369" s="20" t="s">
        <v>17</v>
      </c>
      <c r="F369" s="7" t="s">
        <v>15</v>
      </c>
      <c r="G369" s="7" t="s">
        <v>58</v>
      </c>
      <c r="H369" s="11">
        <v>27.29</v>
      </c>
      <c r="I369" s="8">
        <v>7.2</v>
      </c>
      <c r="J369" s="26">
        <v>2</v>
      </c>
      <c r="K369" s="10">
        <f t="shared" si="44"/>
        <v>0.39297599999999999</v>
      </c>
      <c r="L369" s="4"/>
      <c r="M369" s="17">
        <v>2</v>
      </c>
      <c r="N369" s="18">
        <f t="shared" si="45"/>
        <v>0.39297599999999999</v>
      </c>
      <c r="O369" s="19">
        <f t="shared" si="46"/>
        <v>0</v>
      </c>
      <c r="P369" s="13">
        <f t="shared" si="47"/>
        <v>0</v>
      </c>
      <c r="Q369" s="9"/>
      <c r="R369" s="2">
        <v>2</v>
      </c>
      <c r="S369" s="2" t="s">
        <v>203</v>
      </c>
    </row>
    <row r="370" spans="1:22">
      <c r="A370" s="42" t="s">
        <v>77</v>
      </c>
      <c r="B370" s="3" t="s">
        <v>68</v>
      </c>
      <c r="C370" s="3">
        <v>348</v>
      </c>
      <c r="D370" s="1"/>
      <c r="E370" s="20" t="s">
        <v>17</v>
      </c>
      <c r="F370" s="7" t="s">
        <v>15</v>
      </c>
      <c r="G370" s="7" t="s">
        <v>56</v>
      </c>
      <c r="H370" s="11">
        <v>25.2</v>
      </c>
      <c r="I370" s="8">
        <v>11.2</v>
      </c>
      <c r="J370" s="26">
        <v>1</v>
      </c>
      <c r="K370" s="10">
        <f t="shared" si="44"/>
        <v>0.28223999999999994</v>
      </c>
      <c r="L370" s="4"/>
      <c r="M370" s="17">
        <v>1</v>
      </c>
      <c r="N370" s="18">
        <f t="shared" si="45"/>
        <v>0.28223999999999994</v>
      </c>
      <c r="O370" s="19">
        <f t="shared" si="46"/>
        <v>0</v>
      </c>
      <c r="P370" s="13">
        <f t="shared" si="47"/>
        <v>0</v>
      </c>
      <c r="Q370" s="9">
        <v>10.5</v>
      </c>
      <c r="R370" s="2">
        <v>1</v>
      </c>
      <c r="S370" s="2" t="s">
        <v>196</v>
      </c>
    </row>
    <row r="371" spans="1:22">
      <c r="A371" s="42" t="s">
        <v>77</v>
      </c>
      <c r="B371" s="3" t="s">
        <v>68</v>
      </c>
      <c r="C371" s="3">
        <v>349</v>
      </c>
      <c r="D371" s="1"/>
      <c r="E371" s="20" t="s">
        <v>17</v>
      </c>
      <c r="F371" s="7" t="s">
        <v>15</v>
      </c>
      <c r="G371" s="7" t="s">
        <v>57</v>
      </c>
      <c r="H371" s="11">
        <v>33.72</v>
      </c>
      <c r="I371" s="8">
        <v>9.75</v>
      </c>
      <c r="J371" s="26">
        <v>4</v>
      </c>
      <c r="K371" s="10">
        <f t="shared" si="44"/>
        <v>1.31508</v>
      </c>
      <c r="L371" s="4"/>
      <c r="M371" s="17">
        <v>4</v>
      </c>
      <c r="N371" s="18">
        <f t="shared" si="45"/>
        <v>1.31508</v>
      </c>
      <c r="O371" s="19">
        <f t="shared" si="46"/>
        <v>0</v>
      </c>
      <c r="P371" s="13">
        <f t="shared" si="47"/>
        <v>0</v>
      </c>
      <c r="Q371" s="9">
        <v>9.75</v>
      </c>
      <c r="R371" s="2">
        <v>4</v>
      </c>
      <c r="S371" s="2" t="s">
        <v>206</v>
      </c>
    </row>
    <row r="372" spans="1:22">
      <c r="A372" s="42" t="s">
        <v>77</v>
      </c>
      <c r="B372" s="3" t="s">
        <v>68</v>
      </c>
      <c r="C372" s="3">
        <v>350</v>
      </c>
      <c r="D372" s="1"/>
      <c r="E372" s="20" t="s">
        <v>17</v>
      </c>
      <c r="F372" s="7" t="s">
        <v>15</v>
      </c>
      <c r="G372" s="7" t="s">
        <v>57</v>
      </c>
      <c r="H372" s="11">
        <v>33.72</v>
      </c>
      <c r="I372" s="8">
        <v>9.5</v>
      </c>
      <c r="J372" s="26">
        <v>6</v>
      </c>
      <c r="K372" s="10">
        <f t="shared" si="44"/>
        <v>1.92204</v>
      </c>
      <c r="L372" s="4"/>
      <c r="M372" s="17">
        <v>6</v>
      </c>
      <c r="N372" s="84">
        <f t="shared" si="45"/>
        <v>1.92204</v>
      </c>
      <c r="O372" s="19">
        <f t="shared" si="46"/>
        <v>0</v>
      </c>
      <c r="P372" s="13">
        <f t="shared" si="47"/>
        <v>0</v>
      </c>
      <c r="Q372" s="9">
        <v>9.5</v>
      </c>
      <c r="R372" s="2">
        <v>6</v>
      </c>
      <c r="S372" s="2" t="s">
        <v>205</v>
      </c>
    </row>
    <row r="373" spans="1:22">
      <c r="A373" s="42" t="s">
        <v>77</v>
      </c>
      <c r="B373" s="3" t="s">
        <v>68</v>
      </c>
      <c r="C373" s="3">
        <v>351</v>
      </c>
      <c r="D373" s="1"/>
      <c r="E373" s="20" t="s">
        <v>17</v>
      </c>
      <c r="F373" s="7" t="s">
        <v>15</v>
      </c>
      <c r="G373" s="7" t="s">
        <v>57</v>
      </c>
      <c r="H373" s="11">
        <v>33.72</v>
      </c>
      <c r="I373" s="8">
        <v>9.3000000000000007</v>
      </c>
      <c r="J373" s="26">
        <v>2</v>
      </c>
      <c r="K373" s="10">
        <f t="shared" si="44"/>
        <v>0.62719199999999997</v>
      </c>
      <c r="L373" s="4"/>
      <c r="M373" s="17">
        <f>1+1</f>
        <v>2</v>
      </c>
      <c r="N373" s="18">
        <f t="shared" si="45"/>
        <v>0.62719199999999997</v>
      </c>
      <c r="O373" s="19">
        <f t="shared" si="46"/>
        <v>0</v>
      </c>
      <c r="P373" s="13">
        <f t="shared" si="47"/>
        <v>0</v>
      </c>
      <c r="Q373" s="9">
        <v>9.3000000000000007</v>
      </c>
      <c r="R373" s="2">
        <v>1</v>
      </c>
      <c r="S373" s="2" t="s">
        <v>205</v>
      </c>
      <c r="T373" s="200">
        <v>8.3000000000000007</v>
      </c>
      <c r="U373" s="200">
        <v>1</v>
      </c>
      <c r="V373" s="200" t="s">
        <v>218</v>
      </c>
    </row>
    <row r="374" spans="1:22">
      <c r="A374" s="42" t="s">
        <v>77</v>
      </c>
      <c r="B374" s="3" t="s">
        <v>68</v>
      </c>
      <c r="C374" s="3">
        <v>351</v>
      </c>
      <c r="D374" s="1"/>
      <c r="E374" s="20" t="s">
        <v>17</v>
      </c>
      <c r="F374" s="7" t="s">
        <v>15</v>
      </c>
      <c r="G374" s="7" t="s">
        <v>57</v>
      </c>
      <c r="H374" s="11">
        <v>33.72</v>
      </c>
      <c r="I374" s="8">
        <v>9.1</v>
      </c>
      <c r="J374" s="26">
        <v>1</v>
      </c>
      <c r="K374" s="10">
        <f t="shared" si="44"/>
        <v>0.30685199999999996</v>
      </c>
      <c r="L374" s="4"/>
      <c r="M374" s="17">
        <v>1</v>
      </c>
      <c r="N374" s="18">
        <f t="shared" si="45"/>
        <v>0.30685199999999996</v>
      </c>
      <c r="O374" s="19">
        <f t="shared" si="46"/>
        <v>0</v>
      </c>
      <c r="P374" s="13">
        <f t="shared" si="47"/>
        <v>0</v>
      </c>
      <c r="Q374" s="9">
        <v>9.1</v>
      </c>
      <c r="R374" s="2">
        <v>1</v>
      </c>
      <c r="S374" s="2" t="s">
        <v>206</v>
      </c>
    </row>
    <row r="375" spans="1:22">
      <c r="A375" s="42" t="s">
        <v>77</v>
      </c>
      <c r="B375" s="3" t="s">
        <v>68</v>
      </c>
      <c r="C375" s="3">
        <v>351</v>
      </c>
      <c r="D375" s="1"/>
      <c r="E375" s="20" t="s">
        <v>17</v>
      </c>
      <c r="F375" s="7" t="s">
        <v>15</v>
      </c>
      <c r="G375" s="7" t="s">
        <v>57</v>
      </c>
      <c r="H375" s="11">
        <v>33.72</v>
      </c>
      <c r="I375" s="8">
        <v>11.5</v>
      </c>
      <c r="J375" s="26">
        <v>1</v>
      </c>
      <c r="K375" s="10">
        <f t="shared" si="44"/>
        <v>0.38777999999999996</v>
      </c>
      <c r="L375" s="4"/>
      <c r="M375" s="17">
        <v>1</v>
      </c>
      <c r="N375" s="18">
        <f t="shared" si="45"/>
        <v>0.38777999999999996</v>
      </c>
      <c r="O375" s="19">
        <f t="shared" si="46"/>
        <v>0</v>
      </c>
      <c r="P375" s="13">
        <f t="shared" si="47"/>
        <v>0</v>
      </c>
      <c r="Q375" s="9"/>
      <c r="R375" s="2"/>
      <c r="S375" s="2"/>
      <c r="T375" s="29"/>
      <c r="U375" s="29"/>
      <c r="V375" s="29"/>
    </row>
    <row r="376" spans="1:22">
      <c r="A376" s="42" t="s">
        <v>77</v>
      </c>
      <c r="B376" s="3" t="s">
        <v>68</v>
      </c>
      <c r="C376" s="3">
        <v>351</v>
      </c>
      <c r="D376" s="1"/>
      <c r="E376" s="20" t="s">
        <v>17</v>
      </c>
      <c r="F376" s="7" t="s">
        <v>15</v>
      </c>
      <c r="G376" s="7" t="s">
        <v>57</v>
      </c>
      <c r="H376" s="11">
        <v>33.72</v>
      </c>
      <c r="I376" s="8">
        <v>11.8</v>
      </c>
      <c r="J376" s="26">
        <v>3</v>
      </c>
      <c r="K376" s="10">
        <f t="shared" si="44"/>
        <v>1.1936880000000001</v>
      </c>
      <c r="L376" s="4"/>
      <c r="M376" s="85">
        <v>3</v>
      </c>
      <c r="N376" s="86">
        <f t="shared" si="45"/>
        <v>1.1936880000000001</v>
      </c>
      <c r="O376" s="87">
        <f t="shared" si="46"/>
        <v>0</v>
      </c>
      <c r="P376" s="88">
        <f t="shared" si="47"/>
        <v>0</v>
      </c>
      <c r="Q376" s="89">
        <v>11.8</v>
      </c>
      <c r="R376" s="90">
        <v>3</v>
      </c>
      <c r="S376" s="90" t="s">
        <v>204</v>
      </c>
    </row>
    <row r="377" spans="1:22">
      <c r="A377" s="42" t="s">
        <v>77</v>
      </c>
      <c r="B377" s="3" t="s">
        <v>68</v>
      </c>
      <c r="C377" s="3">
        <v>352</v>
      </c>
      <c r="D377" s="1"/>
      <c r="E377" s="20" t="s">
        <v>17</v>
      </c>
      <c r="F377" s="7" t="s">
        <v>15</v>
      </c>
      <c r="G377" s="7" t="s">
        <v>57</v>
      </c>
      <c r="H377" s="11">
        <v>33.72</v>
      </c>
      <c r="I377" s="8">
        <v>11.8</v>
      </c>
      <c r="J377" s="26">
        <v>5</v>
      </c>
      <c r="K377" s="10">
        <f t="shared" si="44"/>
        <v>1.9894799999999999</v>
      </c>
      <c r="L377" s="4"/>
      <c r="M377" s="17">
        <v>5</v>
      </c>
      <c r="N377" s="18">
        <f t="shared" si="45"/>
        <v>1.9894799999999999</v>
      </c>
      <c r="O377" s="19">
        <f t="shared" si="46"/>
        <v>0</v>
      </c>
      <c r="P377" s="13">
        <f t="shared" si="47"/>
        <v>0</v>
      </c>
      <c r="Q377" s="9">
        <v>11.8</v>
      </c>
      <c r="R377" s="2">
        <v>5</v>
      </c>
      <c r="S377" s="2" t="s">
        <v>206</v>
      </c>
    </row>
    <row r="378" spans="1:22">
      <c r="A378" s="42" t="s">
        <v>77</v>
      </c>
      <c r="B378" s="3" t="s">
        <v>68</v>
      </c>
      <c r="C378" s="3">
        <v>353</v>
      </c>
      <c r="D378" s="1"/>
      <c r="E378" s="20" t="s">
        <v>17</v>
      </c>
      <c r="F378" s="7" t="s">
        <v>15</v>
      </c>
      <c r="G378" s="7" t="s">
        <v>57</v>
      </c>
      <c r="H378" s="11">
        <v>33.72</v>
      </c>
      <c r="I378" s="8">
        <v>9.5</v>
      </c>
      <c r="J378" s="26">
        <v>5</v>
      </c>
      <c r="K378" s="10">
        <f t="shared" si="44"/>
        <v>1.6016999999999999</v>
      </c>
      <c r="L378" s="4"/>
      <c r="M378" s="17">
        <v>5</v>
      </c>
      <c r="N378" s="18">
        <f t="shared" si="45"/>
        <v>1.6017000000000001</v>
      </c>
      <c r="O378" s="19">
        <f t="shared" si="46"/>
        <v>0</v>
      </c>
      <c r="P378" s="13">
        <f t="shared" si="47"/>
        <v>0</v>
      </c>
      <c r="Q378" s="9">
        <v>9.5</v>
      </c>
      <c r="R378" s="2">
        <v>5</v>
      </c>
      <c r="S378" s="2" t="s">
        <v>206</v>
      </c>
    </row>
    <row r="379" spans="1:22">
      <c r="A379" s="42" t="s">
        <v>77</v>
      </c>
      <c r="B379" s="3" t="s">
        <v>68</v>
      </c>
      <c r="C379" s="3">
        <v>353</v>
      </c>
      <c r="D379" s="1"/>
      <c r="E379" s="20" t="s">
        <v>17</v>
      </c>
      <c r="F379" s="7" t="s">
        <v>15</v>
      </c>
      <c r="G379" s="7" t="s">
        <v>57</v>
      </c>
      <c r="H379" s="11">
        <v>33.72</v>
      </c>
      <c r="I379" s="8">
        <v>11.5</v>
      </c>
      <c r="J379" s="26">
        <v>1</v>
      </c>
      <c r="K379" s="10">
        <f t="shared" si="44"/>
        <v>0.38777999999999996</v>
      </c>
      <c r="L379" s="4"/>
      <c r="M379" s="17">
        <v>1</v>
      </c>
      <c r="N379" s="18">
        <f t="shared" si="45"/>
        <v>0.38777999999999996</v>
      </c>
      <c r="O379" s="19">
        <f t="shared" si="46"/>
        <v>0</v>
      </c>
      <c r="P379" s="13">
        <f t="shared" si="47"/>
        <v>0</v>
      </c>
      <c r="Q379" s="9">
        <v>11.5</v>
      </c>
      <c r="R379" s="2">
        <v>1</v>
      </c>
      <c r="S379" s="2" t="s">
        <v>206</v>
      </c>
    </row>
    <row r="380" spans="1:22">
      <c r="A380" s="42" t="s">
        <v>77</v>
      </c>
      <c r="B380" s="3" t="s">
        <v>68</v>
      </c>
      <c r="C380" s="3">
        <v>353</v>
      </c>
      <c r="D380" s="1"/>
      <c r="E380" s="20" t="s">
        <v>17</v>
      </c>
      <c r="F380" s="7" t="s">
        <v>15</v>
      </c>
      <c r="G380" s="7" t="s">
        <v>57</v>
      </c>
      <c r="H380" s="11">
        <v>33.72</v>
      </c>
      <c r="I380" s="8">
        <v>11.4</v>
      </c>
      <c r="J380" s="26">
        <v>1</v>
      </c>
      <c r="K380" s="10">
        <f t="shared" si="44"/>
        <v>0.38440800000000003</v>
      </c>
      <c r="L380" s="4"/>
      <c r="M380" s="17">
        <v>1</v>
      </c>
      <c r="N380" s="18">
        <f t="shared" si="45"/>
        <v>0.38440800000000003</v>
      </c>
      <c r="O380" s="19">
        <f t="shared" si="46"/>
        <v>0</v>
      </c>
      <c r="P380" s="13">
        <f t="shared" si="47"/>
        <v>0</v>
      </c>
      <c r="Q380" s="9">
        <v>11.4</v>
      </c>
      <c r="R380" s="2">
        <v>1</v>
      </c>
      <c r="S380" s="2" t="s">
        <v>206</v>
      </c>
    </row>
    <row r="381" spans="1:22">
      <c r="A381" s="42" t="s">
        <v>77</v>
      </c>
      <c r="B381" s="3" t="s">
        <v>68</v>
      </c>
      <c r="C381" s="3">
        <v>353</v>
      </c>
      <c r="D381" s="1"/>
      <c r="E381" s="20" t="s">
        <v>17</v>
      </c>
      <c r="F381" s="7" t="s">
        <v>15</v>
      </c>
      <c r="G381" s="7" t="s">
        <v>57</v>
      </c>
      <c r="H381" s="11">
        <v>33.72</v>
      </c>
      <c r="I381" s="8">
        <v>11.7</v>
      </c>
      <c r="J381" s="26">
        <v>1</v>
      </c>
      <c r="K381" s="10">
        <f t="shared" si="44"/>
        <v>0.39452399999999993</v>
      </c>
      <c r="L381" s="4"/>
      <c r="M381" s="17">
        <v>1</v>
      </c>
      <c r="N381" s="18">
        <f t="shared" si="45"/>
        <v>0.39452399999999993</v>
      </c>
      <c r="O381" s="19">
        <f t="shared" si="46"/>
        <v>0</v>
      </c>
      <c r="P381" s="13">
        <f t="shared" si="47"/>
        <v>0</v>
      </c>
      <c r="Q381" s="9"/>
      <c r="R381" s="2"/>
      <c r="S381" s="2"/>
      <c r="T381" s="29"/>
      <c r="U381" s="29"/>
      <c r="V381" s="29"/>
    </row>
    <row r="382" spans="1:22">
      <c r="A382" s="42" t="s">
        <v>77</v>
      </c>
      <c r="B382" s="3" t="s">
        <v>68</v>
      </c>
      <c r="C382" s="3">
        <v>354</v>
      </c>
      <c r="D382" s="1"/>
      <c r="E382" s="20" t="s">
        <v>17</v>
      </c>
      <c r="F382" s="7" t="s">
        <v>15</v>
      </c>
      <c r="G382" s="7" t="s">
        <v>25</v>
      </c>
      <c r="H382" s="11">
        <v>7.34</v>
      </c>
      <c r="I382" s="8">
        <v>6.65</v>
      </c>
      <c r="J382" s="26">
        <v>32</v>
      </c>
      <c r="K382" s="10">
        <f t="shared" si="44"/>
        <v>1.561952</v>
      </c>
      <c r="L382" s="4"/>
      <c r="M382" s="17">
        <v>32</v>
      </c>
      <c r="N382" s="18">
        <f t="shared" si="45"/>
        <v>1.561952</v>
      </c>
      <c r="O382" s="19">
        <f t="shared" si="46"/>
        <v>0</v>
      </c>
      <c r="P382" s="13">
        <f t="shared" si="47"/>
        <v>0</v>
      </c>
      <c r="Q382" s="9"/>
      <c r="R382" s="2"/>
      <c r="S382" s="2"/>
    </row>
    <row r="383" spans="1:22">
      <c r="A383" s="42" t="s">
        <v>77</v>
      </c>
      <c r="B383" s="3" t="s">
        <v>68</v>
      </c>
      <c r="C383" s="3">
        <v>355</v>
      </c>
      <c r="D383" s="1"/>
      <c r="E383" s="20" t="s">
        <v>17</v>
      </c>
      <c r="F383" s="7" t="s">
        <v>15</v>
      </c>
      <c r="G383" s="7" t="s">
        <v>25</v>
      </c>
      <c r="H383" s="11">
        <v>7.34</v>
      </c>
      <c r="I383" s="8">
        <v>9.5</v>
      </c>
      <c r="J383" s="26">
        <v>29</v>
      </c>
      <c r="K383" s="10">
        <f t="shared" si="44"/>
        <v>2.02217</v>
      </c>
      <c r="L383" s="4"/>
      <c r="M383" s="17">
        <v>29</v>
      </c>
      <c r="N383" s="18">
        <f t="shared" si="45"/>
        <v>2.02217</v>
      </c>
      <c r="O383" s="19">
        <f t="shared" si="46"/>
        <v>0</v>
      </c>
      <c r="P383" s="13">
        <f t="shared" si="47"/>
        <v>0</v>
      </c>
      <c r="Q383" s="9"/>
      <c r="R383" s="2"/>
      <c r="S383" s="2"/>
    </row>
    <row r="384" spans="1:22">
      <c r="A384" s="42" t="s">
        <v>77</v>
      </c>
      <c r="B384" s="3" t="s">
        <v>68</v>
      </c>
      <c r="C384" s="3">
        <v>356</v>
      </c>
      <c r="D384" s="1"/>
      <c r="E384" s="20" t="s">
        <v>17</v>
      </c>
      <c r="F384" s="7" t="s">
        <v>15</v>
      </c>
      <c r="G384" s="7" t="s">
        <v>25</v>
      </c>
      <c r="H384" s="11">
        <v>7.34</v>
      </c>
      <c r="I384" s="8">
        <v>12</v>
      </c>
      <c r="J384" s="26">
        <v>36</v>
      </c>
      <c r="K384" s="10">
        <f t="shared" si="44"/>
        <v>3.1708799999999999</v>
      </c>
      <c r="L384" s="4"/>
      <c r="M384" s="17">
        <f>1+35</f>
        <v>36</v>
      </c>
      <c r="N384" s="18">
        <f t="shared" si="45"/>
        <v>3.1708799999999999</v>
      </c>
      <c r="O384" s="19">
        <f t="shared" si="46"/>
        <v>0</v>
      </c>
      <c r="P384" s="13">
        <f t="shared" si="47"/>
        <v>0</v>
      </c>
      <c r="Q384" s="9"/>
      <c r="R384" s="2"/>
      <c r="S384" s="2"/>
    </row>
    <row r="385" spans="1:21">
      <c r="A385" s="42" t="s">
        <v>77</v>
      </c>
      <c r="B385" s="3" t="s">
        <v>68</v>
      </c>
      <c r="C385" s="3">
        <v>357</v>
      </c>
      <c r="D385" s="1"/>
      <c r="E385" s="20" t="s">
        <v>17</v>
      </c>
      <c r="F385" s="7" t="s">
        <v>15</v>
      </c>
      <c r="G385" s="7" t="s">
        <v>25</v>
      </c>
      <c r="H385" s="11">
        <v>7.34</v>
      </c>
      <c r="I385" s="8">
        <v>11</v>
      </c>
      <c r="J385" s="26">
        <v>36</v>
      </c>
      <c r="K385" s="10">
        <f t="shared" si="44"/>
        <v>2.9066399999999999</v>
      </c>
      <c r="L385" s="4"/>
      <c r="M385" s="17">
        <v>36</v>
      </c>
      <c r="N385" s="18">
        <f t="shared" si="45"/>
        <v>2.9066399999999999</v>
      </c>
      <c r="O385" s="19">
        <f t="shared" si="46"/>
        <v>0</v>
      </c>
      <c r="P385" s="13">
        <f t="shared" si="47"/>
        <v>0</v>
      </c>
      <c r="Q385" s="9"/>
      <c r="R385" s="2"/>
      <c r="S385" s="2"/>
    </row>
    <row r="386" spans="1:21">
      <c r="A386" s="42" t="s">
        <v>77</v>
      </c>
      <c r="B386" s="3" t="s">
        <v>68</v>
      </c>
      <c r="C386" s="3">
        <v>358</v>
      </c>
      <c r="D386" s="1"/>
      <c r="E386" s="20" t="s">
        <v>17</v>
      </c>
      <c r="F386" s="7" t="s">
        <v>15</v>
      </c>
      <c r="G386" s="7" t="s">
        <v>25</v>
      </c>
      <c r="H386" s="11">
        <v>7.34</v>
      </c>
      <c r="I386" s="8">
        <v>8.5</v>
      </c>
      <c r="J386" s="26">
        <v>36</v>
      </c>
      <c r="K386" s="10">
        <f t="shared" si="44"/>
        <v>2.2460399999999998</v>
      </c>
      <c r="L386" s="4"/>
      <c r="M386" s="17">
        <v>36</v>
      </c>
      <c r="N386" s="18">
        <f t="shared" si="45"/>
        <v>2.2460399999999998</v>
      </c>
      <c r="O386" s="19">
        <f t="shared" si="46"/>
        <v>0</v>
      </c>
      <c r="P386" s="13">
        <f t="shared" si="47"/>
        <v>0</v>
      </c>
      <c r="Q386" s="9"/>
      <c r="R386" s="2"/>
      <c r="S386" s="2"/>
    </row>
    <row r="387" spans="1:21">
      <c r="A387" s="42" t="s">
        <v>77</v>
      </c>
      <c r="B387" s="3" t="s">
        <v>68</v>
      </c>
      <c r="C387" s="3">
        <v>359</v>
      </c>
      <c r="D387" s="1"/>
      <c r="E387" s="20" t="s">
        <v>17</v>
      </c>
      <c r="F387" s="7" t="s">
        <v>15</v>
      </c>
      <c r="G387" s="7" t="s">
        <v>25</v>
      </c>
      <c r="H387" s="11">
        <v>7.34</v>
      </c>
      <c r="I387" s="8">
        <v>7.55</v>
      </c>
      <c r="J387" s="26">
        <v>36</v>
      </c>
      <c r="K387" s="10">
        <f t="shared" si="44"/>
        <v>1.9950119999999998</v>
      </c>
      <c r="L387" s="4"/>
      <c r="M387" s="17">
        <v>36</v>
      </c>
      <c r="N387" s="18">
        <f t="shared" si="45"/>
        <v>1.995012</v>
      </c>
      <c r="O387" s="19">
        <f t="shared" si="46"/>
        <v>0</v>
      </c>
      <c r="P387" s="13">
        <f t="shared" si="47"/>
        <v>0</v>
      </c>
      <c r="Q387" s="9"/>
      <c r="R387" s="2"/>
      <c r="S387" s="2"/>
    </row>
    <row r="388" spans="1:21">
      <c r="A388" s="42" t="s">
        <v>77</v>
      </c>
      <c r="B388" s="3" t="s">
        <v>68</v>
      </c>
      <c r="C388" s="3">
        <v>360</v>
      </c>
      <c r="D388" s="1"/>
      <c r="E388" s="20" t="s">
        <v>17</v>
      </c>
      <c r="F388" s="7" t="s">
        <v>15</v>
      </c>
      <c r="G388" s="7" t="s">
        <v>25</v>
      </c>
      <c r="H388" s="11">
        <v>7.34</v>
      </c>
      <c r="I388" s="8">
        <v>11.55</v>
      </c>
      <c r="J388" s="26">
        <v>36</v>
      </c>
      <c r="K388" s="10">
        <f t="shared" si="44"/>
        <v>3.0519720000000001</v>
      </c>
      <c r="L388" s="4"/>
      <c r="M388" s="17">
        <v>36</v>
      </c>
      <c r="N388" s="18">
        <f t="shared" si="45"/>
        <v>3.0519720000000001</v>
      </c>
      <c r="O388" s="19">
        <f t="shared" si="46"/>
        <v>0</v>
      </c>
      <c r="P388" s="13">
        <f t="shared" si="47"/>
        <v>0</v>
      </c>
      <c r="Q388" s="9"/>
      <c r="R388" s="2"/>
      <c r="S388" s="2"/>
    </row>
    <row r="389" spans="1:21">
      <c r="A389" s="42" t="s">
        <v>77</v>
      </c>
      <c r="B389" s="3" t="s">
        <v>68</v>
      </c>
      <c r="C389" s="3">
        <v>361</v>
      </c>
      <c r="D389" s="1"/>
      <c r="E389" s="20" t="s">
        <v>17</v>
      </c>
      <c r="F389" s="7" t="s">
        <v>15</v>
      </c>
      <c r="G389" s="7" t="s">
        <v>25</v>
      </c>
      <c r="H389" s="11">
        <v>7.34</v>
      </c>
      <c r="I389" s="8">
        <v>12</v>
      </c>
      <c r="J389" s="26">
        <v>36</v>
      </c>
      <c r="K389" s="10">
        <f t="shared" si="44"/>
        <v>3.1708799999999999</v>
      </c>
      <c r="L389" s="4"/>
      <c r="M389" s="17">
        <v>36</v>
      </c>
      <c r="N389" s="18">
        <f t="shared" si="45"/>
        <v>3.1708799999999999</v>
      </c>
      <c r="O389" s="19">
        <f t="shared" si="46"/>
        <v>0</v>
      </c>
      <c r="P389" s="13">
        <f t="shared" si="47"/>
        <v>0</v>
      </c>
      <c r="Q389" s="9"/>
      <c r="R389" s="2"/>
      <c r="S389" s="2"/>
    </row>
    <row r="390" spans="1:21">
      <c r="A390" s="42" t="s">
        <v>77</v>
      </c>
      <c r="B390" s="3" t="s">
        <v>68</v>
      </c>
      <c r="C390" s="3">
        <v>362</v>
      </c>
      <c r="D390" s="1"/>
      <c r="E390" s="20" t="s">
        <v>17</v>
      </c>
      <c r="F390" s="7" t="s">
        <v>15</v>
      </c>
      <c r="G390" s="7" t="s">
        <v>25</v>
      </c>
      <c r="H390" s="11">
        <v>7.34</v>
      </c>
      <c r="I390" s="8">
        <v>11.55</v>
      </c>
      <c r="J390" s="26">
        <v>36</v>
      </c>
      <c r="K390" s="10">
        <f t="shared" si="44"/>
        <v>3.0519720000000001</v>
      </c>
      <c r="L390" s="4"/>
      <c r="M390" s="17">
        <v>36</v>
      </c>
      <c r="N390" s="18">
        <f t="shared" si="45"/>
        <v>3.0519720000000001</v>
      </c>
      <c r="O390" s="19">
        <f t="shared" si="46"/>
        <v>0</v>
      </c>
      <c r="P390" s="13">
        <f t="shared" si="47"/>
        <v>0</v>
      </c>
      <c r="Q390" s="9"/>
      <c r="R390" s="2"/>
      <c r="S390" s="2"/>
    </row>
    <row r="391" spans="1:21">
      <c r="A391" s="42" t="s">
        <v>77</v>
      </c>
      <c r="B391" s="3" t="s">
        <v>68</v>
      </c>
      <c r="C391" s="3">
        <v>363</v>
      </c>
      <c r="D391" s="1"/>
      <c r="E391" s="20" t="s">
        <v>17</v>
      </c>
      <c r="F391" s="7" t="s">
        <v>15</v>
      </c>
      <c r="G391" s="7" t="s">
        <v>25</v>
      </c>
      <c r="H391" s="11">
        <v>7.34</v>
      </c>
      <c r="I391" s="8">
        <v>7.55</v>
      </c>
      <c r="J391" s="26">
        <v>40</v>
      </c>
      <c r="K391" s="10">
        <f t="shared" si="44"/>
        <v>2.2166799999999998</v>
      </c>
      <c r="L391" s="4"/>
      <c r="M391" s="17">
        <v>40</v>
      </c>
      <c r="N391" s="18">
        <f t="shared" si="45"/>
        <v>2.2166799999999998</v>
      </c>
      <c r="O391" s="19">
        <f t="shared" si="46"/>
        <v>0</v>
      </c>
      <c r="P391" s="13">
        <f t="shared" si="47"/>
        <v>0</v>
      </c>
      <c r="Q391" s="9"/>
      <c r="R391" s="2"/>
      <c r="S391" s="2"/>
    </row>
    <row r="392" spans="1:21">
      <c r="A392" s="42" t="s">
        <v>77</v>
      </c>
      <c r="B392" s="3" t="s">
        <v>68</v>
      </c>
      <c r="C392" s="3">
        <v>364</v>
      </c>
      <c r="D392" s="1"/>
      <c r="E392" s="20" t="s">
        <v>24</v>
      </c>
      <c r="F392" s="7" t="s">
        <v>14</v>
      </c>
      <c r="G392" s="7" t="s">
        <v>32</v>
      </c>
      <c r="H392" s="11">
        <v>8.3000000000000007</v>
      </c>
      <c r="I392" s="8">
        <v>12</v>
      </c>
      <c r="J392" s="26">
        <v>30</v>
      </c>
      <c r="K392" s="10">
        <f t="shared" si="44"/>
        <v>2.9880000000000004</v>
      </c>
      <c r="L392" s="4"/>
      <c r="M392" s="17">
        <v>30</v>
      </c>
      <c r="N392" s="18">
        <f t="shared" si="45"/>
        <v>2.9880000000000004</v>
      </c>
      <c r="O392" s="19">
        <f t="shared" si="46"/>
        <v>0</v>
      </c>
      <c r="P392" s="13">
        <f t="shared" si="47"/>
        <v>0</v>
      </c>
      <c r="Q392" s="9"/>
      <c r="R392" s="2"/>
      <c r="S392" s="2"/>
    </row>
    <row r="393" spans="1:21">
      <c r="A393" s="42" t="s">
        <v>77</v>
      </c>
      <c r="B393" s="3" t="s">
        <v>68</v>
      </c>
      <c r="C393" s="3">
        <v>365</v>
      </c>
      <c r="D393" s="1"/>
      <c r="E393" s="20" t="s">
        <v>24</v>
      </c>
      <c r="F393" s="7" t="s">
        <v>14</v>
      </c>
      <c r="G393" s="7" t="s">
        <v>32</v>
      </c>
      <c r="H393" s="11">
        <v>8.3000000000000007</v>
      </c>
      <c r="I393" s="8">
        <v>8</v>
      </c>
      <c r="J393" s="26">
        <v>1</v>
      </c>
      <c r="K393" s="10">
        <f t="shared" si="44"/>
        <v>6.6400000000000001E-2</v>
      </c>
      <c r="L393" s="4"/>
      <c r="M393" s="17">
        <v>1</v>
      </c>
      <c r="N393" s="18">
        <f t="shared" si="45"/>
        <v>6.6400000000000001E-2</v>
      </c>
      <c r="O393" s="19">
        <f t="shared" si="46"/>
        <v>0</v>
      </c>
      <c r="P393" s="13">
        <f t="shared" si="47"/>
        <v>0</v>
      </c>
      <c r="Q393" s="9"/>
      <c r="R393" s="2"/>
      <c r="S393" s="50">
        <v>7</v>
      </c>
      <c r="T393">
        <v>1</v>
      </c>
      <c r="U393" t="s">
        <v>302</v>
      </c>
    </row>
    <row r="394" spans="1:21">
      <c r="A394" s="42" t="s">
        <v>77</v>
      </c>
      <c r="B394" s="3" t="s">
        <v>68</v>
      </c>
      <c r="C394" s="3">
        <v>365</v>
      </c>
      <c r="D394" s="1"/>
      <c r="E394" s="20" t="s">
        <v>24</v>
      </c>
      <c r="F394" s="7" t="s">
        <v>14</v>
      </c>
      <c r="G394" s="7" t="s">
        <v>32</v>
      </c>
      <c r="H394" s="11">
        <v>8.3000000000000007</v>
      </c>
      <c r="I394" s="8">
        <v>8.65</v>
      </c>
      <c r="J394" s="26">
        <v>3</v>
      </c>
      <c r="K394" s="10">
        <f t="shared" si="44"/>
        <v>0.21538500000000005</v>
      </c>
      <c r="L394" s="4"/>
      <c r="M394" s="17">
        <f>1+2</f>
        <v>3</v>
      </c>
      <c r="N394" s="18">
        <f t="shared" si="45"/>
        <v>0.21538500000000005</v>
      </c>
      <c r="O394" s="19">
        <f t="shared" si="46"/>
        <v>0</v>
      </c>
      <c r="P394" s="13">
        <f t="shared" si="47"/>
        <v>0</v>
      </c>
      <c r="Q394" s="9">
        <v>8.25</v>
      </c>
      <c r="R394" s="2">
        <v>1</v>
      </c>
      <c r="S394" s="50">
        <v>7</v>
      </c>
      <c r="T394">
        <v>2</v>
      </c>
      <c r="U394" t="s">
        <v>302</v>
      </c>
    </row>
    <row r="395" spans="1:21">
      <c r="A395" s="42" t="s">
        <v>77</v>
      </c>
      <c r="B395" s="3" t="s">
        <v>68</v>
      </c>
      <c r="C395" s="3">
        <v>365</v>
      </c>
      <c r="D395" s="1"/>
      <c r="E395" s="20" t="s">
        <v>24</v>
      </c>
      <c r="F395" s="7" t="s">
        <v>14</v>
      </c>
      <c r="G395" s="7" t="s">
        <v>32</v>
      </c>
      <c r="H395" s="11">
        <v>8.3000000000000007</v>
      </c>
      <c r="I395" s="8">
        <v>10</v>
      </c>
      <c r="J395" s="26">
        <v>1</v>
      </c>
      <c r="K395" s="10">
        <f t="shared" si="44"/>
        <v>8.3000000000000004E-2</v>
      </c>
      <c r="L395" s="4"/>
      <c r="M395" s="17">
        <v>1</v>
      </c>
      <c r="N395" s="18">
        <f t="shared" si="45"/>
        <v>8.3000000000000004E-2</v>
      </c>
      <c r="O395" s="19">
        <f t="shared" si="46"/>
        <v>0</v>
      </c>
      <c r="P395" s="13">
        <f t="shared" si="47"/>
        <v>0</v>
      </c>
      <c r="Q395" s="9">
        <v>9.15</v>
      </c>
      <c r="R395" s="2">
        <v>1</v>
      </c>
      <c r="S395" s="2"/>
    </row>
    <row r="396" spans="1:21">
      <c r="A396" s="42" t="s">
        <v>77</v>
      </c>
      <c r="B396" s="3" t="s">
        <v>68</v>
      </c>
      <c r="C396" s="3">
        <v>365</v>
      </c>
      <c r="D396" s="1"/>
      <c r="E396" s="20" t="s">
        <v>24</v>
      </c>
      <c r="F396" s="7" t="s">
        <v>14</v>
      </c>
      <c r="G396" s="7" t="s">
        <v>32</v>
      </c>
      <c r="H396" s="11">
        <v>8.3000000000000007</v>
      </c>
      <c r="I396" s="8">
        <v>12</v>
      </c>
      <c r="J396" s="26">
        <v>1</v>
      </c>
      <c r="K396" s="10">
        <f t="shared" si="44"/>
        <v>9.9600000000000008E-2</v>
      </c>
      <c r="L396" s="4"/>
      <c r="M396" s="17">
        <v>1</v>
      </c>
      <c r="N396" s="18">
        <f t="shared" si="45"/>
        <v>9.9600000000000008E-2</v>
      </c>
      <c r="O396" s="19">
        <f t="shared" si="46"/>
        <v>0</v>
      </c>
      <c r="P396" s="13">
        <f t="shared" si="47"/>
        <v>0</v>
      </c>
      <c r="Q396" s="9"/>
      <c r="R396" s="2"/>
      <c r="S396" s="50">
        <v>12</v>
      </c>
      <c r="T396">
        <v>1</v>
      </c>
      <c r="U396" t="s">
        <v>302</v>
      </c>
    </row>
    <row r="397" spans="1:21">
      <c r="A397" s="42" t="s">
        <v>77</v>
      </c>
      <c r="B397" s="3" t="s">
        <v>68</v>
      </c>
      <c r="C397" s="3">
        <v>366</v>
      </c>
      <c r="D397" s="1"/>
      <c r="E397" s="20" t="s">
        <v>24</v>
      </c>
      <c r="F397" s="7" t="s">
        <v>14</v>
      </c>
      <c r="G397" s="7" t="s">
        <v>32</v>
      </c>
      <c r="H397" s="11">
        <v>8.3000000000000007</v>
      </c>
      <c r="I397" s="8">
        <v>11</v>
      </c>
      <c r="J397" s="26">
        <v>9</v>
      </c>
      <c r="K397" s="10">
        <f t="shared" si="44"/>
        <v>0.8217000000000001</v>
      </c>
      <c r="L397" s="4"/>
      <c r="M397" s="17">
        <v>9</v>
      </c>
      <c r="N397" s="18">
        <f t="shared" si="45"/>
        <v>0.8217000000000001</v>
      </c>
      <c r="O397" s="19">
        <f t="shared" si="46"/>
        <v>0</v>
      </c>
      <c r="P397" s="13">
        <f t="shared" si="47"/>
        <v>0</v>
      </c>
      <c r="Q397" s="9"/>
      <c r="R397" s="2"/>
      <c r="S397" s="2"/>
    </row>
    <row r="398" spans="1:21">
      <c r="A398" s="42" t="s">
        <v>77</v>
      </c>
      <c r="B398" s="3" t="s">
        <v>68</v>
      </c>
      <c r="C398" s="3">
        <v>366</v>
      </c>
      <c r="D398" s="1"/>
      <c r="E398" s="20" t="s">
        <v>24</v>
      </c>
      <c r="F398" s="7" t="s">
        <v>14</v>
      </c>
      <c r="G398" s="7" t="s">
        <v>32</v>
      </c>
      <c r="H398" s="11">
        <v>8.3000000000000007</v>
      </c>
      <c r="I398" s="8">
        <v>12</v>
      </c>
      <c r="J398" s="26">
        <v>23</v>
      </c>
      <c r="K398" s="10">
        <f t="shared" si="44"/>
        <v>2.2908000000000004</v>
      </c>
      <c r="L398" s="4"/>
      <c r="M398" s="17">
        <f>9+6+8</f>
        <v>23</v>
      </c>
      <c r="N398" s="18">
        <f t="shared" si="45"/>
        <v>2.2908000000000004</v>
      </c>
      <c r="O398" s="19">
        <f t="shared" si="46"/>
        <v>0</v>
      </c>
      <c r="P398" s="13">
        <f t="shared" si="47"/>
        <v>0</v>
      </c>
      <c r="Q398" s="9"/>
      <c r="R398" s="2"/>
      <c r="S398" s="50">
        <v>12</v>
      </c>
      <c r="T398">
        <v>8</v>
      </c>
      <c r="U398" t="s">
        <v>302</v>
      </c>
    </row>
    <row r="399" spans="1:21">
      <c r="A399" s="42" t="s">
        <v>77</v>
      </c>
      <c r="B399" s="3" t="s">
        <v>68</v>
      </c>
      <c r="C399" s="3">
        <v>367</v>
      </c>
      <c r="D399" s="1"/>
      <c r="E399" s="20" t="s">
        <v>24</v>
      </c>
      <c r="F399" s="7" t="s">
        <v>14</v>
      </c>
      <c r="G399" s="7" t="s">
        <v>32</v>
      </c>
      <c r="H399" s="11">
        <v>8.3000000000000007</v>
      </c>
      <c r="I399" s="8">
        <v>12</v>
      </c>
      <c r="J399" s="26">
        <v>32</v>
      </c>
      <c r="K399" s="10">
        <f t="shared" si="44"/>
        <v>3.1872000000000003</v>
      </c>
      <c r="L399" s="4"/>
      <c r="M399" s="17">
        <v>32</v>
      </c>
      <c r="N399" s="18">
        <f t="shared" si="45"/>
        <v>3.1872000000000003</v>
      </c>
      <c r="O399" s="19">
        <f t="shared" si="46"/>
        <v>0</v>
      </c>
      <c r="P399" s="13">
        <f t="shared" si="47"/>
        <v>0</v>
      </c>
      <c r="Q399" s="9"/>
      <c r="R399" s="2"/>
      <c r="S399" s="2"/>
    </row>
    <row r="400" spans="1:21">
      <c r="A400" s="42" t="s">
        <v>77</v>
      </c>
      <c r="B400" s="3" t="s">
        <v>68</v>
      </c>
      <c r="C400" s="3">
        <v>368</v>
      </c>
      <c r="D400" s="1"/>
      <c r="E400" s="20" t="s">
        <v>24</v>
      </c>
      <c r="F400" s="7" t="s">
        <v>14</v>
      </c>
      <c r="G400" s="7" t="s">
        <v>32</v>
      </c>
      <c r="H400" s="11">
        <v>8.3000000000000007</v>
      </c>
      <c r="I400" s="8">
        <v>11.55</v>
      </c>
      <c r="J400" s="26">
        <v>27</v>
      </c>
      <c r="K400" s="10">
        <f t="shared" si="44"/>
        <v>2.5883550000000004</v>
      </c>
      <c r="L400" s="4"/>
      <c r="M400" s="17">
        <v>27</v>
      </c>
      <c r="N400" s="18">
        <f t="shared" si="45"/>
        <v>2.5883550000000004</v>
      </c>
      <c r="O400" s="19">
        <f t="shared" si="46"/>
        <v>0</v>
      </c>
      <c r="P400" s="13">
        <f t="shared" si="47"/>
        <v>0</v>
      </c>
      <c r="Q400" s="9"/>
      <c r="R400" s="2"/>
      <c r="S400" s="2"/>
    </row>
    <row r="401" spans="1:19">
      <c r="A401" s="42" t="s">
        <v>77</v>
      </c>
      <c r="B401" s="3" t="s">
        <v>68</v>
      </c>
      <c r="C401" s="3">
        <v>369</v>
      </c>
      <c r="D401" s="1"/>
      <c r="E401" s="20" t="s">
        <v>24</v>
      </c>
      <c r="F401" s="7" t="s">
        <v>14</v>
      </c>
      <c r="G401" s="7" t="s">
        <v>32</v>
      </c>
      <c r="H401" s="11">
        <v>8.3000000000000007</v>
      </c>
      <c r="I401" s="8">
        <v>12</v>
      </c>
      <c r="J401" s="26">
        <v>30</v>
      </c>
      <c r="K401" s="10">
        <f t="shared" si="44"/>
        <v>2.9880000000000004</v>
      </c>
      <c r="L401" s="4"/>
      <c r="M401" s="17">
        <v>30</v>
      </c>
      <c r="N401" s="18">
        <f t="shared" si="45"/>
        <v>2.9880000000000004</v>
      </c>
      <c r="O401" s="19">
        <f t="shared" si="46"/>
        <v>0</v>
      </c>
      <c r="P401" s="13">
        <f t="shared" si="47"/>
        <v>0</v>
      </c>
      <c r="Q401" s="9"/>
      <c r="R401" s="2"/>
      <c r="S401" s="2"/>
    </row>
    <row r="402" spans="1:19">
      <c r="A402" s="42" t="s">
        <v>77</v>
      </c>
      <c r="B402" s="3" t="s">
        <v>68</v>
      </c>
      <c r="C402" s="3">
        <v>370</v>
      </c>
      <c r="D402" s="1"/>
      <c r="E402" s="20" t="s">
        <v>24</v>
      </c>
      <c r="F402" s="7" t="s">
        <v>14</v>
      </c>
      <c r="G402" s="7" t="s">
        <v>32</v>
      </c>
      <c r="H402" s="11">
        <v>8.3000000000000007</v>
      </c>
      <c r="I402" s="8">
        <v>12</v>
      </c>
      <c r="J402" s="26">
        <v>30</v>
      </c>
      <c r="K402" s="10">
        <f t="shared" si="44"/>
        <v>2.9880000000000004</v>
      </c>
      <c r="L402" s="4"/>
      <c r="M402" s="17">
        <v>30</v>
      </c>
      <c r="N402" s="18">
        <f t="shared" si="45"/>
        <v>2.9880000000000004</v>
      </c>
      <c r="O402" s="19">
        <f t="shared" si="46"/>
        <v>0</v>
      </c>
      <c r="P402" s="13">
        <f t="shared" si="47"/>
        <v>0</v>
      </c>
      <c r="Q402" s="9"/>
      <c r="R402" s="2"/>
      <c r="S402" s="2"/>
    </row>
    <row r="403" spans="1:19">
      <c r="A403" s="42" t="s">
        <v>77</v>
      </c>
      <c r="B403" s="3" t="s">
        <v>68</v>
      </c>
      <c r="C403" s="3">
        <v>371</v>
      </c>
      <c r="D403" s="1"/>
      <c r="E403" s="20" t="s">
        <v>24</v>
      </c>
      <c r="F403" s="7" t="s">
        <v>14</v>
      </c>
      <c r="G403" s="7" t="s">
        <v>32</v>
      </c>
      <c r="H403" s="11">
        <v>8.3000000000000007</v>
      </c>
      <c r="I403" s="8">
        <v>7.25</v>
      </c>
      <c r="J403" s="26">
        <v>31</v>
      </c>
      <c r="K403" s="10">
        <f t="shared" si="44"/>
        <v>1.8654250000000001</v>
      </c>
      <c r="L403" s="4"/>
      <c r="M403" s="17">
        <v>31</v>
      </c>
      <c r="N403" s="18">
        <f t="shared" si="45"/>
        <v>1.8654250000000001</v>
      </c>
      <c r="O403" s="19">
        <f t="shared" si="46"/>
        <v>0</v>
      </c>
      <c r="P403" s="13">
        <f t="shared" si="47"/>
        <v>0</v>
      </c>
      <c r="Q403" s="9"/>
      <c r="R403" s="2"/>
      <c r="S403" s="2"/>
    </row>
    <row r="404" spans="1:19">
      <c r="A404" s="42" t="s">
        <v>77</v>
      </c>
      <c r="B404" s="3" t="s">
        <v>68</v>
      </c>
      <c r="C404" s="3">
        <v>372</v>
      </c>
      <c r="D404" s="1"/>
      <c r="E404" s="20" t="s">
        <v>24</v>
      </c>
      <c r="F404" s="7" t="s">
        <v>14</v>
      </c>
      <c r="G404" s="7" t="s">
        <v>32</v>
      </c>
      <c r="H404" s="11">
        <v>8.3000000000000007</v>
      </c>
      <c r="I404" s="8">
        <v>8.25</v>
      </c>
      <c r="J404" s="26">
        <v>17</v>
      </c>
      <c r="K404" s="10">
        <f t="shared" si="44"/>
        <v>1.164075</v>
      </c>
      <c r="L404" s="4"/>
      <c r="M404" s="17">
        <v>17</v>
      </c>
      <c r="N404" s="18">
        <f t="shared" si="45"/>
        <v>1.164075</v>
      </c>
      <c r="O404" s="19">
        <f t="shared" si="46"/>
        <v>0</v>
      </c>
      <c r="P404" s="13">
        <f t="shared" si="47"/>
        <v>0</v>
      </c>
      <c r="Q404" s="9"/>
      <c r="R404" s="2"/>
      <c r="S404" s="2"/>
    </row>
    <row r="405" spans="1:19">
      <c r="A405" s="42" t="s">
        <v>77</v>
      </c>
      <c r="B405" s="3" t="s">
        <v>68</v>
      </c>
      <c r="C405" s="3">
        <v>373</v>
      </c>
      <c r="D405" s="1"/>
      <c r="E405" s="20" t="s">
        <v>24</v>
      </c>
      <c r="F405" s="7" t="s">
        <v>14</v>
      </c>
      <c r="G405" s="7" t="s">
        <v>32</v>
      </c>
      <c r="H405" s="11">
        <v>8.3000000000000007</v>
      </c>
      <c r="I405" s="8">
        <v>8.65</v>
      </c>
      <c r="J405" s="26">
        <v>4</v>
      </c>
      <c r="K405" s="10">
        <f t="shared" si="44"/>
        <v>0.28718000000000005</v>
      </c>
      <c r="L405" s="4"/>
      <c r="M405" s="17">
        <v>4</v>
      </c>
      <c r="N405" s="18">
        <f t="shared" si="45"/>
        <v>0.28718000000000005</v>
      </c>
      <c r="O405" s="19">
        <f t="shared" si="46"/>
        <v>0</v>
      </c>
      <c r="P405" s="13">
        <f t="shared" si="47"/>
        <v>0</v>
      </c>
      <c r="Q405" s="9"/>
      <c r="R405" s="2"/>
      <c r="S405" s="2"/>
    </row>
    <row r="406" spans="1:19">
      <c r="A406" s="42" t="s">
        <v>77</v>
      </c>
      <c r="B406" s="3" t="s">
        <v>68</v>
      </c>
      <c r="C406" s="3">
        <v>373</v>
      </c>
      <c r="D406" s="1"/>
      <c r="E406" s="20" t="s">
        <v>24</v>
      </c>
      <c r="F406" s="7" t="s">
        <v>14</v>
      </c>
      <c r="G406" s="7" t="s">
        <v>32</v>
      </c>
      <c r="H406" s="11">
        <v>8.3000000000000007</v>
      </c>
      <c r="I406" s="8">
        <v>9.15</v>
      </c>
      <c r="J406" s="26">
        <v>21</v>
      </c>
      <c r="K406" s="10">
        <f t="shared" si="44"/>
        <v>1.5948450000000003</v>
      </c>
      <c r="L406" s="4"/>
      <c r="M406" s="17">
        <v>21</v>
      </c>
      <c r="N406" s="18">
        <f t="shared" si="45"/>
        <v>1.5948450000000003</v>
      </c>
      <c r="O406" s="19">
        <f t="shared" si="46"/>
        <v>0</v>
      </c>
      <c r="P406" s="13">
        <f t="shared" si="47"/>
        <v>0</v>
      </c>
      <c r="Q406" s="9"/>
      <c r="R406" s="2"/>
      <c r="S406" s="2"/>
    </row>
    <row r="407" spans="1:19">
      <c r="A407" s="42" t="s">
        <v>77</v>
      </c>
      <c r="B407" s="3" t="s">
        <v>68</v>
      </c>
      <c r="C407" s="3">
        <v>374</v>
      </c>
      <c r="D407" s="1"/>
      <c r="E407" s="20" t="s">
        <v>24</v>
      </c>
      <c r="F407" s="7" t="s">
        <v>14</v>
      </c>
      <c r="G407" s="7" t="s">
        <v>32</v>
      </c>
      <c r="H407" s="11">
        <v>8.3000000000000007</v>
      </c>
      <c r="I407" s="8">
        <v>7.25</v>
      </c>
      <c r="J407" s="26">
        <v>35</v>
      </c>
      <c r="K407" s="10">
        <f t="shared" si="44"/>
        <v>2.106125</v>
      </c>
      <c r="L407" s="4"/>
      <c r="M407" s="17">
        <v>35</v>
      </c>
      <c r="N407" s="18">
        <f t="shared" si="45"/>
        <v>2.106125</v>
      </c>
      <c r="O407" s="19">
        <f t="shared" si="46"/>
        <v>0</v>
      </c>
      <c r="P407" s="13">
        <f t="shared" si="47"/>
        <v>0</v>
      </c>
      <c r="Q407" s="9"/>
      <c r="R407" s="2"/>
      <c r="S407" s="2"/>
    </row>
    <row r="408" spans="1:19">
      <c r="A408" s="42" t="s">
        <v>77</v>
      </c>
      <c r="B408" s="3" t="s">
        <v>68</v>
      </c>
      <c r="C408" s="3">
        <v>375</v>
      </c>
      <c r="D408" s="1"/>
      <c r="E408" s="20" t="s">
        <v>24</v>
      </c>
      <c r="F408" s="7" t="s">
        <v>14</v>
      </c>
      <c r="G408" s="7" t="s">
        <v>21</v>
      </c>
      <c r="H408" s="11">
        <v>6.97</v>
      </c>
      <c r="I408" s="8">
        <v>12</v>
      </c>
      <c r="J408" s="26">
        <v>34</v>
      </c>
      <c r="K408" s="10">
        <f t="shared" si="44"/>
        <v>2.8437600000000001</v>
      </c>
      <c r="L408" s="4"/>
      <c r="M408" s="17">
        <v>34</v>
      </c>
      <c r="N408" s="18">
        <f t="shared" si="45"/>
        <v>2.8437599999999996</v>
      </c>
      <c r="O408" s="19">
        <f t="shared" si="46"/>
        <v>0</v>
      </c>
      <c r="P408" s="13">
        <f t="shared" si="47"/>
        <v>0</v>
      </c>
      <c r="Q408" s="9"/>
      <c r="R408" s="2"/>
      <c r="S408" s="2"/>
    </row>
    <row r="409" spans="1:19">
      <c r="A409" s="42" t="s">
        <v>77</v>
      </c>
      <c r="B409" s="3" t="s">
        <v>68</v>
      </c>
      <c r="C409" s="3">
        <v>376</v>
      </c>
      <c r="D409" s="1"/>
      <c r="E409" s="20" t="s">
        <v>24</v>
      </c>
      <c r="F409" s="7" t="s">
        <v>14</v>
      </c>
      <c r="G409" s="7" t="s">
        <v>21</v>
      </c>
      <c r="H409" s="11">
        <v>6.97</v>
      </c>
      <c r="I409" s="8">
        <v>7.5</v>
      </c>
      <c r="J409" s="26">
        <v>35</v>
      </c>
      <c r="K409" s="10">
        <f t="shared" si="44"/>
        <v>1.8296250000000001</v>
      </c>
      <c r="L409" s="4"/>
      <c r="M409" s="17">
        <v>35</v>
      </c>
      <c r="N409" s="18">
        <f t="shared" si="45"/>
        <v>1.8296250000000001</v>
      </c>
      <c r="O409" s="19">
        <f t="shared" si="46"/>
        <v>0</v>
      </c>
      <c r="P409" s="13">
        <f t="shared" si="47"/>
        <v>0</v>
      </c>
      <c r="Q409" s="9"/>
      <c r="R409" s="2"/>
      <c r="S409" s="2"/>
    </row>
    <row r="410" spans="1:19">
      <c r="A410" s="42" t="s">
        <v>77</v>
      </c>
      <c r="B410" s="3" t="s">
        <v>68</v>
      </c>
      <c r="C410" s="3">
        <v>377</v>
      </c>
      <c r="D410" s="1"/>
      <c r="E410" s="20" t="s">
        <v>24</v>
      </c>
      <c r="F410" s="7" t="s">
        <v>14</v>
      </c>
      <c r="G410" s="7" t="s">
        <v>21</v>
      </c>
      <c r="H410" s="11">
        <v>6.97</v>
      </c>
      <c r="I410" s="8">
        <v>11.5</v>
      </c>
      <c r="J410" s="26">
        <v>31</v>
      </c>
      <c r="K410" s="10">
        <f t="shared" si="44"/>
        <v>2.4848049999999997</v>
      </c>
      <c r="L410" s="4"/>
      <c r="M410" s="17">
        <v>31</v>
      </c>
      <c r="N410" s="18">
        <f t="shared" si="45"/>
        <v>2.4848049999999997</v>
      </c>
      <c r="O410" s="19">
        <f t="shared" si="46"/>
        <v>0</v>
      </c>
      <c r="P410" s="13">
        <f t="shared" si="47"/>
        <v>0</v>
      </c>
      <c r="Q410" s="9"/>
      <c r="R410" s="2"/>
      <c r="S410" s="2"/>
    </row>
    <row r="411" spans="1:19">
      <c r="A411" s="42" t="s">
        <v>77</v>
      </c>
      <c r="B411" s="3" t="s">
        <v>68</v>
      </c>
      <c r="C411" s="3">
        <v>378</v>
      </c>
      <c r="D411" s="1"/>
      <c r="E411" s="20" t="s">
        <v>24</v>
      </c>
      <c r="F411" s="7" t="s">
        <v>14</v>
      </c>
      <c r="G411" s="7" t="s">
        <v>21</v>
      </c>
      <c r="H411" s="11">
        <v>6.97</v>
      </c>
      <c r="I411" s="8">
        <v>12</v>
      </c>
      <c r="J411" s="26">
        <v>33</v>
      </c>
      <c r="K411" s="10">
        <f t="shared" si="44"/>
        <v>2.7601199999999997</v>
      </c>
      <c r="L411" s="4"/>
      <c r="M411" s="17">
        <v>33</v>
      </c>
      <c r="N411" s="18">
        <f t="shared" si="45"/>
        <v>2.7601199999999997</v>
      </c>
      <c r="O411" s="19">
        <f t="shared" si="46"/>
        <v>0</v>
      </c>
      <c r="P411" s="13">
        <f t="shared" si="47"/>
        <v>0</v>
      </c>
      <c r="Q411" s="9"/>
      <c r="R411" s="2"/>
      <c r="S411" s="2"/>
    </row>
    <row r="412" spans="1:19">
      <c r="A412" s="42" t="s">
        <v>77</v>
      </c>
      <c r="B412" s="3" t="s">
        <v>68</v>
      </c>
      <c r="C412" s="3">
        <v>379</v>
      </c>
      <c r="D412" s="1"/>
      <c r="E412" s="20" t="s">
        <v>24</v>
      </c>
      <c r="F412" s="7" t="s">
        <v>14</v>
      </c>
      <c r="G412" s="7" t="s">
        <v>21</v>
      </c>
      <c r="H412" s="11">
        <v>6.97</v>
      </c>
      <c r="I412" s="8">
        <v>11</v>
      </c>
      <c r="J412" s="26">
        <v>39</v>
      </c>
      <c r="K412" s="10">
        <f t="shared" si="44"/>
        <v>2.9901300000000002</v>
      </c>
      <c r="L412" s="4"/>
      <c r="M412" s="17">
        <v>39</v>
      </c>
      <c r="N412" s="18">
        <f t="shared" si="45"/>
        <v>2.9901300000000002</v>
      </c>
      <c r="O412" s="19">
        <f t="shared" si="46"/>
        <v>0</v>
      </c>
      <c r="P412" s="13">
        <f t="shared" si="47"/>
        <v>0</v>
      </c>
      <c r="Q412" s="9"/>
      <c r="R412" s="2"/>
      <c r="S412" s="2"/>
    </row>
    <row r="413" spans="1:19">
      <c r="A413" s="42" t="s">
        <v>77</v>
      </c>
      <c r="B413" s="3" t="s">
        <v>68</v>
      </c>
      <c r="C413" s="3">
        <v>379</v>
      </c>
      <c r="D413" s="1"/>
      <c r="E413" s="20" t="s">
        <v>24</v>
      </c>
      <c r="F413" s="7" t="s">
        <v>14</v>
      </c>
      <c r="G413" s="7" t="s">
        <v>21</v>
      </c>
      <c r="H413" s="11">
        <v>6.97</v>
      </c>
      <c r="I413" s="8">
        <v>6</v>
      </c>
      <c r="J413" s="26">
        <v>1</v>
      </c>
      <c r="K413" s="10">
        <f t="shared" si="44"/>
        <v>4.1820000000000003E-2</v>
      </c>
      <c r="L413" s="4"/>
      <c r="M413" s="17">
        <v>1</v>
      </c>
      <c r="N413" s="18">
        <f t="shared" si="45"/>
        <v>4.1820000000000003E-2</v>
      </c>
      <c r="O413" s="19">
        <f t="shared" si="46"/>
        <v>0</v>
      </c>
      <c r="P413" s="13">
        <f t="shared" si="47"/>
        <v>0</v>
      </c>
      <c r="Q413" s="9"/>
      <c r="R413" s="2"/>
      <c r="S413" s="2"/>
    </row>
    <row r="414" spans="1:19">
      <c r="A414" s="42" t="s">
        <v>77</v>
      </c>
      <c r="B414" s="3" t="s">
        <v>68</v>
      </c>
      <c r="C414" s="3">
        <v>380</v>
      </c>
      <c r="D414" s="1"/>
      <c r="E414" s="20" t="s">
        <v>24</v>
      </c>
      <c r="F414" s="7" t="s">
        <v>14</v>
      </c>
      <c r="G414" s="7" t="s">
        <v>21</v>
      </c>
      <c r="H414" s="11">
        <v>6.97</v>
      </c>
      <c r="I414" s="8">
        <v>12</v>
      </c>
      <c r="J414" s="26">
        <v>34</v>
      </c>
      <c r="K414" s="10">
        <f t="shared" si="44"/>
        <v>2.8437600000000001</v>
      </c>
      <c r="L414" s="4"/>
      <c r="M414" s="17">
        <v>34</v>
      </c>
      <c r="N414" s="18">
        <f t="shared" si="45"/>
        <v>2.8437599999999996</v>
      </c>
      <c r="O414" s="19">
        <f t="shared" si="46"/>
        <v>0</v>
      </c>
      <c r="P414" s="13">
        <f t="shared" si="47"/>
        <v>0</v>
      </c>
      <c r="Q414" s="9"/>
      <c r="R414" s="2"/>
      <c r="S414" s="2"/>
    </row>
    <row r="415" spans="1:19">
      <c r="A415" s="42" t="s">
        <v>77</v>
      </c>
      <c r="B415" s="3" t="s">
        <v>68</v>
      </c>
      <c r="C415" s="3">
        <v>381</v>
      </c>
      <c r="D415" s="1"/>
      <c r="E415" s="20" t="s">
        <v>24</v>
      </c>
      <c r="F415" s="7" t="s">
        <v>14</v>
      </c>
      <c r="G415" s="7" t="s">
        <v>21</v>
      </c>
      <c r="H415" s="11">
        <v>6.97</v>
      </c>
      <c r="I415" s="8">
        <v>10</v>
      </c>
      <c r="J415" s="26">
        <v>4</v>
      </c>
      <c r="K415" s="10">
        <f t="shared" si="44"/>
        <v>0.27879999999999999</v>
      </c>
      <c r="L415" s="4"/>
      <c r="M415" s="17">
        <v>4</v>
      </c>
      <c r="N415" s="18">
        <f t="shared" si="45"/>
        <v>0.27879999999999999</v>
      </c>
      <c r="O415" s="19">
        <f t="shared" si="46"/>
        <v>0</v>
      </c>
      <c r="P415" s="13">
        <f t="shared" si="47"/>
        <v>0</v>
      </c>
      <c r="Q415" s="9"/>
      <c r="R415" s="2"/>
      <c r="S415" s="2"/>
    </row>
    <row r="416" spans="1:19">
      <c r="A416" s="42" t="s">
        <v>77</v>
      </c>
      <c r="B416" s="3" t="s">
        <v>68</v>
      </c>
      <c r="C416" s="3">
        <v>382</v>
      </c>
      <c r="D416" s="1"/>
      <c r="E416" s="20" t="s">
        <v>24</v>
      </c>
      <c r="F416" s="7" t="s">
        <v>14</v>
      </c>
      <c r="G416" s="7" t="s">
        <v>21</v>
      </c>
      <c r="H416" s="11">
        <v>6.97</v>
      </c>
      <c r="I416" s="8">
        <v>7.1</v>
      </c>
      <c r="J416" s="26">
        <v>1</v>
      </c>
      <c r="K416" s="10">
        <f t="shared" si="44"/>
        <v>4.9486999999999996E-2</v>
      </c>
      <c r="L416" s="4"/>
      <c r="M416" s="17">
        <v>1</v>
      </c>
      <c r="N416" s="18">
        <f t="shared" si="45"/>
        <v>4.9486999999999996E-2</v>
      </c>
      <c r="O416" s="19">
        <f t="shared" si="46"/>
        <v>0</v>
      </c>
      <c r="P416" s="13">
        <f t="shared" si="47"/>
        <v>0</v>
      </c>
      <c r="Q416" s="9">
        <v>6.6</v>
      </c>
      <c r="R416" s="2">
        <v>1</v>
      </c>
      <c r="S416" s="2" t="s">
        <v>614</v>
      </c>
    </row>
    <row r="417" spans="1:19">
      <c r="A417" s="42" t="s">
        <v>77</v>
      </c>
      <c r="B417" s="3" t="s">
        <v>68</v>
      </c>
      <c r="C417" s="3">
        <v>382</v>
      </c>
      <c r="D417" s="1"/>
      <c r="E417" s="20" t="s">
        <v>24</v>
      </c>
      <c r="F417" s="7" t="s">
        <v>14</v>
      </c>
      <c r="G417" s="7" t="s">
        <v>21</v>
      </c>
      <c r="H417" s="11">
        <v>6.97</v>
      </c>
      <c r="I417" s="8">
        <v>7.5</v>
      </c>
      <c r="J417" s="26">
        <v>1</v>
      </c>
      <c r="K417" s="10">
        <f t="shared" si="44"/>
        <v>5.2275000000000002E-2</v>
      </c>
      <c r="L417" s="4"/>
      <c r="M417" s="17">
        <v>1</v>
      </c>
      <c r="N417" s="18">
        <f t="shared" si="45"/>
        <v>5.2275000000000002E-2</v>
      </c>
      <c r="O417" s="19">
        <f t="shared" si="46"/>
        <v>0</v>
      </c>
      <c r="P417" s="13">
        <f t="shared" si="47"/>
        <v>0</v>
      </c>
      <c r="Q417" s="9"/>
      <c r="R417" s="2">
        <v>1</v>
      </c>
      <c r="S417" s="2" t="s">
        <v>274</v>
      </c>
    </row>
    <row r="418" spans="1:19">
      <c r="A418" s="42" t="s">
        <v>77</v>
      </c>
      <c r="B418" s="3" t="s">
        <v>68</v>
      </c>
      <c r="C418" s="3">
        <v>382</v>
      </c>
      <c r="D418" s="1"/>
      <c r="E418" s="20" t="s">
        <v>24</v>
      </c>
      <c r="F418" s="7" t="s">
        <v>14</v>
      </c>
      <c r="G418" s="7" t="s">
        <v>21</v>
      </c>
      <c r="H418" s="11">
        <v>6.97</v>
      </c>
      <c r="I418" s="8">
        <v>9.6</v>
      </c>
      <c r="J418" s="26">
        <v>1</v>
      </c>
      <c r="K418" s="10">
        <f t="shared" ref="K418:K471" si="48">(H418*I418*J418/1000)</f>
        <v>6.6911999999999985E-2</v>
      </c>
      <c r="L418" s="4"/>
      <c r="M418" s="17">
        <v>1</v>
      </c>
      <c r="N418" s="18">
        <f t="shared" ref="N418:N471" si="49">I418*M418*H418/1000</f>
        <v>6.6911999999999985E-2</v>
      </c>
      <c r="O418" s="19">
        <f t="shared" ref="O418:O471" si="50">J418-M418</f>
        <v>0</v>
      </c>
      <c r="P418" s="13">
        <f t="shared" ref="P418:P471" si="51">I418*O418*H418/1000</f>
        <v>0</v>
      </c>
      <c r="Q418" s="9"/>
      <c r="R418" s="2">
        <v>1</v>
      </c>
      <c r="S418" s="2" t="s">
        <v>274</v>
      </c>
    </row>
    <row r="419" spans="1:19">
      <c r="A419" s="42" t="s">
        <v>77</v>
      </c>
      <c r="B419" s="3" t="s">
        <v>68</v>
      </c>
      <c r="C419" s="3">
        <v>382</v>
      </c>
      <c r="D419" s="1"/>
      <c r="E419" s="20" t="s">
        <v>24</v>
      </c>
      <c r="F419" s="7" t="s">
        <v>14</v>
      </c>
      <c r="G419" s="7" t="s">
        <v>21</v>
      </c>
      <c r="H419" s="11">
        <v>6.97</v>
      </c>
      <c r="I419" s="8">
        <v>9.8000000000000007</v>
      </c>
      <c r="J419" s="26">
        <v>6</v>
      </c>
      <c r="K419" s="10">
        <f t="shared" si="48"/>
        <v>0.40983600000000003</v>
      </c>
      <c r="L419" s="4"/>
      <c r="M419" s="17">
        <v>6</v>
      </c>
      <c r="N419" s="18">
        <f t="shared" si="49"/>
        <v>0.40983600000000003</v>
      </c>
      <c r="O419" s="19">
        <f t="shared" si="50"/>
        <v>0</v>
      </c>
      <c r="P419" s="13">
        <f t="shared" si="51"/>
        <v>0</v>
      </c>
      <c r="Q419" s="9"/>
      <c r="R419" s="2">
        <v>6</v>
      </c>
      <c r="S419" s="2" t="s">
        <v>274</v>
      </c>
    </row>
    <row r="420" spans="1:19">
      <c r="A420" s="42" t="s">
        <v>77</v>
      </c>
      <c r="B420" s="3" t="s">
        <v>68</v>
      </c>
      <c r="C420" s="3">
        <v>383</v>
      </c>
      <c r="D420" s="1"/>
      <c r="E420" s="20" t="s">
        <v>24</v>
      </c>
      <c r="F420" s="7" t="s">
        <v>14</v>
      </c>
      <c r="G420" s="7" t="s">
        <v>21</v>
      </c>
      <c r="H420" s="11">
        <v>6.97</v>
      </c>
      <c r="I420" s="8">
        <v>12</v>
      </c>
      <c r="J420" s="26">
        <v>22</v>
      </c>
      <c r="K420" s="10">
        <f t="shared" si="48"/>
        <v>1.8400799999999999</v>
      </c>
      <c r="L420" s="4"/>
      <c r="M420" s="17">
        <v>22</v>
      </c>
      <c r="N420" s="18">
        <f t="shared" si="49"/>
        <v>1.8400799999999999</v>
      </c>
      <c r="O420" s="19">
        <f t="shared" si="50"/>
        <v>0</v>
      </c>
      <c r="P420" s="13">
        <f t="shared" si="51"/>
        <v>0</v>
      </c>
      <c r="Q420" s="9"/>
      <c r="R420" s="2"/>
      <c r="S420" s="2"/>
    </row>
    <row r="421" spans="1:19">
      <c r="A421" s="42" t="s">
        <v>77</v>
      </c>
      <c r="B421" s="3" t="s">
        <v>68</v>
      </c>
      <c r="C421" s="3">
        <v>383</v>
      </c>
      <c r="D421" s="1"/>
      <c r="E421" s="20" t="s">
        <v>24</v>
      </c>
      <c r="F421" s="7" t="s">
        <v>14</v>
      </c>
      <c r="G421" s="7" t="s">
        <v>21</v>
      </c>
      <c r="H421" s="11">
        <v>6.97</v>
      </c>
      <c r="I421" s="8">
        <v>11.5</v>
      </c>
      <c r="J421" s="26">
        <v>5</v>
      </c>
      <c r="K421" s="10">
        <f t="shared" si="48"/>
        <v>0.40077499999999999</v>
      </c>
      <c r="L421" s="4"/>
      <c r="M421" s="17">
        <v>5</v>
      </c>
      <c r="N421" s="18">
        <f t="shared" si="49"/>
        <v>0.40077499999999999</v>
      </c>
      <c r="O421" s="19">
        <f t="shared" si="50"/>
        <v>0</v>
      </c>
      <c r="P421" s="13">
        <f t="shared" si="51"/>
        <v>0</v>
      </c>
      <c r="Q421" s="9"/>
      <c r="R421" s="2"/>
      <c r="S421" s="2"/>
    </row>
    <row r="422" spans="1:19">
      <c r="A422" s="42" t="s">
        <v>77</v>
      </c>
      <c r="B422" s="3" t="s">
        <v>68</v>
      </c>
      <c r="C422" s="3">
        <v>441</v>
      </c>
      <c r="D422" s="1"/>
      <c r="E422" s="20" t="s">
        <v>24</v>
      </c>
      <c r="F422" s="7" t="s">
        <v>14</v>
      </c>
      <c r="G422" s="7" t="s">
        <v>21</v>
      </c>
      <c r="H422" s="11">
        <v>6.97</v>
      </c>
      <c r="I422" s="8">
        <v>7.5</v>
      </c>
      <c r="J422" s="26">
        <v>29</v>
      </c>
      <c r="K422" s="10">
        <f t="shared" si="48"/>
        <v>1.5159749999999999</v>
      </c>
      <c r="L422" s="4"/>
      <c r="M422" s="17">
        <v>29</v>
      </c>
      <c r="N422" s="18">
        <f t="shared" si="49"/>
        <v>1.5159749999999999</v>
      </c>
      <c r="O422" s="19">
        <f t="shared" si="50"/>
        <v>0</v>
      </c>
      <c r="P422" s="13">
        <f t="shared" si="51"/>
        <v>0</v>
      </c>
      <c r="Q422" s="9"/>
      <c r="R422" s="2"/>
      <c r="S422" s="2"/>
    </row>
    <row r="423" spans="1:19">
      <c r="A423" s="42" t="s">
        <v>77</v>
      </c>
      <c r="B423" s="3" t="s">
        <v>68</v>
      </c>
      <c r="C423" s="3">
        <v>442</v>
      </c>
      <c r="D423" s="1"/>
      <c r="E423" s="20" t="s">
        <v>24</v>
      </c>
      <c r="F423" s="7" t="s">
        <v>14</v>
      </c>
      <c r="G423" s="7" t="s">
        <v>21</v>
      </c>
      <c r="H423" s="11">
        <v>6.97</v>
      </c>
      <c r="I423" s="8">
        <v>12</v>
      </c>
      <c r="J423" s="26">
        <v>33</v>
      </c>
      <c r="K423" s="10">
        <f t="shared" si="48"/>
        <v>2.7601199999999997</v>
      </c>
      <c r="L423" s="4"/>
      <c r="M423" s="17">
        <v>33</v>
      </c>
      <c r="N423" s="18">
        <f t="shared" si="49"/>
        <v>2.7601199999999997</v>
      </c>
      <c r="O423" s="19">
        <f t="shared" si="50"/>
        <v>0</v>
      </c>
      <c r="P423" s="13">
        <f t="shared" si="51"/>
        <v>0</v>
      </c>
      <c r="Q423" s="9"/>
      <c r="R423" s="2"/>
      <c r="S423" s="2"/>
    </row>
    <row r="424" spans="1:19">
      <c r="A424" s="42" t="s">
        <v>77</v>
      </c>
      <c r="B424" s="3" t="s">
        <v>68</v>
      </c>
      <c r="C424" s="3">
        <v>443</v>
      </c>
      <c r="D424" s="1"/>
      <c r="E424" s="20" t="s">
        <v>24</v>
      </c>
      <c r="F424" s="7" t="s">
        <v>14</v>
      </c>
      <c r="G424" s="7" t="s">
        <v>21</v>
      </c>
      <c r="H424" s="11">
        <v>6.97</v>
      </c>
      <c r="I424" s="8">
        <v>10</v>
      </c>
      <c r="J424" s="26">
        <v>33</v>
      </c>
      <c r="K424" s="10">
        <f t="shared" si="48"/>
        <v>2.3001</v>
      </c>
      <c r="L424" s="4"/>
      <c r="M424" s="17">
        <v>33</v>
      </c>
      <c r="N424" s="18">
        <f t="shared" si="49"/>
        <v>2.3001</v>
      </c>
      <c r="O424" s="19">
        <f t="shared" si="50"/>
        <v>0</v>
      </c>
      <c r="P424" s="13">
        <f t="shared" si="51"/>
        <v>0</v>
      </c>
      <c r="Q424" s="9"/>
      <c r="R424" s="2"/>
      <c r="S424" s="2"/>
    </row>
    <row r="425" spans="1:19">
      <c r="A425" s="42" t="s">
        <v>77</v>
      </c>
      <c r="B425" s="3" t="s">
        <v>68</v>
      </c>
      <c r="C425" s="3">
        <v>444</v>
      </c>
      <c r="D425" s="1"/>
      <c r="E425" s="20" t="s">
        <v>24</v>
      </c>
      <c r="F425" s="7" t="s">
        <v>14</v>
      </c>
      <c r="G425" s="7" t="s">
        <v>21</v>
      </c>
      <c r="H425" s="11">
        <v>6.97</v>
      </c>
      <c r="I425" s="8">
        <v>11</v>
      </c>
      <c r="J425" s="26">
        <v>8</v>
      </c>
      <c r="K425" s="10">
        <f t="shared" si="48"/>
        <v>0.61336000000000002</v>
      </c>
      <c r="L425" s="4"/>
      <c r="M425" s="17">
        <v>8</v>
      </c>
      <c r="N425" s="18">
        <f t="shared" si="49"/>
        <v>0.61336000000000002</v>
      </c>
      <c r="O425" s="19">
        <f t="shared" si="50"/>
        <v>0</v>
      </c>
      <c r="P425" s="13">
        <f t="shared" si="51"/>
        <v>0</v>
      </c>
      <c r="Q425" s="9"/>
      <c r="R425" s="2"/>
      <c r="S425" s="2"/>
    </row>
    <row r="426" spans="1:19">
      <c r="A426" s="42" t="s">
        <v>84</v>
      </c>
      <c r="B426" s="3" t="s">
        <v>121</v>
      </c>
      <c r="C426" s="3">
        <v>1</v>
      </c>
      <c r="D426" s="1"/>
      <c r="E426" s="20" t="s">
        <v>24</v>
      </c>
      <c r="F426" s="7" t="s">
        <v>14</v>
      </c>
      <c r="G426" s="7" t="s">
        <v>25</v>
      </c>
      <c r="H426" s="11">
        <v>7.34</v>
      </c>
      <c r="I426" s="8">
        <v>9.5</v>
      </c>
      <c r="J426" s="26">
        <v>8</v>
      </c>
      <c r="K426" s="10">
        <f t="shared" si="48"/>
        <v>0.55784</v>
      </c>
      <c r="L426" s="4"/>
      <c r="M426" s="17">
        <v>8</v>
      </c>
      <c r="N426" s="18">
        <f t="shared" si="49"/>
        <v>0.55784</v>
      </c>
      <c r="O426" s="19">
        <f t="shared" si="50"/>
        <v>0</v>
      </c>
      <c r="P426" s="13">
        <f t="shared" si="51"/>
        <v>0</v>
      </c>
      <c r="Q426" s="9">
        <v>9.5</v>
      </c>
      <c r="R426" s="2">
        <v>8</v>
      </c>
      <c r="S426" s="2" t="s">
        <v>320</v>
      </c>
    </row>
    <row r="427" spans="1:19">
      <c r="A427" s="42" t="s">
        <v>84</v>
      </c>
      <c r="B427" s="3" t="s">
        <v>121</v>
      </c>
      <c r="C427" s="3">
        <v>2</v>
      </c>
      <c r="D427" s="1"/>
      <c r="E427" s="20" t="s">
        <v>24</v>
      </c>
      <c r="F427" s="7" t="s">
        <v>14</v>
      </c>
      <c r="G427" s="7" t="s">
        <v>25</v>
      </c>
      <c r="H427" s="11">
        <v>7.34</v>
      </c>
      <c r="I427" s="8">
        <v>7.8</v>
      </c>
      <c r="J427" s="26">
        <v>35</v>
      </c>
      <c r="K427" s="10">
        <f t="shared" si="48"/>
        <v>2.0038200000000002</v>
      </c>
      <c r="L427" s="4"/>
      <c r="M427" s="17">
        <v>35</v>
      </c>
      <c r="N427" s="18">
        <f t="shared" si="49"/>
        <v>2.0038200000000002</v>
      </c>
      <c r="O427" s="19">
        <f t="shared" si="50"/>
        <v>0</v>
      </c>
      <c r="P427" s="13">
        <f t="shared" si="51"/>
        <v>0</v>
      </c>
      <c r="Q427" s="9"/>
      <c r="R427" s="2"/>
      <c r="S427" s="2"/>
    </row>
    <row r="428" spans="1:19">
      <c r="A428" s="42" t="s">
        <v>84</v>
      </c>
      <c r="B428" s="3" t="s">
        <v>121</v>
      </c>
      <c r="C428" s="3">
        <v>3</v>
      </c>
      <c r="D428" s="1"/>
      <c r="E428" s="20" t="s">
        <v>24</v>
      </c>
      <c r="F428" s="7" t="s">
        <v>14</v>
      </c>
      <c r="G428" s="7" t="s">
        <v>25</v>
      </c>
      <c r="H428" s="11">
        <v>7.34</v>
      </c>
      <c r="I428" s="8">
        <v>10</v>
      </c>
      <c r="J428" s="26">
        <v>6</v>
      </c>
      <c r="K428" s="10">
        <f t="shared" si="48"/>
        <v>0.44040000000000001</v>
      </c>
      <c r="L428" s="4"/>
      <c r="M428" s="17">
        <f>5+1</f>
        <v>6</v>
      </c>
      <c r="N428" s="18">
        <f t="shared" si="49"/>
        <v>0.44039999999999996</v>
      </c>
      <c r="O428" s="19">
        <f t="shared" si="50"/>
        <v>0</v>
      </c>
      <c r="P428" s="13">
        <f t="shared" si="51"/>
        <v>0</v>
      </c>
      <c r="Q428" s="9">
        <v>7.55</v>
      </c>
      <c r="R428" s="2">
        <v>1</v>
      </c>
      <c r="S428" s="2" t="s">
        <v>335</v>
      </c>
    </row>
    <row r="429" spans="1:19">
      <c r="A429" s="42" t="s">
        <v>84</v>
      </c>
      <c r="B429" s="3" t="s">
        <v>121</v>
      </c>
      <c r="C429" s="3">
        <v>3</v>
      </c>
      <c r="D429" s="1"/>
      <c r="E429" s="20" t="s">
        <v>24</v>
      </c>
      <c r="F429" s="7" t="s">
        <v>14</v>
      </c>
      <c r="G429" s="7" t="s">
        <v>25</v>
      </c>
      <c r="H429" s="11">
        <v>7.34</v>
      </c>
      <c r="I429" s="8">
        <v>11.6</v>
      </c>
      <c r="J429" s="26">
        <v>30</v>
      </c>
      <c r="K429" s="10">
        <f t="shared" si="48"/>
        <v>2.5543199999999997</v>
      </c>
      <c r="L429" s="4"/>
      <c r="M429" s="17">
        <v>30</v>
      </c>
      <c r="N429" s="18">
        <f t="shared" si="49"/>
        <v>2.5543200000000001</v>
      </c>
      <c r="O429" s="19">
        <f t="shared" si="50"/>
        <v>0</v>
      </c>
      <c r="P429" s="13">
        <f t="shared" si="51"/>
        <v>0</v>
      </c>
      <c r="Q429" s="9"/>
      <c r="R429" s="2"/>
      <c r="S429" s="2"/>
    </row>
    <row r="430" spans="1:19">
      <c r="A430" s="42" t="s">
        <v>84</v>
      </c>
      <c r="B430" s="3" t="s">
        <v>121</v>
      </c>
      <c r="C430" s="3">
        <v>4</v>
      </c>
      <c r="D430" s="1"/>
      <c r="E430" s="20" t="s">
        <v>24</v>
      </c>
      <c r="F430" s="7" t="s">
        <v>14</v>
      </c>
      <c r="G430" s="7" t="s">
        <v>25</v>
      </c>
      <c r="H430" s="11">
        <v>7.34</v>
      </c>
      <c r="I430" s="8">
        <v>12</v>
      </c>
      <c r="J430" s="26">
        <v>20</v>
      </c>
      <c r="K430" s="10">
        <f t="shared" si="48"/>
        <v>1.7615999999999998</v>
      </c>
      <c r="L430" s="4"/>
      <c r="M430" s="17">
        <f>18+2</f>
        <v>20</v>
      </c>
      <c r="N430" s="18">
        <f t="shared" si="49"/>
        <v>1.7615999999999998</v>
      </c>
      <c r="O430" s="19">
        <f t="shared" si="50"/>
        <v>0</v>
      </c>
      <c r="P430" s="13">
        <f t="shared" si="51"/>
        <v>0</v>
      </c>
      <c r="Q430" s="9">
        <v>11.5</v>
      </c>
      <c r="R430" s="35">
        <v>2</v>
      </c>
      <c r="S430" s="2" t="s">
        <v>707</v>
      </c>
    </row>
    <row r="431" spans="1:19">
      <c r="A431" s="42" t="s">
        <v>84</v>
      </c>
      <c r="B431" s="3" t="s">
        <v>121</v>
      </c>
      <c r="C431" s="3">
        <v>5</v>
      </c>
      <c r="D431" s="1"/>
      <c r="E431" s="20" t="s">
        <v>24</v>
      </c>
      <c r="F431" s="7" t="s">
        <v>14</v>
      </c>
      <c r="G431" s="7" t="s">
        <v>25</v>
      </c>
      <c r="H431" s="11">
        <v>7.34</v>
      </c>
      <c r="I431" s="8">
        <v>6.5</v>
      </c>
      <c r="J431" s="26">
        <v>1</v>
      </c>
      <c r="K431" s="10">
        <f t="shared" si="48"/>
        <v>4.7710000000000002E-2</v>
      </c>
      <c r="L431" s="4"/>
      <c r="M431" s="17"/>
      <c r="N431" s="18">
        <f t="shared" si="49"/>
        <v>0</v>
      </c>
      <c r="O431" s="19">
        <f t="shared" si="50"/>
        <v>1</v>
      </c>
      <c r="P431" s="13">
        <f t="shared" si="51"/>
        <v>4.7710000000000002E-2</v>
      </c>
      <c r="Q431" s="9"/>
      <c r="R431" s="2"/>
      <c r="S431" s="2"/>
    </row>
    <row r="432" spans="1:19">
      <c r="A432" s="42" t="s">
        <v>84</v>
      </c>
      <c r="B432" s="3" t="s">
        <v>121</v>
      </c>
      <c r="C432" s="3">
        <v>5</v>
      </c>
      <c r="D432" s="1"/>
      <c r="E432" s="20" t="s">
        <v>24</v>
      </c>
      <c r="F432" s="7" t="s">
        <v>14</v>
      </c>
      <c r="G432" s="7" t="s">
        <v>25</v>
      </c>
      <c r="H432" s="11">
        <v>7.34</v>
      </c>
      <c r="I432" s="8">
        <v>6.4</v>
      </c>
      <c r="J432" s="26">
        <v>1</v>
      </c>
      <c r="K432" s="10">
        <f t="shared" si="48"/>
        <v>4.6975999999999997E-2</v>
      </c>
      <c r="L432" s="4"/>
      <c r="M432" s="17"/>
      <c r="N432" s="18">
        <f t="shared" si="49"/>
        <v>0</v>
      </c>
      <c r="O432" s="19">
        <f t="shared" si="50"/>
        <v>1</v>
      </c>
      <c r="P432" s="13">
        <f t="shared" si="51"/>
        <v>4.6975999999999997E-2</v>
      </c>
      <c r="Q432" s="9"/>
      <c r="R432" s="2"/>
      <c r="S432" s="2"/>
    </row>
    <row r="433" spans="1:19">
      <c r="A433" s="42" t="s">
        <v>84</v>
      </c>
      <c r="B433" s="3" t="s">
        <v>121</v>
      </c>
      <c r="C433" s="3">
        <v>5</v>
      </c>
      <c r="D433" s="1"/>
      <c r="E433" s="20" t="s">
        <v>24</v>
      </c>
      <c r="F433" s="7" t="s">
        <v>14</v>
      </c>
      <c r="G433" s="7" t="s">
        <v>25</v>
      </c>
      <c r="H433" s="11">
        <v>7.34</v>
      </c>
      <c r="I433" s="8">
        <v>7.4</v>
      </c>
      <c r="J433" s="26">
        <v>4</v>
      </c>
      <c r="K433" s="10">
        <f t="shared" si="48"/>
        <v>0.21726400000000001</v>
      </c>
      <c r="L433" s="4"/>
      <c r="M433" s="17"/>
      <c r="N433" s="18">
        <f t="shared" si="49"/>
        <v>0</v>
      </c>
      <c r="O433" s="19">
        <f t="shared" si="50"/>
        <v>4</v>
      </c>
      <c r="P433" s="13">
        <f t="shared" si="51"/>
        <v>0.21726400000000001</v>
      </c>
      <c r="Q433" s="9"/>
      <c r="R433" s="2"/>
      <c r="S433" s="2"/>
    </row>
    <row r="434" spans="1:19">
      <c r="A434" s="42" t="s">
        <v>84</v>
      </c>
      <c r="B434" s="3" t="s">
        <v>121</v>
      </c>
      <c r="C434" s="3">
        <v>5</v>
      </c>
      <c r="D434" s="1"/>
      <c r="E434" s="20" t="s">
        <v>24</v>
      </c>
      <c r="F434" s="7" t="s">
        <v>14</v>
      </c>
      <c r="G434" s="7" t="s">
        <v>25</v>
      </c>
      <c r="H434" s="11">
        <v>7.34</v>
      </c>
      <c r="I434" s="8">
        <v>7.7</v>
      </c>
      <c r="J434" s="26">
        <v>5</v>
      </c>
      <c r="K434" s="10">
        <f t="shared" si="48"/>
        <v>0.28259000000000001</v>
      </c>
      <c r="L434" s="4"/>
      <c r="M434" s="17">
        <f>4+1</f>
        <v>5</v>
      </c>
      <c r="N434" s="18">
        <f t="shared" si="49"/>
        <v>0.28258999999999995</v>
      </c>
      <c r="O434" s="19">
        <f t="shared" si="50"/>
        <v>0</v>
      </c>
      <c r="P434" s="13">
        <f t="shared" si="51"/>
        <v>0</v>
      </c>
      <c r="Q434" s="9">
        <v>7.55</v>
      </c>
      <c r="R434" s="2">
        <v>1</v>
      </c>
      <c r="S434" s="2" t="s">
        <v>335</v>
      </c>
    </row>
    <row r="435" spans="1:19">
      <c r="A435" s="42" t="s">
        <v>84</v>
      </c>
      <c r="B435" s="3" t="s">
        <v>121</v>
      </c>
      <c r="C435" s="3">
        <v>5</v>
      </c>
      <c r="D435" s="1"/>
      <c r="E435" s="20" t="s">
        <v>24</v>
      </c>
      <c r="F435" s="7" t="s">
        <v>14</v>
      </c>
      <c r="G435" s="7" t="s">
        <v>25</v>
      </c>
      <c r="H435" s="11">
        <v>7.34</v>
      </c>
      <c r="I435" s="8">
        <v>8.5</v>
      </c>
      <c r="J435" s="26">
        <v>1</v>
      </c>
      <c r="K435" s="10">
        <f t="shared" si="48"/>
        <v>6.2390000000000001E-2</v>
      </c>
      <c r="L435" s="4"/>
      <c r="M435" s="17">
        <v>1</v>
      </c>
      <c r="N435" s="18">
        <f t="shared" si="49"/>
        <v>6.2390000000000001E-2</v>
      </c>
      <c r="O435" s="19">
        <f t="shared" si="50"/>
        <v>0</v>
      </c>
      <c r="P435" s="13">
        <f t="shared" si="51"/>
        <v>0</v>
      </c>
      <c r="Q435" s="9">
        <v>7.55</v>
      </c>
      <c r="R435" s="2">
        <v>1</v>
      </c>
      <c r="S435" s="2" t="s">
        <v>335</v>
      </c>
    </row>
    <row r="436" spans="1:19">
      <c r="A436" s="42" t="s">
        <v>84</v>
      </c>
      <c r="B436" s="3" t="s">
        <v>121</v>
      </c>
      <c r="C436" s="3">
        <v>5</v>
      </c>
      <c r="D436" s="1"/>
      <c r="E436" s="20" t="s">
        <v>24</v>
      </c>
      <c r="F436" s="7" t="s">
        <v>14</v>
      </c>
      <c r="G436" s="7" t="s">
        <v>25</v>
      </c>
      <c r="H436" s="11">
        <v>7.34</v>
      </c>
      <c r="I436" s="8">
        <v>9</v>
      </c>
      <c r="J436" s="26">
        <v>3</v>
      </c>
      <c r="K436" s="10">
        <f t="shared" si="48"/>
        <v>0.19818</v>
      </c>
      <c r="L436" s="4"/>
      <c r="M436" s="17">
        <v>3</v>
      </c>
      <c r="N436" s="18">
        <f t="shared" si="49"/>
        <v>0.19818</v>
      </c>
      <c r="O436" s="19">
        <f t="shared" si="50"/>
        <v>0</v>
      </c>
      <c r="P436" s="13">
        <f t="shared" si="51"/>
        <v>0</v>
      </c>
      <c r="Q436" s="9">
        <v>7.55</v>
      </c>
      <c r="R436" s="2">
        <v>3</v>
      </c>
      <c r="S436" s="2" t="s">
        <v>335</v>
      </c>
    </row>
    <row r="437" spans="1:19">
      <c r="A437" s="42" t="s">
        <v>84</v>
      </c>
      <c r="B437" s="3" t="s">
        <v>121</v>
      </c>
      <c r="C437" s="3">
        <v>5</v>
      </c>
      <c r="D437" s="1"/>
      <c r="E437" s="20" t="s">
        <v>24</v>
      </c>
      <c r="F437" s="7" t="s">
        <v>14</v>
      </c>
      <c r="G437" s="7" t="s">
        <v>25</v>
      </c>
      <c r="H437" s="11">
        <v>7.34</v>
      </c>
      <c r="I437" s="8">
        <v>9.5</v>
      </c>
      <c r="J437" s="26">
        <v>1</v>
      </c>
      <c r="K437" s="10">
        <f t="shared" si="48"/>
        <v>6.973E-2</v>
      </c>
      <c r="L437" s="4"/>
      <c r="M437" s="17">
        <v>1</v>
      </c>
      <c r="N437" s="18">
        <f t="shared" si="49"/>
        <v>6.973E-2</v>
      </c>
      <c r="O437" s="19">
        <f t="shared" si="50"/>
        <v>0</v>
      </c>
      <c r="P437" s="13">
        <f t="shared" si="51"/>
        <v>0</v>
      </c>
      <c r="Q437" s="9">
        <v>7.55</v>
      </c>
      <c r="R437" s="2">
        <v>1</v>
      </c>
      <c r="S437" s="2" t="s">
        <v>335</v>
      </c>
    </row>
    <row r="438" spans="1:19">
      <c r="A438" s="42" t="s">
        <v>77</v>
      </c>
      <c r="B438" s="3" t="s">
        <v>68</v>
      </c>
      <c r="C438" s="3">
        <v>383</v>
      </c>
      <c r="D438" s="1"/>
      <c r="E438" s="12" t="s">
        <v>100</v>
      </c>
      <c r="F438" s="7" t="s">
        <v>15</v>
      </c>
      <c r="G438" s="7" t="s">
        <v>21</v>
      </c>
      <c r="H438" s="11">
        <v>6.97</v>
      </c>
      <c r="I438" s="8">
        <v>10.199999999999999</v>
      </c>
      <c r="J438" s="26">
        <v>4</v>
      </c>
      <c r="K438" s="10">
        <f t="shared" si="48"/>
        <v>0.28437599999999996</v>
      </c>
      <c r="L438" s="4"/>
      <c r="M438" s="17">
        <v>4</v>
      </c>
      <c r="N438" s="18">
        <f t="shared" si="49"/>
        <v>0.28437599999999996</v>
      </c>
      <c r="O438" s="19">
        <f t="shared" si="50"/>
        <v>0</v>
      </c>
      <c r="P438" s="13">
        <f t="shared" si="51"/>
        <v>0</v>
      </c>
      <c r="Q438" s="9"/>
      <c r="R438" s="2"/>
      <c r="S438" s="2"/>
    </row>
    <row r="439" spans="1:19">
      <c r="A439" s="42" t="s">
        <v>77</v>
      </c>
      <c r="B439" s="3" t="s">
        <v>68</v>
      </c>
      <c r="C439" s="3">
        <v>383</v>
      </c>
      <c r="D439" s="1"/>
      <c r="E439" s="12" t="s">
        <v>100</v>
      </c>
      <c r="F439" s="7" t="s">
        <v>15</v>
      </c>
      <c r="G439" s="7" t="s">
        <v>21</v>
      </c>
      <c r="H439" s="11">
        <v>6.97</v>
      </c>
      <c r="I439" s="8">
        <v>10.5</v>
      </c>
      <c r="J439" s="26">
        <v>10</v>
      </c>
      <c r="K439" s="10">
        <f t="shared" si="48"/>
        <v>0.73185</v>
      </c>
      <c r="L439" s="4"/>
      <c r="M439" s="17">
        <v>10</v>
      </c>
      <c r="N439" s="18">
        <f t="shared" si="49"/>
        <v>0.73185</v>
      </c>
      <c r="O439" s="19">
        <f t="shared" si="50"/>
        <v>0</v>
      </c>
      <c r="P439" s="13">
        <f t="shared" si="51"/>
        <v>0</v>
      </c>
      <c r="Q439" s="9"/>
      <c r="R439" s="2"/>
      <c r="S439" s="2"/>
    </row>
    <row r="440" spans="1:19">
      <c r="A440" s="42" t="s">
        <v>77</v>
      </c>
      <c r="B440" s="3" t="s">
        <v>68</v>
      </c>
      <c r="C440" s="3">
        <v>384</v>
      </c>
      <c r="D440" s="1"/>
      <c r="E440" s="20" t="s">
        <v>75</v>
      </c>
      <c r="F440" s="7" t="s">
        <v>15</v>
      </c>
      <c r="G440" s="7" t="s">
        <v>55</v>
      </c>
      <c r="H440" s="11">
        <v>4.6500000000000004</v>
      </c>
      <c r="I440" s="8">
        <v>10.3</v>
      </c>
      <c r="J440" s="43">
        <v>26</v>
      </c>
      <c r="K440" s="10">
        <f t="shared" si="48"/>
        <v>1.2452700000000001</v>
      </c>
      <c r="L440" s="4"/>
      <c r="M440" s="17">
        <v>26</v>
      </c>
      <c r="N440" s="18">
        <f t="shared" si="49"/>
        <v>1.2452700000000001</v>
      </c>
      <c r="O440" s="19">
        <f t="shared" si="50"/>
        <v>0</v>
      </c>
      <c r="P440" s="13">
        <f t="shared" si="51"/>
        <v>0</v>
      </c>
      <c r="Q440" s="9"/>
      <c r="R440" s="2"/>
      <c r="S440" s="2"/>
    </row>
    <row r="441" spans="1:19">
      <c r="A441" s="42" t="s">
        <v>77</v>
      </c>
      <c r="B441" s="3" t="s">
        <v>68</v>
      </c>
      <c r="C441" s="3">
        <v>385</v>
      </c>
      <c r="D441" s="1"/>
      <c r="E441" s="20" t="s">
        <v>75</v>
      </c>
      <c r="F441" s="7" t="s">
        <v>15</v>
      </c>
      <c r="G441" s="7" t="s">
        <v>55</v>
      </c>
      <c r="H441" s="11">
        <v>4.6500000000000004</v>
      </c>
      <c r="I441" s="8">
        <v>10.3</v>
      </c>
      <c r="J441" s="43">
        <v>38</v>
      </c>
      <c r="K441" s="10">
        <f t="shared" si="48"/>
        <v>1.8200100000000003</v>
      </c>
      <c r="L441" s="4"/>
      <c r="M441" s="17">
        <v>38</v>
      </c>
      <c r="N441" s="18">
        <f t="shared" si="49"/>
        <v>1.8200100000000001</v>
      </c>
      <c r="O441" s="19">
        <f t="shared" si="50"/>
        <v>0</v>
      </c>
      <c r="P441" s="13">
        <f t="shared" si="51"/>
        <v>0</v>
      </c>
      <c r="Q441" s="9"/>
      <c r="R441" s="2"/>
      <c r="S441" s="2"/>
    </row>
    <row r="442" spans="1:19">
      <c r="A442" s="42" t="s">
        <v>77</v>
      </c>
      <c r="B442" s="3" t="s">
        <v>68</v>
      </c>
      <c r="C442" s="3">
        <v>386</v>
      </c>
      <c r="D442" s="1"/>
      <c r="E442" s="20" t="s">
        <v>75</v>
      </c>
      <c r="F442" s="7" t="s">
        <v>15</v>
      </c>
      <c r="G442" s="7" t="s">
        <v>55</v>
      </c>
      <c r="H442" s="11">
        <v>4.6500000000000004</v>
      </c>
      <c r="I442" s="8">
        <v>10</v>
      </c>
      <c r="J442" s="26">
        <v>15</v>
      </c>
      <c r="K442" s="10">
        <f t="shared" si="48"/>
        <v>0.69750000000000001</v>
      </c>
      <c r="L442" s="4"/>
      <c r="M442" s="17">
        <v>15</v>
      </c>
      <c r="N442" s="18">
        <f t="shared" si="49"/>
        <v>0.69750000000000001</v>
      </c>
      <c r="O442" s="19">
        <f t="shared" si="50"/>
        <v>0</v>
      </c>
      <c r="P442" s="13">
        <f t="shared" si="51"/>
        <v>0</v>
      </c>
      <c r="Q442" s="9"/>
      <c r="R442" s="2"/>
      <c r="S442" s="2"/>
    </row>
    <row r="443" spans="1:19">
      <c r="A443" s="42" t="s">
        <v>77</v>
      </c>
      <c r="B443" s="3" t="s">
        <v>68</v>
      </c>
      <c r="C443" s="3">
        <v>387</v>
      </c>
      <c r="D443" s="1"/>
      <c r="E443" s="20" t="s">
        <v>75</v>
      </c>
      <c r="F443" s="7" t="s">
        <v>15</v>
      </c>
      <c r="G443" s="7" t="s">
        <v>55</v>
      </c>
      <c r="H443" s="11">
        <v>4.6500000000000004</v>
      </c>
      <c r="I443" s="8">
        <v>11</v>
      </c>
      <c r="J443" s="43">
        <v>40</v>
      </c>
      <c r="K443" s="10">
        <f t="shared" si="48"/>
        <v>2.0460000000000003</v>
      </c>
      <c r="L443" s="4"/>
      <c r="M443" s="17">
        <v>40</v>
      </c>
      <c r="N443" s="18">
        <f t="shared" si="49"/>
        <v>2.0460000000000003</v>
      </c>
      <c r="O443" s="19">
        <f t="shared" si="50"/>
        <v>0</v>
      </c>
      <c r="P443" s="13">
        <f t="shared" si="51"/>
        <v>0</v>
      </c>
      <c r="Q443" s="9"/>
      <c r="R443" s="2"/>
      <c r="S443" s="2"/>
    </row>
    <row r="444" spans="1:19">
      <c r="A444" s="42" t="s">
        <v>77</v>
      </c>
      <c r="B444" s="3" t="s">
        <v>68</v>
      </c>
      <c r="C444" s="3">
        <v>388</v>
      </c>
      <c r="D444" s="1"/>
      <c r="E444" s="20" t="s">
        <v>75</v>
      </c>
      <c r="F444" s="7" t="s">
        <v>15</v>
      </c>
      <c r="G444" s="7" t="s">
        <v>55</v>
      </c>
      <c r="H444" s="11">
        <v>4.6500000000000004</v>
      </c>
      <c r="I444" s="8">
        <v>12</v>
      </c>
      <c r="J444" s="43">
        <v>38</v>
      </c>
      <c r="K444" s="10">
        <f t="shared" si="48"/>
        <v>2.1204000000000001</v>
      </c>
      <c r="L444" s="4"/>
      <c r="M444" s="17">
        <v>38</v>
      </c>
      <c r="N444" s="18">
        <f t="shared" si="49"/>
        <v>2.1204000000000001</v>
      </c>
      <c r="O444" s="19">
        <f t="shared" si="50"/>
        <v>0</v>
      </c>
      <c r="P444" s="13">
        <f t="shared" si="51"/>
        <v>0</v>
      </c>
      <c r="Q444" s="9"/>
      <c r="R444" s="2"/>
      <c r="S444" s="2"/>
    </row>
    <row r="445" spans="1:19">
      <c r="A445" s="42" t="s">
        <v>77</v>
      </c>
      <c r="B445" s="3" t="s">
        <v>68</v>
      </c>
      <c r="C445" s="3">
        <v>389</v>
      </c>
      <c r="D445" s="1"/>
      <c r="E445" s="20" t="s">
        <v>75</v>
      </c>
      <c r="F445" s="7" t="s">
        <v>15</v>
      </c>
      <c r="G445" s="7" t="s">
        <v>55</v>
      </c>
      <c r="H445" s="11">
        <v>4.6500000000000004</v>
      </c>
      <c r="I445" s="8">
        <v>11</v>
      </c>
      <c r="J445" s="43">
        <v>38</v>
      </c>
      <c r="K445" s="10">
        <f t="shared" si="48"/>
        <v>1.9437000000000002</v>
      </c>
      <c r="L445" s="4"/>
      <c r="M445" s="17">
        <v>38</v>
      </c>
      <c r="N445" s="18">
        <f t="shared" si="49"/>
        <v>1.9437</v>
      </c>
      <c r="O445" s="19">
        <f t="shared" si="50"/>
        <v>0</v>
      </c>
      <c r="P445" s="13">
        <f t="shared" si="51"/>
        <v>0</v>
      </c>
      <c r="Q445" s="9"/>
      <c r="R445" s="2"/>
      <c r="S445" s="2"/>
    </row>
    <row r="446" spans="1:19">
      <c r="A446" s="42" t="s">
        <v>77</v>
      </c>
      <c r="B446" s="3" t="s">
        <v>68</v>
      </c>
      <c r="C446" s="3">
        <v>390</v>
      </c>
      <c r="D446" s="1"/>
      <c r="E446" s="20" t="s">
        <v>75</v>
      </c>
      <c r="F446" s="7" t="s">
        <v>15</v>
      </c>
      <c r="G446" s="7" t="s">
        <v>55</v>
      </c>
      <c r="H446" s="11">
        <v>4.6500000000000004</v>
      </c>
      <c r="I446" s="8">
        <v>10.3</v>
      </c>
      <c r="J446" s="43">
        <v>40</v>
      </c>
      <c r="K446" s="10">
        <f t="shared" si="48"/>
        <v>1.9158000000000004</v>
      </c>
      <c r="L446" s="4"/>
      <c r="M446" s="17">
        <v>40</v>
      </c>
      <c r="N446" s="18">
        <f t="shared" si="49"/>
        <v>1.9158000000000002</v>
      </c>
      <c r="O446" s="19">
        <f t="shared" si="50"/>
        <v>0</v>
      </c>
      <c r="P446" s="13">
        <f t="shared" si="51"/>
        <v>0</v>
      </c>
      <c r="Q446" s="9"/>
      <c r="R446" s="2"/>
      <c r="S446" s="2"/>
    </row>
    <row r="447" spans="1:19">
      <c r="A447" s="42" t="s">
        <v>77</v>
      </c>
      <c r="B447" s="3" t="s">
        <v>68</v>
      </c>
      <c r="C447" s="3">
        <v>391</v>
      </c>
      <c r="D447" s="1"/>
      <c r="E447" s="20" t="s">
        <v>75</v>
      </c>
      <c r="F447" s="7" t="s">
        <v>15</v>
      </c>
      <c r="G447" s="7" t="s">
        <v>55</v>
      </c>
      <c r="H447" s="11">
        <v>4.6500000000000004</v>
      </c>
      <c r="I447" s="8">
        <v>11</v>
      </c>
      <c r="J447" s="43">
        <v>40</v>
      </c>
      <c r="K447" s="10">
        <f t="shared" si="48"/>
        <v>2.0460000000000003</v>
      </c>
      <c r="L447" s="4"/>
      <c r="M447" s="17">
        <v>40</v>
      </c>
      <c r="N447" s="18">
        <f t="shared" si="49"/>
        <v>2.0460000000000003</v>
      </c>
      <c r="O447" s="19">
        <f t="shared" si="50"/>
        <v>0</v>
      </c>
      <c r="P447" s="13">
        <f t="shared" si="51"/>
        <v>0</v>
      </c>
      <c r="Q447" s="9"/>
      <c r="R447" s="2"/>
      <c r="S447" s="2"/>
    </row>
    <row r="448" spans="1:19">
      <c r="A448" s="42" t="s">
        <v>77</v>
      </c>
      <c r="B448" s="3" t="s">
        <v>68</v>
      </c>
      <c r="C448" s="3">
        <v>392</v>
      </c>
      <c r="D448" s="1"/>
      <c r="E448" s="20" t="s">
        <v>75</v>
      </c>
      <c r="F448" s="7" t="s">
        <v>15</v>
      </c>
      <c r="G448" s="7" t="s">
        <v>55</v>
      </c>
      <c r="H448" s="11">
        <v>4.6500000000000004</v>
      </c>
      <c r="I448" s="8">
        <v>11.5</v>
      </c>
      <c r="J448" s="43">
        <v>40</v>
      </c>
      <c r="K448" s="10">
        <f t="shared" si="48"/>
        <v>2.1389999999999998</v>
      </c>
      <c r="L448" s="4"/>
      <c r="M448" s="17">
        <v>40</v>
      </c>
      <c r="N448" s="18">
        <f t="shared" si="49"/>
        <v>2.1389999999999998</v>
      </c>
      <c r="O448" s="19">
        <f t="shared" si="50"/>
        <v>0</v>
      </c>
      <c r="P448" s="13">
        <f t="shared" si="51"/>
        <v>0</v>
      </c>
      <c r="Q448" s="9"/>
      <c r="R448" s="2"/>
      <c r="S448" s="2"/>
    </row>
    <row r="449" spans="1:23">
      <c r="A449" s="42" t="s">
        <v>77</v>
      </c>
      <c r="B449" s="3" t="s">
        <v>68</v>
      </c>
      <c r="C449" s="3">
        <v>393</v>
      </c>
      <c r="D449" s="1"/>
      <c r="E449" s="20" t="s">
        <v>75</v>
      </c>
      <c r="F449" s="7" t="s">
        <v>15</v>
      </c>
      <c r="G449" s="7" t="s">
        <v>55</v>
      </c>
      <c r="H449" s="11">
        <v>4.6500000000000004</v>
      </c>
      <c r="I449" s="8">
        <v>12</v>
      </c>
      <c r="J449" s="43">
        <v>40</v>
      </c>
      <c r="K449" s="10">
        <f t="shared" si="48"/>
        <v>2.2320000000000002</v>
      </c>
      <c r="L449" s="4"/>
      <c r="M449" s="17">
        <v>40</v>
      </c>
      <c r="N449" s="18">
        <f t="shared" si="49"/>
        <v>2.2320000000000002</v>
      </c>
      <c r="O449" s="19">
        <f t="shared" si="50"/>
        <v>0</v>
      </c>
      <c r="P449" s="13">
        <f t="shared" si="51"/>
        <v>0</v>
      </c>
      <c r="Q449" s="9"/>
      <c r="R449" s="2"/>
      <c r="S449" s="2"/>
    </row>
    <row r="450" spans="1:23">
      <c r="A450" s="42" t="s">
        <v>77</v>
      </c>
      <c r="B450" s="3" t="s">
        <v>68</v>
      </c>
      <c r="C450" s="3">
        <v>394</v>
      </c>
      <c r="D450" s="1"/>
      <c r="E450" s="20" t="s">
        <v>75</v>
      </c>
      <c r="F450" s="7" t="s">
        <v>15</v>
      </c>
      <c r="G450" s="7" t="s">
        <v>55</v>
      </c>
      <c r="H450" s="11">
        <v>4.6500000000000004</v>
      </c>
      <c r="I450" s="8">
        <v>10.3</v>
      </c>
      <c r="J450" s="43">
        <v>40</v>
      </c>
      <c r="K450" s="10">
        <f t="shared" si="48"/>
        <v>1.9158000000000004</v>
      </c>
      <c r="L450" s="4"/>
      <c r="M450" s="17">
        <v>40</v>
      </c>
      <c r="N450" s="18">
        <f t="shared" si="49"/>
        <v>1.9158000000000002</v>
      </c>
      <c r="O450" s="19">
        <f t="shared" si="50"/>
        <v>0</v>
      </c>
      <c r="P450" s="13">
        <f t="shared" si="51"/>
        <v>0</v>
      </c>
      <c r="Q450" s="9"/>
      <c r="R450" s="2"/>
      <c r="S450" s="2"/>
    </row>
    <row r="451" spans="1:23">
      <c r="A451" s="42" t="s">
        <v>77</v>
      </c>
      <c r="B451" s="3" t="s">
        <v>68</v>
      </c>
      <c r="C451" s="3">
        <v>395</v>
      </c>
      <c r="D451" s="1"/>
      <c r="E451" s="12" t="s">
        <v>100</v>
      </c>
      <c r="F451" s="7" t="s">
        <v>15</v>
      </c>
      <c r="G451" s="7" t="s">
        <v>21</v>
      </c>
      <c r="H451" s="11">
        <v>6.97</v>
      </c>
      <c r="I451" s="8">
        <v>11.5</v>
      </c>
      <c r="J451" s="26">
        <v>4</v>
      </c>
      <c r="K451" s="10">
        <f t="shared" si="48"/>
        <v>0.32062000000000002</v>
      </c>
      <c r="L451" s="4"/>
      <c r="M451" s="17">
        <v>4</v>
      </c>
      <c r="N451" s="18">
        <f t="shared" si="49"/>
        <v>0.32062000000000002</v>
      </c>
      <c r="O451" s="151">
        <f t="shared" si="50"/>
        <v>0</v>
      </c>
      <c r="P451" s="152">
        <f t="shared" si="51"/>
        <v>0</v>
      </c>
      <c r="Q451" s="9"/>
      <c r="R451" s="2"/>
      <c r="S451" s="2"/>
    </row>
    <row r="452" spans="1:23">
      <c r="A452" s="42" t="s">
        <v>77</v>
      </c>
      <c r="B452" s="3" t="s">
        <v>68</v>
      </c>
      <c r="C452" s="3">
        <v>395</v>
      </c>
      <c r="D452" s="1"/>
      <c r="E452" s="12" t="s">
        <v>100</v>
      </c>
      <c r="F452" s="7" t="s">
        <v>15</v>
      </c>
      <c r="G452" s="7" t="s">
        <v>21</v>
      </c>
      <c r="H452" s="11">
        <v>6.97</v>
      </c>
      <c r="I452" s="8">
        <v>12</v>
      </c>
      <c r="J452" s="26">
        <v>20</v>
      </c>
      <c r="K452" s="10">
        <f t="shared" si="48"/>
        <v>1.6728000000000001</v>
      </c>
      <c r="L452" s="4"/>
      <c r="M452" s="17">
        <v>20</v>
      </c>
      <c r="N452" s="18">
        <f t="shared" si="49"/>
        <v>1.6728000000000001</v>
      </c>
      <c r="O452" s="19">
        <f t="shared" si="50"/>
        <v>0</v>
      </c>
      <c r="P452" s="13">
        <f t="shared" si="51"/>
        <v>0</v>
      </c>
      <c r="Q452" s="9"/>
      <c r="R452" s="2"/>
      <c r="S452" s="2"/>
    </row>
    <row r="453" spans="1:23">
      <c r="A453" s="42" t="s">
        <v>77</v>
      </c>
      <c r="B453" s="3" t="s">
        <v>68</v>
      </c>
      <c r="C453" s="3">
        <v>396</v>
      </c>
      <c r="D453" s="1"/>
      <c r="E453" s="20" t="s">
        <v>75</v>
      </c>
      <c r="F453" s="7" t="s">
        <v>15</v>
      </c>
      <c r="G453" s="7" t="s">
        <v>55</v>
      </c>
      <c r="H453" s="11">
        <v>4.6500000000000004</v>
      </c>
      <c r="I453" s="8">
        <v>9.5</v>
      </c>
      <c r="J453" s="26">
        <v>2</v>
      </c>
      <c r="K453" s="10">
        <f t="shared" si="48"/>
        <v>8.8350000000000012E-2</v>
      </c>
      <c r="L453" s="4"/>
      <c r="M453" s="17"/>
      <c r="N453" s="18">
        <f t="shared" si="49"/>
        <v>0</v>
      </c>
      <c r="O453" s="19">
        <f t="shared" si="50"/>
        <v>2</v>
      </c>
      <c r="P453" s="13">
        <f t="shared" si="51"/>
        <v>8.8350000000000012E-2</v>
      </c>
      <c r="Q453" s="9"/>
      <c r="R453" s="2"/>
      <c r="S453" s="2"/>
    </row>
    <row r="454" spans="1:23">
      <c r="A454" s="42" t="s">
        <v>77</v>
      </c>
      <c r="B454" s="3" t="s">
        <v>68</v>
      </c>
      <c r="C454" s="3">
        <v>396</v>
      </c>
      <c r="D454" s="1"/>
      <c r="E454" s="20" t="s">
        <v>75</v>
      </c>
      <c r="F454" s="7" t="s">
        <v>15</v>
      </c>
      <c r="G454" s="7" t="s">
        <v>55</v>
      </c>
      <c r="H454" s="11">
        <v>4.6500000000000004</v>
      </c>
      <c r="I454" s="8">
        <v>11</v>
      </c>
      <c r="J454" s="43">
        <v>6</v>
      </c>
      <c r="K454" s="10">
        <f t="shared" si="48"/>
        <v>0.30690000000000006</v>
      </c>
      <c r="L454" s="4"/>
      <c r="M454" s="17">
        <v>6</v>
      </c>
      <c r="N454" s="18">
        <f t="shared" si="49"/>
        <v>0.30690000000000006</v>
      </c>
      <c r="O454" s="19">
        <f t="shared" si="50"/>
        <v>0</v>
      </c>
      <c r="P454" s="13">
        <f t="shared" si="51"/>
        <v>0</v>
      </c>
      <c r="Q454" s="9"/>
      <c r="R454" s="2"/>
      <c r="S454" s="2"/>
    </row>
    <row r="455" spans="1:23">
      <c r="A455" s="42" t="s">
        <v>77</v>
      </c>
      <c r="B455" s="3" t="s">
        <v>68</v>
      </c>
      <c r="C455" s="3">
        <v>396</v>
      </c>
      <c r="D455" s="1"/>
      <c r="E455" s="20" t="s">
        <v>75</v>
      </c>
      <c r="F455" s="7" t="s">
        <v>15</v>
      </c>
      <c r="G455" s="7" t="s">
        <v>55</v>
      </c>
      <c r="H455" s="11">
        <v>4.6500000000000004</v>
      </c>
      <c r="I455" s="8">
        <v>12</v>
      </c>
      <c r="J455" s="26">
        <v>4</v>
      </c>
      <c r="K455" s="10">
        <f t="shared" si="48"/>
        <v>0.22320000000000001</v>
      </c>
      <c r="L455" s="4"/>
      <c r="M455" s="17">
        <v>2</v>
      </c>
      <c r="N455" s="18">
        <f t="shared" si="49"/>
        <v>0.1116</v>
      </c>
      <c r="O455" s="19">
        <f t="shared" si="50"/>
        <v>2</v>
      </c>
      <c r="P455" s="13">
        <f t="shared" si="51"/>
        <v>0.1116</v>
      </c>
      <c r="Q455" s="9"/>
      <c r="R455" s="2"/>
      <c r="S455" s="2"/>
    </row>
    <row r="456" spans="1:23">
      <c r="A456" s="42" t="s">
        <v>77</v>
      </c>
      <c r="B456" s="3" t="s">
        <v>68</v>
      </c>
      <c r="C456" s="3">
        <v>397</v>
      </c>
      <c r="D456" s="1"/>
      <c r="E456" s="20" t="s">
        <v>75</v>
      </c>
      <c r="F456" s="7" t="s">
        <v>15</v>
      </c>
      <c r="G456" s="7" t="s">
        <v>55</v>
      </c>
      <c r="H456" s="11">
        <v>4.6500000000000004</v>
      </c>
      <c r="I456" s="8">
        <v>10.5</v>
      </c>
      <c r="J456" s="43">
        <v>5</v>
      </c>
      <c r="K456" s="10">
        <f t="shared" si="48"/>
        <v>0.24412500000000001</v>
      </c>
      <c r="L456" s="4"/>
      <c r="M456" s="17">
        <v>5</v>
      </c>
      <c r="N456" s="18">
        <f t="shared" si="49"/>
        <v>0.24412500000000004</v>
      </c>
      <c r="O456" s="19">
        <f t="shared" si="50"/>
        <v>0</v>
      </c>
      <c r="P456" s="13">
        <f t="shared" si="51"/>
        <v>0</v>
      </c>
      <c r="Q456" s="9"/>
      <c r="R456" s="2"/>
      <c r="S456" s="2"/>
    </row>
    <row r="457" spans="1:23">
      <c r="A457" s="42" t="s">
        <v>77</v>
      </c>
      <c r="B457" s="3" t="s">
        <v>68</v>
      </c>
      <c r="C457" s="3">
        <v>397</v>
      </c>
      <c r="D457" s="1"/>
      <c r="E457" s="20" t="s">
        <v>75</v>
      </c>
      <c r="F457" s="7" t="s">
        <v>15</v>
      </c>
      <c r="G457" s="7" t="s">
        <v>55</v>
      </c>
      <c r="H457" s="11">
        <v>4.6500000000000004</v>
      </c>
      <c r="I457" s="8">
        <v>11.5</v>
      </c>
      <c r="J457" s="43">
        <v>17</v>
      </c>
      <c r="K457" s="10">
        <f t="shared" si="48"/>
        <v>0.90907500000000008</v>
      </c>
      <c r="L457" s="4"/>
      <c r="M457" s="17">
        <v>17</v>
      </c>
      <c r="N457" s="18">
        <f t="shared" si="49"/>
        <v>0.90907500000000008</v>
      </c>
      <c r="O457" s="19">
        <f t="shared" si="50"/>
        <v>0</v>
      </c>
      <c r="P457" s="13">
        <f t="shared" si="51"/>
        <v>0</v>
      </c>
      <c r="Q457" s="9"/>
      <c r="R457" s="2"/>
      <c r="S457" s="2"/>
    </row>
    <row r="458" spans="1:23">
      <c r="A458" s="42" t="s">
        <v>77</v>
      </c>
      <c r="B458" s="3" t="s">
        <v>68</v>
      </c>
      <c r="C458" s="3">
        <v>398</v>
      </c>
      <c r="D458" s="1"/>
      <c r="E458" s="20" t="s">
        <v>17</v>
      </c>
      <c r="F458" s="7" t="s">
        <v>15</v>
      </c>
      <c r="G458" s="7" t="s">
        <v>32</v>
      </c>
      <c r="H458" s="11">
        <v>8.32</v>
      </c>
      <c r="I458" s="8">
        <v>11.6</v>
      </c>
      <c r="J458" s="26">
        <v>4</v>
      </c>
      <c r="K458" s="10">
        <f t="shared" si="48"/>
        <v>0.386048</v>
      </c>
      <c r="L458" s="4"/>
      <c r="M458" s="17">
        <v>4</v>
      </c>
      <c r="N458" s="18">
        <f t="shared" si="49"/>
        <v>0.386048</v>
      </c>
      <c r="O458" s="19">
        <f t="shared" si="50"/>
        <v>0</v>
      </c>
      <c r="P458" s="13">
        <f t="shared" si="51"/>
        <v>0</v>
      </c>
      <c r="Q458" s="9">
        <v>11.5</v>
      </c>
      <c r="R458" s="35">
        <v>4</v>
      </c>
      <c r="S458" s="2" t="s">
        <v>213</v>
      </c>
    </row>
    <row r="459" spans="1:23">
      <c r="A459" s="42" t="s">
        <v>77</v>
      </c>
      <c r="B459" s="3" t="s">
        <v>68</v>
      </c>
      <c r="C459" s="3">
        <v>398</v>
      </c>
      <c r="D459" s="1"/>
      <c r="E459" s="20" t="s">
        <v>17</v>
      </c>
      <c r="F459" s="7" t="s">
        <v>15</v>
      </c>
      <c r="G459" s="7" t="s">
        <v>32</v>
      </c>
      <c r="H459" s="11">
        <v>8.32</v>
      </c>
      <c r="I459" s="8">
        <v>10.5</v>
      </c>
      <c r="J459" s="26">
        <v>3</v>
      </c>
      <c r="K459" s="10">
        <f t="shared" si="48"/>
        <v>0.26207999999999998</v>
      </c>
      <c r="L459" s="4"/>
      <c r="M459" s="22">
        <v>3</v>
      </c>
      <c r="N459" s="18">
        <f t="shared" si="49"/>
        <v>0.26207999999999998</v>
      </c>
      <c r="O459" s="19">
        <f t="shared" si="50"/>
        <v>0</v>
      </c>
      <c r="P459" s="13">
        <f t="shared" si="51"/>
        <v>0</v>
      </c>
      <c r="Q459" s="9">
        <v>10.199999999999999</v>
      </c>
      <c r="R459" s="35">
        <v>3</v>
      </c>
      <c r="S459" s="2" t="s">
        <v>213</v>
      </c>
    </row>
    <row r="460" spans="1:23">
      <c r="A460" s="42" t="s">
        <v>77</v>
      </c>
      <c r="B460" s="3" t="s">
        <v>68</v>
      </c>
      <c r="C460" s="3">
        <v>398</v>
      </c>
      <c r="D460" s="1"/>
      <c r="E460" s="20" t="s">
        <v>17</v>
      </c>
      <c r="F460" s="7" t="s">
        <v>15</v>
      </c>
      <c r="G460" s="7" t="s">
        <v>32</v>
      </c>
      <c r="H460" s="11">
        <v>8.32</v>
      </c>
      <c r="I460" s="8">
        <v>7.7</v>
      </c>
      <c r="J460" s="26">
        <v>2</v>
      </c>
      <c r="K460" s="10">
        <f t="shared" si="48"/>
        <v>0.12812800000000002</v>
      </c>
      <c r="L460" s="4"/>
      <c r="M460" s="22">
        <v>2</v>
      </c>
      <c r="N460" s="18">
        <f t="shared" si="49"/>
        <v>0.12812800000000002</v>
      </c>
      <c r="O460" s="64">
        <f t="shared" si="50"/>
        <v>0</v>
      </c>
      <c r="P460" s="65">
        <f t="shared" si="51"/>
        <v>0</v>
      </c>
      <c r="Q460" s="9"/>
      <c r="R460" s="2"/>
      <c r="S460" s="2"/>
    </row>
    <row r="461" spans="1:23">
      <c r="A461" s="42" t="s">
        <v>77</v>
      </c>
      <c r="B461" s="3" t="s">
        <v>68</v>
      </c>
      <c r="C461" s="3">
        <v>398</v>
      </c>
      <c r="D461" s="1"/>
      <c r="E461" s="20" t="s">
        <v>17</v>
      </c>
      <c r="F461" s="7" t="s">
        <v>15</v>
      </c>
      <c r="G461" s="7" t="s">
        <v>32</v>
      </c>
      <c r="H461" s="11">
        <v>8.32</v>
      </c>
      <c r="I461" s="8">
        <v>6.4</v>
      </c>
      <c r="J461" s="26">
        <v>1</v>
      </c>
      <c r="K461" s="10">
        <f t="shared" si="48"/>
        <v>5.3248000000000004E-2</v>
      </c>
      <c r="L461" s="4"/>
      <c r="M461" s="22">
        <v>1</v>
      </c>
      <c r="N461" s="18">
        <f t="shared" si="49"/>
        <v>5.3248000000000004E-2</v>
      </c>
      <c r="O461" s="19">
        <f t="shared" si="50"/>
        <v>0</v>
      </c>
      <c r="P461" s="13">
        <f t="shared" si="51"/>
        <v>0</v>
      </c>
      <c r="Q461" s="9"/>
      <c r="R461" s="2"/>
      <c r="S461" s="2"/>
      <c r="V461" s="354">
        <v>1</v>
      </c>
      <c r="W461" s="213" t="s">
        <v>713</v>
      </c>
    </row>
    <row r="462" spans="1:23">
      <c r="A462" s="42" t="s">
        <v>77</v>
      </c>
      <c r="B462" s="3" t="s">
        <v>68</v>
      </c>
      <c r="C462" s="3">
        <v>399</v>
      </c>
      <c r="D462" s="1"/>
      <c r="E462" s="20" t="s">
        <v>17</v>
      </c>
      <c r="F462" s="7" t="s">
        <v>15</v>
      </c>
      <c r="G462" s="7" t="s">
        <v>32</v>
      </c>
      <c r="H462" s="11">
        <v>8.32</v>
      </c>
      <c r="I462" s="8">
        <v>11.5</v>
      </c>
      <c r="J462" s="26">
        <v>16</v>
      </c>
      <c r="K462" s="10">
        <f t="shared" si="48"/>
        <v>1.53088</v>
      </c>
      <c r="L462" s="4"/>
      <c r="M462" s="22">
        <f>9+7</f>
        <v>16</v>
      </c>
      <c r="N462" s="18">
        <f t="shared" si="49"/>
        <v>1.53088</v>
      </c>
      <c r="O462" s="19">
        <f t="shared" si="50"/>
        <v>0</v>
      </c>
      <c r="P462" s="13">
        <f t="shared" si="51"/>
        <v>0</v>
      </c>
      <c r="Q462" s="9"/>
      <c r="R462" s="2"/>
      <c r="S462" s="2"/>
    </row>
    <row r="463" spans="1:23">
      <c r="A463" s="42" t="s">
        <v>77</v>
      </c>
      <c r="B463" s="3" t="s">
        <v>68</v>
      </c>
      <c r="C463" s="3">
        <v>399</v>
      </c>
      <c r="D463" s="1"/>
      <c r="E463" s="20" t="s">
        <v>17</v>
      </c>
      <c r="F463" s="7" t="s">
        <v>15</v>
      </c>
      <c r="G463" s="7" t="s">
        <v>32</v>
      </c>
      <c r="H463" s="11">
        <v>8.32</v>
      </c>
      <c r="I463" s="8">
        <v>11.55</v>
      </c>
      <c r="J463" s="26">
        <v>5</v>
      </c>
      <c r="K463" s="10">
        <f t="shared" si="48"/>
        <v>0.48048000000000002</v>
      </c>
      <c r="L463" s="4"/>
      <c r="M463" s="22">
        <v>5</v>
      </c>
      <c r="N463" s="18">
        <f t="shared" si="49"/>
        <v>0.48048000000000002</v>
      </c>
      <c r="O463" s="19">
        <f t="shared" si="50"/>
        <v>0</v>
      </c>
      <c r="P463" s="13">
        <f t="shared" si="51"/>
        <v>0</v>
      </c>
      <c r="Q463" s="9"/>
      <c r="R463" s="2"/>
      <c r="S463" s="2"/>
    </row>
    <row r="464" spans="1:23">
      <c r="A464" s="42" t="s">
        <v>77</v>
      </c>
      <c r="B464" s="3" t="s">
        <v>68</v>
      </c>
      <c r="C464" s="3">
        <v>399</v>
      </c>
      <c r="D464" s="1"/>
      <c r="E464" s="20" t="s">
        <v>17</v>
      </c>
      <c r="F464" s="7" t="s">
        <v>15</v>
      </c>
      <c r="G464" s="7" t="s">
        <v>32</v>
      </c>
      <c r="H464" s="11">
        <v>8.32</v>
      </c>
      <c r="I464" s="8">
        <v>12</v>
      </c>
      <c r="J464" s="26">
        <v>8</v>
      </c>
      <c r="K464" s="10">
        <f t="shared" si="48"/>
        <v>0.79871999999999999</v>
      </c>
      <c r="L464" s="4"/>
      <c r="M464" s="22">
        <f>6+2</f>
        <v>8</v>
      </c>
      <c r="N464" s="18">
        <f t="shared" si="49"/>
        <v>0.79871999999999999</v>
      </c>
      <c r="O464" s="19">
        <f t="shared" si="50"/>
        <v>0</v>
      </c>
      <c r="P464" s="13">
        <f t="shared" si="51"/>
        <v>0</v>
      </c>
      <c r="Q464" s="9">
        <v>12</v>
      </c>
      <c r="R464" s="35">
        <v>2</v>
      </c>
      <c r="S464" s="2" t="s">
        <v>213</v>
      </c>
    </row>
    <row r="465" spans="1:19">
      <c r="A465" s="42" t="s">
        <v>77</v>
      </c>
      <c r="B465" s="3" t="s">
        <v>68</v>
      </c>
      <c r="C465" s="3">
        <v>400</v>
      </c>
      <c r="D465" s="1"/>
      <c r="E465" s="20" t="s">
        <v>17</v>
      </c>
      <c r="F465" s="7" t="s">
        <v>15</v>
      </c>
      <c r="G465" s="7" t="s">
        <v>32</v>
      </c>
      <c r="H465" s="11">
        <v>8.32</v>
      </c>
      <c r="I465" s="8">
        <v>9</v>
      </c>
      <c r="J465" s="26">
        <v>12</v>
      </c>
      <c r="K465" s="10">
        <f t="shared" si="48"/>
        <v>0.89855999999999991</v>
      </c>
      <c r="L465" s="4"/>
      <c r="M465" s="22">
        <v>12</v>
      </c>
      <c r="N465" s="18">
        <f t="shared" si="49"/>
        <v>0.89856000000000003</v>
      </c>
      <c r="O465" s="19">
        <f t="shared" si="50"/>
        <v>0</v>
      </c>
      <c r="P465" s="13">
        <f t="shared" si="51"/>
        <v>0</v>
      </c>
      <c r="Q465" s="9"/>
      <c r="R465" s="2"/>
      <c r="S465" s="2"/>
    </row>
    <row r="466" spans="1:19">
      <c r="A466" s="42" t="s">
        <v>77</v>
      </c>
      <c r="B466" s="3" t="s">
        <v>68</v>
      </c>
      <c r="C466" s="3">
        <v>401</v>
      </c>
      <c r="D466" s="1"/>
      <c r="E466" s="20" t="s">
        <v>17</v>
      </c>
      <c r="F466" s="7" t="s">
        <v>15</v>
      </c>
      <c r="G466" s="7" t="s">
        <v>32</v>
      </c>
      <c r="H466" s="11">
        <v>8.32</v>
      </c>
      <c r="I466" s="8">
        <v>9.5</v>
      </c>
      <c r="J466" s="26">
        <v>8</v>
      </c>
      <c r="K466" s="10">
        <f t="shared" si="48"/>
        <v>0.6323200000000001</v>
      </c>
      <c r="L466" s="4"/>
      <c r="M466" s="17">
        <v>8</v>
      </c>
      <c r="N466" s="18">
        <f t="shared" si="49"/>
        <v>0.6323200000000001</v>
      </c>
      <c r="O466" s="19">
        <f t="shared" si="50"/>
        <v>0</v>
      </c>
      <c r="P466" s="13">
        <f t="shared" si="51"/>
        <v>0</v>
      </c>
      <c r="Q466" s="9">
        <v>9.5</v>
      </c>
      <c r="R466" s="2">
        <v>8</v>
      </c>
      <c r="S466" s="2" t="s">
        <v>213</v>
      </c>
    </row>
    <row r="467" spans="1:19">
      <c r="A467" s="42" t="s">
        <v>77</v>
      </c>
      <c r="B467" s="3" t="s">
        <v>68</v>
      </c>
      <c r="C467" s="3">
        <v>402</v>
      </c>
      <c r="D467" s="1"/>
      <c r="E467" s="20" t="s">
        <v>17</v>
      </c>
      <c r="F467" s="7" t="s">
        <v>15</v>
      </c>
      <c r="G467" s="7" t="s">
        <v>32</v>
      </c>
      <c r="H467" s="11">
        <v>8.32</v>
      </c>
      <c r="I467" s="8">
        <v>10.1</v>
      </c>
      <c r="J467" s="26">
        <v>11</v>
      </c>
      <c r="K467" s="10">
        <f t="shared" si="48"/>
        <v>0.92435199999999995</v>
      </c>
      <c r="L467" s="4"/>
      <c r="M467" s="17">
        <v>11</v>
      </c>
      <c r="N467" s="18">
        <f t="shared" si="49"/>
        <v>0.92435199999999995</v>
      </c>
      <c r="O467" s="19">
        <f t="shared" si="50"/>
        <v>0</v>
      </c>
      <c r="P467" s="13">
        <f t="shared" si="51"/>
        <v>0</v>
      </c>
      <c r="Q467" s="9"/>
      <c r="R467" s="2"/>
      <c r="S467" s="2"/>
    </row>
    <row r="468" spans="1:19">
      <c r="A468" s="42" t="s">
        <v>77</v>
      </c>
      <c r="B468" s="3" t="s">
        <v>68</v>
      </c>
      <c r="C468" s="3">
        <v>402</v>
      </c>
      <c r="D468" s="1"/>
      <c r="E468" s="20" t="s">
        <v>17</v>
      </c>
      <c r="F468" s="7" t="s">
        <v>15</v>
      </c>
      <c r="G468" s="7" t="s">
        <v>32</v>
      </c>
      <c r="H468" s="11">
        <v>8.32</v>
      </c>
      <c r="I468" s="8">
        <v>10</v>
      </c>
      <c r="J468" s="26">
        <v>20</v>
      </c>
      <c r="K468" s="10">
        <f t="shared" si="48"/>
        <v>1.6639999999999999</v>
      </c>
      <c r="L468" s="4"/>
      <c r="M468" s="17">
        <f>9+8+3</f>
        <v>20</v>
      </c>
      <c r="N468" s="18">
        <f t="shared" si="49"/>
        <v>1.6639999999999999</v>
      </c>
      <c r="O468" s="19">
        <f t="shared" si="50"/>
        <v>0</v>
      </c>
      <c r="P468" s="13">
        <f t="shared" si="51"/>
        <v>0</v>
      </c>
      <c r="Q468" s="9">
        <v>10</v>
      </c>
      <c r="R468" s="2">
        <v>3</v>
      </c>
      <c r="S468" s="2" t="s">
        <v>213</v>
      </c>
    </row>
    <row r="469" spans="1:19">
      <c r="A469" s="42" t="s">
        <v>77</v>
      </c>
      <c r="B469" s="3" t="s">
        <v>68</v>
      </c>
      <c r="C469" s="3">
        <v>403</v>
      </c>
      <c r="D469" s="1"/>
      <c r="E469" s="20" t="s">
        <v>17</v>
      </c>
      <c r="F469" s="7" t="s">
        <v>15</v>
      </c>
      <c r="G469" s="7" t="s">
        <v>32</v>
      </c>
      <c r="H469" s="11">
        <v>8.32</v>
      </c>
      <c r="I469" s="8">
        <v>11</v>
      </c>
      <c r="J469" s="26">
        <v>7</v>
      </c>
      <c r="K469" s="10">
        <f t="shared" si="48"/>
        <v>0.6406400000000001</v>
      </c>
      <c r="L469" s="4"/>
      <c r="M469" s="17">
        <v>7</v>
      </c>
      <c r="N469" s="18">
        <f t="shared" si="49"/>
        <v>0.64063999999999999</v>
      </c>
      <c r="O469" s="19">
        <f t="shared" si="50"/>
        <v>0</v>
      </c>
      <c r="P469" s="13">
        <f t="shared" si="51"/>
        <v>0</v>
      </c>
      <c r="Q469" s="9"/>
      <c r="R469" s="2"/>
      <c r="S469" s="2"/>
    </row>
    <row r="470" spans="1:19">
      <c r="A470" s="42" t="s">
        <v>77</v>
      </c>
      <c r="B470" s="3" t="s">
        <v>68</v>
      </c>
      <c r="C470" s="3">
        <v>404</v>
      </c>
      <c r="D470" s="1"/>
      <c r="E470" s="20" t="s">
        <v>17</v>
      </c>
      <c r="F470" s="7" t="s">
        <v>15</v>
      </c>
      <c r="G470" s="7" t="s">
        <v>32</v>
      </c>
      <c r="H470" s="11">
        <v>8.32</v>
      </c>
      <c r="I470" s="8">
        <v>8.5</v>
      </c>
      <c r="J470" s="26">
        <v>22</v>
      </c>
      <c r="K470" s="10">
        <f t="shared" si="48"/>
        <v>1.5558399999999999</v>
      </c>
      <c r="L470" s="4"/>
      <c r="M470" s="17">
        <v>22</v>
      </c>
      <c r="N470" s="18">
        <f t="shared" si="49"/>
        <v>1.5558400000000001</v>
      </c>
      <c r="O470" s="19">
        <f t="shared" si="50"/>
        <v>0</v>
      </c>
      <c r="P470" s="13">
        <f t="shared" si="51"/>
        <v>0</v>
      </c>
      <c r="Q470" s="9"/>
      <c r="R470" s="2"/>
      <c r="S470" s="2"/>
    </row>
    <row r="471" spans="1:19">
      <c r="A471" s="42" t="s">
        <v>77</v>
      </c>
      <c r="B471" s="3" t="s">
        <v>68</v>
      </c>
      <c r="C471" s="3">
        <v>405</v>
      </c>
      <c r="D471" s="1"/>
      <c r="E471" s="20" t="s">
        <v>17</v>
      </c>
      <c r="F471" s="7" t="s">
        <v>15</v>
      </c>
      <c r="G471" s="7" t="s">
        <v>32</v>
      </c>
      <c r="H471" s="11">
        <v>8.32</v>
      </c>
      <c r="I471" s="8">
        <v>8</v>
      </c>
      <c r="J471" s="26">
        <v>30</v>
      </c>
      <c r="K471" s="10">
        <f t="shared" si="48"/>
        <v>1.9968000000000001</v>
      </c>
      <c r="L471" s="4"/>
      <c r="M471" s="17">
        <v>30</v>
      </c>
      <c r="N471" s="18">
        <f t="shared" si="49"/>
        <v>1.9968000000000001</v>
      </c>
      <c r="O471" s="19">
        <f t="shared" si="50"/>
        <v>0</v>
      </c>
      <c r="P471" s="13">
        <f t="shared" si="51"/>
        <v>0</v>
      </c>
      <c r="Q471" s="9"/>
      <c r="R471" s="2"/>
      <c r="S471" s="2"/>
    </row>
    <row r="472" spans="1:19">
      <c r="A472" s="42" t="s">
        <v>77</v>
      </c>
      <c r="B472" s="3" t="s">
        <v>68</v>
      </c>
      <c r="C472" s="3">
        <v>406</v>
      </c>
      <c r="D472" s="1"/>
      <c r="E472" s="20" t="s">
        <v>24</v>
      </c>
      <c r="F472" s="7" t="s">
        <v>14</v>
      </c>
      <c r="G472" s="7" t="s">
        <v>32</v>
      </c>
      <c r="H472" s="11">
        <v>8.3000000000000007</v>
      </c>
      <c r="I472" s="8">
        <v>12</v>
      </c>
      <c r="J472" s="26">
        <v>30</v>
      </c>
      <c r="K472" s="10">
        <f t="shared" ref="K472:K517" si="52">(H472*I472*J472/1000)</f>
        <v>2.9880000000000004</v>
      </c>
      <c r="L472" s="4"/>
      <c r="M472" s="17">
        <v>30</v>
      </c>
      <c r="N472" s="18">
        <f t="shared" ref="N472:N517" si="53">I472*M472*H472/1000</f>
        <v>2.9880000000000004</v>
      </c>
      <c r="O472" s="19">
        <f t="shared" ref="O472:O517" si="54">J472-M472</f>
        <v>0</v>
      </c>
      <c r="P472" s="13">
        <f t="shared" ref="P472:P517" si="55">I472*O472*H472/1000</f>
        <v>0</v>
      </c>
      <c r="Q472" s="9"/>
      <c r="R472" s="2"/>
      <c r="S472" s="2"/>
    </row>
    <row r="473" spans="1:19">
      <c r="A473" s="42" t="s">
        <v>77</v>
      </c>
      <c r="B473" s="3" t="s">
        <v>68</v>
      </c>
      <c r="C473" s="3">
        <v>407</v>
      </c>
      <c r="D473" s="1"/>
      <c r="E473" s="20" t="s">
        <v>17</v>
      </c>
      <c r="F473" s="7" t="s">
        <v>15</v>
      </c>
      <c r="G473" s="7" t="s">
        <v>21</v>
      </c>
      <c r="H473" s="11">
        <v>6.97</v>
      </c>
      <c r="I473" s="8">
        <v>8.25</v>
      </c>
      <c r="J473" s="26">
        <v>36</v>
      </c>
      <c r="K473" s="10">
        <f t="shared" si="52"/>
        <v>2.07009</v>
      </c>
      <c r="L473" s="4"/>
      <c r="M473" s="17">
        <f>36</f>
        <v>36</v>
      </c>
      <c r="N473" s="18">
        <f t="shared" si="53"/>
        <v>2.07009</v>
      </c>
      <c r="O473" s="19">
        <f t="shared" si="54"/>
        <v>0</v>
      </c>
      <c r="P473" s="13">
        <f t="shared" si="55"/>
        <v>0</v>
      </c>
      <c r="Q473" s="9"/>
      <c r="R473" s="2"/>
      <c r="S473" s="13"/>
    </row>
    <row r="474" spans="1:19">
      <c r="A474" s="42" t="s">
        <v>77</v>
      </c>
      <c r="B474" s="3" t="s">
        <v>68</v>
      </c>
      <c r="C474" s="3">
        <v>408</v>
      </c>
      <c r="D474" s="1"/>
      <c r="E474" s="20" t="s">
        <v>17</v>
      </c>
      <c r="F474" s="7" t="s">
        <v>15</v>
      </c>
      <c r="G474" s="7" t="s">
        <v>21</v>
      </c>
      <c r="H474" s="11">
        <v>6.97</v>
      </c>
      <c r="I474" s="8">
        <v>6.5</v>
      </c>
      <c r="J474" s="26">
        <v>11</v>
      </c>
      <c r="K474" s="10">
        <f t="shared" si="52"/>
        <v>0.49835499999999999</v>
      </c>
      <c r="L474" s="4"/>
      <c r="M474" s="17">
        <v>11</v>
      </c>
      <c r="N474" s="18">
        <f t="shared" si="53"/>
        <v>0.49835499999999994</v>
      </c>
      <c r="O474" s="19">
        <f t="shared" si="54"/>
        <v>0</v>
      </c>
      <c r="P474" s="13">
        <f t="shared" si="55"/>
        <v>0</v>
      </c>
      <c r="Q474" s="9"/>
      <c r="R474" s="2"/>
      <c r="S474" s="13"/>
    </row>
    <row r="475" spans="1:19">
      <c r="A475" s="42" t="s">
        <v>77</v>
      </c>
      <c r="B475" s="3" t="s">
        <v>68</v>
      </c>
      <c r="C475" s="3">
        <v>408</v>
      </c>
      <c r="D475" s="1"/>
      <c r="E475" s="20" t="s">
        <v>17</v>
      </c>
      <c r="F475" s="7" t="s">
        <v>15</v>
      </c>
      <c r="G475" s="7" t="s">
        <v>21</v>
      </c>
      <c r="H475" s="11">
        <v>6.97</v>
      </c>
      <c r="I475" s="8">
        <v>8.25</v>
      </c>
      <c r="J475" s="26">
        <v>17</v>
      </c>
      <c r="K475" s="10">
        <f t="shared" si="52"/>
        <v>0.97754249999999998</v>
      </c>
      <c r="L475" s="4"/>
      <c r="M475" s="17">
        <v>17</v>
      </c>
      <c r="N475" s="18">
        <f t="shared" si="53"/>
        <v>0.97754249999999998</v>
      </c>
      <c r="O475" s="19">
        <f t="shared" si="54"/>
        <v>0</v>
      </c>
      <c r="P475" s="13">
        <f t="shared" si="55"/>
        <v>0</v>
      </c>
      <c r="Q475" s="9"/>
      <c r="R475" s="2"/>
      <c r="S475" s="13"/>
    </row>
    <row r="476" spans="1:19">
      <c r="A476" s="42" t="s">
        <v>77</v>
      </c>
      <c r="B476" s="3" t="s">
        <v>68</v>
      </c>
      <c r="C476" s="3">
        <v>409</v>
      </c>
      <c r="D476" s="1"/>
      <c r="E476" s="12" t="s">
        <v>20</v>
      </c>
      <c r="F476" s="7" t="s">
        <v>15</v>
      </c>
      <c r="G476" s="7" t="s">
        <v>49</v>
      </c>
      <c r="H476" s="11">
        <v>17.82</v>
      </c>
      <c r="I476" s="8">
        <v>9.1999999999999993</v>
      </c>
      <c r="J476" s="26">
        <v>2</v>
      </c>
      <c r="K476" s="10">
        <f t="shared" si="52"/>
        <v>0.32788799999999996</v>
      </c>
      <c r="L476" s="4"/>
      <c r="M476" s="17">
        <v>2</v>
      </c>
      <c r="N476" s="18">
        <f t="shared" si="53"/>
        <v>0.32788799999999996</v>
      </c>
      <c r="O476" s="19">
        <f t="shared" si="54"/>
        <v>0</v>
      </c>
      <c r="P476" s="13">
        <f t="shared" si="55"/>
        <v>0</v>
      </c>
      <c r="Q476" s="9">
        <v>9.1</v>
      </c>
      <c r="R476" s="2">
        <v>2</v>
      </c>
      <c r="S476" s="2" t="s">
        <v>295</v>
      </c>
    </row>
    <row r="477" spans="1:19">
      <c r="A477" s="42" t="s">
        <v>77</v>
      </c>
      <c r="B477" s="3" t="s">
        <v>68</v>
      </c>
      <c r="C477" s="3">
        <v>409</v>
      </c>
      <c r="D477" s="1"/>
      <c r="E477" s="12" t="s">
        <v>20</v>
      </c>
      <c r="F477" s="7" t="s">
        <v>15</v>
      </c>
      <c r="G477" s="7" t="s">
        <v>49</v>
      </c>
      <c r="H477" s="11">
        <v>17.82</v>
      </c>
      <c r="I477" s="8">
        <v>9.3000000000000007</v>
      </c>
      <c r="J477" s="26">
        <v>5</v>
      </c>
      <c r="K477" s="10">
        <f t="shared" si="52"/>
        <v>0.82863000000000009</v>
      </c>
      <c r="L477" s="4"/>
      <c r="M477" s="17">
        <v>5</v>
      </c>
      <c r="N477" s="18">
        <f t="shared" si="53"/>
        <v>0.82862999999999998</v>
      </c>
      <c r="O477" s="19">
        <f t="shared" si="54"/>
        <v>0</v>
      </c>
      <c r="P477" s="13">
        <f t="shared" si="55"/>
        <v>0</v>
      </c>
      <c r="Q477" s="9">
        <v>9.1999999999999993</v>
      </c>
      <c r="R477" s="2">
        <v>5</v>
      </c>
      <c r="S477" s="2" t="s">
        <v>295</v>
      </c>
    </row>
    <row r="478" spans="1:19">
      <c r="A478" s="42" t="s">
        <v>77</v>
      </c>
      <c r="B478" s="3" t="s">
        <v>68</v>
      </c>
      <c r="C478" s="3">
        <v>409</v>
      </c>
      <c r="D478" s="1"/>
      <c r="E478" s="12" t="s">
        <v>20</v>
      </c>
      <c r="F478" s="7" t="s">
        <v>15</v>
      </c>
      <c r="G478" s="7" t="s">
        <v>49</v>
      </c>
      <c r="H478" s="11">
        <v>17.82</v>
      </c>
      <c r="I478" s="8">
        <v>9.4</v>
      </c>
      <c r="J478" s="26">
        <v>4</v>
      </c>
      <c r="K478" s="10">
        <f t="shared" si="52"/>
        <v>0.67003200000000007</v>
      </c>
      <c r="L478" s="23"/>
      <c r="M478" s="17">
        <v>4</v>
      </c>
      <c r="N478" s="18">
        <f t="shared" si="53"/>
        <v>0.67003200000000007</v>
      </c>
      <c r="O478" s="19">
        <f t="shared" si="54"/>
        <v>0</v>
      </c>
      <c r="P478" s="13">
        <f t="shared" si="55"/>
        <v>0</v>
      </c>
      <c r="Q478" s="9">
        <v>9.1999999999999993</v>
      </c>
      <c r="R478" s="2">
        <v>4</v>
      </c>
      <c r="S478" s="2" t="s">
        <v>295</v>
      </c>
    </row>
    <row r="479" spans="1:19">
      <c r="A479" s="42" t="s">
        <v>77</v>
      </c>
      <c r="B479" s="3" t="s">
        <v>68</v>
      </c>
      <c r="C479" s="3">
        <v>410</v>
      </c>
      <c r="D479" s="1"/>
      <c r="E479" s="12" t="s">
        <v>20</v>
      </c>
      <c r="F479" s="7" t="s">
        <v>15</v>
      </c>
      <c r="G479" s="7" t="s">
        <v>49</v>
      </c>
      <c r="H479" s="11">
        <v>17.82</v>
      </c>
      <c r="I479" s="8">
        <v>9.6</v>
      </c>
      <c r="J479" s="26">
        <v>15</v>
      </c>
      <c r="K479" s="10">
        <f t="shared" si="52"/>
        <v>2.5660799999999999</v>
      </c>
      <c r="L479" s="23"/>
      <c r="M479" s="17">
        <f>15</f>
        <v>15</v>
      </c>
      <c r="N479" s="18">
        <f t="shared" si="53"/>
        <v>2.5660799999999999</v>
      </c>
      <c r="O479" s="19">
        <f t="shared" si="54"/>
        <v>0</v>
      </c>
      <c r="P479" s="13">
        <f t="shared" si="55"/>
        <v>0</v>
      </c>
      <c r="Q479" s="9"/>
      <c r="R479" s="2"/>
      <c r="S479" s="2"/>
    </row>
    <row r="480" spans="1:19">
      <c r="A480" s="42" t="s">
        <v>77</v>
      </c>
      <c r="B480" s="3" t="s">
        <v>68</v>
      </c>
      <c r="C480" s="3">
        <v>411</v>
      </c>
      <c r="D480" s="1"/>
      <c r="E480" s="20" t="s">
        <v>17</v>
      </c>
      <c r="F480" s="7" t="s">
        <v>15</v>
      </c>
      <c r="G480" s="7" t="s">
        <v>21</v>
      </c>
      <c r="H480" s="11">
        <v>6.97</v>
      </c>
      <c r="I480" s="8">
        <v>9.15</v>
      </c>
      <c r="J480" s="26">
        <v>7</v>
      </c>
      <c r="K480" s="10">
        <f t="shared" si="52"/>
        <v>0.44642850000000001</v>
      </c>
      <c r="L480" s="4"/>
      <c r="M480" s="17">
        <v>7</v>
      </c>
      <c r="N480" s="18">
        <f t="shared" si="53"/>
        <v>0.44642850000000001</v>
      </c>
      <c r="O480" s="19">
        <f t="shared" si="54"/>
        <v>0</v>
      </c>
      <c r="P480" s="13">
        <f t="shared" si="55"/>
        <v>0</v>
      </c>
      <c r="Q480" s="34"/>
      <c r="R480" s="35"/>
      <c r="S480" s="53"/>
    </row>
    <row r="481" spans="1:21">
      <c r="A481" s="42" t="s">
        <v>77</v>
      </c>
      <c r="B481" s="3" t="s">
        <v>68</v>
      </c>
      <c r="C481" s="3">
        <v>411</v>
      </c>
      <c r="D481" s="1"/>
      <c r="E481" s="20" t="s">
        <v>17</v>
      </c>
      <c r="F481" s="7" t="s">
        <v>15</v>
      </c>
      <c r="G481" s="7" t="s">
        <v>21</v>
      </c>
      <c r="H481" s="11">
        <v>6.97</v>
      </c>
      <c r="I481" s="8">
        <v>8.1</v>
      </c>
      <c r="J481" s="26">
        <v>2</v>
      </c>
      <c r="K481" s="10">
        <f t="shared" si="52"/>
        <v>0.11291399999999999</v>
      </c>
      <c r="L481" s="4"/>
      <c r="M481" s="17">
        <v>2</v>
      </c>
      <c r="N481" s="18">
        <f t="shared" si="53"/>
        <v>0.11291399999999999</v>
      </c>
      <c r="O481" s="19">
        <f t="shared" si="54"/>
        <v>0</v>
      </c>
      <c r="P481" s="13">
        <f t="shared" si="55"/>
        <v>0</v>
      </c>
      <c r="Q481" s="9"/>
      <c r="R481" s="2"/>
      <c r="S481" s="13"/>
    </row>
    <row r="482" spans="1:21">
      <c r="A482" s="42" t="s">
        <v>77</v>
      </c>
      <c r="B482" s="3" t="s">
        <v>68</v>
      </c>
      <c r="C482" s="3">
        <v>412</v>
      </c>
      <c r="D482" s="1"/>
      <c r="E482" s="20" t="s">
        <v>17</v>
      </c>
      <c r="F482" s="7" t="s">
        <v>15</v>
      </c>
      <c r="G482" s="7" t="s">
        <v>21</v>
      </c>
      <c r="H482" s="11">
        <v>6.97</v>
      </c>
      <c r="I482" s="8">
        <v>10</v>
      </c>
      <c r="J482" s="26">
        <v>7</v>
      </c>
      <c r="K482" s="10">
        <f t="shared" si="52"/>
        <v>0.48790000000000006</v>
      </c>
      <c r="L482" s="4"/>
      <c r="M482" s="17">
        <v>7</v>
      </c>
      <c r="N482" s="18">
        <f t="shared" si="53"/>
        <v>0.4879</v>
      </c>
      <c r="O482" s="19">
        <f t="shared" si="54"/>
        <v>0</v>
      </c>
      <c r="P482" s="13">
        <f t="shared" si="55"/>
        <v>0</v>
      </c>
      <c r="Q482" s="34"/>
      <c r="R482" s="35"/>
      <c r="S482" s="53"/>
    </row>
    <row r="483" spans="1:21">
      <c r="A483" s="42" t="s">
        <v>77</v>
      </c>
      <c r="B483" s="3" t="s">
        <v>68</v>
      </c>
      <c r="C483" s="3">
        <v>412</v>
      </c>
      <c r="D483" s="1"/>
      <c r="E483" s="20" t="s">
        <v>17</v>
      </c>
      <c r="F483" s="7" t="s">
        <v>15</v>
      </c>
      <c r="G483" s="7" t="s">
        <v>21</v>
      </c>
      <c r="H483" s="11">
        <v>6.97</v>
      </c>
      <c r="I483" s="8">
        <v>11</v>
      </c>
      <c r="J483" s="26">
        <v>20</v>
      </c>
      <c r="K483" s="10">
        <f t="shared" si="52"/>
        <v>1.5334000000000001</v>
      </c>
      <c r="L483" s="4"/>
      <c r="M483" s="17">
        <f>20</f>
        <v>20</v>
      </c>
      <c r="N483" s="18">
        <f t="shared" si="53"/>
        <v>1.5333999999999999</v>
      </c>
      <c r="O483" s="19">
        <f t="shared" si="54"/>
        <v>0</v>
      </c>
      <c r="P483" s="13">
        <f t="shared" si="55"/>
        <v>0</v>
      </c>
      <c r="Q483" s="34"/>
      <c r="R483" s="35"/>
      <c r="S483" s="53"/>
    </row>
    <row r="484" spans="1:21">
      <c r="A484" s="42" t="s">
        <v>77</v>
      </c>
      <c r="B484" s="3" t="s">
        <v>68</v>
      </c>
      <c r="C484" s="3">
        <v>413</v>
      </c>
      <c r="D484" s="1"/>
      <c r="E484" s="20" t="s">
        <v>17</v>
      </c>
      <c r="F484" s="7" t="s">
        <v>15</v>
      </c>
      <c r="G484" s="7" t="s">
        <v>21</v>
      </c>
      <c r="H484" s="11">
        <v>6.97</v>
      </c>
      <c r="I484" s="8">
        <v>7.5</v>
      </c>
      <c r="J484" s="26">
        <v>3</v>
      </c>
      <c r="K484" s="10">
        <f t="shared" si="52"/>
        <v>0.15682499999999999</v>
      </c>
      <c r="L484" s="4"/>
      <c r="M484" s="17">
        <f>1+2</f>
        <v>3</v>
      </c>
      <c r="N484" s="18">
        <f t="shared" si="53"/>
        <v>0.15682499999999999</v>
      </c>
      <c r="O484" s="19">
        <f t="shared" si="54"/>
        <v>0</v>
      </c>
      <c r="P484" s="13">
        <f t="shared" si="55"/>
        <v>0</v>
      </c>
      <c r="Q484" s="34">
        <v>6.5</v>
      </c>
      <c r="R484" s="35">
        <v>1</v>
      </c>
      <c r="S484" s="53"/>
      <c r="T484" s="354">
        <v>2</v>
      </c>
      <c r="U484" s="213" t="s">
        <v>717</v>
      </c>
    </row>
    <row r="485" spans="1:21">
      <c r="A485" s="42" t="s">
        <v>77</v>
      </c>
      <c r="B485" s="3" t="s">
        <v>68</v>
      </c>
      <c r="C485" s="3">
        <v>413</v>
      </c>
      <c r="D485" s="1"/>
      <c r="E485" s="20" t="s">
        <v>17</v>
      </c>
      <c r="F485" s="7" t="s">
        <v>15</v>
      </c>
      <c r="G485" s="7" t="s">
        <v>21</v>
      </c>
      <c r="H485" s="11">
        <v>6.97</v>
      </c>
      <c r="I485" s="8">
        <v>11.5</v>
      </c>
      <c r="J485" s="26">
        <v>1</v>
      </c>
      <c r="K485" s="10">
        <f t="shared" si="52"/>
        <v>8.0155000000000004E-2</v>
      </c>
      <c r="L485" s="4"/>
      <c r="M485" s="17">
        <v>1</v>
      </c>
      <c r="N485" s="18">
        <f t="shared" si="53"/>
        <v>8.0155000000000004E-2</v>
      </c>
      <c r="O485" s="19">
        <f t="shared" si="54"/>
        <v>0</v>
      </c>
      <c r="P485" s="13">
        <f t="shared" si="55"/>
        <v>0</v>
      </c>
      <c r="Q485" s="34">
        <v>11</v>
      </c>
      <c r="R485" s="35">
        <v>1</v>
      </c>
      <c r="S485" s="53"/>
    </row>
    <row r="486" spans="1:21">
      <c r="A486" s="42" t="s">
        <v>77</v>
      </c>
      <c r="B486" s="3" t="s">
        <v>68</v>
      </c>
      <c r="C486" s="3">
        <v>413</v>
      </c>
      <c r="D486" s="1"/>
      <c r="E486" s="20" t="s">
        <v>17</v>
      </c>
      <c r="F486" s="7" t="s">
        <v>15</v>
      </c>
      <c r="G486" s="7" t="s">
        <v>21</v>
      </c>
      <c r="H486" s="11">
        <v>6.97</v>
      </c>
      <c r="I486" s="8">
        <v>12</v>
      </c>
      <c r="J486" s="26">
        <v>1</v>
      </c>
      <c r="K486" s="10">
        <f t="shared" si="52"/>
        <v>8.3640000000000006E-2</v>
      </c>
      <c r="L486" s="4"/>
      <c r="M486" s="17">
        <v>1</v>
      </c>
      <c r="N486" s="18">
        <f t="shared" si="53"/>
        <v>8.3640000000000006E-2</v>
      </c>
      <c r="O486" s="19">
        <f t="shared" si="54"/>
        <v>0</v>
      </c>
      <c r="P486" s="13">
        <f t="shared" si="55"/>
        <v>0</v>
      </c>
      <c r="Q486" s="34">
        <v>11</v>
      </c>
      <c r="R486" s="35">
        <v>1</v>
      </c>
      <c r="S486" s="53"/>
    </row>
    <row r="487" spans="1:21">
      <c r="A487" s="42" t="s">
        <v>77</v>
      </c>
      <c r="B487" s="3" t="s">
        <v>68</v>
      </c>
      <c r="C487" s="3">
        <v>413</v>
      </c>
      <c r="D487" s="1"/>
      <c r="E487" s="20" t="s">
        <v>17</v>
      </c>
      <c r="F487" s="7" t="s">
        <v>15</v>
      </c>
      <c r="G487" s="7" t="s">
        <v>21</v>
      </c>
      <c r="H487" s="11">
        <v>6.97</v>
      </c>
      <c r="I487" s="8">
        <v>12.5</v>
      </c>
      <c r="J487" s="26">
        <v>1</v>
      </c>
      <c r="K487" s="10">
        <f t="shared" si="52"/>
        <v>8.7124999999999994E-2</v>
      </c>
      <c r="L487" s="4"/>
      <c r="M487" s="17">
        <v>1</v>
      </c>
      <c r="N487" s="18">
        <f t="shared" si="53"/>
        <v>8.7124999999999994E-2</v>
      </c>
      <c r="O487" s="19">
        <f t="shared" si="54"/>
        <v>0</v>
      </c>
      <c r="P487" s="13">
        <f t="shared" si="55"/>
        <v>0</v>
      </c>
      <c r="Q487" s="34">
        <v>11</v>
      </c>
      <c r="R487" s="2">
        <v>1</v>
      </c>
      <c r="S487" s="13"/>
    </row>
    <row r="488" spans="1:21">
      <c r="A488" s="42" t="s">
        <v>77</v>
      </c>
      <c r="B488" s="3" t="s">
        <v>68</v>
      </c>
      <c r="C488" s="3">
        <v>414</v>
      </c>
      <c r="D488" s="1"/>
      <c r="E488" s="20" t="s">
        <v>17</v>
      </c>
      <c r="F488" s="7" t="s">
        <v>15</v>
      </c>
      <c r="G488" s="7" t="s">
        <v>21</v>
      </c>
      <c r="H488" s="11">
        <v>6.97</v>
      </c>
      <c r="I488" s="8">
        <v>12</v>
      </c>
      <c r="J488" s="26">
        <v>37</v>
      </c>
      <c r="K488" s="10">
        <f t="shared" si="52"/>
        <v>3.0946799999999999</v>
      </c>
      <c r="L488" s="4"/>
      <c r="M488" s="17">
        <v>37</v>
      </c>
      <c r="N488" s="18">
        <f t="shared" si="53"/>
        <v>3.0946799999999999</v>
      </c>
      <c r="O488" s="19">
        <f t="shared" si="54"/>
        <v>0</v>
      </c>
      <c r="P488" s="13">
        <f t="shared" si="55"/>
        <v>0</v>
      </c>
      <c r="Q488" s="9"/>
      <c r="R488" s="2"/>
      <c r="S488" s="13"/>
    </row>
    <row r="489" spans="1:21">
      <c r="A489" s="42" t="s">
        <v>77</v>
      </c>
      <c r="B489" s="3" t="s">
        <v>68</v>
      </c>
      <c r="C489" s="3">
        <v>415</v>
      </c>
      <c r="D489" s="1"/>
      <c r="E489" s="20" t="s">
        <v>17</v>
      </c>
      <c r="F489" s="7" t="s">
        <v>15</v>
      </c>
      <c r="G489" s="7" t="s">
        <v>21</v>
      </c>
      <c r="H489" s="11">
        <v>6.97</v>
      </c>
      <c r="I489" s="8">
        <v>12</v>
      </c>
      <c r="J489" s="26">
        <v>32</v>
      </c>
      <c r="K489" s="10">
        <f t="shared" si="52"/>
        <v>2.6764800000000002</v>
      </c>
      <c r="L489" s="4"/>
      <c r="M489" s="17">
        <v>32</v>
      </c>
      <c r="N489" s="18">
        <f t="shared" si="53"/>
        <v>2.6764800000000002</v>
      </c>
      <c r="O489" s="19">
        <f t="shared" si="54"/>
        <v>0</v>
      </c>
      <c r="P489" s="13">
        <f t="shared" si="55"/>
        <v>0</v>
      </c>
      <c r="Q489" s="9"/>
      <c r="R489" s="2"/>
      <c r="S489" s="13"/>
    </row>
    <row r="490" spans="1:21">
      <c r="A490" s="42" t="s">
        <v>77</v>
      </c>
      <c r="B490" s="3" t="s">
        <v>68</v>
      </c>
      <c r="C490" s="3">
        <v>416</v>
      </c>
      <c r="D490" s="1"/>
      <c r="E490" s="20" t="s">
        <v>20</v>
      </c>
      <c r="F490" s="7" t="s">
        <v>15</v>
      </c>
      <c r="G490" s="7" t="s">
        <v>49</v>
      </c>
      <c r="H490" s="11">
        <v>17.82</v>
      </c>
      <c r="I490" s="8">
        <v>9.1999999999999993</v>
      </c>
      <c r="J490" s="26">
        <v>2</v>
      </c>
      <c r="K490" s="10">
        <f t="shared" si="52"/>
        <v>0.32788799999999996</v>
      </c>
      <c r="L490" s="4"/>
      <c r="M490" s="17">
        <v>2</v>
      </c>
      <c r="N490" s="18">
        <f t="shared" si="53"/>
        <v>0.32788799999999996</v>
      </c>
      <c r="O490" s="19">
        <f t="shared" si="54"/>
        <v>0</v>
      </c>
      <c r="P490" s="13">
        <f t="shared" si="55"/>
        <v>0</v>
      </c>
      <c r="Q490" s="9">
        <v>9.1</v>
      </c>
      <c r="R490" s="2">
        <v>2</v>
      </c>
      <c r="S490" s="2" t="s">
        <v>295</v>
      </c>
    </row>
    <row r="491" spans="1:21">
      <c r="A491" s="42" t="s">
        <v>77</v>
      </c>
      <c r="B491" s="3" t="s">
        <v>68</v>
      </c>
      <c r="C491" s="3">
        <v>417</v>
      </c>
      <c r="D491" s="1"/>
      <c r="E491" s="20" t="s">
        <v>24</v>
      </c>
      <c r="F491" s="7" t="s">
        <v>14</v>
      </c>
      <c r="G491" s="7" t="s">
        <v>32</v>
      </c>
      <c r="H491" s="11">
        <v>8.3000000000000007</v>
      </c>
      <c r="I491" s="8">
        <v>7.25</v>
      </c>
      <c r="J491" s="26">
        <v>3</v>
      </c>
      <c r="K491" s="10">
        <f t="shared" si="52"/>
        <v>0.18052500000000002</v>
      </c>
      <c r="L491" s="4"/>
      <c r="M491" s="17">
        <f>2+1</f>
        <v>3</v>
      </c>
      <c r="N491" s="18">
        <f t="shared" si="53"/>
        <v>0.18052500000000002</v>
      </c>
      <c r="O491" s="19">
        <f t="shared" si="54"/>
        <v>0</v>
      </c>
      <c r="P491" s="13">
        <f t="shared" si="55"/>
        <v>0</v>
      </c>
      <c r="Q491" s="9"/>
      <c r="R491" s="2"/>
      <c r="S491" s="50">
        <v>7</v>
      </c>
      <c r="T491">
        <v>1</v>
      </c>
      <c r="U491" t="s">
        <v>302</v>
      </c>
    </row>
    <row r="492" spans="1:21">
      <c r="A492" s="42" t="s">
        <v>77</v>
      </c>
      <c r="B492" s="3" t="s">
        <v>68</v>
      </c>
      <c r="C492" s="3">
        <v>417</v>
      </c>
      <c r="D492" s="1"/>
      <c r="E492" s="20" t="s">
        <v>24</v>
      </c>
      <c r="F492" s="7" t="s">
        <v>14</v>
      </c>
      <c r="G492" s="7" t="s">
        <v>32</v>
      </c>
      <c r="H492" s="11">
        <v>8.3000000000000007</v>
      </c>
      <c r="I492" s="8">
        <v>10</v>
      </c>
      <c r="J492" s="26">
        <v>7</v>
      </c>
      <c r="K492" s="10">
        <f t="shared" si="52"/>
        <v>0.58099999999999996</v>
      </c>
      <c r="L492" s="4"/>
      <c r="M492" s="17">
        <v>7</v>
      </c>
      <c r="N492" s="18">
        <f t="shared" si="53"/>
        <v>0.58099999999999996</v>
      </c>
      <c r="O492" s="19">
        <f t="shared" si="54"/>
        <v>0</v>
      </c>
      <c r="P492" s="13">
        <f t="shared" si="55"/>
        <v>0</v>
      </c>
      <c r="Q492" s="9"/>
      <c r="R492" s="2"/>
      <c r="S492" s="2"/>
    </row>
    <row r="493" spans="1:21">
      <c r="A493" s="42" t="s">
        <v>77</v>
      </c>
      <c r="B493" s="3" t="s">
        <v>68</v>
      </c>
      <c r="C493" s="3">
        <v>417</v>
      </c>
      <c r="D493" s="1"/>
      <c r="E493" s="20" t="s">
        <v>24</v>
      </c>
      <c r="F493" s="7" t="s">
        <v>14</v>
      </c>
      <c r="G493" s="7" t="s">
        <v>32</v>
      </c>
      <c r="H493" s="11">
        <v>8.3000000000000007</v>
      </c>
      <c r="I493" s="8">
        <v>12</v>
      </c>
      <c r="J493" s="26">
        <v>18</v>
      </c>
      <c r="K493" s="10">
        <f t="shared" si="52"/>
        <v>1.7928000000000002</v>
      </c>
      <c r="L493" s="4"/>
      <c r="M493" s="17">
        <v>18</v>
      </c>
      <c r="N493" s="18">
        <f t="shared" si="53"/>
        <v>1.7928000000000002</v>
      </c>
      <c r="O493" s="19">
        <f t="shared" si="54"/>
        <v>0</v>
      </c>
      <c r="P493" s="13">
        <f t="shared" si="55"/>
        <v>0</v>
      </c>
      <c r="Q493" s="9"/>
      <c r="R493" s="2"/>
      <c r="S493" s="2"/>
    </row>
    <row r="494" spans="1:21">
      <c r="A494" s="42" t="s">
        <v>77</v>
      </c>
      <c r="B494" s="3" t="s">
        <v>68</v>
      </c>
      <c r="C494" s="3">
        <v>418</v>
      </c>
      <c r="D494" s="1"/>
      <c r="E494" s="20" t="s">
        <v>24</v>
      </c>
      <c r="F494" s="7" t="s">
        <v>14</v>
      </c>
      <c r="G494" s="7" t="s">
        <v>32</v>
      </c>
      <c r="H494" s="11">
        <v>8.3000000000000007</v>
      </c>
      <c r="I494" s="8">
        <v>10</v>
      </c>
      <c r="J494" s="26">
        <v>2</v>
      </c>
      <c r="K494" s="10">
        <f t="shared" si="52"/>
        <v>0.16600000000000001</v>
      </c>
      <c r="L494" s="4"/>
      <c r="M494" s="17">
        <v>2</v>
      </c>
      <c r="N494" s="18">
        <f t="shared" si="53"/>
        <v>0.16600000000000001</v>
      </c>
      <c r="O494" s="19">
        <f t="shared" si="54"/>
        <v>0</v>
      </c>
      <c r="P494" s="13">
        <f t="shared" si="55"/>
        <v>0</v>
      </c>
      <c r="Q494" s="9"/>
      <c r="R494" s="2"/>
      <c r="S494" s="2"/>
    </row>
    <row r="495" spans="1:21">
      <c r="A495" s="42" t="s">
        <v>77</v>
      </c>
      <c r="B495" s="3" t="s">
        <v>68</v>
      </c>
      <c r="C495" s="3">
        <v>418</v>
      </c>
      <c r="D495" s="1"/>
      <c r="E495" s="20" t="s">
        <v>24</v>
      </c>
      <c r="F495" s="7" t="s">
        <v>14</v>
      </c>
      <c r="G495" s="7" t="s">
        <v>32</v>
      </c>
      <c r="H495" s="11">
        <v>8.3000000000000007</v>
      </c>
      <c r="I495" s="8">
        <v>11</v>
      </c>
      <c r="J495" s="26">
        <v>30</v>
      </c>
      <c r="K495" s="10">
        <f t="shared" si="52"/>
        <v>2.7390000000000003</v>
      </c>
      <c r="L495" s="4"/>
      <c r="M495" s="17">
        <v>30</v>
      </c>
      <c r="N495" s="18">
        <f t="shared" si="53"/>
        <v>2.7390000000000003</v>
      </c>
      <c r="O495" s="19">
        <f t="shared" si="54"/>
        <v>0</v>
      </c>
      <c r="P495" s="13">
        <f t="shared" si="55"/>
        <v>0</v>
      </c>
      <c r="Q495" s="9"/>
      <c r="R495" s="2"/>
      <c r="S495" s="2"/>
    </row>
    <row r="496" spans="1:21">
      <c r="A496" s="42" t="s">
        <v>77</v>
      </c>
      <c r="B496" s="3" t="s">
        <v>68</v>
      </c>
      <c r="C496" s="3">
        <v>419</v>
      </c>
      <c r="D496" s="1"/>
      <c r="E496" s="20" t="s">
        <v>24</v>
      </c>
      <c r="F496" s="7" t="s">
        <v>14</v>
      </c>
      <c r="G496" s="7" t="s">
        <v>32</v>
      </c>
      <c r="H496" s="11">
        <v>8.3000000000000007</v>
      </c>
      <c r="I496" s="8">
        <v>9.15</v>
      </c>
      <c r="J496" s="26">
        <v>1</v>
      </c>
      <c r="K496" s="10">
        <f t="shared" si="52"/>
        <v>7.5945000000000012E-2</v>
      </c>
      <c r="L496" s="4"/>
      <c r="M496" s="17">
        <v>1</v>
      </c>
      <c r="N496" s="18">
        <f t="shared" si="53"/>
        <v>7.5945000000000012E-2</v>
      </c>
      <c r="O496" s="19">
        <f t="shared" si="54"/>
        <v>0</v>
      </c>
      <c r="P496" s="13">
        <f t="shared" si="55"/>
        <v>0</v>
      </c>
      <c r="Q496" s="9"/>
      <c r="R496" s="2"/>
      <c r="S496" s="2"/>
    </row>
    <row r="497" spans="1:22">
      <c r="A497" s="42" t="s">
        <v>77</v>
      </c>
      <c r="B497" s="3" t="s">
        <v>68</v>
      </c>
      <c r="C497" s="3">
        <v>419</v>
      </c>
      <c r="D497" s="1"/>
      <c r="E497" s="20" t="s">
        <v>24</v>
      </c>
      <c r="F497" s="7" t="s">
        <v>14</v>
      </c>
      <c r="G497" s="7" t="s">
        <v>32</v>
      </c>
      <c r="H497" s="11">
        <v>8.3000000000000007</v>
      </c>
      <c r="I497" s="8">
        <v>11.55</v>
      </c>
      <c r="J497" s="26">
        <v>7</v>
      </c>
      <c r="K497" s="10">
        <f t="shared" si="52"/>
        <v>0.67105500000000007</v>
      </c>
      <c r="L497" s="4"/>
      <c r="M497" s="17">
        <f>3+2+2</f>
        <v>7</v>
      </c>
      <c r="N497" s="18">
        <f t="shared" si="53"/>
        <v>0.67105500000000018</v>
      </c>
      <c r="O497" s="19">
        <f t="shared" si="54"/>
        <v>0</v>
      </c>
      <c r="P497" s="13">
        <f t="shared" si="55"/>
        <v>0</v>
      </c>
      <c r="Q497" s="9">
        <v>11</v>
      </c>
      <c r="R497" s="2">
        <v>3</v>
      </c>
      <c r="S497" s="50">
        <v>11</v>
      </c>
      <c r="T497">
        <v>2</v>
      </c>
      <c r="U497" t="s">
        <v>302</v>
      </c>
    </row>
    <row r="498" spans="1:22">
      <c r="A498" s="42" t="s">
        <v>77</v>
      </c>
      <c r="B498" s="3" t="s">
        <v>68</v>
      </c>
      <c r="C498" s="3">
        <v>420</v>
      </c>
      <c r="D498" s="1"/>
      <c r="E498" s="20" t="s">
        <v>24</v>
      </c>
      <c r="F498" s="7" t="s">
        <v>14</v>
      </c>
      <c r="G498" s="7" t="s">
        <v>27</v>
      </c>
      <c r="H498" s="11">
        <v>6.17</v>
      </c>
      <c r="I498" s="8">
        <v>11</v>
      </c>
      <c r="J498" s="26">
        <v>29</v>
      </c>
      <c r="K498" s="10">
        <f t="shared" si="52"/>
        <v>1.9682299999999999</v>
      </c>
      <c r="L498" s="4"/>
      <c r="M498" s="26">
        <v>29</v>
      </c>
      <c r="N498" s="18">
        <f t="shared" si="53"/>
        <v>1.9682299999999999</v>
      </c>
      <c r="O498" s="19">
        <f t="shared" si="54"/>
        <v>0</v>
      </c>
      <c r="P498" s="13">
        <f t="shared" si="55"/>
        <v>0</v>
      </c>
      <c r="Q498" s="9"/>
      <c r="R498" s="2"/>
      <c r="S498" s="2"/>
    </row>
    <row r="499" spans="1:22">
      <c r="A499" s="42" t="s">
        <v>77</v>
      </c>
      <c r="B499" s="3" t="s">
        <v>68</v>
      </c>
      <c r="C499" s="3">
        <v>421</v>
      </c>
      <c r="D499" s="1"/>
      <c r="E499" s="20" t="s">
        <v>24</v>
      </c>
      <c r="F499" s="7" t="s">
        <v>14</v>
      </c>
      <c r="G499" s="7" t="s">
        <v>27</v>
      </c>
      <c r="H499" s="11">
        <v>6.17</v>
      </c>
      <c r="I499" s="8">
        <v>12</v>
      </c>
      <c r="J499" s="26">
        <v>29</v>
      </c>
      <c r="K499" s="10">
        <f t="shared" si="52"/>
        <v>2.14716</v>
      </c>
      <c r="L499" s="4"/>
      <c r="M499" s="17">
        <v>29</v>
      </c>
      <c r="N499" s="18">
        <f t="shared" si="53"/>
        <v>2.14716</v>
      </c>
      <c r="O499" s="19">
        <f t="shared" si="54"/>
        <v>0</v>
      </c>
      <c r="P499" s="13">
        <f t="shared" si="55"/>
        <v>0</v>
      </c>
      <c r="Q499" s="9"/>
      <c r="R499" s="2"/>
      <c r="S499" s="2"/>
    </row>
    <row r="500" spans="1:22">
      <c r="A500" s="42" t="s">
        <v>77</v>
      </c>
      <c r="B500" s="3" t="s">
        <v>68</v>
      </c>
      <c r="C500" s="3">
        <v>421</v>
      </c>
      <c r="D500" s="1"/>
      <c r="E500" s="20" t="s">
        <v>24</v>
      </c>
      <c r="F500" s="7" t="s">
        <v>14</v>
      </c>
      <c r="G500" s="7" t="s">
        <v>27</v>
      </c>
      <c r="H500" s="11">
        <v>6.17</v>
      </c>
      <c r="I500" s="8">
        <v>11</v>
      </c>
      <c r="J500" s="26">
        <v>32</v>
      </c>
      <c r="K500" s="10">
        <f t="shared" si="52"/>
        <v>2.17184</v>
      </c>
      <c r="L500" s="4"/>
      <c r="M500" s="17">
        <f>26+1+5</f>
        <v>32</v>
      </c>
      <c r="N500" s="18">
        <f t="shared" si="53"/>
        <v>2.17184</v>
      </c>
      <c r="O500" s="19">
        <f t="shared" si="54"/>
        <v>0</v>
      </c>
      <c r="P500" s="13">
        <f t="shared" si="55"/>
        <v>0</v>
      </c>
      <c r="Q500" s="9">
        <v>10.65</v>
      </c>
      <c r="R500" s="2">
        <v>1</v>
      </c>
      <c r="S500" s="2"/>
      <c r="T500">
        <v>11</v>
      </c>
      <c r="U500">
        <v>5</v>
      </c>
      <c r="V500" s="2" t="s">
        <v>278</v>
      </c>
    </row>
    <row r="501" spans="1:22">
      <c r="A501" s="42" t="s">
        <v>77</v>
      </c>
      <c r="B501" s="3" t="s">
        <v>68</v>
      </c>
      <c r="C501" s="3">
        <v>421</v>
      </c>
      <c r="D501" s="1"/>
      <c r="E501" s="20" t="s">
        <v>24</v>
      </c>
      <c r="F501" s="7" t="s">
        <v>14</v>
      </c>
      <c r="G501" s="7" t="s">
        <v>27</v>
      </c>
      <c r="H501" s="11">
        <v>6.17</v>
      </c>
      <c r="I501" s="8">
        <v>12</v>
      </c>
      <c r="J501" s="26">
        <v>29</v>
      </c>
      <c r="K501" s="10">
        <f t="shared" si="52"/>
        <v>2.14716</v>
      </c>
      <c r="L501" s="4"/>
      <c r="M501" s="17">
        <f>25+4</f>
        <v>29</v>
      </c>
      <c r="N501" s="18">
        <f t="shared" si="53"/>
        <v>2.14716</v>
      </c>
      <c r="O501" s="19">
        <f t="shared" si="54"/>
        <v>0</v>
      </c>
      <c r="P501" s="13">
        <f t="shared" si="55"/>
        <v>0</v>
      </c>
      <c r="Q501" s="9">
        <v>12</v>
      </c>
      <c r="R501" s="35">
        <v>4</v>
      </c>
      <c r="S501" s="2" t="s">
        <v>717</v>
      </c>
      <c r="V501" s="2"/>
    </row>
    <row r="502" spans="1:22">
      <c r="A502" s="42" t="s">
        <v>77</v>
      </c>
      <c r="B502" s="3" t="s">
        <v>68</v>
      </c>
      <c r="C502" s="3">
        <v>423</v>
      </c>
      <c r="D502" s="1"/>
      <c r="E502" s="20" t="s">
        <v>24</v>
      </c>
      <c r="F502" s="7" t="s">
        <v>14</v>
      </c>
      <c r="G502" s="7" t="s">
        <v>27</v>
      </c>
      <c r="H502" s="11">
        <v>6.17</v>
      </c>
      <c r="I502" s="8">
        <v>6.7</v>
      </c>
      <c r="J502" s="26">
        <v>31</v>
      </c>
      <c r="K502" s="10">
        <f t="shared" si="52"/>
        <v>1.281509</v>
      </c>
      <c r="L502" s="4"/>
      <c r="M502" s="26">
        <v>31</v>
      </c>
      <c r="N502" s="18">
        <f t="shared" si="53"/>
        <v>1.281509</v>
      </c>
      <c r="O502" s="19">
        <f t="shared" si="54"/>
        <v>0</v>
      </c>
      <c r="P502" s="13">
        <f t="shared" si="55"/>
        <v>0</v>
      </c>
      <c r="Q502" s="9"/>
      <c r="R502" s="2"/>
      <c r="S502" s="2"/>
    </row>
    <row r="503" spans="1:22">
      <c r="A503" s="42" t="s">
        <v>77</v>
      </c>
      <c r="B503" s="3" t="s">
        <v>68</v>
      </c>
      <c r="C503" s="3">
        <v>424</v>
      </c>
      <c r="D503" s="1"/>
      <c r="E503" s="20" t="s">
        <v>24</v>
      </c>
      <c r="F503" s="7" t="s">
        <v>14</v>
      </c>
      <c r="G503" s="7" t="s">
        <v>27</v>
      </c>
      <c r="H503" s="11">
        <v>6.17</v>
      </c>
      <c r="I503" s="8">
        <v>7.5</v>
      </c>
      <c r="J503" s="26">
        <v>7</v>
      </c>
      <c r="K503" s="10">
        <f t="shared" si="52"/>
        <v>0.32392500000000002</v>
      </c>
      <c r="L503" s="4"/>
      <c r="M503" s="17">
        <f>5+2</f>
        <v>7</v>
      </c>
      <c r="N503" s="18">
        <f t="shared" si="53"/>
        <v>0.32392500000000002</v>
      </c>
      <c r="O503" s="19">
        <f t="shared" si="54"/>
        <v>0</v>
      </c>
      <c r="P503" s="13">
        <f t="shared" si="55"/>
        <v>0</v>
      </c>
      <c r="Q503" s="9">
        <v>7.5</v>
      </c>
      <c r="R503" s="35">
        <v>2</v>
      </c>
      <c r="S503" s="2" t="s">
        <v>717</v>
      </c>
      <c r="U503" s="2">
        <v>5</v>
      </c>
      <c r="V503" s="2" t="s">
        <v>244</v>
      </c>
    </row>
    <row r="504" spans="1:22">
      <c r="A504" s="42" t="s">
        <v>77</v>
      </c>
      <c r="B504" s="3" t="s">
        <v>68</v>
      </c>
      <c r="C504" s="3">
        <v>424</v>
      </c>
      <c r="D504" s="1"/>
      <c r="E504" s="20" t="s">
        <v>24</v>
      </c>
      <c r="F504" s="7" t="s">
        <v>14</v>
      </c>
      <c r="G504" s="7" t="s">
        <v>27</v>
      </c>
      <c r="H504" s="11">
        <v>6.17</v>
      </c>
      <c r="I504" s="8">
        <v>10</v>
      </c>
      <c r="J504" s="26">
        <v>17</v>
      </c>
      <c r="K504" s="10">
        <f t="shared" si="52"/>
        <v>1.0489000000000002</v>
      </c>
      <c r="L504" s="4"/>
      <c r="M504" s="17">
        <f>16+1</f>
        <v>17</v>
      </c>
      <c r="N504" s="18">
        <f t="shared" si="53"/>
        <v>1.0489000000000002</v>
      </c>
      <c r="O504" s="19">
        <f t="shared" si="54"/>
        <v>0</v>
      </c>
      <c r="P504" s="13">
        <f t="shared" si="55"/>
        <v>0</v>
      </c>
      <c r="Q504" s="9">
        <v>10</v>
      </c>
      <c r="R504" s="35">
        <v>1</v>
      </c>
      <c r="S504" s="2" t="s">
        <v>717</v>
      </c>
    </row>
    <row r="505" spans="1:22">
      <c r="A505" s="42" t="s">
        <v>77</v>
      </c>
      <c r="B505" s="3" t="s">
        <v>68</v>
      </c>
      <c r="C505" s="3">
        <v>425</v>
      </c>
      <c r="D505" s="1"/>
      <c r="E505" s="20" t="s">
        <v>24</v>
      </c>
      <c r="F505" s="7" t="s">
        <v>14</v>
      </c>
      <c r="G505" s="7" t="s">
        <v>27</v>
      </c>
      <c r="H505" s="11">
        <v>6.17</v>
      </c>
      <c r="I505" s="8">
        <v>10.65</v>
      </c>
      <c r="J505" s="26">
        <v>9</v>
      </c>
      <c r="K505" s="10">
        <f t="shared" si="52"/>
        <v>0.59139450000000005</v>
      </c>
      <c r="L505" s="4"/>
      <c r="M505" s="17">
        <v>9</v>
      </c>
      <c r="N505" s="18">
        <f t="shared" si="53"/>
        <v>0.59139450000000005</v>
      </c>
      <c r="O505" s="19">
        <f t="shared" si="54"/>
        <v>0</v>
      </c>
      <c r="P505" s="13">
        <f t="shared" si="55"/>
        <v>0</v>
      </c>
      <c r="Q505" s="9"/>
      <c r="R505" s="2"/>
      <c r="S505" s="2"/>
    </row>
    <row r="506" spans="1:22">
      <c r="A506" s="42"/>
      <c r="B506" s="3"/>
      <c r="C506" s="3"/>
      <c r="D506" s="1"/>
      <c r="E506" s="20" t="s">
        <v>24</v>
      </c>
      <c r="F506" s="7" t="s">
        <v>14</v>
      </c>
      <c r="G506" s="7" t="s">
        <v>27</v>
      </c>
      <c r="H506" s="11">
        <v>6.17</v>
      </c>
      <c r="I506" s="8">
        <v>6.7</v>
      </c>
      <c r="J506" s="26">
        <v>34</v>
      </c>
      <c r="K506" s="10">
        <f t="shared" si="52"/>
        <v>1.4055259999999998</v>
      </c>
      <c r="L506" s="4"/>
      <c r="M506" s="17">
        <v>33</v>
      </c>
      <c r="N506" s="18">
        <f t="shared" si="53"/>
        <v>1.3641869999999998</v>
      </c>
      <c r="O506" s="19">
        <f t="shared" si="54"/>
        <v>1</v>
      </c>
      <c r="P506" s="13">
        <f t="shared" si="55"/>
        <v>4.1339000000000001E-2</v>
      </c>
      <c r="Q506" s="9">
        <v>6.7</v>
      </c>
      <c r="R506" s="35">
        <v>1</v>
      </c>
      <c r="S506" s="2" t="s">
        <v>717</v>
      </c>
    </row>
    <row r="507" spans="1:22">
      <c r="A507" s="42" t="s">
        <v>77</v>
      </c>
      <c r="B507" s="3" t="s">
        <v>68</v>
      </c>
      <c r="C507" s="3">
        <v>426</v>
      </c>
      <c r="D507" s="1"/>
      <c r="E507" s="20" t="s">
        <v>17</v>
      </c>
      <c r="F507" s="7" t="s">
        <v>15</v>
      </c>
      <c r="G507" s="7" t="s">
        <v>34</v>
      </c>
      <c r="H507" s="11">
        <v>9.61</v>
      </c>
      <c r="I507" s="8">
        <v>6.1</v>
      </c>
      <c r="J507" s="26">
        <v>1</v>
      </c>
      <c r="K507" s="10">
        <f t="shared" si="52"/>
        <v>5.8620999999999993E-2</v>
      </c>
      <c r="L507" s="4"/>
      <c r="M507" s="17">
        <v>1</v>
      </c>
      <c r="N507" s="18">
        <f t="shared" si="53"/>
        <v>5.8620999999999993E-2</v>
      </c>
      <c r="O507" s="19">
        <f t="shared" si="54"/>
        <v>0</v>
      </c>
      <c r="P507" s="13">
        <f t="shared" si="55"/>
        <v>0</v>
      </c>
      <c r="Q507" s="9"/>
      <c r="R507" s="35">
        <v>1</v>
      </c>
      <c r="S507" s="2" t="s">
        <v>721</v>
      </c>
      <c r="T507" s="213"/>
    </row>
    <row r="508" spans="1:22">
      <c r="A508" s="42" t="s">
        <v>77</v>
      </c>
      <c r="B508" s="3" t="s">
        <v>68</v>
      </c>
      <c r="C508" s="3">
        <v>426</v>
      </c>
      <c r="D508" s="1"/>
      <c r="E508" s="20" t="s">
        <v>17</v>
      </c>
      <c r="F508" s="7" t="s">
        <v>15</v>
      </c>
      <c r="G508" s="7" t="s">
        <v>34</v>
      </c>
      <c r="H508" s="11">
        <v>9.61</v>
      </c>
      <c r="I508" s="8">
        <v>8</v>
      </c>
      <c r="J508" s="26">
        <v>1</v>
      </c>
      <c r="K508" s="10">
        <f t="shared" si="52"/>
        <v>7.687999999999999E-2</v>
      </c>
      <c r="L508" s="4"/>
      <c r="M508" s="17">
        <v>1</v>
      </c>
      <c r="N508" s="18">
        <f t="shared" si="53"/>
        <v>7.687999999999999E-2</v>
      </c>
      <c r="O508" s="19">
        <f t="shared" si="54"/>
        <v>0</v>
      </c>
      <c r="P508" s="13">
        <f t="shared" si="55"/>
        <v>0</v>
      </c>
      <c r="Q508" s="9"/>
      <c r="R508" s="35">
        <v>1</v>
      </c>
      <c r="S508" s="2" t="s">
        <v>721</v>
      </c>
    </row>
    <row r="509" spans="1:22">
      <c r="A509" s="42" t="s">
        <v>77</v>
      </c>
      <c r="B509" s="3" t="s">
        <v>68</v>
      </c>
      <c r="C509" s="3">
        <v>426</v>
      </c>
      <c r="D509" s="1"/>
      <c r="E509" s="20" t="s">
        <v>17</v>
      </c>
      <c r="F509" s="7" t="s">
        <v>15</v>
      </c>
      <c r="G509" s="7" t="s">
        <v>34</v>
      </c>
      <c r="H509" s="11">
        <v>9.61</v>
      </c>
      <c r="I509" s="8">
        <v>8.4</v>
      </c>
      <c r="J509" s="26">
        <v>5</v>
      </c>
      <c r="K509" s="10">
        <f t="shared" si="52"/>
        <v>0.40361999999999998</v>
      </c>
      <c r="L509" s="4"/>
      <c r="M509" s="17">
        <v>5</v>
      </c>
      <c r="N509" s="18">
        <f t="shared" si="53"/>
        <v>0.40361999999999998</v>
      </c>
      <c r="O509" s="19">
        <f t="shared" si="54"/>
        <v>0</v>
      </c>
      <c r="P509" s="13">
        <f t="shared" si="55"/>
        <v>0</v>
      </c>
      <c r="Q509" s="9"/>
      <c r="R509" s="2"/>
      <c r="S509" s="9">
        <v>8.1</v>
      </c>
      <c r="T509" s="186">
        <v>5</v>
      </c>
      <c r="U509" t="s">
        <v>268</v>
      </c>
    </row>
    <row r="510" spans="1:22">
      <c r="A510" s="42"/>
      <c r="B510" s="3"/>
      <c r="C510" s="3"/>
      <c r="D510" s="1"/>
      <c r="E510" s="20" t="s">
        <v>17</v>
      </c>
      <c r="F510" s="7" t="s">
        <v>15</v>
      </c>
      <c r="G510" s="7" t="s">
        <v>34</v>
      </c>
      <c r="H510" s="11">
        <v>9.61</v>
      </c>
      <c r="I510" s="8">
        <v>11</v>
      </c>
      <c r="J510" s="26">
        <v>5</v>
      </c>
      <c r="K510" s="10">
        <f t="shared" si="52"/>
        <v>0.52854999999999996</v>
      </c>
      <c r="L510" s="4"/>
      <c r="M510" s="17">
        <v>5</v>
      </c>
      <c r="N510" s="18">
        <f t="shared" si="53"/>
        <v>0.52854999999999996</v>
      </c>
      <c r="O510" s="19">
        <f t="shared" si="54"/>
        <v>0</v>
      </c>
      <c r="P510" s="13">
        <f t="shared" si="55"/>
        <v>0</v>
      </c>
      <c r="Q510" s="9">
        <v>9.85</v>
      </c>
      <c r="R510" s="2">
        <v>5</v>
      </c>
      <c r="S510" s="2"/>
    </row>
    <row r="511" spans="1:22">
      <c r="A511" s="42" t="s">
        <v>77</v>
      </c>
      <c r="B511" s="3" t="s">
        <v>68</v>
      </c>
      <c r="C511" s="3">
        <v>427</v>
      </c>
      <c r="D511" s="1"/>
      <c r="E511" s="20" t="s">
        <v>17</v>
      </c>
      <c r="F511" s="7" t="s">
        <v>15</v>
      </c>
      <c r="G511" s="7" t="s">
        <v>21</v>
      </c>
      <c r="H511" s="11">
        <v>6.97</v>
      </c>
      <c r="I511" s="8">
        <v>8.25</v>
      </c>
      <c r="J511" s="26">
        <v>22</v>
      </c>
      <c r="K511" s="10">
        <f t="shared" si="52"/>
        <v>1.2650549999999998</v>
      </c>
      <c r="L511" s="4"/>
      <c r="M511" s="17">
        <v>22</v>
      </c>
      <c r="N511" s="18">
        <f t="shared" si="53"/>
        <v>1.265055</v>
      </c>
      <c r="O511" s="19">
        <f t="shared" si="54"/>
        <v>0</v>
      </c>
      <c r="P511" s="13">
        <f t="shared" si="55"/>
        <v>0</v>
      </c>
      <c r="Q511" s="9"/>
      <c r="R511" s="2"/>
      <c r="S511" s="13"/>
    </row>
    <row r="512" spans="1:22">
      <c r="A512" s="42" t="s">
        <v>77</v>
      </c>
      <c r="B512" s="3" t="s">
        <v>68</v>
      </c>
      <c r="C512" s="3">
        <v>428</v>
      </c>
      <c r="D512" s="1"/>
      <c r="E512" s="20" t="s">
        <v>17</v>
      </c>
      <c r="F512" s="7" t="s">
        <v>15</v>
      </c>
      <c r="G512" s="7" t="s">
        <v>34</v>
      </c>
      <c r="H512" s="11">
        <v>9.61</v>
      </c>
      <c r="I512" s="8">
        <v>8.75</v>
      </c>
      <c r="J512" s="26">
        <v>1</v>
      </c>
      <c r="K512" s="10">
        <f t="shared" si="52"/>
        <v>8.4087499999999996E-2</v>
      </c>
      <c r="L512" s="4"/>
      <c r="M512" s="17">
        <v>1</v>
      </c>
      <c r="N512" s="18">
        <f t="shared" si="53"/>
        <v>8.4087499999999996E-2</v>
      </c>
      <c r="O512" s="19">
        <f t="shared" si="54"/>
        <v>0</v>
      </c>
      <c r="P512" s="13">
        <f t="shared" si="55"/>
        <v>0</v>
      </c>
      <c r="Q512" s="9"/>
      <c r="R512" s="2"/>
      <c r="S512" s="2"/>
    </row>
    <row r="513" spans="1:21">
      <c r="A513" s="42" t="s">
        <v>77</v>
      </c>
      <c r="B513" s="3" t="s">
        <v>68</v>
      </c>
      <c r="C513" s="3">
        <v>428</v>
      </c>
      <c r="D513" s="1"/>
      <c r="E513" s="20" t="s">
        <v>17</v>
      </c>
      <c r="F513" s="7" t="s">
        <v>15</v>
      </c>
      <c r="G513" s="7" t="s">
        <v>34</v>
      </c>
      <c r="H513" s="11">
        <v>9.61</v>
      </c>
      <c r="I513" s="8">
        <v>9</v>
      </c>
      <c r="J513" s="26">
        <v>8</v>
      </c>
      <c r="K513" s="10">
        <f t="shared" si="52"/>
        <v>0.69191999999999998</v>
      </c>
      <c r="L513" s="4"/>
      <c r="M513" s="17">
        <v>8</v>
      </c>
      <c r="N513" s="18">
        <f t="shared" si="53"/>
        <v>0.69191999999999998</v>
      </c>
      <c r="O513" s="19">
        <f t="shared" si="54"/>
        <v>0</v>
      </c>
      <c r="P513" s="13">
        <f t="shared" si="55"/>
        <v>0</v>
      </c>
      <c r="Q513" s="9"/>
      <c r="R513" s="2"/>
      <c r="S513" s="2"/>
    </row>
    <row r="514" spans="1:21">
      <c r="A514" s="42" t="s">
        <v>77</v>
      </c>
      <c r="B514" s="3" t="s">
        <v>68</v>
      </c>
      <c r="C514" s="3">
        <v>429</v>
      </c>
      <c r="D514" s="1"/>
      <c r="E514" s="20" t="s">
        <v>17</v>
      </c>
      <c r="F514" s="7" t="s">
        <v>15</v>
      </c>
      <c r="G514" s="7" t="s">
        <v>29</v>
      </c>
      <c r="H514" s="11">
        <v>10.92</v>
      </c>
      <c r="I514" s="8">
        <v>9.5</v>
      </c>
      <c r="J514" s="26">
        <v>7</v>
      </c>
      <c r="K514" s="10">
        <f t="shared" si="52"/>
        <v>0.72617999999999994</v>
      </c>
      <c r="L514" s="4"/>
      <c r="M514" s="17">
        <v>6</v>
      </c>
      <c r="N514" s="18">
        <f t="shared" si="53"/>
        <v>0.62243999999999999</v>
      </c>
      <c r="O514" s="19">
        <f t="shared" si="54"/>
        <v>1</v>
      </c>
      <c r="P514" s="13">
        <f t="shared" si="55"/>
        <v>0.10374</v>
      </c>
      <c r="Q514" s="9"/>
      <c r="R514" s="2"/>
      <c r="S514" s="2"/>
    </row>
    <row r="515" spans="1:21">
      <c r="A515" s="42" t="s">
        <v>77</v>
      </c>
      <c r="B515" s="3" t="s">
        <v>68</v>
      </c>
      <c r="C515" s="3">
        <v>430</v>
      </c>
      <c r="D515" s="1"/>
      <c r="E515" s="20" t="s">
        <v>17</v>
      </c>
      <c r="F515" s="7" t="s">
        <v>15</v>
      </c>
      <c r="G515" s="7" t="s">
        <v>29</v>
      </c>
      <c r="H515" s="11">
        <v>10.92</v>
      </c>
      <c r="I515" s="8">
        <v>11.3</v>
      </c>
      <c r="J515" s="26">
        <v>4</v>
      </c>
      <c r="K515" s="10">
        <f t="shared" si="52"/>
        <v>0.49358400000000002</v>
      </c>
      <c r="L515" s="4"/>
      <c r="M515" s="17">
        <v>4</v>
      </c>
      <c r="N515" s="18">
        <f t="shared" si="53"/>
        <v>0.49358400000000002</v>
      </c>
      <c r="O515" s="19">
        <f t="shared" si="54"/>
        <v>0</v>
      </c>
      <c r="P515" s="13">
        <f t="shared" si="55"/>
        <v>0</v>
      </c>
      <c r="Q515" s="9">
        <v>11.3</v>
      </c>
      <c r="R515" s="2">
        <v>4</v>
      </c>
      <c r="S515" s="2" t="s">
        <v>273</v>
      </c>
    </row>
    <row r="516" spans="1:21">
      <c r="A516" s="42" t="s">
        <v>77</v>
      </c>
      <c r="B516" s="3" t="s">
        <v>68</v>
      </c>
      <c r="C516" s="3">
        <v>430</v>
      </c>
      <c r="D516" s="1"/>
      <c r="E516" s="20" t="s">
        <v>17</v>
      </c>
      <c r="F516" s="7" t="s">
        <v>15</v>
      </c>
      <c r="G516" s="7" t="s">
        <v>29</v>
      </c>
      <c r="H516" s="11">
        <v>10.92</v>
      </c>
      <c r="I516" s="8">
        <v>11.4</v>
      </c>
      <c r="J516" s="26">
        <v>10</v>
      </c>
      <c r="K516" s="10">
        <f t="shared" si="52"/>
        <v>1.2448800000000002</v>
      </c>
      <c r="L516" s="4"/>
      <c r="M516" s="17">
        <v>10</v>
      </c>
      <c r="N516" s="18">
        <f t="shared" si="53"/>
        <v>1.24488</v>
      </c>
      <c r="O516" s="19">
        <f t="shared" si="54"/>
        <v>0</v>
      </c>
      <c r="P516" s="13">
        <f t="shared" si="55"/>
        <v>0</v>
      </c>
      <c r="Q516" s="9"/>
      <c r="R516" s="2">
        <v>10</v>
      </c>
      <c r="S516" s="32" t="s">
        <v>293</v>
      </c>
    </row>
    <row r="517" spans="1:21">
      <c r="A517" s="42" t="s">
        <v>77</v>
      </c>
      <c r="B517" s="3" t="s">
        <v>68</v>
      </c>
      <c r="C517" s="3">
        <v>432</v>
      </c>
      <c r="D517" s="1"/>
      <c r="E517" s="20" t="s">
        <v>17</v>
      </c>
      <c r="F517" s="7" t="s">
        <v>15</v>
      </c>
      <c r="G517" s="7" t="s">
        <v>21</v>
      </c>
      <c r="H517" s="11">
        <v>6.97</v>
      </c>
      <c r="I517" s="8">
        <v>12</v>
      </c>
      <c r="J517" s="26">
        <v>35</v>
      </c>
      <c r="K517" s="10">
        <f t="shared" si="52"/>
        <v>2.9274</v>
      </c>
      <c r="L517" s="4"/>
      <c r="M517" s="17">
        <v>35</v>
      </c>
      <c r="N517" s="18">
        <f t="shared" si="53"/>
        <v>2.9274</v>
      </c>
      <c r="O517" s="19">
        <f t="shared" si="54"/>
        <v>0</v>
      </c>
      <c r="P517" s="13">
        <f t="shared" si="55"/>
        <v>0</v>
      </c>
      <c r="Q517" s="9"/>
      <c r="R517" s="2"/>
      <c r="S517" s="13"/>
    </row>
    <row r="518" spans="1:21">
      <c r="A518" s="42" t="s">
        <v>77</v>
      </c>
      <c r="B518" s="3" t="s">
        <v>68</v>
      </c>
      <c r="C518" s="3">
        <v>433</v>
      </c>
      <c r="D518" s="1"/>
      <c r="E518" s="20" t="s">
        <v>17</v>
      </c>
      <c r="F518" s="7" t="s">
        <v>15</v>
      </c>
      <c r="G518" s="7" t="s">
        <v>21</v>
      </c>
      <c r="H518" s="11">
        <v>6.97</v>
      </c>
      <c r="I518" s="8">
        <v>12</v>
      </c>
      <c r="J518" s="26">
        <v>22</v>
      </c>
      <c r="K518" s="10">
        <f t="shared" ref="K518:K647" si="56">(H518*I518*J518/1000)</f>
        <v>1.8400799999999999</v>
      </c>
      <c r="L518" s="4"/>
      <c r="M518" s="17">
        <v>22</v>
      </c>
      <c r="N518" s="18">
        <f t="shared" ref="N518:N647" si="57">I518*M518*H518/1000</f>
        <v>1.8400799999999999</v>
      </c>
      <c r="O518" s="19">
        <f t="shared" ref="O518:O647" si="58">J518-M518</f>
        <v>0</v>
      </c>
      <c r="P518" s="13">
        <f t="shared" ref="P518:P647" si="59">I518*O518*H518/1000</f>
        <v>0</v>
      </c>
      <c r="Q518" s="9"/>
      <c r="R518" s="2"/>
      <c r="S518" s="13"/>
    </row>
    <row r="519" spans="1:21">
      <c r="A519" s="42" t="s">
        <v>77</v>
      </c>
      <c r="B519" s="3" t="s">
        <v>68</v>
      </c>
      <c r="C519" s="3">
        <v>434</v>
      </c>
      <c r="D519" s="1"/>
      <c r="E519" s="20" t="s">
        <v>17</v>
      </c>
      <c r="F519" s="7" t="s">
        <v>15</v>
      </c>
      <c r="G519" s="7" t="s">
        <v>21</v>
      </c>
      <c r="H519" s="11">
        <v>6.97</v>
      </c>
      <c r="I519" s="8">
        <v>12</v>
      </c>
      <c r="J519" s="26">
        <v>7</v>
      </c>
      <c r="K519" s="10">
        <f t="shared" si="56"/>
        <v>0.58548</v>
      </c>
      <c r="L519" s="4"/>
      <c r="M519" s="17">
        <f>3+4</f>
        <v>7</v>
      </c>
      <c r="N519" s="18">
        <f t="shared" si="57"/>
        <v>0.58548</v>
      </c>
      <c r="O519" s="19">
        <f t="shared" si="58"/>
        <v>0</v>
      </c>
      <c r="P519" s="13">
        <f t="shared" si="59"/>
        <v>0</v>
      </c>
      <c r="Q519" s="9">
        <v>11</v>
      </c>
      <c r="R519" s="2">
        <v>4</v>
      </c>
      <c r="S519" s="13"/>
    </row>
    <row r="520" spans="1:21">
      <c r="A520" s="42" t="s">
        <v>77</v>
      </c>
      <c r="B520" s="3" t="s">
        <v>68</v>
      </c>
      <c r="C520" s="3">
        <v>442</v>
      </c>
      <c r="D520" s="1"/>
      <c r="E520" s="20" t="s">
        <v>17</v>
      </c>
      <c r="F520" s="7" t="s">
        <v>15</v>
      </c>
      <c r="G520" s="7" t="s">
        <v>21</v>
      </c>
      <c r="H520" s="11">
        <v>6.97</v>
      </c>
      <c r="I520" s="8">
        <v>8</v>
      </c>
      <c r="J520" s="26">
        <v>1</v>
      </c>
      <c r="K520" s="10">
        <f t="shared" si="56"/>
        <v>5.5759999999999997E-2</v>
      </c>
      <c r="L520" s="4"/>
      <c r="M520" s="17">
        <v>1</v>
      </c>
      <c r="N520" s="18">
        <f t="shared" si="57"/>
        <v>5.5759999999999997E-2</v>
      </c>
      <c r="O520" s="19">
        <f t="shared" si="58"/>
        <v>0</v>
      </c>
      <c r="P520" s="13">
        <f t="shared" si="59"/>
        <v>0</v>
      </c>
      <c r="Q520" s="9"/>
      <c r="R520" s="2"/>
      <c r="S520" s="13">
        <v>8</v>
      </c>
      <c r="T520">
        <v>1</v>
      </c>
      <c r="U520" t="s">
        <v>268</v>
      </c>
    </row>
    <row r="521" spans="1:21">
      <c r="A521" s="42" t="s">
        <v>77</v>
      </c>
      <c r="B521" s="3" t="s">
        <v>68</v>
      </c>
      <c r="C521" s="3">
        <v>442</v>
      </c>
      <c r="D521" s="1"/>
      <c r="E521" s="20" t="s">
        <v>17</v>
      </c>
      <c r="F521" s="7" t="s">
        <v>15</v>
      </c>
      <c r="G521" s="7" t="s">
        <v>21</v>
      </c>
      <c r="H521" s="11">
        <v>6.97</v>
      </c>
      <c r="I521" s="8">
        <v>8.25</v>
      </c>
      <c r="J521" s="26">
        <v>2</v>
      </c>
      <c r="K521" s="10">
        <f t="shared" si="56"/>
        <v>0.115005</v>
      </c>
      <c r="L521" s="4"/>
      <c r="M521" s="17">
        <v>2</v>
      </c>
      <c r="N521" s="18">
        <f t="shared" si="57"/>
        <v>0.115005</v>
      </c>
      <c r="O521" s="19">
        <f t="shared" si="58"/>
        <v>0</v>
      </c>
      <c r="P521" s="13">
        <f t="shared" si="59"/>
        <v>0</v>
      </c>
      <c r="Q521" s="9"/>
      <c r="R521" s="2"/>
      <c r="S521" s="13"/>
    </row>
    <row r="522" spans="1:21">
      <c r="A522" s="42" t="s">
        <v>77</v>
      </c>
      <c r="B522" s="3" t="s">
        <v>68</v>
      </c>
      <c r="C522" s="3">
        <v>442</v>
      </c>
      <c r="D522" s="1"/>
      <c r="E522" s="20" t="s">
        <v>17</v>
      </c>
      <c r="F522" s="7" t="s">
        <v>15</v>
      </c>
      <c r="G522" s="7" t="s">
        <v>21</v>
      </c>
      <c r="H522" s="11">
        <v>6.97</v>
      </c>
      <c r="I522" s="8">
        <v>11</v>
      </c>
      <c r="J522" s="26">
        <v>2</v>
      </c>
      <c r="K522" s="10">
        <f t="shared" si="56"/>
        <v>0.15334</v>
      </c>
      <c r="L522" s="4"/>
      <c r="M522" s="17">
        <f>1+1</f>
        <v>2</v>
      </c>
      <c r="N522" s="18">
        <f t="shared" si="57"/>
        <v>0.15334</v>
      </c>
      <c r="O522" s="19">
        <f t="shared" si="58"/>
        <v>0</v>
      </c>
      <c r="P522" s="13">
        <f t="shared" si="59"/>
        <v>0</v>
      </c>
      <c r="Q522" s="9"/>
      <c r="R522" s="2"/>
      <c r="S522" s="13"/>
    </row>
    <row r="523" spans="1:21">
      <c r="A523" s="42" t="s">
        <v>77</v>
      </c>
      <c r="B523" s="3" t="s">
        <v>68</v>
      </c>
      <c r="C523" s="3">
        <v>442</v>
      </c>
      <c r="D523" s="1"/>
      <c r="E523" s="20" t="s">
        <v>17</v>
      </c>
      <c r="F523" s="7" t="s">
        <v>15</v>
      </c>
      <c r="G523" s="7" t="s">
        <v>21</v>
      </c>
      <c r="H523" s="11">
        <v>6.97</v>
      </c>
      <c r="I523" s="8">
        <v>12</v>
      </c>
      <c r="J523" s="26">
        <v>2</v>
      </c>
      <c r="K523" s="10">
        <f t="shared" si="56"/>
        <v>0.16728000000000001</v>
      </c>
      <c r="L523" s="4"/>
      <c r="M523" s="17">
        <v>2</v>
      </c>
      <c r="N523" s="18">
        <f t="shared" si="57"/>
        <v>0.16728000000000001</v>
      </c>
      <c r="O523" s="19">
        <f t="shared" si="58"/>
        <v>0</v>
      </c>
      <c r="P523" s="13">
        <f t="shared" si="59"/>
        <v>0</v>
      </c>
      <c r="Q523" s="9"/>
      <c r="R523" s="2"/>
      <c r="S523" s="13"/>
    </row>
    <row r="524" spans="1:21">
      <c r="A524" s="42" t="s">
        <v>77</v>
      </c>
      <c r="B524" s="3" t="s">
        <v>68</v>
      </c>
      <c r="C524" s="3">
        <v>446</v>
      </c>
      <c r="D524" s="1"/>
      <c r="E524" s="20" t="s">
        <v>24</v>
      </c>
      <c r="F524" s="7" t="s">
        <v>14</v>
      </c>
      <c r="G524" s="7" t="s">
        <v>21</v>
      </c>
      <c r="H524" s="11">
        <v>6.97</v>
      </c>
      <c r="I524" s="8">
        <v>12</v>
      </c>
      <c r="J524" s="26">
        <v>8</v>
      </c>
      <c r="K524" s="10">
        <f t="shared" si="56"/>
        <v>0.66912000000000005</v>
      </c>
      <c r="L524" s="4"/>
      <c r="M524" s="17">
        <v>8</v>
      </c>
      <c r="N524" s="18">
        <f t="shared" si="57"/>
        <v>0.66912000000000005</v>
      </c>
      <c r="O524" s="19">
        <f t="shared" si="58"/>
        <v>0</v>
      </c>
      <c r="P524" s="13">
        <f t="shared" si="59"/>
        <v>0</v>
      </c>
      <c r="Q524" s="9"/>
      <c r="R524" s="2">
        <v>8</v>
      </c>
      <c r="S524" s="2" t="s">
        <v>221</v>
      </c>
    </row>
    <row r="525" spans="1:21">
      <c r="A525" s="42" t="s">
        <v>77</v>
      </c>
      <c r="B525" s="3" t="s">
        <v>68</v>
      </c>
      <c r="C525" s="3">
        <v>446</v>
      </c>
      <c r="D525" s="1"/>
      <c r="E525" s="20" t="s">
        <v>24</v>
      </c>
      <c r="F525" s="7" t="s">
        <v>14</v>
      </c>
      <c r="G525" s="7" t="s">
        <v>21</v>
      </c>
      <c r="H525" s="11">
        <v>6.97</v>
      </c>
      <c r="I525" s="8">
        <v>11</v>
      </c>
      <c r="J525" s="26">
        <v>6</v>
      </c>
      <c r="K525" s="10">
        <f t="shared" si="56"/>
        <v>0.46001999999999998</v>
      </c>
      <c r="L525" s="4"/>
      <c r="M525" s="17">
        <v>6</v>
      </c>
      <c r="N525" s="18">
        <f t="shared" si="57"/>
        <v>0.46001999999999998</v>
      </c>
      <c r="O525" s="19">
        <f t="shared" si="58"/>
        <v>0</v>
      </c>
      <c r="P525" s="13">
        <f t="shared" si="59"/>
        <v>0</v>
      </c>
      <c r="Q525" s="9"/>
      <c r="R525" s="2">
        <v>6</v>
      </c>
      <c r="S525" s="2" t="s">
        <v>221</v>
      </c>
    </row>
    <row r="526" spans="1:21">
      <c r="A526" s="42" t="s">
        <v>77</v>
      </c>
      <c r="B526" s="3" t="s">
        <v>68</v>
      </c>
      <c r="C526" s="3">
        <v>446</v>
      </c>
      <c r="D526" s="1"/>
      <c r="E526" s="20" t="s">
        <v>24</v>
      </c>
      <c r="F526" s="7" t="s">
        <v>14</v>
      </c>
      <c r="G526" s="7" t="s">
        <v>21</v>
      </c>
      <c r="H526" s="11">
        <v>6.97</v>
      </c>
      <c r="I526" s="8">
        <v>9</v>
      </c>
      <c r="J526" s="26">
        <v>1</v>
      </c>
      <c r="K526" s="10">
        <f t="shared" si="56"/>
        <v>6.2729999999999994E-2</v>
      </c>
      <c r="L526" s="4"/>
      <c r="M526" s="17">
        <v>1</v>
      </c>
      <c r="N526" s="18">
        <f t="shared" si="57"/>
        <v>6.2729999999999994E-2</v>
      </c>
      <c r="O526" s="19">
        <f t="shared" si="58"/>
        <v>0</v>
      </c>
      <c r="P526" s="13">
        <f t="shared" si="59"/>
        <v>0</v>
      </c>
      <c r="Q526" s="9">
        <v>8.8000000000000007</v>
      </c>
      <c r="R526" s="2">
        <v>1</v>
      </c>
      <c r="S526" s="2" t="s">
        <v>614</v>
      </c>
    </row>
    <row r="527" spans="1:21">
      <c r="A527" s="42" t="s">
        <v>77</v>
      </c>
      <c r="B527" s="3" t="s">
        <v>68</v>
      </c>
      <c r="C527" s="3">
        <v>446</v>
      </c>
      <c r="D527" s="1"/>
      <c r="E527" s="20" t="s">
        <v>24</v>
      </c>
      <c r="F527" s="7" t="s">
        <v>14</v>
      </c>
      <c r="G527" s="7" t="s">
        <v>21</v>
      </c>
      <c r="H527" s="11">
        <v>6.97</v>
      </c>
      <c r="I527" s="8">
        <v>7</v>
      </c>
      <c r="J527" s="26">
        <v>2</v>
      </c>
      <c r="K527" s="10">
        <f t="shared" si="56"/>
        <v>9.758E-2</v>
      </c>
      <c r="L527" s="4"/>
      <c r="M527" s="17">
        <v>2</v>
      </c>
      <c r="N527" s="18">
        <f t="shared" si="57"/>
        <v>9.758E-2</v>
      </c>
      <c r="O527" s="19">
        <f t="shared" si="58"/>
        <v>0</v>
      </c>
      <c r="P527" s="13">
        <f t="shared" si="59"/>
        <v>0</v>
      </c>
      <c r="Q527" s="9">
        <v>6.6</v>
      </c>
      <c r="R527" s="2">
        <v>2</v>
      </c>
      <c r="S527" s="2" t="s">
        <v>614</v>
      </c>
    </row>
    <row r="528" spans="1:21">
      <c r="A528" s="42" t="s">
        <v>77</v>
      </c>
      <c r="B528" s="3" t="s">
        <v>68</v>
      </c>
      <c r="C528" s="3">
        <v>446</v>
      </c>
      <c r="D528" s="1"/>
      <c r="E528" s="20" t="s">
        <v>24</v>
      </c>
      <c r="F528" s="7" t="s">
        <v>14</v>
      </c>
      <c r="G528" s="7" t="s">
        <v>21</v>
      </c>
      <c r="H528" s="11">
        <v>6.97</v>
      </c>
      <c r="I528" s="8">
        <v>6</v>
      </c>
      <c r="J528" s="26">
        <v>1</v>
      </c>
      <c r="K528" s="10">
        <f t="shared" si="56"/>
        <v>4.1820000000000003E-2</v>
      </c>
      <c r="L528" s="4"/>
      <c r="M528" s="17"/>
      <c r="N528" s="18">
        <f t="shared" si="57"/>
        <v>0</v>
      </c>
      <c r="O528" s="19">
        <f t="shared" si="58"/>
        <v>1</v>
      </c>
      <c r="P528" s="13">
        <f t="shared" si="59"/>
        <v>4.1820000000000003E-2</v>
      </c>
      <c r="Q528" s="9"/>
      <c r="R528" s="2"/>
      <c r="S528" s="2"/>
    </row>
    <row r="529" spans="1:21">
      <c r="A529" s="42" t="s">
        <v>77</v>
      </c>
      <c r="B529" s="3" t="s">
        <v>68</v>
      </c>
      <c r="C529" s="3">
        <v>447</v>
      </c>
      <c r="D529" s="1"/>
      <c r="E529" s="20" t="s">
        <v>17</v>
      </c>
      <c r="F529" s="7" t="s">
        <v>15</v>
      </c>
      <c r="G529" s="7" t="s">
        <v>21</v>
      </c>
      <c r="H529" s="11">
        <v>6.97</v>
      </c>
      <c r="I529" s="8">
        <v>6.5</v>
      </c>
      <c r="J529" s="26">
        <v>14</v>
      </c>
      <c r="K529" s="10">
        <f t="shared" si="56"/>
        <v>0.63427</v>
      </c>
      <c r="L529" s="4"/>
      <c r="M529" s="17">
        <v>14</v>
      </c>
      <c r="N529" s="18">
        <f t="shared" si="57"/>
        <v>0.63427</v>
      </c>
      <c r="O529" s="19">
        <f t="shared" si="58"/>
        <v>0</v>
      </c>
      <c r="P529" s="13">
        <f t="shared" si="59"/>
        <v>0</v>
      </c>
      <c r="Q529" s="9"/>
      <c r="R529" s="2"/>
      <c r="S529" s="13"/>
    </row>
    <row r="530" spans="1:21">
      <c r="A530" s="42" t="s">
        <v>77</v>
      </c>
      <c r="B530" s="3" t="s">
        <v>68</v>
      </c>
      <c r="C530" s="3">
        <v>448</v>
      </c>
      <c r="D530" s="1"/>
      <c r="E530" s="20" t="s">
        <v>17</v>
      </c>
      <c r="F530" s="7" t="s">
        <v>15</v>
      </c>
      <c r="G530" s="7" t="s">
        <v>21</v>
      </c>
      <c r="H530" s="11">
        <v>6.97</v>
      </c>
      <c r="I530" s="8">
        <v>8.1</v>
      </c>
      <c r="J530" s="26">
        <v>14</v>
      </c>
      <c r="K530" s="10">
        <f t="shared" si="56"/>
        <v>0.79039799999999993</v>
      </c>
      <c r="L530" s="4"/>
      <c r="M530" s="17">
        <f>14</f>
        <v>14</v>
      </c>
      <c r="N530" s="18">
        <f t="shared" si="57"/>
        <v>0.79039799999999993</v>
      </c>
      <c r="O530" s="19">
        <f t="shared" si="58"/>
        <v>0</v>
      </c>
      <c r="P530" s="13">
        <f t="shared" si="59"/>
        <v>0</v>
      </c>
      <c r="Q530" s="9"/>
      <c r="R530" s="2"/>
      <c r="S530" s="13"/>
    </row>
    <row r="531" spans="1:21">
      <c r="A531" s="42" t="s">
        <v>77</v>
      </c>
      <c r="B531" s="3" t="s">
        <v>68</v>
      </c>
      <c r="C531" s="3">
        <v>1</v>
      </c>
      <c r="D531" s="1"/>
      <c r="E531" s="20" t="s">
        <v>17</v>
      </c>
      <c r="F531" s="7" t="s">
        <v>15</v>
      </c>
      <c r="G531" s="7" t="s">
        <v>21</v>
      </c>
      <c r="H531" s="11">
        <v>6.97</v>
      </c>
      <c r="I531" s="8">
        <v>9.15</v>
      </c>
      <c r="J531" s="26">
        <v>2</v>
      </c>
      <c r="K531" s="10">
        <f t="shared" si="56"/>
        <v>0.127551</v>
      </c>
      <c r="L531" s="4"/>
      <c r="M531" s="17">
        <v>2</v>
      </c>
      <c r="N531" s="18">
        <f t="shared" si="57"/>
        <v>0.127551</v>
      </c>
      <c r="O531" s="19">
        <f t="shared" si="58"/>
        <v>0</v>
      </c>
      <c r="P531" s="13">
        <f t="shared" si="59"/>
        <v>0</v>
      </c>
      <c r="Q531" s="9"/>
      <c r="R531" s="2"/>
      <c r="S531" s="13"/>
    </row>
    <row r="532" spans="1:21">
      <c r="A532" s="42" t="s">
        <v>77</v>
      </c>
      <c r="B532" s="3" t="s">
        <v>68</v>
      </c>
      <c r="C532" s="3">
        <v>1</v>
      </c>
      <c r="D532" s="1"/>
      <c r="E532" s="20" t="s">
        <v>17</v>
      </c>
      <c r="F532" s="7" t="s">
        <v>15</v>
      </c>
      <c r="G532" s="7" t="s">
        <v>21</v>
      </c>
      <c r="H532" s="11">
        <v>6.97</v>
      </c>
      <c r="I532" s="8">
        <v>10</v>
      </c>
      <c r="J532" s="26">
        <v>12</v>
      </c>
      <c r="K532" s="10">
        <f t="shared" si="56"/>
        <v>0.83640000000000014</v>
      </c>
      <c r="L532" s="4"/>
      <c r="M532" s="17">
        <v>12</v>
      </c>
      <c r="N532" s="18">
        <f t="shared" si="57"/>
        <v>0.83640000000000003</v>
      </c>
      <c r="O532" s="19">
        <f t="shared" si="58"/>
        <v>0</v>
      </c>
      <c r="P532" s="13">
        <f t="shared" si="59"/>
        <v>0</v>
      </c>
      <c r="Q532" s="9"/>
      <c r="R532" s="2"/>
      <c r="S532" s="13"/>
    </row>
    <row r="533" spans="1:21">
      <c r="A533" s="42" t="s">
        <v>77</v>
      </c>
      <c r="B533" s="3" t="s">
        <v>68</v>
      </c>
      <c r="C533" s="3">
        <v>452</v>
      </c>
      <c r="D533" s="1"/>
      <c r="E533" s="20" t="s">
        <v>17</v>
      </c>
      <c r="F533" s="7" t="s">
        <v>15</v>
      </c>
      <c r="G533" s="7" t="s">
        <v>21</v>
      </c>
      <c r="H533" s="11">
        <v>6.97</v>
      </c>
      <c r="I533" s="8">
        <v>8.25</v>
      </c>
      <c r="J533" s="26">
        <v>34</v>
      </c>
      <c r="K533" s="10">
        <f t="shared" si="56"/>
        <v>1.955085</v>
      </c>
      <c r="L533" s="4"/>
      <c r="M533" s="17">
        <v>34</v>
      </c>
      <c r="N533" s="18">
        <f t="shared" si="57"/>
        <v>1.955085</v>
      </c>
      <c r="O533" s="19">
        <f t="shared" si="58"/>
        <v>0</v>
      </c>
      <c r="P533" s="13">
        <f t="shared" si="59"/>
        <v>0</v>
      </c>
      <c r="Q533" s="9"/>
      <c r="R533" s="2"/>
      <c r="S533" s="13"/>
    </row>
    <row r="534" spans="1:21">
      <c r="A534" s="42" t="s">
        <v>77</v>
      </c>
      <c r="B534" s="3" t="s">
        <v>68</v>
      </c>
      <c r="C534" s="3">
        <v>422</v>
      </c>
      <c r="D534" s="1"/>
      <c r="E534" s="20" t="s">
        <v>17</v>
      </c>
      <c r="F534" s="7" t="s">
        <v>15</v>
      </c>
      <c r="G534" s="7" t="s">
        <v>21</v>
      </c>
      <c r="H534" s="11">
        <v>6.97</v>
      </c>
      <c r="I534" s="8">
        <v>7.85</v>
      </c>
      <c r="J534" s="26">
        <v>1</v>
      </c>
      <c r="K534" s="10">
        <f t="shared" si="56"/>
        <v>5.4714499999999992E-2</v>
      </c>
      <c r="L534" s="4"/>
      <c r="M534" s="17">
        <v>1</v>
      </c>
      <c r="N534" s="18">
        <f t="shared" si="57"/>
        <v>5.4714499999999992E-2</v>
      </c>
      <c r="O534" s="19">
        <f t="shared" si="58"/>
        <v>0</v>
      </c>
      <c r="P534" s="13">
        <f t="shared" si="59"/>
        <v>0</v>
      </c>
      <c r="Q534" s="9"/>
      <c r="R534" s="2"/>
      <c r="S534" s="13"/>
      <c r="T534" s="354">
        <v>1</v>
      </c>
      <c r="U534" s="213" t="s">
        <v>717</v>
      </c>
    </row>
    <row r="535" spans="1:21">
      <c r="A535" s="42" t="s">
        <v>77</v>
      </c>
      <c r="B535" s="3" t="s">
        <v>68</v>
      </c>
      <c r="C535" s="3">
        <v>422</v>
      </c>
      <c r="D535" s="1"/>
      <c r="E535" s="20" t="s">
        <v>17</v>
      </c>
      <c r="F535" s="7" t="s">
        <v>15</v>
      </c>
      <c r="G535" s="7" t="s">
        <v>21</v>
      </c>
      <c r="H535" s="11">
        <v>6.97</v>
      </c>
      <c r="I535" s="8">
        <v>12</v>
      </c>
      <c r="J535" s="26">
        <v>3</v>
      </c>
      <c r="K535" s="10">
        <f t="shared" si="56"/>
        <v>0.25092000000000003</v>
      </c>
      <c r="L535" s="4"/>
      <c r="M535" s="17">
        <v>3</v>
      </c>
      <c r="N535" s="18">
        <f t="shared" si="57"/>
        <v>0.25091999999999998</v>
      </c>
      <c r="O535" s="19">
        <f t="shared" si="58"/>
        <v>0</v>
      </c>
      <c r="P535" s="13">
        <f t="shared" si="59"/>
        <v>0</v>
      </c>
      <c r="Q535" s="9"/>
      <c r="R535" s="2"/>
      <c r="S535" s="13"/>
    </row>
    <row r="536" spans="1:21">
      <c r="A536" s="42" t="s">
        <v>77</v>
      </c>
      <c r="B536" s="3" t="s">
        <v>68</v>
      </c>
      <c r="C536" s="3">
        <v>442</v>
      </c>
      <c r="D536" s="1"/>
      <c r="E536" s="20" t="s">
        <v>24</v>
      </c>
      <c r="F536" s="7" t="s">
        <v>14</v>
      </c>
      <c r="G536" s="7" t="s">
        <v>27</v>
      </c>
      <c r="H536" s="11">
        <v>6.17</v>
      </c>
      <c r="I536" s="8">
        <v>10</v>
      </c>
      <c r="J536" s="26">
        <v>19</v>
      </c>
      <c r="K536" s="10">
        <f t="shared" si="56"/>
        <v>1.1722999999999999</v>
      </c>
      <c r="L536" s="4"/>
      <c r="M536" s="17">
        <v>19</v>
      </c>
      <c r="N536" s="18">
        <f t="shared" si="57"/>
        <v>1.1722999999999999</v>
      </c>
      <c r="O536" s="19">
        <f t="shared" si="58"/>
        <v>0</v>
      </c>
      <c r="P536" s="13">
        <f t="shared" si="59"/>
        <v>0</v>
      </c>
      <c r="Q536" s="9"/>
      <c r="R536" s="2"/>
      <c r="S536" s="2"/>
    </row>
    <row r="537" spans="1:21">
      <c r="A537" s="42" t="s">
        <v>77</v>
      </c>
      <c r="B537" s="3" t="s">
        <v>68</v>
      </c>
      <c r="C537" s="3">
        <v>442</v>
      </c>
      <c r="D537" s="1"/>
      <c r="E537" s="20" t="s">
        <v>24</v>
      </c>
      <c r="F537" s="7" t="s">
        <v>14</v>
      </c>
      <c r="G537" s="7" t="s">
        <v>27</v>
      </c>
      <c r="H537" s="11">
        <v>6.17</v>
      </c>
      <c r="I537" s="8">
        <v>10.65</v>
      </c>
      <c r="J537" s="26">
        <v>8</v>
      </c>
      <c r="K537" s="10">
        <f t="shared" si="56"/>
        <v>0.52568399999999993</v>
      </c>
      <c r="L537" s="4"/>
      <c r="M537" s="17">
        <v>8</v>
      </c>
      <c r="N537" s="18">
        <f t="shared" si="57"/>
        <v>0.52568399999999993</v>
      </c>
      <c r="O537" s="19">
        <f t="shared" si="58"/>
        <v>0</v>
      </c>
      <c r="P537" s="13">
        <f t="shared" si="59"/>
        <v>0</v>
      </c>
      <c r="Q537" s="9"/>
      <c r="R537" s="2"/>
      <c r="S537" s="2"/>
    </row>
    <row r="538" spans="1:21">
      <c r="A538" s="48" t="s">
        <v>168</v>
      </c>
      <c r="B538" s="48" t="s">
        <v>169</v>
      </c>
      <c r="C538" s="32">
        <v>1</v>
      </c>
      <c r="D538" s="32"/>
      <c r="E538" s="48" t="s">
        <v>19</v>
      </c>
      <c r="F538" s="48" t="s">
        <v>14</v>
      </c>
      <c r="G538" s="48" t="s">
        <v>32</v>
      </c>
      <c r="H538" s="11">
        <v>8.3000000000000007</v>
      </c>
      <c r="I538" s="8">
        <v>12</v>
      </c>
      <c r="J538" s="7">
        <v>1</v>
      </c>
      <c r="K538" s="10">
        <f t="shared" ref="K538:K564" si="60">(H538*I538*J538/1000)</f>
        <v>9.9600000000000008E-2</v>
      </c>
      <c r="L538" s="32" t="s">
        <v>104</v>
      </c>
      <c r="M538" s="32">
        <v>1</v>
      </c>
      <c r="N538" s="18">
        <f t="shared" ref="N538:N564" si="61">I538*M538*H538/1000</f>
        <v>9.9600000000000008E-2</v>
      </c>
      <c r="O538" s="19">
        <f t="shared" ref="O538:O564" si="62">J538-M538</f>
        <v>0</v>
      </c>
      <c r="P538" s="13">
        <f t="shared" ref="P538:P564" si="63">I538*O538*H538/1000</f>
        <v>0</v>
      </c>
      <c r="Q538" s="9">
        <v>10.4</v>
      </c>
      <c r="R538" s="32">
        <v>1</v>
      </c>
      <c r="S538" s="2" t="s">
        <v>732</v>
      </c>
    </row>
    <row r="539" spans="1:21">
      <c r="A539" s="48" t="s">
        <v>168</v>
      </c>
      <c r="B539" s="48" t="s">
        <v>169</v>
      </c>
      <c r="C539" s="32">
        <v>2</v>
      </c>
      <c r="D539" s="32"/>
      <c r="E539" s="48" t="s">
        <v>20</v>
      </c>
      <c r="F539" s="48" t="s">
        <v>15</v>
      </c>
      <c r="G539" s="48" t="s">
        <v>32</v>
      </c>
      <c r="H539" s="11">
        <v>8.3000000000000007</v>
      </c>
      <c r="I539" s="52">
        <v>9</v>
      </c>
      <c r="J539" s="7">
        <v>1</v>
      </c>
      <c r="K539" s="10">
        <f t="shared" si="60"/>
        <v>7.4700000000000003E-2</v>
      </c>
      <c r="L539" s="32" t="s">
        <v>104</v>
      </c>
      <c r="M539" s="32">
        <v>1</v>
      </c>
      <c r="N539" s="18">
        <f t="shared" si="61"/>
        <v>7.4700000000000003E-2</v>
      </c>
      <c r="O539" s="19">
        <f t="shared" si="62"/>
        <v>0</v>
      </c>
      <c r="P539" s="13">
        <f t="shared" si="63"/>
        <v>0</v>
      </c>
      <c r="Q539" s="32">
        <v>7.1</v>
      </c>
      <c r="R539" s="32">
        <v>1</v>
      </c>
      <c r="S539" s="32"/>
    </row>
    <row r="540" spans="1:21">
      <c r="A540" s="48" t="s">
        <v>168</v>
      </c>
      <c r="B540" s="48" t="s">
        <v>169</v>
      </c>
      <c r="C540" s="32">
        <v>2</v>
      </c>
      <c r="D540" s="32"/>
      <c r="E540" s="48" t="s">
        <v>20</v>
      </c>
      <c r="F540" s="48" t="s">
        <v>15</v>
      </c>
      <c r="G540" s="48" t="s">
        <v>32</v>
      </c>
      <c r="H540" s="11">
        <v>8.3000000000000007</v>
      </c>
      <c r="I540" s="52">
        <v>12</v>
      </c>
      <c r="J540" s="7">
        <v>1</v>
      </c>
      <c r="K540" s="10">
        <f t="shared" si="60"/>
        <v>9.9600000000000008E-2</v>
      </c>
      <c r="L540" s="32" t="s">
        <v>104</v>
      </c>
      <c r="M540" s="32">
        <v>1</v>
      </c>
      <c r="N540" s="18">
        <f t="shared" si="61"/>
        <v>9.9600000000000008E-2</v>
      </c>
      <c r="O540" s="19">
        <f t="shared" si="62"/>
        <v>0</v>
      </c>
      <c r="P540" s="13">
        <f t="shared" si="63"/>
        <v>0</v>
      </c>
      <c r="Q540" s="32"/>
      <c r="R540" s="32"/>
      <c r="S540" s="2">
        <v>12</v>
      </c>
      <c r="T540">
        <v>1</v>
      </c>
      <c r="U540" t="s">
        <v>272</v>
      </c>
    </row>
    <row r="541" spans="1:21">
      <c r="A541" s="48" t="s">
        <v>168</v>
      </c>
      <c r="B541" s="48" t="s">
        <v>169</v>
      </c>
      <c r="C541" s="32">
        <v>3</v>
      </c>
      <c r="D541" s="32"/>
      <c r="E541" s="48" t="s">
        <v>20</v>
      </c>
      <c r="F541" s="48" t="s">
        <v>15</v>
      </c>
      <c r="G541" s="48" t="s">
        <v>29</v>
      </c>
      <c r="H541" s="11">
        <v>10.92</v>
      </c>
      <c r="I541" s="52">
        <v>12</v>
      </c>
      <c r="J541" s="7">
        <v>2</v>
      </c>
      <c r="K541" s="10">
        <f t="shared" si="60"/>
        <v>0.26207999999999998</v>
      </c>
      <c r="L541" s="32" t="s">
        <v>104</v>
      </c>
      <c r="M541" s="32"/>
      <c r="N541" s="18">
        <f t="shared" si="61"/>
        <v>0</v>
      </c>
      <c r="O541" s="19">
        <f t="shared" si="62"/>
        <v>2</v>
      </c>
      <c r="P541" s="13">
        <f t="shared" si="63"/>
        <v>0.26207999999999998</v>
      </c>
      <c r="Q541" s="32"/>
      <c r="R541" s="32"/>
      <c r="S541" s="32"/>
    </row>
    <row r="542" spans="1:21">
      <c r="A542" s="48" t="s">
        <v>168</v>
      </c>
      <c r="B542" s="48" t="s">
        <v>169</v>
      </c>
      <c r="C542" s="32">
        <v>4</v>
      </c>
      <c r="D542" s="32"/>
      <c r="E542" s="48" t="s">
        <v>20</v>
      </c>
      <c r="F542" s="48" t="s">
        <v>15</v>
      </c>
      <c r="G542" s="48" t="s">
        <v>44</v>
      </c>
      <c r="H542" s="11">
        <v>13.4</v>
      </c>
      <c r="I542" s="52">
        <v>11.75</v>
      </c>
      <c r="J542" s="7">
        <v>1</v>
      </c>
      <c r="K542" s="10">
        <f t="shared" si="60"/>
        <v>0.15745000000000001</v>
      </c>
      <c r="L542" s="32" t="s">
        <v>104</v>
      </c>
      <c r="M542" s="32"/>
      <c r="N542" s="18">
        <f t="shared" si="61"/>
        <v>0</v>
      </c>
      <c r="O542" s="19">
        <f t="shared" si="62"/>
        <v>1</v>
      </c>
      <c r="P542" s="13">
        <f t="shared" si="63"/>
        <v>0.15745000000000001</v>
      </c>
      <c r="Q542" s="32"/>
      <c r="R542" s="32"/>
      <c r="S542" s="32"/>
    </row>
    <row r="543" spans="1:21">
      <c r="A543" s="48" t="s">
        <v>168</v>
      </c>
      <c r="B543" s="48" t="s">
        <v>169</v>
      </c>
      <c r="C543" s="32">
        <v>5</v>
      </c>
      <c r="D543" s="32"/>
      <c r="E543" s="48" t="s">
        <v>20</v>
      </c>
      <c r="F543" s="48" t="s">
        <v>15</v>
      </c>
      <c r="G543" s="48" t="s">
        <v>18</v>
      </c>
      <c r="H543" s="11">
        <v>6.86</v>
      </c>
      <c r="I543" s="8">
        <v>8.75</v>
      </c>
      <c r="J543" s="7">
        <v>1</v>
      </c>
      <c r="K543" s="10">
        <f t="shared" si="60"/>
        <v>6.0025000000000009E-2</v>
      </c>
      <c r="L543" s="32" t="s">
        <v>104</v>
      </c>
      <c r="M543" s="32">
        <v>1</v>
      </c>
      <c r="N543" s="18">
        <f t="shared" si="61"/>
        <v>6.0025000000000009E-2</v>
      </c>
      <c r="O543" s="19">
        <f t="shared" si="62"/>
        <v>0</v>
      </c>
      <c r="P543" s="13">
        <f t="shared" si="63"/>
        <v>0</v>
      </c>
      <c r="Q543" s="32">
        <v>7.8</v>
      </c>
      <c r="R543" s="32">
        <v>1</v>
      </c>
      <c r="S543" s="32" t="s">
        <v>733</v>
      </c>
    </row>
    <row r="544" spans="1:21">
      <c r="A544" s="48" t="s">
        <v>168</v>
      </c>
      <c r="B544" s="48" t="s">
        <v>169</v>
      </c>
      <c r="C544" s="32">
        <v>6</v>
      </c>
      <c r="D544" s="32"/>
      <c r="E544" s="48" t="s">
        <v>19</v>
      </c>
      <c r="F544" s="48" t="s">
        <v>14</v>
      </c>
      <c r="G544" s="48" t="s">
        <v>39</v>
      </c>
      <c r="H544" s="11">
        <v>14.66</v>
      </c>
      <c r="I544" s="8">
        <v>8.6999999999999993</v>
      </c>
      <c r="J544" s="7">
        <v>1</v>
      </c>
      <c r="K544" s="10">
        <f t="shared" si="60"/>
        <v>0.12754199999999999</v>
      </c>
      <c r="L544" s="32" t="s">
        <v>104</v>
      </c>
      <c r="M544" s="32">
        <v>1</v>
      </c>
      <c r="N544" s="18">
        <f t="shared" si="61"/>
        <v>0.12754199999999999</v>
      </c>
      <c r="O544" s="19">
        <f t="shared" si="62"/>
        <v>0</v>
      </c>
      <c r="P544" s="13">
        <f t="shared" si="63"/>
        <v>0</v>
      </c>
      <c r="Q544" s="32"/>
      <c r="R544" s="32">
        <v>1</v>
      </c>
      <c r="S544" s="32" t="s">
        <v>631</v>
      </c>
    </row>
    <row r="545" spans="1:22">
      <c r="A545" s="48" t="s">
        <v>168</v>
      </c>
      <c r="B545" s="48" t="s">
        <v>169</v>
      </c>
      <c r="C545" s="32">
        <v>7</v>
      </c>
      <c r="D545" s="32"/>
      <c r="E545" s="48" t="s">
        <v>20</v>
      </c>
      <c r="F545" s="48" t="s">
        <v>15</v>
      </c>
      <c r="G545" s="48" t="s">
        <v>43</v>
      </c>
      <c r="H545" s="11">
        <v>15.04</v>
      </c>
      <c r="I545" s="52">
        <v>10.4</v>
      </c>
      <c r="J545" s="7">
        <v>2</v>
      </c>
      <c r="K545" s="10">
        <f t="shared" si="60"/>
        <v>0.312832</v>
      </c>
      <c r="L545" s="32" t="s">
        <v>104</v>
      </c>
      <c r="M545" s="32">
        <v>2</v>
      </c>
      <c r="N545" s="18">
        <f t="shared" si="61"/>
        <v>0.312832</v>
      </c>
      <c r="O545" s="19">
        <f t="shared" si="62"/>
        <v>0</v>
      </c>
      <c r="P545" s="13">
        <f t="shared" si="63"/>
        <v>0</v>
      </c>
      <c r="Q545" s="32"/>
      <c r="R545" s="32">
        <v>2</v>
      </c>
      <c r="S545" s="32" t="s">
        <v>734</v>
      </c>
    </row>
    <row r="546" spans="1:22">
      <c r="A546" s="48" t="s">
        <v>168</v>
      </c>
      <c r="B546" s="48" t="s">
        <v>169</v>
      </c>
      <c r="C546" s="32">
        <v>7</v>
      </c>
      <c r="D546" s="32"/>
      <c r="E546" s="48" t="s">
        <v>20</v>
      </c>
      <c r="F546" s="48" t="s">
        <v>15</v>
      </c>
      <c r="G546" s="48" t="s">
        <v>43</v>
      </c>
      <c r="H546" s="11">
        <v>15.04</v>
      </c>
      <c r="I546" s="52">
        <v>8.3000000000000007</v>
      </c>
      <c r="J546" s="7">
        <v>1</v>
      </c>
      <c r="K546" s="10">
        <f t="shared" si="60"/>
        <v>0.12483200000000001</v>
      </c>
      <c r="L546" s="32" t="s">
        <v>104</v>
      </c>
      <c r="M546" s="32">
        <v>1</v>
      </c>
      <c r="N546" s="18">
        <f t="shared" si="61"/>
        <v>0.12483200000000001</v>
      </c>
      <c r="O546" s="19">
        <f t="shared" si="62"/>
        <v>0</v>
      </c>
      <c r="P546" s="13">
        <f t="shared" si="63"/>
        <v>0</v>
      </c>
      <c r="Q546" s="32"/>
      <c r="R546" s="32">
        <v>1</v>
      </c>
      <c r="S546" s="32" t="s">
        <v>734</v>
      </c>
    </row>
    <row r="547" spans="1:22">
      <c r="A547" s="48" t="s">
        <v>168</v>
      </c>
      <c r="B547" s="48" t="s">
        <v>169</v>
      </c>
      <c r="C547" s="32">
        <v>8</v>
      </c>
      <c r="D547" s="32"/>
      <c r="E547" s="48" t="s">
        <v>19</v>
      </c>
      <c r="F547" s="48" t="s">
        <v>14</v>
      </c>
      <c r="G547" s="48" t="s">
        <v>34</v>
      </c>
      <c r="H547" s="11">
        <v>9.61</v>
      </c>
      <c r="I547" s="52">
        <v>9</v>
      </c>
      <c r="J547" s="7">
        <v>1</v>
      </c>
      <c r="K547" s="10">
        <f t="shared" si="60"/>
        <v>8.6489999999999997E-2</v>
      </c>
      <c r="L547" s="32" t="s">
        <v>104</v>
      </c>
      <c r="M547" s="32">
        <v>1</v>
      </c>
      <c r="N547" s="18">
        <f t="shared" si="61"/>
        <v>8.6489999999999997E-2</v>
      </c>
      <c r="O547" s="19">
        <f t="shared" si="62"/>
        <v>0</v>
      </c>
      <c r="P547" s="13">
        <f t="shared" si="63"/>
        <v>0</v>
      </c>
      <c r="Q547" s="32"/>
      <c r="R547" s="32"/>
      <c r="S547" s="32"/>
      <c r="T547" s="213">
        <v>6.55</v>
      </c>
      <c r="U547" s="457">
        <v>1</v>
      </c>
      <c r="V547" s="213" t="s">
        <v>733</v>
      </c>
    </row>
    <row r="548" spans="1:22">
      <c r="A548" s="48" t="s">
        <v>168</v>
      </c>
      <c r="B548" s="48" t="s">
        <v>169</v>
      </c>
      <c r="C548" s="32">
        <v>9</v>
      </c>
      <c r="D548" s="32"/>
      <c r="E548" s="48" t="s">
        <v>20</v>
      </c>
      <c r="F548" s="48" t="s">
        <v>15</v>
      </c>
      <c r="G548" s="48" t="s">
        <v>170</v>
      </c>
      <c r="H548" s="49">
        <v>7.39</v>
      </c>
      <c r="I548" s="52">
        <v>12</v>
      </c>
      <c r="J548" s="7">
        <v>2</v>
      </c>
      <c r="K548" s="10">
        <f t="shared" si="60"/>
        <v>0.17735999999999999</v>
      </c>
      <c r="L548" s="32" t="s">
        <v>104</v>
      </c>
      <c r="M548" s="32"/>
      <c r="N548" s="18">
        <f t="shared" si="61"/>
        <v>0</v>
      </c>
      <c r="O548" s="19">
        <f t="shared" si="62"/>
        <v>2</v>
      </c>
      <c r="P548" s="13">
        <f t="shared" si="63"/>
        <v>0.17735999999999999</v>
      </c>
      <c r="Q548" s="32"/>
      <c r="R548" s="32"/>
      <c r="S548" s="32"/>
    </row>
    <row r="549" spans="1:22">
      <c r="A549" s="48" t="s">
        <v>168</v>
      </c>
      <c r="B549" s="48" t="s">
        <v>169</v>
      </c>
      <c r="C549" s="32">
        <v>9</v>
      </c>
      <c r="D549" s="32"/>
      <c r="E549" s="48" t="s">
        <v>20</v>
      </c>
      <c r="F549" s="48" t="s">
        <v>15</v>
      </c>
      <c r="G549" s="48" t="s">
        <v>170</v>
      </c>
      <c r="H549" s="49">
        <v>7.39</v>
      </c>
      <c r="I549" s="52">
        <v>8</v>
      </c>
      <c r="J549" s="7">
        <v>1</v>
      </c>
      <c r="K549" s="10">
        <f t="shared" si="60"/>
        <v>5.9119999999999999E-2</v>
      </c>
      <c r="L549" s="32" t="s">
        <v>104</v>
      </c>
      <c r="M549" s="32"/>
      <c r="N549" s="18">
        <f t="shared" si="61"/>
        <v>0</v>
      </c>
      <c r="O549" s="19">
        <f t="shared" si="62"/>
        <v>1</v>
      </c>
      <c r="P549" s="13">
        <f t="shared" si="63"/>
        <v>5.9119999999999999E-2</v>
      </c>
      <c r="Q549" s="32"/>
      <c r="R549" s="32"/>
      <c r="S549" s="32"/>
    </row>
    <row r="550" spans="1:22">
      <c r="A550" s="48" t="s">
        <v>168</v>
      </c>
      <c r="B550" s="48" t="s">
        <v>169</v>
      </c>
      <c r="C550" s="32">
        <v>10</v>
      </c>
      <c r="D550" s="32"/>
      <c r="E550" s="48" t="s">
        <v>19</v>
      </c>
      <c r="F550" s="48" t="s">
        <v>14</v>
      </c>
      <c r="G550" s="48" t="s">
        <v>149</v>
      </c>
      <c r="H550" s="49">
        <v>6.39</v>
      </c>
      <c r="I550" s="8">
        <v>12</v>
      </c>
      <c r="J550" s="7">
        <v>1</v>
      </c>
      <c r="K550" s="10">
        <f t="shared" si="60"/>
        <v>7.6679999999999998E-2</v>
      </c>
      <c r="L550" s="32" t="s">
        <v>104</v>
      </c>
      <c r="M550" s="32">
        <v>1</v>
      </c>
      <c r="N550" s="18">
        <f t="shared" si="61"/>
        <v>7.6679999999999998E-2</v>
      </c>
      <c r="O550" s="19">
        <f t="shared" si="62"/>
        <v>0</v>
      </c>
      <c r="P550" s="13">
        <f t="shared" si="63"/>
        <v>0</v>
      </c>
      <c r="Q550" s="33">
        <v>9</v>
      </c>
      <c r="R550" s="32">
        <v>1</v>
      </c>
      <c r="S550" s="32"/>
    </row>
    <row r="551" spans="1:22">
      <c r="A551" s="48" t="s">
        <v>168</v>
      </c>
      <c r="B551" s="48" t="s">
        <v>169</v>
      </c>
      <c r="C551" s="32">
        <v>11</v>
      </c>
      <c r="D551" s="32"/>
      <c r="E551" s="48" t="s">
        <v>20</v>
      </c>
      <c r="F551" s="48" t="s">
        <v>15</v>
      </c>
      <c r="G551" s="48" t="s">
        <v>16</v>
      </c>
      <c r="H551" s="11">
        <v>5.77</v>
      </c>
      <c r="I551" s="52">
        <v>6.3</v>
      </c>
      <c r="J551" s="7">
        <v>1</v>
      </c>
      <c r="K551" s="10">
        <f t="shared" si="60"/>
        <v>3.6351000000000001E-2</v>
      </c>
      <c r="L551" s="32" t="s">
        <v>104</v>
      </c>
      <c r="M551" s="32"/>
      <c r="N551" s="18">
        <f t="shared" si="61"/>
        <v>0</v>
      </c>
      <c r="O551" s="19">
        <f t="shared" si="62"/>
        <v>1</v>
      </c>
      <c r="P551" s="13">
        <f t="shared" si="63"/>
        <v>3.6351000000000001E-2</v>
      </c>
      <c r="Q551" s="32"/>
      <c r="R551" s="32"/>
      <c r="S551" s="32"/>
    </row>
    <row r="552" spans="1:22">
      <c r="A552" s="48" t="s">
        <v>168</v>
      </c>
      <c r="B552" s="48" t="s">
        <v>169</v>
      </c>
      <c r="C552" s="32">
        <v>12</v>
      </c>
      <c r="D552" s="32"/>
      <c r="E552" s="48" t="s">
        <v>20</v>
      </c>
      <c r="F552" s="48" t="s">
        <v>15</v>
      </c>
      <c r="G552" s="48" t="s">
        <v>32</v>
      </c>
      <c r="H552" s="11">
        <v>8.3000000000000007</v>
      </c>
      <c r="I552" s="52">
        <v>11</v>
      </c>
      <c r="J552" s="7">
        <v>1</v>
      </c>
      <c r="K552" s="10">
        <f t="shared" si="60"/>
        <v>9.1300000000000006E-2</v>
      </c>
      <c r="L552" s="32" t="s">
        <v>104</v>
      </c>
      <c r="M552" s="32">
        <v>1</v>
      </c>
      <c r="N552" s="18">
        <f t="shared" si="61"/>
        <v>9.1300000000000006E-2</v>
      </c>
      <c r="O552" s="19">
        <f t="shared" si="62"/>
        <v>0</v>
      </c>
      <c r="P552" s="13">
        <f t="shared" si="63"/>
        <v>0</v>
      </c>
      <c r="Q552" s="32"/>
      <c r="R552" s="32"/>
      <c r="S552" s="32"/>
    </row>
    <row r="553" spans="1:22">
      <c r="A553" s="48" t="s">
        <v>168</v>
      </c>
      <c r="B553" s="48" t="s">
        <v>169</v>
      </c>
      <c r="C553" s="32">
        <v>12</v>
      </c>
      <c r="D553" s="32"/>
      <c r="E553" s="48" t="s">
        <v>20</v>
      </c>
      <c r="F553" s="48" t="s">
        <v>15</v>
      </c>
      <c r="G553" s="48" t="s">
        <v>32</v>
      </c>
      <c r="H553" s="11">
        <v>8.3000000000000007</v>
      </c>
      <c r="I553" s="52">
        <v>6.75</v>
      </c>
      <c r="J553" s="7">
        <v>1</v>
      </c>
      <c r="K553" s="10">
        <f t="shared" si="60"/>
        <v>5.6025000000000005E-2</v>
      </c>
      <c r="L553" s="32" t="s">
        <v>104</v>
      </c>
      <c r="M553" s="32">
        <v>1</v>
      </c>
      <c r="N553" s="18">
        <f t="shared" si="61"/>
        <v>5.6025000000000005E-2</v>
      </c>
      <c r="O553" s="19">
        <f t="shared" si="62"/>
        <v>0</v>
      </c>
      <c r="P553" s="13">
        <f t="shared" si="63"/>
        <v>0</v>
      </c>
      <c r="Q553" s="32"/>
      <c r="R553" s="32"/>
      <c r="S553" s="32"/>
    </row>
    <row r="554" spans="1:22">
      <c r="A554" s="48" t="s">
        <v>168</v>
      </c>
      <c r="B554" s="48" t="s">
        <v>169</v>
      </c>
      <c r="C554" s="32">
        <v>12</v>
      </c>
      <c r="D554" s="32"/>
      <c r="E554" s="48" t="s">
        <v>20</v>
      </c>
      <c r="F554" s="48" t="s">
        <v>15</v>
      </c>
      <c r="G554" s="48" t="s">
        <v>32</v>
      </c>
      <c r="H554" s="11">
        <v>8.3000000000000007</v>
      </c>
      <c r="I554" s="52">
        <v>7.5</v>
      </c>
      <c r="J554" s="7">
        <v>1</v>
      </c>
      <c r="K554" s="10">
        <f t="shared" si="60"/>
        <v>6.2250000000000007E-2</v>
      </c>
      <c r="L554" s="32" t="s">
        <v>104</v>
      </c>
      <c r="M554" s="32">
        <v>1</v>
      </c>
      <c r="N554" s="18">
        <f t="shared" si="61"/>
        <v>6.2250000000000007E-2</v>
      </c>
      <c r="O554" s="19">
        <f t="shared" si="62"/>
        <v>0</v>
      </c>
      <c r="P554" s="13">
        <f t="shared" si="63"/>
        <v>0</v>
      </c>
      <c r="Q554" s="32">
        <v>6.75</v>
      </c>
      <c r="R554" s="32">
        <v>1</v>
      </c>
      <c r="S554" s="32"/>
    </row>
    <row r="555" spans="1:22">
      <c r="A555" s="48" t="s">
        <v>168</v>
      </c>
      <c r="B555" s="48" t="s">
        <v>169</v>
      </c>
      <c r="C555" s="32">
        <v>12</v>
      </c>
      <c r="D555" s="32"/>
      <c r="E555" s="48" t="s">
        <v>20</v>
      </c>
      <c r="F555" s="48" t="s">
        <v>15</v>
      </c>
      <c r="G555" s="48" t="s">
        <v>32</v>
      </c>
      <c r="H555" s="11">
        <v>8.3000000000000007</v>
      </c>
      <c r="I555" s="52">
        <v>9.1</v>
      </c>
      <c r="J555" s="7">
        <v>1</v>
      </c>
      <c r="K555" s="10">
        <f t="shared" si="60"/>
        <v>7.553E-2</v>
      </c>
      <c r="L555" s="32" t="s">
        <v>104</v>
      </c>
      <c r="M555" s="32">
        <v>1</v>
      </c>
      <c r="N555" s="18">
        <f t="shared" si="61"/>
        <v>7.553E-2</v>
      </c>
      <c r="O555" s="19">
        <f t="shared" si="62"/>
        <v>0</v>
      </c>
      <c r="P555" s="13">
        <f t="shared" si="63"/>
        <v>0</v>
      </c>
      <c r="Q555" s="32">
        <v>7.1</v>
      </c>
      <c r="R555" s="32">
        <v>1</v>
      </c>
      <c r="S555" s="32"/>
    </row>
    <row r="556" spans="1:22">
      <c r="A556" s="48" t="s">
        <v>168</v>
      </c>
      <c r="B556" s="48" t="s">
        <v>169</v>
      </c>
      <c r="C556" s="32">
        <v>12</v>
      </c>
      <c r="D556" s="32"/>
      <c r="E556" s="48" t="s">
        <v>20</v>
      </c>
      <c r="F556" s="48" t="s">
        <v>15</v>
      </c>
      <c r="G556" s="48" t="s">
        <v>32</v>
      </c>
      <c r="H556" s="11">
        <v>8.3000000000000007</v>
      </c>
      <c r="I556" s="52">
        <v>9.9</v>
      </c>
      <c r="J556" s="7">
        <v>1</v>
      </c>
      <c r="K556" s="10">
        <f t="shared" si="60"/>
        <v>8.2170000000000021E-2</v>
      </c>
      <c r="L556" s="32" t="s">
        <v>104</v>
      </c>
      <c r="M556" s="32">
        <v>1</v>
      </c>
      <c r="N556" s="18">
        <f t="shared" si="61"/>
        <v>8.2170000000000021E-2</v>
      </c>
      <c r="O556" s="19">
        <f t="shared" si="62"/>
        <v>0</v>
      </c>
      <c r="P556" s="13">
        <f t="shared" si="63"/>
        <v>0</v>
      </c>
      <c r="Q556" s="32">
        <v>7.1</v>
      </c>
      <c r="R556" s="32">
        <v>1</v>
      </c>
      <c r="S556" s="32"/>
    </row>
    <row r="557" spans="1:22">
      <c r="A557" s="48" t="s">
        <v>168</v>
      </c>
      <c r="B557" s="48" t="s">
        <v>169</v>
      </c>
      <c r="C557" s="32">
        <v>12</v>
      </c>
      <c r="D557" s="32"/>
      <c r="E557" s="48" t="s">
        <v>20</v>
      </c>
      <c r="F557" s="48" t="s">
        <v>15</v>
      </c>
      <c r="G557" s="48" t="s">
        <v>32</v>
      </c>
      <c r="H557" s="11">
        <v>8.3000000000000007</v>
      </c>
      <c r="I557" s="52">
        <v>10</v>
      </c>
      <c r="J557" s="7">
        <v>2</v>
      </c>
      <c r="K557" s="10">
        <f t="shared" si="60"/>
        <v>0.16600000000000001</v>
      </c>
      <c r="L557" s="32" t="s">
        <v>104</v>
      </c>
      <c r="M557" s="32">
        <v>2</v>
      </c>
      <c r="N557" s="18">
        <f t="shared" si="61"/>
        <v>0.16600000000000001</v>
      </c>
      <c r="O557" s="19">
        <f t="shared" si="62"/>
        <v>0</v>
      </c>
      <c r="P557" s="13">
        <f t="shared" si="63"/>
        <v>0</v>
      </c>
      <c r="Q557" s="33">
        <v>10</v>
      </c>
      <c r="R557" s="32">
        <v>2</v>
      </c>
      <c r="S557" s="32" t="s">
        <v>725</v>
      </c>
    </row>
    <row r="558" spans="1:22">
      <c r="A558" s="48" t="s">
        <v>168</v>
      </c>
      <c r="B558" s="48" t="s">
        <v>169</v>
      </c>
      <c r="C558" s="32">
        <v>12</v>
      </c>
      <c r="D558" s="32"/>
      <c r="E558" s="48" t="s">
        <v>20</v>
      </c>
      <c r="F558" s="48" t="s">
        <v>15</v>
      </c>
      <c r="G558" s="48" t="s">
        <v>32</v>
      </c>
      <c r="H558" s="11">
        <v>8.3000000000000007</v>
      </c>
      <c r="I558" s="52">
        <v>10.1</v>
      </c>
      <c r="J558" s="7">
        <v>1</v>
      </c>
      <c r="K558" s="10">
        <f t="shared" si="60"/>
        <v>8.3830000000000002E-2</v>
      </c>
      <c r="L558" s="32" t="s">
        <v>104</v>
      </c>
      <c r="M558" s="32">
        <v>1</v>
      </c>
      <c r="N558" s="18">
        <f t="shared" si="61"/>
        <v>8.3830000000000002E-2</v>
      </c>
      <c r="O558" s="19">
        <f t="shared" si="62"/>
        <v>0</v>
      </c>
      <c r="P558" s="13">
        <f t="shared" si="63"/>
        <v>0</v>
      </c>
      <c r="Q558" s="33">
        <v>10</v>
      </c>
      <c r="R558" s="32">
        <v>1</v>
      </c>
      <c r="S558" s="32" t="s">
        <v>725</v>
      </c>
    </row>
    <row r="559" spans="1:22">
      <c r="A559" s="48" t="s">
        <v>168</v>
      </c>
      <c r="B559" s="48" t="s">
        <v>169</v>
      </c>
      <c r="C559" s="32">
        <v>13</v>
      </c>
      <c r="D559" s="32"/>
      <c r="E559" s="48" t="s">
        <v>20</v>
      </c>
      <c r="F559" s="48" t="s">
        <v>15</v>
      </c>
      <c r="G559" s="48" t="s">
        <v>149</v>
      </c>
      <c r="H559" s="49">
        <v>6.39</v>
      </c>
      <c r="I559" s="52">
        <v>6.5</v>
      </c>
      <c r="J559" s="7">
        <v>1</v>
      </c>
      <c r="K559" s="10">
        <f t="shared" si="60"/>
        <v>4.1534999999999996E-2</v>
      </c>
      <c r="L559" s="32" t="s">
        <v>104</v>
      </c>
      <c r="M559" s="32"/>
      <c r="N559" s="18">
        <f t="shared" si="61"/>
        <v>0</v>
      </c>
      <c r="O559" s="19">
        <f t="shared" si="62"/>
        <v>1</v>
      </c>
      <c r="P559" s="13">
        <f t="shared" si="63"/>
        <v>4.1534999999999996E-2</v>
      </c>
      <c r="Q559" s="32"/>
      <c r="R559" s="32"/>
      <c r="S559" s="32"/>
    </row>
    <row r="560" spans="1:22">
      <c r="A560" s="48" t="s">
        <v>168</v>
      </c>
      <c r="B560" s="48" t="s">
        <v>169</v>
      </c>
      <c r="C560" s="32">
        <v>14</v>
      </c>
      <c r="D560" s="32"/>
      <c r="E560" s="48" t="s">
        <v>20</v>
      </c>
      <c r="F560" s="48" t="s">
        <v>15</v>
      </c>
      <c r="G560" s="48" t="s">
        <v>39</v>
      </c>
      <c r="H560" s="11">
        <v>14.66</v>
      </c>
      <c r="I560" s="52">
        <v>7.9</v>
      </c>
      <c r="J560" s="7">
        <v>1</v>
      </c>
      <c r="K560" s="10">
        <f t="shared" si="60"/>
        <v>0.115814</v>
      </c>
      <c r="L560" s="32" t="s">
        <v>104</v>
      </c>
      <c r="M560" s="32">
        <v>1</v>
      </c>
      <c r="N560" s="18">
        <f t="shared" si="61"/>
        <v>0.115814</v>
      </c>
      <c r="O560" s="19">
        <f t="shared" si="62"/>
        <v>0</v>
      </c>
      <c r="P560" s="13">
        <f t="shared" si="63"/>
        <v>0</v>
      </c>
      <c r="Q560" s="9">
        <v>6.5</v>
      </c>
      <c r="R560" s="45">
        <v>1</v>
      </c>
      <c r="S560" s="2" t="s">
        <v>444</v>
      </c>
    </row>
    <row r="561" spans="1:19">
      <c r="A561" s="48" t="s">
        <v>168</v>
      </c>
      <c r="B561" s="48" t="s">
        <v>169</v>
      </c>
      <c r="C561" s="32">
        <v>14</v>
      </c>
      <c r="D561" s="32"/>
      <c r="E561" s="48" t="s">
        <v>20</v>
      </c>
      <c r="F561" s="48" t="s">
        <v>15</v>
      </c>
      <c r="G561" s="48" t="s">
        <v>39</v>
      </c>
      <c r="H561" s="11">
        <v>14.66</v>
      </c>
      <c r="I561" s="52">
        <v>8.5</v>
      </c>
      <c r="J561" s="7">
        <v>1</v>
      </c>
      <c r="K561" s="10">
        <f t="shared" si="60"/>
        <v>0.12461</v>
      </c>
      <c r="L561" s="32" t="s">
        <v>104</v>
      </c>
      <c r="M561" s="32">
        <v>1</v>
      </c>
      <c r="N561" s="18">
        <f t="shared" si="61"/>
        <v>0.12461</v>
      </c>
      <c r="O561" s="19">
        <f t="shared" si="62"/>
        <v>0</v>
      </c>
      <c r="P561" s="13">
        <f t="shared" si="63"/>
        <v>0</v>
      </c>
      <c r="Q561" s="9">
        <v>6.5</v>
      </c>
      <c r="R561" s="45">
        <v>1</v>
      </c>
      <c r="S561" s="2" t="s">
        <v>444</v>
      </c>
    </row>
    <row r="562" spans="1:19">
      <c r="A562" s="48" t="s">
        <v>168</v>
      </c>
      <c r="B562" s="48" t="s">
        <v>169</v>
      </c>
      <c r="C562" s="32">
        <v>14</v>
      </c>
      <c r="D562" s="32"/>
      <c r="E562" s="48" t="s">
        <v>20</v>
      </c>
      <c r="F562" s="48" t="s">
        <v>15</v>
      </c>
      <c r="G562" s="48" t="s">
        <v>39</v>
      </c>
      <c r="H562" s="11">
        <v>14.66</v>
      </c>
      <c r="I562" s="52">
        <v>7.5</v>
      </c>
      <c r="J562" s="7">
        <v>1</v>
      </c>
      <c r="K562" s="10">
        <f t="shared" si="60"/>
        <v>0.10995000000000001</v>
      </c>
      <c r="L562" s="32" t="s">
        <v>104</v>
      </c>
      <c r="M562" s="32">
        <v>1</v>
      </c>
      <c r="N562" s="18">
        <f t="shared" si="61"/>
        <v>0.10995000000000001</v>
      </c>
      <c r="O562" s="19">
        <f t="shared" si="62"/>
        <v>0</v>
      </c>
      <c r="P562" s="13">
        <f t="shared" si="63"/>
        <v>0</v>
      </c>
      <c r="Q562" s="9">
        <v>6.5</v>
      </c>
      <c r="R562" s="45">
        <v>1</v>
      </c>
      <c r="S562" s="2" t="s">
        <v>444</v>
      </c>
    </row>
    <row r="563" spans="1:19">
      <c r="A563" s="48" t="s">
        <v>168</v>
      </c>
      <c r="B563" s="48" t="s">
        <v>169</v>
      </c>
      <c r="C563" s="32">
        <v>15</v>
      </c>
      <c r="D563" s="32"/>
      <c r="E563" s="48" t="s">
        <v>19</v>
      </c>
      <c r="F563" s="48" t="s">
        <v>14</v>
      </c>
      <c r="G563" s="48" t="s">
        <v>18</v>
      </c>
      <c r="H563" s="11">
        <v>6.86</v>
      </c>
      <c r="I563" s="52">
        <v>6.6</v>
      </c>
      <c r="J563" s="7">
        <v>1</v>
      </c>
      <c r="K563" s="10">
        <f t="shared" si="60"/>
        <v>4.5275999999999997E-2</v>
      </c>
      <c r="L563" s="32" t="s">
        <v>104</v>
      </c>
      <c r="M563" s="32"/>
      <c r="N563" s="18">
        <f t="shared" si="61"/>
        <v>0</v>
      </c>
      <c r="O563" s="19">
        <f t="shared" si="62"/>
        <v>1</v>
      </c>
      <c r="P563" s="13">
        <f t="shared" si="63"/>
        <v>4.5275999999999997E-2</v>
      </c>
      <c r="Q563" s="111"/>
      <c r="R563" s="32"/>
      <c r="S563" s="32"/>
    </row>
    <row r="564" spans="1:19">
      <c r="A564" s="48" t="s">
        <v>168</v>
      </c>
      <c r="B564" s="48" t="s">
        <v>169</v>
      </c>
      <c r="C564" s="32">
        <v>16</v>
      </c>
      <c r="D564" s="32"/>
      <c r="E564" s="48" t="s">
        <v>19</v>
      </c>
      <c r="F564" s="48" t="s">
        <v>14</v>
      </c>
      <c r="G564" s="48" t="s">
        <v>30</v>
      </c>
      <c r="H564" s="11">
        <v>9.26</v>
      </c>
      <c r="I564" s="8">
        <v>13.2</v>
      </c>
      <c r="J564" s="7">
        <v>1</v>
      </c>
      <c r="K564" s="10">
        <f t="shared" si="60"/>
        <v>0.12223199999999998</v>
      </c>
      <c r="L564" s="32" t="s">
        <v>104</v>
      </c>
      <c r="M564" s="32"/>
      <c r="N564" s="18">
        <f t="shared" si="61"/>
        <v>0</v>
      </c>
      <c r="O564" s="19">
        <f t="shared" si="62"/>
        <v>1</v>
      </c>
      <c r="P564" s="13">
        <f t="shared" si="63"/>
        <v>0.12223199999999998</v>
      </c>
      <c r="Q564" s="32"/>
      <c r="R564" s="32"/>
      <c r="S564" s="32"/>
    </row>
    <row r="565" spans="1:19">
      <c r="A565" s="48" t="s">
        <v>179</v>
      </c>
      <c r="B565" s="48" t="s">
        <v>180</v>
      </c>
      <c r="C565" s="32"/>
      <c r="D565" s="32"/>
      <c r="E565" s="48" t="s">
        <v>63</v>
      </c>
      <c r="F565" s="48" t="s">
        <v>15</v>
      </c>
      <c r="G565" s="48" t="s">
        <v>60</v>
      </c>
      <c r="H565" s="11">
        <v>22.93</v>
      </c>
      <c r="I565" s="8">
        <v>9.5</v>
      </c>
      <c r="J565" s="7">
        <v>1</v>
      </c>
      <c r="K565" s="10">
        <f t="shared" ref="K565:K577" si="64">(H565*I565*J565/1000)</f>
        <v>0.217835</v>
      </c>
      <c r="L565" s="32"/>
      <c r="M565" s="32">
        <v>1</v>
      </c>
      <c r="N565" s="18">
        <f t="shared" ref="N565:N577" si="65">I565*M565*H565/1000</f>
        <v>0.217835</v>
      </c>
      <c r="O565" s="19">
        <f t="shared" ref="O565:O577" si="66">J565-M565</f>
        <v>0</v>
      </c>
      <c r="P565" s="13">
        <f t="shared" ref="P565:P577" si="67">I565*O565*H565/1000</f>
        <v>0</v>
      </c>
      <c r="Q565" s="159">
        <v>8.4</v>
      </c>
      <c r="R565" s="111">
        <v>1</v>
      </c>
      <c r="S565" s="2" t="s">
        <v>779</v>
      </c>
    </row>
    <row r="566" spans="1:19">
      <c r="A566" s="48" t="s">
        <v>179</v>
      </c>
      <c r="B566" s="48" t="s">
        <v>180</v>
      </c>
      <c r="C566" s="32"/>
      <c r="D566" s="32"/>
      <c r="E566" s="48" t="s">
        <v>63</v>
      </c>
      <c r="F566" s="48" t="s">
        <v>15</v>
      </c>
      <c r="G566" s="48" t="s">
        <v>60</v>
      </c>
      <c r="H566" s="11">
        <v>22.93</v>
      </c>
      <c r="I566" s="8">
        <v>7.3</v>
      </c>
      <c r="J566" s="7">
        <v>1</v>
      </c>
      <c r="K566" s="10">
        <f t="shared" si="64"/>
        <v>0.16738899999999998</v>
      </c>
      <c r="L566" s="32"/>
      <c r="M566" s="32"/>
      <c r="N566" s="18">
        <f t="shared" si="65"/>
        <v>0</v>
      </c>
      <c r="O566" s="19">
        <f t="shared" si="66"/>
        <v>1</v>
      </c>
      <c r="P566" s="13">
        <f t="shared" si="67"/>
        <v>0.16738899999999998</v>
      </c>
      <c r="Q566" s="159"/>
      <c r="R566" s="111"/>
      <c r="S566" s="2"/>
    </row>
    <row r="567" spans="1:19">
      <c r="A567" s="48" t="s">
        <v>179</v>
      </c>
      <c r="B567" s="48" t="s">
        <v>180</v>
      </c>
      <c r="C567" s="32"/>
      <c r="D567" s="32"/>
      <c r="E567" s="48" t="s">
        <v>152</v>
      </c>
      <c r="F567" s="48" t="s">
        <v>15</v>
      </c>
      <c r="G567" s="48" t="s">
        <v>60</v>
      </c>
      <c r="H567" s="11">
        <v>22.93</v>
      </c>
      <c r="I567" s="8">
        <v>4.9000000000000004</v>
      </c>
      <c r="J567" s="7">
        <v>1</v>
      </c>
      <c r="K567" s="10">
        <f t="shared" si="64"/>
        <v>0.11235700000000001</v>
      </c>
      <c r="L567" s="32"/>
      <c r="M567" s="32"/>
      <c r="N567" s="18">
        <f t="shared" si="65"/>
        <v>0</v>
      </c>
      <c r="O567" s="19">
        <f t="shared" si="66"/>
        <v>1</v>
      </c>
      <c r="P567" s="13">
        <f t="shared" si="67"/>
        <v>0.11235700000000001</v>
      </c>
      <c r="Q567" s="32"/>
      <c r="R567" s="32"/>
      <c r="S567" s="32"/>
    </row>
    <row r="568" spans="1:19">
      <c r="A568" s="48" t="s">
        <v>179</v>
      </c>
      <c r="B568" s="48" t="s">
        <v>180</v>
      </c>
      <c r="C568" s="32"/>
      <c r="D568" s="32"/>
      <c r="E568" s="48" t="s">
        <v>152</v>
      </c>
      <c r="F568" s="48" t="s">
        <v>15</v>
      </c>
      <c r="G568" s="48" t="s">
        <v>60</v>
      </c>
      <c r="H568" s="11">
        <v>22.93</v>
      </c>
      <c r="I568" s="52">
        <v>6.1</v>
      </c>
      <c r="J568" s="7">
        <v>1</v>
      </c>
      <c r="K568" s="10">
        <f t="shared" si="64"/>
        <v>0.139873</v>
      </c>
      <c r="L568" s="32"/>
      <c r="M568" s="32">
        <v>1</v>
      </c>
      <c r="N568" s="18">
        <f t="shared" si="65"/>
        <v>0.139873</v>
      </c>
      <c r="O568" s="19">
        <f t="shared" si="66"/>
        <v>0</v>
      </c>
      <c r="P568" s="13">
        <f t="shared" si="67"/>
        <v>0</v>
      </c>
      <c r="Q568" s="32">
        <v>6.1</v>
      </c>
      <c r="R568" s="32">
        <v>1</v>
      </c>
      <c r="S568" s="2" t="s">
        <v>212</v>
      </c>
    </row>
    <row r="569" spans="1:19">
      <c r="A569" s="48" t="s">
        <v>179</v>
      </c>
      <c r="B569" s="48" t="s">
        <v>180</v>
      </c>
      <c r="C569" s="32"/>
      <c r="D569" s="32"/>
      <c r="E569" s="48" t="s">
        <v>152</v>
      </c>
      <c r="F569" s="48" t="s">
        <v>15</v>
      </c>
      <c r="G569" s="48" t="s">
        <v>58</v>
      </c>
      <c r="H569" s="11">
        <v>27.29</v>
      </c>
      <c r="I569" s="8">
        <v>6.2</v>
      </c>
      <c r="J569" s="7">
        <v>1</v>
      </c>
      <c r="K569" s="10">
        <f t="shared" si="64"/>
        <v>0.16919800000000002</v>
      </c>
      <c r="L569" s="32"/>
      <c r="M569" s="32">
        <v>1</v>
      </c>
      <c r="N569" s="18">
        <f t="shared" si="65"/>
        <v>0.16919800000000002</v>
      </c>
      <c r="O569" s="19">
        <f t="shared" si="66"/>
        <v>0</v>
      </c>
      <c r="P569" s="13">
        <f t="shared" si="67"/>
        <v>0</v>
      </c>
      <c r="Q569" s="55">
        <v>6.25</v>
      </c>
      <c r="R569" s="32">
        <v>1</v>
      </c>
      <c r="S569" s="32" t="s">
        <v>212</v>
      </c>
    </row>
    <row r="570" spans="1:19">
      <c r="A570" s="48" t="s">
        <v>179</v>
      </c>
      <c r="B570" s="48" t="s">
        <v>180</v>
      </c>
      <c r="C570" s="32"/>
      <c r="D570" s="32"/>
      <c r="E570" s="48" t="s">
        <v>152</v>
      </c>
      <c r="F570" s="48" t="s">
        <v>15</v>
      </c>
      <c r="G570" s="48" t="s">
        <v>50</v>
      </c>
      <c r="H570" s="11">
        <v>21.7</v>
      </c>
      <c r="I570" s="52">
        <v>11.3</v>
      </c>
      <c r="J570" s="7">
        <v>2</v>
      </c>
      <c r="K570" s="10">
        <f t="shared" si="64"/>
        <v>0.49042000000000002</v>
      </c>
      <c r="L570" s="32"/>
      <c r="M570" s="32">
        <v>2</v>
      </c>
      <c r="N570" s="18">
        <f t="shared" si="65"/>
        <v>0.49042000000000002</v>
      </c>
      <c r="O570" s="19">
        <f t="shared" si="66"/>
        <v>0</v>
      </c>
      <c r="P570" s="13">
        <f t="shared" si="67"/>
        <v>0</v>
      </c>
      <c r="Q570" s="9">
        <v>8.5500000000000007</v>
      </c>
      <c r="R570" s="32">
        <v>2</v>
      </c>
      <c r="S570" s="2" t="s">
        <v>792</v>
      </c>
    </row>
    <row r="571" spans="1:19">
      <c r="A571" s="48" t="s">
        <v>179</v>
      </c>
      <c r="B571" s="48" t="s">
        <v>180</v>
      </c>
      <c r="C571" s="32"/>
      <c r="D571" s="32"/>
      <c r="E571" s="48" t="s">
        <v>152</v>
      </c>
      <c r="F571" s="48" t="s">
        <v>15</v>
      </c>
      <c r="G571" s="48" t="s">
        <v>48</v>
      </c>
      <c r="H571" s="11">
        <v>23.6</v>
      </c>
      <c r="I571" s="52">
        <v>10.9</v>
      </c>
      <c r="J571" s="7">
        <v>1</v>
      </c>
      <c r="K571" s="10">
        <f t="shared" si="64"/>
        <v>0.25724000000000002</v>
      </c>
      <c r="L571" s="32"/>
      <c r="M571" s="32">
        <v>1</v>
      </c>
      <c r="N571" s="18">
        <f t="shared" si="65"/>
        <v>0.25724000000000002</v>
      </c>
      <c r="O571" s="19">
        <f t="shared" si="66"/>
        <v>0</v>
      </c>
      <c r="P571" s="13">
        <f t="shared" si="67"/>
        <v>0</v>
      </c>
      <c r="Q571" s="33">
        <v>10</v>
      </c>
      <c r="R571" s="32">
        <v>1</v>
      </c>
      <c r="S571" s="2" t="s">
        <v>457</v>
      </c>
    </row>
    <row r="572" spans="1:19">
      <c r="A572" s="48" t="s">
        <v>179</v>
      </c>
      <c r="B572" s="48" t="s">
        <v>180</v>
      </c>
      <c r="C572" s="32"/>
      <c r="D572" s="32"/>
      <c r="E572" s="48" t="s">
        <v>152</v>
      </c>
      <c r="F572" s="48" t="s">
        <v>15</v>
      </c>
      <c r="G572" s="48" t="s">
        <v>48</v>
      </c>
      <c r="H572" s="11">
        <v>23.6</v>
      </c>
      <c r="I572" s="52">
        <v>11.6</v>
      </c>
      <c r="J572" s="7">
        <v>1</v>
      </c>
      <c r="K572" s="10">
        <f t="shared" si="64"/>
        <v>0.27376</v>
      </c>
      <c r="L572" s="32"/>
      <c r="M572" s="32">
        <v>1</v>
      </c>
      <c r="N572" s="18">
        <f t="shared" si="65"/>
        <v>0.27376</v>
      </c>
      <c r="O572" s="19">
        <f t="shared" si="66"/>
        <v>0</v>
      </c>
      <c r="P572" s="13">
        <f t="shared" si="67"/>
        <v>0</v>
      </c>
      <c r="Q572" s="33">
        <v>10</v>
      </c>
      <c r="R572" s="32">
        <v>1</v>
      </c>
      <c r="S572" s="2" t="s">
        <v>457</v>
      </c>
    </row>
    <row r="573" spans="1:19">
      <c r="A573" s="48" t="s">
        <v>179</v>
      </c>
      <c r="B573" s="48" t="s">
        <v>180</v>
      </c>
      <c r="C573" s="32"/>
      <c r="D573" s="32"/>
      <c r="E573" s="48" t="s">
        <v>152</v>
      </c>
      <c r="F573" s="48" t="s">
        <v>15</v>
      </c>
      <c r="G573" s="48" t="s">
        <v>37</v>
      </c>
      <c r="H573" s="11">
        <v>18.149999999999999</v>
      </c>
      <c r="I573" s="52">
        <v>11.3</v>
      </c>
      <c r="J573" s="7">
        <v>1</v>
      </c>
      <c r="K573" s="10">
        <f t="shared" si="64"/>
        <v>0.205095</v>
      </c>
      <c r="L573" s="32"/>
      <c r="M573" s="32">
        <v>1</v>
      </c>
      <c r="N573" s="18">
        <f t="shared" si="65"/>
        <v>0.205095</v>
      </c>
      <c r="O573" s="19">
        <f t="shared" si="66"/>
        <v>0</v>
      </c>
      <c r="P573" s="13">
        <f t="shared" si="67"/>
        <v>0</v>
      </c>
      <c r="Q573" s="91">
        <v>11.35</v>
      </c>
      <c r="R573" s="91">
        <v>1</v>
      </c>
      <c r="S573" s="91" t="s">
        <v>279</v>
      </c>
    </row>
    <row r="574" spans="1:19">
      <c r="A574" s="48" t="s">
        <v>179</v>
      </c>
      <c r="B574" s="48" t="s">
        <v>180</v>
      </c>
      <c r="C574" s="32"/>
      <c r="D574" s="32"/>
      <c r="E574" s="48" t="s">
        <v>152</v>
      </c>
      <c r="F574" s="48" t="s">
        <v>15</v>
      </c>
      <c r="G574" s="48" t="s">
        <v>37</v>
      </c>
      <c r="H574" s="11">
        <v>18.149999999999999</v>
      </c>
      <c r="I574" s="52">
        <v>11.4</v>
      </c>
      <c r="J574" s="7">
        <v>1</v>
      </c>
      <c r="K574" s="10">
        <f t="shared" si="64"/>
        <v>0.20690999999999998</v>
      </c>
      <c r="L574" s="32"/>
      <c r="M574" s="32">
        <v>1</v>
      </c>
      <c r="N574" s="18">
        <f t="shared" si="65"/>
        <v>0.20690999999999998</v>
      </c>
      <c r="O574" s="19">
        <f t="shared" si="66"/>
        <v>0</v>
      </c>
      <c r="P574" s="13">
        <f t="shared" si="67"/>
        <v>0</v>
      </c>
      <c r="Q574" s="91">
        <v>11.35</v>
      </c>
      <c r="R574" s="91">
        <v>1</v>
      </c>
      <c r="S574" s="91" t="s">
        <v>279</v>
      </c>
    </row>
    <row r="575" spans="1:19">
      <c r="A575" s="48" t="s">
        <v>179</v>
      </c>
      <c r="B575" s="48" t="s">
        <v>180</v>
      </c>
      <c r="C575" s="32"/>
      <c r="D575" s="32"/>
      <c r="E575" s="48" t="s">
        <v>63</v>
      </c>
      <c r="F575" s="48" t="s">
        <v>15</v>
      </c>
      <c r="G575" s="48" t="s">
        <v>57</v>
      </c>
      <c r="H575" s="11">
        <v>33.72</v>
      </c>
      <c r="I575" s="52">
        <v>5.3</v>
      </c>
      <c r="J575" s="7">
        <v>1</v>
      </c>
      <c r="K575" s="10">
        <f t="shared" si="64"/>
        <v>0.17871599999999999</v>
      </c>
      <c r="L575" s="32"/>
      <c r="M575" s="32">
        <v>1</v>
      </c>
      <c r="N575" s="18">
        <f t="shared" si="65"/>
        <v>0.17871599999999999</v>
      </c>
      <c r="O575" s="310">
        <f t="shared" si="66"/>
        <v>0</v>
      </c>
      <c r="P575" s="13">
        <f t="shared" si="67"/>
        <v>0</v>
      </c>
      <c r="Q575" s="32"/>
      <c r="R575" s="32">
        <v>1</v>
      </c>
      <c r="S575" s="2" t="s">
        <v>514</v>
      </c>
    </row>
    <row r="576" spans="1:19">
      <c r="A576" s="48" t="s">
        <v>179</v>
      </c>
      <c r="B576" s="48" t="s">
        <v>180</v>
      </c>
      <c r="C576" s="32"/>
      <c r="D576" s="32"/>
      <c r="E576" s="48" t="s">
        <v>63</v>
      </c>
      <c r="F576" s="48" t="s">
        <v>15</v>
      </c>
      <c r="G576" s="48" t="s">
        <v>57</v>
      </c>
      <c r="H576" s="11">
        <v>33.72</v>
      </c>
      <c r="I576" s="9">
        <v>8.5</v>
      </c>
      <c r="J576" s="7">
        <v>1</v>
      </c>
      <c r="K576" s="10">
        <f t="shared" si="64"/>
        <v>0.28661999999999999</v>
      </c>
      <c r="L576" s="32"/>
      <c r="M576" s="32">
        <v>1</v>
      </c>
      <c r="N576" s="18">
        <f t="shared" si="65"/>
        <v>0.28661999999999999</v>
      </c>
      <c r="O576" s="310">
        <f t="shared" si="66"/>
        <v>0</v>
      </c>
      <c r="P576" s="13">
        <f t="shared" si="67"/>
        <v>0</v>
      </c>
      <c r="Q576" s="32"/>
      <c r="R576" s="32">
        <v>1</v>
      </c>
      <c r="S576" s="2" t="s">
        <v>514</v>
      </c>
    </row>
    <row r="577" spans="1:19">
      <c r="A577" s="48" t="s">
        <v>179</v>
      </c>
      <c r="B577" s="48" t="s">
        <v>180</v>
      </c>
      <c r="C577" s="32"/>
      <c r="D577" s="32"/>
      <c r="E577" s="48" t="s">
        <v>63</v>
      </c>
      <c r="F577" s="48" t="s">
        <v>15</v>
      </c>
      <c r="G577" s="48" t="s">
        <v>57</v>
      </c>
      <c r="H577" s="11">
        <v>33.72</v>
      </c>
      <c r="I577" s="9">
        <v>10</v>
      </c>
      <c r="J577" s="7">
        <v>1</v>
      </c>
      <c r="K577" s="10">
        <f t="shared" si="64"/>
        <v>0.3372</v>
      </c>
      <c r="L577" s="32"/>
      <c r="M577" s="32">
        <v>1</v>
      </c>
      <c r="N577" s="18">
        <f t="shared" si="65"/>
        <v>0.3372</v>
      </c>
      <c r="O577" s="310">
        <f t="shared" si="66"/>
        <v>0</v>
      </c>
      <c r="P577" s="13">
        <f t="shared" si="67"/>
        <v>0</v>
      </c>
      <c r="Q577" s="32"/>
      <c r="R577" s="32">
        <v>1</v>
      </c>
      <c r="S577" s="2" t="s">
        <v>514</v>
      </c>
    </row>
    <row r="578" spans="1:19">
      <c r="A578" s="48" t="s">
        <v>179</v>
      </c>
      <c r="B578" s="48" t="s">
        <v>180</v>
      </c>
      <c r="C578" s="32"/>
      <c r="D578" s="32"/>
      <c r="E578" s="48" t="s">
        <v>63</v>
      </c>
      <c r="F578" s="48" t="s">
        <v>15</v>
      </c>
      <c r="G578" s="48" t="s">
        <v>57</v>
      </c>
      <c r="H578" s="11">
        <v>33.72</v>
      </c>
      <c r="I578" s="9">
        <v>10.199999999999999</v>
      </c>
      <c r="J578" s="7">
        <v>1</v>
      </c>
      <c r="K578" s="10">
        <f t="shared" ref="K578:K621" si="68">(H578*I578*J578/1000)</f>
        <v>0.34394399999999997</v>
      </c>
      <c r="L578" s="32"/>
      <c r="M578" s="32">
        <v>1</v>
      </c>
      <c r="N578" s="18">
        <f t="shared" ref="N578:N621" si="69">I578*M578*H578/1000</f>
        <v>0.34394399999999997</v>
      </c>
      <c r="O578" s="310">
        <f t="shared" ref="O578:O621" si="70">J578-M578</f>
        <v>0</v>
      </c>
      <c r="P578" s="13">
        <f t="shared" ref="P578:P621" si="71">I578*O578*H578/1000</f>
        <v>0</v>
      </c>
      <c r="Q578" s="32"/>
      <c r="R578" s="32">
        <v>1</v>
      </c>
      <c r="S578" s="2" t="s">
        <v>514</v>
      </c>
    </row>
    <row r="579" spans="1:19">
      <c r="A579" s="48" t="s">
        <v>179</v>
      </c>
      <c r="B579" s="48" t="s">
        <v>180</v>
      </c>
      <c r="C579" s="32"/>
      <c r="D579" s="32"/>
      <c r="E579" s="48" t="s">
        <v>76</v>
      </c>
      <c r="F579" s="48" t="s">
        <v>15</v>
      </c>
      <c r="G579" s="48" t="s">
        <v>54</v>
      </c>
      <c r="H579" s="11">
        <v>31.6</v>
      </c>
      <c r="I579" s="8">
        <v>6.4</v>
      </c>
      <c r="J579" s="7">
        <v>2</v>
      </c>
      <c r="K579" s="10">
        <f t="shared" si="68"/>
        <v>0.40448000000000001</v>
      </c>
      <c r="L579" s="32"/>
      <c r="M579" s="32">
        <v>2</v>
      </c>
      <c r="N579" s="18">
        <f t="shared" si="69"/>
        <v>0.40448000000000001</v>
      </c>
      <c r="O579" s="19">
        <f t="shared" si="70"/>
        <v>0</v>
      </c>
      <c r="P579" s="13">
        <f t="shared" si="71"/>
        <v>0</v>
      </c>
      <c r="Q579" s="33">
        <v>6.4</v>
      </c>
      <c r="R579" s="32">
        <v>2</v>
      </c>
      <c r="S579" s="2" t="s">
        <v>278</v>
      </c>
    </row>
    <row r="580" spans="1:19">
      <c r="A580" s="48" t="s">
        <v>179</v>
      </c>
      <c r="B580" s="48" t="s">
        <v>180</v>
      </c>
      <c r="C580" s="32"/>
      <c r="D580" s="32"/>
      <c r="E580" s="48" t="s">
        <v>76</v>
      </c>
      <c r="F580" s="48" t="s">
        <v>15</v>
      </c>
      <c r="G580" s="48" t="s">
        <v>54</v>
      </c>
      <c r="H580" s="11">
        <v>31.6</v>
      </c>
      <c r="I580" s="9">
        <v>6.5</v>
      </c>
      <c r="J580" s="7">
        <v>1</v>
      </c>
      <c r="K580" s="10">
        <f t="shared" si="68"/>
        <v>0.2054</v>
      </c>
      <c r="L580" s="32"/>
      <c r="M580" s="32">
        <v>1</v>
      </c>
      <c r="N580" s="18">
        <f t="shared" si="69"/>
        <v>0.2054</v>
      </c>
      <c r="O580" s="19">
        <f t="shared" si="70"/>
        <v>0</v>
      </c>
      <c r="P580" s="13">
        <f t="shared" si="71"/>
        <v>0</v>
      </c>
      <c r="Q580" s="55">
        <v>6.5</v>
      </c>
      <c r="R580" s="32">
        <v>1</v>
      </c>
      <c r="S580" s="2" t="s">
        <v>278</v>
      </c>
    </row>
    <row r="581" spans="1:19">
      <c r="A581" s="48" t="s">
        <v>179</v>
      </c>
      <c r="B581" s="48" t="s">
        <v>180</v>
      </c>
      <c r="C581" s="32"/>
      <c r="D581" s="32"/>
      <c r="E581" s="48" t="s">
        <v>76</v>
      </c>
      <c r="F581" s="48" t="s">
        <v>15</v>
      </c>
      <c r="G581" s="48" t="s">
        <v>54</v>
      </c>
      <c r="H581" s="11">
        <v>31.6</v>
      </c>
      <c r="I581" s="9">
        <v>6.6</v>
      </c>
      <c r="J581" s="7">
        <v>1</v>
      </c>
      <c r="K581" s="10">
        <f t="shared" si="68"/>
        <v>0.20856</v>
      </c>
      <c r="L581" s="32"/>
      <c r="M581" s="32">
        <v>1</v>
      </c>
      <c r="N581" s="18">
        <f t="shared" si="69"/>
        <v>0.20856</v>
      </c>
      <c r="O581" s="19">
        <f t="shared" si="70"/>
        <v>0</v>
      </c>
      <c r="P581" s="13">
        <f t="shared" si="71"/>
        <v>0</v>
      </c>
      <c r="Q581" s="55">
        <v>6.6</v>
      </c>
      <c r="R581" s="32">
        <v>1</v>
      </c>
      <c r="S581" s="2" t="s">
        <v>278</v>
      </c>
    </row>
    <row r="582" spans="1:19">
      <c r="A582" s="48" t="s">
        <v>179</v>
      </c>
      <c r="B582" s="48" t="s">
        <v>180</v>
      </c>
      <c r="C582" s="32"/>
      <c r="D582" s="32"/>
      <c r="E582" s="48" t="s">
        <v>76</v>
      </c>
      <c r="F582" s="48" t="s">
        <v>15</v>
      </c>
      <c r="G582" s="48" t="s">
        <v>54</v>
      </c>
      <c r="H582" s="11">
        <v>31.6</v>
      </c>
      <c r="I582" s="9">
        <v>7.15</v>
      </c>
      <c r="J582" s="7">
        <v>1</v>
      </c>
      <c r="K582" s="10">
        <f t="shared" si="68"/>
        <v>0.22594000000000003</v>
      </c>
      <c r="L582" s="32"/>
      <c r="M582" s="32">
        <v>1</v>
      </c>
      <c r="N582" s="18">
        <f t="shared" si="69"/>
        <v>0.22594000000000003</v>
      </c>
      <c r="O582" s="19">
        <f t="shared" si="70"/>
        <v>0</v>
      </c>
      <c r="P582" s="13">
        <f t="shared" si="71"/>
        <v>0</v>
      </c>
      <c r="Q582" s="55">
        <v>7.15</v>
      </c>
      <c r="R582" s="32">
        <v>1</v>
      </c>
      <c r="S582" s="2" t="s">
        <v>278</v>
      </c>
    </row>
    <row r="583" spans="1:19">
      <c r="A583" s="48" t="s">
        <v>179</v>
      </c>
      <c r="B583" s="48" t="s">
        <v>180</v>
      </c>
      <c r="C583" s="32"/>
      <c r="D583" s="32"/>
      <c r="E583" s="48" t="s">
        <v>152</v>
      </c>
      <c r="F583" s="48" t="s">
        <v>15</v>
      </c>
      <c r="G583" s="48" t="s">
        <v>48</v>
      </c>
      <c r="H583" s="11">
        <v>23.6</v>
      </c>
      <c r="I583" s="9">
        <v>6.7</v>
      </c>
      <c r="J583" s="7">
        <v>2</v>
      </c>
      <c r="K583" s="10">
        <f t="shared" si="68"/>
        <v>0.31624000000000002</v>
      </c>
      <c r="L583" s="32"/>
      <c r="M583" s="32">
        <v>2</v>
      </c>
      <c r="N583" s="18">
        <f t="shared" si="69"/>
        <v>0.31624000000000002</v>
      </c>
      <c r="O583" s="19">
        <f t="shared" si="70"/>
        <v>0</v>
      </c>
      <c r="P583" s="13">
        <f t="shared" si="71"/>
        <v>0</v>
      </c>
      <c r="Q583" s="32"/>
      <c r="R583" s="32">
        <v>2</v>
      </c>
      <c r="S583" s="2" t="s">
        <v>791</v>
      </c>
    </row>
    <row r="584" spans="1:19">
      <c r="A584" s="48" t="s">
        <v>179</v>
      </c>
      <c r="B584" s="48" t="s">
        <v>180</v>
      </c>
      <c r="C584" s="32"/>
      <c r="D584" s="32"/>
      <c r="E584" s="48" t="s">
        <v>152</v>
      </c>
      <c r="F584" s="48" t="s">
        <v>15</v>
      </c>
      <c r="G584" s="48" t="s">
        <v>48</v>
      </c>
      <c r="H584" s="11">
        <v>23.6</v>
      </c>
      <c r="I584" s="9">
        <v>6.9</v>
      </c>
      <c r="J584" s="7">
        <v>1</v>
      </c>
      <c r="K584" s="10">
        <f t="shared" si="68"/>
        <v>0.16284000000000004</v>
      </c>
      <c r="L584" s="32"/>
      <c r="M584" s="32">
        <v>1</v>
      </c>
      <c r="N584" s="18">
        <f t="shared" si="69"/>
        <v>0.16284000000000004</v>
      </c>
      <c r="O584" s="19">
        <f t="shared" si="70"/>
        <v>0</v>
      </c>
      <c r="P584" s="13">
        <f t="shared" si="71"/>
        <v>0</v>
      </c>
      <c r="Q584" s="33">
        <v>7</v>
      </c>
      <c r="R584" s="32">
        <v>1</v>
      </c>
      <c r="S584" s="2" t="s">
        <v>457</v>
      </c>
    </row>
    <row r="585" spans="1:19">
      <c r="A585" s="48" t="s">
        <v>179</v>
      </c>
      <c r="B585" s="48" t="s">
        <v>180</v>
      </c>
      <c r="C585" s="32"/>
      <c r="D585" s="32"/>
      <c r="E585" s="48" t="s">
        <v>152</v>
      </c>
      <c r="F585" s="48" t="s">
        <v>15</v>
      </c>
      <c r="G585" s="48" t="s">
        <v>48</v>
      </c>
      <c r="H585" s="11">
        <v>23.6</v>
      </c>
      <c r="I585" s="9">
        <v>7</v>
      </c>
      <c r="J585" s="7">
        <v>1</v>
      </c>
      <c r="K585" s="10">
        <f t="shared" si="68"/>
        <v>0.16520000000000001</v>
      </c>
      <c r="L585" s="32"/>
      <c r="M585" s="32">
        <v>1</v>
      </c>
      <c r="N585" s="18">
        <f t="shared" si="69"/>
        <v>0.16520000000000001</v>
      </c>
      <c r="O585" s="19">
        <f t="shared" si="70"/>
        <v>0</v>
      </c>
      <c r="P585" s="13">
        <f t="shared" si="71"/>
        <v>0</v>
      </c>
      <c r="Q585" s="33">
        <v>7</v>
      </c>
      <c r="R585" s="32">
        <v>1</v>
      </c>
      <c r="S585" s="2" t="s">
        <v>457</v>
      </c>
    </row>
    <row r="586" spans="1:19">
      <c r="A586" s="48" t="s">
        <v>179</v>
      </c>
      <c r="B586" s="48" t="s">
        <v>180</v>
      </c>
      <c r="C586" s="32"/>
      <c r="D586" s="32"/>
      <c r="E586" s="48" t="s">
        <v>152</v>
      </c>
      <c r="F586" s="48" t="s">
        <v>15</v>
      </c>
      <c r="G586" s="48" t="s">
        <v>57</v>
      </c>
      <c r="H586" s="11">
        <v>33.72</v>
      </c>
      <c r="I586" s="9">
        <v>8.6</v>
      </c>
      <c r="J586" s="7">
        <v>1</v>
      </c>
      <c r="K586" s="10">
        <f t="shared" si="68"/>
        <v>0.28999199999999997</v>
      </c>
      <c r="L586" s="32" t="s">
        <v>104</v>
      </c>
      <c r="M586" s="32">
        <v>1</v>
      </c>
      <c r="N586" s="18">
        <f t="shared" si="69"/>
        <v>0.28999199999999997</v>
      </c>
      <c r="O586" s="106">
        <f t="shared" si="70"/>
        <v>0</v>
      </c>
      <c r="P586" s="13">
        <f t="shared" si="71"/>
        <v>0</v>
      </c>
      <c r="Q586" s="359">
        <f t="shared" ref="Q586" si="72">4.602+0.15</f>
        <v>4.7520000000000007</v>
      </c>
      <c r="R586" s="91">
        <v>1</v>
      </c>
      <c r="S586" s="2" t="s">
        <v>454</v>
      </c>
    </row>
    <row r="587" spans="1:19">
      <c r="A587" s="48" t="s">
        <v>179</v>
      </c>
      <c r="B587" s="48" t="s">
        <v>180</v>
      </c>
      <c r="C587" s="32"/>
      <c r="D587" s="32"/>
      <c r="E587" s="48" t="s">
        <v>152</v>
      </c>
      <c r="F587" s="48" t="s">
        <v>15</v>
      </c>
      <c r="G587" s="48" t="s">
        <v>57</v>
      </c>
      <c r="H587" s="11">
        <v>33.72</v>
      </c>
      <c r="I587" s="9">
        <v>11.4</v>
      </c>
      <c r="J587" s="7">
        <v>1</v>
      </c>
      <c r="K587" s="10">
        <f t="shared" si="68"/>
        <v>0.38440800000000003</v>
      </c>
      <c r="L587" s="32" t="s">
        <v>104</v>
      </c>
      <c r="M587" s="32">
        <v>1</v>
      </c>
      <c r="N587" s="18">
        <f t="shared" si="69"/>
        <v>0.38440800000000003</v>
      </c>
      <c r="O587" s="106">
        <f t="shared" si="70"/>
        <v>0</v>
      </c>
      <c r="P587" s="13">
        <f t="shared" si="71"/>
        <v>0</v>
      </c>
      <c r="Q587" s="55">
        <v>9.3000000000000007</v>
      </c>
      <c r="R587" s="91">
        <v>1</v>
      </c>
      <c r="S587" s="2" t="s">
        <v>454</v>
      </c>
    </row>
    <row r="588" spans="1:19">
      <c r="A588" s="48" t="s">
        <v>179</v>
      </c>
      <c r="B588" s="48" t="s">
        <v>180</v>
      </c>
      <c r="C588" s="32"/>
      <c r="D588" s="32"/>
      <c r="E588" s="48" t="s">
        <v>152</v>
      </c>
      <c r="F588" s="48" t="s">
        <v>15</v>
      </c>
      <c r="G588" s="48" t="s">
        <v>64</v>
      </c>
      <c r="H588" s="11">
        <v>40.1</v>
      </c>
      <c r="I588" s="9">
        <v>6.1</v>
      </c>
      <c r="J588" s="7">
        <v>1</v>
      </c>
      <c r="K588" s="10">
        <f t="shared" si="68"/>
        <v>0.24460999999999999</v>
      </c>
      <c r="L588" s="32"/>
      <c r="M588" s="32"/>
      <c r="N588" s="18">
        <f t="shared" si="69"/>
        <v>0</v>
      </c>
      <c r="O588" s="19">
        <f t="shared" si="70"/>
        <v>1</v>
      </c>
      <c r="P588" s="13">
        <f t="shared" si="71"/>
        <v>0.24460999999999999</v>
      </c>
      <c r="Q588" s="32"/>
      <c r="R588" s="32"/>
      <c r="S588" s="32"/>
    </row>
    <row r="589" spans="1:19">
      <c r="A589" s="48" t="s">
        <v>179</v>
      </c>
      <c r="B589" s="48" t="s">
        <v>180</v>
      </c>
      <c r="C589" s="32"/>
      <c r="D589" s="32"/>
      <c r="E589" s="48" t="s">
        <v>152</v>
      </c>
      <c r="F589" s="48" t="s">
        <v>15</v>
      </c>
      <c r="G589" s="48" t="s">
        <v>64</v>
      </c>
      <c r="H589" s="11">
        <v>40.1</v>
      </c>
      <c r="I589" s="9">
        <v>8.1999999999999993</v>
      </c>
      <c r="J589" s="7">
        <v>1</v>
      </c>
      <c r="K589" s="10">
        <f t="shared" si="68"/>
        <v>0.32882</v>
      </c>
      <c r="L589" s="32"/>
      <c r="M589" s="32">
        <v>1</v>
      </c>
      <c r="N589" s="18">
        <f t="shared" si="69"/>
        <v>0.32882</v>
      </c>
      <c r="O589" s="19">
        <f t="shared" si="70"/>
        <v>0</v>
      </c>
      <c r="P589" s="13">
        <f t="shared" si="71"/>
        <v>0</v>
      </c>
      <c r="Q589" s="32">
        <v>8.1999999999999993</v>
      </c>
      <c r="R589" s="32">
        <v>1</v>
      </c>
      <c r="S589" s="32" t="s">
        <v>543</v>
      </c>
    </row>
    <row r="590" spans="1:19">
      <c r="A590" s="48" t="s">
        <v>179</v>
      </c>
      <c r="B590" s="48" t="s">
        <v>180</v>
      </c>
      <c r="C590" s="32"/>
      <c r="D590" s="32"/>
      <c r="E590" s="48" t="s">
        <v>181</v>
      </c>
      <c r="F590" s="48" t="s">
        <v>15</v>
      </c>
      <c r="G590" s="48" t="s">
        <v>60</v>
      </c>
      <c r="H590" s="11">
        <v>22.93</v>
      </c>
      <c r="I590" s="9">
        <v>6</v>
      </c>
      <c r="J590" s="7">
        <v>2</v>
      </c>
      <c r="K590" s="10">
        <f t="shared" si="68"/>
        <v>0.27515999999999996</v>
      </c>
      <c r="L590" s="32"/>
      <c r="M590" s="32"/>
      <c r="N590" s="18">
        <f t="shared" si="69"/>
        <v>0</v>
      </c>
      <c r="O590" s="19">
        <f t="shared" si="70"/>
        <v>2</v>
      </c>
      <c r="P590" s="13">
        <f t="shared" si="71"/>
        <v>0.27515999999999996</v>
      </c>
      <c r="Q590" s="32"/>
      <c r="R590" s="32"/>
      <c r="S590" s="32"/>
    </row>
    <row r="591" spans="1:19">
      <c r="A591" s="48" t="s">
        <v>179</v>
      </c>
      <c r="B591" s="48" t="s">
        <v>180</v>
      </c>
      <c r="C591" s="32"/>
      <c r="D591" s="32"/>
      <c r="E591" s="48" t="s">
        <v>152</v>
      </c>
      <c r="F591" s="48" t="s">
        <v>15</v>
      </c>
      <c r="G591" s="48" t="s">
        <v>60</v>
      </c>
      <c r="H591" s="11">
        <v>22.93</v>
      </c>
      <c r="I591" s="9">
        <v>6</v>
      </c>
      <c r="J591" s="7">
        <v>2</v>
      </c>
      <c r="K591" s="10">
        <f t="shared" si="68"/>
        <v>0.27515999999999996</v>
      </c>
      <c r="L591" s="32"/>
      <c r="M591" s="32"/>
      <c r="N591" s="18">
        <f t="shared" si="69"/>
        <v>0</v>
      </c>
      <c r="O591" s="19">
        <f t="shared" si="70"/>
        <v>2</v>
      </c>
      <c r="P591" s="13">
        <f t="shared" si="71"/>
        <v>0.27515999999999996</v>
      </c>
      <c r="Q591" s="32"/>
      <c r="R591" s="32"/>
      <c r="S591" s="32"/>
    </row>
    <row r="592" spans="1:19">
      <c r="A592" s="48" t="s">
        <v>179</v>
      </c>
      <c r="B592" s="48" t="s">
        <v>180</v>
      </c>
      <c r="C592" s="32"/>
      <c r="D592" s="32"/>
      <c r="E592" s="48" t="s">
        <v>152</v>
      </c>
      <c r="F592" s="48" t="s">
        <v>15</v>
      </c>
      <c r="G592" s="48" t="s">
        <v>60</v>
      </c>
      <c r="H592" s="11">
        <v>22.93</v>
      </c>
      <c r="I592" s="9">
        <v>6.3</v>
      </c>
      <c r="J592" s="7">
        <v>2</v>
      </c>
      <c r="K592" s="10">
        <f t="shared" si="68"/>
        <v>0.28891800000000001</v>
      </c>
      <c r="L592" s="32"/>
      <c r="M592" s="32">
        <v>2</v>
      </c>
      <c r="N592" s="18">
        <f t="shared" si="69"/>
        <v>0.28891800000000001</v>
      </c>
      <c r="O592" s="19">
        <f t="shared" si="70"/>
        <v>0</v>
      </c>
      <c r="P592" s="13">
        <f t="shared" si="71"/>
        <v>0</v>
      </c>
      <c r="Q592" s="32">
        <v>6.1</v>
      </c>
      <c r="R592" s="32">
        <v>2</v>
      </c>
      <c r="S592" s="2" t="s">
        <v>212</v>
      </c>
    </row>
    <row r="593" spans="1:19">
      <c r="A593" s="48" t="s">
        <v>179</v>
      </c>
      <c r="B593" s="48" t="s">
        <v>180</v>
      </c>
      <c r="C593" s="32"/>
      <c r="D593" s="32"/>
      <c r="E593" s="48" t="s">
        <v>152</v>
      </c>
      <c r="F593" s="48" t="s">
        <v>15</v>
      </c>
      <c r="G593" s="48" t="s">
        <v>58</v>
      </c>
      <c r="H593" s="11">
        <v>27.29</v>
      </c>
      <c r="I593" s="9">
        <v>6</v>
      </c>
      <c r="J593" s="7">
        <v>2</v>
      </c>
      <c r="K593" s="10">
        <f t="shared" si="68"/>
        <v>0.32747999999999999</v>
      </c>
      <c r="L593" s="32"/>
      <c r="M593" s="32">
        <v>2</v>
      </c>
      <c r="N593" s="18">
        <f t="shared" si="69"/>
        <v>0.32747999999999999</v>
      </c>
      <c r="O593" s="19">
        <f t="shared" si="70"/>
        <v>0</v>
      </c>
      <c r="P593" s="13">
        <f t="shared" si="71"/>
        <v>0</v>
      </c>
      <c r="Q593" s="55">
        <v>6</v>
      </c>
      <c r="R593" s="45">
        <v>2</v>
      </c>
      <c r="S593" s="32" t="s">
        <v>680</v>
      </c>
    </row>
    <row r="594" spans="1:19">
      <c r="A594" s="48" t="s">
        <v>179</v>
      </c>
      <c r="B594" s="48" t="s">
        <v>180</v>
      </c>
      <c r="C594" s="32"/>
      <c r="D594" s="32"/>
      <c r="E594" s="48" t="s">
        <v>19</v>
      </c>
      <c r="F594" s="48" t="s">
        <v>14</v>
      </c>
      <c r="G594" s="48" t="s">
        <v>22</v>
      </c>
      <c r="H594" s="11">
        <v>10.73</v>
      </c>
      <c r="I594" s="9">
        <v>8</v>
      </c>
      <c r="J594" s="7">
        <v>1</v>
      </c>
      <c r="K594" s="10">
        <f t="shared" si="68"/>
        <v>8.584E-2</v>
      </c>
      <c r="L594" s="32"/>
      <c r="M594" s="32">
        <v>1</v>
      </c>
      <c r="N594" s="18">
        <f t="shared" si="69"/>
        <v>8.584E-2</v>
      </c>
      <c r="O594" s="19">
        <f t="shared" si="70"/>
        <v>0</v>
      </c>
      <c r="P594" s="13">
        <f t="shared" si="71"/>
        <v>0</v>
      </c>
      <c r="Q594" s="32">
        <v>6.5</v>
      </c>
      <c r="R594" s="45">
        <v>1</v>
      </c>
      <c r="S594" s="32" t="s">
        <v>279</v>
      </c>
    </row>
    <row r="595" spans="1:19">
      <c r="A595" s="48" t="s">
        <v>179</v>
      </c>
      <c r="B595" s="48" t="s">
        <v>180</v>
      </c>
      <c r="C595" s="32"/>
      <c r="D595" s="32"/>
      <c r="E595" s="48" t="s">
        <v>19</v>
      </c>
      <c r="F595" s="48" t="s">
        <v>14</v>
      </c>
      <c r="G595" s="48" t="s">
        <v>22</v>
      </c>
      <c r="H595" s="11">
        <v>10.73</v>
      </c>
      <c r="I595" s="9">
        <v>9.6999999999999993</v>
      </c>
      <c r="J595" s="7">
        <v>1</v>
      </c>
      <c r="K595" s="10">
        <f t="shared" si="68"/>
        <v>0.10408100000000001</v>
      </c>
      <c r="L595" s="32"/>
      <c r="M595" s="32">
        <v>1</v>
      </c>
      <c r="N595" s="18">
        <f t="shared" si="69"/>
        <v>0.10408100000000001</v>
      </c>
      <c r="O595" s="19">
        <f t="shared" si="70"/>
        <v>0</v>
      </c>
      <c r="P595" s="13">
        <f t="shared" si="71"/>
        <v>0</v>
      </c>
      <c r="Q595" s="32"/>
      <c r="R595" s="32">
        <v>1</v>
      </c>
      <c r="S595" s="2" t="s">
        <v>223</v>
      </c>
    </row>
    <row r="596" spans="1:19">
      <c r="A596" s="48" t="s">
        <v>179</v>
      </c>
      <c r="B596" s="48" t="s">
        <v>180</v>
      </c>
      <c r="C596" s="32"/>
      <c r="D596" s="32"/>
      <c r="E596" s="48" t="s">
        <v>19</v>
      </c>
      <c r="F596" s="48" t="s">
        <v>14</v>
      </c>
      <c r="G596" s="48" t="s">
        <v>22</v>
      </c>
      <c r="H596" s="11">
        <v>10.73</v>
      </c>
      <c r="I596" s="9">
        <v>10</v>
      </c>
      <c r="J596" s="7">
        <v>1</v>
      </c>
      <c r="K596" s="10">
        <f t="shared" si="68"/>
        <v>0.10730000000000001</v>
      </c>
      <c r="L596" s="32"/>
      <c r="M596" s="32">
        <v>1</v>
      </c>
      <c r="N596" s="18">
        <f t="shared" si="69"/>
        <v>0.10730000000000001</v>
      </c>
      <c r="O596" s="19">
        <f t="shared" si="70"/>
        <v>0</v>
      </c>
      <c r="P596" s="13">
        <f t="shared" si="71"/>
        <v>0</v>
      </c>
      <c r="Q596" s="9">
        <v>8.75</v>
      </c>
      <c r="R596" s="32">
        <v>1</v>
      </c>
      <c r="S596" s="2" t="s">
        <v>450</v>
      </c>
    </row>
    <row r="597" spans="1:19">
      <c r="A597" s="48" t="s">
        <v>179</v>
      </c>
      <c r="B597" s="48" t="s">
        <v>180</v>
      </c>
      <c r="C597" s="32"/>
      <c r="D597" s="32"/>
      <c r="E597" s="48" t="s">
        <v>19</v>
      </c>
      <c r="F597" s="48" t="s">
        <v>14</v>
      </c>
      <c r="G597" s="48" t="s">
        <v>22</v>
      </c>
      <c r="H597" s="11">
        <v>10.73</v>
      </c>
      <c r="I597" s="9">
        <v>11.5</v>
      </c>
      <c r="J597" s="7">
        <v>1</v>
      </c>
      <c r="K597" s="10">
        <f t="shared" si="68"/>
        <v>0.123395</v>
      </c>
      <c r="L597" s="32"/>
      <c r="M597" s="32">
        <v>1</v>
      </c>
      <c r="N597" s="18">
        <f t="shared" si="69"/>
        <v>0.123395</v>
      </c>
      <c r="O597" s="19">
        <f t="shared" si="70"/>
        <v>0</v>
      </c>
      <c r="P597" s="13">
        <f t="shared" si="71"/>
        <v>0</v>
      </c>
      <c r="Q597" s="32"/>
      <c r="R597" s="32">
        <v>1</v>
      </c>
      <c r="S597" s="2" t="s">
        <v>223</v>
      </c>
    </row>
    <row r="598" spans="1:19">
      <c r="A598" s="48" t="s">
        <v>179</v>
      </c>
      <c r="B598" s="48" t="s">
        <v>180</v>
      </c>
      <c r="C598" s="32"/>
      <c r="D598" s="32"/>
      <c r="E598" s="48" t="s">
        <v>152</v>
      </c>
      <c r="F598" s="48" t="s">
        <v>15</v>
      </c>
      <c r="G598" s="48" t="s">
        <v>21</v>
      </c>
      <c r="H598" s="11">
        <v>6.97</v>
      </c>
      <c r="I598" s="9">
        <v>11</v>
      </c>
      <c r="J598" s="7">
        <v>1</v>
      </c>
      <c r="K598" s="10">
        <f t="shared" si="68"/>
        <v>7.6670000000000002E-2</v>
      </c>
      <c r="L598" s="32"/>
      <c r="M598" s="32">
        <v>1</v>
      </c>
      <c r="N598" s="18">
        <f t="shared" si="69"/>
        <v>7.6670000000000002E-2</v>
      </c>
      <c r="O598" s="19">
        <f t="shared" si="70"/>
        <v>0</v>
      </c>
      <c r="P598" s="13">
        <f t="shared" si="71"/>
        <v>0</v>
      </c>
      <c r="Q598" s="155">
        <v>10</v>
      </c>
      <c r="R598" s="45">
        <v>1</v>
      </c>
      <c r="S598" s="32" t="s">
        <v>272</v>
      </c>
    </row>
    <row r="599" spans="1:19">
      <c r="A599" s="48" t="s">
        <v>179</v>
      </c>
      <c r="B599" s="48" t="s">
        <v>180</v>
      </c>
      <c r="C599" s="32"/>
      <c r="D599" s="32"/>
      <c r="E599" s="48" t="s">
        <v>152</v>
      </c>
      <c r="F599" s="48" t="s">
        <v>15</v>
      </c>
      <c r="G599" s="48" t="s">
        <v>21</v>
      </c>
      <c r="H599" s="11">
        <v>6.97</v>
      </c>
      <c r="I599" s="9">
        <v>11.5</v>
      </c>
      <c r="J599" s="7">
        <v>1</v>
      </c>
      <c r="K599" s="10">
        <f t="shared" si="68"/>
        <v>8.0155000000000004E-2</v>
      </c>
      <c r="L599" s="32"/>
      <c r="M599" s="32">
        <v>1</v>
      </c>
      <c r="N599" s="18">
        <f t="shared" si="69"/>
        <v>8.0155000000000004E-2</v>
      </c>
      <c r="O599" s="19">
        <f t="shared" si="70"/>
        <v>0</v>
      </c>
      <c r="P599" s="13">
        <f t="shared" si="71"/>
        <v>0</v>
      </c>
      <c r="Q599" s="155">
        <v>10</v>
      </c>
      <c r="R599" s="45">
        <v>1</v>
      </c>
      <c r="S599" s="32" t="s">
        <v>272</v>
      </c>
    </row>
    <row r="600" spans="1:19">
      <c r="A600" s="48" t="s">
        <v>179</v>
      </c>
      <c r="B600" s="48" t="s">
        <v>180</v>
      </c>
      <c r="C600" s="32"/>
      <c r="D600" s="32"/>
      <c r="E600" s="48" t="s">
        <v>19</v>
      </c>
      <c r="F600" s="48" t="s">
        <v>14</v>
      </c>
      <c r="G600" s="48" t="s">
        <v>39</v>
      </c>
      <c r="H600" s="11">
        <v>14.66</v>
      </c>
      <c r="I600" s="9">
        <v>11.6</v>
      </c>
      <c r="J600" s="7">
        <v>1</v>
      </c>
      <c r="K600" s="10">
        <f t="shared" si="68"/>
        <v>0.17005599999999998</v>
      </c>
      <c r="L600" s="32"/>
      <c r="M600" s="32">
        <v>1</v>
      </c>
      <c r="N600" s="18">
        <f t="shared" si="69"/>
        <v>0.17005599999999998</v>
      </c>
      <c r="O600" s="19">
        <f t="shared" si="70"/>
        <v>0</v>
      </c>
      <c r="P600" s="13">
        <f t="shared" si="71"/>
        <v>0</v>
      </c>
      <c r="Q600" s="32">
        <v>9.1</v>
      </c>
      <c r="R600" s="45">
        <v>1</v>
      </c>
      <c r="S600" s="32" t="s">
        <v>646</v>
      </c>
    </row>
    <row r="601" spans="1:19">
      <c r="A601" s="48" t="s">
        <v>179</v>
      </c>
      <c r="B601" s="48" t="s">
        <v>180</v>
      </c>
      <c r="C601" s="32"/>
      <c r="D601" s="32"/>
      <c r="E601" s="48" t="s">
        <v>19</v>
      </c>
      <c r="F601" s="48" t="s">
        <v>14</v>
      </c>
      <c r="G601" s="48" t="s">
        <v>39</v>
      </c>
      <c r="H601" s="11">
        <v>14.66</v>
      </c>
      <c r="I601" s="9">
        <v>11.1</v>
      </c>
      <c r="J601" s="7">
        <v>1</v>
      </c>
      <c r="K601" s="10">
        <f t="shared" si="68"/>
        <v>0.16272600000000001</v>
      </c>
      <c r="L601" s="32"/>
      <c r="M601" s="32">
        <v>1</v>
      </c>
      <c r="N601" s="18">
        <f t="shared" si="69"/>
        <v>0.16272600000000001</v>
      </c>
      <c r="O601" s="19">
        <f t="shared" si="70"/>
        <v>0</v>
      </c>
      <c r="P601" s="13">
        <f t="shared" si="71"/>
        <v>0</v>
      </c>
      <c r="Q601" s="32">
        <v>9.1</v>
      </c>
      <c r="R601" s="45">
        <v>1</v>
      </c>
      <c r="S601" s="32" t="s">
        <v>646</v>
      </c>
    </row>
    <row r="602" spans="1:19">
      <c r="A602" s="48" t="s">
        <v>179</v>
      </c>
      <c r="B602" s="48" t="s">
        <v>180</v>
      </c>
      <c r="C602" s="32"/>
      <c r="D602" s="32"/>
      <c r="E602" s="48" t="s">
        <v>24</v>
      </c>
      <c r="F602" s="48" t="s">
        <v>14</v>
      </c>
      <c r="G602" s="48" t="s">
        <v>21</v>
      </c>
      <c r="H602" s="11">
        <v>6.97</v>
      </c>
      <c r="I602" s="9">
        <v>11.8</v>
      </c>
      <c r="J602" s="7">
        <v>1</v>
      </c>
      <c r="K602" s="10">
        <f t="shared" si="68"/>
        <v>8.2246E-2</v>
      </c>
      <c r="L602" s="32"/>
      <c r="M602" s="32">
        <v>1</v>
      </c>
      <c r="N602" s="18">
        <f t="shared" si="69"/>
        <v>8.2246E-2</v>
      </c>
      <c r="O602" s="19">
        <f t="shared" si="70"/>
        <v>0</v>
      </c>
      <c r="P602" s="13">
        <f t="shared" si="71"/>
        <v>0</v>
      </c>
      <c r="Q602" s="9">
        <v>8.8000000000000007</v>
      </c>
      <c r="R602" s="32">
        <v>1</v>
      </c>
      <c r="S602" s="2" t="s">
        <v>614</v>
      </c>
    </row>
    <row r="603" spans="1:19">
      <c r="A603" s="48" t="s">
        <v>179</v>
      </c>
      <c r="B603" s="48" t="s">
        <v>180</v>
      </c>
      <c r="C603" s="32"/>
      <c r="D603" s="32"/>
      <c r="E603" s="48" t="s">
        <v>24</v>
      </c>
      <c r="F603" s="48" t="s">
        <v>14</v>
      </c>
      <c r="G603" s="48" t="s">
        <v>21</v>
      </c>
      <c r="H603" s="11">
        <v>6.97</v>
      </c>
      <c r="I603" s="9">
        <v>12</v>
      </c>
      <c r="J603" s="7">
        <v>2</v>
      </c>
      <c r="K603" s="10">
        <f t="shared" si="68"/>
        <v>0.16728000000000001</v>
      </c>
      <c r="L603" s="32"/>
      <c r="M603" s="32">
        <v>2</v>
      </c>
      <c r="N603" s="18">
        <f t="shared" si="69"/>
        <v>0.16728000000000001</v>
      </c>
      <c r="O603" s="19">
        <f t="shared" si="70"/>
        <v>0</v>
      </c>
      <c r="P603" s="13">
        <f t="shared" si="71"/>
        <v>0</v>
      </c>
      <c r="Q603" s="32">
        <v>10</v>
      </c>
      <c r="R603" s="32">
        <v>2</v>
      </c>
      <c r="S603" s="32"/>
    </row>
    <row r="604" spans="1:19">
      <c r="A604" s="48" t="s">
        <v>179</v>
      </c>
      <c r="B604" s="48" t="s">
        <v>180</v>
      </c>
      <c r="C604" s="32"/>
      <c r="D604" s="32"/>
      <c r="E604" s="48" t="s">
        <v>17</v>
      </c>
      <c r="F604" s="48" t="s">
        <v>15</v>
      </c>
      <c r="G604" s="48" t="s">
        <v>32</v>
      </c>
      <c r="H604" s="11">
        <v>8.32</v>
      </c>
      <c r="I604" s="9">
        <v>8</v>
      </c>
      <c r="J604" s="7">
        <v>1</v>
      </c>
      <c r="K604" s="10">
        <f t="shared" si="68"/>
        <v>6.6560000000000008E-2</v>
      </c>
      <c r="L604" s="32"/>
      <c r="M604" s="32">
        <v>1</v>
      </c>
      <c r="N604" s="18">
        <f t="shared" si="69"/>
        <v>6.6560000000000008E-2</v>
      </c>
      <c r="O604" s="19">
        <f t="shared" si="70"/>
        <v>0</v>
      </c>
      <c r="P604" s="13">
        <f t="shared" si="71"/>
        <v>0</v>
      </c>
      <c r="Q604" s="32"/>
      <c r="R604" s="32"/>
      <c r="S604" s="32"/>
    </row>
    <row r="605" spans="1:19">
      <c r="A605" s="48" t="s">
        <v>179</v>
      </c>
      <c r="B605" s="48" t="s">
        <v>180</v>
      </c>
      <c r="C605" s="32"/>
      <c r="D605" s="32"/>
      <c r="E605" s="48" t="s">
        <v>17</v>
      </c>
      <c r="F605" s="48" t="s">
        <v>15</v>
      </c>
      <c r="G605" s="48" t="s">
        <v>32</v>
      </c>
      <c r="H605" s="11">
        <v>8.32</v>
      </c>
      <c r="I605" s="9">
        <v>7.5</v>
      </c>
      <c r="J605" s="7">
        <v>1</v>
      </c>
      <c r="K605" s="10">
        <f t="shared" si="68"/>
        <v>6.2400000000000004E-2</v>
      </c>
      <c r="L605" s="32"/>
      <c r="M605" s="32">
        <v>1</v>
      </c>
      <c r="N605" s="18">
        <f t="shared" si="69"/>
        <v>6.2400000000000004E-2</v>
      </c>
      <c r="O605" s="19">
        <f t="shared" si="70"/>
        <v>0</v>
      </c>
      <c r="P605" s="13">
        <f t="shared" si="71"/>
        <v>0</v>
      </c>
      <c r="Q605" s="32">
        <v>7.1</v>
      </c>
      <c r="R605" s="32">
        <v>1</v>
      </c>
      <c r="S605" s="32" t="s">
        <v>213</v>
      </c>
    </row>
    <row r="606" spans="1:19">
      <c r="A606" s="48" t="s">
        <v>179</v>
      </c>
      <c r="B606" s="48" t="s">
        <v>169</v>
      </c>
      <c r="C606" s="32"/>
      <c r="D606" s="32"/>
      <c r="E606" s="69" t="s">
        <v>152</v>
      </c>
      <c r="F606" s="69" t="s">
        <v>15</v>
      </c>
      <c r="G606" s="69" t="s">
        <v>30</v>
      </c>
      <c r="H606" s="61">
        <v>9.26</v>
      </c>
      <c r="I606" s="62">
        <v>8.5</v>
      </c>
      <c r="J606" s="60">
        <v>2</v>
      </c>
      <c r="K606" s="62">
        <f t="shared" si="68"/>
        <v>0.15741999999999998</v>
      </c>
      <c r="L606" s="254" t="s">
        <v>46</v>
      </c>
      <c r="M606" s="67"/>
      <c r="N606" s="63">
        <f t="shared" si="69"/>
        <v>0</v>
      </c>
      <c r="O606" s="64">
        <f t="shared" si="70"/>
        <v>2</v>
      </c>
      <c r="P606" s="65">
        <f t="shared" si="71"/>
        <v>0.15741999999999998</v>
      </c>
      <c r="Q606" s="510"/>
      <c r="R606" s="32"/>
      <c r="S606" s="32"/>
    </row>
    <row r="607" spans="1:19">
      <c r="A607" s="48" t="s">
        <v>179</v>
      </c>
      <c r="B607" s="48" t="s">
        <v>169</v>
      </c>
      <c r="C607" s="32"/>
      <c r="D607" s="32"/>
      <c r="E607" s="69" t="s">
        <v>152</v>
      </c>
      <c r="F607" s="69" t="s">
        <v>15</v>
      </c>
      <c r="G607" s="69" t="s">
        <v>30</v>
      </c>
      <c r="H607" s="61">
        <v>9.26</v>
      </c>
      <c r="I607" s="62">
        <v>8.6</v>
      </c>
      <c r="J607" s="60">
        <v>3</v>
      </c>
      <c r="K607" s="62">
        <f t="shared" si="68"/>
        <v>0.23890799999999998</v>
      </c>
      <c r="L607" s="254" t="s">
        <v>46</v>
      </c>
      <c r="M607" s="67"/>
      <c r="N607" s="63">
        <f t="shared" si="69"/>
        <v>0</v>
      </c>
      <c r="O607" s="64">
        <f t="shared" si="70"/>
        <v>3</v>
      </c>
      <c r="P607" s="65">
        <f t="shared" si="71"/>
        <v>0.23890799999999995</v>
      </c>
      <c r="Q607" s="510"/>
      <c r="R607" s="32"/>
      <c r="S607" s="32"/>
    </row>
    <row r="608" spans="1:19">
      <c r="A608" s="48" t="s">
        <v>179</v>
      </c>
      <c r="B608" s="48" t="s">
        <v>169</v>
      </c>
      <c r="C608" s="32"/>
      <c r="D608" s="32"/>
      <c r="E608" s="48" t="s">
        <v>152</v>
      </c>
      <c r="F608" s="48" t="s">
        <v>15</v>
      </c>
      <c r="G608" s="48" t="s">
        <v>182</v>
      </c>
      <c r="H608" s="53">
        <v>7.6</v>
      </c>
      <c r="I608" s="9">
        <v>11.6</v>
      </c>
      <c r="J608" s="7">
        <v>1</v>
      </c>
      <c r="K608" s="10">
        <f t="shared" si="68"/>
        <v>8.8160000000000002E-2</v>
      </c>
      <c r="L608" s="255" t="s">
        <v>46</v>
      </c>
      <c r="M608" s="32"/>
      <c r="N608" s="18">
        <f t="shared" si="69"/>
        <v>0</v>
      </c>
      <c r="O608" s="19">
        <f t="shared" si="70"/>
        <v>1</v>
      </c>
      <c r="P608" s="13">
        <f t="shared" si="71"/>
        <v>8.8160000000000002E-2</v>
      </c>
      <c r="Q608" s="58"/>
      <c r="R608" s="32"/>
      <c r="S608" s="32"/>
    </row>
    <row r="609" spans="1:19">
      <c r="A609" s="48" t="s">
        <v>179</v>
      </c>
      <c r="B609" s="48" t="s">
        <v>169</v>
      </c>
      <c r="C609" s="32"/>
      <c r="D609" s="32"/>
      <c r="E609" s="69" t="s">
        <v>19</v>
      </c>
      <c r="F609" s="69" t="s">
        <v>14</v>
      </c>
      <c r="G609" s="69" t="s">
        <v>154</v>
      </c>
      <c r="H609" s="105">
        <v>4.9800000000000004</v>
      </c>
      <c r="I609" s="99">
        <v>10</v>
      </c>
      <c r="J609" s="60">
        <v>1</v>
      </c>
      <c r="K609" s="62">
        <f t="shared" si="68"/>
        <v>4.9800000000000004E-2</v>
      </c>
      <c r="L609" s="254" t="s">
        <v>46</v>
      </c>
      <c r="M609" s="67"/>
      <c r="N609" s="63">
        <f t="shared" si="69"/>
        <v>0</v>
      </c>
      <c r="O609" s="64">
        <f t="shared" si="70"/>
        <v>1</v>
      </c>
      <c r="P609" s="65">
        <f t="shared" si="71"/>
        <v>4.9800000000000004E-2</v>
      </c>
      <c r="Q609" s="58"/>
      <c r="R609" s="32"/>
      <c r="S609" s="32"/>
    </row>
    <row r="610" spans="1:19">
      <c r="A610" s="48" t="s">
        <v>179</v>
      </c>
      <c r="B610" s="48" t="s">
        <v>169</v>
      </c>
      <c r="C610" s="32"/>
      <c r="D610" s="32"/>
      <c r="E610" s="69" t="s">
        <v>152</v>
      </c>
      <c r="F610" s="69" t="s">
        <v>15</v>
      </c>
      <c r="G610" s="69" t="s">
        <v>144</v>
      </c>
      <c r="H610" s="105">
        <v>5.38</v>
      </c>
      <c r="I610" s="99">
        <v>10</v>
      </c>
      <c r="J610" s="60">
        <v>1</v>
      </c>
      <c r="K610" s="62">
        <f t="shared" si="68"/>
        <v>5.3800000000000001E-2</v>
      </c>
      <c r="L610" s="254" t="s">
        <v>46</v>
      </c>
      <c r="M610" s="67"/>
      <c r="N610" s="63">
        <f t="shared" si="69"/>
        <v>0</v>
      </c>
      <c r="O610" s="64">
        <f t="shared" si="70"/>
        <v>1</v>
      </c>
      <c r="P610" s="65">
        <f t="shared" si="71"/>
        <v>5.3800000000000001E-2</v>
      </c>
      <c r="Q610" s="58"/>
      <c r="R610" s="32"/>
      <c r="S610" s="32"/>
    </row>
    <row r="611" spans="1:19">
      <c r="A611" s="48" t="s">
        <v>179</v>
      </c>
      <c r="B611" s="48" t="s">
        <v>169</v>
      </c>
      <c r="C611" s="32"/>
      <c r="D611" s="32"/>
      <c r="E611" s="69" t="s">
        <v>152</v>
      </c>
      <c r="F611" s="69" t="s">
        <v>15</v>
      </c>
      <c r="G611" s="69" t="s">
        <v>22</v>
      </c>
      <c r="H611" s="61">
        <v>10.73</v>
      </c>
      <c r="I611" s="99">
        <v>10.9</v>
      </c>
      <c r="J611" s="60">
        <v>3</v>
      </c>
      <c r="K611" s="62">
        <f t="shared" si="68"/>
        <v>0.35087100000000004</v>
      </c>
      <c r="L611" s="254" t="s">
        <v>46</v>
      </c>
      <c r="M611" s="32"/>
      <c r="N611" s="18">
        <f t="shared" si="69"/>
        <v>0</v>
      </c>
      <c r="O611" s="64">
        <f t="shared" si="70"/>
        <v>3</v>
      </c>
      <c r="P611" s="65">
        <f t="shared" si="71"/>
        <v>0.35087100000000004</v>
      </c>
      <c r="Q611" s="58"/>
      <c r="R611" s="32"/>
      <c r="S611" s="32"/>
    </row>
    <row r="612" spans="1:19">
      <c r="A612" s="48" t="s">
        <v>179</v>
      </c>
      <c r="B612" s="48" t="s">
        <v>169</v>
      </c>
      <c r="C612" s="32"/>
      <c r="D612" s="32"/>
      <c r="E612" s="69" t="s">
        <v>152</v>
      </c>
      <c r="F612" s="69" t="s">
        <v>15</v>
      </c>
      <c r="G612" s="69" t="s">
        <v>58</v>
      </c>
      <c r="H612" s="61">
        <v>27.29</v>
      </c>
      <c r="I612" s="99">
        <v>6.6</v>
      </c>
      <c r="J612" s="60">
        <v>1</v>
      </c>
      <c r="K612" s="62">
        <f t="shared" si="68"/>
        <v>0.18011399999999997</v>
      </c>
      <c r="L612" s="254" t="s">
        <v>46</v>
      </c>
      <c r="M612" s="67"/>
      <c r="N612" s="63">
        <f t="shared" si="69"/>
        <v>0</v>
      </c>
      <c r="O612" s="64">
        <f t="shared" si="70"/>
        <v>1</v>
      </c>
      <c r="P612" s="65">
        <f t="shared" si="71"/>
        <v>0.18011399999999997</v>
      </c>
      <c r="Q612" s="100"/>
      <c r="R612" s="67"/>
      <c r="S612" s="67"/>
    </row>
    <row r="613" spans="1:19">
      <c r="A613" s="48" t="s">
        <v>179</v>
      </c>
      <c r="B613" s="48" t="s">
        <v>169</v>
      </c>
      <c r="C613" s="32"/>
      <c r="D613" s="32"/>
      <c r="E613" s="69" t="s">
        <v>152</v>
      </c>
      <c r="F613" s="69" t="s">
        <v>15</v>
      </c>
      <c r="G613" s="69" t="s">
        <v>58</v>
      </c>
      <c r="H613" s="61">
        <v>27.29</v>
      </c>
      <c r="I613" s="99">
        <v>6.8</v>
      </c>
      <c r="J613" s="60">
        <v>1</v>
      </c>
      <c r="K613" s="62">
        <f t="shared" si="68"/>
        <v>0.18557200000000001</v>
      </c>
      <c r="L613" s="254" t="s">
        <v>46</v>
      </c>
      <c r="M613" s="67"/>
      <c r="N613" s="63">
        <f t="shared" si="69"/>
        <v>0</v>
      </c>
      <c r="O613" s="64">
        <f t="shared" si="70"/>
        <v>1</v>
      </c>
      <c r="P613" s="65">
        <f t="shared" si="71"/>
        <v>0.18557200000000001</v>
      </c>
      <c r="Q613" s="100"/>
      <c r="R613" s="67"/>
      <c r="S613" s="67"/>
    </row>
    <row r="614" spans="1:19">
      <c r="A614" s="48" t="s">
        <v>179</v>
      </c>
      <c r="B614" s="48" t="s">
        <v>169</v>
      </c>
      <c r="C614" s="32"/>
      <c r="D614" s="32"/>
      <c r="E614" s="69" t="s">
        <v>152</v>
      </c>
      <c r="F614" s="69" t="s">
        <v>15</v>
      </c>
      <c r="G614" s="69" t="s">
        <v>22</v>
      </c>
      <c r="H614" s="61">
        <v>10.73</v>
      </c>
      <c r="I614" s="99">
        <v>11</v>
      </c>
      <c r="J614" s="60">
        <v>1</v>
      </c>
      <c r="K614" s="62">
        <f t="shared" si="68"/>
        <v>0.11803</v>
      </c>
      <c r="L614" s="254" t="s">
        <v>46</v>
      </c>
      <c r="M614" s="32"/>
      <c r="N614" s="18">
        <f t="shared" si="69"/>
        <v>0</v>
      </c>
      <c r="O614" s="64">
        <f t="shared" si="70"/>
        <v>1</v>
      </c>
      <c r="P614" s="65">
        <f t="shared" si="71"/>
        <v>0.11803</v>
      </c>
      <c r="Q614" s="58"/>
      <c r="R614" s="32"/>
      <c r="S614" s="32"/>
    </row>
    <row r="615" spans="1:19">
      <c r="A615" s="48" t="s">
        <v>179</v>
      </c>
      <c r="B615" s="48" t="s">
        <v>169</v>
      </c>
      <c r="C615" s="32"/>
      <c r="D615" s="32"/>
      <c r="E615" s="69" t="s">
        <v>152</v>
      </c>
      <c r="F615" s="69" t="s">
        <v>15</v>
      </c>
      <c r="G615" s="69" t="s">
        <v>30</v>
      </c>
      <c r="H615" s="61">
        <v>9.26</v>
      </c>
      <c r="I615" s="62">
        <v>5.8</v>
      </c>
      <c r="J615" s="60">
        <v>1</v>
      </c>
      <c r="K615" s="62">
        <f t="shared" si="68"/>
        <v>5.3707999999999999E-2</v>
      </c>
      <c r="L615" s="254" t="s">
        <v>46</v>
      </c>
      <c r="M615" s="67"/>
      <c r="N615" s="63">
        <f t="shared" si="69"/>
        <v>0</v>
      </c>
      <c r="O615" s="64">
        <f t="shared" si="70"/>
        <v>1</v>
      </c>
      <c r="P615" s="65">
        <f t="shared" si="71"/>
        <v>5.3707999999999999E-2</v>
      </c>
      <c r="Q615" s="510"/>
      <c r="R615" s="32"/>
      <c r="S615" s="32"/>
    </row>
    <row r="616" spans="1:19">
      <c r="A616" s="48" t="s">
        <v>179</v>
      </c>
      <c r="B616" s="48" t="s">
        <v>169</v>
      </c>
      <c r="C616" s="32"/>
      <c r="D616" s="32"/>
      <c r="E616" s="69" t="s">
        <v>152</v>
      </c>
      <c r="F616" s="69" t="s">
        <v>15</v>
      </c>
      <c r="G616" s="69" t="s">
        <v>30</v>
      </c>
      <c r="H616" s="61">
        <v>9.26</v>
      </c>
      <c r="I616" s="62">
        <v>6.7</v>
      </c>
      <c r="J616" s="60">
        <v>1</v>
      </c>
      <c r="K616" s="62">
        <f t="shared" si="68"/>
        <v>6.2042E-2</v>
      </c>
      <c r="L616" s="254" t="s">
        <v>46</v>
      </c>
      <c r="M616" s="67"/>
      <c r="N616" s="63">
        <f t="shared" si="69"/>
        <v>0</v>
      </c>
      <c r="O616" s="64">
        <f t="shared" si="70"/>
        <v>1</v>
      </c>
      <c r="P616" s="65">
        <f t="shared" si="71"/>
        <v>6.2042E-2</v>
      </c>
      <c r="Q616" s="510"/>
      <c r="R616" s="32"/>
      <c r="S616" s="32"/>
    </row>
    <row r="617" spans="1:19">
      <c r="A617" s="48" t="s">
        <v>179</v>
      </c>
      <c r="B617" s="48" t="s">
        <v>169</v>
      </c>
      <c r="C617" s="32"/>
      <c r="D617" s="32"/>
      <c r="E617" s="69" t="s">
        <v>152</v>
      </c>
      <c r="F617" s="69" t="s">
        <v>15</v>
      </c>
      <c r="G617" s="69" t="s">
        <v>30</v>
      </c>
      <c r="H617" s="61">
        <v>9.26</v>
      </c>
      <c r="I617" s="62">
        <v>7.5</v>
      </c>
      <c r="J617" s="60">
        <v>1</v>
      </c>
      <c r="K617" s="62">
        <f t="shared" si="68"/>
        <v>6.9449999999999998E-2</v>
      </c>
      <c r="L617" s="254" t="s">
        <v>46</v>
      </c>
      <c r="M617" s="67"/>
      <c r="N617" s="63">
        <f t="shared" si="69"/>
        <v>0</v>
      </c>
      <c r="O617" s="64">
        <f t="shared" si="70"/>
        <v>1</v>
      </c>
      <c r="P617" s="65">
        <f t="shared" si="71"/>
        <v>6.9449999999999998E-2</v>
      </c>
      <c r="Q617" s="510"/>
      <c r="R617" s="32"/>
      <c r="S617" s="32"/>
    </row>
    <row r="618" spans="1:19">
      <c r="A618" s="48" t="s">
        <v>179</v>
      </c>
      <c r="B618" s="48" t="s">
        <v>169</v>
      </c>
      <c r="C618" s="32"/>
      <c r="D618" s="32"/>
      <c r="E618" s="69" t="s">
        <v>152</v>
      </c>
      <c r="F618" s="69" t="s">
        <v>15</v>
      </c>
      <c r="G618" s="69" t="s">
        <v>30</v>
      </c>
      <c r="H618" s="61">
        <v>9.26</v>
      </c>
      <c r="I618" s="331">
        <v>12</v>
      </c>
      <c r="J618" s="60">
        <v>1</v>
      </c>
      <c r="K618" s="62">
        <f t="shared" si="68"/>
        <v>0.11112000000000001</v>
      </c>
      <c r="L618" s="254" t="s">
        <v>46</v>
      </c>
      <c r="M618" s="67"/>
      <c r="N618" s="63">
        <f t="shared" si="69"/>
        <v>0</v>
      </c>
      <c r="O618" s="64">
        <f t="shared" si="70"/>
        <v>1</v>
      </c>
      <c r="P618" s="65">
        <f t="shared" si="71"/>
        <v>0.11112000000000001</v>
      </c>
      <c r="Q618" s="510"/>
      <c r="R618" s="32"/>
      <c r="S618" s="32"/>
    </row>
    <row r="619" spans="1:19">
      <c r="A619" s="48" t="s">
        <v>179</v>
      </c>
      <c r="B619" s="48" t="s">
        <v>169</v>
      </c>
      <c r="C619" s="32"/>
      <c r="D619" s="32"/>
      <c r="E619" s="48" t="s">
        <v>152</v>
      </c>
      <c r="F619" s="48" t="s">
        <v>15</v>
      </c>
      <c r="G619" s="48" t="s">
        <v>183</v>
      </c>
      <c r="H619" s="53">
        <v>4.03</v>
      </c>
      <c r="I619" s="52">
        <v>6.8</v>
      </c>
      <c r="J619" s="7">
        <v>1</v>
      </c>
      <c r="K619" s="10">
        <f t="shared" ref="K619:K620" si="73">(H619*I619*J619/1000)</f>
        <v>2.7404000000000001E-2</v>
      </c>
      <c r="L619" s="255" t="s">
        <v>46</v>
      </c>
      <c r="M619" s="32"/>
      <c r="N619" s="18">
        <f t="shared" ref="N619:N620" si="74">I619*M619*H619/1000</f>
        <v>0</v>
      </c>
      <c r="O619" s="19">
        <f t="shared" ref="O619:O620" si="75">J619-M619</f>
        <v>1</v>
      </c>
      <c r="P619" s="13">
        <f t="shared" ref="P619:P620" si="76">I619*O619*H619/1000</f>
        <v>2.7404000000000001E-2</v>
      </c>
      <c r="Q619" s="58"/>
      <c r="R619" s="32"/>
      <c r="S619" s="32"/>
    </row>
    <row r="620" spans="1:19">
      <c r="A620" s="48" t="s">
        <v>179</v>
      </c>
      <c r="B620" s="48" t="s">
        <v>169</v>
      </c>
      <c r="C620" s="32"/>
      <c r="D620" s="32"/>
      <c r="E620" s="48" t="s">
        <v>152</v>
      </c>
      <c r="F620" s="48" t="s">
        <v>15</v>
      </c>
      <c r="G620" s="48" t="s">
        <v>101</v>
      </c>
      <c r="H620" s="53">
        <v>12.2</v>
      </c>
      <c r="I620" s="52">
        <v>8</v>
      </c>
      <c r="J620" s="7">
        <v>1</v>
      </c>
      <c r="K620" s="10">
        <f t="shared" si="73"/>
        <v>9.7599999999999992E-2</v>
      </c>
      <c r="L620" s="255" t="s">
        <v>46</v>
      </c>
      <c r="M620" s="32"/>
      <c r="N620" s="18">
        <f t="shared" si="74"/>
        <v>0</v>
      </c>
      <c r="O620" s="19">
        <f t="shared" si="75"/>
        <v>1</v>
      </c>
      <c r="P620" s="13">
        <f t="shared" si="76"/>
        <v>9.7599999999999992E-2</v>
      </c>
      <c r="Q620" s="58"/>
      <c r="R620" s="32"/>
      <c r="S620" s="32"/>
    </row>
    <row r="621" spans="1:19">
      <c r="A621" s="48" t="s">
        <v>179</v>
      </c>
      <c r="B621" s="48" t="s">
        <v>169</v>
      </c>
      <c r="C621" s="32"/>
      <c r="D621" s="32"/>
      <c r="E621" s="48" t="s">
        <v>152</v>
      </c>
      <c r="F621" s="48" t="s">
        <v>15</v>
      </c>
      <c r="G621" s="48" t="s">
        <v>101</v>
      </c>
      <c r="H621" s="53">
        <v>12.2</v>
      </c>
      <c r="I621" s="52">
        <v>4.8499999999999996</v>
      </c>
      <c r="J621" s="7">
        <v>1</v>
      </c>
      <c r="K621" s="10">
        <f t="shared" si="68"/>
        <v>5.9169999999999993E-2</v>
      </c>
      <c r="L621" s="255" t="s">
        <v>46</v>
      </c>
      <c r="M621" s="32"/>
      <c r="N621" s="18">
        <f t="shared" si="69"/>
        <v>0</v>
      </c>
      <c r="O621" s="19">
        <f t="shared" si="70"/>
        <v>1</v>
      </c>
      <c r="P621" s="13">
        <f t="shared" si="71"/>
        <v>5.9169999999999993E-2</v>
      </c>
      <c r="Q621" s="58"/>
      <c r="R621" s="32"/>
      <c r="S621" s="32"/>
    </row>
    <row r="622" spans="1:19">
      <c r="A622" s="42" t="s">
        <v>78</v>
      </c>
      <c r="B622" s="3" t="s">
        <v>79</v>
      </c>
      <c r="C622" s="3">
        <v>1</v>
      </c>
      <c r="D622" s="1"/>
      <c r="E622" s="20" t="s">
        <v>17</v>
      </c>
      <c r="F622" s="7" t="s">
        <v>15</v>
      </c>
      <c r="G622" s="7" t="s">
        <v>36</v>
      </c>
      <c r="H622" s="11">
        <v>10.199999999999999</v>
      </c>
      <c r="I622" s="8">
        <v>12</v>
      </c>
      <c r="J622" s="26">
        <v>1</v>
      </c>
      <c r="K622" s="10">
        <f t="shared" si="56"/>
        <v>0.12239999999999999</v>
      </c>
      <c r="L622" s="4"/>
      <c r="M622" s="17">
        <v>1</v>
      </c>
      <c r="N622" s="18">
        <f t="shared" si="57"/>
        <v>0.12239999999999999</v>
      </c>
      <c r="O622" s="19">
        <f t="shared" si="58"/>
        <v>0</v>
      </c>
      <c r="P622" s="13">
        <f t="shared" si="59"/>
        <v>0</v>
      </c>
      <c r="Q622" s="9">
        <v>12</v>
      </c>
      <c r="R622" s="2">
        <v>1</v>
      </c>
      <c r="S622" s="2" t="s">
        <v>196</v>
      </c>
    </row>
    <row r="623" spans="1:19">
      <c r="A623" s="42" t="s">
        <v>78</v>
      </c>
      <c r="B623" s="3" t="s">
        <v>79</v>
      </c>
      <c r="C623" s="3">
        <v>2</v>
      </c>
      <c r="D623" s="1"/>
      <c r="E623" s="20" t="s">
        <v>17</v>
      </c>
      <c r="F623" s="7" t="s">
        <v>15</v>
      </c>
      <c r="G623" s="7" t="s">
        <v>18</v>
      </c>
      <c r="H623" s="11">
        <v>6.86</v>
      </c>
      <c r="I623" s="8">
        <v>10.4</v>
      </c>
      <c r="J623" s="26">
        <v>1</v>
      </c>
      <c r="K623" s="10">
        <f t="shared" si="56"/>
        <v>7.1344000000000005E-2</v>
      </c>
      <c r="L623" s="4"/>
      <c r="M623" s="17">
        <v>1</v>
      </c>
      <c r="N623" s="18">
        <f t="shared" si="57"/>
        <v>7.1344000000000005E-2</v>
      </c>
      <c r="O623" s="19">
        <f t="shared" si="58"/>
        <v>0</v>
      </c>
      <c r="P623" s="13">
        <f t="shared" si="59"/>
        <v>0</v>
      </c>
      <c r="Q623" s="9">
        <v>10</v>
      </c>
      <c r="R623" s="2">
        <v>1</v>
      </c>
      <c r="S623" s="2" t="s">
        <v>208</v>
      </c>
    </row>
    <row r="624" spans="1:19">
      <c r="A624" s="42" t="s">
        <v>78</v>
      </c>
      <c r="B624" s="3" t="s">
        <v>79</v>
      </c>
      <c r="C624" s="3">
        <v>3</v>
      </c>
      <c r="D624" s="1"/>
      <c r="E624" s="12" t="s">
        <v>19</v>
      </c>
      <c r="F624" s="7" t="s">
        <v>14</v>
      </c>
      <c r="G624" s="7" t="s">
        <v>30</v>
      </c>
      <c r="H624" s="11">
        <v>9.26</v>
      </c>
      <c r="I624" s="8">
        <v>10</v>
      </c>
      <c r="J624" s="26">
        <v>1</v>
      </c>
      <c r="K624" s="10">
        <f t="shared" si="56"/>
        <v>9.2599999999999988E-2</v>
      </c>
      <c r="L624" s="4"/>
      <c r="M624" s="17">
        <v>1</v>
      </c>
      <c r="N624" s="18">
        <f t="shared" si="57"/>
        <v>9.2599999999999988E-2</v>
      </c>
      <c r="O624" s="19">
        <f t="shared" si="58"/>
        <v>0</v>
      </c>
      <c r="P624" s="13">
        <f t="shared" si="59"/>
        <v>0</v>
      </c>
      <c r="Q624" s="9">
        <v>7.6</v>
      </c>
      <c r="R624" s="2">
        <v>1</v>
      </c>
      <c r="S624" s="2" t="s">
        <v>212</v>
      </c>
    </row>
    <row r="625" spans="1:19">
      <c r="A625" s="42" t="s">
        <v>78</v>
      </c>
      <c r="B625" s="3" t="s">
        <v>79</v>
      </c>
      <c r="C625" s="3">
        <v>3</v>
      </c>
      <c r="D625" s="1"/>
      <c r="E625" s="12" t="s">
        <v>20</v>
      </c>
      <c r="F625" s="7" t="s">
        <v>15</v>
      </c>
      <c r="G625" s="7" t="s">
        <v>30</v>
      </c>
      <c r="H625" s="11">
        <v>9.26</v>
      </c>
      <c r="I625" s="184">
        <v>8.3000000000000007</v>
      </c>
      <c r="J625" s="26">
        <v>1</v>
      </c>
      <c r="K625" s="10">
        <f t="shared" si="56"/>
        <v>7.685800000000001E-2</v>
      </c>
      <c r="L625" s="4"/>
      <c r="M625" s="17">
        <v>1</v>
      </c>
      <c r="N625" s="18">
        <f t="shared" si="57"/>
        <v>7.685800000000001E-2</v>
      </c>
      <c r="O625" s="19">
        <f t="shared" si="58"/>
        <v>0</v>
      </c>
      <c r="P625" s="13">
        <f t="shared" si="59"/>
        <v>0</v>
      </c>
      <c r="Q625" s="159">
        <v>6.4</v>
      </c>
      <c r="R625" s="35">
        <v>1</v>
      </c>
      <c r="S625" s="2" t="s">
        <v>739</v>
      </c>
    </row>
    <row r="626" spans="1:19">
      <c r="A626" s="42" t="s">
        <v>78</v>
      </c>
      <c r="B626" s="3" t="s">
        <v>79</v>
      </c>
      <c r="C626" s="3">
        <v>3</v>
      </c>
      <c r="D626" s="1"/>
      <c r="E626" s="12" t="s">
        <v>19</v>
      </c>
      <c r="F626" s="7" t="s">
        <v>14</v>
      </c>
      <c r="G626" s="7" t="s">
        <v>32</v>
      </c>
      <c r="H626" s="11">
        <v>8.3000000000000007</v>
      </c>
      <c r="I626" s="8">
        <v>7.2</v>
      </c>
      <c r="J626" s="26">
        <v>1</v>
      </c>
      <c r="K626" s="10">
        <f t="shared" si="56"/>
        <v>5.9760000000000008E-2</v>
      </c>
      <c r="L626" s="4"/>
      <c r="M626" s="17">
        <v>1</v>
      </c>
      <c r="N626" s="18">
        <f t="shared" si="57"/>
        <v>5.9760000000000008E-2</v>
      </c>
      <c r="O626" s="19">
        <f t="shared" si="58"/>
        <v>0</v>
      </c>
      <c r="P626" s="13">
        <f t="shared" si="59"/>
        <v>0</v>
      </c>
      <c r="Q626" s="9">
        <v>7.15</v>
      </c>
      <c r="R626" s="2">
        <v>1</v>
      </c>
      <c r="S626" s="2" t="s">
        <v>732</v>
      </c>
    </row>
    <row r="627" spans="1:19">
      <c r="A627" s="42" t="s">
        <v>78</v>
      </c>
      <c r="B627" s="3" t="s">
        <v>79</v>
      </c>
      <c r="C627" s="3">
        <v>1</v>
      </c>
      <c r="D627" s="1"/>
      <c r="E627" s="20" t="s">
        <v>17</v>
      </c>
      <c r="F627" s="7" t="s">
        <v>15</v>
      </c>
      <c r="G627" s="7" t="s">
        <v>30</v>
      </c>
      <c r="H627" s="11">
        <v>9.26</v>
      </c>
      <c r="I627" s="184">
        <v>8.5</v>
      </c>
      <c r="J627" s="26">
        <v>1</v>
      </c>
      <c r="K627" s="10">
        <f t="shared" si="56"/>
        <v>7.8709999999999988E-2</v>
      </c>
      <c r="L627" s="4"/>
      <c r="M627" s="17">
        <v>1</v>
      </c>
      <c r="N627" s="18">
        <f t="shared" si="57"/>
        <v>7.8709999999999988E-2</v>
      </c>
      <c r="O627" s="19">
        <f t="shared" si="58"/>
        <v>0</v>
      </c>
      <c r="P627" s="13">
        <f t="shared" si="59"/>
        <v>0</v>
      </c>
      <c r="Q627" s="9">
        <v>8</v>
      </c>
      <c r="R627" s="35">
        <v>1</v>
      </c>
      <c r="S627" s="2" t="s">
        <v>267</v>
      </c>
    </row>
    <row r="628" spans="1:19">
      <c r="A628" s="42" t="s">
        <v>78</v>
      </c>
      <c r="B628" s="3" t="s">
        <v>79</v>
      </c>
      <c r="C628" s="3">
        <v>1</v>
      </c>
      <c r="D628" s="1"/>
      <c r="E628" s="20" t="s">
        <v>17</v>
      </c>
      <c r="F628" s="7" t="s">
        <v>15</v>
      </c>
      <c r="G628" s="7" t="s">
        <v>30</v>
      </c>
      <c r="H628" s="11">
        <v>9.26</v>
      </c>
      <c r="I628" s="184">
        <v>9.1999999999999993</v>
      </c>
      <c r="J628" s="26">
        <v>4</v>
      </c>
      <c r="K628" s="10">
        <f t="shared" si="56"/>
        <v>0.34076799999999996</v>
      </c>
      <c r="L628" s="4"/>
      <c r="M628" s="17">
        <v>4</v>
      </c>
      <c r="N628" s="18">
        <f t="shared" si="57"/>
        <v>0.34076799999999996</v>
      </c>
      <c r="O628" s="19">
        <f t="shared" si="58"/>
        <v>0</v>
      </c>
      <c r="P628" s="13">
        <f t="shared" si="59"/>
        <v>0</v>
      </c>
      <c r="Q628" s="9">
        <v>9</v>
      </c>
      <c r="R628" s="35">
        <v>4</v>
      </c>
      <c r="S628" s="2" t="s">
        <v>267</v>
      </c>
    </row>
    <row r="629" spans="1:19">
      <c r="A629" s="42" t="s">
        <v>78</v>
      </c>
      <c r="B629" s="3" t="s">
        <v>79</v>
      </c>
      <c r="C629" s="3">
        <v>1</v>
      </c>
      <c r="D629" s="1"/>
      <c r="E629" s="20" t="s">
        <v>17</v>
      </c>
      <c r="F629" s="7" t="s">
        <v>15</v>
      </c>
      <c r="G629" s="7" t="s">
        <v>30</v>
      </c>
      <c r="H629" s="11">
        <v>9.26</v>
      </c>
      <c r="I629" s="184">
        <v>9.6999999999999993</v>
      </c>
      <c r="J629" s="26">
        <v>2</v>
      </c>
      <c r="K629" s="10">
        <f t="shared" si="56"/>
        <v>0.17964399999999997</v>
      </c>
      <c r="L629" s="4"/>
      <c r="M629" s="17">
        <v>2</v>
      </c>
      <c r="N629" s="18">
        <f t="shared" si="57"/>
        <v>0.17964399999999997</v>
      </c>
      <c r="O629" s="19">
        <f t="shared" si="58"/>
        <v>0</v>
      </c>
      <c r="P629" s="13">
        <f t="shared" si="59"/>
        <v>0</v>
      </c>
      <c r="Q629" s="9">
        <v>8.5</v>
      </c>
      <c r="R629" s="2">
        <v>2</v>
      </c>
      <c r="S629" s="2"/>
    </row>
    <row r="630" spans="1:19">
      <c r="A630" s="42" t="s">
        <v>78</v>
      </c>
      <c r="B630" s="3" t="s">
        <v>79</v>
      </c>
      <c r="C630" s="3">
        <v>2</v>
      </c>
      <c r="D630" s="1"/>
      <c r="E630" s="20" t="s">
        <v>17</v>
      </c>
      <c r="F630" s="7" t="s">
        <v>15</v>
      </c>
      <c r="G630" s="7" t="s">
        <v>30</v>
      </c>
      <c r="H630" s="11">
        <v>9.26</v>
      </c>
      <c r="I630" s="184">
        <v>7.95</v>
      </c>
      <c r="J630" s="26">
        <v>6</v>
      </c>
      <c r="K630" s="10">
        <f t="shared" si="56"/>
        <v>0.44170199999999998</v>
      </c>
      <c r="L630" s="4"/>
      <c r="M630" s="17">
        <v>6</v>
      </c>
      <c r="N630" s="18">
        <f t="shared" si="57"/>
        <v>0.44170199999999998</v>
      </c>
      <c r="O630" s="19">
        <f t="shared" si="58"/>
        <v>0</v>
      </c>
      <c r="P630" s="13">
        <f t="shared" si="59"/>
        <v>0</v>
      </c>
      <c r="Q630" s="9"/>
      <c r="R630" s="2"/>
      <c r="S630" s="2"/>
    </row>
    <row r="631" spans="1:19">
      <c r="A631" s="42" t="s">
        <v>78</v>
      </c>
      <c r="B631" s="3" t="s">
        <v>79</v>
      </c>
      <c r="C631" s="3">
        <v>2</v>
      </c>
      <c r="D631" s="1"/>
      <c r="E631" s="20" t="s">
        <v>17</v>
      </c>
      <c r="F631" s="7" t="s">
        <v>15</v>
      </c>
      <c r="G631" s="7" t="s">
        <v>30</v>
      </c>
      <c r="H631" s="11">
        <v>9.26</v>
      </c>
      <c r="I631" s="184">
        <v>7.5</v>
      </c>
      <c r="J631" s="26">
        <v>2</v>
      </c>
      <c r="K631" s="10">
        <f t="shared" si="56"/>
        <v>0.1389</v>
      </c>
      <c r="L631" s="4"/>
      <c r="M631" s="17">
        <v>2</v>
      </c>
      <c r="N631" s="18">
        <f t="shared" si="57"/>
        <v>0.1389</v>
      </c>
      <c r="O631" s="19">
        <f t="shared" si="58"/>
        <v>0</v>
      </c>
      <c r="P631" s="13">
        <f t="shared" si="59"/>
        <v>0</v>
      </c>
      <c r="Q631" s="9"/>
      <c r="R631" s="2"/>
      <c r="S631" s="2"/>
    </row>
    <row r="632" spans="1:19">
      <c r="A632" s="42" t="s">
        <v>78</v>
      </c>
      <c r="B632" s="3" t="s">
        <v>79</v>
      </c>
      <c r="C632" s="3">
        <v>2</v>
      </c>
      <c r="D632" s="1"/>
      <c r="E632" s="20" t="s">
        <v>17</v>
      </c>
      <c r="F632" s="7" t="s">
        <v>15</v>
      </c>
      <c r="G632" s="7" t="s">
        <v>30</v>
      </c>
      <c r="H632" s="11">
        <v>9.26</v>
      </c>
      <c r="I632" s="184">
        <v>7.25</v>
      </c>
      <c r="J632" s="26">
        <v>1</v>
      </c>
      <c r="K632" s="10">
        <f t="shared" si="56"/>
        <v>6.7135E-2</v>
      </c>
      <c r="L632" s="4"/>
      <c r="M632" s="17">
        <v>1</v>
      </c>
      <c r="N632" s="18">
        <f t="shared" si="57"/>
        <v>6.7135E-2</v>
      </c>
      <c r="O632" s="19">
        <f t="shared" si="58"/>
        <v>0</v>
      </c>
      <c r="P632" s="13">
        <f t="shared" si="59"/>
        <v>0</v>
      </c>
      <c r="Q632" s="9"/>
      <c r="R632" s="2"/>
      <c r="S632" s="2"/>
    </row>
    <row r="633" spans="1:19">
      <c r="A633" s="42" t="s">
        <v>78</v>
      </c>
      <c r="B633" s="3" t="s">
        <v>79</v>
      </c>
      <c r="C633" s="3">
        <v>2</v>
      </c>
      <c r="D633" s="1"/>
      <c r="E633" s="20" t="s">
        <v>17</v>
      </c>
      <c r="F633" s="7" t="s">
        <v>15</v>
      </c>
      <c r="G633" s="7" t="s">
        <v>30</v>
      </c>
      <c r="H633" s="11">
        <v>9.26</v>
      </c>
      <c r="I633" s="184">
        <v>7.25</v>
      </c>
      <c r="J633" s="26">
        <v>9</v>
      </c>
      <c r="K633" s="10">
        <f t="shared" si="56"/>
        <v>0.60421500000000006</v>
      </c>
      <c r="L633" s="4"/>
      <c r="M633" s="17">
        <v>9</v>
      </c>
      <c r="N633" s="18">
        <f t="shared" si="57"/>
        <v>0.60421500000000006</v>
      </c>
      <c r="O633" s="19">
        <f t="shared" si="58"/>
        <v>0</v>
      </c>
      <c r="P633" s="13">
        <f t="shared" si="59"/>
        <v>0</v>
      </c>
      <c r="Q633" s="9"/>
      <c r="R633" s="2"/>
      <c r="S633" s="2"/>
    </row>
    <row r="634" spans="1:19">
      <c r="A634" s="42" t="s">
        <v>78</v>
      </c>
      <c r="B634" s="3" t="s">
        <v>79</v>
      </c>
      <c r="C634" s="3">
        <v>3</v>
      </c>
      <c r="D634" s="1"/>
      <c r="E634" s="20" t="s">
        <v>17</v>
      </c>
      <c r="F634" s="7" t="s">
        <v>15</v>
      </c>
      <c r="G634" s="7" t="s">
        <v>30</v>
      </c>
      <c r="H634" s="11">
        <v>9.26</v>
      </c>
      <c r="I634" s="184">
        <v>6.95</v>
      </c>
      <c r="J634" s="26">
        <v>4</v>
      </c>
      <c r="K634" s="10">
        <f t="shared" si="56"/>
        <v>0.25742799999999999</v>
      </c>
      <c r="L634" s="4"/>
      <c r="M634" s="17">
        <v>4</v>
      </c>
      <c r="N634" s="18">
        <f t="shared" si="57"/>
        <v>0.25742799999999999</v>
      </c>
      <c r="O634" s="87">
        <f t="shared" si="58"/>
        <v>0</v>
      </c>
      <c r="P634" s="13">
        <f t="shared" si="59"/>
        <v>0</v>
      </c>
      <c r="Q634" s="9">
        <v>6.25</v>
      </c>
      <c r="R634" s="2">
        <v>4</v>
      </c>
      <c r="S634" s="2" t="s">
        <v>516</v>
      </c>
    </row>
    <row r="635" spans="1:19">
      <c r="A635" s="42" t="s">
        <v>78</v>
      </c>
      <c r="B635" s="3" t="s">
        <v>79</v>
      </c>
      <c r="C635" s="3">
        <v>3</v>
      </c>
      <c r="D635" s="1"/>
      <c r="E635" s="20" t="s">
        <v>17</v>
      </c>
      <c r="F635" s="7" t="s">
        <v>15</v>
      </c>
      <c r="G635" s="7" t="s">
        <v>30</v>
      </c>
      <c r="H635" s="11">
        <v>9.26</v>
      </c>
      <c r="I635" s="184">
        <v>6.2</v>
      </c>
      <c r="J635" s="26">
        <v>1</v>
      </c>
      <c r="K635" s="10">
        <f t="shared" si="56"/>
        <v>5.7411999999999998E-2</v>
      </c>
      <c r="L635" s="4"/>
      <c r="M635" s="17"/>
      <c r="N635" s="18">
        <f t="shared" si="57"/>
        <v>0</v>
      </c>
      <c r="O635" s="19">
        <f t="shared" si="58"/>
        <v>1</v>
      </c>
      <c r="P635" s="13">
        <f t="shared" si="59"/>
        <v>5.7411999999999998E-2</v>
      </c>
      <c r="Q635" s="111"/>
      <c r="R635" s="2"/>
      <c r="S635" s="2"/>
    </row>
    <row r="636" spans="1:19">
      <c r="A636" s="42" t="s">
        <v>78</v>
      </c>
      <c r="B636" s="3" t="s">
        <v>79</v>
      </c>
      <c r="C636" s="3">
        <v>4</v>
      </c>
      <c r="D636" s="1"/>
      <c r="E636" s="20" t="s">
        <v>17</v>
      </c>
      <c r="F636" s="7" t="s">
        <v>15</v>
      </c>
      <c r="G636" s="7" t="s">
        <v>36</v>
      </c>
      <c r="H636" s="11">
        <v>10.199999999999999</v>
      </c>
      <c r="I636" s="8">
        <v>12</v>
      </c>
      <c r="J636" s="26">
        <v>3</v>
      </c>
      <c r="K636" s="10">
        <f t="shared" si="56"/>
        <v>0.36719999999999997</v>
      </c>
      <c r="L636" s="4"/>
      <c r="M636" s="17">
        <v>3</v>
      </c>
      <c r="N636" s="18">
        <f t="shared" si="57"/>
        <v>0.36719999999999997</v>
      </c>
      <c r="O636" s="19">
        <f t="shared" si="58"/>
        <v>0</v>
      </c>
      <c r="P636" s="13">
        <f t="shared" si="59"/>
        <v>0</v>
      </c>
      <c r="Q636" s="9">
        <v>12</v>
      </c>
      <c r="R636" s="2">
        <v>3</v>
      </c>
      <c r="S636" s="2" t="s">
        <v>196</v>
      </c>
    </row>
    <row r="637" spans="1:19">
      <c r="A637" s="42" t="s">
        <v>78</v>
      </c>
      <c r="B637" s="3" t="s">
        <v>79</v>
      </c>
      <c r="C637" s="3">
        <v>4</v>
      </c>
      <c r="D637" s="1"/>
      <c r="E637" s="20" t="s">
        <v>17</v>
      </c>
      <c r="F637" s="7" t="s">
        <v>15</v>
      </c>
      <c r="G637" s="7" t="s">
        <v>36</v>
      </c>
      <c r="H637" s="11">
        <v>10.199999999999999</v>
      </c>
      <c r="I637" s="8">
        <v>9</v>
      </c>
      <c r="J637" s="26">
        <v>1</v>
      </c>
      <c r="K637" s="10">
        <f t="shared" si="56"/>
        <v>9.1799999999999993E-2</v>
      </c>
      <c r="L637" s="4"/>
      <c r="M637" s="17">
        <v>1</v>
      </c>
      <c r="N637" s="18">
        <f t="shared" si="57"/>
        <v>9.1799999999999993E-2</v>
      </c>
      <c r="O637" s="19">
        <f t="shared" si="58"/>
        <v>0</v>
      </c>
      <c r="P637" s="13">
        <f t="shared" si="59"/>
        <v>0</v>
      </c>
      <c r="Q637" s="9">
        <v>8.25</v>
      </c>
      <c r="R637" s="2">
        <v>1</v>
      </c>
      <c r="S637" s="2" t="s">
        <v>196</v>
      </c>
    </row>
    <row r="638" spans="1:19">
      <c r="A638" s="42" t="s">
        <v>78</v>
      </c>
      <c r="B638" s="3" t="s">
        <v>79</v>
      </c>
      <c r="C638" s="3">
        <v>4</v>
      </c>
      <c r="D638" s="1"/>
      <c r="E638" s="20" t="s">
        <v>17</v>
      </c>
      <c r="F638" s="7" t="s">
        <v>15</v>
      </c>
      <c r="G638" s="7" t="s">
        <v>36</v>
      </c>
      <c r="H638" s="11">
        <v>10.199999999999999</v>
      </c>
      <c r="I638" s="8">
        <v>6</v>
      </c>
      <c r="J638" s="26">
        <v>1</v>
      </c>
      <c r="K638" s="10">
        <f t="shared" si="56"/>
        <v>6.1199999999999997E-2</v>
      </c>
      <c r="L638" s="4"/>
      <c r="M638" s="17">
        <v>1</v>
      </c>
      <c r="N638" s="18">
        <f t="shared" si="57"/>
        <v>6.1199999999999997E-2</v>
      </c>
      <c r="O638" s="19">
        <f t="shared" si="58"/>
        <v>0</v>
      </c>
      <c r="P638" s="13">
        <f t="shared" si="59"/>
        <v>0</v>
      </c>
      <c r="Q638" s="9">
        <v>6</v>
      </c>
      <c r="R638" s="2">
        <v>1</v>
      </c>
      <c r="S638" s="2" t="s">
        <v>199</v>
      </c>
    </row>
    <row r="639" spans="1:19">
      <c r="A639" s="42" t="s">
        <v>78</v>
      </c>
      <c r="B639" s="3" t="s">
        <v>79</v>
      </c>
      <c r="C639" s="3">
        <v>5</v>
      </c>
      <c r="D639" s="1"/>
      <c r="E639" s="20" t="s">
        <v>24</v>
      </c>
      <c r="F639" s="7" t="s">
        <v>14</v>
      </c>
      <c r="G639" s="7" t="s">
        <v>37</v>
      </c>
      <c r="H639" s="11">
        <v>18.149999999999999</v>
      </c>
      <c r="I639" s="8">
        <v>11.3</v>
      </c>
      <c r="J639" s="26">
        <v>6</v>
      </c>
      <c r="K639" s="10">
        <f t="shared" si="56"/>
        <v>1.2305699999999999</v>
      </c>
      <c r="L639" s="4"/>
      <c r="M639" s="17">
        <v>6</v>
      </c>
      <c r="N639" s="18">
        <f t="shared" si="57"/>
        <v>1.2305700000000002</v>
      </c>
      <c r="O639" s="19">
        <f t="shared" si="58"/>
        <v>0</v>
      </c>
      <c r="P639" s="13">
        <f t="shared" si="59"/>
        <v>0</v>
      </c>
      <c r="Q639" s="9" t="s">
        <v>306</v>
      </c>
      <c r="R639" s="2">
        <v>6</v>
      </c>
      <c r="S639" s="2" t="s">
        <v>307</v>
      </c>
    </row>
    <row r="640" spans="1:19">
      <c r="A640" s="42" t="s">
        <v>78</v>
      </c>
      <c r="B640" s="3" t="s">
        <v>79</v>
      </c>
      <c r="C640" s="3">
        <v>6</v>
      </c>
      <c r="D640" s="1"/>
      <c r="E640" s="20" t="s">
        <v>24</v>
      </c>
      <c r="F640" s="7" t="s">
        <v>14</v>
      </c>
      <c r="G640" s="7" t="s">
        <v>25</v>
      </c>
      <c r="H640" s="11">
        <v>7.34</v>
      </c>
      <c r="I640" s="8">
        <v>9.6999999999999993</v>
      </c>
      <c r="J640" s="26">
        <v>3</v>
      </c>
      <c r="K640" s="10">
        <f t="shared" si="56"/>
        <v>0.21359400000000001</v>
      </c>
      <c r="L640" s="4"/>
      <c r="M640" s="17">
        <v>3</v>
      </c>
      <c r="N640" s="18">
        <f t="shared" si="57"/>
        <v>0.21359400000000001</v>
      </c>
      <c r="O640" s="19">
        <f t="shared" si="58"/>
        <v>0</v>
      </c>
      <c r="P640" s="13">
        <f t="shared" si="59"/>
        <v>0</v>
      </c>
      <c r="Q640" s="9">
        <v>9.5</v>
      </c>
      <c r="R640" s="2">
        <v>3</v>
      </c>
      <c r="S640" s="2" t="s">
        <v>320</v>
      </c>
    </row>
    <row r="641" spans="1:21">
      <c r="A641" s="42" t="s">
        <v>78</v>
      </c>
      <c r="B641" s="3" t="s">
        <v>79</v>
      </c>
      <c r="C641" s="3">
        <v>7</v>
      </c>
      <c r="D641" s="1"/>
      <c r="E641" s="20" t="s">
        <v>17</v>
      </c>
      <c r="F641" s="7" t="s">
        <v>15</v>
      </c>
      <c r="G641" s="7" t="s">
        <v>25</v>
      </c>
      <c r="H641" s="11">
        <v>7.34</v>
      </c>
      <c r="I641" s="8">
        <v>11.2</v>
      </c>
      <c r="J641" s="26">
        <v>2</v>
      </c>
      <c r="K641" s="10">
        <f t="shared" si="56"/>
        <v>0.16441600000000001</v>
      </c>
      <c r="L641" s="4"/>
      <c r="M641" s="17">
        <v>2</v>
      </c>
      <c r="N641" s="18">
        <f t="shared" si="57"/>
        <v>0.16441600000000001</v>
      </c>
      <c r="O641" s="19">
        <f t="shared" si="58"/>
        <v>0</v>
      </c>
      <c r="P641" s="13">
        <f t="shared" si="59"/>
        <v>0</v>
      </c>
      <c r="Q641" s="9"/>
      <c r="R641" s="2"/>
      <c r="S641" s="50">
        <v>11</v>
      </c>
      <c r="T641">
        <v>2</v>
      </c>
      <c r="U641" s="213" t="s">
        <v>268</v>
      </c>
    </row>
    <row r="642" spans="1:21">
      <c r="A642" s="42" t="s">
        <v>78</v>
      </c>
      <c r="B642" s="3" t="s">
        <v>79</v>
      </c>
      <c r="C642" s="3">
        <v>7</v>
      </c>
      <c r="D642" s="1"/>
      <c r="E642" s="20" t="s">
        <v>17</v>
      </c>
      <c r="F642" s="7" t="s">
        <v>15</v>
      </c>
      <c r="G642" s="7" t="s">
        <v>25</v>
      </c>
      <c r="H642" s="11">
        <v>7.34</v>
      </c>
      <c r="I642" s="8">
        <v>11.5</v>
      </c>
      <c r="J642" s="26">
        <v>4</v>
      </c>
      <c r="K642" s="10">
        <f t="shared" si="56"/>
        <v>0.33764</v>
      </c>
      <c r="L642" s="4"/>
      <c r="M642" s="17">
        <v>4</v>
      </c>
      <c r="N642" s="18">
        <f t="shared" si="57"/>
        <v>0.33764</v>
      </c>
      <c r="O642" s="19">
        <f t="shared" si="58"/>
        <v>0</v>
      </c>
      <c r="P642" s="13">
        <f t="shared" si="59"/>
        <v>0</v>
      </c>
      <c r="Q642" s="9"/>
      <c r="R642" s="2"/>
      <c r="S642" s="2"/>
    </row>
    <row r="643" spans="1:21">
      <c r="A643" s="42" t="s">
        <v>78</v>
      </c>
      <c r="B643" s="3" t="s">
        <v>79</v>
      </c>
      <c r="C643" s="3"/>
      <c r="D643" s="1"/>
      <c r="E643" s="20" t="s">
        <v>17</v>
      </c>
      <c r="F643" s="7" t="s">
        <v>15</v>
      </c>
      <c r="G643" s="7" t="s">
        <v>41</v>
      </c>
      <c r="H643" s="11">
        <v>11.8</v>
      </c>
      <c r="I643" s="8">
        <v>8.3000000000000007</v>
      </c>
      <c r="J643" s="26">
        <v>1</v>
      </c>
      <c r="K643" s="10">
        <f t="shared" si="56"/>
        <v>9.7940000000000013E-2</v>
      </c>
      <c r="L643" s="4"/>
      <c r="M643" s="17">
        <v>1</v>
      </c>
      <c r="N643" s="18">
        <f t="shared" si="57"/>
        <v>9.7940000000000013E-2</v>
      </c>
      <c r="O643" s="19">
        <f t="shared" si="58"/>
        <v>0</v>
      </c>
      <c r="P643" s="13">
        <f t="shared" si="59"/>
        <v>0</v>
      </c>
      <c r="Q643" s="9">
        <v>7.5</v>
      </c>
      <c r="R643" s="2">
        <v>1</v>
      </c>
      <c r="S643" s="2" t="s">
        <v>202</v>
      </c>
    </row>
    <row r="644" spans="1:21">
      <c r="A644" s="42" t="s">
        <v>78</v>
      </c>
      <c r="B644" s="3" t="s">
        <v>79</v>
      </c>
      <c r="C644" s="3"/>
      <c r="D644" s="1"/>
      <c r="E644" s="20" t="s">
        <v>17</v>
      </c>
      <c r="F644" s="7" t="s">
        <v>15</v>
      </c>
      <c r="G644" s="7" t="s">
        <v>41</v>
      </c>
      <c r="H644" s="11">
        <v>11.8</v>
      </c>
      <c r="I644" s="8">
        <v>8.1</v>
      </c>
      <c r="J644" s="26">
        <v>2</v>
      </c>
      <c r="K644" s="10">
        <f t="shared" si="56"/>
        <v>0.19116</v>
      </c>
      <c r="L644" s="4"/>
      <c r="M644" s="17">
        <v>2</v>
      </c>
      <c r="N644" s="18">
        <f t="shared" si="57"/>
        <v>0.19116</v>
      </c>
      <c r="O644" s="19">
        <f t="shared" si="58"/>
        <v>0</v>
      </c>
      <c r="P644" s="13">
        <f t="shared" si="59"/>
        <v>0</v>
      </c>
      <c r="Q644" s="9">
        <v>7.5</v>
      </c>
      <c r="R644" s="2">
        <v>2</v>
      </c>
      <c r="S644" s="2" t="s">
        <v>202</v>
      </c>
    </row>
    <row r="645" spans="1:21">
      <c r="A645" s="42" t="s">
        <v>78</v>
      </c>
      <c r="B645" s="3" t="s">
        <v>79</v>
      </c>
      <c r="C645" s="3">
        <v>8</v>
      </c>
      <c r="D645" s="1"/>
      <c r="E645" s="20" t="s">
        <v>17</v>
      </c>
      <c r="F645" s="7" t="s">
        <v>15</v>
      </c>
      <c r="G645" s="7" t="s">
        <v>30</v>
      </c>
      <c r="H645" s="11">
        <v>9.26</v>
      </c>
      <c r="I645" s="184">
        <v>12</v>
      </c>
      <c r="J645" s="26">
        <v>1</v>
      </c>
      <c r="K645" s="10">
        <f t="shared" si="56"/>
        <v>0.11112000000000001</v>
      </c>
      <c r="L645" s="4"/>
      <c r="M645" s="17">
        <v>1</v>
      </c>
      <c r="N645" s="18">
        <f t="shared" si="57"/>
        <v>0.11112000000000001</v>
      </c>
      <c r="O645" s="19">
        <f t="shared" si="58"/>
        <v>0</v>
      </c>
      <c r="P645" s="13">
        <f t="shared" si="59"/>
        <v>0</v>
      </c>
      <c r="Q645" s="9">
        <v>12</v>
      </c>
      <c r="R645" s="35">
        <v>1</v>
      </c>
      <c r="S645" s="2" t="s">
        <v>267</v>
      </c>
    </row>
    <row r="646" spans="1:21">
      <c r="A646" s="42" t="s">
        <v>78</v>
      </c>
      <c r="B646" s="3" t="s">
        <v>79</v>
      </c>
      <c r="C646" s="3">
        <v>8</v>
      </c>
      <c r="D646" s="1"/>
      <c r="E646" s="20" t="s">
        <v>17</v>
      </c>
      <c r="F646" s="7" t="s">
        <v>15</v>
      </c>
      <c r="G646" s="7" t="s">
        <v>30</v>
      </c>
      <c r="H646" s="11">
        <v>9.26</v>
      </c>
      <c r="I646" s="184">
        <v>11.7</v>
      </c>
      <c r="J646" s="26">
        <v>1</v>
      </c>
      <c r="K646" s="10">
        <f t="shared" si="56"/>
        <v>0.10834199999999998</v>
      </c>
      <c r="L646" s="4"/>
      <c r="M646" s="17">
        <v>1</v>
      </c>
      <c r="N646" s="18">
        <f t="shared" si="57"/>
        <v>0.10834199999999998</v>
      </c>
      <c r="O646" s="19">
        <f t="shared" si="58"/>
        <v>0</v>
      </c>
      <c r="P646" s="13">
        <f t="shared" si="59"/>
        <v>0</v>
      </c>
      <c r="Q646" s="9">
        <v>11.6</v>
      </c>
      <c r="R646" s="35">
        <v>1</v>
      </c>
      <c r="S646" s="2" t="s">
        <v>267</v>
      </c>
    </row>
    <row r="647" spans="1:21">
      <c r="A647" s="42" t="s">
        <v>78</v>
      </c>
      <c r="B647" s="3" t="s">
        <v>79</v>
      </c>
      <c r="C647" s="3">
        <v>8</v>
      </c>
      <c r="D647" s="1"/>
      <c r="E647" s="20" t="s">
        <v>17</v>
      </c>
      <c r="F647" s="7" t="s">
        <v>15</v>
      </c>
      <c r="G647" s="7" t="s">
        <v>30</v>
      </c>
      <c r="H647" s="11">
        <v>9.26</v>
      </c>
      <c r="I647" s="184">
        <v>11</v>
      </c>
      <c r="J647" s="26">
        <v>1</v>
      </c>
      <c r="K647" s="10">
        <f t="shared" si="56"/>
        <v>0.10186000000000001</v>
      </c>
      <c r="L647" s="4"/>
      <c r="M647" s="17">
        <v>1</v>
      </c>
      <c r="N647" s="18">
        <f t="shared" si="57"/>
        <v>0.10186000000000001</v>
      </c>
      <c r="O647" s="19">
        <f t="shared" si="58"/>
        <v>0</v>
      </c>
      <c r="P647" s="13">
        <f t="shared" si="59"/>
        <v>0</v>
      </c>
      <c r="Q647" s="9">
        <v>7.95</v>
      </c>
      <c r="R647" s="2">
        <v>1</v>
      </c>
      <c r="S647" s="2"/>
    </row>
    <row r="648" spans="1:21">
      <c r="A648" s="42" t="s">
        <v>78</v>
      </c>
      <c r="B648" s="3" t="s">
        <v>79</v>
      </c>
      <c r="C648" s="3">
        <v>8</v>
      </c>
      <c r="D648" s="1"/>
      <c r="E648" s="20" t="s">
        <v>17</v>
      </c>
      <c r="F648" s="7" t="s">
        <v>15</v>
      </c>
      <c r="G648" s="7" t="s">
        <v>30</v>
      </c>
      <c r="H648" s="11">
        <v>9.26</v>
      </c>
      <c r="I648" s="184">
        <v>11.3</v>
      </c>
      <c r="J648" s="26">
        <v>3</v>
      </c>
      <c r="K648" s="10">
        <f t="shared" ref="K648:K687" si="77">(H648*I648*J648/1000)</f>
        <v>0.31391399999999997</v>
      </c>
      <c r="L648" s="4"/>
      <c r="M648" s="17">
        <v>3</v>
      </c>
      <c r="N648" s="18">
        <f t="shared" ref="N648:N687" si="78">I648*M648*H648/1000</f>
        <v>0.31391400000000003</v>
      </c>
      <c r="O648" s="19">
        <f t="shared" ref="O648:O687" si="79">J648-M648</f>
        <v>0</v>
      </c>
      <c r="P648" s="13">
        <f t="shared" ref="P648:P687" si="80">I648*O648*H648/1000</f>
        <v>0</v>
      </c>
      <c r="Q648" s="9">
        <v>7.95</v>
      </c>
      <c r="R648" s="2">
        <v>3</v>
      </c>
      <c r="S648" s="2"/>
    </row>
    <row r="649" spans="1:21">
      <c r="A649" s="42" t="s">
        <v>78</v>
      </c>
      <c r="B649" s="3" t="s">
        <v>79</v>
      </c>
      <c r="C649" s="3">
        <v>8</v>
      </c>
      <c r="D649" s="1"/>
      <c r="E649" s="20" t="s">
        <v>17</v>
      </c>
      <c r="F649" s="7" t="s">
        <v>15</v>
      </c>
      <c r="G649" s="7" t="s">
        <v>30</v>
      </c>
      <c r="H649" s="11">
        <v>9.26</v>
      </c>
      <c r="I649" s="184">
        <v>9.6999999999999993</v>
      </c>
      <c r="J649" s="26">
        <v>2</v>
      </c>
      <c r="K649" s="10">
        <f t="shared" si="77"/>
        <v>0.17964399999999997</v>
      </c>
      <c r="L649" s="4"/>
      <c r="M649" s="17">
        <v>2</v>
      </c>
      <c r="N649" s="18">
        <f t="shared" si="78"/>
        <v>0.17964399999999997</v>
      </c>
      <c r="O649" s="19">
        <f t="shared" si="79"/>
        <v>0</v>
      </c>
      <c r="P649" s="13">
        <f t="shared" si="80"/>
        <v>0</v>
      </c>
      <c r="Q649" s="9">
        <v>7.95</v>
      </c>
      <c r="R649" s="2">
        <v>2</v>
      </c>
      <c r="S649" s="2"/>
    </row>
    <row r="650" spans="1:21">
      <c r="A650" s="42" t="s">
        <v>78</v>
      </c>
      <c r="B650" s="3" t="s">
        <v>79</v>
      </c>
      <c r="C650" s="3">
        <v>8</v>
      </c>
      <c r="D650" s="1"/>
      <c r="E650" s="20" t="s">
        <v>17</v>
      </c>
      <c r="F650" s="7" t="s">
        <v>15</v>
      </c>
      <c r="G650" s="7" t="s">
        <v>30</v>
      </c>
      <c r="H650" s="11">
        <v>9.26</v>
      </c>
      <c r="I650" s="184">
        <v>10</v>
      </c>
      <c r="J650" s="26">
        <v>1</v>
      </c>
      <c r="K650" s="10">
        <f t="shared" si="77"/>
        <v>9.2599999999999988E-2</v>
      </c>
      <c r="L650" s="4"/>
      <c r="M650" s="17">
        <v>1</v>
      </c>
      <c r="N650" s="18">
        <f t="shared" si="78"/>
        <v>9.2599999999999988E-2</v>
      </c>
      <c r="O650" s="19">
        <f t="shared" si="79"/>
        <v>0</v>
      </c>
      <c r="P650" s="13">
        <f t="shared" si="80"/>
        <v>0</v>
      </c>
      <c r="Q650" s="9">
        <v>10</v>
      </c>
      <c r="R650" s="35">
        <v>1</v>
      </c>
      <c r="S650" s="2" t="s">
        <v>267</v>
      </c>
    </row>
    <row r="651" spans="1:21">
      <c r="A651" s="42" t="s">
        <v>78</v>
      </c>
      <c r="B651" s="3" t="s">
        <v>79</v>
      </c>
      <c r="C651" s="3">
        <v>8</v>
      </c>
      <c r="D651" s="1"/>
      <c r="E651" s="20" t="s">
        <v>17</v>
      </c>
      <c r="F651" s="7" t="s">
        <v>15</v>
      </c>
      <c r="G651" s="7" t="s">
        <v>30</v>
      </c>
      <c r="H651" s="11">
        <v>9.26</v>
      </c>
      <c r="I651" s="184">
        <v>9</v>
      </c>
      <c r="J651" s="26">
        <v>1</v>
      </c>
      <c r="K651" s="10">
        <f t="shared" si="77"/>
        <v>8.3339999999999997E-2</v>
      </c>
      <c r="L651" s="4"/>
      <c r="M651" s="17">
        <v>1</v>
      </c>
      <c r="N651" s="18">
        <f t="shared" si="78"/>
        <v>8.3339999999999997E-2</v>
      </c>
      <c r="O651" s="19">
        <f t="shared" si="79"/>
        <v>0</v>
      </c>
      <c r="P651" s="13">
        <f t="shared" si="80"/>
        <v>0</v>
      </c>
      <c r="Q651" s="9">
        <v>9</v>
      </c>
      <c r="R651" s="35">
        <v>1</v>
      </c>
      <c r="S651" s="2" t="s">
        <v>267</v>
      </c>
    </row>
    <row r="652" spans="1:21">
      <c r="A652" s="42" t="s">
        <v>78</v>
      </c>
      <c r="B652" s="3" t="s">
        <v>79</v>
      </c>
      <c r="C652" s="3">
        <v>9</v>
      </c>
      <c r="D652" s="1"/>
      <c r="E652" s="20" t="s">
        <v>17</v>
      </c>
      <c r="F652" s="7" t="s">
        <v>15</v>
      </c>
      <c r="G652" s="7" t="s">
        <v>30</v>
      </c>
      <c r="H652" s="11">
        <v>9.26</v>
      </c>
      <c r="I652" s="184">
        <v>11.4</v>
      </c>
      <c r="J652" s="26">
        <v>1</v>
      </c>
      <c r="K652" s="10">
        <f t="shared" si="77"/>
        <v>0.10556400000000001</v>
      </c>
      <c r="L652" s="4"/>
      <c r="M652" s="17">
        <v>1</v>
      </c>
      <c r="N652" s="18">
        <f t="shared" si="78"/>
        <v>0.10556400000000001</v>
      </c>
      <c r="O652" s="19">
        <f t="shared" si="79"/>
        <v>0</v>
      </c>
      <c r="P652" s="13">
        <f t="shared" si="80"/>
        <v>0</v>
      </c>
      <c r="Q652" s="9">
        <v>11.1</v>
      </c>
      <c r="R652" s="35">
        <v>1</v>
      </c>
      <c r="S652" s="2" t="s">
        <v>267</v>
      </c>
    </row>
    <row r="653" spans="1:21">
      <c r="A653" s="42" t="s">
        <v>78</v>
      </c>
      <c r="B653" s="3" t="s">
        <v>79</v>
      </c>
      <c r="C653" s="3"/>
      <c r="D653" s="1"/>
      <c r="E653" s="20" t="s">
        <v>24</v>
      </c>
      <c r="F653" s="7" t="s">
        <v>14</v>
      </c>
      <c r="G653" s="7" t="s">
        <v>27</v>
      </c>
      <c r="H653" s="11">
        <v>6.17</v>
      </c>
      <c r="I653" s="8">
        <v>5.7</v>
      </c>
      <c r="J653" s="26">
        <v>1</v>
      </c>
      <c r="K653" s="10">
        <f t="shared" si="77"/>
        <v>3.5169000000000006E-2</v>
      </c>
      <c r="L653" s="4"/>
      <c r="M653" s="17">
        <v>1</v>
      </c>
      <c r="N653" s="18">
        <f t="shared" si="78"/>
        <v>3.5169000000000006E-2</v>
      </c>
      <c r="O653" s="19">
        <f t="shared" si="79"/>
        <v>0</v>
      </c>
      <c r="P653" s="13">
        <f t="shared" si="80"/>
        <v>0</v>
      </c>
      <c r="Q653" s="9"/>
      <c r="R653" s="2">
        <v>1</v>
      </c>
      <c r="S653" s="2" t="s">
        <v>278</v>
      </c>
    </row>
    <row r="654" spans="1:21">
      <c r="A654" s="42" t="s">
        <v>78</v>
      </c>
      <c r="B654" s="3" t="s">
        <v>79</v>
      </c>
      <c r="C654" s="3"/>
      <c r="D654" s="1"/>
      <c r="E654" s="20" t="s">
        <v>24</v>
      </c>
      <c r="F654" s="7" t="s">
        <v>14</v>
      </c>
      <c r="G654" s="7" t="s">
        <v>27</v>
      </c>
      <c r="H654" s="11">
        <v>6.17</v>
      </c>
      <c r="I654" s="8">
        <v>7.8</v>
      </c>
      <c r="J654" s="26">
        <v>2</v>
      </c>
      <c r="K654" s="10">
        <f t="shared" si="77"/>
        <v>9.625199999999999E-2</v>
      </c>
      <c r="L654" s="4"/>
      <c r="M654" s="17">
        <v>2</v>
      </c>
      <c r="N654" s="18">
        <f t="shared" si="78"/>
        <v>9.625199999999999E-2</v>
      </c>
      <c r="O654" s="19">
        <f t="shared" si="79"/>
        <v>0</v>
      </c>
      <c r="P654" s="13">
        <f t="shared" si="80"/>
        <v>0</v>
      </c>
      <c r="Q654" s="9"/>
      <c r="R654" s="2">
        <v>2</v>
      </c>
      <c r="S654" s="2" t="s">
        <v>278</v>
      </c>
    </row>
    <row r="655" spans="1:21">
      <c r="A655" s="42" t="s">
        <v>78</v>
      </c>
      <c r="B655" s="3" t="s">
        <v>79</v>
      </c>
      <c r="C655" s="3"/>
      <c r="D655" s="1"/>
      <c r="E655" s="20" t="s">
        <v>24</v>
      </c>
      <c r="F655" s="7" t="s">
        <v>14</v>
      </c>
      <c r="G655" s="7" t="s">
        <v>27</v>
      </c>
      <c r="H655" s="11">
        <v>6.17</v>
      </c>
      <c r="I655" s="8">
        <v>10.5</v>
      </c>
      <c r="J655" s="26">
        <v>1</v>
      </c>
      <c r="K655" s="10">
        <f t="shared" si="77"/>
        <v>6.4784999999999995E-2</v>
      </c>
      <c r="L655" s="4"/>
      <c r="M655" s="17">
        <v>1</v>
      </c>
      <c r="N655" s="18">
        <f t="shared" si="78"/>
        <v>6.4784999999999995E-2</v>
      </c>
      <c r="O655" s="19">
        <f t="shared" si="79"/>
        <v>0</v>
      </c>
      <c r="P655" s="13">
        <f t="shared" si="80"/>
        <v>0</v>
      </c>
      <c r="Q655" s="9"/>
      <c r="R655" s="2">
        <v>1</v>
      </c>
      <c r="S655" s="2" t="s">
        <v>278</v>
      </c>
    </row>
    <row r="656" spans="1:21">
      <c r="A656" s="42" t="s">
        <v>78</v>
      </c>
      <c r="B656" s="3" t="s">
        <v>79</v>
      </c>
      <c r="C656" s="3"/>
      <c r="D656" s="1"/>
      <c r="E656" s="20" t="s">
        <v>24</v>
      </c>
      <c r="F656" s="7" t="s">
        <v>14</v>
      </c>
      <c r="G656" s="7" t="s">
        <v>27</v>
      </c>
      <c r="H656" s="11">
        <v>6.17</v>
      </c>
      <c r="I656" s="8">
        <v>11.5</v>
      </c>
      <c r="J656" s="26">
        <v>1</v>
      </c>
      <c r="K656" s="10">
        <f t="shared" si="77"/>
        <v>7.0955000000000004E-2</v>
      </c>
      <c r="L656" s="4"/>
      <c r="M656" s="17">
        <v>1</v>
      </c>
      <c r="N656" s="18">
        <f t="shared" si="78"/>
        <v>7.0955000000000004E-2</v>
      </c>
      <c r="O656" s="19">
        <f t="shared" si="79"/>
        <v>0</v>
      </c>
      <c r="P656" s="13">
        <f t="shared" si="80"/>
        <v>0</v>
      </c>
      <c r="Q656" s="9"/>
      <c r="R656" s="2">
        <v>1</v>
      </c>
      <c r="S656" s="2" t="s">
        <v>278</v>
      </c>
    </row>
    <row r="657" spans="1:22">
      <c r="A657" s="42" t="s">
        <v>78</v>
      </c>
      <c r="B657" s="3" t="s">
        <v>79</v>
      </c>
      <c r="C657" s="3"/>
      <c r="D657" s="1"/>
      <c r="E657" s="20" t="s">
        <v>131</v>
      </c>
      <c r="F657" s="7" t="s">
        <v>15</v>
      </c>
      <c r="G657" s="7" t="s">
        <v>49</v>
      </c>
      <c r="H657" s="11">
        <v>17.82</v>
      </c>
      <c r="I657" s="8">
        <v>9</v>
      </c>
      <c r="J657" s="26">
        <v>1</v>
      </c>
      <c r="K657" s="10">
        <f t="shared" si="77"/>
        <v>0.16037999999999999</v>
      </c>
      <c r="L657" s="4"/>
      <c r="M657" s="17">
        <v>1</v>
      </c>
      <c r="N657" s="18">
        <f t="shared" si="78"/>
        <v>0.16037999999999999</v>
      </c>
      <c r="O657" s="19">
        <f t="shared" si="79"/>
        <v>0</v>
      </c>
      <c r="P657" s="13">
        <f t="shared" si="80"/>
        <v>0</v>
      </c>
      <c r="Q657" s="9">
        <v>7.2</v>
      </c>
      <c r="R657" s="2">
        <v>1</v>
      </c>
      <c r="S657" s="2" t="s">
        <v>295</v>
      </c>
    </row>
    <row r="658" spans="1:22">
      <c r="A658" s="42" t="s">
        <v>78</v>
      </c>
      <c r="B658" s="3" t="s">
        <v>79</v>
      </c>
      <c r="C658" s="3"/>
      <c r="D658" s="1"/>
      <c r="E658" s="20" t="s">
        <v>131</v>
      </c>
      <c r="F658" s="7" t="s">
        <v>15</v>
      </c>
      <c r="G658" s="7" t="s">
        <v>49</v>
      </c>
      <c r="H658" s="11">
        <v>17.82</v>
      </c>
      <c r="I658" s="8">
        <v>9.4</v>
      </c>
      <c r="J658" s="26">
        <v>3</v>
      </c>
      <c r="K658" s="10">
        <f t="shared" si="77"/>
        <v>0.50252399999999997</v>
      </c>
      <c r="L658" s="4"/>
      <c r="M658" s="17">
        <v>3</v>
      </c>
      <c r="N658" s="18">
        <f t="shared" si="78"/>
        <v>0.50252400000000008</v>
      </c>
      <c r="O658" s="19">
        <f t="shared" si="79"/>
        <v>0</v>
      </c>
      <c r="P658" s="13">
        <f t="shared" si="80"/>
        <v>0</v>
      </c>
      <c r="Q658" s="9">
        <v>9.1999999999999993</v>
      </c>
      <c r="R658" s="2">
        <v>3</v>
      </c>
      <c r="S658" s="2" t="s">
        <v>295</v>
      </c>
    </row>
    <row r="659" spans="1:22">
      <c r="A659" s="42" t="s">
        <v>78</v>
      </c>
      <c r="B659" s="3" t="s">
        <v>79</v>
      </c>
      <c r="C659" s="3"/>
      <c r="D659" s="1"/>
      <c r="E659" s="20" t="s">
        <v>131</v>
      </c>
      <c r="F659" s="7" t="s">
        <v>15</v>
      </c>
      <c r="G659" s="7" t="s">
        <v>49</v>
      </c>
      <c r="H659" s="11">
        <v>17.82</v>
      </c>
      <c r="I659" s="8">
        <v>9.5</v>
      </c>
      <c r="J659" s="26">
        <v>1</v>
      </c>
      <c r="K659" s="10">
        <f t="shared" si="77"/>
        <v>0.16929</v>
      </c>
      <c r="L659" s="4"/>
      <c r="M659" s="17">
        <v>1</v>
      </c>
      <c r="N659" s="18">
        <f t="shared" si="78"/>
        <v>0.16929</v>
      </c>
      <c r="O659" s="19">
        <f t="shared" si="79"/>
        <v>0</v>
      </c>
      <c r="P659" s="13">
        <f t="shared" si="80"/>
        <v>0</v>
      </c>
      <c r="Q659" s="9">
        <v>9.1999999999999993</v>
      </c>
      <c r="R659" s="2">
        <v>1</v>
      </c>
      <c r="S659" s="2" t="s">
        <v>295</v>
      </c>
    </row>
    <row r="660" spans="1:22">
      <c r="A660" s="42" t="s">
        <v>78</v>
      </c>
      <c r="B660" s="3" t="s">
        <v>79</v>
      </c>
      <c r="C660" s="3"/>
      <c r="D660" s="1"/>
      <c r="E660" s="20" t="s">
        <v>131</v>
      </c>
      <c r="F660" s="7" t="s">
        <v>15</v>
      </c>
      <c r="G660" s="7" t="s">
        <v>49</v>
      </c>
      <c r="H660" s="11">
        <v>17.82</v>
      </c>
      <c r="I660" s="8">
        <v>10.4</v>
      </c>
      <c r="J660" s="26">
        <v>4</v>
      </c>
      <c r="K660" s="10">
        <f t="shared" si="77"/>
        <v>0.74131199999999997</v>
      </c>
      <c r="L660" s="4"/>
      <c r="M660" s="17">
        <v>4</v>
      </c>
      <c r="N660" s="18">
        <f t="shared" si="78"/>
        <v>0.74131199999999997</v>
      </c>
      <c r="O660" s="19">
        <f t="shared" si="79"/>
        <v>0</v>
      </c>
      <c r="P660" s="13">
        <f t="shared" si="80"/>
        <v>0</v>
      </c>
      <c r="Q660" s="9">
        <v>9.6</v>
      </c>
      <c r="R660" s="2">
        <v>4</v>
      </c>
      <c r="S660" s="2"/>
    </row>
    <row r="661" spans="1:22">
      <c r="A661" s="42" t="s">
        <v>78</v>
      </c>
      <c r="B661" s="3" t="s">
        <v>79</v>
      </c>
      <c r="C661" s="3"/>
      <c r="D661" s="1"/>
      <c r="E661" s="20" t="s">
        <v>131</v>
      </c>
      <c r="F661" s="7" t="s">
        <v>15</v>
      </c>
      <c r="G661" s="7" t="s">
        <v>49</v>
      </c>
      <c r="H661" s="11">
        <v>17.82</v>
      </c>
      <c r="I661" s="8">
        <v>10.199999999999999</v>
      </c>
      <c r="J661" s="26">
        <v>1</v>
      </c>
      <c r="K661" s="10">
        <f t="shared" si="77"/>
        <v>0.18176399999999998</v>
      </c>
      <c r="L661" s="4"/>
      <c r="M661" s="17">
        <v>1</v>
      </c>
      <c r="N661" s="18">
        <f t="shared" si="78"/>
        <v>0.18176399999999998</v>
      </c>
      <c r="O661" s="19">
        <f t="shared" si="79"/>
        <v>0</v>
      </c>
      <c r="P661" s="13">
        <f t="shared" si="80"/>
        <v>0</v>
      </c>
      <c r="Q661" s="9">
        <v>9.6</v>
      </c>
      <c r="R661" s="2">
        <v>1</v>
      </c>
      <c r="S661" s="2"/>
    </row>
    <row r="662" spans="1:22">
      <c r="A662" s="42" t="s">
        <v>78</v>
      </c>
      <c r="B662" s="3" t="s">
        <v>79</v>
      </c>
      <c r="C662" s="3"/>
      <c r="D662" s="1"/>
      <c r="E662" s="20" t="s">
        <v>131</v>
      </c>
      <c r="F662" s="7" t="s">
        <v>15</v>
      </c>
      <c r="G662" s="7" t="s">
        <v>49</v>
      </c>
      <c r="H662" s="11">
        <v>17.82</v>
      </c>
      <c r="I662" s="8">
        <v>10.6</v>
      </c>
      <c r="J662" s="26">
        <v>1</v>
      </c>
      <c r="K662" s="10">
        <f t="shared" si="77"/>
        <v>0.188892</v>
      </c>
      <c r="L662" s="4"/>
      <c r="M662" s="17">
        <v>1</v>
      </c>
      <c r="N662" s="18">
        <f t="shared" si="78"/>
        <v>0.188892</v>
      </c>
      <c r="O662" s="19">
        <f t="shared" si="79"/>
        <v>0</v>
      </c>
      <c r="P662" s="13">
        <f t="shared" si="80"/>
        <v>0</v>
      </c>
      <c r="Q662" s="9">
        <v>9.6</v>
      </c>
      <c r="R662" s="2">
        <v>1</v>
      </c>
      <c r="S662" s="2"/>
    </row>
    <row r="663" spans="1:22">
      <c r="A663" s="42" t="s">
        <v>78</v>
      </c>
      <c r="B663" s="3" t="s">
        <v>79</v>
      </c>
      <c r="C663" s="3"/>
      <c r="D663" s="1"/>
      <c r="E663" s="20" t="s">
        <v>131</v>
      </c>
      <c r="F663" s="7" t="s">
        <v>15</v>
      </c>
      <c r="G663" s="7" t="s">
        <v>49</v>
      </c>
      <c r="H663" s="11">
        <v>17.82</v>
      </c>
      <c r="I663" s="8">
        <v>10.9</v>
      </c>
      <c r="J663" s="26">
        <v>2</v>
      </c>
      <c r="K663" s="10">
        <f t="shared" si="77"/>
        <v>0.38847599999999999</v>
      </c>
      <c r="L663" s="4"/>
      <c r="M663" s="17">
        <v>2</v>
      </c>
      <c r="N663" s="18">
        <f t="shared" si="78"/>
        <v>0.38847599999999999</v>
      </c>
      <c r="O663" s="19">
        <f t="shared" si="79"/>
        <v>0</v>
      </c>
      <c r="P663" s="13">
        <f t="shared" si="80"/>
        <v>0</v>
      </c>
      <c r="Q663" s="9">
        <v>9.6</v>
      </c>
      <c r="R663" s="2">
        <v>2</v>
      </c>
      <c r="S663" s="2"/>
    </row>
    <row r="664" spans="1:22">
      <c r="A664" s="42" t="s">
        <v>78</v>
      </c>
      <c r="B664" s="3" t="s">
        <v>79</v>
      </c>
      <c r="C664" s="3"/>
      <c r="D664" s="1"/>
      <c r="E664" s="20" t="s">
        <v>132</v>
      </c>
      <c r="F664" s="7" t="s">
        <v>15</v>
      </c>
      <c r="G664" s="7" t="s">
        <v>48</v>
      </c>
      <c r="H664" s="11">
        <v>23.6</v>
      </c>
      <c r="I664" s="8">
        <v>11.65</v>
      </c>
      <c r="J664" s="26">
        <v>3</v>
      </c>
      <c r="K664" s="10">
        <f t="shared" si="77"/>
        <v>0.82481999999999989</v>
      </c>
      <c r="L664" s="4"/>
      <c r="M664" s="17">
        <v>3</v>
      </c>
      <c r="N664" s="18">
        <f t="shared" si="78"/>
        <v>0.82482000000000011</v>
      </c>
      <c r="O664" s="19">
        <f t="shared" si="79"/>
        <v>0</v>
      </c>
      <c r="P664" s="13">
        <f t="shared" si="80"/>
        <v>0</v>
      </c>
      <c r="Q664" s="9"/>
      <c r="R664" s="2"/>
      <c r="S664" s="2"/>
    </row>
    <row r="665" spans="1:22">
      <c r="A665" s="42" t="s">
        <v>78</v>
      </c>
      <c r="B665" s="3" t="s">
        <v>79</v>
      </c>
      <c r="C665" s="3">
        <v>1</v>
      </c>
      <c r="D665" s="1"/>
      <c r="E665" s="20" t="s">
        <v>17</v>
      </c>
      <c r="F665" s="7" t="s">
        <v>15</v>
      </c>
      <c r="G665" s="7" t="s">
        <v>44</v>
      </c>
      <c r="H665" s="11">
        <v>13.4</v>
      </c>
      <c r="I665" s="8">
        <v>10</v>
      </c>
      <c r="J665" s="26">
        <v>4</v>
      </c>
      <c r="K665" s="10">
        <f t="shared" si="77"/>
        <v>0.53600000000000003</v>
      </c>
      <c r="L665" s="4"/>
      <c r="M665" s="17">
        <v>4</v>
      </c>
      <c r="N665" s="18">
        <f t="shared" si="78"/>
        <v>0.53600000000000003</v>
      </c>
      <c r="O665" s="19">
        <f t="shared" si="79"/>
        <v>0</v>
      </c>
      <c r="P665" s="13">
        <f t="shared" si="80"/>
        <v>0</v>
      </c>
      <c r="Q665" s="9">
        <v>8.6</v>
      </c>
      <c r="R665" s="2">
        <v>4</v>
      </c>
      <c r="S665" s="2" t="s">
        <v>197</v>
      </c>
    </row>
    <row r="666" spans="1:22">
      <c r="A666" s="42" t="s">
        <v>78</v>
      </c>
      <c r="B666" s="3" t="s">
        <v>79</v>
      </c>
      <c r="C666" s="3">
        <v>2</v>
      </c>
      <c r="D666" s="1"/>
      <c r="E666" s="20" t="s">
        <v>17</v>
      </c>
      <c r="F666" s="7" t="s">
        <v>15</v>
      </c>
      <c r="G666" s="7" t="s">
        <v>44</v>
      </c>
      <c r="H666" s="11">
        <v>13.4</v>
      </c>
      <c r="I666" s="8">
        <v>9.5</v>
      </c>
      <c r="J666" s="26">
        <v>7</v>
      </c>
      <c r="K666" s="10">
        <f t="shared" si="77"/>
        <v>0.8911</v>
      </c>
      <c r="L666" s="4"/>
      <c r="M666" s="17">
        <f>4+3</f>
        <v>7</v>
      </c>
      <c r="N666" s="18">
        <f t="shared" si="78"/>
        <v>0.8911</v>
      </c>
      <c r="O666" s="19">
        <f t="shared" si="79"/>
        <v>0</v>
      </c>
      <c r="P666" s="13">
        <f t="shared" si="80"/>
        <v>0</v>
      </c>
      <c r="Q666" s="9">
        <v>8.6</v>
      </c>
      <c r="R666" s="2">
        <v>3</v>
      </c>
      <c r="S666" s="2" t="s">
        <v>197</v>
      </c>
      <c r="T666" s="9">
        <v>9.1999999999999993</v>
      </c>
      <c r="U666" s="2">
        <v>4</v>
      </c>
      <c r="V666" s="2" t="s">
        <v>190</v>
      </c>
    </row>
    <row r="667" spans="1:22">
      <c r="A667" s="42" t="s">
        <v>78</v>
      </c>
      <c r="B667" s="3" t="s">
        <v>79</v>
      </c>
      <c r="C667" s="3">
        <v>2</v>
      </c>
      <c r="D667" s="1"/>
      <c r="E667" s="20" t="s">
        <v>17</v>
      </c>
      <c r="F667" s="7" t="s">
        <v>15</v>
      </c>
      <c r="G667" s="7" t="s">
        <v>44</v>
      </c>
      <c r="H667" s="11">
        <v>13.4</v>
      </c>
      <c r="I667" s="8">
        <v>9.9</v>
      </c>
      <c r="J667" s="26">
        <v>1</v>
      </c>
      <c r="K667" s="10">
        <f t="shared" si="77"/>
        <v>0.13266</v>
      </c>
      <c r="L667" s="4"/>
      <c r="M667" s="17">
        <v>1</v>
      </c>
      <c r="N667" s="18">
        <f t="shared" si="78"/>
        <v>0.13266</v>
      </c>
      <c r="O667" s="19">
        <f t="shared" si="79"/>
        <v>0</v>
      </c>
      <c r="P667" s="13">
        <f t="shared" si="80"/>
        <v>0</v>
      </c>
      <c r="Q667" s="9">
        <v>8.6</v>
      </c>
      <c r="R667" s="2">
        <v>1</v>
      </c>
      <c r="S667" s="2" t="s">
        <v>197</v>
      </c>
    </row>
    <row r="668" spans="1:22">
      <c r="A668" s="42" t="s">
        <v>78</v>
      </c>
      <c r="B668" s="3" t="s">
        <v>79</v>
      </c>
      <c r="C668" s="3">
        <v>6</v>
      </c>
      <c r="D668" s="1"/>
      <c r="E668" s="20" t="s">
        <v>17</v>
      </c>
      <c r="F668" s="7" t="s">
        <v>15</v>
      </c>
      <c r="G668" s="7" t="s">
        <v>32</v>
      </c>
      <c r="H668" s="11">
        <v>8.32</v>
      </c>
      <c r="I668" s="8">
        <v>9.5</v>
      </c>
      <c r="J668" s="26">
        <v>2</v>
      </c>
      <c r="K668" s="10">
        <f t="shared" si="77"/>
        <v>0.15808000000000003</v>
      </c>
      <c r="L668" s="4"/>
      <c r="M668" s="17">
        <v>2</v>
      </c>
      <c r="N668" s="18">
        <f t="shared" si="78"/>
        <v>0.15808000000000003</v>
      </c>
      <c r="O668" s="19">
        <f t="shared" si="79"/>
        <v>0</v>
      </c>
      <c r="P668" s="13">
        <f t="shared" si="80"/>
        <v>0</v>
      </c>
      <c r="Q668" s="9"/>
      <c r="R668" s="2"/>
      <c r="S668" s="2"/>
    </row>
    <row r="669" spans="1:22">
      <c r="A669" s="42" t="s">
        <v>78</v>
      </c>
      <c r="B669" s="3" t="s">
        <v>79</v>
      </c>
      <c r="C669" s="3">
        <v>6</v>
      </c>
      <c r="D669" s="1"/>
      <c r="E669" s="20" t="s">
        <v>17</v>
      </c>
      <c r="F669" s="7" t="s">
        <v>15</v>
      </c>
      <c r="G669" s="7" t="s">
        <v>32</v>
      </c>
      <c r="H669" s="11">
        <v>8.32</v>
      </c>
      <c r="I669" s="8">
        <v>6</v>
      </c>
      <c r="J669" s="26">
        <v>1</v>
      </c>
      <c r="K669" s="10">
        <f t="shared" si="77"/>
        <v>4.9919999999999999E-2</v>
      </c>
      <c r="L669" s="4"/>
      <c r="M669" s="17"/>
      <c r="N669" s="18">
        <f t="shared" si="78"/>
        <v>0</v>
      </c>
      <c r="O669" s="19">
        <f t="shared" si="79"/>
        <v>1</v>
      </c>
      <c r="P669" s="13">
        <f t="shared" si="80"/>
        <v>4.9919999999999999E-2</v>
      </c>
      <c r="Q669" s="50"/>
      <c r="R669" s="2"/>
      <c r="S669" s="2"/>
    </row>
    <row r="670" spans="1:22">
      <c r="A670" s="42" t="s">
        <v>78</v>
      </c>
      <c r="B670" s="3" t="s">
        <v>79</v>
      </c>
      <c r="C670" s="3">
        <v>7</v>
      </c>
      <c r="D670" s="1"/>
      <c r="E670" s="20" t="s">
        <v>17</v>
      </c>
      <c r="F670" s="7" t="s">
        <v>15</v>
      </c>
      <c r="G670" s="7" t="s">
        <v>36</v>
      </c>
      <c r="H670" s="11">
        <v>10.199999999999999</v>
      </c>
      <c r="I670" s="8">
        <v>9.5</v>
      </c>
      <c r="J670" s="26">
        <v>1</v>
      </c>
      <c r="K670" s="10">
        <f t="shared" si="77"/>
        <v>9.6899999999999986E-2</v>
      </c>
      <c r="L670" s="4"/>
      <c r="M670" s="17">
        <v>1</v>
      </c>
      <c r="N670" s="18">
        <f t="shared" si="78"/>
        <v>9.6899999999999986E-2</v>
      </c>
      <c r="O670" s="19">
        <f t="shared" si="79"/>
        <v>0</v>
      </c>
      <c r="P670" s="13">
        <f t="shared" si="80"/>
        <v>0</v>
      </c>
      <c r="Q670" s="9">
        <v>8.25</v>
      </c>
      <c r="R670" s="2">
        <v>1</v>
      </c>
      <c r="S670" s="2" t="s">
        <v>196</v>
      </c>
    </row>
    <row r="671" spans="1:22">
      <c r="A671" s="42" t="s">
        <v>78</v>
      </c>
      <c r="B671" s="3" t="s">
        <v>79</v>
      </c>
      <c r="C671" s="3">
        <v>7</v>
      </c>
      <c r="D671" s="1"/>
      <c r="E671" s="20" t="s">
        <v>17</v>
      </c>
      <c r="F671" s="7" t="s">
        <v>15</v>
      </c>
      <c r="G671" s="7" t="s">
        <v>36</v>
      </c>
      <c r="H671" s="11">
        <v>10.199999999999999</v>
      </c>
      <c r="I671" s="8">
        <v>8.1999999999999993</v>
      </c>
      <c r="J671" s="26">
        <v>1</v>
      </c>
      <c r="K671" s="10">
        <f t="shared" si="77"/>
        <v>8.3639999999999992E-2</v>
      </c>
      <c r="L671" s="4"/>
      <c r="M671" s="17">
        <v>1</v>
      </c>
      <c r="N671" s="18">
        <f t="shared" si="78"/>
        <v>8.3639999999999992E-2</v>
      </c>
      <c r="O671" s="19">
        <f t="shared" si="79"/>
        <v>0</v>
      </c>
      <c r="P671" s="13">
        <f t="shared" si="80"/>
        <v>0</v>
      </c>
      <c r="Q671" s="9">
        <v>8.25</v>
      </c>
      <c r="R671" s="2">
        <v>1</v>
      </c>
      <c r="S671" s="2" t="s">
        <v>196</v>
      </c>
    </row>
    <row r="672" spans="1:22">
      <c r="A672" s="42" t="s">
        <v>78</v>
      </c>
      <c r="B672" s="3" t="s">
        <v>79</v>
      </c>
      <c r="C672" s="3">
        <v>7</v>
      </c>
      <c r="D672" s="1"/>
      <c r="E672" s="20" t="s">
        <v>17</v>
      </c>
      <c r="F672" s="7" t="s">
        <v>15</v>
      </c>
      <c r="G672" s="7" t="s">
        <v>36</v>
      </c>
      <c r="H672" s="11">
        <v>10.199999999999999</v>
      </c>
      <c r="I672" s="8">
        <v>8</v>
      </c>
      <c r="J672" s="26">
        <v>2</v>
      </c>
      <c r="K672" s="10">
        <f t="shared" si="77"/>
        <v>0.16319999999999998</v>
      </c>
      <c r="L672" s="4"/>
      <c r="M672" s="17">
        <v>2</v>
      </c>
      <c r="N672" s="18">
        <f t="shared" si="78"/>
        <v>0.16319999999999998</v>
      </c>
      <c r="O672" s="19">
        <f t="shared" si="79"/>
        <v>0</v>
      </c>
      <c r="P672" s="13">
        <f t="shared" si="80"/>
        <v>0</v>
      </c>
      <c r="Q672" s="9">
        <v>7.25</v>
      </c>
      <c r="R672" s="2">
        <v>2</v>
      </c>
      <c r="S672" s="2" t="s">
        <v>196</v>
      </c>
    </row>
    <row r="673" spans="1:22">
      <c r="A673" s="42" t="s">
        <v>78</v>
      </c>
      <c r="B673" s="3" t="s">
        <v>79</v>
      </c>
      <c r="C673" s="3">
        <v>7</v>
      </c>
      <c r="D673" s="1"/>
      <c r="E673" s="20" t="s">
        <v>17</v>
      </c>
      <c r="F673" s="7" t="s">
        <v>15</v>
      </c>
      <c r="G673" s="7" t="s">
        <v>36</v>
      </c>
      <c r="H673" s="11">
        <v>10.199999999999999</v>
      </c>
      <c r="I673" s="8">
        <v>7.9</v>
      </c>
      <c r="J673" s="26">
        <v>1</v>
      </c>
      <c r="K673" s="10">
        <f t="shared" si="77"/>
        <v>8.0579999999999999E-2</v>
      </c>
      <c r="L673" s="4"/>
      <c r="M673" s="17">
        <v>1</v>
      </c>
      <c r="N673" s="18">
        <f t="shared" si="78"/>
        <v>8.0579999999999999E-2</v>
      </c>
      <c r="O673" s="19">
        <f t="shared" si="79"/>
        <v>0</v>
      </c>
      <c r="P673" s="13">
        <f t="shared" si="80"/>
        <v>0</v>
      </c>
      <c r="Q673" s="9">
        <v>7.25</v>
      </c>
      <c r="R673" s="2">
        <v>1</v>
      </c>
      <c r="S673" s="2" t="s">
        <v>196</v>
      </c>
    </row>
    <row r="674" spans="1:22">
      <c r="A674" s="42" t="s">
        <v>78</v>
      </c>
      <c r="B674" s="3" t="s">
        <v>79</v>
      </c>
      <c r="C674" s="3">
        <v>7</v>
      </c>
      <c r="D674" s="1"/>
      <c r="E674" s="20" t="s">
        <v>17</v>
      </c>
      <c r="F674" s="7" t="s">
        <v>15</v>
      </c>
      <c r="G674" s="7" t="s">
        <v>36</v>
      </c>
      <c r="H674" s="11">
        <v>10.199999999999999</v>
      </c>
      <c r="I674" s="8">
        <v>7</v>
      </c>
      <c r="J674" s="26">
        <v>1</v>
      </c>
      <c r="K674" s="10">
        <f t="shared" si="77"/>
        <v>7.1399999999999991E-2</v>
      </c>
      <c r="L674" s="4"/>
      <c r="M674" s="17">
        <v>1</v>
      </c>
      <c r="N674" s="18">
        <f t="shared" si="78"/>
        <v>7.1399999999999991E-2</v>
      </c>
      <c r="O674" s="19">
        <f t="shared" si="79"/>
        <v>0</v>
      </c>
      <c r="P674" s="13">
        <f t="shared" si="80"/>
        <v>0</v>
      </c>
      <c r="Q674" s="9">
        <v>6.6</v>
      </c>
      <c r="R674" s="2">
        <v>1</v>
      </c>
      <c r="S674" s="2" t="s">
        <v>200</v>
      </c>
    </row>
    <row r="675" spans="1:22">
      <c r="A675" s="42" t="s">
        <v>78</v>
      </c>
      <c r="B675" s="3" t="s">
        <v>79</v>
      </c>
      <c r="C675" s="3"/>
      <c r="D675" s="1"/>
      <c r="E675" s="20" t="s">
        <v>20</v>
      </c>
      <c r="F675" s="7" t="s">
        <v>15</v>
      </c>
      <c r="G675" s="7" t="s">
        <v>28</v>
      </c>
      <c r="H675" s="11">
        <v>12.18</v>
      </c>
      <c r="I675" s="8">
        <v>12</v>
      </c>
      <c r="J675" s="26">
        <v>4</v>
      </c>
      <c r="K675" s="10">
        <f t="shared" si="77"/>
        <v>0.58463999999999994</v>
      </c>
      <c r="L675" s="4"/>
      <c r="M675" s="17">
        <f>2+2</f>
        <v>4</v>
      </c>
      <c r="N675" s="18">
        <f t="shared" si="78"/>
        <v>0.58463999999999994</v>
      </c>
      <c r="O675" s="19">
        <f t="shared" si="79"/>
        <v>0</v>
      </c>
      <c r="P675" s="13">
        <f t="shared" si="80"/>
        <v>0</v>
      </c>
      <c r="Q675" s="9" t="s">
        <v>368</v>
      </c>
      <c r="R675" s="2">
        <v>2</v>
      </c>
      <c r="S675" s="2"/>
      <c r="T675" s="9">
        <v>10.3</v>
      </c>
      <c r="U675" s="2">
        <v>2</v>
      </c>
      <c r="V675" s="2" t="s">
        <v>208</v>
      </c>
    </row>
    <row r="676" spans="1:22">
      <c r="A676" s="42" t="s">
        <v>78</v>
      </c>
      <c r="B676" s="3" t="s">
        <v>79</v>
      </c>
      <c r="C676" s="3"/>
      <c r="D676" s="1"/>
      <c r="E676" s="20" t="s">
        <v>20</v>
      </c>
      <c r="F676" s="7" t="s">
        <v>15</v>
      </c>
      <c r="G676" s="7" t="s">
        <v>28</v>
      </c>
      <c r="H676" s="11">
        <v>12.18</v>
      </c>
      <c r="I676" s="8">
        <v>10</v>
      </c>
      <c r="J676" s="26">
        <v>1</v>
      </c>
      <c r="K676" s="10">
        <f t="shared" si="77"/>
        <v>0.12179999999999999</v>
      </c>
      <c r="L676" s="4"/>
      <c r="M676" s="17">
        <v>1</v>
      </c>
      <c r="N676" s="18">
        <f t="shared" si="78"/>
        <v>0.12179999999999999</v>
      </c>
      <c r="O676" s="106">
        <f t="shared" si="79"/>
        <v>0</v>
      </c>
      <c r="P676" s="13">
        <f t="shared" si="80"/>
        <v>0</v>
      </c>
      <c r="Q676" s="9">
        <v>7.13</v>
      </c>
      <c r="R676" s="90">
        <v>1</v>
      </c>
      <c r="S676" s="2" t="s">
        <v>467</v>
      </c>
    </row>
    <row r="677" spans="1:22">
      <c r="A677" s="42" t="s">
        <v>78</v>
      </c>
      <c r="B677" s="3" t="s">
        <v>79</v>
      </c>
      <c r="C677" s="3"/>
      <c r="D677" s="1"/>
      <c r="E677" s="20" t="s">
        <v>20</v>
      </c>
      <c r="F677" s="7" t="s">
        <v>15</v>
      </c>
      <c r="G677" s="7" t="s">
        <v>28</v>
      </c>
      <c r="H677" s="11">
        <v>12.18</v>
      </c>
      <c r="I677" s="8">
        <v>8.35</v>
      </c>
      <c r="J677" s="26">
        <v>1</v>
      </c>
      <c r="K677" s="10">
        <f t="shared" si="77"/>
        <v>0.10170299999999999</v>
      </c>
      <c r="L677" s="4"/>
      <c r="M677" s="17">
        <v>1</v>
      </c>
      <c r="N677" s="18">
        <f t="shared" si="78"/>
        <v>0.10170299999999999</v>
      </c>
      <c r="O677" s="19">
        <f t="shared" si="79"/>
        <v>0</v>
      </c>
      <c r="P677" s="13">
        <f t="shared" si="80"/>
        <v>0</v>
      </c>
      <c r="Q677" s="9">
        <v>7.5</v>
      </c>
      <c r="R677" s="2">
        <v>1</v>
      </c>
      <c r="S677" s="2" t="s">
        <v>208</v>
      </c>
    </row>
    <row r="678" spans="1:22">
      <c r="A678" s="42" t="s">
        <v>78</v>
      </c>
      <c r="B678" s="3" t="s">
        <v>79</v>
      </c>
      <c r="C678" s="3"/>
      <c r="D678" s="1"/>
      <c r="E678" s="20" t="s">
        <v>20</v>
      </c>
      <c r="F678" s="7" t="s">
        <v>15</v>
      </c>
      <c r="G678" s="7" t="s">
        <v>28</v>
      </c>
      <c r="H678" s="11">
        <v>12.18</v>
      </c>
      <c r="I678" s="8">
        <v>7.9</v>
      </c>
      <c r="J678" s="26">
        <v>1</v>
      </c>
      <c r="K678" s="10">
        <f t="shared" si="77"/>
        <v>9.6222000000000002E-2</v>
      </c>
      <c r="L678" s="4"/>
      <c r="M678" s="17">
        <v>1</v>
      </c>
      <c r="N678" s="18">
        <f t="shared" si="78"/>
        <v>9.6222000000000002E-2</v>
      </c>
      <c r="O678" s="106">
        <f t="shared" si="79"/>
        <v>0</v>
      </c>
      <c r="P678" s="13">
        <f t="shared" si="80"/>
        <v>0</v>
      </c>
      <c r="Q678" s="9">
        <v>7.13</v>
      </c>
      <c r="R678" s="90">
        <v>1</v>
      </c>
      <c r="S678" s="2" t="s">
        <v>467</v>
      </c>
    </row>
    <row r="679" spans="1:22">
      <c r="A679" s="42" t="s">
        <v>78</v>
      </c>
      <c r="B679" s="3" t="s">
        <v>79</v>
      </c>
      <c r="C679" s="3"/>
      <c r="D679" s="1"/>
      <c r="E679" s="20" t="s">
        <v>185</v>
      </c>
      <c r="F679" s="7" t="s">
        <v>14</v>
      </c>
      <c r="G679" s="7" t="s">
        <v>133</v>
      </c>
      <c r="H679" s="11">
        <v>7.93</v>
      </c>
      <c r="I679" s="8">
        <v>12.2</v>
      </c>
      <c r="J679" s="26">
        <v>2</v>
      </c>
      <c r="K679" s="10">
        <f t="shared" si="77"/>
        <v>0.193492</v>
      </c>
      <c r="L679" s="4"/>
      <c r="M679" s="17"/>
      <c r="N679" s="18">
        <f t="shared" si="78"/>
        <v>0</v>
      </c>
      <c r="O679" s="19">
        <f t="shared" si="79"/>
        <v>2</v>
      </c>
      <c r="P679" s="13">
        <f t="shared" si="80"/>
        <v>0.193492</v>
      </c>
      <c r="Q679" s="9"/>
      <c r="R679" s="2"/>
      <c r="S679" s="2"/>
    </row>
    <row r="680" spans="1:22">
      <c r="A680" s="42" t="s">
        <v>78</v>
      </c>
      <c r="B680" s="3" t="s">
        <v>79</v>
      </c>
      <c r="C680" s="3"/>
      <c r="D680" s="1"/>
      <c r="E680" s="20" t="s">
        <v>185</v>
      </c>
      <c r="F680" s="7" t="s">
        <v>14</v>
      </c>
      <c r="G680" s="7" t="s">
        <v>133</v>
      </c>
      <c r="H680" s="11">
        <v>7.93</v>
      </c>
      <c r="I680" s="8">
        <v>11</v>
      </c>
      <c r="J680" s="26">
        <v>1</v>
      </c>
      <c r="K680" s="10">
        <f t="shared" si="77"/>
        <v>8.7229999999999988E-2</v>
      </c>
      <c r="L680" s="4"/>
      <c r="M680" s="17"/>
      <c r="N680" s="18">
        <f t="shared" si="78"/>
        <v>0</v>
      </c>
      <c r="O680" s="19">
        <f t="shared" si="79"/>
        <v>1</v>
      </c>
      <c r="P680" s="13">
        <f t="shared" si="80"/>
        <v>8.7229999999999988E-2</v>
      </c>
      <c r="Q680" s="9"/>
      <c r="R680" s="2"/>
      <c r="S680" s="2"/>
    </row>
    <row r="681" spans="1:22">
      <c r="A681" s="42" t="s">
        <v>78</v>
      </c>
      <c r="B681" s="3" t="s">
        <v>79</v>
      </c>
      <c r="C681" s="3">
        <v>8</v>
      </c>
      <c r="D681" s="1"/>
      <c r="E681" s="20" t="s">
        <v>19</v>
      </c>
      <c r="F681" s="7" t="s">
        <v>14</v>
      </c>
      <c r="G681" s="7" t="s">
        <v>22</v>
      </c>
      <c r="H681" s="11">
        <v>10.73</v>
      </c>
      <c r="I681" s="8">
        <v>12</v>
      </c>
      <c r="J681" s="26">
        <v>1</v>
      </c>
      <c r="K681" s="10">
        <f t="shared" si="77"/>
        <v>0.12875999999999999</v>
      </c>
      <c r="L681" s="4"/>
      <c r="M681" s="17">
        <v>1</v>
      </c>
      <c r="N681" s="18">
        <f t="shared" si="78"/>
        <v>0.12875999999999999</v>
      </c>
      <c r="O681" s="19">
        <f t="shared" si="79"/>
        <v>0</v>
      </c>
      <c r="P681" s="13">
        <f t="shared" si="80"/>
        <v>0</v>
      </c>
      <c r="Q681" s="9"/>
      <c r="R681" s="2">
        <v>1</v>
      </c>
      <c r="S681" s="2" t="s">
        <v>223</v>
      </c>
    </row>
    <row r="682" spans="1:22">
      <c r="A682" s="42" t="s">
        <v>78</v>
      </c>
      <c r="B682" s="3" t="s">
        <v>79</v>
      </c>
      <c r="C682" s="3">
        <v>8</v>
      </c>
      <c r="D682" s="1"/>
      <c r="E682" s="20" t="s">
        <v>19</v>
      </c>
      <c r="F682" s="7" t="s">
        <v>14</v>
      </c>
      <c r="G682" s="7" t="s">
        <v>22</v>
      </c>
      <c r="H682" s="11">
        <v>10.73</v>
      </c>
      <c r="I682" s="8">
        <v>9</v>
      </c>
      <c r="J682" s="26">
        <v>2</v>
      </c>
      <c r="K682" s="10">
        <f t="shared" si="77"/>
        <v>0.19314000000000001</v>
      </c>
      <c r="L682" s="4"/>
      <c r="M682" s="17">
        <v>2</v>
      </c>
      <c r="N682" s="18">
        <f t="shared" si="78"/>
        <v>0.19314000000000001</v>
      </c>
      <c r="O682" s="19">
        <f t="shared" si="79"/>
        <v>0</v>
      </c>
      <c r="P682" s="13">
        <f t="shared" si="80"/>
        <v>0</v>
      </c>
      <c r="Q682" s="9">
        <v>6.5</v>
      </c>
      <c r="R682" s="35">
        <v>2</v>
      </c>
      <c r="S682" s="32" t="s">
        <v>279</v>
      </c>
    </row>
    <row r="683" spans="1:22">
      <c r="A683" s="42" t="s">
        <v>78</v>
      </c>
      <c r="B683" s="3" t="s">
        <v>79</v>
      </c>
      <c r="C683" s="3">
        <v>9</v>
      </c>
      <c r="D683" s="1"/>
      <c r="E683" s="20" t="s">
        <v>19</v>
      </c>
      <c r="F683" s="7" t="s">
        <v>14</v>
      </c>
      <c r="G683" s="7" t="s">
        <v>22</v>
      </c>
      <c r="H683" s="11">
        <v>10.73</v>
      </c>
      <c r="I683" s="8">
        <v>8.8000000000000007</v>
      </c>
      <c r="J683" s="26">
        <v>1</v>
      </c>
      <c r="K683" s="10">
        <f t="shared" si="77"/>
        <v>9.4424000000000008E-2</v>
      </c>
      <c r="L683" s="4"/>
      <c r="M683" s="17">
        <v>1</v>
      </c>
      <c r="N683" s="18">
        <f t="shared" si="78"/>
        <v>9.4424000000000008E-2</v>
      </c>
      <c r="O683" s="19">
        <f t="shared" si="79"/>
        <v>0</v>
      </c>
      <c r="P683" s="13">
        <f t="shared" si="80"/>
        <v>0</v>
      </c>
      <c r="Q683" s="9">
        <v>6.5</v>
      </c>
      <c r="R683" s="2">
        <v>1</v>
      </c>
      <c r="S683" s="2" t="s">
        <v>223</v>
      </c>
    </row>
    <row r="684" spans="1:22">
      <c r="A684" s="42" t="s">
        <v>78</v>
      </c>
      <c r="B684" s="3" t="s">
        <v>79</v>
      </c>
      <c r="C684" s="3">
        <v>9</v>
      </c>
      <c r="D684" s="1"/>
      <c r="E684" s="20" t="s">
        <v>19</v>
      </c>
      <c r="F684" s="7" t="s">
        <v>14</v>
      </c>
      <c r="G684" s="7" t="s">
        <v>22</v>
      </c>
      <c r="H684" s="11">
        <v>10.73</v>
      </c>
      <c r="I684" s="8">
        <v>8.5</v>
      </c>
      <c r="J684" s="26">
        <v>1</v>
      </c>
      <c r="K684" s="10">
        <f t="shared" si="77"/>
        <v>9.1204999999999994E-2</v>
      </c>
      <c r="L684" s="4"/>
      <c r="M684" s="17">
        <v>1</v>
      </c>
      <c r="N684" s="18">
        <f t="shared" si="78"/>
        <v>9.1204999999999994E-2</v>
      </c>
      <c r="O684" s="19">
        <f t="shared" si="79"/>
        <v>0</v>
      </c>
      <c r="P684" s="13">
        <f t="shared" si="80"/>
        <v>0</v>
      </c>
      <c r="Q684" s="9">
        <v>6.5</v>
      </c>
      <c r="R684" s="35">
        <v>1</v>
      </c>
      <c r="S684" s="32" t="s">
        <v>279</v>
      </c>
    </row>
    <row r="685" spans="1:22">
      <c r="A685" s="42" t="s">
        <v>78</v>
      </c>
      <c r="B685" s="3" t="s">
        <v>79</v>
      </c>
      <c r="C685" s="3">
        <v>10</v>
      </c>
      <c r="D685" s="1"/>
      <c r="E685" s="20" t="s">
        <v>19</v>
      </c>
      <c r="F685" s="7" t="s">
        <v>14</v>
      </c>
      <c r="G685" s="7" t="s">
        <v>28</v>
      </c>
      <c r="H685" s="11">
        <v>12.18</v>
      </c>
      <c r="I685" s="8">
        <v>12</v>
      </c>
      <c r="J685" s="26">
        <v>2</v>
      </c>
      <c r="K685" s="10">
        <f t="shared" si="77"/>
        <v>0.29231999999999997</v>
      </c>
      <c r="L685" s="4"/>
      <c r="M685" s="17">
        <v>2</v>
      </c>
      <c r="N685" s="18">
        <f t="shared" si="78"/>
        <v>0.29231999999999997</v>
      </c>
      <c r="O685" s="19">
        <f t="shared" si="79"/>
        <v>0</v>
      </c>
      <c r="P685" s="13">
        <f t="shared" si="80"/>
        <v>0</v>
      </c>
      <c r="Q685" s="9"/>
      <c r="R685" s="35">
        <v>2</v>
      </c>
      <c r="S685" s="2" t="s">
        <v>540</v>
      </c>
    </row>
    <row r="686" spans="1:22">
      <c r="A686" s="42" t="s">
        <v>78</v>
      </c>
      <c r="B686" s="3"/>
      <c r="C686" s="3">
        <v>1</v>
      </c>
      <c r="D686" s="1"/>
      <c r="E686" s="20" t="s">
        <v>86</v>
      </c>
      <c r="F686" s="7" t="s">
        <v>14</v>
      </c>
      <c r="G686" s="7" t="s">
        <v>25</v>
      </c>
      <c r="H686" s="11">
        <v>7.34</v>
      </c>
      <c r="I686" s="8">
        <v>13</v>
      </c>
      <c r="J686" s="26">
        <v>4</v>
      </c>
      <c r="K686" s="10">
        <f t="shared" si="77"/>
        <v>0.38168000000000002</v>
      </c>
      <c r="L686" s="4"/>
      <c r="M686" s="17">
        <v>4</v>
      </c>
      <c r="N686" s="18">
        <f t="shared" si="78"/>
        <v>0.38168000000000002</v>
      </c>
      <c r="O686" s="19">
        <f t="shared" si="79"/>
        <v>0</v>
      </c>
      <c r="P686" s="13">
        <f t="shared" si="80"/>
        <v>0</v>
      </c>
      <c r="Q686" s="9"/>
      <c r="R686" s="2"/>
      <c r="S686" s="2"/>
    </row>
    <row r="687" spans="1:22">
      <c r="A687" s="42" t="s">
        <v>78</v>
      </c>
      <c r="B687" s="3"/>
      <c r="C687" s="3">
        <v>1</v>
      </c>
      <c r="D687" s="1"/>
      <c r="E687" s="20" t="s">
        <v>86</v>
      </c>
      <c r="F687" s="7" t="s">
        <v>14</v>
      </c>
      <c r="G687" s="7" t="s">
        <v>25</v>
      </c>
      <c r="H687" s="11">
        <v>7.34</v>
      </c>
      <c r="I687" s="8">
        <v>12.2</v>
      </c>
      <c r="J687" s="26">
        <v>12</v>
      </c>
      <c r="K687" s="10">
        <f t="shared" si="77"/>
        <v>1.0745759999999998</v>
      </c>
      <c r="L687" s="4"/>
      <c r="M687" s="17">
        <v>12</v>
      </c>
      <c r="N687" s="18">
        <f t="shared" si="78"/>
        <v>1.0745759999999998</v>
      </c>
      <c r="O687" s="19">
        <f t="shared" si="79"/>
        <v>0</v>
      </c>
      <c r="P687" s="13">
        <f t="shared" si="80"/>
        <v>0</v>
      </c>
      <c r="Q687" s="9"/>
      <c r="R687" s="2"/>
      <c r="S687" s="2"/>
    </row>
    <row r="688" spans="1:22">
      <c r="A688" s="42" t="s">
        <v>78</v>
      </c>
      <c r="B688" s="3"/>
      <c r="C688" s="3">
        <v>1</v>
      </c>
      <c r="D688" s="1"/>
      <c r="E688" s="20" t="s">
        <v>86</v>
      </c>
      <c r="F688" s="7" t="s">
        <v>14</v>
      </c>
      <c r="G688" s="7" t="s">
        <v>25</v>
      </c>
      <c r="H688" s="11">
        <v>7.34</v>
      </c>
      <c r="I688" s="8">
        <v>12</v>
      </c>
      <c r="J688" s="26">
        <v>5</v>
      </c>
      <c r="K688" s="10">
        <f t="shared" ref="K688:K733" si="81">(H688*I688*J688/1000)</f>
        <v>0.44039999999999996</v>
      </c>
      <c r="L688" s="4"/>
      <c r="M688" s="17">
        <v>5</v>
      </c>
      <c r="N688" s="18">
        <f t="shared" ref="N688:N733" si="82">I688*M688*H688/1000</f>
        <v>0.44039999999999996</v>
      </c>
      <c r="O688" s="19">
        <f t="shared" ref="O688:O733" si="83">J688-M688</f>
        <v>0</v>
      </c>
      <c r="P688" s="13">
        <f t="shared" ref="P688:P733" si="84">I688*O688*H688/1000</f>
        <v>0</v>
      </c>
      <c r="Q688" s="9"/>
      <c r="R688" s="2"/>
      <c r="S688" s="2"/>
    </row>
    <row r="689" spans="1:22">
      <c r="A689" s="42" t="s">
        <v>78</v>
      </c>
      <c r="B689" s="3"/>
      <c r="C689" s="3">
        <v>1</v>
      </c>
      <c r="D689" s="1"/>
      <c r="E689" s="20" t="s">
        <v>86</v>
      </c>
      <c r="F689" s="7" t="s">
        <v>14</v>
      </c>
      <c r="G689" s="7" t="s">
        <v>25</v>
      </c>
      <c r="H689" s="11">
        <v>7.34</v>
      </c>
      <c r="I689" s="8">
        <v>11.5</v>
      </c>
      <c r="J689" s="26">
        <v>1</v>
      </c>
      <c r="K689" s="10">
        <f t="shared" si="81"/>
        <v>8.4409999999999999E-2</v>
      </c>
      <c r="L689" s="4"/>
      <c r="M689" s="17">
        <v>1</v>
      </c>
      <c r="N689" s="18">
        <f t="shared" si="82"/>
        <v>8.4409999999999999E-2</v>
      </c>
      <c r="O689" s="19">
        <f t="shared" si="83"/>
        <v>0</v>
      </c>
      <c r="P689" s="13">
        <f t="shared" si="84"/>
        <v>0</v>
      </c>
      <c r="Q689" s="9"/>
      <c r="R689" s="2"/>
      <c r="S689" s="2"/>
    </row>
    <row r="690" spans="1:22">
      <c r="A690" s="42" t="s">
        <v>78</v>
      </c>
      <c r="B690" s="3"/>
      <c r="C690" s="3">
        <v>3</v>
      </c>
      <c r="D690" s="1"/>
      <c r="E690" s="20" t="s">
        <v>86</v>
      </c>
      <c r="F690" s="7" t="s">
        <v>14</v>
      </c>
      <c r="G690" s="7" t="s">
        <v>23</v>
      </c>
      <c r="H690" s="11">
        <v>9</v>
      </c>
      <c r="I690" s="8">
        <v>10.9</v>
      </c>
      <c r="J690" s="26">
        <v>2</v>
      </c>
      <c r="K690" s="10">
        <f t="shared" si="81"/>
        <v>0.19620000000000001</v>
      </c>
      <c r="L690" s="4"/>
      <c r="M690" s="17"/>
      <c r="N690" s="18">
        <f t="shared" si="82"/>
        <v>0</v>
      </c>
      <c r="O690" s="19">
        <f t="shared" si="83"/>
        <v>2</v>
      </c>
      <c r="P690" s="13">
        <f t="shared" si="84"/>
        <v>0.19620000000000001</v>
      </c>
      <c r="Q690" s="9"/>
      <c r="R690" s="2"/>
      <c r="S690" s="2"/>
    </row>
    <row r="691" spans="1:22">
      <c r="A691" s="42" t="s">
        <v>78</v>
      </c>
      <c r="B691" s="3"/>
      <c r="C691" s="3">
        <v>3</v>
      </c>
      <c r="D691" s="1"/>
      <c r="E691" s="20" t="s">
        <v>86</v>
      </c>
      <c r="F691" s="7" t="s">
        <v>14</v>
      </c>
      <c r="G691" s="7" t="s">
        <v>23</v>
      </c>
      <c r="H691" s="11">
        <v>9</v>
      </c>
      <c r="I691" s="8">
        <v>11</v>
      </c>
      <c r="J691" s="26">
        <v>7</v>
      </c>
      <c r="K691" s="10">
        <f t="shared" si="81"/>
        <v>0.69299999999999995</v>
      </c>
      <c r="L691" s="4"/>
      <c r="M691" s="17">
        <v>7</v>
      </c>
      <c r="N691" s="18">
        <f t="shared" si="82"/>
        <v>0.69299999999999995</v>
      </c>
      <c r="O691" s="19">
        <f t="shared" si="83"/>
        <v>0</v>
      </c>
      <c r="P691" s="13">
        <f t="shared" si="84"/>
        <v>0</v>
      </c>
      <c r="Q691" s="9"/>
      <c r="R691" s="2"/>
      <c r="S691" s="2"/>
    </row>
    <row r="692" spans="1:22">
      <c r="A692" s="42" t="s">
        <v>78</v>
      </c>
      <c r="B692" s="3"/>
      <c r="C692" s="3">
        <v>5</v>
      </c>
      <c r="D692" s="1"/>
      <c r="E692" s="20" t="s">
        <v>86</v>
      </c>
      <c r="F692" s="7" t="s">
        <v>14</v>
      </c>
      <c r="G692" s="7" t="s">
        <v>23</v>
      </c>
      <c r="H692" s="11">
        <v>9</v>
      </c>
      <c r="I692" s="8">
        <v>11.5</v>
      </c>
      <c r="J692" s="26">
        <v>34</v>
      </c>
      <c r="K692" s="10">
        <f t="shared" si="81"/>
        <v>3.5190000000000001</v>
      </c>
      <c r="L692" s="4"/>
      <c r="M692" s="26">
        <v>34</v>
      </c>
      <c r="N692" s="18">
        <f t="shared" si="82"/>
        <v>3.5190000000000001</v>
      </c>
      <c r="O692" s="19">
        <f t="shared" si="83"/>
        <v>0</v>
      </c>
      <c r="P692" s="13">
        <f t="shared" si="84"/>
        <v>0</v>
      </c>
      <c r="Q692" s="9"/>
      <c r="R692" s="2"/>
      <c r="S692" s="2"/>
    </row>
    <row r="693" spans="1:22">
      <c r="A693" s="42" t="s">
        <v>78</v>
      </c>
      <c r="B693" s="3"/>
      <c r="C693" s="3">
        <v>6</v>
      </c>
      <c r="D693" s="1"/>
      <c r="E693" s="20" t="s">
        <v>86</v>
      </c>
      <c r="F693" s="7" t="s">
        <v>14</v>
      </c>
      <c r="G693" s="7" t="s">
        <v>23</v>
      </c>
      <c r="H693" s="11">
        <v>9</v>
      </c>
      <c r="I693" s="8">
        <v>11.5</v>
      </c>
      <c r="J693" s="26">
        <v>29</v>
      </c>
      <c r="K693" s="10">
        <f t="shared" si="81"/>
        <v>3.0015000000000001</v>
      </c>
      <c r="L693" s="4"/>
      <c r="M693" s="17">
        <v>29</v>
      </c>
      <c r="N693" s="18">
        <f t="shared" si="82"/>
        <v>3.0015000000000001</v>
      </c>
      <c r="O693" s="19">
        <f t="shared" si="83"/>
        <v>0</v>
      </c>
      <c r="P693" s="13">
        <f t="shared" si="84"/>
        <v>0</v>
      </c>
      <c r="Q693" s="9"/>
      <c r="R693" s="2"/>
      <c r="S693" s="2"/>
    </row>
    <row r="694" spans="1:22">
      <c r="A694" s="42" t="s">
        <v>78</v>
      </c>
      <c r="B694" s="3"/>
      <c r="C694" s="3">
        <v>10</v>
      </c>
      <c r="D694" s="1"/>
      <c r="E694" s="20" t="s">
        <v>86</v>
      </c>
      <c r="F694" s="7" t="s">
        <v>14</v>
      </c>
      <c r="G694" s="7" t="s">
        <v>23</v>
      </c>
      <c r="H694" s="11">
        <v>9</v>
      </c>
      <c r="I694" s="8">
        <v>11.5</v>
      </c>
      <c r="J694" s="26">
        <v>29</v>
      </c>
      <c r="K694" s="10">
        <f t="shared" si="81"/>
        <v>3.0015000000000001</v>
      </c>
      <c r="L694" s="4"/>
      <c r="M694" s="17">
        <v>29</v>
      </c>
      <c r="N694" s="18">
        <f t="shared" si="82"/>
        <v>3.0015000000000001</v>
      </c>
      <c r="O694" s="19">
        <f t="shared" si="83"/>
        <v>0</v>
      </c>
      <c r="P694" s="13">
        <f t="shared" si="84"/>
        <v>0</v>
      </c>
      <c r="Q694" s="9"/>
      <c r="R694" s="2"/>
      <c r="S694" s="2"/>
    </row>
    <row r="695" spans="1:22">
      <c r="A695" s="42" t="s">
        <v>78</v>
      </c>
      <c r="B695" s="3"/>
      <c r="C695" s="3">
        <v>24</v>
      </c>
      <c r="D695" s="1"/>
      <c r="E695" s="20" t="s">
        <v>19</v>
      </c>
      <c r="F695" s="7" t="s">
        <v>14</v>
      </c>
      <c r="G695" s="7" t="s">
        <v>18</v>
      </c>
      <c r="H695" s="11">
        <v>6.86</v>
      </c>
      <c r="I695" s="8">
        <v>11.5</v>
      </c>
      <c r="J695" s="26">
        <v>12</v>
      </c>
      <c r="K695" s="10">
        <f t="shared" si="81"/>
        <v>0.94668000000000008</v>
      </c>
      <c r="L695" s="4"/>
      <c r="M695" s="17">
        <f>10+1+1</f>
        <v>12</v>
      </c>
      <c r="N695" s="18">
        <f t="shared" si="82"/>
        <v>0.94668000000000008</v>
      </c>
      <c r="O695" s="19">
        <f t="shared" si="83"/>
        <v>0</v>
      </c>
      <c r="P695" s="13">
        <f t="shared" si="84"/>
        <v>0</v>
      </c>
      <c r="Q695" s="9">
        <v>11.5</v>
      </c>
      <c r="R695" s="2">
        <f>10+1</f>
        <v>11</v>
      </c>
      <c r="S695" s="2">
        <v>10</v>
      </c>
      <c r="T695">
        <v>1</v>
      </c>
      <c r="U695" s="2" t="s">
        <v>687</v>
      </c>
      <c r="V695" s="2" t="s">
        <v>627</v>
      </c>
    </row>
    <row r="696" spans="1:22">
      <c r="A696" s="42" t="s">
        <v>78</v>
      </c>
      <c r="B696" s="3"/>
      <c r="C696" s="3">
        <v>25</v>
      </c>
      <c r="D696" s="1"/>
      <c r="E696" s="20" t="s">
        <v>17</v>
      </c>
      <c r="F696" s="7" t="s">
        <v>15</v>
      </c>
      <c r="G696" s="7" t="s">
        <v>30</v>
      </c>
      <c r="H696" s="11">
        <v>9.26</v>
      </c>
      <c r="I696" s="184">
        <v>9.1999999999999993</v>
      </c>
      <c r="J696" s="26">
        <v>1</v>
      </c>
      <c r="K696" s="10">
        <f t="shared" si="81"/>
        <v>8.519199999999999E-2</v>
      </c>
      <c r="L696" s="4"/>
      <c r="M696" s="17">
        <v>1</v>
      </c>
      <c r="N696" s="18">
        <f t="shared" si="82"/>
        <v>8.519199999999999E-2</v>
      </c>
      <c r="O696" s="19">
        <f t="shared" si="83"/>
        <v>0</v>
      </c>
      <c r="P696" s="13">
        <f t="shared" si="84"/>
        <v>0</v>
      </c>
      <c r="Q696" s="9">
        <v>9</v>
      </c>
      <c r="R696" s="35">
        <v>1</v>
      </c>
      <c r="S696" s="2" t="s">
        <v>267</v>
      </c>
      <c r="V696" s="2" t="s">
        <v>536</v>
      </c>
    </row>
    <row r="697" spans="1:22">
      <c r="A697" s="42" t="s">
        <v>78</v>
      </c>
      <c r="B697" s="3"/>
      <c r="C697" s="3">
        <v>25</v>
      </c>
      <c r="D697" s="1"/>
      <c r="E697" s="20" t="s">
        <v>17</v>
      </c>
      <c r="F697" s="7" t="s">
        <v>15</v>
      </c>
      <c r="G697" s="7" t="s">
        <v>30</v>
      </c>
      <c r="H697" s="11">
        <v>9.26</v>
      </c>
      <c r="I697" s="184">
        <v>6.2</v>
      </c>
      <c r="J697" s="26">
        <v>1</v>
      </c>
      <c r="K697" s="10">
        <f t="shared" si="81"/>
        <v>5.7411999999999998E-2</v>
      </c>
      <c r="L697" s="4"/>
      <c r="M697" s="17"/>
      <c r="N697" s="18">
        <f t="shared" si="82"/>
        <v>0</v>
      </c>
      <c r="O697" s="19">
        <f t="shared" si="83"/>
        <v>1</v>
      </c>
      <c r="P697" s="13">
        <f t="shared" si="84"/>
        <v>5.7411999999999998E-2</v>
      </c>
      <c r="Q697" s="111"/>
      <c r="R697" s="2"/>
      <c r="S697" s="2"/>
    </row>
    <row r="698" spans="1:22">
      <c r="A698" s="42" t="s">
        <v>78</v>
      </c>
      <c r="B698" s="3"/>
      <c r="C698" s="3">
        <v>26</v>
      </c>
      <c r="D698" s="1"/>
      <c r="E698" s="20" t="s">
        <v>17</v>
      </c>
      <c r="F698" s="7" t="s">
        <v>15</v>
      </c>
      <c r="G698" s="7" t="s">
        <v>30</v>
      </c>
      <c r="H698" s="11">
        <v>9.26</v>
      </c>
      <c r="I698" s="184">
        <v>12</v>
      </c>
      <c r="J698" s="26">
        <v>12</v>
      </c>
      <c r="K698" s="10">
        <f t="shared" si="81"/>
        <v>1.33344</v>
      </c>
      <c r="L698" s="4"/>
      <c r="M698" s="17">
        <f>1+8+2</f>
        <v>11</v>
      </c>
      <c r="N698" s="18">
        <f t="shared" si="82"/>
        <v>1.2223199999999999</v>
      </c>
      <c r="O698" s="19">
        <f t="shared" si="83"/>
        <v>1</v>
      </c>
      <c r="P698" s="13">
        <f t="shared" si="84"/>
        <v>0.11112000000000001</v>
      </c>
      <c r="Q698" s="111"/>
      <c r="R698" s="2"/>
      <c r="S698" s="2"/>
      <c r="T698" s="9">
        <v>12</v>
      </c>
      <c r="U698" s="2">
        <v>2</v>
      </c>
      <c r="V698" s="2" t="s">
        <v>208</v>
      </c>
    </row>
    <row r="699" spans="1:22">
      <c r="A699" s="42" t="s">
        <v>78</v>
      </c>
      <c r="B699" s="3"/>
      <c r="C699" s="3">
        <v>27</v>
      </c>
      <c r="D699" s="1"/>
      <c r="E699" s="20" t="s">
        <v>86</v>
      </c>
      <c r="F699" s="7" t="s">
        <v>14</v>
      </c>
      <c r="G699" s="7" t="s">
        <v>23</v>
      </c>
      <c r="H699" s="11">
        <v>9</v>
      </c>
      <c r="I699" s="8">
        <v>11.5</v>
      </c>
      <c r="J699" s="26">
        <v>1</v>
      </c>
      <c r="K699" s="10">
        <f t="shared" si="81"/>
        <v>0.10349999999999999</v>
      </c>
      <c r="L699" s="4"/>
      <c r="M699" s="17"/>
      <c r="N699" s="18">
        <f t="shared" si="82"/>
        <v>0</v>
      </c>
      <c r="O699" s="19">
        <f t="shared" si="83"/>
        <v>1</v>
      </c>
      <c r="P699" s="13">
        <f t="shared" si="84"/>
        <v>0.10349999999999999</v>
      </c>
      <c r="Q699" s="9"/>
      <c r="R699" s="2"/>
      <c r="S699" s="2"/>
    </row>
    <row r="700" spans="1:22">
      <c r="A700" s="42" t="s">
        <v>78</v>
      </c>
      <c r="B700" s="3"/>
      <c r="C700" s="3">
        <v>27</v>
      </c>
      <c r="D700" s="1"/>
      <c r="E700" s="20" t="s">
        <v>86</v>
      </c>
      <c r="F700" s="7" t="s">
        <v>14</v>
      </c>
      <c r="G700" s="7" t="s">
        <v>23</v>
      </c>
      <c r="H700" s="11">
        <v>9</v>
      </c>
      <c r="I700" s="8">
        <v>10.5</v>
      </c>
      <c r="J700" s="26">
        <v>1</v>
      </c>
      <c r="K700" s="10">
        <f t="shared" si="81"/>
        <v>9.4500000000000001E-2</v>
      </c>
      <c r="L700" s="4"/>
      <c r="M700" s="17"/>
      <c r="N700" s="18">
        <f t="shared" si="82"/>
        <v>0</v>
      </c>
      <c r="O700" s="19">
        <f t="shared" si="83"/>
        <v>1</v>
      </c>
      <c r="P700" s="13">
        <f t="shared" si="84"/>
        <v>9.4500000000000001E-2</v>
      </c>
      <c r="Q700" s="9"/>
      <c r="R700" s="2"/>
      <c r="S700" s="2"/>
    </row>
    <row r="701" spans="1:22">
      <c r="A701" s="42" t="s">
        <v>78</v>
      </c>
      <c r="B701" s="3"/>
      <c r="C701" s="3">
        <v>28</v>
      </c>
      <c r="D701" s="1" t="s">
        <v>93</v>
      </c>
      <c r="E701" s="20" t="s">
        <v>86</v>
      </c>
      <c r="F701" s="7" t="s">
        <v>14</v>
      </c>
      <c r="G701" s="7" t="s">
        <v>18</v>
      </c>
      <c r="H701" s="11">
        <v>6.86</v>
      </c>
      <c r="I701" s="8">
        <v>10.5</v>
      </c>
      <c r="J701" s="26">
        <v>7</v>
      </c>
      <c r="K701" s="10">
        <f t="shared" si="81"/>
        <v>0.50421000000000005</v>
      </c>
      <c r="L701" s="4"/>
      <c r="M701" s="17">
        <f>3+3+1</f>
        <v>7</v>
      </c>
      <c r="N701" s="18">
        <f t="shared" si="82"/>
        <v>0.50421000000000005</v>
      </c>
      <c r="O701" s="19">
        <f t="shared" si="83"/>
        <v>0</v>
      </c>
      <c r="P701" s="13">
        <f t="shared" si="84"/>
        <v>0</v>
      </c>
      <c r="Q701" s="9">
        <v>10.5</v>
      </c>
      <c r="R701" s="2">
        <v>3</v>
      </c>
      <c r="S701" s="2">
        <v>10</v>
      </c>
      <c r="T701">
        <v>1</v>
      </c>
      <c r="U701" s="2" t="s">
        <v>687</v>
      </c>
    </row>
    <row r="702" spans="1:22">
      <c r="A702" s="42" t="s">
        <v>78</v>
      </c>
      <c r="B702" s="3"/>
      <c r="C702" s="3">
        <v>28</v>
      </c>
      <c r="D702" s="1"/>
      <c r="E702" s="20" t="s">
        <v>86</v>
      </c>
      <c r="F702" s="7" t="s">
        <v>14</v>
      </c>
      <c r="G702" s="7" t="s">
        <v>18</v>
      </c>
      <c r="H702" s="11">
        <v>6.86</v>
      </c>
      <c r="I702" s="8">
        <v>11</v>
      </c>
      <c r="J702" s="26">
        <v>3</v>
      </c>
      <c r="K702" s="10">
        <f t="shared" si="81"/>
        <v>0.22638000000000003</v>
      </c>
      <c r="L702" s="4"/>
      <c r="M702" s="17">
        <v>3</v>
      </c>
      <c r="N702" s="18">
        <f t="shared" si="82"/>
        <v>0.22638000000000003</v>
      </c>
      <c r="O702" s="19">
        <f t="shared" si="83"/>
        <v>0</v>
      </c>
      <c r="P702" s="13">
        <f t="shared" si="84"/>
        <v>0</v>
      </c>
      <c r="Q702" s="9"/>
      <c r="R702" s="2"/>
      <c r="S702" s="2"/>
    </row>
    <row r="703" spans="1:22">
      <c r="A703" s="42" t="s">
        <v>78</v>
      </c>
      <c r="B703" s="3"/>
      <c r="C703" s="3">
        <v>29</v>
      </c>
      <c r="D703" s="1"/>
      <c r="E703" s="20" t="s">
        <v>17</v>
      </c>
      <c r="F703" s="7" t="s">
        <v>15</v>
      </c>
      <c r="G703" s="7" t="s">
        <v>32</v>
      </c>
      <c r="H703" s="11">
        <v>8.32</v>
      </c>
      <c r="I703" s="8">
        <v>9.8000000000000007</v>
      </c>
      <c r="J703" s="26">
        <v>1</v>
      </c>
      <c r="K703" s="10">
        <f t="shared" si="81"/>
        <v>8.1536000000000011E-2</v>
      </c>
      <c r="L703" s="4"/>
      <c r="M703" s="17">
        <v>1</v>
      </c>
      <c r="N703" s="18">
        <f t="shared" si="82"/>
        <v>8.1536000000000011E-2</v>
      </c>
      <c r="O703" s="19">
        <f t="shared" si="83"/>
        <v>0</v>
      </c>
      <c r="P703" s="13">
        <f t="shared" si="84"/>
        <v>0</v>
      </c>
      <c r="Q703" s="9">
        <v>9.5</v>
      </c>
      <c r="R703" s="2">
        <v>1</v>
      </c>
      <c r="S703" s="2" t="s">
        <v>213</v>
      </c>
    </row>
    <row r="704" spans="1:22">
      <c r="A704" s="42" t="s">
        <v>78</v>
      </c>
      <c r="B704" s="3"/>
      <c r="C704" s="3">
        <v>29</v>
      </c>
      <c r="D704" s="1"/>
      <c r="E704" s="20" t="s">
        <v>17</v>
      </c>
      <c r="F704" s="7" t="s">
        <v>15</v>
      </c>
      <c r="G704" s="7" t="s">
        <v>32</v>
      </c>
      <c r="H704" s="11">
        <v>8.32</v>
      </c>
      <c r="I704" s="8">
        <v>12</v>
      </c>
      <c r="J704" s="26">
        <v>1</v>
      </c>
      <c r="K704" s="10">
        <f t="shared" si="81"/>
        <v>9.9839999999999998E-2</v>
      </c>
      <c r="L704" s="4"/>
      <c r="M704" s="17">
        <v>1</v>
      </c>
      <c r="N704" s="18">
        <f t="shared" si="82"/>
        <v>9.9839999999999998E-2</v>
      </c>
      <c r="O704" s="19">
        <f t="shared" si="83"/>
        <v>0</v>
      </c>
      <c r="P704" s="13">
        <f t="shared" si="84"/>
        <v>0</v>
      </c>
      <c r="Q704" s="9">
        <v>12</v>
      </c>
      <c r="R704" s="2">
        <v>1</v>
      </c>
      <c r="S704" s="2" t="s">
        <v>213</v>
      </c>
    </row>
    <row r="705" spans="1:22">
      <c r="A705" s="42" t="s">
        <v>78</v>
      </c>
      <c r="B705" s="3"/>
      <c r="C705" s="3">
        <v>30</v>
      </c>
      <c r="D705" s="1"/>
      <c r="E705" s="20" t="s">
        <v>86</v>
      </c>
      <c r="F705" s="7" t="s">
        <v>14</v>
      </c>
      <c r="G705" s="7" t="s">
        <v>31</v>
      </c>
      <c r="H705" s="11">
        <v>9.65</v>
      </c>
      <c r="I705" s="8">
        <v>12</v>
      </c>
      <c r="J705" s="26">
        <v>18</v>
      </c>
      <c r="K705" s="10">
        <f t="shared" si="81"/>
        <v>2.0844</v>
      </c>
      <c r="L705" s="4"/>
      <c r="M705" s="22">
        <v>18</v>
      </c>
      <c r="N705" s="18">
        <f t="shared" si="82"/>
        <v>2.0844</v>
      </c>
      <c r="O705" s="19">
        <f t="shared" si="83"/>
        <v>0</v>
      </c>
      <c r="P705" s="13">
        <f t="shared" si="84"/>
        <v>0</v>
      </c>
      <c r="Q705" s="9"/>
      <c r="R705" s="2"/>
      <c r="S705" s="2"/>
    </row>
    <row r="706" spans="1:22">
      <c r="A706" s="42" t="s">
        <v>78</v>
      </c>
      <c r="B706" s="3"/>
      <c r="C706" s="3">
        <v>31</v>
      </c>
      <c r="D706" s="1"/>
      <c r="E706" s="20" t="s">
        <v>86</v>
      </c>
      <c r="F706" s="7" t="s">
        <v>14</v>
      </c>
      <c r="G706" s="7" t="s">
        <v>31</v>
      </c>
      <c r="H706" s="11">
        <v>9.65</v>
      </c>
      <c r="I706" s="8">
        <v>12</v>
      </c>
      <c r="J706" s="26">
        <v>25</v>
      </c>
      <c r="K706" s="10">
        <f t="shared" si="81"/>
        <v>2.8950000000000005</v>
      </c>
      <c r="L706" s="4"/>
      <c r="M706" s="17">
        <v>25</v>
      </c>
      <c r="N706" s="18">
        <f t="shared" si="82"/>
        <v>2.895</v>
      </c>
      <c r="O706" s="19">
        <f t="shared" si="83"/>
        <v>0</v>
      </c>
      <c r="P706" s="13">
        <f t="shared" si="84"/>
        <v>0</v>
      </c>
      <c r="Q706" s="9"/>
      <c r="R706" s="2"/>
      <c r="S706" s="2"/>
    </row>
    <row r="707" spans="1:22">
      <c r="A707" s="42" t="s">
        <v>78</v>
      </c>
      <c r="B707" s="3"/>
      <c r="C707" s="3">
        <v>32</v>
      </c>
      <c r="D707" s="1"/>
      <c r="E707" s="20" t="s">
        <v>86</v>
      </c>
      <c r="F707" s="7" t="s">
        <v>14</v>
      </c>
      <c r="G707" s="7" t="s">
        <v>31</v>
      </c>
      <c r="H707" s="11">
        <v>9.65</v>
      </c>
      <c r="I707" s="8">
        <v>12.25</v>
      </c>
      <c r="J707" s="26">
        <v>27</v>
      </c>
      <c r="K707" s="10">
        <f t="shared" si="81"/>
        <v>3.1917375000000003</v>
      </c>
      <c r="L707" s="4"/>
      <c r="M707" s="17">
        <v>27</v>
      </c>
      <c r="N707" s="18">
        <f t="shared" si="82"/>
        <v>3.1917375000000003</v>
      </c>
      <c r="O707" s="19">
        <f t="shared" si="83"/>
        <v>0</v>
      </c>
      <c r="P707" s="13">
        <f t="shared" si="84"/>
        <v>0</v>
      </c>
      <c r="Q707" s="9"/>
      <c r="R707" s="2"/>
      <c r="S707" s="2"/>
    </row>
    <row r="708" spans="1:22">
      <c r="A708" s="42" t="s">
        <v>78</v>
      </c>
      <c r="B708" s="3"/>
      <c r="C708" s="3">
        <v>33</v>
      </c>
      <c r="D708" s="1"/>
      <c r="E708" s="20" t="s">
        <v>86</v>
      </c>
      <c r="F708" s="7" t="s">
        <v>14</v>
      </c>
      <c r="G708" s="7" t="s">
        <v>31</v>
      </c>
      <c r="H708" s="11">
        <v>9.65</v>
      </c>
      <c r="I708" s="8">
        <v>12</v>
      </c>
      <c r="J708" s="26">
        <v>14</v>
      </c>
      <c r="K708" s="10">
        <f t="shared" si="81"/>
        <v>1.6212000000000002</v>
      </c>
      <c r="L708" s="4"/>
      <c r="M708" s="17">
        <v>14</v>
      </c>
      <c r="N708" s="18">
        <f t="shared" si="82"/>
        <v>1.6212</v>
      </c>
      <c r="O708" s="19">
        <f t="shared" si="83"/>
        <v>0</v>
      </c>
      <c r="P708" s="13">
        <f t="shared" si="84"/>
        <v>0</v>
      </c>
      <c r="Q708" s="9"/>
      <c r="R708" s="2"/>
      <c r="S708" s="2"/>
    </row>
    <row r="709" spans="1:22">
      <c r="A709" s="42" t="s">
        <v>78</v>
      </c>
      <c r="B709" s="3"/>
      <c r="C709" s="3">
        <v>33</v>
      </c>
      <c r="D709" s="1"/>
      <c r="E709" s="20" t="s">
        <v>86</v>
      </c>
      <c r="F709" s="7" t="s">
        <v>14</v>
      </c>
      <c r="G709" s="7" t="s">
        <v>31</v>
      </c>
      <c r="H709" s="11">
        <v>9.65</v>
      </c>
      <c r="I709" s="8">
        <v>11</v>
      </c>
      <c r="J709" s="26">
        <v>2</v>
      </c>
      <c r="K709" s="10">
        <f t="shared" si="81"/>
        <v>0.21230000000000002</v>
      </c>
      <c r="L709" s="4"/>
      <c r="M709" s="17">
        <v>2</v>
      </c>
      <c r="N709" s="18">
        <f t="shared" si="82"/>
        <v>0.21230000000000002</v>
      </c>
      <c r="O709" s="19">
        <f t="shared" si="83"/>
        <v>0</v>
      </c>
      <c r="P709" s="13">
        <f t="shared" si="84"/>
        <v>0</v>
      </c>
      <c r="Q709" s="9"/>
      <c r="R709" s="2"/>
      <c r="S709" s="2"/>
    </row>
    <row r="710" spans="1:22">
      <c r="A710" s="42" t="s">
        <v>78</v>
      </c>
      <c r="B710" s="3"/>
      <c r="C710" s="3">
        <v>34</v>
      </c>
      <c r="D710" s="1"/>
      <c r="E710" s="20" t="s">
        <v>86</v>
      </c>
      <c r="F710" s="7" t="s">
        <v>14</v>
      </c>
      <c r="G710" s="7" t="s">
        <v>31</v>
      </c>
      <c r="H710" s="11">
        <v>9.65</v>
      </c>
      <c r="I710" s="8">
        <v>13.1</v>
      </c>
      <c r="J710" s="26">
        <v>25</v>
      </c>
      <c r="K710" s="10">
        <f t="shared" si="81"/>
        <v>3.1603750000000002</v>
      </c>
      <c r="L710" s="4"/>
      <c r="M710" s="17">
        <v>25</v>
      </c>
      <c r="N710" s="18">
        <f t="shared" si="82"/>
        <v>3.1603750000000002</v>
      </c>
      <c r="O710" s="19">
        <f t="shared" si="83"/>
        <v>0</v>
      </c>
      <c r="P710" s="13">
        <f t="shared" si="84"/>
        <v>0</v>
      </c>
      <c r="Q710" s="9"/>
      <c r="R710" s="2"/>
      <c r="S710" s="2"/>
    </row>
    <row r="711" spans="1:22">
      <c r="A711" s="42" t="s">
        <v>78</v>
      </c>
      <c r="B711" s="3"/>
      <c r="C711" s="3">
        <v>35</v>
      </c>
      <c r="D711" s="1"/>
      <c r="E711" s="20" t="s">
        <v>86</v>
      </c>
      <c r="F711" s="7" t="s">
        <v>14</v>
      </c>
      <c r="G711" s="7" t="s">
        <v>31</v>
      </c>
      <c r="H711" s="11">
        <v>9.65</v>
      </c>
      <c r="I711" s="8">
        <v>12.25</v>
      </c>
      <c r="J711" s="26">
        <v>27</v>
      </c>
      <c r="K711" s="10">
        <f t="shared" si="81"/>
        <v>3.1917375000000003</v>
      </c>
      <c r="L711" s="4"/>
      <c r="M711" s="17">
        <v>27</v>
      </c>
      <c r="N711" s="18">
        <f t="shared" si="82"/>
        <v>3.1917375000000003</v>
      </c>
      <c r="O711" s="19">
        <f t="shared" si="83"/>
        <v>0</v>
      </c>
      <c r="P711" s="13">
        <f t="shared" si="84"/>
        <v>0</v>
      </c>
      <c r="Q711" s="9"/>
      <c r="R711" s="2"/>
      <c r="S711" s="2"/>
    </row>
    <row r="712" spans="1:22">
      <c r="A712" s="42" t="s">
        <v>78</v>
      </c>
      <c r="B712" s="3"/>
      <c r="C712" s="3">
        <v>36</v>
      </c>
      <c r="D712" s="1"/>
      <c r="E712" s="20" t="s">
        <v>86</v>
      </c>
      <c r="F712" s="7" t="s">
        <v>14</v>
      </c>
      <c r="G712" s="7" t="s">
        <v>31</v>
      </c>
      <c r="H712" s="11">
        <v>9.65</v>
      </c>
      <c r="I712" s="8">
        <v>12</v>
      </c>
      <c r="J712" s="26">
        <v>5</v>
      </c>
      <c r="K712" s="10">
        <f t="shared" si="81"/>
        <v>0.57899999999999996</v>
      </c>
      <c r="L712" s="4"/>
      <c r="M712" s="17">
        <v>5</v>
      </c>
      <c r="N712" s="18">
        <f t="shared" si="82"/>
        <v>0.57899999999999996</v>
      </c>
      <c r="O712" s="19">
        <f t="shared" si="83"/>
        <v>0</v>
      </c>
      <c r="P712" s="13">
        <f t="shared" si="84"/>
        <v>0</v>
      </c>
      <c r="Q712" s="9"/>
      <c r="R712" s="2"/>
      <c r="S712" s="2"/>
    </row>
    <row r="713" spans="1:22">
      <c r="A713" s="42" t="s">
        <v>78</v>
      </c>
      <c r="B713" s="3"/>
      <c r="C713" s="3">
        <v>36</v>
      </c>
      <c r="D713" s="1"/>
      <c r="E713" s="20" t="s">
        <v>86</v>
      </c>
      <c r="F713" s="7" t="s">
        <v>14</v>
      </c>
      <c r="G713" s="7" t="s">
        <v>31</v>
      </c>
      <c r="H713" s="11">
        <v>9.65</v>
      </c>
      <c r="I713" s="8">
        <v>11.5</v>
      </c>
      <c r="J713" s="26">
        <v>11</v>
      </c>
      <c r="K713" s="10">
        <f t="shared" si="81"/>
        <v>1.2207250000000001</v>
      </c>
      <c r="L713" s="4"/>
      <c r="M713" s="17">
        <v>11</v>
      </c>
      <c r="N713" s="18">
        <f t="shared" si="82"/>
        <v>1.2207250000000001</v>
      </c>
      <c r="O713" s="19">
        <f t="shared" si="83"/>
        <v>0</v>
      </c>
      <c r="P713" s="13">
        <f t="shared" si="84"/>
        <v>0</v>
      </c>
      <c r="Q713" s="9"/>
      <c r="R713" s="2"/>
      <c r="S713" s="2"/>
    </row>
    <row r="714" spans="1:22">
      <c r="A714" s="42" t="s">
        <v>78</v>
      </c>
      <c r="B714" s="3"/>
      <c r="C714" s="3">
        <v>37</v>
      </c>
      <c r="D714" s="1"/>
      <c r="E714" s="20" t="s">
        <v>86</v>
      </c>
      <c r="F714" s="7" t="s">
        <v>14</v>
      </c>
      <c r="G714" s="7" t="s">
        <v>31</v>
      </c>
      <c r="H714" s="11">
        <v>9.65</v>
      </c>
      <c r="I714" s="8">
        <v>12.25</v>
      </c>
      <c r="J714" s="26">
        <v>28</v>
      </c>
      <c r="K714" s="10">
        <f t="shared" si="81"/>
        <v>3.3099500000000002</v>
      </c>
      <c r="L714" s="4"/>
      <c r="M714" s="17">
        <v>28</v>
      </c>
      <c r="N714" s="18">
        <f t="shared" si="82"/>
        <v>3.3099500000000002</v>
      </c>
      <c r="O714" s="19">
        <f t="shared" si="83"/>
        <v>0</v>
      </c>
      <c r="P714" s="13">
        <f t="shared" si="84"/>
        <v>0</v>
      </c>
      <c r="Q714" s="9"/>
      <c r="R714" s="2"/>
      <c r="S714" s="2"/>
    </row>
    <row r="715" spans="1:22">
      <c r="A715" s="42" t="s">
        <v>78</v>
      </c>
      <c r="B715" s="3"/>
      <c r="C715" s="3">
        <v>38</v>
      </c>
      <c r="D715" s="1"/>
      <c r="E715" s="20" t="s">
        <v>86</v>
      </c>
      <c r="F715" s="7" t="s">
        <v>14</v>
      </c>
      <c r="G715" s="7" t="s">
        <v>31</v>
      </c>
      <c r="H715" s="11">
        <v>9.65</v>
      </c>
      <c r="I715" s="8">
        <v>12.25</v>
      </c>
      <c r="J715" s="26">
        <v>27</v>
      </c>
      <c r="K715" s="10">
        <f t="shared" si="81"/>
        <v>3.1917375000000003</v>
      </c>
      <c r="L715" s="4"/>
      <c r="M715" s="17">
        <v>27</v>
      </c>
      <c r="N715" s="18">
        <f t="shared" si="82"/>
        <v>3.1917375000000003</v>
      </c>
      <c r="O715" s="19">
        <f t="shared" si="83"/>
        <v>0</v>
      </c>
      <c r="P715" s="13">
        <f t="shared" si="84"/>
        <v>0</v>
      </c>
      <c r="Q715" s="9"/>
      <c r="R715" s="2"/>
      <c r="S715" s="2"/>
    </row>
    <row r="716" spans="1:22">
      <c r="A716" s="42" t="s">
        <v>78</v>
      </c>
      <c r="B716" s="3"/>
      <c r="C716" s="3">
        <v>39</v>
      </c>
      <c r="D716" s="1"/>
      <c r="E716" s="20" t="s">
        <v>17</v>
      </c>
      <c r="F716" s="7" t="s">
        <v>15</v>
      </c>
      <c r="G716" s="7" t="s">
        <v>27</v>
      </c>
      <c r="H716" s="11">
        <v>6.17</v>
      </c>
      <c r="I716" s="8">
        <v>9.5</v>
      </c>
      <c r="J716" s="26">
        <v>6</v>
      </c>
      <c r="K716" s="10">
        <f t="shared" si="81"/>
        <v>0.35169</v>
      </c>
      <c r="L716" s="4"/>
      <c r="M716" s="17">
        <v>6</v>
      </c>
      <c r="N716" s="18">
        <f t="shared" si="82"/>
        <v>0.35169</v>
      </c>
      <c r="O716" s="19">
        <f t="shared" si="83"/>
        <v>0</v>
      </c>
      <c r="P716" s="13">
        <f t="shared" si="84"/>
        <v>0</v>
      </c>
      <c r="Q716" s="9"/>
      <c r="R716" s="2"/>
      <c r="S716" s="2"/>
    </row>
    <row r="717" spans="1:22">
      <c r="A717" s="42" t="s">
        <v>78</v>
      </c>
      <c r="B717" s="3"/>
      <c r="C717" s="3">
        <v>39</v>
      </c>
      <c r="D717" s="1"/>
      <c r="E717" s="464" t="s">
        <v>17</v>
      </c>
      <c r="F717" s="362" t="s">
        <v>15</v>
      </c>
      <c r="G717" s="362" t="s">
        <v>27</v>
      </c>
      <c r="H717" s="465">
        <v>6.17</v>
      </c>
      <c r="I717" s="57">
        <v>9</v>
      </c>
      <c r="J717" s="56">
        <v>3</v>
      </c>
      <c r="K717" s="466">
        <f t="shared" si="81"/>
        <v>0.16659000000000002</v>
      </c>
      <c r="L717" s="467"/>
      <c r="M717" s="335">
        <v>3</v>
      </c>
      <c r="N717" s="84">
        <f t="shared" si="82"/>
        <v>0.16659000000000002</v>
      </c>
      <c r="O717" s="106">
        <f t="shared" si="83"/>
        <v>0</v>
      </c>
      <c r="P717" s="53">
        <f t="shared" si="84"/>
        <v>0</v>
      </c>
      <c r="Q717" s="9"/>
      <c r="R717" s="2">
        <v>3</v>
      </c>
      <c r="S717" s="2" t="s">
        <v>700</v>
      </c>
      <c r="T717" s="158">
        <v>8</v>
      </c>
      <c r="U717">
        <v>3</v>
      </c>
      <c r="V717" s="213" t="s">
        <v>213</v>
      </c>
    </row>
    <row r="718" spans="1:22">
      <c r="A718" s="42" t="s">
        <v>78</v>
      </c>
      <c r="B718" s="3"/>
      <c r="C718" s="3">
        <v>39</v>
      </c>
      <c r="D718" s="1"/>
      <c r="E718" s="464" t="s">
        <v>17</v>
      </c>
      <c r="F718" s="362" t="s">
        <v>15</v>
      </c>
      <c r="G718" s="362" t="s">
        <v>27</v>
      </c>
      <c r="H718" s="465">
        <v>6.17</v>
      </c>
      <c r="I718" s="57">
        <v>8.8000000000000007</v>
      </c>
      <c r="J718" s="56">
        <v>1</v>
      </c>
      <c r="K718" s="466">
        <f t="shared" si="81"/>
        <v>5.4296000000000004E-2</v>
      </c>
      <c r="L718" s="467"/>
      <c r="M718" s="335">
        <v>1</v>
      </c>
      <c r="N718" s="84">
        <f t="shared" si="82"/>
        <v>5.4296000000000004E-2</v>
      </c>
      <c r="O718" s="106">
        <f t="shared" si="83"/>
        <v>0</v>
      </c>
      <c r="P718" s="53">
        <f t="shared" si="84"/>
        <v>0</v>
      </c>
      <c r="Q718" s="9"/>
      <c r="R718" s="2">
        <v>1</v>
      </c>
      <c r="S718" s="2" t="s">
        <v>700</v>
      </c>
      <c r="T718" s="158">
        <v>8</v>
      </c>
      <c r="U718">
        <v>1</v>
      </c>
      <c r="V718" s="213" t="s">
        <v>213</v>
      </c>
    </row>
    <row r="719" spans="1:22">
      <c r="A719" s="42" t="s">
        <v>78</v>
      </c>
      <c r="B719" s="3"/>
      <c r="C719" s="3">
        <v>39</v>
      </c>
      <c r="D719" s="1"/>
      <c r="E719" s="464" t="s">
        <v>17</v>
      </c>
      <c r="F719" s="362" t="s">
        <v>15</v>
      </c>
      <c r="G719" s="362" t="s">
        <v>27</v>
      </c>
      <c r="H719" s="465">
        <v>6.17</v>
      </c>
      <c r="I719" s="57">
        <v>7.5</v>
      </c>
      <c r="J719" s="56">
        <v>1</v>
      </c>
      <c r="K719" s="466">
        <f t="shared" si="81"/>
        <v>4.6274999999999997E-2</v>
      </c>
      <c r="L719" s="467"/>
      <c r="M719" s="335">
        <v>1</v>
      </c>
      <c r="N719" s="84">
        <f t="shared" si="82"/>
        <v>4.6274999999999997E-2</v>
      </c>
      <c r="O719" s="106">
        <f t="shared" si="83"/>
        <v>0</v>
      </c>
      <c r="P719" s="53">
        <f t="shared" si="84"/>
        <v>0</v>
      </c>
      <c r="Q719" s="9"/>
      <c r="R719" s="2">
        <v>1</v>
      </c>
      <c r="S719" s="2" t="s">
        <v>700</v>
      </c>
      <c r="T719" s="158"/>
    </row>
    <row r="720" spans="1:22">
      <c r="A720" s="42" t="s">
        <v>78</v>
      </c>
      <c r="B720" s="3"/>
      <c r="C720" s="3">
        <v>39</v>
      </c>
      <c r="D720" s="1"/>
      <c r="E720" s="464" t="s">
        <v>17</v>
      </c>
      <c r="F720" s="362" t="s">
        <v>15</v>
      </c>
      <c r="G720" s="362" t="s">
        <v>27</v>
      </c>
      <c r="H720" s="465">
        <v>6.17</v>
      </c>
      <c r="I720" s="57">
        <v>7</v>
      </c>
      <c r="J720" s="56">
        <v>1</v>
      </c>
      <c r="K720" s="466">
        <f t="shared" si="81"/>
        <v>4.3189999999999999E-2</v>
      </c>
      <c r="L720" s="467"/>
      <c r="M720" s="335">
        <v>1</v>
      </c>
      <c r="N720" s="84">
        <f t="shared" si="82"/>
        <v>4.3189999999999999E-2</v>
      </c>
      <c r="O720" s="106">
        <f t="shared" si="83"/>
        <v>0</v>
      </c>
      <c r="P720" s="53">
        <f t="shared" si="84"/>
        <v>0</v>
      </c>
      <c r="Q720" s="9"/>
      <c r="R720" s="2">
        <v>1</v>
      </c>
      <c r="S720" s="2" t="s">
        <v>700</v>
      </c>
      <c r="T720" s="158"/>
    </row>
    <row r="721" spans="1:19">
      <c r="A721" s="42" t="s">
        <v>78</v>
      </c>
      <c r="B721" s="3"/>
      <c r="C721" s="3">
        <v>40</v>
      </c>
      <c r="D721" s="1"/>
      <c r="E721" s="20" t="s">
        <v>63</v>
      </c>
      <c r="F721" s="7" t="s">
        <v>15</v>
      </c>
      <c r="G721" s="7" t="s">
        <v>27</v>
      </c>
      <c r="H721" s="11">
        <v>6.17</v>
      </c>
      <c r="I721" s="8">
        <v>9.5</v>
      </c>
      <c r="J721" s="26">
        <v>8</v>
      </c>
      <c r="K721" s="10">
        <f t="shared" si="81"/>
        <v>0.46892</v>
      </c>
      <c r="L721" s="4"/>
      <c r="M721" s="17"/>
      <c r="N721" s="18">
        <f t="shared" si="82"/>
        <v>0</v>
      </c>
      <c r="O721" s="19">
        <f t="shared" si="83"/>
        <v>8</v>
      </c>
      <c r="P721" s="13">
        <f t="shared" si="84"/>
        <v>0.46892</v>
      </c>
      <c r="Q721" s="9"/>
      <c r="R721" s="2"/>
      <c r="S721" s="2"/>
    </row>
    <row r="722" spans="1:19">
      <c r="A722" s="42" t="s">
        <v>78</v>
      </c>
      <c r="B722" s="3"/>
      <c r="C722" s="3">
        <v>40</v>
      </c>
      <c r="D722" s="1"/>
      <c r="E722" s="20" t="s">
        <v>63</v>
      </c>
      <c r="F722" s="7" t="s">
        <v>15</v>
      </c>
      <c r="G722" s="7" t="s">
        <v>27</v>
      </c>
      <c r="H722" s="11">
        <v>6.17</v>
      </c>
      <c r="I722" s="8">
        <v>7.5</v>
      </c>
      <c r="J722" s="26">
        <v>1</v>
      </c>
      <c r="K722" s="10">
        <f t="shared" si="81"/>
        <v>4.6274999999999997E-2</v>
      </c>
      <c r="L722" s="4"/>
      <c r="M722" s="17"/>
      <c r="N722" s="18">
        <f t="shared" si="82"/>
        <v>0</v>
      </c>
      <c r="O722" s="19">
        <f t="shared" si="83"/>
        <v>1</v>
      </c>
      <c r="P722" s="13">
        <f t="shared" si="84"/>
        <v>4.6274999999999997E-2</v>
      </c>
      <c r="Q722" s="9"/>
      <c r="R722" s="2"/>
      <c r="S722" s="2"/>
    </row>
    <row r="723" spans="1:19">
      <c r="A723" s="42" t="s">
        <v>78</v>
      </c>
      <c r="B723" s="3"/>
      <c r="C723" s="3">
        <v>41</v>
      </c>
      <c r="D723" s="1"/>
      <c r="E723" s="20" t="s">
        <v>17</v>
      </c>
      <c r="F723" s="7" t="s">
        <v>15</v>
      </c>
      <c r="G723" s="7" t="s">
        <v>36</v>
      </c>
      <c r="H723" s="11">
        <v>10.199999999999999</v>
      </c>
      <c r="I723" s="8">
        <v>11</v>
      </c>
      <c r="J723" s="26">
        <v>11</v>
      </c>
      <c r="K723" s="10">
        <f t="shared" si="81"/>
        <v>1.2341999999999997</v>
      </c>
      <c r="L723" s="4"/>
      <c r="M723" s="17">
        <v>11</v>
      </c>
      <c r="N723" s="18">
        <f t="shared" si="82"/>
        <v>1.2341999999999997</v>
      </c>
      <c r="O723" s="19">
        <f t="shared" si="83"/>
        <v>0</v>
      </c>
      <c r="P723" s="13">
        <f t="shared" si="84"/>
        <v>0</v>
      </c>
      <c r="Q723" s="9">
        <v>10.5</v>
      </c>
      <c r="R723" s="2">
        <v>11</v>
      </c>
      <c r="S723" s="2" t="s">
        <v>196</v>
      </c>
    </row>
    <row r="724" spans="1:19">
      <c r="A724" s="42" t="s">
        <v>78</v>
      </c>
      <c r="B724" s="3"/>
      <c r="C724" s="3">
        <v>42</v>
      </c>
      <c r="D724" s="1"/>
      <c r="E724" s="20" t="s">
        <v>24</v>
      </c>
      <c r="F724" s="7" t="s">
        <v>14</v>
      </c>
      <c r="G724" s="7" t="s">
        <v>44</v>
      </c>
      <c r="H724" s="11">
        <v>13.4</v>
      </c>
      <c r="I724" s="8">
        <v>12</v>
      </c>
      <c r="J724" s="26">
        <v>13</v>
      </c>
      <c r="K724" s="10">
        <f t="shared" si="81"/>
        <v>2.0904000000000003</v>
      </c>
      <c r="L724" s="4"/>
      <c r="M724" s="17">
        <v>13</v>
      </c>
      <c r="N724" s="18">
        <f t="shared" si="82"/>
        <v>2.0904000000000003</v>
      </c>
      <c r="O724" s="19">
        <f t="shared" si="83"/>
        <v>0</v>
      </c>
      <c r="P724" s="13">
        <f t="shared" si="84"/>
        <v>0</v>
      </c>
      <c r="Q724" s="9"/>
      <c r="R724" s="2"/>
      <c r="S724" s="2"/>
    </row>
    <row r="725" spans="1:19">
      <c r="A725" s="42" t="s">
        <v>78</v>
      </c>
      <c r="B725" s="3"/>
      <c r="C725" s="3">
        <v>43</v>
      </c>
      <c r="D725" s="1"/>
      <c r="E725" s="20" t="s">
        <v>24</v>
      </c>
      <c r="F725" s="7" t="s">
        <v>14</v>
      </c>
      <c r="G725" s="7" t="s">
        <v>44</v>
      </c>
      <c r="H725" s="11">
        <v>13.4</v>
      </c>
      <c r="I725" s="8">
        <v>11.2</v>
      </c>
      <c r="J725" s="26">
        <v>3</v>
      </c>
      <c r="K725" s="10">
        <f t="shared" si="81"/>
        <v>0.45023999999999997</v>
      </c>
      <c r="L725" s="4"/>
      <c r="M725" s="17">
        <v>3</v>
      </c>
      <c r="N725" s="18">
        <f t="shared" si="82"/>
        <v>0.45023999999999997</v>
      </c>
      <c r="O725" s="19">
        <f t="shared" si="83"/>
        <v>0</v>
      </c>
      <c r="P725" s="13">
        <f t="shared" si="84"/>
        <v>0</v>
      </c>
      <c r="Q725" s="9"/>
      <c r="R725" s="35">
        <v>3</v>
      </c>
      <c r="S725" s="2" t="s">
        <v>539</v>
      </c>
    </row>
    <row r="726" spans="1:19">
      <c r="A726" s="42" t="s">
        <v>78</v>
      </c>
      <c r="B726" s="3"/>
      <c r="C726" s="3">
        <v>43</v>
      </c>
      <c r="D726" s="1"/>
      <c r="E726" s="20" t="s">
        <v>24</v>
      </c>
      <c r="F726" s="7" t="s">
        <v>14</v>
      </c>
      <c r="G726" s="7" t="s">
        <v>44</v>
      </c>
      <c r="H726" s="11">
        <v>13.4</v>
      </c>
      <c r="I726" s="8">
        <v>11.6</v>
      </c>
      <c r="J726" s="26">
        <v>1</v>
      </c>
      <c r="K726" s="10">
        <f t="shared" si="81"/>
        <v>0.15543999999999999</v>
      </c>
      <c r="L726" s="4"/>
      <c r="M726" s="17">
        <v>1</v>
      </c>
      <c r="N726" s="18">
        <f t="shared" si="82"/>
        <v>0.15543999999999999</v>
      </c>
      <c r="O726" s="19">
        <f t="shared" si="83"/>
        <v>0</v>
      </c>
      <c r="P726" s="13">
        <f t="shared" si="84"/>
        <v>0</v>
      </c>
      <c r="Q726" s="9"/>
      <c r="R726" s="2"/>
      <c r="S726" s="2"/>
    </row>
    <row r="727" spans="1:19">
      <c r="A727" s="42" t="s">
        <v>78</v>
      </c>
      <c r="B727" s="3"/>
      <c r="C727" s="3">
        <v>44</v>
      </c>
      <c r="D727" s="1"/>
      <c r="E727" s="20" t="s">
        <v>17</v>
      </c>
      <c r="F727" s="7" t="s">
        <v>15</v>
      </c>
      <c r="G727" s="7" t="s">
        <v>32</v>
      </c>
      <c r="H727" s="11">
        <v>8.32</v>
      </c>
      <c r="I727" s="8">
        <v>10</v>
      </c>
      <c r="J727" s="26">
        <v>22</v>
      </c>
      <c r="K727" s="10">
        <f t="shared" si="81"/>
        <v>1.8304</v>
      </c>
      <c r="L727" s="4"/>
      <c r="M727" s="17">
        <v>22</v>
      </c>
      <c r="N727" s="18">
        <f t="shared" si="82"/>
        <v>1.8304</v>
      </c>
      <c r="O727" s="19">
        <f t="shared" si="83"/>
        <v>0</v>
      </c>
      <c r="P727" s="13">
        <f t="shared" si="84"/>
        <v>0</v>
      </c>
      <c r="Q727" s="9"/>
      <c r="R727" s="2"/>
      <c r="S727" s="2"/>
    </row>
    <row r="728" spans="1:19">
      <c r="A728" s="42" t="s">
        <v>78</v>
      </c>
      <c r="B728" s="3"/>
      <c r="C728" s="3">
        <v>44</v>
      </c>
      <c r="D728" s="1"/>
      <c r="E728" s="20" t="s">
        <v>17</v>
      </c>
      <c r="F728" s="7" t="s">
        <v>15</v>
      </c>
      <c r="G728" s="7" t="s">
        <v>32</v>
      </c>
      <c r="H728" s="11">
        <v>8.32</v>
      </c>
      <c r="I728" s="8">
        <v>9.6</v>
      </c>
      <c r="J728" s="26">
        <v>2</v>
      </c>
      <c r="K728" s="10">
        <f t="shared" si="81"/>
        <v>0.159744</v>
      </c>
      <c r="L728" s="4"/>
      <c r="M728" s="17">
        <v>2</v>
      </c>
      <c r="N728" s="18">
        <f t="shared" si="82"/>
        <v>0.159744</v>
      </c>
      <c r="O728" s="19">
        <f t="shared" si="83"/>
        <v>0</v>
      </c>
      <c r="P728" s="13">
        <f t="shared" si="84"/>
        <v>0</v>
      </c>
      <c r="Q728" s="9"/>
      <c r="R728" s="2"/>
      <c r="S728" s="2"/>
    </row>
    <row r="729" spans="1:19">
      <c r="A729" s="42" t="s">
        <v>78</v>
      </c>
      <c r="B729" s="3"/>
      <c r="C729" s="3">
        <v>1</v>
      </c>
      <c r="D729" s="1"/>
      <c r="E729" s="12" t="s">
        <v>81</v>
      </c>
      <c r="F729" s="7" t="s">
        <v>14</v>
      </c>
      <c r="G729" s="7" t="s">
        <v>23</v>
      </c>
      <c r="H729" s="11">
        <v>9</v>
      </c>
      <c r="I729" s="8">
        <v>12.5</v>
      </c>
      <c r="J729" s="26">
        <v>1</v>
      </c>
      <c r="K729" s="10">
        <f t="shared" si="81"/>
        <v>0.1125</v>
      </c>
      <c r="L729" s="4"/>
      <c r="M729" s="17"/>
      <c r="N729" s="18">
        <f t="shared" si="82"/>
        <v>0</v>
      </c>
      <c r="O729" s="19">
        <f t="shared" si="83"/>
        <v>1</v>
      </c>
      <c r="P729" s="13">
        <f t="shared" si="84"/>
        <v>0.1125</v>
      </c>
      <c r="Q729" s="9"/>
      <c r="R729" s="2"/>
      <c r="S729" s="2"/>
    </row>
    <row r="730" spans="1:19">
      <c r="A730" s="42" t="s">
        <v>78</v>
      </c>
      <c r="B730" s="3"/>
      <c r="C730" s="3">
        <v>1</v>
      </c>
      <c r="D730" s="1"/>
      <c r="E730" s="12" t="s">
        <v>81</v>
      </c>
      <c r="F730" s="7" t="s">
        <v>14</v>
      </c>
      <c r="G730" s="7" t="s">
        <v>23</v>
      </c>
      <c r="H730" s="11">
        <v>9</v>
      </c>
      <c r="I730" s="8">
        <v>11.7</v>
      </c>
      <c r="J730" s="26">
        <v>1</v>
      </c>
      <c r="K730" s="10">
        <f t="shared" si="81"/>
        <v>0.10529999999999999</v>
      </c>
      <c r="L730" s="4"/>
      <c r="M730" s="17"/>
      <c r="N730" s="18">
        <f t="shared" si="82"/>
        <v>0</v>
      </c>
      <c r="O730" s="19">
        <f t="shared" si="83"/>
        <v>1</v>
      </c>
      <c r="P730" s="13">
        <f t="shared" si="84"/>
        <v>0.10529999999999999</v>
      </c>
      <c r="Q730" s="9"/>
      <c r="R730" s="2"/>
      <c r="S730" s="2"/>
    </row>
    <row r="731" spans="1:19">
      <c r="A731" s="42" t="s">
        <v>78</v>
      </c>
      <c r="B731" s="3"/>
      <c r="C731" s="3">
        <v>2</v>
      </c>
      <c r="D731" s="1"/>
      <c r="E731" s="12" t="s">
        <v>81</v>
      </c>
      <c r="F731" s="7" t="s">
        <v>14</v>
      </c>
      <c r="G731" s="7" t="s">
        <v>23</v>
      </c>
      <c r="H731" s="11">
        <v>9</v>
      </c>
      <c r="I731" s="8">
        <v>12.85</v>
      </c>
      <c r="J731" s="26">
        <v>4</v>
      </c>
      <c r="K731" s="10">
        <f t="shared" si="81"/>
        <v>0.46259999999999996</v>
      </c>
      <c r="L731" s="4"/>
      <c r="M731" s="17">
        <v>4</v>
      </c>
      <c r="N731" s="18">
        <f t="shared" si="82"/>
        <v>0.46259999999999996</v>
      </c>
      <c r="O731" s="19">
        <f t="shared" si="83"/>
        <v>0</v>
      </c>
      <c r="P731" s="13">
        <f t="shared" si="84"/>
        <v>0</v>
      </c>
      <c r="Q731" s="9"/>
      <c r="R731" s="2"/>
      <c r="S731" s="2"/>
    </row>
    <row r="732" spans="1:19">
      <c r="A732" s="42" t="s">
        <v>78</v>
      </c>
      <c r="B732" s="3"/>
      <c r="C732" s="3">
        <v>2</v>
      </c>
      <c r="D732" s="1"/>
      <c r="E732" s="12" t="s">
        <v>81</v>
      </c>
      <c r="F732" s="7" t="s">
        <v>14</v>
      </c>
      <c r="G732" s="7" t="s">
        <v>23</v>
      </c>
      <c r="H732" s="11">
        <v>9</v>
      </c>
      <c r="I732" s="8">
        <v>12</v>
      </c>
      <c r="J732" s="26">
        <v>23</v>
      </c>
      <c r="K732" s="10">
        <f t="shared" si="81"/>
        <v>2.484</v>
      </c>
      <c r="L732" s="4"/>
      <c r="M732" s="17">
        <f>19+4</f>
        <v>23</v>
      </c>
      <c r="N732" s="18">
        <f t="shared" si="82"/>
        <v>2.484</v>
      </c>
      <c r="O732" s="19">
        <f t="shared" si="83"/>
        <v>0</v>
      </c>
      <c r="P732" s="13">
        <f t="shared" si="84"/>
        <v>0</v>
      </c>
      <c r="Q732" s="9">
        <v>11</v>
      </c>
      <c r="R732" s="2">
        <v>4</v>
      </c>
      <c r="S732" s="2"/>
    </row>
    <row r="733" spans="1:19">
      <c r="A733" s="42" t="s">
        <v>78</v>
      </c>
      <c r="B733" s="3"/>
      <c r="C733" s="3">
        <v>3</v>
      </c>
      <c r="D733" s="1"/>
      <c r="E733" s="12" t="s">
        <v>81</v>
      </c>
      <c r="F733" s="7" t="s">
        <v>14</v>
      </c>
      <c r="G733" s="7" t="s">
        <v>23</v>
      </c>
      <c r="H733" s="11">
        <v>9</v>
      </c>
      <c r="I733" s="8">
        <v>12.85</v>
      </c>
      <c r="J733" s="26">
        <v>20</v>
      </c>
      <c r="K733" s="10">
        <f t="shared" si="81"/>
        <v>2.3130000000000002</v>
      </c>
      <c r="L733" s="4"/>
      <c r="M733" s="17">
        <v>20</v>
      </c>
      <c r="N733" s="18">
        <f t="shared" si="82"/>
        <v>2.3130000000000002</v>
      </c>
      <c r="O733" s="19">
        <f t="shared" si="83"/>
        <v>0</v>
      </c>
      <c r="P733" s="13">
        <f t="shared" si="84"/>
        <v>0</v>
      </c>
      <c r="Q733" s="9"/>
      <c r="R733" s="2"/>
      <c r="S733" s="2"/>
    </row>
    <row r="734" spans="1:19">
      <c r="A734" s="42" t="s">
        <v>78</v>
      </c>
      <c r="B734" s="3"/>
      <c r="C734" s="3">
        <v>4</v>
      </c>
      <c r="D734" s="1"/>
      <c r="E734" s="12" t="s">
        <v>81</v>
      </c>
      <c r="F734" s="7" t="s">
        <v>14</v>
      </c>
      <c r="G734" s="7" t="s">
        <v>23</v>
      </c>
      <c r="H734" s="11">
        <v>9</v>
      </c>
      <c r="I734" s="8">
        <v>12.85</v>
      </c>
      <c r="J734" s="26">
        <v>18</v>
      </c>
      <c r="K734" s="10">
        <f t="shared" ref="K734:K777" si="85">(H734*I734*J734/1000)</f>
        <v>2.0816999999999997</v>
      </c>
      <c r="L734" s="4"/>
      <c r="M734" s="17">
        <f>3+15</f>
        <v>18</v>
      </c>
      <c r="N734" s="18">
        <f t="shared" ref="N734:N777" si="86">I734*M734*H734/1000</f>
        <v>2.0816999999999997</v>
      </c>
      <c r="O734" s="19">
        <f t="shared" ref="O734:O777" si="87">J734-M734</f>
        <v>0</v>
      </c>
      <c r="P734" s="13">
        <f t="shared" ref="P734:P777" si="88">I734*O734*H734/1000</f>
        <v>0</v>
      </c>
      <c r="Q734" s="9"/>
      <c r="R734" s="2"/>
      <c r="S734" s="2"/>
    </row>
    <row r="735" spans="1:19">
      <c r="A735" s="42" t="s">
        <v>78</v>
      </c>
      <c r="B735" s="3"/>
      <c r="C735" s="3">
        <v>5</v>
      </c>
      <c r="D735" s="1"/>
      <c r="E735" s="20" t="s">
        <v>82</v>
      </c>
      <c r="F735" s="7" t="s">
        <v>15</v>
      </c>
      <c r="G735" s="7" t="s">
        <v>16</v>
      </c>
      <c r="H735" s="11">
        <v>5.77</v>
      </c>
      <c r="I735" s="8">
        <v>11.5</v>
      </c>
      <c r="J735" s="26">
        <v>3</v>
      </c>
      <c r="K735" s="10">
        <f t="shared" si="85"/>
        <v>0.19906499999999996</v>
      </c>
      <c r="L735" s="4"/>
      <c r="M735" s="17">
        <v>3</v>
      </c>
      <c r="N735" s="18">
        <f t="shared" si="86"/>
        <v>0.19906499999999999</v>
      </c>
      <c r="O735" s="19">
        <f t="shared" si="87"/>
        <v>0</v>
      </c>
      <c r="P735" s="13">
        <f t="shared" si="88"/>
        <v>0</v>
      </c>
      <c r="Q735" s="9">
        <v>11</v>
      </c>
      <c r="R735" s="2">
        <v>3</v>
      </c>
      <c r="S735" s="2" t="s">
        <v>208</v>
      </c>
    </row>
    <row r="736" spans="1:19">
      <c r="A736" s="42" t="s">
        <v>78</v>
      </c>
      <c r="B736" s="3"/>
      <c r="C736" s="3">
        <v>5</v>
      </c>
      <c r="D736" s="1"/>
      <c r="E736" s="20" t="s">
        <v>82</v>
      </c>
      <c r="F736" s="7" t="s">
        <v>15</v>
      </c>
      <c r="G736" s="7" t="s">
        <v>16</v>
      </c>
      <c r="H736" s="11">
        <v>5.77</v>
      </c>
      <c r="I736" s="8">
        <v>9.4</v>
      </c>
      <c r="J736" s="26">
        <v>2</v>
      </c>
      <c r="K736" s="10">
        <f t="shared" si="85"/>
        <v>0.108476</v>
      </c>
      <c r="L736" s="4"/>
      <c r="M736" s="17">
        <v>2</v>
      </c>
      <c r="N736" s="18">
        <f t="shared" si="86"/>
        <v>0.108476</v>
      </c>
      <c r="O736" s="19">
        <f t="shared" si="87"/>
        <v>0</v>
      </c>
      <c r="P736" s="13">
        <f t="shared" si="88"/>
        <v>0</v>
      </c>
      <c r="Q736" s="9"/>
      <c r="R736" s="2">
        <v>2</v>
      </c>
      <c r="S736" s="2" t="s">
        <v>222</v>
      </c>
    </row>
    <row r="737" spans="1:22">
      <c r="A737" s="42" t="s">
        <v>78</v>
      </c>
      <c r="B737" s="3"/>
      <c r="C737" s="3">
        <v>5</v>
      </c>
      <c r="D737" s="1"/>
      <c r="E737" s="20" t="s">
        <v>82</v>
      </c>
      <c r="F737" s="7" t="s">
        <v>15</v>
      </c>
      <c r="G737" s="7" t="s">
        <v>16</v>
      </c>
      <c r="H737" s="11">
        <v>5.77</v>
      </c>
      <c r="I737" s="8">
        <v>9</v>
      </c>
      <c r="J737" s="26">
        <v>4</v>
      </c>
      <c r="K737" s="10">
        <f t="shared" si="85"/>
        <v>0.20771999999999996</v>
      </c>
      <c r="L737" s="4"/>
      <c r="M737" s="17">
        <v>4</v>
      </c>
      <c r="N737" s="18">
        <f t="shared" si="86"/>
        <v>0.20771999999999996</v>
      </c>
      <c r="O737" s="19">
        <f t="shared" si="87"/>
        <v>0</v>
      </c>
      <c r="P737" s="13">
        <f t="shared" si="88"/>
        <v>0</v>
      </c>
      <c r="Q737" s="9"/>
      <c r="R737" s="2">
        <v>4</v>
      </c>
      <c r="S737" s="2" t="s">
        <v>222</v>
      </c>
    </row>
    <row r="738" spans="1:22">
      <c r="A738" s="42" t="s">
        <v>78</v>
      </c>
      <c r="B738" s="3"/>
      <c r="C738" s="3">
        <v>5</v>
      </c>
      <c r="D738" s="1"/>
      <c r="E738" s="20" t="s">
        <v>82</v>
      </c>
      <c r="F738" s="7" t="s">
        <v>15</v>
      </c>
      <c r="G738" s="7" t="s">
        <v>16</v>
      </c>
      <c r="H738" s="11">
        <v>5.77</v>
      </c>
      <c r="I738" s="8">
        <v>8.5</v>
      </c>
      <c r="J738" s="26">
        <v>1</v>
      </c>
      <c r="K738" s="10">
        <f t="shared" si="85"/>
        <v>4.9044999999999991E-2</v>
      </c>
      <c r="L738" s="4"/>
      <c r="M738" s="17">
        <v>1</v>
      </c>
      <c r="N738" s="18">
        <f t="shared" si="86"/>
        <v>4.9044999999999991E-2</v>
      </c>
      <c r="O738" s="19">
        <f t="shared" si="87"/>
        <v>0</v>
      </c>
      <c r="P738" s="13">
        <f t="shared" si="88"/>
        <v>0</v>
      </c>
      <c r="Q738" s="9"/>
      <c r="R738" s="2">
        <v>1</v>
      </c>
      <c r="S738" s="2" t="s">
        <v>222</v>
      </c>
    </row>
    <row r="739" spans="1:22">
      <c r="A739" s="42" t="s">
        <v>78</v>
      </c>
      <c r="B739" s="3"/>
      <c r="C739" s="3">
        <v>5</v>
      </c>
      <c r="D739" s="1"/>
      <c r="E739" s="20" t="s">
        <v>82</v>
      </c>
      <c r="F739" s="7" t="s">
        <v>15</v>
      </c>
      <c r="G739" s="7" t="s">
        <v>16</v>
      </c>
      <c r="H739" s="11">
        <v>5.77</v>
      </c>
      <c r="I739" s="8">
        <v>7.75</v>
      </c>
      <c r="J739" s="26">
        <v>4</v>
      </c>
      <c r="K739" s="10">
        <f t="shared" si="85"/>
        <v>0.17886999999999997</v>
      </c>
      <c r="L739" s="4"/>
      <c r="M739" s="17">
        <v>4</v>
      </c>
      <c r="N739" s="18">
        <f t="shared" si="86"/>
        <v>0.17886999999999997</v>
      </c>
      <c r="O739" s="19">
        <f t="shared" si="87"/>
        <v>0</v>
      </c>
      <c r="P739" s="13">
        <f t="shared" si="88"/>
        <v>0</v>
      </c>
      <c r="Q739" s="9"/>
      <c r="R739" s="2">
        <v>4</v>
      </c>
      <c r="S739" s="2" t="s">
        <v>222</v>
      </c>
    </row>
    <row r="740" spans="1:22">
      <c r="A740" s="42" t="s">
        <v>78</v>
      </c>
      <c r="B740" s="3"/>
      <c r="C740" s="3">
        <v>6</v>
      </c>
      <c r="D740" s="1"/>
      <c r="E740" s="20" t="s">
        <v>63</v>
      </c>
      <c r="F740" s="7" t="s">
        <v>15</v>
      </c>
      <c r="G740" s="7" t="s">
        <v>49</v>
      </c>
      <c r="H740" s="11">
        <v>17.82</v>
      </c>
      <c r="I740" s="8">
        <v>11</v>
      </c>
      <c r="J740" s="26">
        <v>3</v>
      </c>
      <c r="K740" s="10">
        <f t="shared" si="85"/>
        <v>0.58806000000000003</v>
      </c>
      <c r="L740" s="4"/>
      <c r="M740" s="17">
        <v>2</v>
      </c>
      <c r="N740" s="18">
        <f t="shared" si="86"/>
        <v>0.39204</v>
      </c>
      <c r="O740" s="19">
        <f t="shared" si="87"/>
        <v>1</v>
      </c>
      <c r="P740" s="13">
        <f t="shared" si="88"/>
        <v>0.19602</v>
      </c>
      <c r="Q740" s="9">
        <v>7.1</v>
      </c>
      <c r="R740" s="2">
        <v>2</v>
      </c>
      <c r="S740" s="2" t="s">
        <v>602</v>
      </c>
    </row>
    <row r="741" spans="1:22">
      <c r="A741" s="42" t="s">
        <v>78</v>
      </c>
      <c r="B741" s="3"/>
      <c r="C741" s="3">
        <v>7</v>
      </c>
      <c r="D741" s="1"/>
      <c r="E741" s="20" t="s">
        <v>63</v>
      </c>
      <c r="F741" s="7" t="s">
        <v>15</v>
      </c>
      <c r="G741" s="7" t="s">
        <v>49</v>
      </c>
      <c r="H741" s="11">
        <v>17.82</v>
      </c>
      <c r="I741" s="8">
        <v>6.8</v>
      </c>
      <c r="J741" s="26">
        <v>1</v>
      </c>
      <c r="K741" s="10">
        <f t="shared" si="85"/>
        <v>0.12117600000000001</v>
      </c>
      <c r="L741" s="4"/>
      <c r="M741" s="17">
        <v>1</v>
      </c>
      <c r="N741" s="18">
        <f t="shared" si="86"/>
        <v>0.12117600000000001</v>
      </c>
      <c r="O741" s="19">
        <f t="shared" si="87"/>
        <v>0</v>
      </c>
      <c r="P741" s="13">
        <f t="shared" si="88"/>
        <v>0</v>
      </c>
      <c r="Q741" s="9">
        <v>6.1</v>
      </c>
      <c r="R741" s="2">
        <v>1</v>
      </c>
      <c r="S741" s="2" t="s">
        <v>602</v>
      </c>
    </row>
    <row r="742" spans="1:22">
      <c r="A742" s="42" t="s">
        <v>78</v>
      </c>
      <c r="B742" s="3"/>
      <c r="C742" s="3">
        <v>7</v>
      </c>
      <c r="D742" s="1"/>
      <c r="E742" s="20" t="s">
        <v>63</v>
      </c>
      <c r="F742" s="7" t="s">
        <v>15</v>
      </c>
      <c r="G742" s="7" t="s">
        <v>49</v>
      </c>
      <c r="H742" s="11">
        <v>17.82</v>
      </c>
      <c r="I742" s="8">
        <v>7.6</v>
      </c>
      <c r="J742" s="26">
        <v>1</v>
      </c>
      <c r="K742" s="10">
        <f t="shared" si="85"/>
        <v>0.135432</v>
      </c>
      <c r="L742" s="4"/>
      <c r="M742" s="17">
        <v>1</v>
      </c>
      <c r="N742" s="18">
        <f t="shared" si="86"/>
        <v>0.135432</v>
      </c>
      <c r="O742" s="19">
        <f t="shared" si="87"/>
        <v>0</v>
      </c>
      <c r="P742" s="13">
        <f t="shared" si="88"/>
        <v>0</v>
      </c>
      <c r="Q742" s="9">
        <v>7.1</v>
      </c>
      <c r="R742" s="2">
        <v>1</v>
      </c>
      <c r="S742" s="2" t="s">
        <v>602</v>
      </c>
    </row>
    <row r="743" spans="1:22">
      <c r="A743" s="42" t="s">
        <v>78</v>
      </c>
      <c r="B743" s="3"/>
      <c r="C743" s="3">
        <v>7</v>
      </c>
      <c r="D743" s="1"/>
      <c r="E743" s="20" t="s">
        <v>63</v>
      </c>
      <c r="F743" s="7" t="s">
        <v>15</v>
      </c>
      <c r="G743" s="7" t="s">
        <v>49</v>
      </c>
      <c r="H743" s="11">
        <v>17.82</v>
      </c>
      <c r="I743" s="8">
        <v>8</v>
      </c>
      <c r="J743" s="26">
        <v>3</v>
      </c>
      <c r="K743" s="10">
        <f t="shared" si="85"/>
        <v>0.42768</v>
      </c>
      <c r="L743" s="4"/>
      <c r="M743" s="17">
        <f>2+1</f>
        <v>3</v>
      </c>
      <c r="N743" s="18">
        <f t="shared" si="86"/>
        <v>0.42768</v>
      </c>
      <c r="O743" s="19">
        <f t="shared" si="87"/>
        <v>0</v>
      </c>
      <c r="P743" s="13">
        <f t="shared" si="88"/>
        <v>0</v>
      </c>
      <c r="Q743" s="9">
        <v>7.1</v>
      </c>
      <c r="R743" s="2">
        <v>1</v>
      </c>
      <c r="S743" s="2" t="s">
        <v>602</v>
      </c>
      <c r="T743" s="9">
        <v>7.7</v>
      </c>
      <c r="U743" s="2">
        <v>2</v>
      </c>
      <c r="V743" s="2" t="s">
        <v>209</v>
      </c>
    </row>
    <row r="744" spans="1:22">
      <c r="A744" s="42" t="s">
        <v>78</v>
      </c>
      <c r="B744" s="3"/>
      <c r="C744" s="3">
        <v>7</v>
      </c>
      <c r="D744" s="1"/>
      <c r="E744" s="20" t="s">
        <v>63</v>
      </c>
      <c r="F744" s="7" t="s">
        <v>15</v>
      </c>
      <c r="G744" s="7" t="s">
        <v>49</v>
      </c>
      <c r="H744" s="11">
        <v>17.82</v>
      </c>
      <c r="I744" s="8">
        <v>11.7</v>
      </c>
      <c r="J744" s="26">
        <v>1</v>
      </c>
      <c r="K744" s="10">
        <f t="shared" si="85"/>
        <v>0.20849400000000001</v>
      </c>
      <c r="L744" s="4"/>
      <c r="M744" s="17">
        <v>1</v>
      </c>
      <c r="N744" s="18">
        <f t="shared" si="86"/>
        <v>0.20849400000000001</v>
      </c>
      <c r="O744" s="19">
        <f t="shared" si="87"/>
        <v>0</v>
      </c>
      <c r="P744" s="13">
        <f t="shared" si="88"/>
        <v>0</v>
      </c>
      <c r="Q744" s="9"/>
      <c r="R744" s="2"/>
      <c r="S744" s="2"/>
      <c r="T744" s="9">
        <v>11.7</v>
      </c>
      <c r="U744" s="2">
        <v>1</v>
      </c>
      <c r="V744" s="2" t="s">
        <v>209</v>
      </c>
    </row>
    <row r="745" spans="1:22">
      <c r="A745" s="42" t="s">
        <v>78</v>
      </c>
      <c r="B745" s="3"/>
      <c r="C745" s="3">
        <v>8</v>
      </c>
      <c r="D745" s="1"/>
      <c r="E745" s="20" t="s">
        <v>19</v>
      </c>
      <c r="F745" s="7" t="s">
        <v>14</v>
      </c>
      <c r="G745" s="7" t="s">
        <v>28</v>
      </c>
      <c r="H745" s="11">
        <v>12.18</v>
      </c>
      <c r="I745" s="8">
        <v>7.1</v>
      </c>
      <c r="J745" s="26">
        <v>1</v>
      </c>
      <c r="K745" s="10">
        <f t="shared" si="85"/>
        <v>8.6477999999999999E-2</v>
      </c>
      <c r="L745" s="4"/>
      <c r="M745" s="17"/>
      <c r="N745" s="18">
        <f t="shared" si="86"/>
        <v>0</v>
      </c>
      <c r="O745" s="19">
        <f t="shared" si="87"/>
        <v>1</v>
      </c>
      <c r="P745" s="13">
        <f t="shared" si="88"/>
        <v>8.6477999999999999E-2</v>
      </c>
      <c r="Q745" s="9"/>
      <c r="R745" s="2"/>
      <c r="S745" s="2"/>
    </row>
    <row r="746" spans="1:22">
      <c r="A746" s="42" t="s">
        <v>78</v>
      </c>
      <c r="B746" s="3"/>
      <c r="C746" s="3">
        <v>8</v>
      </c>
      <c r="D746" s="1"/>
      <c r="E746" s="20" t="s">
        <v>19</v>
      </c>
      <c r="F746" s="7" t="s">
        <v>14</v>
      </c>
      <c r="G746" s="7" t="s">
        <v>28</v>
      </c>
      <c r="H746" s="11">
        <v>12.18</v>
      </c>
      <c r="I746" s="8">
        <v>7.9</v>
      </c>
      <c r="J746" s="26">
        <v>1</v>
      </c>
      <c r="K746" s="10">
        <f t="shared" si="85"/>
        <v>9.6222000000000002E-2</v>
      </c>
      <c r="L746" s="4"/>
      <c r="M746" s="17"/>
      <c r="N746" s="18">
        <f t="shared" si="86"/>
        <v>0</v>
      </c>
      <c r="O746" s="19">
        <f t="shared" si="87"/>
        <v>1</v>
      </c>
      <c r="P746" s="13">
        <f t="shared" si="88"/>
        <v>9.6222000000000002E-2</v>
      </c>
      <c r="Q746" s="9"/>
      <c r="R746" s="2"/>
      <c r="S746" s="2"/>
    </row>
    <row r="747" spans="1:22">
      <c r="A747" s="42" t="s">
        <v>78</v>
      </c>
      <c r="B747" s="3"/>
      <c r="C747" s="3">
        <v>9</v>
      </c>
      <c r="D747" s="1"/>
      <c r="E747" s="12" t="s">
        <v>81</v>
      </c>
      <c r="F747" s="7" t="s">
        <v>14</v>
      </c>
      <c r="G747" s="7" t="s">
        <v>23</v>
      </c>
      <c r="H747" s="11">
        <v>9</v>
      </c>
      <c r="I747" s="8">
        <v>11.5</v>
      </c>
      <c r="J747" s="26">
        <v>1</v>
      </c>
      <c r="K747" s="10">
        <f t="shared" si="85"/>
        <v>0.10349999999999999</v>
      </c>
      <c r="L747" s="4"/>
      <c r="M747" s="17"/>
      <c r="N747" s="18">
        <f t="shared" si="86"/>
        <v>0</v>
      </c>
      <c r="O747" s="19">
        <f t="shared" si="87"/>
        <v>1</v>
      </c>
      <c r="P747" s="13">
        <f t="shared" si="88"/>
        <v>0.10349999999999999</v>
      </c>
      <c r="Q747" s="9"/>
      <c r="R747" s="2"/>
      <c r="S747" s="2"/>
    </row>
    <row r="748" spans="1:22">
      <c r="A748" s="42" t="s">
        <v>78</v>
      </c>
      <c r="B748" s="3"/>
      <c r="C748" s="3">
        <v>9</v>
      </c>
      <c r="D748" s="1"/>
      <c r="E748" s="12" t="s">
        <v>81</v>
      </c>
      <c r="F748" s="7" t="s">
        <v>14</v>
      </c>
      <c r="G748" s="7" t="s">
        <v>23</v>
      </c>
      <c r="H748" s="11">
        <v>9</v>
      </c>
      <c r="I748" s="8">
        <v>8.8000000000000007</v>
      </c>
      <c r="J748" s="26">
        <v>1</v>
      </c>
      <c r="K748" s="10">
        <f t="shared" si="85"/>
        <v>7.9200000000000007E-2</v>
      </c>
      <c r="L748" s="4"/>
      <c r="M748" s="17"/>
      <c r="N748" s="18">
        <f t="shared" si="86"/>
        <v>0</v>
      </c>
      <c r="O748" s="19">
        <f t="shared" si="87"/>
        <v>1</v>
      </c>
      <c r="P748" s="13">
        <f t="shared" si="88"/>
        <v>7.9200000000000007E-2</v>
      </c>
      <c r="Q748" s="9"/>
      <c r="R748" s="2"/>
      <c r="S748" s="2"/>
    </row>
    <row r="749" spans="1:22">
      <c r="A749" s="42" t="s">
        <v>78</v>
      </c>
      <c r="B749" s="3"/>
      <c r="C749" s="3">
        <v>9</v>
      </c>
      <c r="D749" s="1"/>
      <c r="E749" s="12" t="s">
        <v>81</v>
      </c>
      <c r="F749" s="7" t="s">
        <v>14</v>
      </c>
      <c r="G749" s="7" t="s">
        <v>23</v>
      </c>
      <c r="H749" s="11">
        <v>9</v>
      </c>
      <c r="I749" s="8">
        <v>12</v>
      </c>
      <c r="J749" s="26">
        <v>4</v>
      </c>
      <c r="K749" s="10">
        <f t="shared" si="85"/>
        <v>0.432</v>
      </c>
      <c r="L749" s="4"/>
      <c r="M749" s="17">
        <v>4</v>
      </c>
      <c r="N749" s="18">
        <f t="shared" si="86"/>
        <v>0.432</v>
      </c>
      <c r="O749" s="19">
        <f t="shared" si="87"/>
        <v>0</v>
      </c>
      <c r="P749" s="13">
        <f t="shared" si="88"/>
        <v>0</v>
      </c>
      <c r="Q749" s="9">
        <v>11</v>
      </c>
      <c r="R749" s="2">
        <v>4</v>
      </c>
      <c r="S749" s="2"/>
    </row>
    <row r="750" spans="1:22">
      <c r="A750" s="42" t="s">
        <v>78</v>
      </c>
      <c r="B750" s="3"/>
      <c r="C750" s="3">
        <v>9</v>
      </c>
      <c r="D750" s="1"/>
      <c r="E750" s="12" t="s">
        <v>81</v>
      </c>
      <c r="F750" s="7" t="s">
        <v>14</v>
      </c>
      <c r="G750" s="7" t="s">
        <v>23</v>
      </c>
      <c r="H750" s="11">
        <v>9</v>
      </c>
      <c r="I750" s="8">
        <v>10.5</v>
      </c>
      <c r="J750" s="26">
        <v>10</v>
      </c>
      <c r="K750" s="10">
        <f t="shared" si="85"/>
        <v>0.94499999999999995</v>
      </c>
      <c r="L750" s="4"/>
      <c r="M750" s="17">
        <v>10</v>
      </c>
      <c r="N750" s="18">
        <f t="shared" si="86"/>
        <v>0.94499999999999995</v>
      </c>
      <c r="O750" s="19">
        <f t="shared" si="87"/>
        <v>0</v>
      </c>
      <c r="P750" s="13">
        <f t="shared" si="88"/>
        <v>0</v>
      </c>
      <c r="Q750" s="9">
        <v>10</v>
      </c>
      <c r="R750" s="2">
        <v>10</v>
      </c>
      <c r="S750" s="2"/>
    </row>
    <row r="751" spans="1:22">
      <c r="A751" s="42" t="s">
        <v>78</v>
      </c>
      <c r="B751" s="3"/>
      <c r="C751" s="3">
        <v>9</v>
      </c>
      <c r="D751" s="1"/>
      <c r="E751" s="12" t="s">
        <v>81</v>
      </c>
      <c r="F751" s="7" t="s">
        <v>14</v>
      </c>
      <c r="G751" s="7" t="s">
        <v>23</v>
      </c>
      <c r="H751" s="11">
        <v>9</v>
      </c>
      <c r="I751" s="8">
        <v>9.5</v>
      </c>
      <c r="J751" s="26">
        <v>1</v>
      </c>
      <c r="K751" s="10">
        <f t="shared" si="85"/>
        <v>8.5500000000000007E-2</v>
      </c>
      <c r="L751" s="4"/>
      <c r="M751" s="17"/>
      <c r="N751" s="18">
        <f t="shared" si="86"/>
        <v>0</v>
      </c>
      <c r="O751" s="19">
        <f t="shared" si="87"/>
        <v>1</v>
      </c>
      <c r="P751" s="13">
        <f t="shared" si="88"/>
        <v>8.5500000000000007E-2</v>
      </c>
      <c r="Q751" s="9"/>
      <c r="R751" s="2"/>
      <c r="S751" s="2"/>
    </row>
    <row r="752" spans="1:22">
      <c r="A752" s="42" t="s">
        <v>78</v>
      </c>
      <c r="B752" s="3"/>
      <c r="C752" s="3">
        <v>9</v>
      </c>
      <c r="D752" s="1"/>
      <c r="E752" s="12" t="s">
        <v>81</v>
      </c>
      <c r="F752" s="7" t="s">
        <v>14</v>
      </c>
      <c r="G752" s="7" t="s">
        <v>23</v>
      </c>
      <c r="H752" s="11">
        <v>9</v>
      </c>
      <c r="I752" s="8">
        <v>10</v>
      </c>
      <c r="J752" s="26">
        <v>2</v>
      </c>
      <c r="K752" s="10">
        <f t="shared" si="85"/>
        <v>0.18</v>
      </c>
      <c r="L752" s="4"/>
      <c r="M752" s="17">
        <v>2</v>
      </c>
      <c r="N752" s="18">
        <f t="shared" si="86"/>
        <v>0.18</v>
      </c>
      <c r="O752" s="19">
        <f t="shared" si="87"/>
        <v>0</v>
      </c>
      <c r="P752" s="13">
        <f t="shared" si="88"/>
        <v>0</v>
      </c>
      <c r="Q752" s="9">
        <v>10</v>
      </c>
      <c r="R752" s="2">
        <v>2</v>
      </c>
      <c r="S752" s="2"/>
    </row>
    <row r="753" spans="1:22">
      <c r="A753" s="42" t="s">
        <v>78</v>
      </c>
      <c r="B753" s="3"/>
      <c r="C753" s="3">
        <v>9</v>
      </c>
      <c r="D753" s="1"/>
      <c r="E753" s="12" t="s">
        <v>81</v>
      </c>
      <c r="F753" s="7" t="s">
        <v>14</v>
      </c>
      <c r="G753" s="7" t="s">
        <v>23</v>
      </c>
      <c r="H753" s="11">
        <v>9</v>
      </c>
      <c r="I753" s="8">
        <v>8</v>
      </c>
      <c r="J753" s="26">
        <v>2</v>
      </c>
      <c r="K753" s="10">
        <f t="shared" si="85"/>
        <v>0.14399999999999999</v>
      </c>
      <c r="L753" s="4"/>
      <c r="M753" s="17"/>
      <c r="N753" s="18">
        <f t="shared" si="86"/>
        <v>0</v>
      </c>
      <c r="O753" s="19">
        <f t="shared" si="87"/>
        <v>2</v>
      </c>
      <c r="P753" s="13">
        <f t="shared" si="88"/>
        <v>0.14399999999999999</v>
      </c>
      <c r="Q753" s="9"/>
      <c r="R753" s="2"/>
      <c r="S753" s="2"/>
    </row>
    <row r="754" spans="1:22">
      <c r="A754" s="42" t="s">
        <v>78</v>
      </c>
      <c r="B754" s="3"/>
      <c r="C754" s="3">
        <v>9</v>
      </c>
      <c r="D754" s="1"/>
      <c r="E754" s="12" t="s">
        <v>81</v>
      </c>
      <c r="F754" s="7" t="s">
        <v>14</v>
      </c>
      <c r="G754" s="7" t="s">
        <v>23</v>
      </c>
      <c r="H754" s="11">
        <v>9</v>
      </c>
      <c r="I754" s="8">
        <v>7</v>
      </c>
      <c r="J754" s="26">
        <v>2</v>
      </c>
      <c r="K754" s="10">
        <f t="shared" si="85"/>
        <v>0.126</v>
      </c>
      <c r="L754" s="4"/>
      <c r="M754" s="17"/>
      <c r="N754" s="18">
        <f t="shared" si="86"/>
        <v>0</v>
      </c>
      <c r="O754" s="19">
        <f t="shared" si="87"/>
        <v>2</v>
      </c>
      <c r="P754" s="13">
        <f t="shared" si="88"/>
        <v>0.126</v>
      </c>
      <c r="Q754" s="9"/>
      <c r="R754" s="2"/>
      <c r="S754" s="2"/>
    </row>
    <row r="755" spans="1:22">
      <c r="A755" s="42" t="s">
        <v>78</v>
      </c>
      <c r="B755" s="3"/>
      <c r="C755" s="3">
        <v>9</v>
      </c>
      <c r="D755" s="1"/>
      <c r="E755" s="12" t="s">
        <v>81</v>
      </c>
      <c r="F755" s="7" t="s">
        <v>14</v>
      </c>
      <c r="G755" s="7" t="s">
        <v>23</v>
      </c>
      <c r="H755" s="11">
        <v>9</v>
      </c>
      <c r="I755" s="8">
        <v>7.4</v>
      </c>
      <c r="J755" s="26">
        <v>1</v>
      </c>
      <c r="K755" s="10">
        <f t="shared" si="85"/>
        <v>6.6600000000000006E-2</v>
      </c>
      <c r="L755" s="4"/>
      <c r="M755" s="17"/>
      <c r="N755" s="18">
        <f t="shared" si="86"/>
        <v>0</v>
      </c>
      <c r="O755" s="19">
        <f t="shared" si="87"/>
        <v>1</v>
      </c>
      <c r="P755" s="13">
        <f t="shared" si="88"/>
        <v>6.6600000000000006E-2</v>
      </c>
      <c r="Q755" s="9"/>
      <c r="R755" s="2"/>
      <c r="S755" s="2"/>
    </row>
    <row r="756" spans="1:22">
      <c r="A756" s="42" t="s">
        <v>78</v>
      </c>
      <c r="B756" s="3"/>
      <c r="C756" s="3">
        <v>10</v>
      </c>
      <c r="D756" s="1"/>
      <c r="E756" s="20" t="s">
        <v>17</v>
      </c>
      <c r="F756" s="7" t="s">
        <v>15</v>
      </c>
      <c r="G756" s="7" t="s">
        <v>27</v>
      </c>
      <c r="H756" s="11">
        <v>6.17</v>
      </c>
      <c r="I756" s="8">
        <v>5.5</v>
      </c>
      <c r="J756" s="26">
        <v>1</v>
      </c>
      <c r="K756" s="10">
        <f t="shared" si="85"/>
        <v>3.3935E-2</v>
      </c>
      <c r="L756" s="4"/>
      <c r="M756" s="17">
        <v>1</v>
      </c>
      <c r="N756" s="18">
        <f t="shared" si="86"/>
        <v>3.3935E-2</v>
      </c>
      <c r="O756" s="19">
        <f t="shared" si="87"/>
        <v>0</v>
      </c>
      <c r="P756" s="13">
        <f t="shared" si="88"/>
        <v>0</v>
      </c>
      <c r="Q756" s="9"/>
      <c r="R756" s="2">
        <v>1</v>
      </c>
      <c r="S756" s="2" t="s">
        <v>700</v>
      </c>
      <c r="T756" s="158"/>
    </row>
    <row r="757" spans="1:22">
      <c r="A757" s="42" t="s">
        <v>78</v>
      </c>
      <c r="B757" s="3"/>
      <c r="C757" s="3">
        <v>10</v>
      </c>
      <c r="D757" s="1"/>
      <c r="E757" s="20" t="s">
        <v>17</v>
      </c>
      <c r="F757" s="7" t="s">
        <v>15</v>
      </c>
      <c r="G757" s="7" t="s">
        <v>27</v>
      </c>
      <c r="H757" s="11">
        <v>6.17</v>
      </c>
      <c r="I757" s="8">
        <v>5.85</v>
      </c>
      <c r="J757" s="26">
        <v>1</v>
      </c>
      <c r="K757" s="10">
        <f t="shared" si="85"/>
        <v>3.6094499999999995E-2</v>
      </c>
      <c r="L757" s="4"/>
      <c r="M757" s="17">
        <v>1</v>
      </c>
      <c r="N757" s="18">
        <f t="shared" si="86"/>
        <v>3.6094499999999995E-2</v>
      </c>
      <c r="O757" s="19">
        <f t="shared" si="87"/>
        <v>0</v>
      </c>
      <c r="P757" s="13">
        <f t="shared" si="88"/>
        <v>0</v>
      </c>
      <c r="Q757" s="9"/>
      <c r="R757" s="2">
        <v>1</v>
      </c>
      <c r="S757" s="2" t="s">
        <v>700</v>
      </c>
      <c r="T757" s="158"/>
    </row>
    <row r="758" spans="1:22">
      <c r="A758" s="42" t="s">
        <v>78</v>
      </c>
      <c r="B758" s="3"/>
      <c r="C758" s="3">
        <v>10</v>
      </c>
      <c r="D758" s="1"/>
      <c r="E758" s="20" t="s">
        <v>17</v>
      </c>
      <c r="F758" s="7" t="s">
        <v>15</v>
      </c>
      <c r="G758" s="7" t="s">
        <v>27</v>
      </c>
      <c r="H758" s="11">
        <v>6.17</v>
      </c>
      <c r="I758" s="8">
        <v>6</v>
      </c>
      <c r="J758" s="26">
        <v>1</v>
      </c>
      <c r="K758" s="10">
        <f t="shared" si="85"/>
        <v>3.7019999999999997E-2</v>
      </c>
      <c r="L758" s="4"/>
      <c r="M758" s="22">
        <v>1</v>
      </c>
      <c r="N758" s="18">
        <f t="shared" si="86"/>
        <v>3.7019999999999997E-2</v>
      </c>
      <c r="O758" s="19">
        <f t="shared" si="87"/>
        <v>0</v>
      </c>
      <c r="P758" s="13">
        <f t="shared" si="88"/>
        <v>0</v>
      </c>
      <c r="Q758" s="9"/>
      <c r="R758" s="2">
        <v>1</v>
      </c>
      <c r="S758" s="2" t="s">
        <v>700</v>
      </c>
      <c r="T758" s="158"/>
    </row>
    <row r="759" spans="1:22">
      <c r="A759" s="42" t="s">
        <v>78</v>
      </c>
      <c r="B759" s="3"/>
      <c r="C759" s="3">
        <v>10</v>
      </c>
      <c r="D759" s="1"/>
      <c r="E759" s="20" t="s">
        <v>17</v>
      </c>
      <c r="F759" s="7" t="s">
        <v>15</v>
      </c>
      <c r="G759" s="7" t="s">
        <v>27</v>
      </c>
      <c r="H759" s="11">
        <v>6.17</v>
      </c>
      <c r="I759" s="8">
        <v>6.75</v>
      </c>
      <c r="J759" s="26">
        <v>1</v>
      </c>
      <c r="K759" s="10">
        <f t="shared" si="85"/>
        <v>4.1647500000000004E-2</v>
      </c>
      <c r="L759" s="4"/>
      <c r="M759" s="22">
        <v>1</v>
      </c>
      <c r="N759" s="18">
        <f t="shared" si="86"/>
        <v>4.1647500000000004E-2</v>
      </c>
      <c r="O759" s="19">
        <f t="shared" si="87"/>
        <v>0</v>
      </c>
      <c r="P759" s="13">
        <f t="shared" si="88"/>
        <v>0</v>
      </c>
      <c r="Q759" s="9"/>
      <c r="R759" s="2">
        <v>1</v>
      </c>
      <c r="S759" s="2" t="s">
        <v>700</v>
      </c>
      <c r="T759" s="158"/>
    </row>
    <row r="760" spans="1:22">
      <c r="A760" s="42" t="s">
        <v>78</v>
      </c>
      <c r="B760" s="3"/>
      <c r="C760" s="3">
        <v>10</v>
      </c>
      <c r="D760" s="1"/>
      <c r="E760" s="20" t="s">
        <v>17</v>
      </c>
      <c r="F760" s="7" t="s">
        <v>15</v>
      </c>
      <c r="G760" s="7" t="s">
        <v>27</v>
      </c>
      <c r="H760" s="11">
        <v>6.17</v>
      </c>
      <c r="I760" s="8">
        <v>11</v>
      </c>
      <c r="J760" s="26">
        <v>2</v>
      </c>
      <c r="K760" s="10">
        <f t="shared" si="85"/>
        <v>0.13574</v>
      </c>
      <c r="L760" s="4"/>
      <c r="M760" s="22">
        <v>2</v>
      </c>
      <c r="N760" s="18">
        <f t="shared" si="86"/>
        <v>0.13574</v>
      </c>
      <c r="O760" s="19">
        <f t="shared" si="87"/>
        <v>0</v>
      </c>
      <c r="P760" s="13">
        <f t="shared" si="88"/>
        <v>0</v>
      </c>
      <c r="Q760" s="9"/>
      <c r="R760" s="2"/>
      <c r="S760" s="2"/>
      <c r="T760" s="158">
        <v>11</v>
      </c>
      <c r="U760">
        <v>2</v>
      </c>
      <c r="V760" s="213" t="s">
        <v>213</v>
      </c>
    </row>
    <row r="761" spans="1:22">
      <c r="A761" s="42" t="s">
        <v>78</v>
      </c>
      <c r="B761" s="3"/>
      <c r="C761" s="3">
        <v>10</v>
      </c>
      <c r="D761" s="1"/>
      <c r="E761" s="20" t="s">
        <v>17</v>
      </c>
      <c r="F761" s="7" t="s">
        <v>15</v>
      </c>
      <c r="G761" s="7" t="s">
        <v>27</v>
      </c>
      <c r="H761" s="11">
        <v>6.17</v>
      </c>
      <c r="I761" s="8">
        <v>12</v>
      </c>
      <c r="J761" s="26">
        <v>1</v>
      </c>
      <c r="K761" s="10">
        <f t="shared" si="85"/>
        <v>7.4039999999999995E-2</v>
      </c>
      <c r="L761" s="4"/>
      <c r="M761" s="22">
        <v>1</v>
      </c>
      <c r="N761" s="18">
        <f t="shared" si="86"/>
        <v>7.4039999999999995E-2</v>
      </c>
      <c r="O761" s="19">
        <f t="shared" si="87"/>
        <v>0</v>
      </c>
      <c r="P761" s="13">
        <f t="shared" si="88"/>
        <v>0</v>
      </c>
      <c r="Q761" s="9"/>
      <c r="R761" s="2"/>
      <c r="S761" s="2"/>
      <c r="T761" s="158">
        <v>12</v>
      </c>
      <c r="U761">
        <v>1</v>
      </c>
      <c r="V761" s="213" t="s">
        <v>213</v>
      </c>
    </row>
    <row r="762" spans="1:22">
      <c r="A762" s="42" t="s">
        <v>78</v>
      </c>
      <c r="B762" s="3"/>
      <c r="C762" s="3">
        <v>10</v>
      </c>
      <c r="D762" s="1"/>
      <c r="E762" s="20" t="s">
        <v>17</v>
      </c>
      <c r="F762" s="7" t="s">
        <v>15</v>
      </c>
      <c r="G762" s="7" t="s">
        <v>27</v>
      </c>
      <c r="H762" s="11">
        <v>6.17</v>
      </c>
      <c r="I762" s="8">
        <v>6.5</v>
      </c>
      <c r="J762" s="26">
        <v>1</v>
      </c>
      <c r="K762" s="10">
        <f t="shared" si="85"/>
        <v>4.0104999999999995E-2</v>
      </c>
      <c r="L762" s="4"/>
      <c r="M762" s="22">
        <v>1</v>
      </c>
      <c r="N762" s="18">
        <f t="shared" si="86"/>
        <v>4.0104999999999995E-2</v>
      </c>
      <c r="O762" s="19">
        <f t="shared" si="87"/>
        <v>0</v>
      </c>
      <c r="P762" s="13">
        <f t="shared" si="88"/>
        <v>0</v>
      </c>
      <c r="Q762" s="9">
        <v>6.5</v>
      </c>
      <c r="R762" s="96">
        <v>1</v>
      </c>
      <c r="S762" s="2" t="s">
        <v>272</v>
      </c>
      <c r="T762" s="158"/>
    </row>
    <row r="763" spans="1:22">
      <c r="A763" s="42" t="s">
        <v>78</v>
      </c>
      <c r="B763" s="3"/>
      <c r="C763" s="3">
        <v>11</v>
      </c>
      <c r="D763" s="1"/>
      <c r="E763" s="12" t="s">
        <v>20</v>
      </c>
      <c r="F763" s="7" t="s">
        <v>15</v>
      </c>
      <c r="G763" s="7" t="s">
        <v>52</v>
      </c>
      <c r="H763" s="11">
        <v>17.829999999999998</v>
      </c>
      <c r="I763" s="8">
        <v>6</v>
      </c>
      <c r="J763" s="26">
        <v>1</v>
      </c>
      <c r="K763" s="10">
        <f t="shared" si="85"/>
        <v>0.10697999999999999</v>
      </c>
      <c r="L763" s="4"/>
      <c r="M763" s="17"/>
      <c r="N763" s="18">
        <f t="shared" si="86"/>
        <v>0</v>
      </c>
      <c r="O763" s="19">
        <f t="shared" si="87"/>
        <v>1</v>
      </c>
      <c r="P763" s="13">
        <f t="shared" si="88"/>
        <v>0.10697999999999999</v>
      </c>
      <c r="Q763" s="9"/>
      <c r="R763" s="2"/>
      <c r="S763" s="2"/>
    </row>
    <row r="764" spans="1:22">
      <c r="A764" s="42" t="s">
        <v>78</v>
      </c>
      <c r="B764" s="3" t="s">
        <v>83</v>
      </c>
      <c r="C764" s="3">
        <v>1</v>
      </c>
      <c r="D764" s="1"/>
      <c r="E764" s="20" t="s">
        <v>19</v>
      </c>
      <c r="F764" s="7" t="s">
        <v>14</v>
      </c>
      <c r="G764" s="7" t="s">
        <v>16</v>
      </c>
      <c r="H764" s="11">
        <v>5.77</v>
      </c>
      <c r="I764" s="8">
        <v>12</v>
      </c>
      <c r="J764" s="26">
        <v>5</v>
      </c>
      <c r="K764" s="10">
        <f t="shared" si="85"/>
        <v>0.34620000000000001</v>
      </c>
      <c r="L764" s="4"/>
      <c r="M764" s="17">
        <v>5</v>
      </c>
      <c r="N764" s="18">
        <f t="shared" si="86"/>
        <v>0.34620000000000001</v>
      </c>
      <c r="O764" s="19">
        <f t="shared" si="87"/>
        <v>0</v>
      </c>
      <c r="P764" s="13">
        <f t="shared" si="88"/>
        <v>0</v>
      </c>
      <c r="Q764" s="9">
        <v>11</v>
      </c>
      <c r="R764" s="2">
        <v>5</v>
      </c>
      <c r="S764" s="2" t="s">
        <v>279</v>
      </c>
    </row>
    <row r="765" spans="1:22">
      <c r="A765" s="42" t="s">
        <v>78</v>
      </c>
      <c r="B765" s="3"/>
      <c r="C765" s="3">
        <v>2</v>
      </c>
      <c r="D765" s="1"/>
      <c r="E765" s="20" t="s">
        <v>24</v>
      </c>
      <c r="F765" s="7" t="s">
        <v>14</v>
      </c>
      <c r="G765" s="7" t="s">
        <v>27</v>
      </c>
      <c r="H765" s="11">
        <v>6.17</v>
      </c>
      <c r="I765" s="8">
        <v>7.5</v>
      </c>
      <c r="J765" s="26">
        <v>2</v>
      </c>
      <c r="K765" s="10">
        <f t="shared" si="85"/>
        <v>9.2549999999999993E-2</v>
      </c>
      <c r="L765" s="4"/>
      <c r="M765" s="17">
        <v>2</v>
      </c>
      <c r="N765" s="18">
        <f t="shared" si="86"/>
        <v>9.2549999999999993E-2</v>
      </c>
      <c r="O765" s="19">
        <f t="shared" si="87"/>
        <v>0</v>
      </c>
      <c r="P765" s="13">
        <f t="shared" si="88"/>
        <v>0</v>
      </c>
      <c r="Q765" s="9"/>
      <c r="R765" s="2">
        <v>2</v>
      </c>
      <c r="S765" s="2" t="s">
        <v>278</v>
      </c>
    </row>
    <row r="766" spans="1:22">
      <c r="A766" s="42" t="s">
        <v>78</v>
      </c>
      <c r="B766" s="3"/>
      <c r="C766" s="3">
        <v>2</v>
      </c>
      <c r="D766" s="1"/>
      <c r="E766" s="20" t="s">
        <v>24</v>
      </c>
      <c r="F766" s="7" t="s">
        <v>14</v>
      </c>
      <c r="G766" s="7" t="s">
        <v>27</v>
      </c>
      <c r="H766" s="11">
        <v>6.17</v>
      </c>
      <c r="I766" s="8">
        <v>8.6</v>
      </c>
      <c r="J766" s="26">
        <v>5</v>
      </c>
      <c r="K766" s="10">
        <f t="shared" si="85"/>
        <v>0.26530999999999999</v>
      </c>
      <c r="L766" s="4"/>
      <c r="M766" s="17">
        <v>5</v>
      </c>
      <c r="N766" s="18">
        <f t="shared" si="86"/>
        <v>0.26530999999999999</v>
      </c>
      <c r="O766" s="19">
        <f t="shared" si="87"/>
        <v>0</v>
      </c>
      <c r="P766" s="13">
        <f t="shared" si="88"/>
        <v>0</v>
      </c>
      <c r="Q766" s="9"/>
      <c r="R766" s="2">
        <v>5</v>
      </c>
      <c r="S766" s="2" t="s">
        <v>278</v>
      </c>
    </row>
    <row r="767" spans="1:22">
      <c r="A767" s="42" t="s">
        <v>78</v>
      </c>
      <c r="B767" s="3"/>
      <c r="C767" s="3">
        <v>3</v>
      </c>
      <c r="D767" s="1"/>
      <c r="E767" s="20" t="s">
        <v>24</v>
      </c>
      <c r="F767" s="7" t="s">
        <v>14</v>
      </c>
      <c r="G767" s="7" t="s">
        <v>27</v>
      </c>
      <c r="H767" s="11">
        <v>6.17</v>
      </c>
      <c r="I767" s="8">
        <v>8.6</v>
      </c>
      <c r="J767" s="26">
        <v>1</v>
      </c>
      <c r="K767" s="10">
        <f t="shared" si="85"/>
        <v>5.3061999999999998E-2</v>
      </c>
      <c r="L767" s="4"/>
      <c r="M767" s="17">
        <v>1</v>
      </c>
      <c r="N767" s="18">
        <f t="shared" si="86"/>
        <v>5.3061999999999998E-2</v>
      </c>
      <c r="O767" s="19">
        <f t="shared" si="87"/>
        <v>0</v>
      </c>
      <c r="P767" s="13">
        <f t="shared" si="88"/>
        <v>0</v>
      </c>
      <c r="Q767" s="9"/>
      <c r="R767" s="2">
        <v>1</v>
      </c>
      <c r="S767" s="2" t="s">
        <v>278</v>
      </c>
    </row>
    <row r="768" spans="1:22">
      <c r="A768" s="42" t="s">
        <v>78</v>
      </c>
      <c r="B768" s="3"/>
      <c r="C768" s="3">
        <v>3</v>
      </c>
      <c r="D768" s="1"/>
      <c r="E768" s="20" t="s">
        <v>24</v>
      </c>
      <c r="F768" s="7" t="s">
        <v>14</v>
      </c>
      <c r="G768" s="7" t="s">
        <v>27</v>
      </c>
      <c r="H768" s="11">
        <v>6.17</v>
      </c>
      <c r="I768" s="8">
        <v>9</v>
      </c>
      <c r="J768" s="26">
        <v>3</v>
      </c>
      <c r="K768" s="10">
        <f t="shared" si="85"/>
        <v>0.16659000000000002</v>
      </c>
      <c r="L768" s="4"/>
      <c r="M768" s="17">
        <v>3</v>
      </c>
      <c r="N768" s="18">
        <f t="shared" si="86"/>
        <v>0.16659000000000002</v>
      </c>
      <c r="O768" s="19">
        <f t="shared" si="87"/>
        <v>0</v>
      </c>
      <c r="P768" s="13">
        <f t="shared" si="88"/>
        <v>0</v>
      </c>
      <c r="Q768" s="9"/>
      <c r="R768" s="2">
        <v>3</v>
      </c>
      <c r="S768" s="2" t="s">
        <v>278</v>
      </c>
    </row>
    <row r="769" spans="1:22">
      <c r="A769" s="42" t="s">
        <v>78</v>
      </c>
      <c r="B769" s="3"/>
      <c r="C769" s="3">
        <v>4</v>
      </c>
      <c r="D769" s="1"/>
      <c r="E769" s="20" t="s">
        <v>17</v>
      </c>
      <c r="F769" s="7" t="s">
        <v>15</v>
      </c>
      <c r="G769" s="7" t="s">
        <v>16</v>
      </c>
      <c r="H769" s="11">
        <v>5.77</v>
      </c>
      <c r="I769" s="8">
        <v>7</v>
      </c>
      <c r="J769" s="26">
        <v>2</v>
      </c>
      <c r="K769" s="10">
        <f t="shared" si="85"/>
        <v>8.0780000000000005E-2</v>
      </c>
      <c r="L769" s="4"/>
      <c r="M769" s="17"/>
      <c r="N769" s="18">
        <f t="shared" si="86"/>
        <v>0</v>
      </c>
      <c r="O769" s="19">
        <f t="shared" si="87"/>
        <v>2</v>
      </c>
      <c r="P769" s="13">
        <f t="shared" si="88"/>
        <v>8.0780000000000005E-2</v>
      </c>
      <c r="Q769" s="9"/>
      <c r="R769" s="2"/>
      <c r="S769" s="2"/>
    </row>
    <row r="770" spans="1:22">
      <c r="A770" s="42" t="s">
        <v>78</v>
      </c>
      <c r="B770" s="3"/>
      <c r="C770" s="3">
        <v>4</v>
      </c>
      <c r="D770" s="1"/>
      <c r="E770" s="20" t="s">
        <v>17</v>
      </c>
      <c r="F770" s="7" t="s">
        <v>15</v>
      </c>
      <c r="G770" s="7" t="s">
        <v>16</v>
      </c>
      <c r="H770" s="11">
        <v>5.77</v>
      </c>
      <c r="I770" s="8">
        <v>7.75</v>
      </c>
      <c r="J770" s="26">
        <v>1</v>
      </c>
      <c r="K770" s="10">
        <f t="shared" si="85"/>
        <v>4.4717499999999993E-2</v>
      </c>
      <c r="L770" s="4"/>
      <c r="M770" s="17">
        <v>1</v>
      </c>
      <c r="N770" s="18">
        <f t="shared" si="86"/>
        <v>4.4717499999999993E-2</v>
      </c>
      <c r="O770" s="19">
        <f t="shared" si="87"/>
        <v>0</v>
      </c>
      <c r="P770" s="13">
        <f t="shared" si="88"/>
        <v>0</v>
      </c>
      <c r="Q770" s="9"/>
      <c r="R770" s="2">
        <v>1</v>
      </c>
      <c r="S770" s="2" t="s">
        <v>222</v>
      </c>
    </row>
    <row r="771" spans="1:22">
      <c r="A771" s="42" t="s">
        <v>78</v>
      </c>
      <c r="B771" s="3"/>
      <c r="C771" s="3">
        <v>5</v>
      </c>
      <c r="D771" s="1"/>
      <c r="E771" s="20" t="s">
        <v>17</v>
      </c>
      <c r="F771" s="7" t="s">
        <v>15</v>
      </c>
      <c r="G771" s="7" t="s">
        <v>18</v>
      </c>
      <c r="H771" s="11">
        <v>6.86</v>
      </c>
      <c r="I771" s="8">
        <v>5.7</v>
      </c>
      <c r="J771" s="26">
        <v>2</v>
      </c>
      <c r="K771" s="10">
        <f t="shared" si="85"/>
        <v>7.820400000000001E-2</v>
      </c>
      <c r="L771" s="4"/>
      <c r="M771" s="17"/>
      <c r="N771" s="18">
        <f t="shared" si="86"/>
        <v>0</v>
      </c>
      <c r="O771" s="19">
        <f t="shared" si="87"/>
        <v>2</v>
      </c>
      <c r="P771" s="13">
        <f t="shared" si="88"/>
        <v>7.820400000000001E-2</v>
      </c>
      <c r="Q771" s="9"/>
      <c r="R771" s="2"/>
      <c r="S771" s="2"/>
    </row>
    <row r="772" spans="1:22">
      <c r="A772" s="42" t="s">
        <v>78</v>
      </c>
      <c r="B772" s="3"/>
      <c r="C772" s="3">
        <v>8</v>
      </c>
      <c r="D772" s="1"/>
      <c r="E772" s="20" t="s">
        <v>24</v>
      </c>
      <c r="F772" s="7" t="s">
        <v>14</v>
      </c>
      <c r="G772" s="7" t="s">
        <v>28</v>
      </c>
      <c r="H772" s="11">
        <v>12.18</v>
      </c>
      <c r="I772" s="8">
        <v>11.5</v>
      </c>
      <c r="J772" s="26">
        <v>1</v>
      </c>
      <c r="K772" s="10">
        <f t="shared" si="85"/>
        <v>0.14007</v>
      </c>
      <c r="L772" s="4"/>
      <c r="M772" s="17">
        <v>1</v>
      </c>
      <c r="N772" s="18">
        <f t="shared" si="86"/>
        <v>0.14007</v>
      </c>
      <c r="O772" s="19">
        <f t="shared" si="87"/>
        <v>0</v>
      </c>
      <c r="P772" s="13">
        <f t="shared" si="88"/>
        <v>0</v>
      </c>
      <c r="Q772" s="9"/>
      <c r="R772" s="35">
        <v>1</v>
      </c>
      <c r="S772" s="2" t="s">
        <v>540</v>
      </c>
    </row>
    <row r="773" spans="1:22">
      <c r="A773" s="42" t="s">
        <v>78</v>
      </c>
      <c r="B773" s="3"/>
      <c r="C773" s="3">
        <v>8</v>
      </c>
      <c r="D773" s="1"/>
      <c r="E773" s="20" t="s">
        <v>24</v>
      </c>
      <c r="F773" s="7" t="s">
        <v>14</v>
      </c>
      <c r="G773" s="7" t="s">
        <v>28</v>
      </c>
      <c r="H773" s="11">
        <v>12.18</v>
      </c>
      <c r="I773" s="8">
        <v>11</v>
      </c>
      <c r="J773" s="26">
        <v>1</v>
      </c>
      <c r="K773" s="10">
        <f t="shared" si="85"/>
        <v>0.13397999999999999</v>
      </c>
      <c r="L773" s="4"/>
      <c r="M773" s="17">
        <v>1</v>
      </c>
      <c r="N773" s="18">
        <f t="shared" si="86"/>
        <v>0.13397999999999999</v>
      </c>
      <c r="O773" s="19">
        <f t="shared" si="87"/>
        <v>0</v>
      </c>
      <c r="P773" s="13">
        <f t="shared" si="88"/>
        <v>0</v>
      </c>
      <c r="Q773" s="9"/>
      <c r="R773" s="35">
        <v>1</v>
      </c>
      <c r="S773" s="2" t="s">
        <v>540</v>
      </c>
    </row>
    <row r="774" spans="1:22">
      <c r="A774" s="42" t="s">
        <v>78</v>
      </c>
      <c r="B774" s="3"/>
      <c r="C774" s="3">
        <v>8</v>
      </c>
      <c r="D774" s="1"/>
      <c r="E774" s="20" t="s">
        <v>24</v>
      </c>
      <c r="F774" s="7" t="s">
        <v>14</v>
      </c>
      <c r="G774" s="7" t="s">
        <v>28</v>
      </c>
      <c r="H774" s="11">
        <v>12.18</v>
      </c>
      <c r="I774" s="8">
        <v>6.6</v>
      </c>
      <c r="J774" s="26">
        <v>6</v>
      </c>
      <c r="K774" s="10">
        <f t="shared" si="85"/>
        <v>0.48232799999999998</v>
      </c>
      <c r="L774" s="4"/>
      <c r="M774" s="17">
        <v>6</v>
      </c>
      <c r="N774" s="18">
        <f t="shared" si="86"/>
        <v>0.48232799999999992</v>
      </c>
      <c r="O774" s="19">
        <f t="shared" si="87"/>
        <v>0</v>
      </c>
      <c r="P774" s="13">
        <f t="shared" si="88"/>
        <v>0</v>
      </c>
      <c r="Q774" s="9"/>
      <c r="R774" s="2">
        <v>6</v>
      </c>
      <c r="S774" s="2" t="s">
        <v>203</v>
      </c>
    </row>
    <row r="775" spans="1:22">
      <c r="A775" s="42" t="s">
        <v>78</v>
      </c>
      <c r="B775" s="3"/>
      <c r="C775" s="3">
        <v>10</v>
      </c>
      <c r="D775" s="1"/>
      <c r="E775" s="20" t="s">
        <v>17</v>
      </c>
      <c r="F775" s="7" t="s">
        <v>15</v>
      </c>
      <c r="G775" s="7" t="s">
        <v>27</v>
      </c>
      <c r="H775" s="11">
        <v>6.17</v>
      </c>
      <c r="I775" s="8">
        <v>7.25</v>
      </c>
      <c r="J775" s="26">
        <v>34</v>
      </c>
      <c r="K775" s="10">
        <f t="shared" si="85"/>
        <v>1.520905</v>
      </c>
      <c r="L775" s="4"/>
      <c r="M775" s="17">
        <f>28+6</f>
        <v>34</v>
      </c>
      <c r="N775" s="18">
        <f t="shared" si="86"/>
        <v>1.520905</v>
      </c>
      <c r="O775" s="19">
        <f t="shared" si="87"/>
        <v>0</v>
      </c>
      <c r="P775" s="13">
        <f t="shared" si="88"/>
        <v>0</v>
      </c>
      <c r="Q775" s="9">
        <v>6.5</v>
      </c>
      <c r="R775" s="96">
        <v>6</v>
      </c>
      <c r="S775" s="2" t="s">
        <v>272</v>
      </c>
      <c r="T775" s="158"/>
    </row>
    <row r="776" spans="1:22">
      <c r="A776" s="42" t="s">
        <v>78</v>
      </c>
      <c r="B776" s="3"/>
      <c r="C776" s="3">
        <v>11</v>
      </c>
      <c r="D776" s="1"/>
      <c r="E776" s="12" t="s">
        <v>100</v>
      </c>
      <c r="F776" s="7" t="s">
        <v>15</v>
      </c>
      <c r="G776" s="7" t="s">
        <v>18</v>
      </c>
      <c r="H776" s="11">
        <v>6.86</v>
      </c>
      <c r="I776" s="8">
        <v>11</v>
      </c>
      <c r="J776" s="26">
        <v>12</v>
      </c>
      <c r="K776" s="10">
        <f t="shared" si="85"/>
        <v>0.9055200000000001</v>
      </c>
      <c r="L776" s="4"/>
      <c r="M776" s="17">
        <v>12</v>
      </c>
      <c r="N776" s="18">
        <f t="shared" si="86"/>
        <v>0.9055200000000001</v>
      </c>
      <c r="O776" s="19">
        <f t="shared" si="87"/>
        <v>0</v>
      </c>
      <c r="P776" s="13">
        <f t="shared" si="88"/>
        <v>0</v>
      </c>
      <c r="Q776" s="9"/>
      <c r="R776" s="2"/>
      <c r="S776" s="2"/>
    </row>
    <row r="777" spans="1:22">
      <c r="A777" s="42" t="s">
        <v>78</v>
      </c>
      <c r="B777" s="3"/>
      <c r="C777" s="3">
        <v>14</v>
      </c>
      <c r="D777" s="1"/>
      <c r="E777" s="12" t="s">
        <v>100</v>
      </c>
      <c r="F777" s="7" t="s">
        <v>15</v>
      </c>
      <c r="G777" s="7" t="s">
        <v>18</v>
      </c>
      <c r="H777" s="11">
        <v>6.86</v>
      </c>
      <c r="I777" s="8">
        <v>12</v>
      </c>
      <c r="J777" s="26">
        <v>9</v>
      </c>
      <c r="K777" s="10">
        <f t="shared" si="85"/>
        <v>0.74088000000000009</v>
      </c>
      <c r="L777" s="4"/>
      <c r="M777" s="17">
        <v>9</v>
      </c>
      <c r="N777" s="18">
        <f t="shared" si="86"/>
        <v>0.74087999999999998</v>
      </c>
      <c r="O777" s="19">
        <f t="shared" si="87"/>
        <v>0</v>
      </c>
      <c r="P777" s="13">
        <f t="shared" si="88"/>
        <v>0</v>
      </c>
      <c r="Q777" s="9"/>
      <c r="R777" s="2"/>
      <c r="S777" s="2"/>
    </row>
    <row r="778" spans="1:22">
      <c r="A778" s="42" t="s">
        <v>78</v>
      </c>
      <c r="B778" s="3"/>
      <c r="C778" s="3">
        <v>18</v>
      </c>
      <c r="D778" s="1"/>
      <c r="E778" s="20" t="s">
        <v>17</v>
      </c>
      <c r="F778" s="7" t="s">
        <v>15</v>
      </c>
      <c r="G778" s="7" t="s">
        <v>27</v>
      </c>
      <c r="H778" s="11">
        <v>6.17</v>
      </c>
      <c r="I778" s="8">
        <v>9.5</v>
      </c>
      <c r="J778" s="26">
        <v>10</v>
      </c>
      <c r="K778" s="10">
        <f t="shared" ref="K778:K834" si="89">(H778*I778*J778/1000)</f>
        <v>0.58614999999999995</v>
      </c>
      <c r="L778" s="4"/>
      <c r="M778" s="17">
        <f>10</f>
        <v>10</v>
      </c>
      <c r="N778" s="18">
        <f t="shared" ref="N778:N834" si="90">I778*M778*H778/1000</f>
        <v>0.58614999999999995</v>
      </c>
      <c r="O778" s="64">
        <f t="shared" ref="O778:O834" si="91">J778-M778</f>
        <v>0</v>
      </c>
      <c r="P778" s="65">
        <f t="shared" ref="P778:P834" si="92">I778*O778*H778/1000</f>
        <v>0</v>
      </c>
      <c r="Q778" s="9"/>
      <c r="R778" s="2"/>
      <c r="S778" s="2"/>
      <c r="T778" s="158"/>
    </row>
    <row r="779" spans="1:22">
      <c r="A779" s="42" t="s">
        <v>78</v>
      </c>
      <c r="B779" s="3"/>
      <c r="C779" s="3">
        <v>18</v>
      </c>
      <c r="D779" s="1"/>
      <c r="E779" s="20" t="s">
        <v>17</v>
      </c>
      <c r="F779" s="7" t="s">
        <v>15</v>
      </c>
      <c r="G779" s="7" t="s">
        <v>27</v>
      </c>
      <c r="H779" s="11">
        <v>6.17</v>
      </c>
      <c r="I779" s="8">
        <v>7.25</v>
      </c>
      <c r="J779" s="26">
        <v>3</v>
      </c>
      <c r="K779" s="10">
        <f t="shared" si="89"/>
        <v>0.1341975</v>
      </c>
      <c r="L779" s="4"/>
      <c r="M779" s="17">
        <v>3</v>
      </c>
      <c r="N779" s="18">
        <f t="shared" si="90"/>
        <v>0.1341975</v>
      </c>
      <c r="O779" s="19">
        <f t="shared" si="91"/>
        <v>0</v>
      </c>
      <c r="P779" s="13">
        <f t="shared" si="92"/>
        <v>0</v>
      </c>
      <c r="Q779" s="9">
        <v>6.5</v>
      </c>
      <c r="R779" s="96">
        <v>3</v>
      </c>
      <c r="S779" s="2" t="s">
        <v>272</v>
      </c>
      <c r="T779" s="158"/>
    </row>
    <row r="780" spans="1:22">
      <c r="A780" s="42" t="s">
        <v>78</v>
      </c>
      <c r="B780" s="3"/>
      <c r="C780" s="3">
        <v>19</v>
      </c>
      <c r="D780" s="1"/>
      <c r="E780" s="20" t="s">
        <v>17</v>
      </c>
      <c r="F780" s="7" t="s">
        <v>15</v>
      </c>
      <c r="G780" s="7" t="s">
        <v>27</v>
      </c>
      <c r="H780" s="11">
        <v>6.17</v>
      </c>
      <c r="I780" s="8">
        <v>12</v>
      </c>
      <c r="J780" s="26">
        <v>22</v>
      </c>
      <c r="K780" s="10">
        <f t="shared" si="89"/>
        <v>1.6288799999999999</v>
      </c>
      <c r="L780" s="4"/>
      <c r="M780" s="17">
        <f>13+2+7</f>
        <v>22</v>
      </c>
      <c r="N780" s="18">
        <f t="shared" si="90"/>
        <v>1.6288799999999999</v>
      </c>
      <c r="O780" s="19">
        <f t="shared" si="91"/>
        <v>0</v>
      </c>
      <c r="P780" s="13">
        <f t="shared" si="92"/>
        <v>0</v>
      </c>
      <c r="Q780" s="9">
        <v>11.8</v>
      </c>
      <c r="R780" s="2">
        <v>13</v>
      </c>
      <c r="S780" s="2" t="s">
        <v>242</v>
      </c>
      <c r="T780" s="158">
        <v>12</v>
      </c>
      <c r="U780">
        <v>7</v>
      </c>
      <c r="V780" s="213" t="s">
        <v>213</v>
      </c>
    </row>
    <row r="781" spans="1:22">
      <c r="A781" s="42" t="s">
        <v>78</v>
      </c>
      <c r="B781" s="3"/>
      <c r="C781" s="3">
        <v>19</v>
      </c>
      <c r="D781" s="1"/>
      <c r="E781" s="20" t="s">
        <v>17</v>
      </c>
      <c r="F781" s="7" t="s">
        <v>15</v>
      </c>
      <c r="G781" s="7" t="s">
        <v>27</v>
      </c>
      <c r="H781" s="11">
        <v>6.17</v>
      </c>
      <c r="I781" s="8">
        <v>9.75</v>
      </c>
      <c r="J781" s="26">
        <v>2</v>
      </c>
      <c r="K781" s="10">
        <f t="shared" si="89"/>
        <v>0.12031499999999999</v>
      </c>
      <c r="L781" s="4"/>
      <c r="M781" s="17">
        <v>2</v>
      </c>
      <c r="N781" s="18">
        <f t="shared" si="90"/>
        <v>0.12031499999999999</v>
      </c>
      <c r="O781" s="19">
        <f t="shared" si="91"/>
        <v>0</v>
      </c>
      <c r="P781" s="13">
        <f t="shared" si="92"/>
        <v>0</v>
      </c>
      <c r="Q781" s="9"/>
      <c r="R781" s="2"/>
      <c r="S781" s="2"/>
      <c r="T781" s="158">
        <v>9.6999999999999993</v>
      </c>
      <c r="U781">
        <v>2</v>
      </c>
      <c r="V781" s="213" t="s">
        <v>213</v>
      </c>
    </row>
    <row r="782" spans="1:22">
      <c r="A782" s="42" t="s">
        <v>78</v>
      </c>
      <c r="B782" s="3"/>
      <c r="C782" s="3">
        <v>19</v>
      </c>
      <c r="D782" s="1"/>
      <c r="E782" s="20" t="s">
        <v>17</v>
      </c>
      <c r="F782" s="7" t="s">
        <v>15</v>
      </c>
      <c r="G782" s="7" t="s">
        <v>27</v>
      </c>
      <c r="H782" s="11">
        <v>6.17</v>
      </c>
      <c r="I782" s="8">
        <v>9.4</v>
      </c>
      <c r="J782" s="26">
        <v>2</v>
      </c>
      <c r="K782" s="10">
        <f t="shared" si="89"/>
        <v>0.11599600000000002</v>
      </c>
      <c r="L782" s="4"/>
      <c r="M782" s="17">
        <v>2</v>
      </c>
      <c r="N782" s="18">
        <f t="shared" si="90"/>
        <v>0.11599600000000002</v>
      </c>
      <c r="O782" s="19">
        <f t="shared" si="91"/>
        <v>0</v>
      </c>
      <c r="P782" s="13">
        <f t="shared" si="92"/>
        <v>0</v>
      </c>
      <c r="Q782" s="9"/>
      <c r="R782" s="2"/>
      <c r="S782" s="2"/>
      <c r="T782" s="158">
        <v>9.1999999999999993</v>
      </c>
      <c r="U782">
        <v>2</v>
      </c>
      <c r="V782" s="213" t="s">
        <v>213</v>
      </c>
    </row>
    <row r="783" spans="1:22">
      <c r="A783" s="42" t="s">
        <v>78</v>
      </c>
      <c r="B783" s="3"/>
      <c r="C783" s="3">
        <v>19</v>
      </c>
      <c r="D783" s="1"/>
      <c r="E783" s="20" t="s">
        <v>17</v>
      </c>
      <c r="F783" s="7" t="s">
        <v>15</v>
      </c>
      <c r="G783" s="7" t="s">
        <v>27</v>
      </c>
      <c r="H783" s="11">
        <v>6.17</v>
      </c>
      <c r="I783" s="8">
        <v>6</v>
      </c>
      <c r="J783" s="26">
        <v>1</v>
      </c>
      <c r="K783" s="10">
        <f t="shared" si="89"/>
        <v>3.7019999999999997E-2</v>
      </c>
      <c r="L783" s="4"/>
      <c r="M783" s="17">
        <v>1</v>
      </c>
      <c r="N783" s="18">
        <f t="shared" si="90"/>
        <v>3.7019999999999997E-2</v>
      </c>
      <c r="O783" s="19">
        <f t="shared" si="91"/>
        <v>0</v>
      </c>
      <c r="P783" s="13">
        <f t="shared" si="92"/>
        <v>0</v>
      </c>
      <c r="Q783" s="9"/>
      <c r="R783" s="2">
        <v>1</v>
      </c>
      <c r="S783" s="2" t="s">
        <v>700</v>
      </c>
    </row>
    <row r="784" spans="1:22">
      <c r="A784" s="42" t="s">
        <v>78</v>
      </c>
      <c r="B784" s="3"/>
      <c r="C784" s="3">
        <v>20</v>
      </c>
      <c r="D784" s="1"/>
      <c r="E784" s="20" t="s">
        <v>17</v>
      </c>
      <c r="F784" s="7" t="s">
        <v>15</v>
      </c>
      <c r="G784" s="7" t="s">
        <v>27</v>
      </c>
      <c r="H784" s="11">
        <v>6.17</v>
      </c>
      <c r="I784" s="8">
        <v>10.5</v>
      </c>
      <c r="J784" s="26">
        <v>22</v>
      </c>
      <c r="K784" s="10">
        <f t="shared" si="89"/>
        <v>1.42527</v>
      </c>
      <c r="L784" s="4"/>
      <c r="M784" s="26">
        <v>22</v>
      </c>
      <c r="N784" s="18">
        <f t="shared" si="90"/>
        <v>1.42527</v>
      </c>
      <c r="O784" s="19">
        <f t="shared" si="91"/>
        <v>0</v>
      </c>
      <c r="P784" s="13">
        <f t="shared" si="92"/>
        <v>0</v>
      </c>
      <c r="Q784" s="9"/>
      <c r="R784" s="2"/>
      <c r="S784" s="2"/>
    </row>
    <row r="785" spans="1:22">
      <c r="A785" s="42" t="s">
        <v>78</v>
      </c>
      <c r="B785" s="3"/>
      <c r="C785" s="3">
        <v>21</v>
      </c>
      <c r="D785" s="1"/>
      <c r="E785" s="20" t="s">
        <v>17</v>
      </c>
      <c r="F785" s="7" t="s">
        <v>15</v>
      </c>
      <c r="G785" s="7" t="s">
        <v>27</v>
      </c>
      <c r="H785" s="11">
        <v>6.17</v>
      </c>
      <c r="I785" s="8">
        <v>11</v>
      </c>
      <c r="J785" s="26">
        <v>20</v>
      </c>
      <c r="K785" s="10">
        <f t="shared" si="89"/>
        <v>1.3574000000000002</v>
      </c>
      <c r="L785" s="4"/>
      <c r="M785" s="17">
        <f>10+10</f>
        <v>20</v>
      </c>
      <c r="N785" s="18">
        <f t="shared" si="90"/>
        <v>1.3574000000000002</v>
      </c>
      <c r="O785" s="19">
        <f t="shared" si="91"/>
        <v>0</v>
      </c>
      <c r="P785" s="13">
        <f t="shared" si="92"/>
        <v>0</v>
      </c>
      <c r="Q785" s="9"/>
      <c r="R785" s="2"/>
      <c r="S785" s="2"/>
      <c r="T785" s="246">
        <v>11</v>
      </c>
      <c r="U785">
        <v>10</v>
      </c>
      <c r="V785" s="213" t="s">
        <v>213</v>
      </c>
    </row>
    <row r="786" spans="1:22">
      <c r="A786" s="42" t="s">
        <v>78</v>
      </c>
      <c r="B786" s="3"/>
      <c r="C786" s="3">
        <v>21</v>
      </c>
      <c r="D786" s="1"/>
      <c r="E786" s="20" t="s">
        <v>17</v>
      </c>
      <c r="F786" s="7" t="s">
        <v>15</v>
      </c>
      <c r="G786" s="7" t="s">
        <v>27</v>
      </c>
      <c r="H786" s="11">
        <v>6.17</v>
      </c>
      <c r="I786" s="8">
        <v>10.5</v>
      </c>
      <c r="J786" s="26">
        <v>3</v>
      </c>
      <c r="K786" s="10">
        <f t="shared" si="89"/>
        <v>0.194355</v>
      </c>
      <c r="L786" s="4"/>
      <c r="M786" s="17">
        <v>3</v>
      </c>
      <c r="N786" s="18">
        <f t="shared" si="90"/>
        <v>0.194355</v>
      </c>
      <c r="O786" s="19">
        <f t="shared" si="91"/>
        <v>0</v>
      </c>
      <c r="P786" s="13">
        <f t="shared" si="92"/>
        <v>0</v>
      </c>
      <c r="Q786" s="9">
        <v>9.85</v>
      </c>
      <c r="R786" s="2">
        <v>3</v>
      </c>
      <c r="S786" s="2" t="s">
        <v>243</v>
      </c>
    </row>
    <row r="787" spans="1:22">
      <c r="A787" s="42" t="s">
        <v>78</v>
      </c>
      <c r="B787" s="3"/>
      <c r="C787" s="3">
        <v>22</v>
      </c>
      <c r="D787" s="1"/>
      <c r="E787" s="20" t="s">
        <v>24</v>
      </c>
      <c r="F787" s="7" t="s">
        <v>14</v>
      </c>
      <c r="G787" s="7" t="s">
        <v>25</v>
      </c>
      <c r="H787" s="11">
        <v>7.34</v>
      </c>
      <c r="I787" s="8">
        <v>10</v>
      </c>
      <c r="J787" s="26">
        <v>11</v>
      </c>
      <c r="K787" s="10">
        <f t="shared" si="89"/>
        <v>0.80740000000000012</v>
      </c>
      <c r="L787" s="4"/>
      <c r="M787" s="17">
        <v>11</v>
      </c>
      <c r="N787" s="18">
        <f t="shared" si="90"/>
        <v>0.80740000000000001</v>
      </c>
      <c r="O787" s="19">
        <f t="shared" si="91"/>
        <v>0</v>
      </c>
      <c r="P787" s="13">
        <f t="shared" si="92"/>
        <v>0</v>
      </c>
      <c r="Q787" s="9"/>
      <c r="R787" s="2"/>
      <c r="S787" s="2"/>
    </row>
    <row r="788" spans="1:22">
      <c r="A788" s="42" t="s">
        <v>78</v>
      </c>
      <c r="B788" s="3"/>
      <c r="C788" s="3">
        <v>22</v>
      </c>
      <c r="D788" s="1"/>
      <c r="E788" s="20" t="s">
        <v>24</v>
      </c>
      <c r="F788" s="7" t="s">
        <v>14</v>
      </c>
      <c r="G788" s="7" t="s">
        <v>25</v>
      </c>
      <c r="H788" s="11">
        <v>7.34</v>
      </c>
      <c r="I788" s="8">
        <v>8</v>
      </c>
      <c r="J788" s="26">
        <v>12</v>
      </c>
      <c r="K788" s="10">
        <f t="shared" si="89"/>
        <v>0.70463999999999993</v>
      </c>
      <c r="L788" s="4"/>
      <c r="M788" s="17">
        <v>12</v>
      </c>
      <c r="N788" s="18">
        <f t="shared" si="90"/>
        <v>0.70463999999999993</v>
      </c>
      <c r="O788" s="19">
        <f t="shared" si="91"/>
        <v>0</v>
      </c>
      <c r="P788" s="13">
        <f t="shared" si="92"/>
        <v>0</v>
      </c>
      <c r="Q788" s="9"/>
      <c r="R788" s="2"/>
      <c r="S788" s="2"/>
    </row>
    <row r="789" spans="1:22">
      <c r="A789" s="42" t="s">
        <v>78</v>
      </c>
      <c r="B789" s="3"/>
      <c r="C789" s="3">
        <v>23</v>
      </c>
      <c r="D789" s="1"/>
      <c r="E789" s="20" t="s">
        <v>24</v>
      </c>
      <c r="F789" s="7" t="s">
        <v>14</v>
      </c>
      <c r="G789" s="7" t="s">
        <v>25</v>
      </c>
      <c r="H789" s="11">
        <v>7.34</v>
      </c>
      <c r="I789" s="8">
        <v>7.8</v>
      </c>
      <c r="J789" s="26">
        <v>37</v>
      </c>
      <c r="K789" s="10">
        <f t="shared" si="89"/>
        <v>2.1183239999999994</v>
      </c>
      <c r="L789" s="4"/>
      <c r="M789" s="17">
        <v>37</v>
      </c>
      <c r="N789" s="18">
        <f t="shared" si="90"/>
        <v>2.1183239999999994</v>
      </c>
      <c r="O789" s="19">
        <f t="shared" si="91"/>
        <v>0</v>
      </c>
      <c r="P789" s="13">
        <f t="shared" si="92"/>
        <v>0</v>
      </c>
      <c r="Q789" s="9"/>
      <c r="R789" s="2"/>
      <c r="S789" s="2"/>
    </row>
    <row r="790" spans="1:22">
      <c r="A790" s="42" t="s">
        <v>78</v>
      </c>
      <c r="B790" s="3"/>
      <c r="C790" s="3">
        <v>23</v>
      </c>
      <c r="D790" s="1"/>
      <c r="E790" s="20" t="s">
        <v>24</v>
      </c>
      <c r="F790" s="7" t="s">
        <v>14</v>
      </c>
      <c r="G790" s="7" t="s">
        <v>25</v>
      </c>
      <c r="H790" s="11">
        <v>7.34</v>
      </c>
      <c r="I790" s="8">
        <v>12</v>
      </c>
      <c r="J790" s="26">
        <v>5</v>
      </c>
      <c r="K790" s="10">
        <f t="shared" si="89"/>
        <v>0.44039999999999996</v>
      </c>
      <c r="L790" s="4"/>
      <c r="M790" s="17">
        <v>5</v>
      </c>
      <c r="N790" s="18">
        <f t="shared" si="90"/>
        <v>0.44039999999999996</v>
      </c>
      <c r="O790" s="19">
        <f t="shared" si="91"/>
        <v>0</v>
      </c>
      <c r="P790" s="13">
        <f t="shared" si="92"/>
        <v>0</v>
      </c>
      <c r="Q790" s="9">
        <v>11.5</v>
      </c>
      <c r="R790" s="35">
        <v>5</v>
      </c>
      <c r="S790" s="2" t="s">
        <v>707</v>
      </c>
    </row>
    <row r="791" spans="1:22">
      <c r="A791" s="42" t="s">
        <v>78</v>
      </c>
      <c r="B791" s="3"/>
      <c r="C791" s="3">
        <v>23</v>
      </c>
      <c r="D791" s="1"/>
      <c r="E791" s="20" t="s">
        <v>24</v>
      </c>
      <c r="F791" s="7" t="s">
        <v>14</v>
      </c>
      <c r="G791" s="7" t="s">
        <v>25</v>
      </c>
      <c r="H791" s="11">
        <v>7.34</v>
      </c>
      <c r="I791" s="8">
        <v>11.6</v>
      </c>
      <c r="J791" s="26">
        <v>3</v>
      </c>
      <c r="K791" s="10">
        <f t="shared" si="89"/>
        <v>0.25543199999999994</v>
      </c>
      <c r="L791" s="4"/>
      <c r="M791" s="17">
        <v>3</v>
      </c>
      <c r="N791" s="18">
        <f t="shared" si="90"/>
        <v>0.25543199999999999</v>
      </c>
      <c r="O791" s="19">
        <f t="shared" si="91"/>
        <v>0</v>
      </c>
      <c r="P791" s="13">
        <f t="shared" si="92"/>
        <v>0</v>
      </c>
      <c r="Q791" s="9"/>
      <c r="R791" s="2"/>
      <c r="S791" s="2"/>
    </row>
    <row r="792" spans="1:22">
      <c r="A792" s="42" t="s">
        <v>78</v>
      </c>
      <c r="B792" s="3"/>
      <c r="C792" s="3">
        <v>1</v>
      </c>
      <c r="D792" s="1"/>
      <c r="E792" s="20" t="s">
        <v>82</v>
      </c>
      <c r="F792" s="7" t="s">
        <v>15</v>
      </c>
      <c r="G792" s="7" t="s">
        <v>32</v>
      </c>
      <c r="H792" s="11">
        <v>8.32</v>
      </c>
      <c r="I792" s="8">
        <v>8.5</v>
      </c>
      <c r="J792" s="26">
        <v>22</v>
      </c>
      <c r="K792" s="10">
        <f t="shared" si="89"/>
        <v>1.5558399999999999</v>
      </c>
      <c r="L792" s="4"/>
      <c r="M792" s="17">
        <v>22</v>
      </c>
      <c r="N792" s="18">
        <f t="shared" si="90"/>
        <v>1.5558400000000001</v>
      </c>
      <c r="O792" s="19">
        <f t="shared" si="91"/>
        <v>0</v>
      </c>
      <c r="P792" s="13">
        <f t="shared" si="92"/>
        <v>0</v>
      </c>
      <c r="Q792" s="9"/>
      <c r="R792" s="2"/>
      <c r="S792" s="2"/>
    </row>
    <row r="793" spans="1:22">
      <c r="A793" s="42" t="s">
        <v>78</v>
      </c>
      <c r="B793" s="3"/>
      <c r="C793" s="3">
        <v>2</v>
      </c>
      <c r="D793" s="1"/>
      <c r="E793" s="20" t="s">
        <v>82</v>
      </c>
      <c r="F793" s="7" t="s">
        <v>15</v>
      </c>
      <c r="G793" s="7" t="s">
        <v>32</v>
      </c>
      <c r="H793" s="11">
        <v>8.32</v>
      </c>
      <c r="I793" s="8">
        <v>11</v>
      </c>
      <c r="J793" s="26">
        <v>12</v>
      </c>
      <c r="K793" s="10">
        <f t="shared" si="89"/>
        <v>1.0982400000000003</v>
      </c>
      <c r="L793" s="4"/>
      <c r="M793" s="17">
        <v>12</v>
      </c>
      <c r="N793" s="18">
        <f t="shared" si="90"/>
        <v>1.0982400000000001</v>
      </c>
      <c r="O793" s="19">
        <f t="shared" si="91"/>
        <v>0</v>
      </c>
      <c r="P793" s="13">
        <f t="shared" si="92"/>
        <v>0</v>
      </c>
      <c r="Q793" s="9"/>
      <c r="R793" s="2"/>
      <c r="S793" s="2"/>
    </row>
    <row r="794" spans="1:22">
      <c r="A794" s="42" t="s">
        <v>78</v>
      </c>
      <c r="B794" s="3"/>
      <c r="C794" s="3">
        <v>2</v>
      </c>
      <c r="D794" s="1"/>
      <c r="E794" s="20" t="s">
        <v>82</v>
      </c>
      <c r="F794" s="7" t="s">
        <v>15</v>
      </c>
      <c r="G794" s="7" t="s">
        <v>32</v>
      </c>
      <c r="H794" s="11">
        <v>8.32</v>
      </c>
      <c r="I794" s="8">
        <v>8.5</v>
      </c>
      <c r="J794" s="26">
        <v>2</v>
      </c>
      <c r="K794" s="10">
        <f t="shared" si="89"/>
        <v>0.14144000000000001</v>
      </c>
      <c r="L794" s="4"/>
      <c r="M794" s="17">
        <f>1+1</f>
        <v>2</v>
      </c>
      <c r="N794" s="18">
        <f t="shared" si="90"/>
        <v>0.14144000000000001</v>
      </c>
      <c r="O794" s="19">
        <f t="shared" si="91"/>
        <v>0</v>
      </c>
      <c r="P794" s="13">
        <f t="shared" si="92"/>
        <v>0</v>
      </c>
      <c r="Q794" s="9">
        <v>7.35</v>
      </c>
      <c r="R794" s="2">
        <v>1</v>
      </c>
      <c r="S794" s="2"/>
    </row>
    <row r="795" spans="1:22">
      <c r="A795" s="42" t="s">
        <v>78</v>
      </c>
      <c r="B795" s="3"/>
      <c r="C795" s="3">
        <v>2</v>
      </c>
      <c r="D795" s="1"/>
      <c r="E795" s="20" t="s">
        <v>82</v>
      </c>
      <c r="F795" s="7" t="s">
        <v>15</v>
      </c>
      <c r="G795" s="7" t="s">
        <v>32</v>
      </c>
      <c r="H795" s="11">
        <v>8.32</v>
      </c>
      <c r="I795" s="8">
        <v>9</v>
      </c>
      <c r="J795" s="26">
        <v>3</v>
      </c>
      <c r="K795" s="10">
        <f t="shared" si="89"/>
        <v>0.22463999999999998</v>
      </c>
      <c r="L795" s="4"/>
      <c r="M795" s="17">
        <v>3</v>
      </c>
      <c r="N795" s="18">
        <f t="shared" si="90"/>
        <v>0.22464000000000001</v>
      </c>
      <c r="O795" s="19">
        <f t="shared" si="91"/>
        <v>0</v>
      </c>
      <c r="P795" s="13">
        <f t="shared" si="92"/>
        <v>0</v>
      </c>
      <c r="Q795" s="9">
        <v>7.35</v>
      </c>
      <c r="R795" s="2">
        <v>3</v>
      </c>
      <c r="S795" s="2"/>
    </row>
    <row r="796" spans="1:22">
      <c r="A796" s="42" t="s">
        <v>78</v>
      </c>
      <c r="B796" s="3"/>
      <c r="C796" s="3">
        <v>2</v>
      </c>
      <c r="D796" s="1"/>
      <c r="E796" s="20" t="s">
        <v>82</v>
      </c>
      <c r="F796" s="7" t="s">
        <v>15</v>
      </c>
      <c r="G796" s="7" t="s">
        <v>32</v>
      </c>
      <c r="H796" s="11">
        <v>8.32</v>
      </c>
      <c r="I796" s="8">
        <v>8</v>
      </c>
      <c r="J796" s="26">
        <v>3</v>
      </c>
      <c r="K796" s="10">
        <f t="shared" si="89"/>
        <v>0.19968</v>
      </c>
      <c r="L796" s="4"/>
      <c r="M796" s="17">
        <v>3</v>
      </c>
      <c r="N796" s="18">
        <f t="shared" si="90"/>
        <v>0.19968</v>
      </c>
      <c r="O796" s="19">
        <f t="shared" si="91"/>
        <v>0</v>
      </c>
      <c r="P796" s="13">
        <f t="shared" si="92"/>
        <v>0</v>
      </c>
      <c r="Q796" s="9"/>
      <c r="R796" s="2"/>
      <c r="S796" s="2"/>
    </row>
    <row r="797" spans="1:22">
      <c r="A797" s="42" t="s">
        <v>78</v>
      </c>
      <c r="B797" s="3"/>
      <c r="C797" s="3">
        <v>3</v>
      </c>
      <c r="D797" s="1"/>
      <c r="E797" s="20" t="s">
        <v>82</v>
      </c>
      <c r="F797" s="7" t="s">
        <v>15</v>
      </c>
      <c r="G797" s="7" t="s">
        <v>32</v>
      </c>
      <c r="H797" s="11">
        <v>8.32</v>
      </c>
      <c r="I797" s="8">
        <v>12</v>
      </c>
      <c r="J797" s="26">
        <v>31</v>
      </c>
      <c r="K797" s="10">
        <f t="shared" si="89"/>
        <v>3.09504</v>
      </c>
      <c r="L797" s="4"/>
      <c r="M797" s="17">
        <v>31</v>
      </c>
      <c r="N797" s="18">
        <f t="shared" si="90"/>
        <v>3.09504</v>
      </c>
      <c r="O797" s="19">
        <f t="shared" si="91"/>
        <v>0</v>
      </c>
      <c r="P797" s="13">
        <f t="shared" si="92"/>
        <v>0</v>
      </c>
      <c r="Q797" s="9"/>
      <c r="R797" s="2"/>
      <c r="S797" s="2"/>
    </row>
    <row r="798" spans="1:22">
      <c r="A798" s="42" t="s">
        <v>78</v>
      </c>
      <c r="B798" s="3"/>
      <c r="C798" s="3">
        <v>4</v>
      </c>
      <c r="D798" s="1"/>
      <c r="E798" s="20" t="s">
        <v>82</v>
      </c>
      <c r="F798" s="7" t="s">
        <v>15</v>
      </c>
      <c r="G798" s="7" t="s">
        <v>32</v>
      </c>
      <c r="H798" s="11">
        <v>8.32</v>
      </c>
      <c r="I798" s="8">
        <v>9.5</v>
      </c>
      <c r="J798" s="26">
        <v>5</v>
      </c>
      <c r="K798" s="10">
        <f t="shared" si="89"/>
        <v>0.39520000000000005</v>
      </c>
      <c r="L798" s="4"/>
      <c r="M798" s="17">
        <v>5</v>
      </c>
      <c r="N798" s="18">
        <f t="shared" si="90"/>
        <v>0.3952</v>
      </c>
      <c r="O798" s="19">
        <f t="shared" si="91"/>
        <v>0</v>
      </c>
      <c r="P798" s="13">
        <f t="shared" si="92"/>
        <v>0</v>
      </c>
      <c r="Q798" s="9"/>
      <c r="R798" s="2"/>
      <c r="S798" s="2"/>
    </row>
    <row r="799" spans="1:22">
      <c r="A799" s="42" t="s">
        <v>78</v>
      </c>
      <c r="B799" s="3"/>
      <c r="C799" s="3">
        <v>4</v>
      </c>
      <c r="D799" s="1"/>
      <c r="E799" s="20" t="s">
        <v>82</v>
      </c>
      <c r="F799" s="7" t="s">
        <v>15</v>
      </c>
      <c r="G799" s="7" t="s">
        <v>32</v>
      </c>
      <c r="H799" s="11">
        <v>8.32</v>
      </c>
      <c r="I799" s="8">
        <v>10</v>
      </c>
      <c r="J799" s="26">
        <v>24</v>
      </c>
      <c r="K799" s="10">
        <f t="shared" si="89"/>
        <v>1.9968000000000001</v>
      </c>
      <c r="L799" s="4"/>
      <c r="M799" s="17">
        <v>24</v>
      </c>
      <c r="N799" s="18">
        <f t="shared" si="90"/>
        <v>1.9968000000000001</v>
      </c>
      <c r="O799" s="19">
        <f t="shared" si="91"/>
        <v>0</v>
      </c>
      <c r="P799" s="13">
        <f t="shared" si="92"/>
        <v>0</v>
      </c>
      <c r="Q799" s="9"/>
      <c r="R799" s="2"/>
      <c r="S799" s="2"/>
    </row>
    <row r="800" spans="1:22">
      <c r="A800" s="42" t="s">
        <v>78</v>
      </c>
      <c r="B800" s="3"/>
      <c r="C800" s="3">
        <v>5</v>
      </c>
      <c r="D800" s="1"/>
      <c r="E800" s="20" t="s">
        <v>82</v>
      </c>
      <c r="F800" s="7" t="s">
        <v>15</v>
      </c>
      <c r="G800" s="7" t="s">
        <v>32</v>
      </c>
      <c r="H800" s="11">
        <v>8.32</v>
      </c>
      <c r="I800" s="8">
        <v>12</v>
      </c>
      <c r="J800" s="26">
        <v>30</v>
      </c>
      <c r="K800" s="10">
        <f t="shared" si="89"/>
        <v>2.9952000000000001</v>
      </c>
      <c r="L800" s="4"/>
      <c r="M800" s="17">
        <v>30</v>
      </c>
      <c r="N800" s="18">
        <f t="shared" si="90"/>
        <v>2.9952000000000001</v>
      </c>
      <c r="O800" s="19">
        <f t="shared" si="91"/>
        <v>0</v>
      </c>
      <c r="P800" s="13">
        <f t="shared" si="92"/>
        <v>0</v>
      </c>
      <c r="Q800" s="9"/>
      <c r="R800" s="2"/>
      <c r="S800" s="2"/>
    </row>
    <row r="801" spans="1:19">
      <c r="A801" s="42" t="s">
        <v>78</v>
      </c>
      <c r="B801" s="3"/>
      <c r="C801" s="3">
        <v>6</v>
      </c>
      <c r="D801" s="1"/>
      <c r="E801" s="20" t="s">
        <v>82</v>
      </c>
      <c r="F801" s="7" t="s">
        <v>15</v>
      </c>
      <c r="G801" s="7" t="s">
        <v>32</v>
      </c>
      <c r="H801" s="11">
        <v>8.32</v>
      </c>
      <c r="I801" s="8">
        <v>10.5</v>
      </c>
      <c r="J801" s="26">
        <v>11</v>
      </c>
      <c r="K801" s="10">
        <f t="shared" si="89"/>
        <v>0.96096000000000004</v>
      </c>
      <c r="L801" s="4"/>
      <c r="M801" s="17">
        <v>11</v>
      </c>
      <c r="N801" s="18">
        <f t="shared" si="90"/>
        <v>0.96096000000000004</v>
      </c>
      <c r="O801" s="19">
        <f t="shared" si="91"/>
        <v>0</v>
      </c>
      <c r="P801" s="13">
        <f t="shared" si="92"/>
        <v>0</v>
      </c>
      <c r="Q801" s="9"/>
      <c r="R801" s="2"/>
      <c r="S801" s="2"/>
    </row>
    <row r="802" spans="1:19">
      <c r="A802" s="42" t="s">
        <v>78</v>
      </c>
      <c r="B802" s="3"/>
      <c r="C802" s="3">
        <v>6</v>
      </c>
      <c r="D802" s="1"/>
      <c r="E802" s="20" t="s">
        <v>82</v>
      </c>
      <c r="F802" s="7" t="s">
        <v>15</v>
      </c>
      <c r="G802" s="7" t="s">
        <v>32</v>
      </c>
      <c r="H802" s="11">
        <v>8.32</v>
      </c>
      <c r="I802" s="8">
        <v>6.5</v>
      </c>
      <c r="J802" s="26">
        <v>13</v>
      </c>
      <c r="K802" s="10">
        <f t="shared" si="89"/>
        <v>0.70304</v>
      </c>
      <c r="L802" s="4"/>
      <c r="M802" s="17">
        <v>13</v>
      </c>
      <c r="N802" s="18">
        <f t="shared" si="90"/>
        <v>0.70304000000000011</v>
      </c>
      <c r="O802" s="19">
        <f t="shared" si="91"/>
        <v>0</v>
      </c>
      <c r="P802" s="13">
        <f t="shared" si="92"/>
        <v>0</v>
      </c>
      <c r="Q802" s="9"/>
      <c r="R802" s="2"/>
      <c r="S802" s="2"/>
    </row>
    <row r="803" spans="1:19">
      <c r="A803" s="42" t="s">
        <v>78</v>
      </c>
      <c r="B803" s="3"/>
      <c r="C803" s="3">
        <v>7</v>
      </c>
      <c r="D803" s="1"/>
      <c r="E803" s="20" t="s">
        <v>82</v>
      </c>
      <c r="F803" s="7" t="s">
        <v>15</v>
      </c>
      <c r="G803" s="7" t="s">
        <v>32</v>
      </c>
      <c r="H803" s="11">
        <v>8.32</v>
      </c>
      <c r="I803" s="8">
        <v>10</v>
      </c>
      <c r="J803" s="26">
        <v>20</v>
      </c>
      <c r="K803" s="10">
        <f t="shared" si="89"/>
        <v>1.6639999999999999</v>
      </c>
      <c r="L803" s="4"/>
      <c r="M803" s="17">
        <v>20</v>
      </c>
      <c r="N803" s="18">
        <f t="shared" si="90"/>
        <v>1.6639999999999999</v>
      </c>
      <c r="O803" s="19">
        <f t="shared" si="91"/>
        <v>0</v>
      </c>
      <c r="P803" s="13">
        <f t="shared" si="92"/>
        <v>0</v>
      </c>
      <c r="Q803" s="9"/>
      <c r="R803" s="2"/>
      <c r="S803" s="2"/>
    </row>
    <row r="804" spans="1:19">
      <c r="A804" s="42" t="s">
        <v>78</v>
      </c>
      <c r="B804" s="3"/>
      <c r="C804" s="3">
        <v>8</v>
      </c>
      <c r="D804" s="1"/>
      <c r="E804" s="20" t="s">
        <v>82</v>
      </c>
      <c r="F804" s="7" t="s">
        <v>15</v>
      </c>
      <c r="G804" s="7" t="s">
        <v>32</v>
      </c>
      <c r="H804" s="11">
        <v>8.32</v>
      </c>
      <c r="I804" s="8">
        <v>12</v>
      </c>
      <c r="J804" s="26">
        <v>28</v>
      </c>
      <c r="K804" s="10">
        <f t="shared" si="89"/>
        <v>2.7955199999999998</v>
      </c>
      <c r="L804" s="4"/>
      <c r="M804" s="17">
        <v>28</v>
      </c>
      <c r="N804" s="18">
        <f t="shared" si="90"/>
        <v>2.7955199999999998</v>
      </c>
      <c r="O804" s="19">
        <f t="shared" si="91"/>
        <v>0</v>
      </c>
      <c r="P804" s="13">
        <f t="shared" si="92"/>
        <v>0</v>
      </c>
      <c r="Q804" s="9"/>
      <c r="R804" s="2"/>
      <c r="S804" s="2"/>
    </row>
    <row r="805" spans="1:19">
      <c r="A805" s="42" t="s">
        <v>78</v>
      </c>
      <c r="B805" s="3"/>
      <c r="C805" s="3">
        <v>9</v>
      </c>
      <c r="D805" s="1"/>
      <c r="E805" s="20" t="s">
        <v>82</v>
      </c>
      <c r="F805" s="7" t="s">
        <v>15</v>
      </c>
      <c r="G805" s="7" t="s">
        <v>32</v>
      </c>
      <c r="H805" s="11">
        <v>8.32</v>
      </c>
      <c r="I805" s="8">
        <v>11.55</v>
      </c>
      <c r="J805" s="26">
        <v>30</v>
      </c>
      <c r="K805" s="10">
        <f t="shared" si="89"/>
        <v>2.8828800000000001</v>
      </c>
      <c r="L805" s="4"/>
      <c r="M805" s="17">
        <v>30</v>
      </c>
      <c r="N805" s="18">
        <f t="shared" si="90"/>
        <v>2.8828800000000001</v>
      </c>
      <c r="O805" s="19">
        <f t="shared" si="91"/>
        <v>0</v>
      </c>
      <c r="P805" s="13">
        <f t="shared" si="92"/>
        <v>0</v>
      </c>
      <c r="Q805" s="9"/>
      <c r="R805" s="2"/>
      <c r="S805" s="2"/>
    </row>
    <row r="806" spans="1:19">
      <c r="A806" s="42" t="s">
        <v>78</v>
      </c>
      <c r="B806" s="3"/>
      <c r="C806" s="3">
        <v>10</v>
      </c>
      <c r="D806" s="1"/>
      <c r="E806" s="20" t="s">
        <v>82</v>
      </c>
      <c r="F806" s="7" t="s">
        <v>15</v>
      </c>
      <c r="G806" s="7" t="s">
        <v>32</v>
      </c>
      <c r="H806" s="11">
        <v>8.32</v>
      </c>
      <c r="I806" s="8">
        <v>11.55</v>
      </c>
      <c r="J806" s="26">
        <v>2</v>
      </c>
      <c r="K806" s="10">
        <f t="shared" si="89"/>
        <v>0.192192</v>
      </c>
      <c r="L806" s="4"/>
      <c r="M806" s="17">
        <v>2</v>
      </c>
      <c r="N806" s="18">
        <f t="shared" si="90"/>
        <v>0.192192</v>
      </c>
      <c r="O806" s="19">
        <f t="shared" si="91"/>
        <v>0</v>
      </c>
      <c r="P806" s="13">
        <f t="shared" si="92"/>
        <v>0</v>
      </c>
      <c r="Q806" s="9"/>
      <c r="R806" s="2"/>
      <c r="S806" s="2"/>
    </row>
    <row r="807" spans="1:19">
      <c r="A807" s="42" t="s">
        <v>78</v>
      </c>
      <c r="B807" s="3"/>
      <c r="C807" s="3">
        <v>10</v>
      </c>
      <c r="D807" s="1"/>
      <c r="E807" s="20" t="s">
        <v>82</v>
      </c>
      <c r="F807" s="7" t="s">
        <v>15</v>
      </c>
      <c r="G807" s="7" t="s">
        <v>32</v>
      </c>
      <c r="H807" s="11">
        <v>8.32</v>
      </c>
      <c r="I807" s="8">
        <v>12</v>
      </c>
      <c r="J807" s="26">
        <v>20</v>
      </c>
      <c r="K807" s="10">
        <f t="shared" si="89"/>
        <v>1.9968000000000001</v>
      </c>
      <c r="L807" s="4"/>
      <c r="M807" s="17">
        <v>20</v>
      </c>
      <c r="N807" s="18">
        <f t="shared" si="90"/>
        <v>1.9968000000000001</v>
      </c>
      <c r="O807" s="19">
        <f t="shared" si="91"/>
        <v>0</v>
      </c>
      <c r="P807" s="13">
        <f t="shared" si="92"/>
        <v>0</v>
      </c>
      <c r="Q807" s="9"/>
      <c r="R807" s="2"/>
      <c r="S807" s="2"/>
    </row>
    <row r="808" spans="1:19">
      <c r="A808" s="42" t="s">
        <v>78</v>
      </c>
      <c r="B808" s="3"/>
      <c r="C808" s="3">
        <v>11</v>
      </c>
      <c r="D808" s="1"/>
      <c r="E808" s="20" t="s">
        <v>82</v>
      </c>
      <c r="F808" s="7" t="s">
        <v>15</v>
      </c>
      <c r="G808" s="7" t="s">
        <v>32</v>
      </c>
      <c r="H808" s="11">
        <v>8.32</v>
      </c>
      <c r="I808" s="8">
        <v>7.35</v>
      </c>
      <c r="J808" s="26">
        <v>16</v>
      </c>
      <c r="K808" s="10">
        <f t="shared" si="89"/>
        <v>0.97843199999999997</v>
      </c>
      <c r="L808" s="4"/>
      <c r="M808" s="17">
        <v>16</v>
      </c>
      <c r="N808" s="18">
        <f t="shared" si="90"/>
        <v>0.97843199999999997</v>
      </c>
      <c r="O808" s="19">
        <f t="shared" si="91"/>
        <v>0</v>
      </c>
      <c r="P808" s="13">
        <f t="shared" si="92"/>
        <v>0</v>
      </c>
      <c r="Q808" s="9"/>
      <c r="R808" s="2"/>
      <c r="S808" s="2"/>
    </row>
    <row r="809" spans="1:19">
      <c r="A809" s="42" t="s">
        <v>78</v>
      </c>
      <c r="B809" s="3"/>
      <c r="C809" s="3">
        <v>12</v>
      </c>
      <c r="D809" s="1"/>
      <c r="E809" s="20" t="s">
        <v>82</v>
      </c>
      <c r="F809" s="7" t="s">
        <v>15</v>
      </c>
      <c r="G809" s="7" t="s">
        <v>32</v>
      </c>
      <c r="H809" s="11">
        <v>8.32</v>
      </c>
      <c r="I809" s="8">
        <v>10.1</v>
      </c>
      <c r="J809" s="26">
        <v>19</v>
      </c>
      <c r="K809" s="10">
        <f t="shared" si="89"/>
        <v>1.596608</v>
      </c>
      <c r="L809" s="4"/>
      <c r="M809" s="17">
        <v>19</v>
      </c>
      <c r="N809" s="18">
        <f t="shared" si="90"/>
        <v>1.5966080000000002</v>
      </c>
      <c r="O809" s="19">
        <f t="shared" si="91"/>
        <v>0</v>
      </c>
      <c r="P809" s="13">
        <f t="shared" si="92"/>
        <v>0</v>
      </c>
      <c r="Q809" s="9"/>
      <c r="R809" s="2"/>
      <c r="S809" s="2"/>
    </row>
    <row r="810" spans="1:19">
      <c r="A810" s="42" t="s">
        <v>78</v>
      </c>
      <c r="B810" s="3"/>
      <c r="C810" s="3">
        <v>13</v>
      </c>
      <c r="D810" s="1"/>
      <c r="E810" s="20" t="s">
        <v>82</v>
      </c>
      <c r="F810" s="7" t="s">
        <v>15</v>
      </c>
      <c r="G810" s="7" t="s">
        <v>32</v>
      </c>
      <c r="H810" s="11">
        <v>8.32</v>
      </c>
      <c r="I810" s="8">
        <v>12</v>
      </c>
      <c r="J810" s="26">
        <v>32</v>
      </c>
      <c r="K810" s="10">
        <f t="shared" si="89"/>
        <v>3.1948799999999999</v>
      </c>
      <c r="L810" s="4"/>
      <c r="M810" s="17">
        <v>32</v>
      </c>
      <c r="N810" s="18">
        <f t="shared" si="90"/>
        <v>3.1948799999999999</v>
      </c>
      <c r="O810" s="19">
        <f t="shared" si="91"/>
        <v>0</v>
      </c>
      <c r="P810" s="13">
        <f t="shared" si="92"/>
        <v>0</v>
      </c>
      <c r="Q810" s="9"/>
      <c r="R810" s="2"/>
      <c r="S810" s="2"/>
    </row>
    <row r="811" spans="1:19">
      <c r="A811" s="42" t="s">
        <v>78</v>
      </c>
      <c r="B811" s="3"/>
      <c r="C811" s="3">
        <v>14</v>
      </c>
      <c r="D811" s="1"/>
      <c r="E811" s="20" t="s">
        <v>82</v>
      </c>
      <c r="F811" s="7" t="s">
        <v>15</v>
      </c>
      <c r="G811" s="7" t="s">
        <v>32</v>
      </c>
      <c r="H811" s="11">
        <v>8.32</v>
      </c>
      <c r="I811" s="8">
        <v>11</v>
      </c>
      <c r="J811" s="26">
        <v>17</v>
      </c>
      <c r="K811" s="10">
        <f t="shared" si="89"/>
        <v>1.5558400000000001</v>
      </c>
      <c r="L811" s="4"/>
      <c r="M811" s="17">
        <v>17</v>
      </c>
      <c r="N811" s="18">
        <f t="shared" si="90"/>
        <v>1.5558400000000001</v>
      </c>
      <c r="O811" s="19">
        <f t="shared" si="91"/>
        <v>0</v>
      </c>
      <c r="P811" s="13">
        <f t="shared" si="92"/>
        <v>0</v>
      </c>
      <c r="Q811" s="9"/>
      <c r="R811" s="2"/>
      <c r="S811" s="2"/>
    </row>
    <row r="812" spans="1:19">
      <c r="A812" s="42" t="s">
        <v>78</v>
      </c>
      <c r="B812" s="3"/>
      <c r="C812" s="3">
        <v>15</v>
      </c>
      <c r="D812" s="1"/>
      <c r="E812" s="20" t="s">
        <v>82</v>
      </c>
      <c r="F812" s="7" t="s">
        <v>15</v>
      </c>
      <c r="G812" s="7" t="s">
        <v>32</v>
      </c>
      <c r="H812" s="11">
        <v>8.32</v>
      </c>
      <c r="I812" s="8">
        <v>9</v>
      </c>
      <c r="J812" s="26">
        <v>24</v>
      </c>
      <c r="K812" s="10">
        <f t="shared" si="89"/>
        <v>1.7971199999999998</v>
      </c>
      <c r="L812" s="4"/>
      <c r="M812" s="17">
        <v>24</v>
      </c>
      <c r="N812" s="18">
        <f t="shared" si="90"/>
        <v>1.7971200000000001</v>
      </c>
      <c r="O812" s="19">
        <f t="shared" si="91"/>
        <v>0</v>
      </c>
      <c r="P812" s="13">
        <f t="shared" si="92"/>
        <v>0</v>
      </c>
      <c r="Q812" s="9"/>
      <c r="R812" s="2"/>
      <c r="S812" s="2"/>
    </row>
    <row r="813" spans="1:19">
      <c r="A813" s="42" t="s">
        <v>78</v>
      </c>
      <c r="B813" s="3"/>
      <c r="C813" s="3">
        <v>16</v>
      </c>
      <c r="D813" s="1"/>
      <c r="E813" s="20" t="s">
        <v>82</v>
      </c>
      <c r="F813" s="7" t="s">
        <v>15</v>
      </c>
      <c r="G813" s="7" t="s">
        <v>32</v>
      </c>
      <c r="H813" s="11">
        <v>8.32</v>
      </c>
      <c r="I813" s="8">
        <v>9.75</v>
      </c>
      <c r="J813" s="26">
        <v>2</v>
      </c>
      <c r="K813" s="10">
        <f t="shared" si="89"/>
        <v>0.16224</v>
      </c>
      <c r="L813" s="4"/>
      <c r="M813" s="17">
        <v>2</v>
      </c>
      <c r="N813" s="18">
        <f t="shared" si="90"/>
        <v>0.16224</v>
      </c>
      <c r="O813" s="19">
        <f t="shared" si="91"/>
        <v>0</v>
      </c>
      <c r="P813" s="13">
        <f t="shared" si="92"/>
        <v>0</v>
      </c>
      <c r="Q813" s="9">
        <v>9.5</v>
      </c>
      <c r="R813" s="2">
        <v>2</v>
      </c>
      <c r="S813" s="2" t="s">
        <v>213</v>
      </c>
    </row>
    <row r="814" spans="1:19">
      <c r="A814" s="42" t="s">
        <v>78</v>
      </c>
      <c r="B814" s="3"/>
      <c r="C814" s="3">
        <v>16</v>
      </c>
      <c r="D814" s="1"/>
      <c r="E814" s="20" t="s">
        <v>82</v>
      </c>
      <c r="F814" s="7" t="s">
        <v>15</v>
      </c>
      <c r="G814" s="7" t="s">
        <v>32</v>
      </c>
      <c r="H814" s="11">
        <v>8.32</v>
      </c>
      <c r="I814" s="8">
        <v>9.5</v>
      </c>
      <c r="J814" s="26">
        <v>3</v>
      </c>
      <c r="K814" s="10">
        <f t="shared" si="89"/>
        <v>0.23712</v>
      </c>
      <c r="L814" s="4"/>
      <c r="M814" s="17">
        <v>3</v>
      </c>
      <c r="N814" s="18">
        <f t="shared" si="90"/>
        <v>0.23712</v>
      </c>
      <c r="O814" s="19">
        <f t="shared" si="91"/>
        <v>0</v>
      </c>
      <c r="P814" s="13">
        <f t="shared" si="92"/>
        <v>0</v>
      </c>
      <c r="Q814" s="9">
        <v>8</v>
      </c>
      <c r="R814" s="2">
        <v>3</v>
      </c>
      <c r="S814" s="2"/>
    </row>
    <row r="815" spans="1:19">
      <c r="A815" s="42" t="s">
        <v>78</v>
      </c>
      <c r="B815" s="3"/>
      <c r="C815" s="3">
        <v>17</v>
      </c>
      <c r="D815" s="1"/>
      <c r="E815" s="20" t="s">
        <v>82</v>
      </c>
      <c r="F815" s="7" t="s">
        <v>15</v>
      </c>
      <c r="G815" s="7" t="s">
        <v>32</v>
      </c>
      <c r="H815" s="11">
        <v>8.32</v>
      </c>
      <c r="I815" s="8">
        <v>7.35</v>
      </c>
      <c r="J815" s="26">
        <v>34</v>
      </c>
      <c r="K815" s="10">
        <f t="shared" si="89"/>
        <v>2.0791680000000001</v>
      </c>
      <c r="L815" s="4"/>
      <c r="M815" s="17">
        <v>34</v>
      </c>
      <c r="N815" s="18">
        <f t="shared" si="90"/>
        <v>2.0791679999999997</v>
      </c>
      <c r="O815" s="19">
        <f t="shared" si="91"/>
        <v>0</v>
      </c>
      <c r="P815" s="13">
        <f t="shared" si="92"/>
        <v>0</v>
      </c>
      <c r="Q815" s="9"/>
      <c r="R815" s="2"/>
      <c r="S815" s="2"/>
    </row>
    <row r="816" spans="1:19">
      <c r="A816" s="42" t="s">
        <v>78</v>
      </c>
      <c r="B816" s="3"/>
      <c r="C816" s="3">
        <v>18</v>
      </c>
      <c r="D816" s="1"/>
      <c r="E816" s="20" t="s">
        <v>82</v>
      </c>
      <c r="F816" s="7" t="s">
        <v>15</v>
      </c>
      <c r="G816" s="7" t="s">
        <v>32</v>
      </c>
      <c r="H816" s="11">
        <v>8.32</v>
      </c>
      <c r="I816" s="8">
        <v>7.35</v>
      </c>
      <c r="J816" s="26">
        <v>5</v>
      </c>
      <c r="K816" s="10">
        <f t="shared" si="89"/>
        <v>0.30575999999999998</v>
      </c>
      <c r="L816" s="4"/>
      <c r="M816" s="17">
        <f>5</f>
        <v>5</v>
      </c>
      <c r="N816" s="18">
        <f t="shared" si="90"/>
        <v>0.30575999999999998</v>
      </c>
      <c r="O816" s="64">
        <f t="shared" si="91"/>
        <v>0</v>
      </c>
      <c r="P816" s="65">
        <f t="shared" si="92"/>
        <v>0</v>
      </c>
      <c r="Q816" s="9"/>
      <c r="R816" s="2"/>
      <c r="S816" s="2"/>
    </row>
    <row r="817" spans="1:19">
      <c r="A817" s="42" t="s">
        <v>78</v>
      </c>
      <c r="B817" s="3"/>
      <c r="C817" s="3">
        <v>18</v>
      </c>
      <c r="D817" s="1"/>
      <c r="E817" s="20" t="s">
        <v>82</v>
      </c>
      <c r="F817" s="7" t="s">
        <v>15</v>
      </c>
      <c r="G817" s="7" t="s">
        <v>32</v>
      </c>
      <c r="H817" s="11">
        <v>8.32</v>
      </c>
      <c r="I817" s="8">
        <v>8</v>
      </c>
      <c r="J817" s="26">
        <v>2</v>
      </c>
      <c r="K817" s="10">
        <f t="shared" si="89"/>
        <v>0.13312000000000002</v>
      </c>
      <c r="L817" s="4"/>
      <c r="M817" s="17">
        <v>2</v>
      </c>
      <c r="N817" s="18">
        <f t="shared" si="90"/>
        <v>0.13312000000000002</v>
      </c>
      <c r="O817" s="19">
        <f t="shared" si="91"/>
        <v>0</v>
      </c>
      <c r="P817" s="13">
        <f t="shared" si="92"/>
        <v>0</v>
      </c>
      <c r="Q817" s="9"/>
      <c r="R817" s="2"/>
      <c r="S817" s="2"/>
    </row>
    <row r="818" spans="1:19">
      <c r="A818" s="42" t="s">
        <v>78</v>
      </c>
      <c r="B818" s="3"/>
      <c r="C818" s="3">
        <v>18</v>
      </c>
      <c r="D818" s="1"/>
      <c r="E818" s="20" t="s">
        <v>82</v>
      </c>
      <c r="F818" s="7" t="s">
        <v>15</v>
      </c>
      <c r="G818" s="7" t="s">
        <v>32</v>
      </c>
      <c r="H818" s="11">
        <v>8.32</v>
      </c>
      <c r="I818" s="8">
        <v>8.5</v>
      </c>
      <c r="J818" s="26">
        <v>4</v>
      </c>
      <c r="K818" s="10">
        <f t="shared" si="89"/>
        <v>0.28288000000000002</v>
      </c>
      <c r="L818" s="4"/>
      <c r="M818" s="17">
        <v>4</v>
      </c>
      <c r="N818" s="18">
        <f t="shared" si="90"/>
        <v>0.28288000000000002</v>
      </c>
      <c r="O818" s="19">
        <f t="shared" si="91"/>
        <v>0</v>
      </c>
      <c r="P818" s="13">
        <f t="shared" si="92"/>
        <v>0</v>
      </c>
      <c r="Q818" s="9"/>
      <c r="R818" s="2"/>
      <c r="S818" s="2"/>
    </row>
    <row r="819" spans="1:19">
      <c r="A819" s="42" t="s">
        <v>78</v>
      </c>
      <c r="B819" s="3"/>
      <c r="C819" s="3">
        <v>18</v>
      </c>
      <c r="D819" s="1"/>
      <c r="E819" s="20" t="s">
        <v>82</v>
      </c>
      <c r="F819" s="7" t="s">
        <v>15</v>
      </c>
      <c r="G819" s="7" t="s">
        <v>32</v>
      </c>
      <c r="H819" s="11">
        <v>8.32</v>
      </c>
      <c r="I819" s="8">
        <v>9</v>
      </c>
      <c r="J819" s="26">
        <v>2</v>
      </c>
      <c r="K819" s="10">
        <f t="shared" si="89"/>
        <v>0.14976</v>
      </c>
      <c r="L819" s="4"/>
      <c r="M819" s="17">
        <v>2</v>
      </c>
      <c r="N819" s="18">
        <f t="shared" si="90"/>
        <v>0.14976</v>
      </c>
      <c r="O819" s="19">
        <f t="shared" si="91"/>
        <v>0</v>
      </c>
      <c r="P819" s="13">
        <f t="shared" si="92"/>
        <v>0</v>
      </c>
      <c r="Q819" s="9">
        <v>7.7</v>
      </c>
      <c r="R819" s="2">
        <v>2</v>
      </c>
      <c r="S819" s="2"/>
    </row>
    <row r="820" spans="1:19">
      <c r="A820" s="42" t="s">
        <v>78</v>
      </c>
      <c r="B820" s="3"/>
      <c r="C820" s="3">
        <v>18</v>
      </c>
      <c r="D820" s="1"/>
      <c r="E820" s="20" t="s">
        <v>82</v>
      </c>
      <c r="F820" s="7" t="s">
        <v>15</v>
      </c>
      <c r="G820" s="7" t="s">
        <v>32</v>
      </c>
      <c r="H820" s="11">
        <v>8.32</v>
      </c>
      <c r="I820" s="8">
        <v>10</v>
      </c>
      <c r="J820" s="26">
        <v>1</v>
      </c>
      <c r="K820" s="10">
        <f t="shared" si="89"/>
        <v>8.3199999999999996E-2</v>
      </c>
      <c r="L820" s="4"/>
      <c r="M820" s="17">
        <v>1</v>
      </c>
      <c r="N820" s="18">
        <f t="shared" si="90"/>
        <v>8.3199999999999996E-2</v>
      </c>
      <c r="O820" s="19">
        <f t="shared" si="91"/>
        <v>0</v>
      </c>
      <c r="P820" s="13">
        <f t="shared" si="92"/>
        <v>0</v>
      </c>
      <c r="Q820" s="9">
        <v>10</v>
      </c>
      <c r="R820" s="2">
        <v>1</v>
      </c>
      <c r="S820" s="2" t="s">
        <v>213</v>
      </c>
    </row>
    <row r="821" spans="1:19">
      <c r="A821" s="42" t="s">
        <v>78</v>
      </c>
      <c r="B821" s="3"/>
      <c r="C821" s="3">
        <v>18</v>
      </c>
      <c r="D821" s="1"/>
      <c r="E821" s="20" t="s">
        <v>82</v>
      </c>
      <c r="F821" s="7" t="s">
        <v>15</v>
      </c>
      <c r="G821" s="7" t="s">
        <v>32</v>
      </c>
      <c r="H821" s="11">
        <v>8.32</v>
      </c>
      <c r="I821" s="8">
        <v>10.1</v>
      </c>
      <c r="J821" s="26">
        <v>4</v>
      </c>
      <c r="K821" s="10">
        <f t="shared" si="89"/>
        <v>0.33612799999999998</v>
      </c>
      <c r="L821" s="4"/>
      <c r="M821" s="17">
        <v>4</v>
      </c>
      <c r="N821" s="18">
        <f t="shared" si="90"/>
        <v>0.33612799999999998</v>
      </c>
      <c r="O821" s="64">
        <f t="shared" si="91"/>
        <v>0</v>
      </c>
      <c r="P821" s="65">
        <f t="shared" si="92"/>
        <v>0</v>
      </c>
      <c r="Q821" s="9"/>
      <c r="R821" s="2"/>
      <c r="S821" s="2"/>
    </row>
    <row r="822" spans="1:19">
      <c r="A822" s="42" t="s">
        <v>78</v>
      </c>
      <c r="B822" s="3"/>
      <c r="C822" s="3">
        <v>19</v>
      </c>
      <c r="D822" s="1"/>
      <c r="E822" s="20" t="s">
        <v>82</v>
      </c>
      <c r="F822" s="7" t="s">
        <v>15</v>
      </c>
      <c r="G822" s="7" t="s">
        <v>32</v>
      </c>
      <c r="H822" s="11">
        <v>8.32</v>
      </c>
      <c r="I822" s="8">
        <v>11</v>
      </c>
      <c r="J822" s="26">
        <v>28</v>
      </c>
      <c r="K822" s="10">
        <f t="shared" si="89"/>
        <v>2.5625600000000004</v>
      </c>
      <c r="L822" s="4"/>
      <c r="M822" s="17">
        <v>28</v>
      </c>
      <c r="N822" s="18">
        <f t="shared" si="90"/>
        <v>2.5625599999999999</v>
      </c>
      <c r="O822" s="19">
        <f t="shared" si="91"/>
        <v>0</v>
      </c>
      <c r="P822" s="13">
        <f t="shared" si="92"/>
        <v>0</v>
      </c>
      <c r="Q822" s="9"/>
      <c r="R822" s="2"/>
      <c r="S822" s="2"/>
    </row>
    <row r="823" spans="1:19">
      <c r="A823" s="42" t="s">
        <v>78</v>
      </c>
      <c r="B823" s="3"/>
      <c r="C823" s="3">
        <v>20</v>
      </c>
      <c r="D823" s="1"/>
      <c r="E823" s="20" t="s">
        <v>82</v>
      </c>
      <c r="F823" s="7" t="s">
        <v>15</v>
      </c>
      <c r="G823" s="7" t="s">
        <v>32</v>
      </c>
      <c r="H823" s="11">
        <v>8.32</v>
      </c>
      <c r="I823" s="8">
        <v>11.6</v>
      </c>
      <c r="J823" s="26">
        <v>19</v>
      </c>
      <c r="K823" s="10">
        <f t="shared" si="89"/>
        <v>1.833728</v>
      </c>
      <c r="L823" s="4"/>
      <c r="M823" s="17">
        <v>19</v>
      </c>
      <c r="N823" s="18">
        <f t="shared" si="90"/>
        <v>1.833728</v>
      </c>
      <c r="O823" s="19">
        <f t="shared" si="91"/>
        <v>0</v>
      </c>
      <c r="P823" s="13">
        <f t="shared" si="92"/>
        <v>0</v>
      </c>
      <c r="Q823" s="9"/>
      <c r="R823" s="2"/>
      <c r="S823" s="2"/>
    </row>
    <row r="824" spans="1:19">
      <c r="A824" s="42" t="s">
        <v>78</v>
      </c>
      <c r="B824" s="3"/>
      <c r="C824" s="3">
        <v>20</v>
      </c>
      <c r="D824" s="1"/>
      <c r="E824" s="20" t="s">
        <v>82</v>
      </c>
      <c r="F824" s="7" t="s">
        <v>15</v>
      </c>
      <c r="G824" s="7" t="s">
        <v>32</v>
      </c>
      <c r="H824" s="11">
        <v>8.32</v>
      </c>
      <c r="I824" s="8">
        <v>11.5</v>
      </c>
      <c r="J824" s="26">
        <v>3</v>
      </c>
      <c r="K824" s="10">
        <f t="shared" si="89"/>
        <v>0.28704000000000002</v>
      </c>
      <c r="L824" s="4"/>
      <c r="M824" s="17">
        <v>3</v>
      </c>
      <c r="N824" s="18">
        <f t="shared" si="90"/>
        <v>0.28704000000000002</v>
      </c>
      <c r="O824" s="19">
        <f t="shared" si="91"/>
        <v>0</v>
      </c>
      <c r="P824" s="13">
        <f t="shared" si="92"/>
        <v>0</v>
      </c>
      <c r="Q824" s="9"/>
      <c r="R824" s="2"/>
      <c r="S824" s="2"/>
    </row>
    <row r="825" spans="1:19">
      <c r="A825" s="42" t="s">
        <v>78</v>
      </c>
      <c r="B825" s="3"/>
      <c r="C825" s="3">
        <v>20</v>
      </c>
      <c r="D825" s="1"/>
      <c r="E825" s="20" t="s">
        <v>82</v>
      </c>
      <c r="F825" s="7" t="s">
        <v>15</v>
      </c>
      <c r="G825" s="7" t="s">
        <v>32</v>
      </c>
      <c r="H825" s="11">
        <v>8.32</v>
      </c>
      <c r="I825" s="8">
        <v>11.55</v>
      </c>
      <c r="J825" s="26">
        <v>6</v>
      </c>
      <c r="K825" s="10">
        <f t="shared" si="89"/>
        <v>0.57657599999999998</v>
      </c>
      <c r="L825" s="4"/>
      <c r="M825" s="17">
        <v>6</v>
      </c>
      <c r="N825" s="18">
        <f t="shared" si="90"/>
        <v>0.57657600000000009</v>
      </c>
      <c r="O825" s="19">
        <f t="shared" si="91"/>
        <v>0</v>
      </c>
      <c r="P825" s="13">
        <f t="shared" si="92"/>
        <v>0</v>
      </c>
      <c r="Q825" s="9"/>
      <c r="R825" s="2"/>
      <c r="S825" s="2"/>
    </row>
    <row r="826" spans="1:19">
      <c r="A826" s="42" t="s">
        <v>78</v>
      </c>
      <c r="B826" s="3"/>
      <c r="C826" s="3">
        <v>20</v>
      </c>
      <c r="D826" s="1"/>
      <c r="E826" s="20" t="s">
        <v>82</v>
      </c>
      <c r="F826" s="7" t="s">
        <v>15</v>
      </c>
      <c r="G826" s="7" t="s">
        <v>32</v>
      </c>
      <c r="H826" s="11">
        <v>8.32</v>
      </c>
      <c r="I826" s="8">
        <v>10</v>
      </c>
      <c r="J826" s="26">
        <v>4</v>
      </c>
      <c r="K826" s="10">
        <f t="shared" si="89"/>
        <v>0.33279999999999998</v>
      </c>
      <c r="L826" s="4"/>
      <c r="M826" s="17">
        <v>4</v>
      </c>
      <c r="N826" s="18">
        <f t="shared" si="90"/>
        <v>0.33279999999999998</v>
      </c>
      <c r="O826" s="19">
        <f t="shared" si="91"/>
        <v>0</v>
      </c>
      <c r="P826" s="13">
        <f t="shared" si="92"/>
        <v>0</v>
      </c>
      <c r="Q826" s="9">
        <v>10</v>
      </c>
      <c r="R826" s="2">
        <v>4</v>
      </c>
      <c r="S826" s="2" t="s">
        <v>213</v>
      </c>
    </row>
    <row r="827" spans="1:19">
      <c r="A827" s="42" t="s">
        <v>78</v>
      </c>
      <c r="B827" s="3"/>
      <c r="C827" s="3">
        <v>21</v>
      </c>
      <c r="D827" s="1"/>
      <c r="E827" s="20" t="s">
        <v>82</v>
      </c>
      <c r="F827" s="7" t="s">
        <v>15</v>
      </c>
      <c r="G827" s="7" t="s">
        <v>32</v>
      </c>
      <c r="H827" s="11">
        <v>8.32</v>
      </c>
      <c r="I827" s="8">
        <v>7.75</v>
      </c>
      <c r="J827" s="26">
        <v>4</v>
      </c>
      <c r="K827" s="10">
        <f t="shared" si="89"/>
        <v>0.25792000000000004</v>
      </c>
      <c r="L827" s="4"/>
      <c r="M827" s="17">
        <v>4</v>
      </c>
      <c r="N827" s="18">
        <f t="shared" si="90"/>
        <v>0.25792000000000004</v>
      </c>
      <c r="O827" s="19">
        <f t="shared" si="91"/>
        <v>0</v>
      </c>
      <c r="P827" s="13">
        <f t="shared" si="92"/>
        <v>0</v>
      </c>
      <c r="Q827" s="9"/>
      <c r="R827" s="2"/>
      <c r="S827" s="2"/>
    </row>
    <row r="828" spans="1:19">
      <c r="A828" s="42" t="s">
        <v>78</v>
      </c>
      <c r="B828" s="3"/>
      <c r="C828" s="3">
        <v>21</v>
      </c>
      <c r="D828" s="1"/>
      <c r="E828" s="20" t="s">
        <v>82</v>
      </c>
      <c r="F828" s="7" t="s">
        <v>15</v>
      </c>
      <c r="G828" s="7" t="s">
        <v>32</v>
      </c>
      <c r="H828" s="11">
        <v>8.32</v>
      </c>
      <c r="I828" s="8">
        <v>8</v>
      </c>
      <c r="J828" s="26">
        <v>26</v>
      </c>
      <c r="K828" s="10">
        <f t="shared" si="89"/>
        <v>1.7305599999999999</v>
      </c>
      <c r="L828" s="4"/>
      <c r="M828" s="17">
        <f>26+7-4-3</f>
        <v>26</v>
      </c>
      <c r="N828" s="18">
        <f t="shared" si="90"/>
        <v>1.7305599999999999</v>
      </c>
      <c r="O828" s="64">
        <f t="shared" si="91"/>
        <v>0</v>
      </c>
      <c r="P828" s="65">
        <f t="shared" si="92"/>
        <v>0</v>
      </c>
      <c r="Q828" s="9"/>
      <c r="R828" s="2"/>
      <c r="S828" s="2"/>
    </row>
    <row r="829" spans="1:19">
      <c r="A829" s="42" t="s">
        <v>78</v>
      </c>
      <c r="B829" s="3"/>
      <c r="C829" s="3">
        <v>22</v>
      </c>
      <c r="D829" s="1"/>
      <c r="E829" s="20" t="s">
        <v>82</v>
      </c>
      <c r="F829" s="7" t="s">
        <v>15</v>
      </c>
      <c r="G829" s="7" t="s">
        <v>32</v>
      </c>
      <c r="H829" s="11">
        <v>8.32</v>
      </c>
      <c r="I829" s="8">
        <v>10</v>
      </c>
      <c r="J829" s="26">
        <v>32</v>
      </c>
      <c r="K829" s="10">
        <f t="shared" si="89"/>
        <v>2.6623999999999999</v>
      </c>
      <c r="L829" s="4"/>
      <c r="M829" s="17">
        <f>10+13+9</f>
        <v>32</v>
      </c>
      <c r="N829" s="18">
        <f t="shared" si="90"/>
        <v>2.6623999999999999</v>
      </c>
      <c r="O829" s="19">
        <f t="shared" si="91"/>
        <v>0</v>
      </c>
      <c r="P829" s="13">
        <f t="shared" si="92"/>
        <v>0</v>
      </c>
      <c r="Q829" s="9">
        <v>10</v>
      </c>
      <c r="R829" s="2">
        <v>9</v>
      </c>
      <c r="S829" s="2" t="s">
        <v>213</v>
      </c>
    </row>
    <row r="830" spans="1:19">
      <c r="A830" s="42" t="s">
        <v>78</v>
      </c>
      <c r="B830" s="3"/>
      <c r="C830" s="3">
        <v>23</v>
      </c>
      <c r="D830" s="1"/>
      <c r="E830" s="20" t="s">
        <v>82</v>
      </c>
      <c r="F830" s="7" t="s">
        <v>15</v>
      </c>
      <c r="G830" s="7" t="s">
        <v>32</v>
      </c>
      <c r="H830" s="11">
        <v>8.32</v>
      </c>
      <c r="I830" s="8">
        <v>10.5</v>
      </c>
      <c r="J830" s="26">
        <v>27</v>
      </c>
      <c r="K830" s="10">
        <f t="shared" si="89"/>
        <v>2.3587199999999999</v>
      </c>
      <c r="L830" s="4"/>
      <c r="M830" s="17">
        <v>27</v>
      </c>
      <c r="N830" s="18">
        <f t="shared" si="90"/>
        <v>2.3587200000000004</v>
      </c>
      <c r="O830" s="19">
        <f t="shared" si="91"/>
        <v>0</v>
      </c>
      <c r="P830" s="13">
        <f t="shared" si="92"/>
        <v>0</v>
      </c>
      <c r="Q830" s="9"/>
      <c r="R830" s="2"/>
      <c r="S830" s="2"/>
    </row>
    <row r="831" spans="1:19">
      <c r="A831" s="42" t="s">
        <v>78</v>
      </c>
      <c r="B831" s="3"/>
      <c r="C831" s="3">
        <v>24</v>
      </c>
      <c r="D831" s="1"/>
      <c r="E831" s="20" t="s">
        <v>82</v>
      </c>
      <c r="F831" s="7" t="s">
        <v>15</v>
      </c>
      <c r="G831" s="7" t="s">
        <v>32</v>
      </c>
      <c r="H831" s="11">
        <v>8.32</v>
      </c>
      <c r="I831" s="8">
        <v>10.5</v>
      </c>
      <c r="J831" s="26">
        <v>30</v>
      </c>
      <c r="K831" s="10">
        <f t="shared" si="89"/>
        <v>2.6208</v>
      </c>
      <c r="L831" s="4"/>
      <c r="M831" s="17">
        <v>30</v>
      </c>
      <c r="N831" s="18">
        <f t="shared" si="90"/>
        <v>2.6208</v>
      </c>
      <c r="O831" s="19">
        <f t="shared" si="91"/>
        <v>0</v>
      </c>
      <c r="P831" s="13">
        <f t="shared" si="92"/>
        <v>0</v>
      </c>
      <c r="Q831" s="9"/>
      <c r="R831" s="2"/>
      <c r="S831" s="2"/>
    </row>
    <row r="832" spans="1:19">
      <c r="A832" s="42" t="s">
        <v>78</v>
      </c>
      <c r="B832" s="3"/>
      <c r="C832" s="3">
        <v>25</v>
      </c>
      <c r="D832" s="1"/>
      <c r="E832" s="20" t="s">
        <v>82</v>
      </c>
      <c r="F832" s="7" t="s">
        <v>15</v>
      </c>
      <c r="G832" s="7" t="s">
        <v>32</v>
      </c>
      <c r="H832" s="11">
        <v>8.32</v>
      </c>
      <c r="I832" s="8">
        <v>8.25</v>
      </c>
      <c r="J832" s="26">
        <v>3</v>
      </c>
      <c r="K832" s="10">
        <f t="shared" si="89"/>
        <v>0.20592000000000002</v>
      </c>
      <c r="L832" s="4"/>
      <c r="M832" s="17">
        <v>3</v>
      </c>
      <c r="N832" s="18">
        <f t="shared" si="90"/>
        <v>0.20592000000000002</v>
      </c>
      <c r="O832" s="19">
        <f t="shared" si="91"/>
        <v>0</v>
      </c>
      <c r="P832" s="13">
        <f t="shared" si="92"/>
        <v>0</v>
      </c>
      <c r="Q832" s="9">
        <v>8</v>
      </c>
      <c r="R832" s="2">
        <v>3</v>
      </c>
      <c r="S832" s="2"/>
    </row>
    <row r="833" spans="1:22">
      <c r="A833" s="42" t="s">
        <v>78</v>
      </c>
      <c r="B833" s="3"/>
      <c r="C833" s="3">
        <v>25</v>
      </c>
      <c r="D833" s="1"/>
      <c r="E833" s="20" t="s">
        <v>82</v>
      </c>
      <c r="F833" s="7" t="s">
        <v>15</v>
      </c>
      <c r="G833" s="7" t="s">
        <v>32</v>
      </c>
      <c r="H833" s="11">
        <v>8.32</v>
      </c>
      <c r="I833" s="8">
        <v>9.6</v>
      </c>
      <c r="J833" s="26">
        <v>1</v>
      </c>
      <c r="K833" s="10">
        <f t="shared" si="89"/>
        <v>7.9871999999999999E-2</v>
      </c>
      <c r="L833" s="4"/>
      <c r="M833" s="17">
        <v>1</v>
      </c>
      <c r="N833" s="18">
        <f t="shared" si="90"/>
        <v>7.9871999999999999E-2</v>
      </c>
      <c r="O833" s="19">
        <f t="shared" si="91"/>
        <v>0</v>
      </c>
      <c r="P833" s="13">
        <f t="shared" si="92"/>
        <v>0</v>
      </c>
      <c r="Q833" s="9">
        <v>8</v>
      </c>
      <c r="R833" s="2">
        <v>1</v>
      </c>
      <c r="S833" s="2"/>
    </row>
    <row r="834" spans="1:22">
      <c r="A834" s="42" t="s">
        <v>78</v>
      </c>
      <c r="B834" s="3"/>
      <c r="C834" s="3"/>
      <c r="D834" s="1"/>
      <c r="E834" s="20" t="s">
        <v>134</v>
      </c>
      <c r="F834" s="7" t="s">
        <v>14</v>
      </c>
      <c r="G834" s="7" t="s">
        <v>16</v>
      </c>
      <c r="H834" s="11">
        <v>5.77</v>
      </c>
      <c r="I834" s="8">
        <v>8</v>
      </c>
      <c r="J834" s="26">
        <v>1</v>
      </c>
      <c r="K834" s="10">
        <f t="shared" si="89"/>
        <v>4.616E-2</v>
      </c>
      <c r="L834" s="4"/>
      <c r="M834" s="17">
        <v>1</v>
      </c>
      <c r="N834" s="18">
        <f t="shared" si="90"/>
        <v>4.616E-2</v>
      </c>
      <c r="O834" s="19">
        <f t="shared" si="91"/>
        <v>0</v>
      </c>
      <c r="P834" s="13">
        <f t="shared" si="92"/>
        <v>0</v>
      </c>
      <c r="Q834" s="9">
        <v>8</v>
      </c>
      <c r="R834" s="2">
        <v>1</v>
      </c>
      <c r="S834" s="2" t="s">
        <v>350</v>
      </c>
    </row>
    <row r="835" spans="1:22">
      <c r="A835" s="42" t="s">
        <v>78</v>
      </c>
      <c r="B835" s="3"/>
      <c r="C835" s="3"/>
      <c r="D835" s="1"/>
      <c r="E835" s="20" t="s">
        <v>134</v>
      </c>
      <c r="F835" s="7" t="s">
        <v>14</v>
      </c>
      <c r="G835" s="7" t="s">
        <v>16</v>
      </c>
      <c r="H835" s="11">
        <v>5.77</v>
      </c>
      <c r="I835" s="8">
        <v>8.5</v>
      </c>
      <c r="J835" s="26">
        <v>1</v>
      </c>
      <c r="K835" s="10">
        <f t="shared" ref="K835:K887" si="93">(H835*I835*J835/1000)</f>
        <v>4.9044999999999991E-2</v>
      </c>
      <c r="L835" s="4"/>
      <c r="M835" s="17">
        <v>1</v>
      </c>
      <c r="N835" s="18">
        <f t="shared" ref="N835:N887" si="94">I835*M835*H835/1000</f>
        <v>4.9044999999999991E-2</v>
      </c>
      <c r="O835" s="19">
        <f t="shared" ref="O835:O887" si="95">J835-M835</f>
        <v>0</v>
      </c>
      <c r="P835" s="13">
        <f t="shared" ref="P835:P887" si="96">I835*O835*H835/1000</f>
        <v>0</v>
      </c>
      <c r="Q835" s="9">
        <v>8</v>
      </c>
      <c r="R835" s="2">
        <v>1</v>
      </c>
      <c r="S835" s="2" t="s">
        <v>350</v>
      </c>
    </row>
    <row r="836" spans="1:22">
      <c r="A836" s="42" t="s">
        <v>78</v>
      </c>
      <c r="B836" s="3"/>
      <c r="C836" s="3"/>
      <c r="D836" s="1"/>
      <c r="E836" s="20" t="s">
        <v>134</v>
      </c>
      <c r="F836" s="7" t="s">
        <v>14</v>
      </c>
      <c r="G836" s="7" t="s">
        <v>16</v>
      </c>
      <c r="H836" s="11">
        <v>5.77</v>
      </c>
      <c r="I836" s="8">
        <v>9</v>
      </c>
      <c r="J836" s="26">
        <v>1</v>
      </c>
      <c r="K836" s="10">
        <f t="shared" si="93"/>
        <v>5.192999999999999E-2</v>
      </c>
      <c r="L836" s="4"/>
      <c r="M836" s="17">
        <v>1</v>
      </c>
      <c r="N836" s="18">
        <f t="shared" si="94"/>
        <v>5.192999999999999E-2</v>
      </c>
      <c r="O836" s="19">
        <f t="shared" si="95"/>
        <v>0</v>
      </c>
      <c r="P836" s="13">
        <f t="shared" si="96"/>
        <v>0</v>
      </c>
      <c r="Q836" s="9">
        <v>8</v>
      </c>
      <c r="R836" s="2">
        <v>1</v>
      </c>
      <c r="S836" s="2" t="s">
        <v>350</v>
      </c>
    </row>
    <row r="837" spans="1:22">
      <c r="A837" s="42" t="s">
        <v>78</v>
      </c>
      <c r="B837" s="3"/>
      <c r="C837" s="3"/>
      <c r="D837" s="1"/>
      <c r="E837" s="20" t="s">
        <v>134</v>
      </c>
      <c r="F837" s="7" t="s">
        <v>14</v>
      </c>
      <c r="G837" s="7" t="s">
        <v>16</v>
      </c>
      <c r="H837" s="11">
        <v>5.77</v>
      </c>
      <c r="I837" s="8">
        <v>9.5</v>
      </c>
      <c r="J837" s="26">
        <v>11</v>
      </c>
      <c r="K837" s="10">
        <f t="shared" si="93"/>
        <v>0.60296499999999997</v>
      </c>
      <c r="L837" s="4"/>
      <c r="M837" s="17">
        <v>11</v>
      </c>
      <c r="N837" s="18">
        <f t="shared" si="94"/>
        <v>0.60296499999999997</v>
      </c>
      <c r="O837" s="19">
        <f t="shared" si="95"/>
        <v>0</v>
      </c>
      <c r="P837" s="13">
        <f t="shared" si="96"/>
        <v>0</v>
      </c>
      <c r="Q837" s="9">
        <v>9.1999999999999993</v>
      </c>
      <c r="R837" s="2">
        <v>11</v>
      </c>
      <c r="S837" s="2" t="s">
        <v>218</v>
      </c>
    </row>
    <row r="838" spans="1:22">
      <c r="A838" s="42" t="s">
        <v>78</v>
      </c>
      <c r="B838" s="3"/>
      <c r="C838" s="3">
        <v>50</v>
      </c>
      <c r="D838" s="1"/>
      <c r="E838" s="20" t="s">
        <v>17</v>
      </c>
      <c r="F838" s="7" t="s">
        <v>15</v>
      </c>
      <c r="G838" s="7" t="s">
        <v>22</v>
      </c>
      <c r="H838" s="11">
        <v>10.73</v>
      </c>
      <c r="I838" s="8">
        <v>10</v>
      </c>
      <c r="J838" s="26">
        <v>5</v>
      </c>
      <c r="K838" s="10">
        <f t="shared" si="93"/>
        <v>0.53649999999999998</v>
      </c>
      <c r="L838" s="4"/>
      <c r="M838" s="17">
        <v>5</v>
      </c>
      <c r="N838" s="18">
        <f t="shared" si="94"/>
        <v>0.53649999999999998</v>
      </c>
      <c r="O838" s="19">
        <f t="shared" si="95"/>
        <v>0</v>
      </c>
      <c r="P838" s="13">
        <f t="shared" si="96"/>
        <v>0</v>
      </c>
      <c r="Q838" s="9">
        <v>10</v>
      </c>
      <c r="R838" s="2">
        <v>5</v>
      </c>
      <c r="S838" s="2" t="s">
        <v>203</v>
      </c>
    </row>
    <row r="839" spans="1:22">
      <c r="A839" s="42" t="s">
        <v>78</v>
      </c>
      <c r="B839" s="3"/>
      <c r="C839" s="3">
        <v>50</v>
      </c>
      <c r="D839" s="1"/>
      <c r="E839" s="20" t="s">
        <v>17</v>
      </c>
      <c r="F839" s="7" t="s">
        <v>15</v>
      </c>
      <c r="G839" s="7" t="s">
        <v>22</v>
      </c>
      <c r="H839" s="11">
        <v>10.73</v>
      </c>
      <c r="I839" s="8">
        <v>8</v>
      </c>
      <c r="J839" s="26">
        <v>3</v>
      </c>
      <c r="K839" s="10">
        <f t="shared" si="93"/>
        <v>0.25751999999999997</v>
      </c>
      <c r="L839" s="4"/>
      <c r="M839" s="17">
        <f>1+2</f>
        <v>3</v>
      </c>
      <c r="N839" s="18">
        <f t="shared" si="94"/>
        <v>0.25751999999999997</v>
      </c>
      <c r="O839" s="19">
        <f t="shared" si="95"/>
        <v>0</v>
      </c>
      <c r="P839" s="13">
        <f t="shared" si="96"/>
        <v>0</v>
      </c>
      <c r="Q839" s="9">
        <v>6.5</v>
      </c>
      <c r="R839" s="2">
        <v>1</v>
      </c>
      <c r="S839" s="2" t="s">
        <v>203</v>
      </c>
      <c r="T839">
        <v>8</v>
      </c>
      <c r="U839">
        <v>2</v>
      </c>
      <c r="V839" t="s">
        <v>265</v>
      </c>
    </row>
    <row r="840" spans="1:22">
      <c r="A840" s="42" t="s">
        <v>78</v>
      </c>
      <c r="B840" s="3"/>
      <c r="C840" s="3">
        <v>51</v>
      </c>
      <c r="D840" s="1"/>
      <c r="E840" s="20" t="s">
        <v>17</v>
      </c>
      <c r="F840" s="7" t="s">
        <v>15</v>
      </c>
      <c r="G840" s="7" t="s">
        <v>22</v>
      </c>
      <c r="H840" s="11">
        <v>10.73</v>
      </c>
      <c r="I840" s="8">
        <v>10.6</v>
      </c>
      <c r="J840" s="26">
        <v>3</v>
      </c>
      <c r="K840" s="10">
        <f t="shared" si="93"/>
        <v>0.34121400000000002</v>
      </c>
      <c r="L840" s="4"/>
      <c r="M840" s="17">
        <f>2+1</f>
        <v>3</v>
      </c>
      <c r="N840" s="18">
        <f t="shared" si="94"/>
        <v>0.34121400000000002</v>
      </c>
      <c r="O840" s="19">
        <f t="shared" si="95"/>
        <v>0</v>
      </c>
      <c r="P840" s="13">
        <f t="shared" si="96"/>
        <v>0</v>
      </c>
      <c r="Q840" s="9">
        <v>8.6999999999999993</v>
      </c>
      <c r="R840" s="2">
        <v>2</v>
      </c>
      <c r="S840" s="2" t="s">
        <v>203</v>
      </c>
      <c r="T840">
        <v>9.15</v>
      </c>
      <c r="U840">
        <v>1</v>
      </c>
      <c r="V840" t="s">
        <v>265</v>
      </c>
    </row>
    <row r="841" spans="1:22">
      <c r="A841" s="42" t="s">
        <v>78</v>
      </c>
      <c r="B841" s="3"/>
      <c r="C841" s="3">
        <v>52</v>
      </c>
      <c r="D841" s="1"/>
      <c r="E841" s="20" t="s">
        <v>17</v>
      </c>
      <c r="F841" s="7" t="s">
        <v>15</v>
      </c>
      <c r="G841" s="7" t="s">
        <v>22</v>
      </c>
      <c r="H841" s="11">
        <v>10.73</v>
      </c>
      <c r="I841" s="8">
        <v>12</v>
      </c>
      <c r="J841" s="26">
        <v>2</v>
      </c>
      <c r="K841" s="10">
        <f t="shared" si="93"/>
        <v>0.25751999999999997</v>
      </c>
      <c r="L841" s="4"/>
      <c r="M841" s="17">
        <v>2</v>
      </c>
      <c r="N841" s="18">
        <f t="shared" si="94"/>
        <v>0.25751999999999997</v>
      </c>
      <c r="O841" s="19">
        <f t="shared" si="95"/>
        <v>0</v>
      </c>
      <c r="P841" s="13">
        <f t="shared" si="96"/>
        <v>0</v>
      </c>
      <c r="Q841" s="9">
        <v>11.6</v>
      </c>
      <c r="R841" s="2">
        <v>2</v>
      </c>
      <c r="S841" s="2" t="s">
        <v>203</v>
      </c>
    </row>
    <row r="842" spans="1:22">
      <c r="A842" s="42" t="s">
        <v>78</v>
      </c>
      <c r="B842" s="3"/>
      <c r="C842" s="3">
        <v>66</v>
      </c>
      <c r="D842" s="1"/>
      <c r="E842" s="20" t="s">
        <v>17</v>
      </c>
      <c r="F842" s="7" t="s">
        <v>15</v>
      </c>
      <c r="G842" s="7" t="s">
        <v>28</v>
      </c>
      <c r="H842" s="11">
        <v>12.18</v>
      </c>
      <c r="I842" s="8">
        <v>9.6999999999999993</v>
      </c>
      <c r="J842" s="26">
        <v>1</v>
      </c>
      <c r="K842" s="10">
        <f t="shared" si="93"/>
        <v>0.11814599999999999</v>
      </c>
      <c r="L842" s="4"/>
      <c r="M842" s="17">
        <v>1</v>
      </c>
      <c r="N842" s="18">
        <f t="shared" si="94"/>
        <v>0.11814599999999999</v>
      </c>
      <c r="O842" s="19">
        <f t="shared" si="95"/>
        <v>0</v>
      </c>
      <c r="P842" s="13">
        <f t="shared" si="96"/>
        <v>0</v>
      </c>
      <c r="Q842" s="9">
        <v>8.35</v>
      </c>
      <c r="R842" s="2">
        <v>1</v>
      </c>
      <c r="S842" s="2"/>
    </row>
    <row r="843" spans="1:22">
      <c r="A843" s="42" t="s">
        <v>78</v>
      </c>
      <c r="B843" s="3"/>
      <c r="C843" s="3">
        <v>66</v>
      </c>
      <c r="D843" s="1"/>
      <c r="E843" s="20" t="s">
        <v>17</v>
      </c>
      <c r="F843" s="7" t="s">
        <v>15</v>
      </c>
      <c r="G843" s="7" t="s">
        <v>28</v>
      </c>
      <c r="H843" s="11">
        <v>12.18</v>
      </c>
      <c r="I843" s="8">
        <v>11</v>
      </c>
      <c r="J843" s="26">
        <v>1</v>
      </c>
      <c r="K843" s="10">
        <f t="shared" si="93"/>
        <v>0.13397999999999999</v>
      </c>
      <c r="L843" s="4"/>
      <c r="M843" s="17">
        <v>1</v>
      </c>
      <c r="N843" s="18">
        <f t="shared" si="94"/>
        <v>0.13397999999999999</v>
      </c>
      <c r="O843" s="19">
        <f t="shared" si="95"/>
        <v>0</v>
      </c>
      <c r="P843" s="13">
        <f t="shared" si="96"/>
        <v>0</v>
      </c>
      <c r="Q843" s="9">
        <v>9</v>
      </c>
      <c r="R843" s="2">
        <v>1</v>
      </c>
      <c r="S843" s="2" t="s">
        <v>249</v>
      </c>
    </row>
    <row r="844" spans="1:22">
      <c r="A844" s="42" t="s">
        <v>78</v>
      </c>
      <c r="B844" s="3"/>
      <c r="C844" s="3">
        <v>74</v>
      </c>
      <c r="D844" s="1"/>
      <c r="E844" s="20" t="s">
        <v>17</v>
      </c>
      <c r="F844" s="7" t="s">
        <v>15</v>
      </c>
      <c r="G844" s="7" t="s">
        <v>32</v>
      </c>
      <c r="H844" s="11">
        <v>8.32</v>
      </c>
      <c r="I844" s="8">
        <v>9.5</v>
      </c>
      <c r="J844" s="26">
        <v>5</v>
      </c>
      <c r="K844" s="10">
        <f t="shared" si="93"/>
        <v>0.39520000000000005</v>
      </c>
      <c r="L844" s="4"/>
      <c r="M844" s="17">
        <v>5</v>
      </c>
      <c r="N844" s="18">
        <f t="shared" si="94"/>
        <v>0.3952</v>
      </c>
      <c r="O844" s="19">
        <f t="shared" si="95"/>
        <v>0</v>
      </c>
      <c r="P844" s="13">
        <f t="shared" si="96"/>
        <v>0</v>
      </c>
      <c r="Q844" s="9"/>
      <c r="R844" s="2"/>
      <c r="S844" s="2"/>
    </row>
    <row r="845" spans="1:22">
      <c r="A845" s="42" t="s">
        <v>78</v>
      </c>
      <c r="B845" s="3"/>
      <c r="C845" s="3">
        <v>78</v>
      </c>
      <c r="D845" s="1"/>
      <c r="E845" s="20" t="s">
        <v>17</v>
      </c>
      <c r="F845" s="7" t="s">
        <v>15</v>
      </c>
      <c r="G845" s="7" t="s">
        <v>16</v>
      </c>
      <c r="H845" s="11">
        <v>5.77</v>
      </c>
      <c r="I845" s="8">
        <v>11</v>
      </c>
      <c r="J845" s="26">
        <v>1</v>
      </c>
      <c r="K845" s="10">
        <f t="shared" si="93"/>
        <v>6.3469999999999999E-2</v>
      </c>
      <c r="L845" s="4"/>
      <c r="M845" s="17">
        <v>1</v>
      </c>
      <c r="N845" s="18">
        <f t="shared" si="94"/>
        <v>6.3469999999999999E-2</v>
      </c>
      <c r="O845" s="19">
        <f t="shared" si="95"/>
        <v>0</v>
      </c>
      <c r="P845" s="13">
        <f t="shared" si="96"/>
        <v>0</v>
      </c>
      <c r="Q845" s="9">
        <v>11</v>
      </c>
      <c r="R845" s="2">
        <v>1</v>
      </c>
      <c r="S845" s="2" t="s">
        <v>208</v>
      </c>
    </row>
    <row r="846" spans="1:22">
      <c r="A846" s="42" t="s">
        <v>78</v>
      </c>
      <c r="B846" s="3"/>
      <c r="C846" s="3">
        <v>78</v>
      </c>
      <c r="D846" s="1"/>
      <c r="E846" s="20" t="s">
        <v>17</v>
      </c>
      <c r="F846" s="7" t="s">
        <v>15</v>
      </c>
      <c r="G846" s="7" t="s">
        <v>16</v>
      </c>
      <c r="H846" s="11">
        <v>5.77</v>
      </c>
      <c r="I846" s="8">
        <v>9.5</v>
      </c>
      <c r="J846" s="26">
        <v>1</v>
      </c>
      <c r="K846" s="10">
        <f t="shared" si="93"/>
        <v>5.4814999999999996E-2</v>
      </c>
      <c r="L846" s="4"/>
      <c r="M846" s="17">
        <v>1</v>
      </c>
      <c r="N846" s="18">
        <f t="shared" si="94"/>
        <v>5.4814999999999996E-2</v>
      </c>
      <c r="O846" s="19">
        <f t="shared" si="95"/>
        <v>0</v>
      </c>
      <c r="P846" s="13">
        <f t="shared" si="96"/>
        <v>0</v>
      </c>
      <c r="Q846" s="9"/>
      <c r="R846" s="2">
        <v>1</v>
      </c>
      <c r="S846" s="2" t="s">
        <v>222</v>
      </c>
    </row>
    <row r="847" spans="1:22">
      <c r="A847" s="42" t="s">
        <v>78</v>
      </c>
      <c r="B847" s="3"/>
      <c r="C847" s="3">
        <v>78</v>
      </c>
      <c r="D847" s="1"/>
      <c r="E847" s="20" t="s">
        <v>17</v>
      </c>
      <c r="F847" s="7" t="s">
        <v>15</v>
      </c>
      <c r="G847" s="7" t="s">
        <v>16</v>
      </c>
      <c r="H847" s="11">
        <v>5.77</v>
      </c>
      <c r="I847" s="8">
        <v>8.5</v>
      </c>
      <c r="J847" s="26">
        <v>1</v>
      </c>
      <c r="K847" s="10">
        <f t="shared" si="93"/>
        <v>4.9044999999999991E-2</v>
      </c>
      <c r="L847" s="4"/>
      <c r="M847" s="17">
        <v>1</v>
      </c>
      <c r="N847" s="18">
        <f t="shared" si="94"/>
        <v>4.9044999999999991E-2</v>
      </c>
      <c r="O847" s="19">
        <f t="shared" si="95"/>
        <v>0</v>
      </c>
      <c r="P847" s="13">
        <f t="shared" si="96"/>
        <v>0</v>
      </c>
      <c r="Q847" s="9"/>
      <c r="R847" s="2"/>
      <c r="S847" s="2"/>
    </row>
    <row r="848" spans="1:22">
      <c r="A848" s="42" t="s">
        <v>78</v>
      </c>
      <c r="B848" s="3"/>
      <c r="C848" s="3">
        <v>78</v>
      </c>
      <c r="D848" s="1"/>
      <c r="E848" s="20" t="s">
        <v>17</v>
      </c>
      <c r="F848" s="7" t="s">
        <v>15</v>
      </c>
      <c r="G848" s="7" t="s">
        <v>16</v>
      </c>
      <c r="H848" s="11">
        <v>5.77</v>
      </c>
      <c r="I848" s="8">
        <v>8</v>
      </c>
      <c r="J848" s="26">
        <v>1</v>
      </c>
      <c r="K848" s="10">
        <f t="shared" si="93"/>
        <v>4.616E-2</v>
      </c>
      <c r="L848" s="4"/>
      <c r="M848" s="17"/>
      <c r="N848" s="18">
        <f t="shared" si="94"/>
        <v>0</v>
      </c>
      <c r="O848" s="19">
        <f t="shared" si="95"/>
        <v>1</v>
      </c>
      <c r="P848" s="13">
        <f t="shared" si="96"/>
        <v>4.616E-2</v>
      </c>
      <c r="Q848" s="9"/>
      <c r="R848" s="2"/>
      <c r="S848" s="2"/>
    </row>
    <row r="849" spans="1:21">
      <c r="A849" s="42" t="s">
        <v>78</v>
      </c>
      <c r="B849" s="3"/>
      <c r="C849" s="3">
        <v>78</v>
      </c>
      <c r="D849" s="1"/>
      <c r="E849" s="20" t="s">
        <v>17</v>
      </c>
      <c r="F849" s="7" t="s">
        <v>15</v>
      </c>
      <c r="G849" s="7" t="s">
        <v>16</v>
      </c>
      <c r="H849" s="11">
        <v>5.77</v>
      </c>
      <c r="I849" s="8">
        <v>7</v>
      </c>
      <c r="J849" s="26">
        <v>1</v>
      </c>
      <c r="K849" s="10">
        <f t="shared" si="93"/>
        <v>4.0390000000000002E-2</v>
      </c>
      <c r="L849" s="4"/>
      <c r="M849" s="17"/>
      <c r="N849" s="18">
        <f t="shared" si="94"/>
        <v>0</v>
      </c>
      <c r="O849" s="19">
        <f t="shared" si="95"/>
        <v>1</v>
      </c>
      <c r="P849" s="13">
        <f t="shared" si="96"/>
        <v>4.0390000000000002E-2</v>
      </c>
      <c r="Q849" s="9"/>
      <c r="R849" s="2"/>
      <c r="S849" s="2"/>
    </row>
    <row r="850" spans="1:21">
      <c r="A850" s="42" t="s">
        <v>78</v>
      </c>
      <c r="B850" s="3"/>
      <c r="C850" s="3">
        <v>82</v>
      </c>
      <c r="D850" s="1"/>
      <c r="E850" s="20" t="s">
        <v>17</v>
      </c>
      <c r="F850" s="7" t="s">
        <v>15</v>
      </c>
      <c r="G850" s="7" t="s">
        <v>16</v>
      </c>
      <c r="H850" s="11">
        <v>5.77</v>
      </c>
      <c r="I850" s="8">
        <v>10.5</v>
      </c>
      <c r="J850" s="26">
        <v>4</v>
      </c>
      <c r="K850" s="10">
        <f t="shared" si="93"/>
        <v>0.24233999999999997</v>
      </c>
      <c r="L850" s="4"/>
      <c r="M850" s="17">
        <v>4</v>
      </c>
      <c r="N850" s="18">
        <f t="shared" si="94"/>
        <v>0.24233999999999997</v>
      </c>
      <c r="O850" s="19">
        <f t="shared" si="95"/>
        <v>0</v>
      </c>
      <c r="P850" s="13">
        <f t="shared" si="96"/>
        <v>0</v>
      </c>
      <c r="Q850" s="9"/>
      <c r="R850" s="2"/>
      <c r="S850" s="2"/>
    </row>
    <row r="851" spans="1:21">
      <c r="A851" s="42" t="s">
        <v>78</v>
      </c>
      <c r="B851" s="3"/>
      <c r="C851" s="3">
        <v>82</v>
      </c>
      <c r="D851" s="1"/>
      <c r="E851" s="20" t="s">
        <v>17</v>
      </c>
      <c r="F851" s="7" t="s">
        <v>15</v>
      </c>
      <c r="G851" s="7" t="s">
        <v>16</v>
      </c>
      <c r="H851" s="11">
        <v>5.77</v>
      </c>
      <c r="I851" s="8">
        <v>8.5</v>
      </c>
      <c r="J851" s="26">
        <v>1</v>
      </c>
      <c r="K851" s="10">
        <f t="shared" si="93"/>
        <v>4.9044999999999991E-2</v>
      </c>
      <c r="L851" s="4"/>
      <c r="M851" s="17">
        <v>1</v>
      </c>
      <c r="N851" s="18">
        <f t="shared" si="94"/>
        <v>4.9044999999999991E-2</v>
      </c>
      <c r="O851" s="19">
        <f t="shared" si="95"/>
        <v>0</v>
      </c>
      <c r="P851" s="13">
        <f t="shared" si="96"/>
        <v>0</v>
      </c>
      <c r="Q851" s="9"/>
      <c r="R851" s="2"/>
      <c r="S851" s="2"/>
    </row>
    <row r="852" spans="1:21">
      <c r="A852" s="42" t="s">
        <v>78</v>
      </c>
      <c r="B852" s="3"/>
      <c r="C852" s="3">
        <v>83</v>
      </c>
      <c r="D852" s="1"/>
      <c r="E852" s="20" t="s">
        <v>17</v>
      </c>
      <c r="F852" s="7" t="s">
        <v>15</v>
      </c>
      <c r="G852" s="7" t="s">
        <v>16</v>
      </c>
      <c r="H852" s="11">
        <v>5.77</v>
      </c>
      <c r="I852" s="8">
        <v>11</v>
      </c>
      <c r="J852" s="26">
        <v>3</v>
      </c>
      <c r="K852" s="10">
        <f t="shared" si="93"/>
        <v>0.19041</v>
      </c>
      <c r="L852" s="4"/>
      <c r="M852" s="17">
        <f>1+2</f>
        <v>3</v>
      </c>
      <c r="N852" s="18">
        <f t="shared" si="94"/>
        <v>0.19041</v>
      </c>
      <c r="O852" s="19">
        <f t="shared" si="95"/>
        <v>0</v>
      </c>
      <c r="P852" s="13">
        <f t="shared" si="96"/>
        <v>0</v>
      </c>
      <c r="Q852" s="9">
        <v>11</v>
      </c>
      <c r="R852" s="2">
        <v>2</v>
      </c>
      <c r="S852" s="2" t="s">
        <v>208</v>
      </c>
      <c r="T852" s="2">
        <v>1</v>
      </c>
      <c r="U852" s="2" t="s">
        <v>203</v>
      </c>
    </row>
    <row r="853" spans="1:21">
      <c r="A853" s="42" t="s">
        <v>78</v>
      </c>
      <c r="B853" s="3"/>
      <c r="C853" s="3"/>
      <c r="D853" s="1"/>
      <c r="E853" s="20" t="s">
        <v>17</v>
      </c>
      <c r="F853" s="7" t="s">
        <v>15</v>
      </c>
      <c r="G853" s="7" t="s">
        <v>31</v>
      </c>
      <c r="H853" s="11">
        <v>9.65</v>
      </c>
      <c r="I853" s="8">
        <v>8</v>
      </c>
      <c r="J853" s="26">
        <v>14</v>
      </c>
      <c r="K853" s="10">
        <f t="shared" si="93"/>
        <v>1.0808</v>
      </c>
      <c r="L853" s="4"/>
      <c r="M853" s="17">
        <v>14</v>
      </c>
      <c r="N853" s="18">
        <f t="shared" si="94"/>
        <v>1.0808</v>
      </c>
      <c r="O853" s="19">
        <f t="shared" si="95"/>
        <v>0</v>
      </c>
      <c r="P853" s="13">
        <f t="shared" si="96"/>
        <v>0</v>
      </c>
      <c r="Q853" s="9"/>
      <c r="R853" s="2"/>
      <c r="S853" s="2"/>
    </row>
    <row r="854" spans="1:21">
      <c r="A854" s="42" t="s">
        <v>78</v>
      </c>
      <c r="B854" s="3"/>
      <c r="C854" s="3"/>
      <c r="D854" s="1"/>
      <c r="E854" s="20" t="s">
        <v>152</v>
      </c>
      <c r="F854" s="7" t="s">
        <v>15</v>
      </c>
      <c r="G854" s="7" t="s">
        <v>31</v>
      </c>
      <c r="H854" s="11">
        <v>9.65</v>
      </c>
      <c r="I854" s="8">
        <v>8</v>
      </c>
      <c r="J854" s="26">
        <f>17-3</f>
        <v>14</v>
      </c>
      <c r="K854" s="10">
        <f t="shared" si="93"/>
        <v>1.0808</v>
      </c>
      <c r="L854" s="4"/>
      <c r="M854" s="17"/>
      <c r="N854" s="18">
        <f t="shared" si="94"/>
        <v>0</v>
      </c>
      <c r="O854" s="19">
        <f t="shared" si="95"/>
        <v>14</v>
      </c>
      <c r="P854" s="13">
        <f t="shared" si="96"/>
        <v>1.0808</v>
      </c>
      <c r="Q854" s="9"/>
      <c r="R854" s="2"/>
      <c r="S854" s="2"/>
    </row>
    <row r="855" spans="1:21">
      <c r="A855" s="42" t="s">
        <v>78</v>
      </c>
      <c r="B855" s="3"/>
      <c r="C855" s="3"/>
      <c r="D855" s="1"/>
      <c r="E855" s="20" t="s">
        <v>152</v>
      </c>
      <c r="F855" s="7" t="s">
        <v>15</v>
      </c>
      <c r="G855" s="7" t="s">
        <v>31</v>
      </c>
      <c r="H855" s="11">
        <v>9.65</v>
      </c>
      <c r="I855" s="8">
        <v>8</v>
      </c>
      <c r="J855" s="26">
        <v>3</v>
      </c>
      <c r="K855" s="10">
        <f t="shared" ref="K855" si="97">(H855*I855*J855/1000)</f>
        <v>0.23160000000000003</v>
      </c>
      <c r="L855" s="253" t="s">
        <v>489</v>
      </c>
      <c r="M855" s="17"/>
      <c r="N855" s="18">
        <f t="shared" ref="N855" si="98">I855*M855*H855/1000</f>
        <v>0</v>
      </c>
      <c r="O855" s="19">
        <f t="shared" ref="O855" si="99">J855-M855</f>
        <v>3</v>
      </c>
      <c r="P855" s="13">
        <f t="shared" ref="P855" si="100">I855*O855*H855/1000</f>
        <v>0.23160000000000003</v>
      </c>
      <c r="Q855" s="9"/>
      <c r="R855" s="2"/>
      <c r="S855" s="2"/>
    </row>
    <row r="856" spans="1:21">
      <c r="A856" s="42" t="s">
        <v>78</v>
      </c>
      <c r="B856" s="3"/>
      <c r="C856" s="3"/>
      <c r="D856" s="1"/>
      <c r="E856" s="20" t="s">
        <v>17</v>
      </c>
      <c r="F856" s="7" t="s">
        <v>15</v>
      </c>
      <c r="G856" s="7" t="s">
        <v>31</v>
      </c>
      <c r="H856" s="11">
        <v>9.65</v>
      </c>
      <c r="I856" s="8">
        <v>10</v>
      </c>
      <c r="J856" s="26">
        <v>1</v>
      </c>
      <c r="K856" s="10">
        <f t="shared" si="93"/>
        <v>9.6500000000000002E-2</v>
      </c>
      <c r="L856" s="4"/>
      <c r="M856" s="17">
        <v>1</v>
      </c>
      <c r="N856" s="18">
        <f t="shared" si="94"/>
        <v>9.6500000000000002E-2</v>
      </c>
      <c r="O856" s="19">
        <f t="shared" si="95"/>
        <v>0</v>
      </c>
      <c r="P856" s="13">
        <f t="shared" si="96"/>
        <v>0</v>
      </c>
      <c r="Q856" s="9"/>
      <c r="R856" s="2">
        <v>1</v>
      </c>
      <c r="S856" s="2" t="s">
        <v>278</v>
      </c>
    </row>
    <row r="857" spans="1:21">
      <c r="A857" s="42" t="s">
        <v>78</v>
      </c>
      <c r="B857" s="3"/>
      <c r="C857" s="3">
        <v>80</v>
      </c>
      <c r="D857" s="1"/>
      <c r="E857" s="20" t="s">
        <v>17</v>
      </c>
      <c r="F857" s="7" t="s">
        <v>15</v>
      </c>
      <c r="G857" s="7" t="s">
        <v>16</v>
      </c>
      <c r="H857" s="11">
        <v>5.77</v>
      </c>
      <c r="I857" s="8">
        <v>6.5</v>
      </c>
      <c r="J857" s="26">
        <v>1</v>
      </c>
      <c r="K857" s="10">
        <f t="shared" si="93"/>
        <v>3.7504999999999997E-2</v>
      </c>
      <c r="L857" s="4"/>
      <c r="M857" s="17"/>
      <c r="N857" s="18">
        <f t="shared" si="94"/>
        <v>0</v>
      </c>
      <c r="O857" s="19">
        <f t="shared" si="95"/>
        <v>1</v>
      </c>
      <c r="P857" s="13">
        <f t="shared" si="96"/>
        <v>3.7504999999999997E-2</v>
      </c>
      <c r="Q857" s="9"/>
      <c r="R857" s="2"/>
      <c r="S857" s="2"/>
    </row>
    <row r="858" spans="1:21">
      <c r="A858" s="42" t="s">
        <v>78</v>
      </c>
      <c r="B858" s="3"/>
      <c r="C858" s="3">
        <v>80</v>
      </c>
      <c r="D858" s="1"/>
      <c r="E858" s="20" t="s">
        <v>17</v>
      </c>
      <c r="F858" s="7" t="s">
        <v>15</v>
      </c>
      <c r="G858" s="7" t="s">
        <v>16</v>
      </c>
      <c r="H858" s="11">
        <v>5.77</v>
      </c>
      <c r="I858" s="8">
        <v>7.75</v>
      </c>
      <c r="J858" s="26">
        <v>2</v>
      </c>
      <c r="K858" s="10">
        <f t="shared" si="93"/>
        <v>8.9434999999999987E-2</v>
      </c>
      <c r="L858" s="4"/>
      <c r="M858" s="17"/>
      <c r="N858" s="18">
        <f t="shared" si="94"/>
        <v>0</v>
      </c>
      <c r="O858" s="19">
        <f t="shared" si="95"/>
        <v>2</v>
      </c>
      <c r="P858" s="13">
        <f t="shared" si="96"/>
        <v>8.9434999999999987E-2</v>
      </c>
      <c r="Q858" s="9"/>
      <c r="R858" s="2"/>
      <c r="S858" s="2"/>
    </row>
    <row r="859" spans="1:21">
      <c r="A859" s="42" t="s">
        <v>78</v>
      </c>
      <c r="B859" s="3"/>
      <c r="C859" s="3">
        <v>80</v>
      </c>
      <c r="D859" s="1"/>
      <c r="E859" s="20" t="s">
        <v>17</v>
      </c>
      <c r="F859" s="7" t="s">
        <v>15</v>
      </c>
      <c r="G859" s="7" t="s">
        <v>16</v>
      </c>
      <c r="H859" s="11">
        <v>5.77</v>
      </c>
      <c r="I859" s="8">
        <v>8</v>
      </c>
      <c r="J859" s="26">
        <v>1</v>
      </c>
      <c r="K859" s="10">
        <f t="shared" si="93"/>
        <v>4.616E-2</v>
      </c>
      <c r="L859" s="4"/>
      <c r="M859" s="17">
        <v>1</v>
      </c>
      <c r="N859" s="18">
        <f t="shared" si="94"/>
        <v>4.616E-2</v>
      </c>
      <c r="O859" s="19">
        <f t="shared" si="95"/>
        <v>0</v>
      </c>
      <c r="P859" s="13">
        <f t="shared" si="96"/>
        <v>0</v>
      </c>
      <c r="Q859" s="9"/>
      <c r="R859" s="35">
        <v>1</v>
      </c>
      <c r="S859" s="2" t="s">
        <v>715</v>
      </c>
    </row>
    <row r="860" spans="1:21">
      <c r="A860" s="42" t="s">
        <v>78</v>
      </c>
      <c r="B860" s="3"/>
      <c r="C860" s="3">
        <v>80</v>
      </c>
      <c r="D860" s="1"/>
      <c r="E860" s="20" t="s">
        <v>17</v>
      </c>
      <c r="F860" s="7" t="s">
        <v>15</v>
      </c>
      <c r="G860" s="7" t="s">
        <v>16</v>
      </c>
      <c r="H860" s="11">
        <v>5.77</v>
      </c>
      <c r="I860" s="8">
        <v>8.1999999999999993</v>
      </c>
      <c r="J860" s="26">
        <v>1</v>
      </c>
      <c r="K860" s="10">
        <f t="shared" si="93"/>
        <v>4.7313999999999995E-2</v>
      </c>
      <c r="L860" s="4"/>
      <c r="M860" s="17">
        <v>1</v>
      </c>
      <c r="N860" s="18">
        <f t="shared" si="94"/>
        <v>4.7313999999999995E-2</v>
      </c>
      <c r="O860" s="19">
        <f t="shared" si="95"/>
        <v>0</v>
      </c>
      <c r="P860" s="13">
        <f t="shared" si="96"/>
        <v>0</v>
      </c>
      <c r="Q860" s="9"/>
      <c r="R860" s="35">
        <v>1</v>
      </c>
      <c r="S860" s="2" t="s">
        <v>715</v>
      </c>
    </row>
    <row r="861" spans="1:21">
      <c r="A861" s="42" t="s">
        <v>78</v>
      </c>
      <c r="B861" s="3"/>
      <c r="C861" s="3">
        <v>80</v>
      </c>
      <c r="D861" s="1"/>
      <c r="E861" s="20" t="s">
        <v>17</v>
      </c>
      <c r="F861" s="7" t="s">
        <v>15</v>
      </c>
      <c r="G861" s="7" t="s">
        <v>16</v>
      </c>
      <c r="H861" s="11">
        <v>5.77</v>
      </c>
      <c r="I861" s="8">
        <v>9.3000000000000007</v>
      </c>
      <c r="J861" s="26">
        <v>1</v>
      </c>
      <c r="K861" s="10">
        <f t="shared" si="93"/>
        <v>5.3661E-2</v>
      </c>
      <c r="L861" s="4"/>
      <c r="M861" s="17">
        <v>1</v>
      </c>
      <c r="N861" s="18">
        <f t="shared" si="94"/>
        <v>5.3661E-2</v>
      </c>
      <c r="O861" s="19">
        <f t="shared" si="95"/>
        <v>0</v>
      </c>
      <c r="P861" s="13">
        <f t="shared" si="96"/>
        <v>0</v>
      </c>
      <c r="Q861" s="9"/>
      <c r="R861" s="2">
        <v>1</v>
      </c>
      <c r="S861" s="2" t="s">
        <v>203</v>
      </c>
    </row>
    <row r="862" spans="1:21">
      <c r="A862" s="42" t="s">
        <v>78</v>
      </c>
      <c r="B862" s="3"/>
      <c r="C862" s="3">
        <v>80</v>
      </c>
      <c r="D862" s="1"/>
      <c r="E862" s="20" t="s">
        <v>17</v>
      </c>
      <c r="F862" s="7" t="s">
        <v>15</v>
      </c>
      <c r="G862" s="7" t="s">
        <v>16</v>
      </c>
      <c r="H862" s="11">
        <v>5.77</v>
      </c>
      <c r="I862" s="8">
        <v>9.1999999999999993</v>
      </c>
      <c r="J862" s="26">
        <v>2</v>
      </c>
      <c r="K862" s="10">
        <f t="shared" si="93"/>
        <v>0.10616799999999998</v>
      </c>
      <c r="L862" s="4"/>
      <c r="M862" s="17">
        <v>2</v>
      </c>
      <c r="N862" s="18">
        <f t="shared" si="94"/>
        <v>0.10616799999999998</v>
      </c>
      <c r="O862" s="19">
        <f t="shared" si="95"/>
        <v>0</v>
      </c>
      <c r="P862" s="13">
        <f t="shared" si="96"/>
        <v>0</v>
      </c>
      <c r="Q862" s="9"/>
      <c r="R862" s="2">
        <v>2</v>
      </c>
      <c r="S862" s="2" t="s">
        <v>203</v>
      </c>
    </row>
    <row r="863" spans="1:21">
      <c r="A863" s="42" t="s">
        <v>78</v>
      </c>
      <c r="B863" s="3"/>
      <c r="C863" s="3">
        <v>80</v>
      </c>
      <c r="D863" s="1"/>
      <c r="E863" s="20" t="s">
        <v>17</v>
      </c>
      <c r="F863" s="7" t="s">
        <v>15</v>
      </c>
      <c r="G863" s="7" t="s">
        <v>16</v>
      </c>
      <c r="H863" s="11">
        <v>5.77</v>
      </c>
      <c r="I863" s="8">
        <v>9.3000000000000007</v>
      </c>
      <c r="J863" s="26">
        <v>1</v>
      </c>
      <c r="K863" s="10">
        <f t="shared" si="93"/>
        <v>5.3661E-2</v>
      </c>
      <c r="L863" s="4"/>
      <c r="M863" s="17">
        <v>1</v>
      </c>
      <c r="N863" s="18">
        <f t="shared" si="94"/>
        <v>5.3661E-2</v>
      </c>
      <c r="O863" s="19">
        <f t="shared" si="95"/>
        <v>0</v>
      </c>
      <c r="P863" s="13">
        <f t="shared" si="96"/>
        <v>0</v>
      </c>
      <c r="Q863" s="9"/>
      <c r="R863" s="2">
        <v>1</v>
      </c>
      <c r="S863" s="2" t="s">
        <v>203</v>
      </c>
    </row>
    <row r="864" spans="1:21">
      <c r="A864" s="42" t="s">
        <v>78</v>
      </c>
      <c r="B864" s="3"/>
      <c r="C864" s="3">
        <v>80</v>
      </c>
      <c r="D864" s="1"/>
      <c r="E864" s="20" t="s">
        <v>17</v>
      </c>
      <c r="F864" s="7" t="s">
        <v>15</v>
      </c>
      <c r="G864" s="7" t="s">
        <v>16</v>
      </c>
      <c r="H864" s="11">
        <v>5.77</v>
      </c>
      <c r="I864" s="8">
        <v>9.4</v>
      </c>
      <c r="J864" s="26">
        <v>1</v>
      </c>
      <c r="K864" s="10">
        <f t="shared" si="93"/>
        <v>5.4238000000000001E-2</v>
      </c>
      <c r="L864" s="4"/>
      <c r="M864" s="17">
        <v>1</v>
      </c>
      <c r="N864" s="18">
        <f t="shared" si="94"/>
        <v>5.4238000000000001E-2</v>
      </c>
      <c r="O864" s="19">
        <f t="shared" si="95"/>
        <v>0</v>
      </c>
      <c r="P864" s="13">
        <f t="shared" si="96"/>
        <v>0</v>
      </c>
      <c r="Q864" s="9"/>
      <c r="R864" s="2">
        <v>1</v>
      </c>
      <c r="S864" s="2" t="s">
        <v>203</v>
      </c>
    </row>
    <row r="865" spans="1:21">
      <c r="A865" s="42" t="s">
        <v>78</v>
      </c>
      <c r="B865" s="3"/>
      <c r="C865" s="3">
        <v>80</v>
      </c>
      <c r="D865" s="1"/>
      <c r="E865" s="20" t="s">
        <v>17</v>
      </c>
      <c r="F865" s="7" t="s">
        <v>15</v>
      </c>
      <c r="G865" s="7" t="s">
        <v>16</v>
      </c>
      <c r="H865" s="11">
        <v>5.77</v>
      </c>
      <c r="I865" s="8">
        <v>9.5</v>
      </c>
      <c r="J865" s="26">
        <v>9</v>
      </c>
      <c r="K865" s="10">
        <f t="shared" si="93"/>
        <v>0.49333499999999997</v>
      </c>
      <c r="L865" s="4"/>
      <c r="M865" s="17">
        <v>9</v>
      </c>
      <c r="N865" s="18">
        <f t="shared" si="94"/>
        <v>0.49333499999999997</v>
      </c>
      <c r="O865" s="19">
        <f t="shared" si="95"/>
        <v>0</v>
      </c>
      <c r="P865" s="13">
        <f t="shared" si="96"/>
        <v>0</v>
      </c>
      <c r="Q865" s="9"/>
      <c r="R865" s="2">
        <v>9</v>
      </c>
      <c r="S865" s="2" t="s">
        <v>203</v>
      </c>
    </row>
    <row r="866" spans="1:21">
      <c r="A866" s="42" t="s">
        <v>78</v>
      </c>
      <c r="B866" s="3"/>
      <c r="C866" s="3">
        <v>81</v>
      </c>
      <c r="D866" s="1"/>
      <c r="E866" s="20" t="s">
        <v>17</v>
      </c>
      <c r="F866" s="7" t="s">
        <v>15</v>
      </c>
      <c r="G866" s="7" t="s">
        <v>18</v>
      </c>
      <c r="H866" s="11">
        <v>6.86</v>
      </c>
      <c r="I866" s="8">
        <v>7.5</v>
      </c>
      <c r="J866" s="26">
        <v>1</v>
      </c>
      <c r="K866" s="10">
        <f t="shared" si="93"/>
        <v>5.1450000000000003E-2</v>
      </c>
      <c r="L866" s="4"/>
      <c r="M866" s="17"/>
      <c r="N866" s="18">
        <f t="shared" si="94"/>
        <v>0</v>
      </c>
      <c r="O866" s="19">
        <f t="shared" si="95"/>
        <v>1</v>
      </c>
      <c r="P866" s="13">
        <f t="shared" si="96"/>
        <v>5.1450000000000003E-2</v>
      </c>
      <c r="Q866" s="9"/>
      <c r="R866" s="2"/>
      <c r="S866" s="2"/>
    </row>
    <row r="867" spans="1:21">
      <c r="A867" s="42" t="s">
        <v>78</v>
      </c>
      <c r="B867" s="3"/>
      <c r="C867" s="3">
        <v>81</v>
      </c>
      <c r="D867" s="1"/>
      <c r="E867" s="20" t="s">
        <v>17</v>
      </c>
      <c r="F867" s="7" t="s">
        <v>15</v>
      </c>
      <c r="G867" s="7" t="s">
        <v>18</v>
      </c>
      <c r="H867" s="11">
        <v>6.86</v>
      </c>
      <c r="I867" s="8">
        <v>10.6</v>
      </c>
      <c r="J867" s="26">
        <v>1</v>
      </c>
      <c r="K867" s="10">
        <f t="shared" si="93"/>
        <v>7.2715999999999989E-2</v>
      </c>
      <c r="L867" s="4"/>
      <c r="M867" s="17">
        <v>1</v>
      </c>
      <c r="N867" s="18">
        <f t="shared" si="94"/>
        <v>7.2715999999999989E-2</v>
      </c>
      <c r="O867" s="19">
        <f t="shared" si="95"/>
        <v>0</v>
      </c>
      <c r="P867" s="13">
        <f t="shared" si="96"/>
        <v>0</v>
      </c>
      <c r="Q867" s="9">
        <v>10</v>
      </c>
      <c r="R867" s="2">
        <v>1</v>
      </c>
      <c r="S867" s="2" t="s">
        <v>208</v>
      </c>
    </row>
    <row r="868" spans="1:21">
      <c r="A868" s="42" t="s">
        <v>78</v>
      </c>
      <c r="B868" s="3"/>
      <c r="C868" s="3">
        <v>81</v>
      </c>
      <c r="D868" s="1"/>
      <c r="E868" s="20" t="s">
        <v>17</v>
      </c>
      <c r="F868" s="7" t="s">
        <v>15</v>
      </c>
      <c r="G868" s="7" t="s">
        <v>18</v>
      </c>
      <c r="H868" s="11">
        <v>6.86</v>
      </c>
      <c r="I868" s="8">
        <v>11</v>
      </c>
      <c r="J868" s="26">
        <v>5</v>
      </c>
      <c r="K868" s="10">
        <f t="shared" si="93"/>
        <v>0.37730000000000008</v>
      </c>
      <c r="L868" s="4"/>
      <c r="M868" s="17">
        <v>5</v>
      </c>
      <c r="N868" s="18">
        <f t="shared" si="94"/>
        <v>0.37730000000000002</v>
      </c>
      <c r="O868" s="19">
        <f t="shared" si="95"/>
        <v>0</v>
      </c>
      <c r="P868" s="13">
        <f t="shared" si="96"/>
        <v>0</v>
      </c>
      <c r="Q868" s="9"/>
      <c r="R868" s="2"/>
      <c r="S868" s="2" t="s">
        <v>203</v>
      </c>
    </row>
    <row r="869" spans="1:21">
      <c r="A869" s="42" t="s">
        <v>78</v>
      </c>
      <c r="B869" s="3"/>
      <c r="C869" s="3">
        <v>81</v>
      </c>
      <c r="D869" s="1"/>
      <c r="E869" s="20" t="s">
        <v>17</v>
      </c>
      <c r="F869" s="7" t="s">
        <v>15</v>
      </c>
      <c r="G869" s="7" t="s">
        <v>18</v>
      </c>
      <c r="H869" s="11">
        <v>6.86</v>
      </c>
      <c r="I869" s="8">
        <v>11</v>
      </c>
      <c r="J869" s="26">
        <v>1</v>
      </c>
      <c r="K869" s="10">
        <f t="shared" si="93"/>
        <v>7.5460000000000013E-2</v>
      </c>
      <c r="L869" s="4"/>
      <c r="M869" s="17">
        <v>1</v>
      </c>
      <c r="N869" s="18">
        <f t="shared" si="94"/>
        <v>7.5460000000000013E-2</v>
      </c>
      <c r="O869" s="19">
        <f t="shared" si="95"/>
        <v>0</v>
      </c>
      <c r="P869" s="13">
        <f t="shared" si="96"/>
        <v>0</v>
      </c>
      <c r="Q869" s="9">
        <v>10</v>
      </c>
      <c r="R869" s="2">
        <v>1</v>
      </c>
      <c r="S869" s="2" t="s">
        <v>208</v>
      </c>
    </row>
    <row r="870" spans="1:21">
      <c r="A870" s="42" t="s">
        <v>78</v>
      </c>
      <c r="B870" s="3"/>
      <c r="C870" s="3"/>
      <c r="D870" s="1"/>
      <c r="E870" s="20" t="s">
        <v>24</v>
      </c>
      <c r="F870" s="7" t="s">
        <v>14</v>
      </c>
      <c r="G870" s="7" t="s">
        <v>36</v>
      </c>
      <c r="H870" s="11">
        <v>10.199999999999999</v>
      </c>
      <c r="I870" s="8">
        <v>7.75</v>
      </c>
      <c r="J870" s="26">
        <v>1</v>
      </c>
      <c r="K870" s="10">
        <f t="shared" si="93"/>
        <v>7.9049999999999995E-2</v>
      </c>
      <c r="L870" s="4"/>
      <c r="M870" s="17">
        <v>1</v>
      </c>
      <c r="N870" s="18">
        <f t="shared" si="94"/>
        <v>7.9049999999999995E-2</v>
      </c>
      <c r="O870" s="19">
        <f t="shared" si="95"/>
        <v>0</v>
      </c>
      <c r="P870" s="13">
        <f t="shared" si="96"/>
        <v>0</v>
      </c>
      <c r="Q870" s="33">
        <v>7</v>
      </c>
      <c r="R870" s="2">
        <v>1</v>
      </c>
      <c r="S870" s="2"/>
    </row>
    <row r="871" spans="1:21">
      <c r="A871" s="42" t="s">
        <v>78</v>
      </c>
      <c r="B871" s="3"/>
      <c r="C871" s="3"/>
      <c r="D871" s="1"/>
      <c r="E871" s="20"/>
      <c r="F871" s="7" t="s">
        <v>14</v>
      </c>
      <c r="G871" s="7" t="s">
        <v>36</v>
      </c>
      <c r="H871" s="11">
        <v>10.199999999999999</v>
      </c>
      <c r="I871" s="8">
        <v>8.6999999999999993</v>
      </c>
      <c r="J871" s="26">
        <v>1</v>
      </c>
      <c r="K871" s="10">
        <f t="shared" si="93"/>
        <v>8.8739999999999986E-2</v>
      </c>
      <c r="L871" s="4"/>
      <c r="M871" s="17"/>
      <c r="N871" s="18">
        <f t="shared" si="94"/>
        <v>0</v>
      </c>
      <c r="O871" s="19">
        <f t="shared" si="95"/>
        <v>1</v>
      </c>
      <c r="P871" s="13">
        <f t="shared" si="96"/>
        <v>8.8739999999999986E-2</v>
      </c>
      <c r="Q871" s="9"/>
      <c r="R871" s="2"/>
      <c r="S871" s="2"/>
    </row>
    <row r="872" spans="1:21">
      <c r="A872" s="42" t="s">
        <v>78</v>
      </c>
      <c r="B872" s="3"/>
      <c r="C872" s="3"/>
      <c r="D872" s="1"/>
      <c r="E872" s="20" t="s">
        <v>19</v>
      </c>
      <c r="F872" s="7" t="s">
        <v>14</v>
      </c>
      <c r="G872" s="7" t="s">
        <v>40</v>
      </c>
      <c r="H872" s="11">
        <v>16.5</v>
      </c>
      <c r="I872" s="8">
        <v>7.1</v>
      </c>
      <c r="J872" s="26">
        <v>1</v>
      </c>
      <c r="K872" s="10">
        <f t="shared" si="93"/>
        <v>0.11714999999999999</v>
      </c>
      <c r="L872" s="4"/>
      <c r="M872" s="17"/>
      <c r="N872" s="18">
        <f t="shared" si="94"/>
        <v>0</v>
      </c>
      <c r="O872" s="19">
        <f t="shared" si="95"/>
        <v>1</v>
      </c>
      <c r="P872" s="13">
        <f t="shared" si="96"/>
        <v>0.11714999999999999</v>
      </c>
      <c r="Q872" s="9"/>
      <c r="R872" s="2"/>
      <c r="S872" s="2"/>
    </row>
    <row r="873" spans="1:21">
      <c r="A873" s="42" t="s">
        <v>78</v>
      </c>
      <c r="B873" s="3"/>
      <c r="C873" s="3">
        <v>1</v>
      </c>
      <c r="D873" s="1"/>
      <c r="E873" s="20" t="s">
        <v>17</v>
      </c>
      <c r="F873" s="7" t="s">
        <v>15</v>
      </c>
      <c r="G873" s="7" t="s">
        <v>25</v>
      </c>
      <c r="H873" s="11">
        <v>7.34</v>
      </c>
      <c r="I873" s="8">
        <v>11</v>
      </c>
      <c r="J873" s="26">
        <v>30</v>
      </c>
      <c r="K873" s="10">
        <f t="shared" si="93"/>
        <v>2.4221999999999997</v>
      </c>
      <c r="L873" s="4"/>
      <c r="M873" s="17">
        <v>30</v>
      </c>
      <c r="N873" s="18">
        <f t="shared" si="94"/>
        <v>2.4221999999999997</v>
      </c>
      <c r="O873" s="19">
        <f t="shared" si="95"/>
        <v>0</v>
      </c>
      <c r="P873" s="13">
        <f t="shared" si="96"/>
        <v>0</v>
      </c>
      <c r="Q873" s="9"/>
      <c r="R873" s="2"/>
      <c r="S873" s="2"/>
    </row>
    <row r="874" spans="1:21">
      <c r="A874" s="42" t="s">
        <v>78</v>
      </c>
      <c r="B874" s="3"/>
      <c r="C874" s="3">
        <v>2</v>
      </c>
      <c r="D874" s="1"/>
      <c r="E874" s="20" t="s">
        <v>17</v>
      </c>
      <c r="F874" s="7" t="s">
        <v>15</v>
      </c>
      <c r="G874" s="7" t="s">
        <v>25</v>
      </c>
      <c r="H874" s="11">
        <v>7.34</v>
      </c>
      <c r="I874" s="8">
        <v>11.5</v>
      </c>
      <c r="J874" s="26">
        <v>30</v>
      </c>
      <c r="K874" s="10">
        <f t="shared" si="93"/>
        <v>2.5322999999999998</v>
      </c>
      <c r="L874" s="4"/>
      <c r="M874" s="17">
        <f>30</f>
        <v>30</v>
      </c>
      <c r="N874" s="18">
        <f t="shared" si="94"/>
        <v>2.5322999999999998</v>
      </c>
      <c r="O874" s="19">
        <f t="shared" si="95"/>
        <v>0</v>
      </c>
      <c r="P874" s="13">
        <f t="shared" si="96"/>
        <v>0</v>
      </c>
      <c r="Q874" s="9"/>
      <c r="R874" s="2"/>
      <c r="S874" s="2"/>
    </row>
    <row r="875" spans="1:21">
      <c r="A875" s="42" t="s">
        <v>78</v>
      </c>
      <c r="B875" s="3"/>
      <c r="C875" s="3">
        <v>3</v>
      </c>
      <c r="D875" s="1"/>
      <c r="E875" s="20" t="s">
        <v>17</v>
      </c>
      <c r="F875" s="7" t="s">
        <v>15</v>
      </c>
      <c r="G875" s="7" t="s">
        <v>25</v>
      </c>
      <c r="H875" s="11">
        <v>7.34</v>
      </c>
      <c r="I875" s="8">
        <v>9.5</v>
      </c>
      <c r="J875" s="26">
        <v>7</v>
      </c>
      <c r="K875" s="10">
        <f t="shared" si="93"/>
        <v>0.48810999999999999</v>
      </c>
      <c r="L875" s="4"/>
      <c r="M875" s="17">
        <f>1+6</f>
        <v>7</v>
      </c>
      <c r="N875" s="18">
        <f t="shared" si="94"/>
        <v>0.48810999999999999</v>
      </c>
      <c r="O875" s="19">
        <f t="shared" si="95"/>
        <v>0</v>
      </c>
      <c r="P875" s="13">
        <f t="shared" si="96"/>
        <v>0</v>
      </c>
      <c r="Q875" s="9"/>
      <c r="R875" s="2"/>
      <c r="S875" s="50">
        <v>9.25</v>
      </c>
      <c r="T875">
        <v>6</v>
      </c>
      <c r="U875" s="213" t="s">
        <v>268</v>
      </c>
    </row>
    <row r="876" spans="1:21">
      <c r="A876" s="42" t="s">
        <v>78</v>
      </c>
      <c r="B876" s="3"/>
      <c r="C876" s="3">
        <v>3</v>
      </c>
      <c r="D876" s="1"/>
      <c r="E876" s="20" t="s">
        <v>17</v>
      </c>
      <c r="F876" s="7" t="s">
        <v>15</v>
      </c>
      <c r="G876" s="7" t="s">
        <v>25</v>
      </c>
      <c r="H876" s="11">
        <v>7.34</v>
      </c>
      <c r="I876" s="8">
        <v>10</v>
      </c>
      <c r="J876" s="26">
        <v>5</v>
      </c>
      <c r="K876" s="10">
        <f t="shared" si="93"/>
        <v>0.36699999999999999</v>
      </c>
      <c r="L876" s="4"/>
      <c r="M876" s="17">
        <f>4+1</f>
        <v>5</v>
      </c>
      <c r="N876" s="18">
        <f t="shared" si="94"/>
        <v>0.36699999999999999</v>
      </c>
      <c r="O876" s="19">
        <f t="shared" si="95"/>
        <v>0</v>
      </c>
      <c r="P876" s="13">
        <f t="shared" si="96"/>
        <v>0</v>
      </c>
      <c r="Q876" s="9">
        <v>10.050000000000001</v>
      </c>
      <c r="R876" s="2">
        <v>4</v>
      </c>
      <c r="S876" s="50">
        <v>10</v>
      </c>
      <c r="T876">
        <v>1</v>
      </c>
      <c r="U876" s="213" t="s">
        <v>268</v>
      </c>
    </row>
    <row r="877" spans="1:21">
      <c r="A877" s="42" t="s">
        <v>78</v>
      </c>
      <c r="B877" s="3"/>
      <c r="C877" s="3">
        <v>3</v>
      </c>
      <c r="D877" s="1"/>
      <c r="E877" s="20" t="s">
        <v>17</v>
      </c>
      <c r="F877" s="7" t="s">
        <v>15</v>
      </c>
      <c r="G877" s="7" t="s">
        <v>25</v>
      </c>
      <c r="H877" s="11">
        <v>7.34</v>
      </c>
      <c r="I877" s="8">
        <v>11.5</v>
      </c>
      <c r="J877" s="26">
        <v>6</v>
      </c>
      <c r="K877" s="10">
        <f t="shared" si="93"/>
        <v>0.50646000000000002</v>
      </c>
      <c r="L877" s="4"/>
      <c r="M877" s="17">
        <v>6</v>
      </c>
      <c r="N877" s="18">
        <f t="shared" si="94"/>
        <v>0.50646000000000002</v>
      </c>
      <c r="O877" s="19">
        <f t="shared" si="95"/>
        <v>0</v>
      </c>
      <c r="P877" s="13">
        <f t="shared" si="96"/>
        <v>0</v>
      </c>
      <c r="Q877" s="9"/>
      <c r="R877" s="2"/>
      <c r="S877" s="50">
        <v>11.5</v>
      </c>
      <c r="T877">
        <v>6</v>
      </c>
      <c r="U877" s="213" t="s">
        <v>268</v>
      </c>
    </row>
    <row r="878" spans="1:21">
      <c r="A878" s="42" t="s">
        <v>78</v>
      </c>
      <c r="B878" s="3"/>
      <c r="C878" s="3">
        <v>4</v>
      </c>
      <c r="D878" s="1"/>
      <c r="E878" s="20" t="s">
        <v>17</v>
      </c>
      <c r="F878" s="7" t="s">
        <v>15</v>
      </c>
      <c r="G878" s="7" t="s">
        <v>25</v>
      </c>
      <c r="H878" s="11">
        <v>7.34</v>
      </c>
      <c r="I878" s="8">
        <v>10</v>
      </c>
      <c r="J878" s="26">
        <v>30</v>
      </c>
      <c r="K878" s="10">
        <f t="shared" si="93"/>
        <v>2.202</v>
      </c>
      <c r="L878" s="4"/>
      <c r="M878" s="17">
        <v>30</v>
      </c>
      <c r="N878" s="18">
        <f t="shared" si="94"/>
        <v>2.202</v>
      </c>
      <c r="O878" s="19">
        <f t="shared" si="95"/>
        <v>0</v>
      </c>
      <c r="P878" s="13">
        <f t="shared" si="96"/>
        <v>0</v>
      </c>
      <c r="Q878" s="9"/>
      <c r="R878" s="2"/>
      <c r="S878" s="2"/>
    </row>
    <row r="879" spans="1:21">
      <c r="A879" s="42" t="s">
        <v>78</v>
      </c>
      <c r="B879" s="3"/>
      <c r="C879" s="3">
        <v>5</v>
      </c>
      <c r="D879" s="1"/>
      <c r="E879" s="20" t="s">
        <v>17</v>
      </c>
      <c r="F879" s="7" t="s">
        <v>15</v>
      </c>
      <c r="G879" s="7" t="s">
        <v>25</v>
      </c>
      <c r="H879" s="11">
        <v>7.34</v>
      </c>
      <c r="I879" s="8">
        <v>12</v>
      </c>
      <c r="J879" s="26">
        <v>30</v>
      </c>
      <c r="K879" s="10">
        <f t="shared" si="93"/>
        <v>2.6424000000000003</v>
      </c>
      <c r="L879" s="4"/>
      <c r="M879" s="17">
        <v>30</v>
      </c>
      <c r="N879" s="18">
        <f t="shared" si="94"/>
        <v>2.6424000000000003</v>
      </c>
      <c r="O879" s="19">
        <f t="shared" si="95"/>
        <v>0</v>
      </c>
      <c r="P879" s="13">
        <f t="shared" si="96"/>
        <v>0</v>
      </c>
      <c r="Q879" s="9"/>
      <c r="R879" s="2"/>
      <c r="S879" s="2"/>
    </row>
    <row r="880" spans="1:21">
      <c r="A880" s="42" t="s">
        <v>78</v>
      </c>
      <c r="B880" s="3"/>
      <c r="C880" s="3">
        <v>6</v>
      </c>
      <c r="D880" s="1"/>
      <c r="E880" s="20" t="s">
        <v>17</v>
      </c>
      <c r="F880" s="7" t="s">
        <v>15</v>
      </c>
      <c r="G880" s="7" t="s">
        <v>25</v>
      </c>
      <c r="H880" s="11">
        <v>7.34</v>
      </c>
      <c r="I880" s="8">
        <v>11.55</v>
      </c>
      <c r="J880" s="26">
        <v>25</v>
      </c>
      <c r="K880" s="10">
        <f t="shared" si="93"/>
        <v>2.1194250000000001</v>
      </c>
      <c r="L880" s="4"/>
      <c r="M880" s="17">
        <v>25</v>
      </c>
      <c r="N880" s="18">
        <f t="shared" si="94"/>
        <v>2.1194250000000001</v>
      </c>
      <c r="O880" s="19">
        <f t="shared" si="95"/>
        <v>0</v>
      </c>
      <c r="P880" s="13">
        <f t="shared" si="96"/>
        <v>0</v>
      </c>
      <c r="Q880" s="9"/>
      <c r="R880" s="2"/>
      <c r="S880" s="2"/>
    </row>
    <row r="881" spans="1:21">
      <c r="A881" s="42" t="s">
        <v>78</v>
      </c>
      <c r="B881" s="3"/>
      <c r="C881" s="3">
        <v>7</v>
      </c>
      <c r="D881" s="1"/>
      <c r="E881" s="20" t="s">
        <v>17</v>
      </c>
      <c r="F881" s="7" t="s">
        <v>15</v>
      </c>
      <c r="G881" s="7" t="s">
        <v>25</v>
      </c>
      <c r="H881" s="11">
        <v>7.34</v>
      </c>
      <c r="I881" s="8">
        <v>12</v>
      </c>
      <c r="J881" s="26">
        <v>27</v>
      </c>
      <c r="K881" s="10">
        <f t="shared" si="93"/>
        <v>2.3781599999999998</v>
      </c>
      <c r="L881" s="4"/>
      <c r="M881" s="17">
        <v>27</v>
      </c>
      <c r="N881" s="18">
        <f t="shared" si="94"/>
        <v>2.3781599999999998</v>
      </c>
      <c r="O881" s="19">
        <f t="shared" si="95"/>
        <v>0</v>
      </c>
      <c r="P881" s="13">
        <f t="shared" si="96"/>
        <v>0</v>
      </c>
      <c r="Q881" s="9"/>
      <c r="R881" s="2"/>
      <c r="S881" s="2"/>
    </row>
    <row r="882" spans="1:21">
      <c r="A882" s="42" t="s">
        <v>78</v>
      </c>
      <c r="B882" s="3"/>
      <c r="C882" s="3">
        <v>8</v>
      </c>
      <c r="D882" s="1"/>
      <c r="E882" s="20" t="s">
        <v>17</v>
      </c>
      <c r="F882" s="7" t="s">
        <v>15</v>
      </c>
      <c r="G882" s="7" t="s">
        <v>25</v>
      </c>
      <c r="H882" s="11">
        <v>7.34</v>
      </c>
      <c r="I882" s="8">
        <v>11.55</v>
      </c>
      <c r="J882" s="26">
        <v>24</v>
      </c>
      <c r="K882" s="10">
        <f t="shared" si="93"/>
        <v>2.0346480000000002</v>
      </c>
      <c r="L882" s="4"/>
      <c r="M882" s="17">
        <f>18+6</f>
        <v>24</v>
      </c>
      <c r="N882" s="18">
        <f t="shared" si="94"/>
        <v>2.0346480000000002</v>
      </c>
      <c r="O882" s="19">
        <f t="shared" si="95"/>
        <v>0</v>
      </c>
      <c r="P882" s="13">
        <f t="shared" si="96"/>
        <v>0</v>
      </c>
      <c r="Q882" s="9"/>
      <c r="R882" s="2"/>
      <c r="S882" s="50">
        <v>11.5</v>
      </c>
      <c r="T882">
        <v>6</v>
      </c>
      <c r="U882" s="213" t="s">
        <v>268</v>
      </c>
    </row>
    <row r="883" spans="1:21">
      <c r="A883" s="42" t="s">
        <v>78</v>
      </c>
      <c r="B883" s="3"/>
      <c r="C883" s="3">
        <v>9</v>
      </c>
      <c r="D883" s="1"/>
      <c r="E883" s="20" t="s">
        <v>17</v>
      </c>
      <c r="F883" s="7" t="s">
        <v>15</v>
      </c>
      <c r="G883" s="7" t="s">
        <v>25</v>
      </c>
      <c r="H883" s="11">
        <v>7.34</v>
      </c>
      <c r="I883" s="8">
        <v>9.5</v>
      </c>
      <c r="J883" s="26">
        <v>25</v>
      </c>
      <c r="K883" s="10">
        <f t="shared" si="93"/>
        <v>1.74325</v>
      </c>
      <c r="L883" s="4"/>
      <c r="M883" s="17">
        <v>25</v>
      </c>
      <c r="N883" s="18">
        <f t="shared" si="94"/>
        <v>1.74325</v>
      </c>
      <c r="O883" s="19">
        <f t="shared" si="95"/>
        <v>0</v>
      </c>
      <c r="P883" s="13">
        <f t="shared" si="96"/>
        <v>0</v>
      </c>
      <c r="Q883" s="9"/>
      <c r="R883" s="2"/>
      <c r="S883" s="2"/>
    </row>
    <row r="884" spans="1:21">
      <c r="A884" s="42" t="s">
        <v>78</v>
      </c>
      <c r="B884" s="3"/>
      <c r="C884" s="3">
        <v>10</v>
      </c>
      <c r="D884" s="1"/>
      <c r="E884" s="20" t="s">
        <v>17</v>
      </c>
      <c r="F884" s="7" t="s">
        <v>15</v>
      </c>
      <c r="G884" s="7" t="s">
        <v>25</v>
      </c>
      <c r="H884" s="11">
        <v>7.34</v>
      </c>
      <c r="I884" s="8">
        <v>11.5</v>
      </c>
      <c r="J884" s="26">
        <v>1</v>
      </c>
      <c r="K884" s="10">
        <f t="shared" si="93"/>
        <v>8.4409999999999999E-2</v>
      </c>
      <c r="L884" s="4"/>
      <c r="M884" s="17">
        <v>1</v>
      </c>
      <c r="N884" s="18">
        <f t="shared" si="94"/>
        <v>8.4409999999999999E-2</v>
      </c>
      <c r="O884" s="19">
        <f t="shared" si="95"/>
        <v>0</v>
      </c>
      <c r="P884" s="13">
        <f t="shared" si="96"/>
        <v>0</v>
      </c>
      <c r="Q884" s="9"/>
      <c r="R884" s="2"/>
      <c r="S884" s="50">
        <v>11.5</v>
      </c>
      <c r="T884">
        <v>1</v>
      </c>
      <c r="U884" s="213" t="s">
        <v>268</v>
      </c>
    </row>
    <row r="885" spans="1:21">
      <c r="A885" s="42" t="s">
        <v>78</v>
      </c>
      <c r="B885" s="3"/>
      <c r="C885" s="3">
        <v>10</v>
      </c>
      <c r="D885" s="1"/>
      <c r="E885" s="20" t="s">
        <v>17</v>
      </c>
      <c r="F885" s="7" t="s">
        <v>15</v>
      </c>
      <c r="G885" s="7" t="s">
        <v>25</v>
      </c>
      <c r="H885" s="11">
        <v>7.34</v>
      </c>
      <c r="I885" s="8">
        <v>12</v>
      </c>
      <c r="J885" s="26">
        <v>20</v>
      </c>
      <c r="K885" s="10">
        <f t="shared" si="93"/>
        <v>1.7615999999999998</v>
      </c>
      <c r="L885" s="4"/>
      <c r="M885" s="17">
        <v>20</v>
      </c>
      <c r="N885" s="18">
        <f t="shared" si="94"/>
        <v>1.7615999999999998</v>
      </c>
      <c r="O885" s="19">
        <f t="shared" si="95"/>
        <v>0</v>
      </c>
      <c r="P885" s="13">
        <f t="shared" si="96"/>
        <v>0</v>
      </c>
      <c r="Q885" s="9"/>
      <c r="R885" s="2"/>
      <c r="S885" s="2"/>
    </row>
    <row r="886" spans="1:21">
      <c r="A886" s="42" t="s">
        <v>78</v>
      </c>
      <c r="B886" s="3"/>
      <c r="C886" s="3">
        <v>11</v>
      </c>
      <c r="D886" s="1"/>
      <c r="E886" s="20" t="s">
        <v>17</v>
      </c>
      <c r="F886" s="7" t="s">
        <v>15</v>
      </c>
      <c r="G886" s="7" t="s">
        <v>25</v>
      </c>
      <c r="H886" s="11">
        <v>7.34</v>
      </c>
      <c r="I886" s="8">
        <v>12</v>
      </c>
      <c r="J886" s="26">
        <v>30</v>
      </c>
      <c r="K886" s="10">
        <f t="shared" si="93"/>
        <v>2.6424000000000003</v>
      </c>
      <c r="L886" s="4"/>
      <c r="M886" s="17">
        <f>6+10+14</f>
        <v>30</v>
      </c>
      <c r="N886" s="18">
        <f t="shared" si="94"/>
        <v>2.6424000000000003</v>
      </c>
      <c r="O886" s="19">
        <f t="shared" si="95"/>
        <v>0</v>
      </c>
      <c r="P886" s="13">
        <f t="shared" si="96"/>
        <v>0</v>
      </c>
      <c r="Q886" s="9"/>
      <c r="R886" s="2"/>
      <c r="S886" s="50">
        <v>12</v>
      </c>
      <c r="T886">
        <v>14</v>
      </c>
      <c r="U886" s="213" t="s">
        <v>268</v>
      </c>
    </row>
    <row r="887" spans="1:21">
      <c r="A887" s="42" t="s">
        <v>78</v>
      </c>
      <c r="B887" s="3"/>
      <c r="C887" s="3">
        <v>12</v>
      </c>
      <c r="D887" s="1"/>
      <c r="E887" s="20" t="s">
        <v>17</v>
      </c>
      <c r="F887" s="7" t="s">
        <v>15</v>
      </c>
      <c r="G887" s="7" t="s">
        <v>25</v>
      </c>
      <c r="H887" s="11">
        <v>7.34</v>
      </c>
      <c r="I887" s="8">
        <v>5.8</v>
      </c>
      <c r="J887" s="26">
        <v>1</v>
      </c>
      <c r="K887" s="10">
        <f t="shared" si="93"/>
        <v>4.2571999999999999E-2</v>
      </c>
      <c r="L887" s="4"/>
      <c r="M887" s="17"/>
      <c r="N887" s="18">
        <f t="shared" si="94"/>
        <v>0</v>
      </c>
      <c r="O887" s="19">
        <f t="shared" si="95"/>
        <v>1</v>
      </c>
      <c r="P887" s="13">
        <f t="shared" si="96"/>
        <v>4.2571999999999999E-2</v>
      </c>
      <c r="Q887" s="9"/>
      <c r="R887" s="2"/>
      <c r="S887" s="50"/>
    </row>
    <row r="888" spans="1:21">
      <c r="A888" s="42" t="s">
        <v>78</v>
      </c>
      <c r="B888" s="3"/>
      <c r="C888" s="3">
        <v>12</v>
      </c>
      <c r="D888" s="1"/>
      <c r="E888" s="20" t="s">
        <v>17</v>
      </c>
      <c r="F888" s="7" t="s">
        <v>15</v>
      </c>
      <c r="G888" s="7" t="s">
        <v>25</v>
      </c>
      <c r="H888" s="11">
        <v>7.34</v>
      </c>
      <c r="I888" s="8">
        <v>6.5</v>
      </c>
      <c r="J888" s="26">
        <v>1</v>
      </c>
      <c r="K888" s="10">
        <f t="shared" ref="K888:K939" si="101">(H888*I888*J888/1000)</f>
        <v>4.7710000000000002E-2</v>
      </c>
      <c r="L888" s="4"/>
      <c r="M888" s="17">
        <v>1</v>
      </c>
      <c r="N888" s="18">
        <f t="shared" ref="N888:N939" si="102">I888*M888*H888/1000</f>
        <v>4.7710000000000002E-2</v>
      </c>
      <c r="O888" s="19">
        <f t="shared" ref="O888:O939" si="103">J888-M888</f>
        <v>0</v>
      </c>
      <c r="P888" s="13">
        <f t="shared" ref="P888:P939" si="104">I888*O888*H888/1000</f>
        <v>0</v>
      </c>
      <c r="Q888" s="9"/>
      <c r="R888" s="2"/>
      <c r="S888" s="50">
        <v>6.3</v>
      </c>
      <c r="T888">
        <v>1</v>
      </c>
      <c r="U888" s="213" t="s">
        <v>307</v>
      </c>
    </row>
    <row r="889" spans="1:21">
      <c r="A889" s="42" t="s">
        <v>78</v>
      </c>
      <c r="B889" s="3"/>
      <c r="C889" s="3">
        <v>12</v>
      </c>
      <c r="D889" s="1"/>
      <c r="E889" s="20" t="s">
        <v>17</v>
      </c>
      <c r="F889" s="7" t="s">
        <v>15</v>
      </c>
      <c r="G889" s="7" t="s">
        <v>25</v>
      </c>
      <c r="H889" s="11">
        <v>7.34</v>
      </c>
      <c r="I889" s="8">
        <v>7.2</v>
      </c>
      <c r="J889" s="26">
        <v>1</v>
      </c>
      <c r="K889" s="10">
        <f t="shared" si="101"/>
        <v>5.2847999999999999E-2</v>
      </c>
      <c r="L889" s="4"/>
      <c r="M889" s="17">
        <v>1</v>
      </c>
      <c r="N889" s="18">
        <f t="shared" si="102"/>
        <v>5.2847999999999999E-2</v>
      </c>
      <c r="O889" s="19">
        <f t="shared" si="103"/>
        <v>0</v>
      </c>
      <c r="P889" s="13">
        <f t="shared" si="104"/>
        <v>0</v>
      </c>
      <c r="Q889" s="9"/>
      <c r="R889" s="2"/>
      <c r="S889" s="50">
        <v>6.3</v>
      </c>
      <c r="T889">
        <v>1</v>
      </c>
      <c r="U889" s="213" t="s">
        <v>307</v>
      </c>
    </row>
    <row r="890" spans="1:21">
      <c r="A890" s="42" t="s">
        <v>78</v>
      </c>
      <c r="B890" s="3"/>
      <c r="C890" s="3">
        <v>12</v>
      </c>
      <c r="D890" s="1"/>
      <c r="E890" s="20" t="s">
        <v>17</v>
      </c>
      <c r="F890" s="7" t="s">
        <v>15</v>
      </c>
      <c r="G890" s="7" t="s">
        <v>25</v>
      </c>
      <c r="H890" s="11">
        <v>7.34</v>
      </c>
      <c r="I890" s="8">
        <v>7.5</v>
      </c>
      <c r="J890" s="26">
        <v>1</v>
      </c>
      <c r="K890" s="10">
        <f t="shared" si="101"/>
        <v>5.5049999999999995E-2</v>
      </c>
      <c r="L890" s="4"/>
      <c r="M890" s="17">
        <v>1</v>
      </c>
      <c r="N890" s="18">
        <f t="shared" si="102"/>
        <v>5.5049999999999995E-2</v>
      </c>
      <c r="O890" s="19">
        <f t="shared" si="103"/>
        <v>0</v>
      </c>
      <c r="P890" s="13">
        <f t="shared" si="104"/>
        <v>0</v>
      </c>
      <c r="Q890" s="9"/>
      <c r="R890" s="2"/>
      <c r="S890" s="2"/>
    </row>
    <row r="891" spans="1:21">
      <c r="A891" s="42" t="s">
        <v>78</v>
      </c>
      <c r="B891" s="3"/>
      <c r="C891" s="3">
        <v>12</v>
      </c>
      <c r="D891" s="1"/>
      <c r="E891" s="20" t="s">
        <v>17</v>
      </c>
      <c r="F891" s="7" t="s">
        <v>15</v>
      </c>
      <c r="G891" s="7" t="s">
        <v>25</v>
      </c>
      <c r="H891" s="11">
        <v>7.34</v>
      </c>
      <c r="I891" s="8">
        <v>7.4</v>
      </c>
      <c r="J891" s="26">
        <v>1</v>
      </c>
      <c r="K891" s="10">
        <f t="shared" si="101"/>
        <v>5.4316000000000003E-2</v>
      </c>
      <c r="L891" s="4"/>
      <c r="M891" s="17">
        <v>1</v>
      </c>
      <c r="N891" s="18">
        <f t="shared" si="102"/>
        <v>5.4316000000000003E-2</v>
      </c>
      <c r="O891" s="19">
        <f t="shared" si="103"/>
        <v>0</v>
      </c>
      <c r="P891" s="13">
        <f t="shared" si="104"/>
        <v>0</v>
      </c>
      <c r="Q891" s="9"/>
      <c r="R891" s="2"/>
      <c r="S891" s="50">
        <v>6.3</v>
      </c>
      <c r="T891">
        <v>1</v>
      </c>
      <c r="U891" s="213" t="s">
        <v>307</v>
      </c>
    </row>
    <row r="892" spans="1:21">
      <c r="A892" s="42" t="s">
        <v>78</v>
      </c>
      <c r="B892" s="3"/>
      <c r="C892" s="3">
        <v>13</v>
      </c>
      <c r="D892" s="1"/>
      <c r="E892" s="20" t="s">
        <v>17</v>
      </c>
      <c r="F892" s="7" t="s">
        <v>15</v>
      </c>
      <c r="G892" s="7" t="s">
        <v>25</v>
      </c>
      <c r="H892" s="11">
        <v>7.34</v>
      </c>
      <c r="I892" s="8">
        <v>6.65</v>
      </c>
      <c r="J892" s="26">
        <v>36</v>
      </c>
      <c r="K892" s="10">
        <f t="shared" si="101"/>
        <v>1.757196</v>
      </c>
      <c r="L892" s="4"/>
      <c r="M892" s="17">
        <v>36</v>
      </c>
      <c r="N892" s="18">
        <f t="shared" si="102"/>
        <v>1.757196</v>
      </c>
      <c r="O892" s="19">
        <f t="shared" si="103"/>
        <v>0</v>
      </c>
      <c r="P892" s="13">
        <f t="shared" si="104"/>
        <v>0</v>
      </c>
      <c r="Q892" s="9"/>
      <c r="R892" s="2"/>
      <c r="S892" s="2"/>
    </row>
    <row r="893" spans="1:21">
      <c r="A893" s="42" t="s">
        <v>78</v>
      </c>
      <c r="B893" s="3"/>
      <c r="C893" s="3">
        <v>14</v>
      </c>
      <c r="D893" s="1"/>
      <c r="E893" s="20" t="s">
        <v>17</v>
      </c>
      <c r="F893" s="7" t="s">
        <v>15</v>
      </c>
      <c r="G893" s="7" t="s">
        <v>25</v>
      </c>
      <c r="H893" s="11">
        <v>7.34</v>
      </c>
      <c r="I893" s="8">
        <v>8.5</v>
      </c>
      <c r="J893" s="26">
        <v>21</v>
      </c>
      <c r="K893" s="10">
        <f t="shared" si="101"/>
        <v>1.31019</v>
      </c>
      <c r="L893" s="4"/>
      <c r="M893" s="17">
        <v>21</v>
      </c>
      <c r="N893" s="18">
        <f t="shared" si="102"/>
        <v>1.31019</v>
      </c>
      <c r="O893" s="19">
        <f t="shared" si="103"/>
        <v>0</v>
      </c>
      <c r="P893" s="13">
        <f t="shared" si="104"/>
        <v>0</v>
      </c>
      <c r="Q893" s="9"/>
      <c r="R893" s="2"/>
      <c r="S893" s="2"/>
    </row>
    <row r="894" spans="1:21">
      <c r="A894" s="42" t="s">
        <v>78</v>
      </c>
      <c r="B894" s="3"/>
      <c r="C894" s="3">
        <v>15</v>
      </c>
      <c r="D894" s="1"/>
      <c r="E894" s="20" t="s">
        <v>17</v>
      </c>
      <c r="F894" s="7" t="s">
        <v>15</v>
      </c>
      <c r="G894" s="7" t="s">
        <v>25</v>
      </c>
      <c r="H894" s="11">
        <v>7.34</v>
      </c>
      <c r="I894" s="8">
        <v>11</v>
      </c>
      <c r="J894" s="26">
        <v>9</v>
      </c>
      <c r="K894" s="10">
        <f t="shared" si="101"/>
        <v>0.72665999999999997</v>
      </c>
      <c r="L894" s="4"/>
      <c r="M894" s="17">
        <f>8+1</f>
        <v>9</v>
      </c>
      <c r="N894" s="18">
        <f t="shared" si="102"/>
        <v>0.72665999999999997</v>
      </c>
      <c r="O894" s="19">
        <f t="shared" si="103"/>
        <v>0</v>
      </c>
      <c r="P894" s="13">
        <f t="shared" si="104"/>
        <v>0</v>
      </c>
      <c r="Q894" s="9"/>
      <c r="R894" s="2"/>
      <c r="S894" s="50">
        <v>11</v>
      </c>
      <c r="T894">
        <v>1</v>
      </c>
      <c r="U894" s="213" t="s">
        <v>268</v>
      </c>
    </row>
    <row r="895" spans="1:21">
      <c r="A895" s="42" t="s">
        <v>78</v>
      </c>
      <c r="B895" s="3"/>
      <c r="C895" s="3">
        <v>16</v>
      </c>
      <c r="D895" s="1"/>
      <c r="E895" s="20" t="s">
        <v>17</v>
      </c>
      <c r="F895" s="7" t="s">
        <v>15</v>
      </c>
      <c r="G895" s="7" t="s">
        <v>25</v>
      </c>
      <c r="H895" s="11">
        <v>7.34</v>
      </c>
      <c r="I895" s="8">
        <v>6.65</v>
      </c>
      <c r="J895" s="26">
        <v>8</v>
      </c>
      <c r="K895" s="10">
        <f t="shared" si="101"/>
        <v>0.390488</v>
      </c>
      <c r="L895" s="4"/>
      <c r="M895" s="17">
        <v>8</v>
      </c>
      <c r="N895" s="18">
        <f t="shared" si="102"/>
        <v>0.390488</v>
      </c>
      <c r="O895" s="19">
        <f t="shared" si="103"/>
        <v>0</v>
      </c>
      <c r="P895" s="13">
        <f t="shared" si="104"/>
        <v>0</v>
      </c>
      <c r="Q895" s="9"/>
      <c r="R895" s="2"/>
      <c r="S895" s="2"/>
    </row>
    <row r="896" spans="1:21">
      <c r="A896" s="42" t="s">
        <v>78</v>
      </c>
      <c r="B896" s="3"/>
      <c r="C896" s="3">
        <v>16</v>
      </c>
      <c r="D896" s="1"/>
      <c r="E896" s="20" t="s">
        <v>17</v>
      </c>
      <c r="F896" s="7" t="s">
        <v>15</v>
      </c>
      <c r="G896" s="7" t="s">
        <v>25</v>
      </c>
      <c r="H896" s="11">
        <v>7.34</v>
      </c>
      <c r="I896" s="8">
        <v>7.55</v>
      </c>
      <c r="J896" s="26">
        <v>25</v>
      </c>
      <c r="K896" s="10">
        <f t="shared" si="101"/>
        <v>1.3854249999999999</v>
      </c>
      <c r="L896" s="4"/>
      <c r="M896" s="17">
        <f>23+2</f>
        <v>25</v>
      </c>
      <c r="N896" s="18">
        <f t="shared" si="102"/>
        <v>1.3854249999999999</v>
      </c>
      <c r="O896" s="19">
        <f t="shared" si="103"/>
        <v>0</v>
      </c>
      <c r="P896" s="13">
        <f t="shared" si="104"/>
        <v>0</v>
      </c>
      <c r="Q896" s="9"/>
      <c r="R896" s="2"/>
      <c r="S896" s="50">
        <v>7.5</v>
      </c>
      <c r="T896">
        <v>2</v>
      </c>
      <c r="U896" s="213" t="s">
        <v>307</v>
      </c>
    </row>
    <row r="897" spans="1:21">
      <c r="A897" s="42" t="s">
        <v>78</v>
      </c>
      <c r="B897" s="3"/>
      <c r="C897" s="3"/>
      <c r="D897" s="1"/>
      <c r="E897" s="20" t="s">
        <v>24</v>
      </c>
      <c r="F897" s="7" t="s">
        <v>14</v>
      </c>
      <c r="G897" s="7" t="s">
        <v>25</v>
      </c>
      <c r="H897" s="11">
        <v>7.34</v>
      </c>
      <c r="I897" s="8">
        <v>7.7</v>
      </c>
      <c r="J897" s="26">
        <v>8</v>
      </c>
      <c r="K897" s="10">
        <f t="shared" si="101"/>
        <v>0.45214399999999999</v>
      </c>
      <c r="L897" s="4"/>
      <c r="M897" s="17">
        <v>8</v>
      </c>
      <c r="N897" s="18">
        <f t="shared" si="102"/>
        <v>0.45214399999999999</v>
      </c>
      <c r="O897" s="19">
        <f t="shared" si="103"/>
        <v>0</v>
      </c>
      <c r="P897" s="13">
        <f t="shared" si="104"/>
        <v>0</v>
      </c>
      <c r="Q897" s="9"/>
      <c r="R897" s="2"/>
      <c r="S897" s="2"/>
    </row>
    <row r="898" spans="1:21">
      <c r="A898" s="42" t="s">
        <v>78</v>
      </c>
      <c r="B898" s="3"/>
      <c r="C898" s="3"/>
      <c r="D898" s="1"/>
      <c r="E898" s="20" t="s">
        <v>17</v>
      </c>
      <c r="F898" s="7" t="s">
        <v>15</v>
      </c>
      <c r="G898" s="7" t="s">
        <v>44</v>
      </c>
      <c r="H898" s="11">
        <v>13.4</v>
      </c>
      <c r="I898" s="8">
        <v>11.7</v>
      </c>
      <c r="J898" s="26">
        <v>2</v>
      </c>
      <c r="K898" s="10">
        <f t="shared" si="101"/>
        <v>0.31356000000000001</v>
      </c>
      <c r="L898" s="4"/>
      <c r="M898" s="17">
        <v>2</v>
      </c>
      <c r="N898" s="18">
        <f t="shared" si="102"/>
        <v>0.31356000000000001</v>
      </c>
      <c r="O898" s="19">
        <f t="shared" si="103"/>
        <v>0</v>
      </c>
      <c r="P898" s="13">
        <f t="shared" si="104"/>
        <v>0</v>
      </c>
      <c r="Q898" s="9">
        <v>10.5</v>
      </c>
      <c r="R898" s="2">
        <v>2</v>
      </c>
      <c r="S898" s="2" t="s">
        <v>196</v>
      </c>
    </row>
    <row r="899" spans="1:21">
      <c r="A899" s="42" t="s">
        <v>78</v>
      </c>
      <c r="B899" s="3"/>
      <c r="C899" s="3"/>
      <c r="D899" s="1"/>
      <c r="E899" s="20" t="s">
        <v>17</v>
      </c>
      <c r="F899" s="7" t="s">
        <v>15</v>
      </c>
      <c r="G899" s="7" t="s">
        <v>44</v>
      </c>
      <c r="H899" s="11">
        <v>13.4</v>
      </c>
      <c r="I899" s="8">
        <v>6.1</v>
      </c>
      <c r="J899" s="26">
        <v>1</v>
      </c>
      <c r="K899" s="10">
        <f t="shared" si="101"/>
        <v>8.1739999999999993E-2</v>
      </c>
      <c r="L899" s="4"/>
      <c r="M899" s="17">
        <v>1</v>
      </c>
      <c r="N899" s="18">
        <f t="shared" si="102"/>
        <v>8.1739999999999993E-2</v>
      </c>
      <c r="O899" s="19">
        <f t="shared" si="103"/>
        <v>0</v>
      </c>
      <c r="P899" s="13">
        <f t="shared" si="104"/>
        <v>0</v>
      </c>
      <c r="Q899" s="9"/>
      <c r="R899" s="90">
        <v>1</v>
      </c>
      <c r="S899" s="90" t="s">
        <v>240</v>
      </c>
    </row>
    <row r="900" spans="1:21">
      <c r="A900" s="42" t="s">
        <v>78</v>
      </c>
      <c r="B900" s="3"/>
      <c r="C900" s="3"/>
      <c r="D900" s="1"/>
      <c r="E900" s="20" t="s">
        <v>17</v>
      </c>
      <c r="F900" s="7" t="s">
        <v>15</v>
      </c>
      <c r="G900" s="7" t="s">
        <v>44</v>
      </c>
      <c r="H900" s="11">
        <v>13.4</v>
      </c>
      <c r="I900" s="8">
        <v>6.6</v>
      </c>
      <c r="J900" s="26">
        <v>4</v>
      </c>
      <c r="K900" s="10">
        <f t="shared" si="101"/>
        <v>0.35375999999999996</v>
      </c>
      <c r="L900" s="4"/>
      <c r="M900" s="17">
        <v>4</v>
      </c>
      <c r="N900" s="18">
        <f t="shared" si="102"/>
        <v>0.35375999999999996</v>
      </c>
      <c r="O900" s="19">
        <f t="shared" si="103"/>
        <v>0</v>
      </c>
      <c r="P900" s="13">
        <f t="shared" si="104"/>
        <v>0</v>
      </c>
      <c r="Q900" s="9"/>
      <c r="R900" s="90">
        <v>4</v>
      </c>
      <c r="S900" s="90" t="s">
        <v>240</v>
      </c>
    </row>
    <row r="901" spans="1:21">
      <c r="A901" s="42" t="s">
        <v>78</v>
      </c>
      <c r="B901" s="3"/>
      <c r="C901" s="3"/>
      <c r="D901" s="1"/>
      <c r="E901" s="20" t="s">
        <v>17</v>
      </c>
      <c r="F901" s="7" t="s">
        <v>15</v>
      </c>
      <c r="G901" s="7" t="s">
        <v>44</v>
      </c>
      <c r="H901" s="11">
        <v>13.4</v>
      </c>
      <c r="I901" s="8">
        <v>6.8</v>
      </c>
      <c r="J901" s="26">
        <v>2</v>
      </c>
      <c r="K901" s="10">
        <f t="shared" si="101"/>
        <v>0.18224000000000001</v>
      </c>
      <c r="L901" s="4"/>
      <c r="M901" s="17">
        <v>2</v>
      </c>
      <c r="N901" s="18">
        <f t="shared" si="102"/>
        <v>0.18224000000000001</v>
      </c>
      <c r="O901" s="19">
        <f t="shared" si="103"/>
        <v>0</v>
      </c>
      <c r="P901" s="13">
        <f t="shared" si="104"/>
        <v>0</v>
      </c>
      <c r="Q901" s="9">
        <v>6.7</v>
      </c>
      <c r="R901" s="2">
        <v>2</v>
      </c>
      <c r="S901" s="2" t="s">
        <v>197</v>
      </c>
    </row>
    <row r="902" spans="1:21">
      <c r="A902" s="42" t="s">
        <v>78</v>
      </c>
      <c r="B902" s="3"/>
      <c r="C902" s="3"/>
      <c r="D902" s="1"/>
      <c r="E902" s="20" t="s">
        <v>24</v>
      </c>
      <c r="F902" s="7" t="s">
        <v>14</v>
      </c>
      <c r="G902" s="7" t="s">
        <v>25</v>
      </c>
      <c r="H902" s="11">
        <v>7.34</v>
      </c>
      <c r="I902" s="8">
        <v>11</v>
      </c>
      <c r="J902" s="26">
        <v>1</v>
      </c>
      <c r="K902" s="10">
        <f t="shared" si="101"/>
        <v>8.0739999999999992E-2</v>
      </c>
      <c r="L902" s="4"/>
      <c r="M902" s="17">
        <v>1</v>
      </c>
      <c r="N902" s="18">
        <f t="shared" si="102"/>
        <v>8.0739999999999992E-2</v>
      </c>
      <c r="O902" s="19">
        <f t="shared" si="103"/>
        <v>0</v>
      </c>
      <c r="P902" s="13">
        <f t="shared" si="104"/>
        <v>0</v>
      </c>
      <c r="Q902" s="9">
        <v>10.15</v>
      </c>
      <c r="R902" s="2">
        <v>1</v>
      </c>
      <c r="S902" s="2" t="s">
        <v>335</v>
      </c>
    </row>
    <row r="903" spans="1:21">
      <c r="A903" s="42" t="s">
        <v>78</v>
      </c>
      <c r="B903" s="3"/>
      <c r="C903" s="3"/>
      <c r="D903" s="1"/>
      <c r="E903" s="20" t="s">
        <v>24</v>
      </c>
      <c r="F903" s="7" t="s">
        <v>14</v>
      </c>
      <c r="G903" s="7" t="s">
        <v>25</v>
      </c>
      <c r="H903" s="11">
        <v>7.34</v>
      </c>
      <c r="I903" s="8">
        <v>9.5</v>
      </c>
      <c r="J903" s="26">
        <v>1</v>
      </c>
      <c r="K903" s="10">
        <f t="shared" si="101"/>
        <v>6.973E-2</v>
      </c>
      <c r="L903" s="4"/>
      <c r="M903" s="17">
        <v>1</v>
      </c>
      <c r="N903" s="18">
        <f t="shared" si="102"/>
        <v>6.973E-2</v>
      </c>
      <c r="O903" s="19">
        <f t="shared" si="103"/>
        <v>0</v>
      </c>
      <c r="P903" s="13">
        <f t="shared" si="104"/>
        <v>0</v>
      </c>
      <c r="Q903" s="9">
        <v>7.55</v>
      </c>
      <c r="R903" s="2">
        <v>1</v>
      </c>
      <c r="S903" s="2" t="s">
        <v>335</v>
      </c>
    </row>
    <row r="904" spans="1:21">
      <c r="A904" s="42" t="s">
        <v>78</v>
      </c>
      <c r="B904" s="3"/>
      <c r="C904" s="3"/>
      <c r="D904" s="1"/>
      <c r="E904" s="20" t="s">
        <v>24</v>
      </c>
      <c r="F904" s="7" t="s">
        <v>14</v>
      </c>
      <c r="G904" s="7" t="s">
        <v>25</v>
      </c>
      <c r="H904" s="11">
        <v>7.34</v>
      </c>
      <c r="I904" s="8">
        <v>6.7</v>
      </c>
      <c r="J904" s="26">
        <v>1</v>
      </c>
      <c r="K904" s="10">
        <f t="shared" si="101"/>
        <v>4.9177999999999999E-2</v>
      </c>
      <c r="L904" s="4"/>
      <c r="M904" s="17"/>
      <c r="N904" s="18">
        <f t="shared" si="102"/>
        <v>0</v>
      </c>
      <c r="O904" s="19">
        <f t="shared" si="103"/>
        <v>1</v>
      </c>
      <c r="P904" s="13">
        <f t="shared" si="104"/>
        <v>4.9177999999999999E-2</v>
      </c>
      <c r="Q904" s="9"/>
      <c r="R904" s="2"/>
      <c r="S904" s="2"/>
    </row>
    <row r="905" spans="1:21">
      <c r="A905" s="42" t="s">
        <v>78</v>
      </c>
      <c r="B905" s="3"/>
      <c r="C905" s="3"/>
      <c r="D905" s="1"/>
      <c r="E905" s="20" t="s">
        <v>17</v>
      </c>
      <c r="F905" s="7" t="s">
        <v>15</v>
      </c>
      <c r="G905" s="7" t="s">
        <v>25</v>
      </c>
      <c r="H905" s="11">
        <v>7.34</v>
      </c>
      <c r="I905" s="8">
        <v>9.5</v>
      </c>
      <c r="J905" s="26">
        <v>3</v>
      </c>
      <c r="K905" s="10">
        <f t="shared" si="101"/>
        <v>0.20918999999999999</v>
      </c>
      <c r="L905" s="4"/>
      <c r="M905" s="17">
        <v>3</v>
      </c>
      <c r="N905" s="18">
        <f t="shared" si="102"/>
        <v>0.20918999999999999</v>
      </c>
      <c r="O905" s="19">
        <f t="shared" si="103"/>
        <v>0</v>
      </c>
      <c r="P905" s="13">
        <f t="shared" si="104"/>
        <v>0</v>
      </c>
      <c r="Q905" s="9"/>
      <c r="R905" s="2"/>
      <c r="S905" s="50">
        <v>9.25</v>
      </c>
      <c r="T905">
        <v>3</v>
      </c>
      <c r="U905" s="213" t="s">
        <v>268</v>
      </c>
    </row>
    <row r="906" spans="1:21">
      <c r="A906" s="42" t="s">
        <v>78</v>
      </c>
      <c r="B906" s="3"/>
      <c r="C906" s="3"/>
      <c r="D906" s="1"/>
      <c r="E906" s="20" t="s">
        <v>17</v>
      </c>
      <c r="F906" s="7" t="s">
        <v>15</v>
      </c>
      <c r="G906" s="7" t="s">
        <v>25</v>
      </c>
      <c r="H906" s="11">
        <v>7.34</v>
      </c>
      <c r="I906" s="8">
        <v>9.1999999999999993</v>
      </c>
      <c r="J906" s="26">
        <v>1</v>
      </c>
      <c r="K906" s="10">
        <f t="shared" si="101"/>
        <v>6.7527999999999991E-2</v>
      </c>
      <c r="L906" s="4"/>
      <c r="M906" s="17">
        <v>1</v>
      </c>
      <c r="N906" s="18">
        <f t="shared" si="102"/>
        <v>6.7527999999999991E-2</v>
      </c>
      <c r="O906" s="19">
        <f t="shared" si="103"/>
        <v>0</v>
      </c>
      <c r="P906" s="13">
        <f t="shared" si="104"/>
        <v>0</v>
      </c>
      <c r="Q906" s="9"/>
      <c r="R906" s="2"/>
      <c r="S906" s="50">
        <v>9.25</v>
      </c>
      <c r="T906">
        <v>1</v>
      </c>
      <c r="U906" s="213" t="s">
        <v>268</v>
      </c>
    </row>
    <row r="907" spans="1:21">
      <c r="A907" s="42" t="s">
        <v>78</v>
      </c>
      <c r="B907" s="3"/>
      <c r="C907" s="3"/>
      <c r="D907" s="1"/>
      <c r="E907" s="20" t="s">
        <v>17</v>
      </c>
      <c r="F907" s="7" t="s">
        <v>15</v>
      </c>
      <c r="G907" s="7" t="s">
        <v>25</v>
      </c>
      <c r="H907" s="11">
        <v>7.34</v>
      </c>
      <c r="I907" s="8">
        <v>11.5</v>
      </c>
      <c r="J907" s="26">
        <v>1</v>
      </c>
      <c r="K907" s="10">
        <f t="shared" si="101"/>
        <v>8.4409999999999999E-2</v>
      </c>
      <c r="L907" s="4"/>
      <c r="M907" s="17">
        <v>1</v>
      </c>
      <c r="N907" s="18">
        <f t="shared" si="102"/>
        <v>8.4409999999999999E-2</v>
      </c>
      <c r="O907" s="19">
        <f t="shared" si="103"/>
        <v>0</v>
      </c>
      <c r="P907" s="13">
        <f t="shared" si="104"/>
        <v>0</v>
      </c>
      <c r="Q907" s="9"/>
      <c r="R907" s="2"/>
      <c r="S907" s="50">
        <v>11.5</v>
      </c>
      <c r="T907">
        <v>1</v>
      </c>
      <c r="U907" s="213" t="s">
        <v>268</v>
      </c>
    </row>
    <row r="908" spans="1:21">
      <c r="A908" s="42" t="s">
        <v>78</v>
      </c>
      <c r="B908" s="3"/>
      <c r="C908" s="3"/>
      <c r="D908" s="1"/>
      <c r="E908" s="20" t="s">
        <v>75</v>
      </c>
      <c r="F908" s="7" t="s">
        <v>15</v>
      </c>
      <c r="G908" s="7" t="s">
        <v>32</v>
      </c>
      <c r="H908" s="11">
        <v>8.3000000000000007</v>
      </c>
      <c r="I908" s="8">
        <v>10.5</v>
      </c>
      <c r="J908" s="26">
        <v>1</v>
      </c>
      <c r="K908" s="10">
        <f t="shared" si="101"/>
        <v>8.7150000000000005E-2</v>
      </c>
      <c r="L908" s="4"/>
      <c r="M908" s="17"/>
      <c r="N908" s="18">
        <f t="shared" si="102"/>
        <v>0</v>
      </c>
      <c r="O908" s="19">
        <f t="shared" si="103"/>
        <v>1</v>
      </c>
      <c r="P908" s="13">
        <f t="shared" si="104"/>
        <v>8.7150000000000005E-2</v>
      </c>
      <c r="Q908" s="9"/>
      <c r="R908" s="2"/>
      <c r="S908" s="2"/>
    </row>
    <row r="909" spans="1:21">
      <c r="A909" s="42" t="s">
        <v>78</v>
      </c>
      <c r="B909" s="3"/>
      <c r="C909" s="3"/>
      <c r="D909" s="1"/>
      <c r="E909" s="20" t="s">
        <v>75</v>
      </c>
      <c r="F909" s="7" t="s">
        <v>15</v>
      </c>
      <c r="G909" s="7" t="s">
        <v>32</v>
      </c>
      <c r="H909" s="11">
        <v>8.3000000000000007</v>
      </c>
      <c r="I909" s="8">
        <v>8.25</v>
      </c>
      <c r="J909" s="26">
        <v>1</v>
      </c>
      <c r="K909" s="10">
        <f t="shared" si="101"/>
        <v>6.8475000000000008E-2</v>
      </c>
      <c r="L909" s="4"/>
      <c r="M909" s="17"/>
      <c r="N909" s="18">
        <f t="shared" si="102"/>
        <v>0</v>
      </c>
      <c r="O909" s="19">
        <f t="shared" si="103"/>
        <v>1</v>
      </c>
      <c r="P909" s="13">
        <f t="shared" si="104"/>
        <v>6.8475000000000008E-2</v>
      </c>
      <c r="Q909" s="9"/>
      <c r="R909" s="2"/>
      <c r="S909" s="2"/>
    </row>
    <row r="910" spans="1:21">
      <c r="A910" s="42" t="s">
        <v>78</v>
      </c>
      <c r="B910" s="3"/>
      <c r="C910" s="3"/>
      <c r="D910" s="1"/>
      <c r="E910" s="20" t="s">
        <v>24</v>
      </c>
      <c r="F910" s="7" t="s">
        <v>14</v>
      </c>
      <c r="G910" s="7" t="s">
        <v>32</v>
      </c>
      <c r="H910" s="11">
        <v>8.3000000000000007</v>
      </c>
      <c r="I910" s="8">
        <v>7.5</v>
      </c>
      <c r="J910" s="26">
        <v>1</v>
      </c>
      <c r="K910" s="10">
        <f t="shared" si="101"/>
        <v>6.2250000000000007E-2</v>
      </c>
      <c r="L910" s="4"/>
      <c r="M910" s="17">
        <v>1</v>
      </c>
      <c r="N910" s="18">
        <f t="shared" si="102"/>
        <v>6.2250000000000007E-2</v>
      </c>
      <c r="O910" s="19">
        <f t="shared" si="103"/>
        <v>0</v>
      </c>
      <c r="P910" s="13">
        <f t="shared" si="104"/>
        <v>0</v>
      </c>
      <c r="Q910" s="9"/>
      <c r="R910" s="2"/>
      <c r="S910" s="50">
        <v>7</v>
      </c>
      <c r="T910">
        <v>1</v>
      </c>
      <c r="U910" t="s">
        <v>302</v>
      </c>
    </row>
    <row r="911" spans="1:21">
      <c r="A911" s="42" t="s">
        <v>78</v>
      </c>
      <c r="B911" s="3"/>
      <c r="C911" s="3"/>
      <c r="D911" s="1"/>
      <c r="E911" s="20" t="s">
        <v>24</v>
      </c>
      <c r="F911" s="7" t="s">
        <v>14</v>
      </c>
      <c r="G911" s="7" t="s">
        <v>32</v>
      </c>
      <c r="H911" s="11">
        <v>8.3000000000000007</v>
      </c>
      <c r="I911" s="8">
        <v>11.5</v>
      </c>
      <c r="J911" s="26">
        <v>1</v>
      </c>
      <c r="K911" s="10">
        <f t="shared" si="101"/>
        <v>9.5450000000000007E-2</v>
      </c>
      <c r="L911" s="4"/>
      <c r="M911" s="17">
        <v>1</v>
      </c>
      <c r="N911" s="18">
        <f t="shared" si="102"/>
        <v>9.5450000000000007E-2</v>
      </c>
      <c r="O911" s="19">
        <f t="shared" si="103"/>
        <v>0</v>
      </c>
      <c r="P911" s="13">
        <f t="shared" si="104"/>
        <v>0</v>
      </c>
      <c r="Q911" s="9">
        <v>9.1999999999999993</v>
      </c>
      <c r="R911" s="2">
        <v>1</v>
      </c>
      <c r="S911" s="2"/>
    </row>
    <row r="912" spans="1:21">
      <c r="A912" s="42" t="s">
        <v>78</v>
      </c>
      <c r="B912" s="3"/>
      <c r="C912" s="3"/>
      <c r="D912" s="1"/>
      <c r="E912" s="20" t="s">
        <v>24</v>
      </c>
      <c r="F912" s="7" t="s">
        <v>14</v>
      </c>
      <c r="G912" s="7" t="s">
        <v>32</v>
      </c>
      <c r="H912" s="11">
        <v>8.3000000000000007</v>
      </c>
      <c r="I912" s="8">
        <v>12</v>
      </c>
      <c r="J912" s="26">
        <v>1</v>
      </c>
      <c r="K912" s="10">
        <f t="shared" si="101"/>
        <v>9.9600000000000008E-2</v>
      </c>
      <c r="L912" s="4"/>
      <c r="M912" s="17">
        <v>1</v>
      </c>
      <c r="N912" s="18">
        <f t="shared" si="102"/>
        <v>9.9600000000000008E-2</v>
      </c>
      <c r="O912" s="19">
        <f t="shared" si="103"/>
        <v>0</v>
      </c>
      <c r="P912" s="13">
        <f t="shared" si="104"/>
        <v>0</v>
      </c>
      <c r="Q912" s="9"/>
      <c r="R912" s="2"/>
      <c r="S912" s="50">
        <v>12</v>
      </c>
      <c r="T912">
        <v>1</v>
      </c>
      <c r="U912" t="s">
        <v>302</v>
      </c>
    </row>
    <row r="913" spans="1:20">
      <c r="A913" s="42" t="s">
        <v>78</v>
      </c>
      <c r="B913" s="3"/>
      <c r="C913" s="3"/>
      <c r="D913" s="1"/>
      <c r="E913" s="20" t="s">
        <v>17</v>
      </c>
      <c r="F913" s="7" t="s">
        <v>15</v>
      </c>
      <c r="G913" s="7" t="s">
        <v>32</v>
      </c>
      <c r="H913" s="11">
        <v>8.32</v>
      </c>
      <c r="I913" s="8">
        <v>11.9</v>
      </c>
      <c r="J913" s="26">
        <v>1</v>
      </c>
      <c r="K913" s="10">
        <f t="shared" si="101"/>
        <v>9.9008000000000013E-2</v>
      </c>
      <c r="L913" s="4"/>
      <c r="M913" s="17">
        <v>1</v>
      </c>
      <c r="N913" s="18">
        <f t="shared" si="102"/>
        <v>9.9008000000000013E-2</v>
      </c>
      <c r="O913" s="19">
        <f t="shared" si="103"/>
        <v>0</v>
      </c>
      <c r="P913" s="13">
        <f t="shared" si="104"/>
        <v>0</v>
      </c>
      <c r="Q913" s="9">
        <v>11.9</v>
      </c>
      <c r="R913" s="2">
        <v>1</v>
      </c>
      <c r="S913" s="2" t="s">
        <v>213</v>
      </c>
    </row>
    <row r="914" spans="1:20">
      <c r="A914" s="42" t="s">
        <v>78</v>
      </c>
      <c r="B914" s="3"/>
      <c r="C914" s="3"/>
      <c r="D914" s="1"/>
      <c r="E914" s="20" t="s">
        <v>17</v>
      </c>
      <c r="F914" s="7" t="s">
        <v>15</v>
      </c>
      <c r="G914" s="7" t="s">
        <v>32</v>
      </c>
      <c r="H914" s="11">
        <v>8.32</v>
      </c>
      <c r="I914" s="8">
        <v>9</v>
      </c>
      <c r="J914" s="26">
        <v>1</v>
      </c>
      <c r="K914" s="10">
        <f t="shared" si="101"/>
        <v>7.4880000000000002E-2</v>
      </c>
      <c r="L914" s="4"/>
      <c r="M914" s="17">
        <v>1</v>
      </c>
      <c r="N914" s="18">
        <f t="shared" si="102"/>
        <v>7.4880000000000002E-2</v>
      </c>
      <c r="O914" s="19">
        <f t="shared" si="103"/>
        <v>0</v>
      </c>
      <c r="P914" s="13">
        <f t="shared" si="104"/>
        <v>0</v>
      </c>
      <c r="Q914" s="9">
        <v>8.4</v>
      </c>
      <c r="R914" s="2">
        <v>1</v>
      </c>
      <c r="S914" s="2" t="s">
        <v>213</v>
      </c>
    </row>
    <row r="915" spans="1:20">
      <c r="A915" s="42" t="s">
        <v>78</v>
      </c>
      <c r="B915" s="3"/>
      <c r="C915" s="3"/>
      <c r="D915" s="1"/>
      <c r="E915" s="20" t="s">
        <v>17</v>
      </c>
      <c r="F915" s="7" t="s">
        <v>15</v>
      </c>
      <c r="G915" s="7" t="s">
        <v>32</v>
      </c>
      <c r="H915" s="11">
        <v>8.32</v>
      </c>
      <c r="I915" s="8">
        <v>6</v>
      </c>
      <c r="J915" s="26">
        <v>1</v>
      </c>
      <c r="K915" s="10">
        <f t="shared" si="101"/>
        <v>4.9919999999999999E-2</v>
      </c>
      <c r="L915" s="4"/>
      <c r="M915" s="17">
        <v>1</v>
      </c>
      <c r="N915" s="18">
        <f t="shared" si="102"/>
        <v>4.9919999999999999E-2</v>
      </c>
      <c r="O915" s="19">
        <f t="shared" si="103"/>
        <v>0</v>
      </c>
      <c r="P915" s="13">
        <f t="shared" si="104"/>
        <v>0</v>
      </c>
      <c r="Q915" s="9"/>
      <c r="R915" s="2"/>
      <c r="S915" s="2"/>
    </row>
    <row r="916" spans="1:20">
      <c r="A916" s="42" t="s">
        <v>78</v>
      </c>
      <c r="B916" s="3"/>
      <c r="C916" s="3"/>
      <c r="D916" s="1"/>
      <c r="E916" s="24" t="s">
        <v>17</v>
      </c>
      <c r="F916" s="60" t="s">
        <v>15</v>
      </c>
      <c r="G916" s="60" t="s">
        <v>16</v>
      </c>
      <c r="H916" s="61">
        <v>5.77</v>
      </c>
      <c r="I916" s="21">
        <v>10</v>
      </c>
      <c r="J916" s="22">
        <v>1</v>
      </c>
      <c r="K916" s="62">
        <f t="shared" si="101"/>
        <v>5.7699999999999994E-2</v>
      </c>
      <c r="L916" s="253" t="s">
        <v>135</v>
      </c>
      <c r="M916" s="17"/>
      <c r="N916" s="18">
        <f t="shared" si="102"/>
        <v>0</v>
      </c>
      <c r="O916" s="19">
        <f t="shared" si="103"/>
        <v>1</v>
      </c>
      <c r="P916" s="13">
        <f t="shared" si="104"/>
        <v>5.7699999999999994E-2</v>
      </c>
      <c r="Q916" s="9"/>
      <c r="R916" s="2"/>
      <c r="S916" s="2"/>
    </row>
    <row r="917" spans="1:20">
      <c r="A917" s="42" t="s">
        <v>78</v>
      </c>
      <c r="B917" s="3"/>
      <c r="C917" s="3"/>
      <c r="D917" s="1"/>
      <c r="E917" s="20" t="s">
        <v>81</v>
      </c>
      <c r="F917" s="7" t="s">
        <v>14</v>
      </c>
      <c r="G917" s="7" t="s">
        <v>133</v>
      </c>
      <c r="H917" s="11">
        <v>7.93</v>
      </c>
      <c r="I917" s="8">
        <v>7.8</v>
      </c>
      <c r="J917" s="26">
        <v>1</v>
      </c>
      <c r="K917" s="10">
        <f t="shared" si="101"/>
        <v>6.1853999999999999E-2</v>
      </c>
      <c r="L917" s="4"/>
      <c r="M917" s="17"/>
      <c r="N917" s="18">
        <f t="shared" si="102"/>
        <v>0</v>
      </c>
      <c r="O917" s="19">
        <f t="shared" si="103"/>
        <v>1</v>
      </c>
      <c r="P917" s="13">
        <f t="shared" si="104"/>
        <v>6.1853999999999999E-2</v>
      </c>
      <c r="Q917" s="9"/>
      <c r="R917" s="2"/>
      <c r="S917" s="2"/>
    </row>
    <row r="918" spans="1:20">
      <c r="A918" s="42" t="s">
        <v>84</v>
      </c>
      <c r="B918" s="3" t="s">
        <v>115</v>
      </c>
      <c r="C918" s="3">
        <v>1</v>
      </c>
      <c r="D918" s="1"/>
      <c r="E918" s="20" t="s">
        <v>81</v>
      </c>
      <c r="F918" s="7" t="s">
        <v>14</v>
      </c>
      <c r="G918" s="7" t="s">
        <v>31</v>
      </c>
      <c r="H918" s="11">
        <v>9.65</v>
      </c>
      <c r="I918" s="8">
        <v>12.25</v>
      </c>
      <c r="J918" s="26">
        <v>27</v>
      </c>
      <c r="K918" s="10">
        <f t="shared" si="101"/>
        <v>3.1917375000000003</v>
      </c>
      <c r="L918" s="4"/>
      <c r="M918" s="17">
        <v>27</v>
      </c>
      <c r="N918" s="18">
        <f t="shared" si="102"/>
        <v>3.1917375000000003</v>
      </c>
      <c r="O918" s="19">
        <f t="shared" si="103"/>
        <v>0</v>
      </c>
      <c r="P918" s="13">
        <f t="shared" si="104"/>
        <v>0</v>
      </c>
      <c r="Q918" s="9"/>
      <c r="R918" s="2"/>
      <c r="S918" s="2"/>
    </row>
    <row r="919" spans="1:20">
      <c r="A919" s="42" t="s">
        <v>84</v>
      </c>
      <c r="B919" s="3" t="s">
        <v>115</v>
      </c>
      <c r="C919" s="3">
        <v>2</v>
      </c>
      <c r="D919" s="1"/>
      <c r="E919" s="20" t="s">
        <v>81</v>
      </c>
      <c r="F919" s="7" t="s">
        <v>14</v>
      </c>
      <c r="G919" s="7" t="s">
        <v>31</v>
      </c>
      <c r="H919" s="11">
        <v>9.65</v>
      </c>
      <c r="I919" s="8">
        <v>12</v>
      </c>
      <c r="J919" s="26">
        <v>4</v>
      </c>
      <c r="K919" s="10">
        <f t="shared" si="101"/>
        <v>0.46320000000000006</v>
      </c>
      <c r="L919" s="4"/>
      <c r="M919" s="17">
        <v>4</v>
      </c>
      <c r="N919" s="18">
        <f t="shared" si="102"/>
        <v>0.46320000000000006</v>
      </c>
      <c r="O919" s="19">
        <f t="shared" si="103"/>
        <v>0</v>
      </c>
      <c r="P919" s="13">
        <f t="shared" si="104"/>
        <v>0</v>
      </c>
      <c r="Q919" s="9"/>
      <c r="R919" s="2"/>
      <c r="S919" s="2"/>
    </row>
    <row r="920" spans="1:20">
      <c r="A920" s="42" t="s">
        <v>84</v>
      </c>
      <c r="B920" s="3" t="s">
        <v>115</v>
      </c>
      <c r="C920" s="3">
        <v>2</v>
      </c>
      <c r="D920" s="1"/>
      <c r="E920" s="20" t="s">
        <v>81</v>
      </c>
      <c r="F920" s="7" t="s">
        <v>14</v>
      </c>
      <c r="G920" s="7" t="s">
        <v>31</v>
      </c>
      <c r="H920" s="11">
        <v>9.65</v>
      </c>
      <c r="I920" s="8">
        <v>11.5</v>
      </c>
      <c r="J920" s="26">
        <v>9</v>
      </c>
      <c r="K920" s="10">
        <f t="shared" si="101"/>
        <v>0.99877500000000008</v>
      </c>
      <c r="L920" s="4"/>
      <c r="M920" s="17">
        <v>9</v>
      </c>
      <c r="N920" s="18">
        <f t="shared" si="102"/>
        <v>0.99877500000000008</v>
      </c>
      <c r="O920" s="19">
        <f t="shared" si="103"/>
        <v>0</v>
      </c>
      <c r="P920" s="13">
        <f t="shared" si="104"/>
        <v>0</v>
      </c>
      <c r="Q920" s="9"/>
      <c r="R920" s="2"/>
      <c r="S920" s="2"/>
    </row>
    <row r="921" spans="1:20">
      <c r="A921" s="42" t="s">
        <v>84</v>
      </c>
      <c r="B921" s="3" t="s">
        <v>115</v>
      </c>
      <c r="C921" s="3">
        <v>3</v>
      </c>
      <c r="D921" s="1"/>
      <c r="E921" s="20" t="s">
        <v>81</v>
      </c>
      <c r="F921" s="7" t="s">
        <v>14</v>
      </c>
      <c r="G921" s="7" t="s">
        <v>31</v>
      </c>
      <c r="H921" s="11">
        <v>9.65</v>
      </c>
      <c r="I921" s="8">
        <v>11</v>
      </c>
      <c r="J921" s="26">
        <v>7</v>
      </c>
      <c r="K921" s="10">
        <f t="shared" si="101"/>
        <v>0.7430500000000001</v>
      </c>
      <c r="L921" s="4"/>
      <c r="M921" s="17">
        <f>7+10-10</f>
        <v>7</v>
      </c>
      <c r="N921" s="18">
        <f t="shared" si="102"/>
        <v>0.7430500000000001</v>
      </c>
      <c r="O921" s="19">
        <f t="shared" si="103"/>
        <v>0</v>
      </c>
      <c r="P921" s="13">
        <f t="shared" si="104"/>
        <v>0</v>
      </c>
      <c r="Q921" s="9"/>
      <c r="R921" s="2"/>
      <c r="S921" s="2"/>
    </row>
    <row r="922" spans="1:20">
      <c r="A922" s="42" t="s">
        <v>84</v>
      </c>
      <c r="B922" s="3" t="s">
        <v>115</v>
      </c>
      <c r="C922" s="3">
        <v>3</v>
      </c>
      <c r="D922" s="1"/>
      <c r="E922" s="20" t="s">
        <v>81</v>
      </c>
      <c r="F922" s="7" t="s">
        <v>14</v>
      </c>
      <c r="G922" s="7" t="s">
        <v>31</v>
      </c>
      <c r="H922" s="11">
        <v>9.65</v>
      </c>
      <c r="I922" s="8">
        <v>9.5</v>
      </c>
      <c r="J922" s="26">
        <v>1</v>
      </c>
      <c r="K922" s="10">
        <f t="shared" si="101"/>
        <v>9.1674999999999993E-2</v>
      </c>
      <c r="L922" s="4"/>
      <c r="M922" s="17"/>
      <c r="N922" s="18">
        <f t="shared" si="102"/>
        <v>0</v>
      </c>
      <c r="O922" s="19">
        <f t="shared" si="103"/>
        <v>1</v>
      </c>
      <c r="P922" s="13">
        <f t="shared" si="104"/>
        <v>9.1674999999999993E-2</v>
      </c>
      <c r="Q922" s="9"/>
      <c r="R922" s="2"/>
      <c r="S922" s="2"/>
    </row>
    <row r="923" spans="1:20">
      <c r="A923" s="42" t="s">
        <v>84</v>
      </c>
      <c r="B923" s="3" t="s">
        <v>115</v>
      </c>
      <c r="C923" s="3">
        <v>4</v>
      </c>
      <c r="D923" s="1"/>
      <c r="E923" s="20" t="s">
        <v>81</v>
      </c>
      <c r="F923" s="7" t="s">
        <v>14</v>
      </c>
      <c r="G923" s="7" t="s">
        <v>31</v>
      </c>
      <c r="H923" s="11">
        <v>9.65</v>
      </c>
      <c r="I923" s="8">
        <v>12.25</v>
      </c>
      <c r="J923" s="26">
        <v>19</v>
      </c>
      <c r="K923" s="10">
        <f t="shared" si="101"/>
        <v>2.2460374999999999</v>
      </c>
      <c r="L923" s="4"/>
      <c r="M923" s="17">
        <f>10+3+5</f>
        <v>18</v>
      </c>
      <c r="N923" s="18">
        <f t="shared" si="102"/>
        <v>2.1278250000000001</v>
      </c>
      <c r="O923" s="19">
        <f t="shared" si="103"/>
        <v>1</v>
      </c>
      <c r="P923" s="13">
        <f t="shared" si="104"/>
        <v>0.11821250000000001</v>
      </c>
      <c r="Q923" s="9" t="s">
        <v>255</v>
      </c>
      <c r="R923" s="2">
        <v>13</v>
      </c>
      <c r="S923" s="2">
        <v>5</v>
      </c>
      <c r="T923" s="213" t="s">
        <v>334</v>
      </c>
    </row>
    <row r="924" spans="1:20">
      <c r="A924" s="42" t="s">
        <v>84</v>
      </c>
      <c r="B924" s="3" t="s">
        <v>115</v>
      </c>
      <c r="C924" s="3">
        <v>5</v>
      </c>
      <c r="D924" s="1"/>
      <c r="E924" s="20" t="s">
        <v>81</v>
      </c>
      <c r="F924" s="7" t="s">
        <v>14</v>
      </c>
      <c r="G924" s="7" t="s">
        <v>31</v>
      </c>
      <c r="H924" s="11">
        <v>9.65</v>
      </c>
      <c r="I924" s="8">
        <v>13.1</v>
      </c>
      <c r="J924" s="26">
        <v>24</v>
      </c>
      <c r="K924" s="10">
        <f t="shared" si="101"/>
        <v>3.03396</v>
      </c>
      <c r="L924" s="4"/>
      <c r="M924" s="17">
        <v>24</v>
      </c>
      <c r="N924" s="18">
        <f t="shared" si="102"/>
        <v>3.03396</v>
      </c>
      <c r="O924" s="19">
        <f t="shared" si="103"/>
        <v>0</v>
      </c>
      <c r="P924" s="13">
        <f t="shared" si="104"/>
        <v>0</v>
      </c>
      <c r="Q924" s="9"/>
      <c r="R924" s="2"/>
      <c r="S924" s="2"/>
    </row>
    <row r="925" spans="1:20">
      <c r="A925" s="42" t="s">
        <v>84</v>
      </c>
      <c r="B925" s="3" t="s">
        <v>115</v>
      </c>
      <c r="C925" s="3">
        <v>6</v>
      </c>
      <c r="D925" s="1"/>
      <c r="E925" s="20" t="s">
        <v>81</v>
      </c>
      <c r="F925" s="7" t="s">
        <v>14</v>
      </c>
      <c r="G925" s="7" t="s">
        <v>31</v>
      </c>
      <c r="H925" s="11">
        <v>9.65</v>
      </c>
      <c r="I925" s="8">
        <v>12</v>
      </c>
      <c r="J925" s="26">
        <v>25</v>
      </c>
      <c r="K925" s="10">
        <f t="shared" si="101"/>
        <v>2.8950000000000005</v>
      </c>
      <c r="L925" s="4"/>
      <c r="M925" s="17">
        <v>25</v>
      </c>
      <c r="N925" s="18">
        <f t="shared" si="102"/>
        <v>2.895</v>
      </c>
      <c r="O925" s="19">
        <f t="shared" si="103"/>
        <v>0</v>
      </c>
      <c r="P925" s="13">
        <f t="shared" si="104"/>
        <v>0</v>
      </c>
      <c r="Q925" s="9"/>
      <c r="R925" s="2"/>
      <c r="S925" s="2"/>
    </row>
    <row r="926" spans="1:20">
      <c r="A926" s="42" t="s">
        <v>84</v>
      </c>
      <c r="B926" s="3" t="s">
        <v>115</v>
      </c>
      <c r="C926" s="3">
        <v>7</v>
      </c>
      <c r="D926" s="1"/>
      <c r="E926" s="20" t="s">
        <v>81</v>
      </c>
      <c r="F926" s="7" t="s">
        <v>14</v>
      </c>
      <c r="G926" s="7" t="s">
        <v>31</v>
      </c>
      <c r="H926" s="11">
        <v>9.65</v>
      </c>
      <c r="I926" s="8">
        <v>12.25</v>
      </c>
      <c r="J926" s="26">
        <v>27</v>
      </c>
      <c r="K926" s="10">
        <f t="shared" si="101"/>
        <v>3.1917375000000003</v>
      </c>
      <c r="L926" s="4"/>
      <c r="M926" s="17">
        <v>27</v>
      </c>
      <c r="N926" s="18">
        <f t="shared" si="102"/>
        <v>3.1917375000000003</v>
      </c>
      <c r="O926" s="19">
        <f t="shared" si="103"/>
        <v>0</v>
      </c>
      <c r="P926" s="13">
        <f t="shared" si="104"/>
        <v>0</v>
      </c>
      <c r="Q926" s="9"/>
      <c r="R926" s="2"/>
      <c r="S926" s="2"/>
    </row>
    <row r="927" spans="1:20">
      <c r="A927" s="42" t="s">
        <v>84</v>
      </c>
      <c r="B927" s="3" t="s">
        <v>115</v>
      </c>
      <c r="C927" s="3">
        <v>8</v>
      </c>
      <c r="D927" s="1"/>
      <c r="E927" s="20" t="s">
        <v>81</v>
      </c>
      <c r="F927" s="7" t="s">
        <v>14</v>
      </c>
      <c r="G927" s="7" t="s">
        <v>31</v>
      </c>
      <c r="H927" s="11">
        <v>9.65</v>
      </c>
      <c r="I927" s="8">
        <v>11.5</v>
      </c>
      <c r="J927" s="26">
        <v>27</v>
      </c>
      <c r="K927" s="10">
        <f t="shared" si="101"/>
        <v>2.9963250000000001</v>
      </c>
      <c r="L927" s="4"/>
      <c r="M927" s="17">
        <f>27+13-13</f>
        <v>27</v>
      </c>
      <c r="N927" s="18">
        <f t="shared" si="102"/>
        <v>2.9963250000000001</v>
      </c>
      <c r="O927" s="19">
        <f t="shared" si="103"/>
        <v>0</v>
      </c>
      <c r="P927" s="13">
        <f t="shared" si="104"/>
        <v>0</v>
      </c>
      <c r="Q927" s="9"/>
      <c r="R927" s="2"/>
      <c r="S927" s="2"/>
    </row>
    <row r="928" spans="1:20">
      <c r="A928" s="42" t="s">
        <v>84</v>
      </c>
      <c r="B928" s="3" t="s">
        <v>115</v>
      </c>
      <c r="C928" s="3">
        <v>9</v>
      </c>
      <c r="D928" s="1"/>
      <c r="E928" s="20" t="s">
        <v>81</v>
      </c>
      <c r="F928" s="7" t="s">
        <v>14</v>
      </c>
      <c r="G928" s="7" t="s">
        <v>31</v>
      </c>
      <c r="H928" s="11">
        <v>9.65</v>
      </c>
      <c r="I928" s="8">
        <v>12</v>
      </c>
      <c r="J928" s="26">
        <v>14</v>
      </c>
      <c r="K928" s="10">
        <f t="shared" si="101"/>
        <v>1.6212000000000002</v>
      </c>
      <c r="L928" s="4"/>
      <c r="M928" s="17">
        <f>14+3-3</f>
        <v>14</v>
      </c>
      <c r="N928" s="18">
        <f t="shared" si="102"/>
        <v>1.6212</v>
      </c>
      <c r="O928" s="19">
        <f t="shared" si="103"/>
        <v>0</v>
      </c>
      <c r="P928" s="13">
        <f t="shared" si="104"/>
        <v>0</v>
      </c>
      <c r="Q928" s="9"/>
      <c r="R928" s="2"/>
      <c r="S928" s="2"/>
    </row>
    <row r="929" spans="1:21">
      <c r="A929" s="42" t="s">
        <v>84</v>
      </c>
      <c r="B929" s="3" t="s">
        <v>115</v>
      </c>
      <c r="C929" s="3">
        <v>9</v>
      </c>
      <c r="D929" s="1"/>
      <c r="E929" s="20" t="s">
        <v>81</v>
      </c>
      <c r="F929" s="7" t="s">
        <v>14</v>
      </c>
      <c r="G929" s="7" t="s">
        <v>31</v>
      </c>
      <c r="H929" s="11">
        <v>9.65</v>
      </c>
      <c r="I929" s="8">
        <v>12.25</v>
      </c>
      <c r="J929" s="26">
        <v>13</v>
      </c>
      <c r="K929" s="10">
        <f t="shared" si="101"/>
        <v>1.5367625</v>
      </c>
      <c r="L929" s="4"/>
      <c r="M929" s="17">
        <v>13</v>
      </c>
      <c r="N929" s="18">
        <f t="shared" si="102"/>
        <v>1.5367625</v>
      </c>
      <c r="O929" s="19">
        <f t="shared" si="103"/>
        <v>0</v>
      </c>
      <c r="P929" s="13">
        <f t="shared" si="104"/>
        <v>0</v>
      </c>
      <c r="Q929" s="9">
        <v>11.5</v>
      </c>
      <c r="R929" s="2">
        <v>13</v>
      </c>
      <c r="S929" s="2"/>
    </row>
    <row r="930" spans="1:21">
      <c r="A930" s="42" t="s">
        <v>84</v>
      </c>
      <c r="B930" s="3" t="s">
        <v>115</v>
      </c>
      <c r="C930" s="3">
        <v>10</v>
      </c>
      <c r="D930" s="1"/>
      <c r="E930" s="20" t="s">
        <v>81</v>
      </c>
      <c r="F930" s="7" t="s">
        <v>14</v>
      </c>
      <c r="G930" s="7" t="s">
        <v>31</v>
      </c>
      <c r="H930" s="11">
        <v>9.65</v>
      </c>
      <c r="I930" s="8">
        <v>13.1</v>
      </c>
      <c r="J930" s="26">
        <v>24</v>
      </c>
      <c r="K930" s="10">
        <f t="shared" si="101"/>
        <v>3.03396</v>
      </c>
      <c r="L930" s="4"/>
      <c r="M930" s="17">
        <f>15+2</f>
        <v>17</v>
      </c>
      <c r="N930" s="18">
        <f t="shared" si="102"/>
        <v>2.1490549999999997</v>
      </c>
      <c r="O930" s="19">
        <f t="shared" si="103"/>
        <v>7</v>
      </c>
      <c r="P930" s="13">
        <f t="shared" si="104"/>
        <v>0.88490500000000005</v>
      </c>
      <c r="Q930" s="9">
        <v>11.5</v>
      </c>
      <c r="R930" s="2">
        <v>2</v>
      </c>
      <c r="S930" s="2" t="s">
        <v>336</v>
      </c>
    </row>
    <row r="931" spans="1:21">
      <c r="A931" s="42" t="s">
        <v>84</v>
      </c>
      <c r="B931" s="3" t="s">
        <v>115</v>
      </c>
      <c r="C931" s="3">
        <v>11</v>
      </c>
      <c r="D931" s="1"/>
      <c r="E931" s="20" t="s">
        <v>81</v>
      </c>
      <c r="F931" s="7" t="s">
        <v>14</v>
      </c>
      <c r="G931" s="7" t="s">
        <v>31</v>
      </c>
      <c r="H931" s="11">
        <v>9.65</v>
      </c>
      <c r="I931" s="8">
        <v>12.25</v>
      </c>
      <c r="J931" s="26">
        <v>27</v>
      </c>
      <c r="K931" s="10">
        <f t="shared" si="101"/>
        <v>3.1917375000000003</v>
      </c>
      <c r="L931" s="4"/>
      <c r="M931" s="17">
        <v>27</v>
      </c>
      <c r="N931" s="18">
        <f t="shared" si="102"/>
        <v>3.1917375000000003</v>
      </c>
      <c r="O931" s="19">
        <f t="shared" si="103"/>
        <v>0</v>
      </c>
      <c r="P931" s="13">
        <f t="shared" si="104"/>
        <v>0</v>
      </c>
      <c r="Q931" s="9"/>
      <c r="R931" s="2"/>
      <c r="S931" s="2"/>
    </row>
    <row r="932" spans="1:21">
      <c r="A932" s="42" t="s">
        <v>84</v>
      </c>
      <c r="B932" s="3" t="s">
        <v>116</v>
      </c>
      <c r="C932" s="3">
        <v>1</v>
      </c>
      <c r="D932" s="1"/>
      <c r="E932" s="20" t="s">
        <v>100</v>
      </c>
      <c r="F932" s="7" t="s">
        <v>15</v>
      </c>
      <c r="G932" s="7" t="s">
        <v>25</v>
      </c>
      <c r="H932" s="11">
        <v>7.34</v>
      </c>
      <c r="I932" s="8">
        <v>11.5</v>
      </c>
      <c r="J932" s="223">
        <v>8</v>
      </c>
      <c r="K932" s="10">
        <f t="shared" si="101"/>
        <v>0.67527999999999999</v>
      </c>
      <c r="L932" s="4"/>
      <c r="M932" s="17">
        <v>8</v>
      </c>
      <c r="N932" s="18">
        <f t="shared" si="102"/>
        <v>0.67527999999999999</v>
      </c>
      <c r="O932" s="19">
        <f t="shared" si="103"/>
        <v>0</v>
      </c>
      <c r="P932" s="13">
        <f t="shared" si="104"/>
        <v>0</v>
      </c>
      <c r="Q932" s="9">
        <v>11.5</v>
      </c>
      <c r="R932" s="2">
        <v>8</v>
      </c>
      <c r="S932" s="2"/>
    </row>
    <row r="933" spans="1:21">
      <c r="A933" s="42" t="s">
        <v>84</v>
      </c>
      <c r="B933" s="3" t="s">
        <v>116</v>
      </c>
      <c r="C933" s="3">
        <v>1</v>
      </c>
      <c r="D933" s="1"/>
      <c r="E933" s="20" t="s">
        <v>100</v>
      </c>
      <c r="F933" s="7" t="s">
        <v>15</v>
      </c>
      <c r="G933" s="7" t="s">
        <v>25</v>
      </c>
      <c r="H933" s="11">
        <v>7.34</v>
      </c>
      <c r="I933" s="8">
        <v>12</v>
      </c>
      <c r="J933" s="223">
        <v>1</v>
      </c>
      <c r="K933" s="10">
        <f t="shared" si="101"/>
        <v>8.8079999999999992E-2</v>
      </c>
      <c r="L933" s="4"/>
      <c r="M933" s="17">
        <v>1</v>
      </c>
      <c r="N933" s="18">
        <f t="shared" si="102"/>
        <v>8.8079999999999992E-2</v>
      </c>
      <c r="O933" s="19">
        <f t="shared" si="103"/>
        <v>0</v>
      </c>
      <c r="P933" s="13">
        <f t="shared" si="104"/>
        <v>0</v>
      </c>
      <c r="Q933" s="9">
        <v>11.5</v>
      </c>
      <c r="R933" s="2">
        <v>1</v>
      </c>
      <c r="S933" s="2"/>
    </row>
    <row r="934" spans="1:21">
      <c r="A934" s="42" t="s">
        <v>84</v>
      </c>
      <c r="B934" s="3" t="s">
        <v>116</v>
      </c>
      <c r="C934" s="3">
        <v>2</v>
      </c>
      <c r="D934" s="1"/>
      <c r="E934" s="20" t="s">
        <v>100</v>
      </c>
      <c r="F934" s="7" t="s">
        <v>15</v>
      </c>
      <c r="G934" s="7" t="s">
        <v>25</v>
      </c>
      <c r="H934" s="11">
        <v>7.34</v>
      </c>
      <c r="I934" s="8">
        <v>11</v>
      </c>
      <c r="J934" s="223">
        <v>20</v>
      </c>
      <c r="K934" s="10">
        <f t="shared" si="101"/>
        <v>1.6148</v>
      </c>
      <c r="L934" s="4"/>
      <c r="M934" s="17">
        <v>20</v>
      </c>
      <c r="N934" s="18">
        <f t="shared" si="102"/>
        <v>1.6148</v>
      </c>
      <c r="O934" s="19">
        <f t="shared" si="103"/>
        <v>0</v>
      </c>
      <c r="P934" s="13">
        <f t="shared" si="104"/>
        <v>0</v>
      </c>
      <c r="Q934" s="9">
        <v>11</v>
      </c>
      <c r="R934" s="2">
        <v>20</v>
      </c>
      <c r="S934" s="2"/>
    </row>
    <row r="935" spans="1:21">
      <c r="A935" s="42" t="s">
        <v>84</v>
      </c>
      <c r="B935" s="3" t="s">
        <v>116</v>
      </c>
      <c r="C935" s="3">
        <v>3</v>
      </c>
      <c r="D935" s="1"/>
      <c r="E935" s="20" t="s">
        <v>100</v>
      </c>
      <c r="F935" s="7" t="s">
        <v>15</v>
      </c>
      <c r="G935" s="7" t="s">
        <v>25</v>
      </c>
      <c r="H935" s="11">
        <v>7.34</v>
      </c>
      <c r="I935" s="8">
        <v>10</v>
      </c>
      <c r="J935" s="223">
        <v>39</v>
      </c>
      <c r="K935" s="10">
        <f t="shared" si="101"/>
        <v>2.8626000000000005</v>
      </c>
      <c r="L935" s="4"/>
      <c r="M935" s="17">
        <v>39</v>
      </c>
      <c r="N935" s="18">
        <f t="shared" si="102"/>
        <v>2.8626</v>
      </c>
      <c r="O935" s="19">
        <f t="shared" si="103"/>
        <v>0</v>
      </c>
      <c r="P935" s="13">
        <f t="shared" si="104"/>
        <v>0</v>
      </c>
      <c r="Q935" s="9">
        <v>10</v>
      </c>
      <c r="R935" s="2">
        <v>39</v>
      </c>
      <c r="S935" s="2"/>
    </row>
    <row r="936" spans="1:21">
      <c r="A936" s="42" t="s">
        <v>84</v>
      </c>
      <c r="B936" s="3" t="s">
        <v>116</v>
      </c>
      <c r="C936" s="3">
        <v>4</v>
      </c>
      <c r="D936" s="1"/>
      <c r="E936" s="20" t="s">
        <v>100</v>
      </c>
      <c r="F936" s="7" t="s">
        <v>15</v>
      </c>
      <c r="G936" s="7" t="s">
        <v>25</v>
      </c>
      <c r="H936" s="11">
        <v>7.34</v>
      </c>
      <c r="I936" s="8">
        <v>9.5</v>
      </c>
      <c r="J936" s="223">
        <v>1</v>
      </c>
      <c r="K936" s="10">
        <f t="shared" si="101"/>
        <v>6.973E-2</v>
      </c>
      <c r="L936" s="4"/>
      <c r="M936" s="17"/>
      <c r="N936" s="18">
        <f t="shared" si="102"/>
        <v>0</v>
      </c>
      <c r="O936" s="19">
        <f t="shared" si="103"/>
        <v>1</v>
      </c>
      <c r="P936" s="13">
        <f t="shared" si="104"/>
        <v>6.973E-2</v>
      </c>
      <c r="Q936" s="9"/>
      <c r="R936" s="2"/>
      <c r="S936" s="2"/>
    </row>
    <row r="937" spans="1:21">
      <c r="A937" s="42" t="s">
        <v>84</v>
      </c>
      <c r="B937" s="3" t="s">
        <v>116</v>
      </c>
      <c r="C937" s="3">
        <v>4</v>
      </c>
      <c r="D937" s="1"/>
      <c r="E937" s="20" t="s">
        <v>100</v>
      </c>
      <c r="F937" s="7" t="s">
        <v>15</v>
      </c>
      <c r="G937" s="7" t="s">
        <v>25</v>
      </c>
      <c r="H937" s="11">
        <v>7.34</v>
      </c>
      <c r="I937" s="8">
        <v>9.9</v>
      </c>
      <c r="J937" s="223">
        <v>1</v>
      </c>
      <c r="K937" s="10">
        <f t="shared" si="101"/>
        <v>7.2665999999999994E-2</v>
      </c>
      <c r="L937" s="4"/>
      <c r="M937" s="17"/>
      <c r="N937" s="18">
        <f t="shared" si="102"/>
        <v>0</v>
      </c>
      <c r="O937" s="19">
        <f t="shared" si="103"/>
        <v>1</v>
      </c>
      <c r="P937" s="13">
        <f t="shared" si="104"/>
        <v>7.2665999999999994E-2</v>
      </c>
      <c r="Q937" s="9"/>
      <c r="R937" s="2"/>
      <c r="S937" s="2"/>
    </row>
    <row r="938" spans="1:21">
      <c r="A938" s="42" t="s">
        <v>84</v>
      </c>
      <c r="B938" s="3" t="s">
        <v>116</v>
      </c>
      <c r="C938" s="3">
        <v>4</v>
      </c>
      <c r="D938" s="1"/>
      <c r="E938" s="20" t="s">
        <v>100</v>
      </c>
      <c r="F938" s="7" t="s">
        <v>15</v>
      </c>
      <c r="G938" s="7" t="s">
        <v>25</v>
      </c>
      <c r="H938" s="11">
        <v>7.34</v>
      </c>
      <c r="I938" s="8">
        <v>10</v>
      </c>
      <c r="J938" s="223">
        <v>13</v>
      </c>
      <c r="K938" s="10">
        <f t="shared" si="101"/>
        <v>0.95420000000000005</v>
      </c>
      <c r="L938" s="4"/>
      <c r="M938" s="17">
        <v>13</v>
      </c>
      <c r="N938" s="18">
        <f t="shared" si="102"/>
        <v>0.95419999999999994</v>
      </c>
      <c r="O938" s="19">
        <f t="shared" si="103"/>
        <v>0</v>
      </c>
      <c r="P938" s="13">
        <f t="shared" si="104"/>
        <v>0</v>
      </c>
      <c r="Q938" s="9">
        <v>10</v>
      </c>
      <c r="R938" s="2">
        <v>13</v>
      </c>
      <c r="S938" s="2"/>
    </row>
    <row r="939" spans="1:21">
      <c r="A939" s="42" t="s">
        <v>84</v>
      </c>
      <c r="B939" s="3" t="s">
        <v>116</v>
      </c>
      <c r="C939" s="3">
        <v>6</v>
      </c>
      <c r="D939" s="1"/>
      <c r="E939" s="20" t="s">
        <v>100</v>
      </c>
      <c r="F939" s="7" t="s">
        <v>15</v>
      </c>
      <c r="G939" s="7" t="s">
        <v>25</v>
      </c>
      <c r="H939" s="11">
        <v>7.34</v>
      </c>
      <c r="I939" s="8">
        <v>10.5</v>
      </c>
      <c r="J939" s="223">
        <v>23</v>
      </c>
      <c r="K939" s="10">
        <f t="shared" si="101"/>
        <v>1.7726099999999998</v>
      </c>
      <c r="L939" s="4"/>
      <c r="M939" s="17">
        <v>23</v>
      </c>
      <c r="N939" s="18">
        <f t="shared" si="102"/>
        <v>1.7726099999999998</v>
      </c>
      <c r="O939" s="19">
        <f t="shared" si="103"/>
        <v>0</v>
      </c>
      <c r="P939" s="13">
        <f t="shared" si="104"/>
        <v>0</v>
      </c>
      <c r="Q939" s="9">
        <v>10.5</v>
      </c>
      <c r="R939" s="2">
        <v>23</v>
      </c>
      <c r="S939" s="2"/>
    </row>
    <row r="940" spans="1:21">
      <c r="A940" s="42" t="s">
        <v>84</v>
      </c>
      <c r="B940" s="3" t="s">
        <v>117</v>
      </c>
      <c r="C940" s="3">
        <v>1</v>
      </c>
      <c r="D940" s="1"/>
      <c r="E940" s="20" t="s">
        <v>81</v>
      </c>
      <c r="F940" s="7" t="s">
        <v>14</v>
      </c>
      <c r="G940" s="7" t="s">
        <v>23</v>
      </c>
      <c r="H940" s="11">
        <v>9</v>
      </c>
      <c r="I940" s="8">
        <v>12.8</v>
      </c>
      <c r="J940" s="26">
        <v>27</v>
      </c>
      <c r="K940" s="10">
        <f t="shared" ref="K940:K995" si="105">(H940*I940*J940/1000)</f>
        <v>3.1104000000000003</v>
      </c>
      <c r="L940" s="4"/>
      <c r="M940" s="26">
        <v>27</v>
      </c>
      <c r="N940" s="18">
        <f t="shared" ref="N940:N995" si="106">I940*M940*H940/1000</f>
        <v>3.1104000000000003</v>
      </c>
      <c r="O940" s="19">
        <f t="shared" ref="O940:O995" si="107">J940-M940</f>
        <v>0</v>
      </c>
      <c r="P940" s="13">
        <f t="shared" ref="P940:P995" si="108">I940*O940*H940/1000</f>
        <v>0</v>
      </c>
      <c r="Q940" s="9"/>
      <c r="R940" s="2"/>
      <c r="S940" s="2"/>
    </row>
    <row r="941" spans="1:21">
      <c r="A941" s="42" t="s">
        <v>84</v>
      </c>
      <c r="B941" s="3" t="s">
        <v>117</v>
      </c>
      <c r="C941" s="3">
        <v>2</v>
      </c>
      <c r="D941" s="1"/>
      <c r="E941" s="20" t="s">
        <v>81</v>
      </c>
      <c r="F941" s="7" t="s">
        <v>14</v>
      </c>
      <c r="G941" s="7" t="s">
        <v>23</v>
      </c>
      <c r="H941" s="11">
        <v>9</v>
      </c>
      <c r="I941" s="8">
        <v>12.8</v>
      </c>
      <c r="J941" s="26">
        <v>27</v>
      </c>
      <c r="K941" s="10">
        <f t="shared" si="105"/>
        <v>3.1104000000000003</v>
      </c>
      <c r="L941" s="4"/>
      <c r="M941" s="17">
        <v>27</v>
      </c>
      <c r="N941" s="18">
        <f t="shared" si="106"/>
        <v>3.1104000000000003</v>
      </c>
      <c r="O941" s="19">
        <f t="shared" si="107"/>
        <v>0</v>
      </c>
      <c r="P941" s="13">
        <f t="shared" si="108"/>
        <v>0</v>
      </c>
      <c r="Q941" s="9"/>
      <c r="R941" s="2"/>
      <c r="S941" s="2"/>
    </row>
    <row r="942" spans="1:21">
      <c r="A942" s="42" t="s">
        <v>84</v>
      </c>
      <c r="B942" s="3" t="s">
        <v>117</v>
      </c>
      <c r="C942" s="3">
        <v>3</v>
      </c>
      <c r="D942" s="1"/>
      <c r="E942" s="20" t="s">
        <v>81</v>
      </c>
      <c r="F942" s="7" t="s">
        <v>14</v>
      </c>
      <c r="G942" s="7" t="s">
        <v>23</v>
      </c>
      <c r="H942" s="11">
        <v>9</v>
      </c>
      <c r="I942" s="8">
        <v>12.8</v>
      </c>
      <c r="J942" s="26">
        <v>27</v>
      </c>
      <c r="K942" s="10">
        <f t="shared" si="105"/>
        <v>3.1104000000000003</v>
      </c>
      <c r="L942" s="4"/>
      <c r="M942" s="17">
        <v>27</v>
      </c>
      <c r="N942" s="18">
        <f t="shared" si="106"/>
        <v>3.1104000000000003</v>
      </c>
      <c r="O942" s="19">
        <f t="shared" si="107"/>
        <v>0</v>
      </c>
      <c r="P942" s="13">
        <f t="shared" si="108"/>
        <v>0</v>
      </c>
      <c r="Q942" s="9"/>
      <c r="R942" s="2"/>
      <c r="S942" s="2"/>
    </row>
    <row r="943" spans="1:21">
      <c r="A943" s="42" t="s">
        <v>84</v>
      </c>
      <c r="B943" s="3"/>
      <c r="C943" s="3">
        <v>1</v>
      </c>
      <c r="D943" s="1"/>
      <c r="E943" s="20" t="s">
        <v>114</v>
      </c>
      <c r="F943" s="7" t="s">
        <v>15</v>
      </c>
      <c r="G943" s="7" t="s">
        <v>42</v>
      </c>
      <c r="H943" s="11">
        <v>19.72</v>
      </c>
      <c r="I943" s="8">
        <v>11.6</v>
      </c>
      <c r="J943" s="26">
        <v>13</v>
      </c>
      <c r="K943" s="10">
        <f t="shared" si="105"/>
        <v>2.973776</v>
      </c>
      <c r="L943" s="4"/>
      <c r="M943" s="17">
        <v>13</v>
      </c>
      <c r="N943" s="18">
        <f t="shared" si="106"/>
        <v>2.9737759999999995</v>
      </c>
      <c r="O943" s="19">
        <f t="shared" si="107"/>
        <v>0</v>
      </c>
      <c r="P943" s="13">
        <f t="shared" si="108"/>
        <v>0</v>
      </c>
      <c r="Q943" s="9">
        <v>11.5</v>
      </c>
      <c r="R943" s="2">
        <v>13</v>
      </c>
      <c r="S943" s="2" t="s">
        <v>314</v>
      </c>
    </row>
    <row r="944" spans="1:21">
      <c r="A944" s="42" t="s">
        <v>84</v>
      </c>
      <c r="B944" s="3" t="s">
        <v>118</v>
      </c>
      <c r="C944" s="3">
        <v>1</v>
      </c>
      <c r="D944" s="1"/>
      <c r="E944" s="20" t="s">
        <v>76</v>
      </c>
      <c r="F944" s="7" t="s">
        <v>15</v>
      </c>
      <c r="G944" s="7" t="s">
        <v>29</v>
      </c>
      <c r="H944" s="11">
        <v>10.92</v>
      </c>
      <c r="I944" s="8">
        <v>9.1999999999999993</v>
      </c>
      <c r="J944" s="26">
        <v>16</v>
      </c>
      <c r="K944" s="10">
        <f t="shared" si="105"/>
        <v>1.607424</v>
      </c>
      <c r="L944" s="4"/>
      <c r="M944" s="17">
        <v>16</v>
      </c>
      <c r="N944" s="18">
        <f t="shared" si="106"/>
        <v>1.607424</v>
      </c>
      <c r="O944" s="19">
        <f t="shared" si="107"/>
        <v>0</v>
      </c>
      <c r="P944" s="13">
        <f t="shared" si="108"/>
        <v>0</v>
      </c>
      <c r="Q944" s="9"/>
      <c r="R944" s="2"/>
      <c r="S944" s="2"/>
      <c r="T944" s="54"/>
      <c r="U944" s="2"/>
    </row>
    <row r="945" spans="1:19">
      <c r="A945" s="42" t="s">
        <v>84</v>
      </c>
      <c r="B945" s="3" t="s">
        <v>118</v>
      </c>
      <c r="C945" s="3">
        <v>2</v>
      </c>
      <c r="D945" s="1"/>
      <c r="E945" s="20" t="s">
        <v>76</v>
      </c>
      <c r="F945" s="7" t="s">
        <v>15</v>
      </c>
      <c r="G945" s="7" t="s">
        <v>29</v>
      </c>
      <c r="H945" s="11">
        <v>10.92</v>
      </c>
      <c r="I945" s="8">
        <v>11.5</v>
      </c>
      <c r="J945" s="26">
        <v>15</v>
      </c>
      <c r="K945" s="10">
        <f t="shared" si="105"/>
        <v>1.8837000000000002</v>
      </c>
      <c r="L945" s="4"/>
      <c r="M945" s="17">
        <f>12+2+1</f>
        <v>15</v>
      </c>
      <c r="N945" s="18">
        <f t="shared" si="106"/>
        <v>1.8837000000000002</v>
      </c>
      <c r="O945" s="19">
        <f t="shared" si="107"/>
        <v>0</v>
      </c>
      <c r="P945" s="13">
        <f t="shared" si="108"/>
        <v>0</v>
      </c>
      <c r="Q945" s="9" t="s">
        <v>294</v>
      </c>
      <c r="R945" s="2">
        <v>3</v>
      </c>
      <c r="S945" s="2"/>
    </row>
    <row r="946" spans="1:19">
      <c r="A946" s="42" t="s">
        <v>84</v>
      </c>
      <c r="B946" s="3" t="s">
        <v>118</v>
      </c>
      <c r="C946" s="3">
        <v>3</v>
      </c>
      <c r="D946" s="1"/>
      <c r="E946" s="20" t="s">
        <v>76</v>
      </c>
      <c r="F946" s="7" t="s">
        <v>15</v>
      </c>
      <c r="G946" s="7" t="s">
        <v>29</v>
      </c>
      <c r="H946" s="11">
        <v>10.92</v>
      </c>
      <c r="I946" s="8">
        <v>8.6999999999999993</v>
      </c>
      <c r="J946" s="26">
        <v>1</v>
      </c>
      <c r="K946" s="10">
        <f t="shared" si="105"/>
        <v>9.5003999999999991E-2</v>
      </c>
      <c r="L946" s="4"/>
      <c r="M946" s="17">
        <v>1</v>
      </c>
      <c r="N946" s="18">
        <f t="shared" si="106"/>
        <v>9.5003999999999991E-2</v>
      </c>
      <c r="O946" s="19">
        <f t="shared" si="107"/>
        <v>0</v>
      </c>
      <c r="P946" s="13">
        <f t="shared" si="108"/>
        <v>0</v>
      </c>
      <c r="Q946" s="55">
        <v>7.5</v>
      </c>
      <c r="R946" s="2">
        <v>1</v>
      </c>
      <c r="S946" s="32" t="s">
        <v>540</v>
      </c>
    </row>
    <row r="947" spans="1:19">
      <c r="A947" s="42" t="s">
        <v>84</v>
      </c>
      <c r="B947" s="3" t="s">
        <v>118</v>
      </c>
      <c r="C947" s="3">
        <v>3</v>
      </c>
      <c r="D947" s="1"/>
      <c r="E947" s="20" t="s">
        <v>76</v>
      </c>
      <c r="F947" s="7" t="s">
        <v>15</v>
      </c>
      <c r="G947" s="7" t="s">
        <v>29</v>
      </c>
      <c r="H947" s="11">
        <v>10.92</v>
      </c>
      <c r="I947" s="8">
        <v>10.199999999999999</v>
      </c>
      <c r="J947" s="26">
        <v>5</v>
      </c>
      <c r="K947" s="10">
        <f t="shared" si="105"/>
        <v>0.55691999999999997</v>
      </c>
      <c r="L947" s="4"/>
      <c r="M947" s="17">
        <v>5</v>
      </c>
      <c r="N947" s="18">
        <f t="shared" si="106"/>
        <v>0.55691999999999997</v>
      </c>
      <c r="O947" s="19">
        <f t="shared" si="107"/>
        <v>0</v>
      </c>
      <c r="P947" s="13">
        <f t="shared" si="108"/>
        <v>0</v>
      </c>
      <c r="Q947" s="9"/>
      <c r="R947" s="2"/>
      <c r="S947" s="2"/>
    </row>
    <row r="948" spans="1:19">
      <c r="A948" s="42" t="s">
        <v>84</v>
      </c>
      <c r="B948" s="3" t="s">
        <v>118</v>
      </c>
      <c r="C948" s="3">
        <v>3</v>
      </c>
      <c r="D948" s="1"/>
      <c r="E948" s="20" t="s">
        <v>76</v>
      </c>
      <c r="F948" s="7" t="s">
        <v>15</v>
      </c>
      <c r="G948" s="7" t="s">
        <v>29</v>
      </c>
      <c r="H948" s="11">
        <v>10.92</v>
      </c>
      <c r="I948" s="8">
        <v>11.3</v>
      </c>
      <c r="J948" s="26">
        <v>5</v>
      </c>
      <c r="K948" s="10">
        <f t="shared" si="105"/>
        <v>0.61697999999999997</v>
      </c>
      <c r="L948" s="4"/>
      <c r="M948" s="17">
        <f>5+13-11-2</f>
        <v>5</v>
      </c>
      <c r="N948" s="18">
        <f t="shared" si="106"/>
        <v>0.61697999999999997</v>
      </c>
      <c r="O948" s="19">
        <f t="shared" si="107"/>
        <v>0</v>
      </c>
      <c r="P948" s="13">
        <f t="shared" si="108"/>
        <v>0</v>
      </c>
      <c r="Q948" s="9"/>
      <c r="R948" s="2"/>
      <c r="S948" s="2"/>
    </row>
    <row r="949" spans="1:19">
      <c r="A949" s="42" t="s">
        <v>84</v>
      </c>
      <c r="B949" s="3" t="s">
        <v>118</v>
      </c>
      <c r="C949" s="3">
        <v>3</v>
      </c>
      <c r="D949" s="1"/>
      <c r="E949" s="20" t="s">
        <v>76</v>
      </c>
      <c r="F949" s="7" t="s">
        <v>15</v>
      </c>
      <c r="G949" s="7" t="s">
        <v>29</v>
      </c>
      <c r="H949" s="11">
        <v>10.92</v>
      </c>
      <c r="I949" s="8">
        <v>11.4</v>
      </c>
      <c r="J949" s="26">
        <v>1</v>
      </c>
      <c r="K949" s="10">
        <f t="shared" si="105"/>
        <v>0.124488</v>
      </c>
      <c r="L949" s="4"/>
      <c r="M949" s="17">
        <v>1</v>
      </c>
      <c r="N949" s="18">
        <f t="shared" si="106"/>
        <v>0.124488</v>
      </c>
      <c r="O949" s="19">
        <f t="shared" si="107"/>
        <v>0</v>
      </c>
      <c r="P949" s="13">
        <f t="shared" si="108"/>
        <v>0</v>
      </c>
      <c r="Q949" s="9"/>
      <c r="R949" s="2"/>
      <c r="S949" s="2"/>
    </row>
    <row r="950" spans="1:19">
      <c r="A950" s="42" t="s">
        <v>84</v>
      </c>
      <c r="B950" s="3" t="s">
        <v>118</v>
      </c>
      <c r="C950" s="3">
        <v>4</v>
      </c>
      <c r="D950" s="1"/>
      <c r="E950" s="20" t="s">
        <v>76</v>
      </c>
      <c r="F950" s="7" t="s">
        <v>15</v>
      </c>
      <c r="G950" s="7" t="s">
        <v>29</v>
      </c>
      <c r="H950" s="11">
        <v>10.92</v>
      </c>
      <c r="I950" s="8">
        <v>11.7</v>
      </c>
      <c r="J950" s="26">
        <v>15</v>
      </c>
      <c r="K950" s="10">
        <f t="shared" si="105"/>
        <v>1.9164600000000001</v>
      </c>
      <c r="L950" s="4"/>
      <c r="M950" s="17">
        <f>11+4</f>
        <v>15</v>
      </c>
      <c r="N950" s="18">
        <f t="shared" si="106"/>
        <v>1.9164600000000001</v>
      </c>
      <c r="O950" s="19">
        <f t="shared" si="107"/>
        <v>0</v>
      </c>
      <c r="P950" s="13">
        <f t="shared" si="108"/>
        <v>0</v>
      </c>
      <c r="Q950" s="9">
        <v>9.8000000000000007</v>
      </c>
      <c r="R950" s="2">
        <v>4</v>
      </c>
      <c r="S950" s="2" t="s">
        <v>604</v>
      </c>
    </row>
    <row r="951" spans="1:19">
      <c r="A951" s="42" t="s">
        <v>84</v>
      </c>
      <c r="B951" s="3" t="s">
        <v>118</v>
      </c>
      <c r="C951" s="3">
        <v>5</v>
      </c>
      <c r="D951" s="1"/>
      <c r="E951" s="20" t="s">
        <v>76</v>
      </c>
      <c r="F951" s="7" t="s">
        <v>15</v>
      </c>
      <c r="G951" s="7" t="s">
        <v>29</v>
      </c>
      <c r="H951" s="11">
        <v>10.92</v>
      </c>
      <c r="I951" s="8">
        <v>11.4</v>
      </c>
      <c r="J951" s="26">
        <v>24</v>
      </c>
      <c r="K951" s="10">
        <f t="shared" si="105"/>
        <v>2.9877120000000001</v>
      </c>
      <c r="L951" s="4"/>
      <c r="M951" s="17">
        <v>24</v>
      </c>
      <c r="N951" s="18">
        <f t="shared" si="106"/>
        <v>2.9877120000000006</v>
      </c>
      <c r="O951" s="19">
        <f t="shared" si="107"/>
        <v>0</v>
      </c>
      <c r="P951" s="13">
        <f t="shared" si="108"/>
        <v>0</v>
      </c>
      <c r="Q951" s="9"/>
      <c r="R951" s="2"/>
      <c r="S951" s="2"/>
    </row>
    <row r="952" spans="1:19">
      <c r="A952" s="42" t="s">
        <v>84</v>
      </c>
      <c r="B952" s="3" t="s">
        <v>118</v>
      </c>
      <c r="C952" s="3">
        <v>6</v>
      </c>
      <c r="D952" s="1"/>
      <c r="E952" s="20" t="s">
        <v>76</v>
      </c>
      <c r="F952" s="7" t="s">
        <v>15</v>
      </c>
      <c r="G952" s="7" t="s">
        <v>29</v>
      </c>
      <c r="H952" s="11">
        <v>10.92</v>
      </c>
      <c r="I952" s="8">
        <v>11.4</v>
      </c>
      <c r="J952" s="26">
        <v>26</v>
      </c>
      <c r="K952" s="10">
        <f t="shared" si="105"/>
        <v>3.236688</v>
      </c>
      <c r="L952" s="4"/>
      <c r="M952" s="17">
        <v>26</v>
      </c>
      <c r="N952" s="18">
        <f t="shared" si="106"/>
        <v>3.2366880000000005</v>
      </c>
      <c r="O952" s="19">
        <f t="shared" si="107"/>
        <v>0</v>
      </c>
      <c r="P952" s="13">
        <f t="shared" si="108"/>
        <v>0</v>
      </c>
      <c r="Q952" s="9"/>
      <c r="R952" s="2"/>
      <c r="S952" s="2"/>
    </row>
    <row r="953" spans="1:19">
      <c r="A953" s="42" t="s">
        <v>84</v>
      </c>
      <c r="B953" s="3" t="s">
        <v>118</v>
      </c>
      <c r="C953" s="3">
        <v>7</v>
      </c>
      <c r="D953" s="1"/>
      <c r="E953" s="20" t="s">
        <v>76</v>
      </c>
      <c r="F953" s="7" t="s">
        <v>15</v>
      </c>
      <c r="G953" s="7" t="s">
        <v>29</v>
      </c>
      <c r="H953" s="11">
        <v>10.92</v>
      </c>
      <c r="I953" s="8">
        <v>10.5</v>
      </c>
      <c r="J953" s="26">
        <v>18</v>
      </c>
      <c r="K953" s="10">
        <f t="shared" si="105"/>
        <v>2.0638800000000002</v>
      </c>
      <c r="L953" s="4"/>
      <c r="M953" s="17">
        <v>18</v>
      </c>
      <c r="N953" s="18">
        <f t="shared" si="106"/>
        <v>2.0638800000000002</v>
      </c>
      <c r="O953" s="19">
        <f t="shared" si="107"/>
        <v>0</v>
      </c>
      <c r="P953" s="13">
        <f t="shared" si="108"/>
        <v>0</v>
      </c>
      <c r="Q953" s="9">
        <v>9.1999999999999993</v>
      </c>
      <c r="R953" s="2">
        <v>18</v>
      </c>
      <c r="S953" s="2"/>
    </row>
    <row r="954" spans="1:19">
      <c r="A954" s="42" t="s">
        <v>84</v>
      </c>
      <c r="B954" s="3" t="s">
        <v>118</v>
      </c>
      <c r="C954" s="3">
        <v>8</v>
      </c>
      <c r="D954" s="1"/>
      <c r="E954" s="20" t="s">
        <v>76</v>
      </c>
      <c r="F954" s="7" t="s">
        <v>15</v>
      </c>
      <c r="G954" s="7" t="s">
        <v>29</v>
      </c>
      <c r="H954" s="11">
        <v>10.92</v>
      </c>
      <c r="I954" s="8">
        <v>12</v>
      </c>
      <c r="J954" s="26">
        <v>23</v>
      </c>
      <c r="K954" s="10">
        <f t="shared" si="105"/>
        <v>3.0139199999999997</v>
      </c>
      <c r="L954" s="4"/>
      <c r="M954" s="17">
        <f>3+17</f>
        <v>20</v>
      </c>
      <c r="N954" s="18">
        <f t="shared" si="106"/>
        <v>2.6208</v>
      </c>
      <c r="O954" s="19">
        <f t="shared" si="107"/>
        <v>3</v>
      </c>
      <c r="P954" s="13">
        <f t="shared" si="108"/>
        <v>0.39312000000000002</v>
      </c>
      <c r="Q954" s="9">
        <v>11.4</v>
      </c>
      <c r="R954" s="2">
        <v>17</v>
      </c>
      <c r="S954" s="2"/>
    </row>
    <row r="955" spans="1:19">
      <c r="A955" s="42" t="s">
        <v>84</v>
      </c>
      <c r="B955" s="3" t="s">
        <v>118</v>
      </c>
      <c r="C955" s="3">
        <v>9</v>
      </c>
      <c r="D955" s="1"/>
      <c r="E955" s="20" t="s">
        <v>76</v>
      </c>
      <c r="F955" s="7" t="s">
        <v>15</v>
      </c>
      <c r="G955" s="7" t="s">
        <v>29</v>
      </c>
      <c r="H955" s="11">
        <v>10.92</v>
      </c>
      <c r="I955" s="8">
        <v>10.5</v>
      </c>
      <c r="J955" s="26">
        <v>24</v>
      </c>
      <c r="K955" s="10">
        <f t="shared" si="105"/>
        <v>2.7518400000000001</v>
      </c>
      <c r="L955" s="4"/>
      <c r="M955" s="17">
        <v>24</v>
      </c>
      <c r="N955" s="18">
        <f t="shared" si="106"/>
        <v>2.7518400000000001</v>
      </c>
      <c r="O955" s="19">
        <f t="shared" si="107"/>
        <v>0</v>
      </c>
      <c r="P955" s="13">
        <f t="shared" si="108"/>
        <v>0</v>
      </c>
      <c r="Q955" s="9"/>
      <c r="R955" s="2"/>
      <c r="S955" s="2"/>
    </row>
    <row r="956" spans="1:19">
      <c r="A956" s="42" t="s">
        <v>84</v>
      </c>
      <c r="B956" s="3" t="s">
        <v>118</v>
      </c>
      <c r="C956" s="3">
        <v>10</v>
      </c>
      <c r="D956" s="1"/>
      <c r="E956" s="20" t="s">
        <v>76</v>
      </c>
      <c r="F956" s="7" t="s">
        <v>15</v>
      </c>
      <c r="G956" s="7" t="s">
        <v>29</v>
      </c>
      <c r="H956" s="11">
        <v>10.92</v>
      </c>
      <c r="I956" s="8">
        <v>11.4</v>
      </c>
      <c r="J956" s="26">
        <v>26</v>
      </c>
      <c r="K956" s="10">
        <f t="shared" si="105"/>
        <v>3.236688</v>
      </c>
      <c r="L956" s="4"/>
      <c r="M956" s="17">
        <v>26</v>
      </c>
      <c r="N956" s="18">
        <f t="shared" si="106"/>
        <v>3.2366880000000005</v>
      </c>
      <c r="O956" s="19">
        <f t="shared" si="107"/>
        <v>0</v>
      </c>
      <c r="P956" s="13">
        <f t="shared" si="108"/>
        <v>0</v>
      </c>
      <c r="Q956" s="9"/>
      <c r="R956" s="2"/>
      <c r="S956" s="2"/>
    </row>
    <row r="957" spans="1:19">
      <c r="A957" s="42" t="s">
        <v>84</v>
      </c>
      <c r="B957" s="3" t="s">
        <v>118</v>
      </c>
      <c r="C957" s="3">
        <v>11</v>
      </c>
      <c r="D957" s="1"/>
      <c r="E957" s="20" t="s">
        <v>76</v>
      </c>
      <c r="F957" s="7" t="s">
        <v>15</v>
      </c>
      <c r="G957" s="7" t="s">
        <v>29</v>
      </c>
      <c r="H957" s="11">
        <v>10.92</v>
      </c>
      <c r="I957" s="8">
        <v>12</v>
      </c>
      <c r="J957" s="26">
        <v>27</v>
      </c>
      <c r="K957" s="10">
        <f t="shared" si="105"/>
        <v>3.5380799999999999</v>
      </c>
      <c r="L957" s="4"/>
      <c r="M957" s="17">
        <v>27</v>
      </c>
      <c r="N957" s="18">
        <f t="shared" si="106"/>
        <v>3.5380799999999999</v>
      </c>
      <c r="O957" s="19">
        <f t="shared" si="107"/>
        <v>0</v>
      </c>
      <c r="P957" s="13">
        <f t="shared" si="108"/>
        <v>0</v>
      </c>
      <c r="Q957" s="9"/>
      <c r="R957" s="2"/>
      <c r="S957" s="2"/>
    </row>
    <row r="958" spans="1:19">
      <c r="A958" s="42" t="s">
        <v>84</v>
      </c>
      <c r="B958" s="3" t="s">
        <v>118</v>
      </c>
      <c r="C958" s="3">
        <v>12</v>
      </c>
      <c r="D958" s="1"/>
      <c r="E958" s="20" t="s">
        <v>76</v>
      </c>
      <c r="F958" s="7" t="s">
        <v>15</v>
      </c>
      <c r="G958" s="7" t="s">
        <v>29</v>
      </c>
      <c r="H958" s="11">
        <v>10.92</v>
      </c>
      <c r="I958" s="8">
        <v>9.1999999999999993</v>
      </c>
      <c r="J958" s="26">
        <v>27</v>
      </c>
      <c r="K958" s="10">
        <f t="shared" si="105"/>
        <v>2.7125279999999998</v>
      </c>
      <c r="L958" s="4"/>
      <c r="M958" s="17">
        <v>27</v>
      </c>
      <c r="N958" s="18">
        <f t="shared" si="106"/>
        <v>2.7125279999999998</v>
      </c>
      <c r="O958" s="19">
        <f t="shared" si="107"/>
        <v>0</v>
      </c>
      <c r="P958" s="13">
        <f t="shared" si="108"/>
        <v>0</v>
      </c>
      <c r="Q958" s="9"/>
      <c r="R958" s="2"/>
      <c r="S958" s="2"/>
    </row>
    <row r="959" spans="1:19">
      <c r="A959" s="42" t="s">
        <v>84</v>
      </c>
      <c r="B959" s="3" t="s">
        <v>118</v>
      </c>
      <c r="C959" s="3">
        <v>13</v>
      </c>
      <c r="D959" s="1"/>
      <c r="E959" s="20" t="s">
        <v>76</v>
      </c>
      <c r="F959" s="7" t="s">
        <v>15</v>
      </c>
      <c r="G959" s="7" t="s">
        <v>29</v>
      </c>
      <c r="H959" s="11">
        <v>10.92</v>
      </c>
      <c r="I959" s="8">
        <v>10.5</v>
      </c>
      <c r="J959" s="26">
        <v>24</v>
      </c>
      <c r="K959" s="10">
        <f t="shared" si="105"/>
        <v>2.7518400000000001</v>
      </c>
      <c r="L959" s="4"/>
      <c r="M959" s="17">
        <v>24</v>
      </c>
      <c r="N959" s="18">
        <f t="shared" si="106"/>
        <v>2.7518400000000001</v>
      </c>
      <c r="O959" s="19">
        <f t="shared" si="107"/>
        <v>0</v>
      </c>
      <c r="P959" s="13">
        <f t="shared" si="108"/>
        <v>0</v>
      </c>
      <c r="Q959" s="9"/>
      <c r="R959" s="2"/>
      <c r="S959" s="2"/>
    </row>
    <row r="960" spans="1:19">
      <c r="A960" s="42" t="s">
        <v>84</v>
      </c>
      <c r="B960" s="3" t="s">
        <v>119</v>
      </c>
      <c r="C960" s="3">
        <v>1</v>
      </c>
      <c r="D960" s="1"/>
      <c r="E960" s="20" t="s">
        <v>75</v>
      </c>
      <c r="F960" s="7" t="s">
        <v>15</v>
      </c>
      <c r="G960" s="7" t="s">
        <v>27</v>
      </c>
      <c r="H960" s="11">
        <v>6.17</v>
      </c>
      <c r="I960" s="8">
        <v>6.15</v>
      </c>
      <c r="J960" s="22">
        <v>32</v>
      </c>
      <c r="K960" s="10">
        <f t="shared" si="105"/>
        <v>1.214256</v>
      </c>
      <c r="L960" s="4"/>
      <c r="M960" s="17">
        <v>32</v>
      </c>
      <c r="N960" s="18">
        <f t="shared" si="106"/>
        <v>1.214256</v>
      </c>
      <c r="O960" s="19">
        <f t="shared" si="107"/>
        <v>0</v>
      </c>
      <c r="P960" s="13">
        <f t="shared" si="108"/>
        <v>0</v>
      </c>
      <c r="Q960" s="9"/>
      <c r="R960" s="2"/>
      <c r="S960" s="2"/>
    </row>
    <row r="961" spans="1:19">
      <c r="A961" s="42" t="s">
        <v>84</v>
      </c>
      <c r="B961" s="3" t="s">
        <v>119</v>
      </c>
      <c r="C961" s="3">
        <v>2</v>
      </c>
      <c r="D961" s="1"/>
      <c r="E961" s="20" t="s">
        <v>75</v>
      </c>
      <c r="F961" s="7" t="s">
        <v>15</v>
      </c>
      <c r="G961" s="7" t="s">
        <v>27</v>
      </c>
      <c r="H961" s="11">
        <v>6.17</v>
      </c>
      <c r="I961" s="8">
        <v>6.15</v>
      </c>
      <c r="J961" s="26">
        <v>22</v>
      </c>
      <c r="K961" s="10">
        <f t="shared" si="105"/>
        <v>0.83480100000000002</v>
      </c>
      <c r="L961" s="4"/>
      <c r="M961" s="17">
        <v>22</v>
      </c>
      <c r="N961" s="18">
        <f t="shared" si="106"/>
        <v>0.83480100000000002</v>
      </c>
      <c r="O961" s="19">
        <f t="shared" si="107"/>
        <v>0</v>
      </c>
      <c r="P961" s="13">
        <f t="shared" si="108"/>
        <v>0</v>
      </c>
      <c r="Q961" s="9"/>
      <c r="R961" s="2"/>
      <c r="S961" s="2"/>
    </row>
    <row r="962" spans="1:19">
      <c r="A962" s="42" t="s">
        <v>84</v>
      </c>
      <c r="B962" s="3" t="s">
        <v>119</v>
      </c>
      <c r="C962" s="3">
        <v>3</v>
      </c>
      <c r="D962" s="1"/>
      <c r="E962" s="20" t="s">
        <v>75</v>
      </c>
      <c r="F962" s="7" t="s">
        <v>15</v>
      </c>
      <c r="G962" s="7" t="s">
        <v>27</v>
      </c>
      <c r="H962" s="11">
        <v>6.17</v>
      </c>
      <c r="I962" s="8">
        <v>7</v>
      </c>
      <c r="J962" s="26">
        <v>36</v>
      </c>
      <c r="K962" s="10">
        <f t="shared" si="105"/>
        <v>1.55484</v>
      </c>
      <c r="L962" s="4"/>
      <c r="M962" s="17">
        <v>36</v>
      </c>
      <c r="N962" s="18">
        <f t="shared" si="106"/>
        <v>1.55484</v>
      </c>
      <c r="O962" s="19">
        <f t="shared" si="107"/>
        <v>0</v>
      </c>
      <c r="P962" s="13">
        <f t="shared" si="108"/>
        <v>0</v>
      </c>
      <c r="Q962" s="9"/>
      <c r="R962" s="2"/>
      <c r="S962" s="2"/>
    </row>
    <row r="963" spans="1:19">
      <c r="A963" s="42" t="s">
        <v>84</v>
      </c>
      <c r="B963" s="3" t="s">
        <v>119</v>
      </c>
      <c r="C963" s="3">
        <v>4</v>
      </c>
      <c r="D963" s="1"/>
      <c r="E963" s="20" t="s">
        <v>75</v>
      </c>
      <c r="F963" s="7" t="s">
        <v>15</v>
      </c>
      <c r="G963" s="7" t="s">
        <v>27</v>
      </c>
      <c r="H963" s="11">
        <v>6.17</v>
      </c>
      <c r="I963" s="8">
        <v>7</v>
      </c>
      <c r="J963" s="26">
        <v>18</v>
      </c>
      <c r="K963" s="10">
        <f t="shared" si="105"/>
        <v>0.77742</v>
      </c>
      <c r="L963" s="4"/>
      <c r="M963" s="17">
        <v>18</v>
      </c>
      <c r="N963" s="18">
        <f t="shared" si="106"/>
        <v>0.77742</v>
      </c>
      <c r="O963" s="19">
        <f t="shared" si="107"/>
        <v>0</v>
      </c>
      <c r="P963" s="13">
        <f t="shared" si="108"/>
        <v>0</v>
      </c>
      <c r="Q963" s="9"/>
      <c r="R963" s="2"/>
      <c r="S963" s="2"/>
    </row>
    <row r="964" spans="1:19">
      <c r="A964" s="42" t="s">
        <v>84</v>
      </c>
      <c r="B964" s="3" t="s">
        <v>119</v>
      </c>
      <c r="C964" s="3">
        <v>5</v>
      </c>
      <c r="D964" s="1"/>
      <c r="E964" s="20" t="s">
        <v>75</v>
      </c>
      <c r="F964" s="7" t="s">
        <v>15</v>
      </c>
      <c r="G964" s="7" t="s">
        <v>27</v>
      </c>
      <c r="H964" s="11">
        <v>6.17</v>
      </c>
      <c r="I964" s="8">
        <v>10</v>
      </c>
      <c r="J964" s="26">
        <v>1</v>
      </c>
      <c r="K964" s="10">
        <f t="shared" si="105"/>
        <v>6.1700000000000005E-2</v>
      </c>
      <c r="L964" s="4"/>
      <c r="M964" s="17">
        <v>1</v>
      </c>
      <c r="N964" s="18">
        <f t="shared" si="106"/>
        <v>6.1700000000000005E-2</v>
      </c>
      <c r="O964" s="19">
        <f t="shared" si="107"/>
        <v>0</v>
      </c>
      <c r="P964" s="13">
        <f t="shared" si="108"/>
        <v>0</v>
      </c>
      <c r="Q964" s="9"/>
      <c r="R964" s="2"/>
      <c r="S964" s="2"/>
    </row>
    <row r="965" spans="1:19">
      <c r="A965" s="42" t="s">
        <v>84</v>
      </c>
      <c r="B965" s="3" t="s">
        <v>119</v>
      </c>
      <c r="C965" s="3">
        <v>5</v>
      </c>
      <c r="D965" s="1"/>
      <c r="E965" s="20" t="s">
        <v>75</v>
      </c>
      <c r="F965" s="7" t="s">
        <v>15</v>
      </c>
      <c r="G965" s="7" t="s">
        <v>27</v>
      </c>
      <c r="H965" s="11">
        <v>6.17</v>
      </c>
      <c r="I965" s="8">
        <v>10.5</v>
      </c>
      <c r="J965" s="26">
        <v>20</v>
      </c>
      <c r="K965" s="10">
        <f t="shared" si="105"/>
        <v>1.2956999999999999</v>
      </c>
      <c r="L965" s="4"/>
      <c r="M965" s="17">
        <v>20</v>
      </c>
      <c r="N965" s="18">
        <f t="shared" si="106"/>
        <v>1.2957000000000001</v>
      </c>
      <c r="O965" s="19">
        <f t="shared" si="107"/>
        <v>0</v>
      </c>
      <c r="P965" s="13">
        <f t="shared" si="108"/>
        <v>0</v>
      </c>
      <c r="Q965" s="9"/>
      <c r="R965" s="2"/>
      <c r="S965" s="2"/>
    </row>
    <row r="966" spans="1:19">
      <c r="A966" s="42" t="s">
        <v>84</v>
      </c>
      <c r="B966" s="3" t="s">
        <v>119</v>
      </c>
      <c r="C966" s="3">
        <v>6</v>
      </c>
      <c r="D966" s="1"/>
      <c r="E966" s="20" t="s">
        <v>75</v>
      </c>
      <c r="F966" s="7" t="s">
        <v>15</v>
      </c>
      <c r="G966" s="7" t="s">
        <v>27</v>
      </c>
      <c r="H966" s="11">
        <v>6.17</v>
      </c>
      <c r="I966" s="8">
        <v>9.8000000000000007</v>
      </c>
      <c r="J966" s="26">
        <v>11</v>
      </c>
      <c r="K966" s="10">
        <f t="shared" si="105"/>
        <v>0.665126</v>
      </c>
      <c r="L966" s="4"/>
      <c r="M966" s="17">
        <v>11</v>
      </c>
      <c r="N966" s="18">
        <f t="shared" si="106"/>
        <v>0.66512600000000011</v>
      </c>
      <c r="O966" s="19">
        <f t="shared" si="107"/>
        <v>0</v>
      </c>
      <c r="P966" s="13">
        <f t="shared" si="108"/>
        <v>0</v>
      </c>
      <c r="Q966" s="9"/>
      <c r="R966" s="2"/>
      <c r="S966" s="2"/>
    </row>
    <row r="967" spans="1:19">
      <c r="A967" s="42" t="s">
        <v>84</v>
      </c>
      <c r="B967" s="3" t="s">
        <v>119</v>
      </c>
      <c r="C967" s="3">
        <v>6</v>
      </c>
      <c r="D967" s="1"/>
      <c r="E967" s="20" t="s">
        <v>75</v>
      </c>
      <c r="F967" s="7" t="s">
        <v>15</v>
      </c>
      <c r="G967" s="7" t="s">
        <v>27</v>
      </c>
      <c r="H967" s="11">
        <v>6.17</v>
      </c>
      <c r="I967" s="8">
        <v>10.199999999999999</v>
      </c>
      <c r="J967" s="26">
        <v>1</v>
      </c>
      <c r="K967" s="10">
        <f t="shared" si="105"/>
        <v>6.2934000000000004E-2</v>
      </c>
      <c r="L967" s="4"/>
      <c r="M967" s="17">
        <v>1</v>
      </c>
      <c r="N967" s="18">
        <f t="shared" si="106"/>
        <v>6.2934000000000004E-2</v>
      </c>
      <c r="O967" s="19">
        <f t="shared" si="107"/>
        <v>0</v>
      </c>
      <c r="P967" s="13">
        <f t="shared" si="108"/>
        <v>0</v>
      </c>
      <c r="Q967" s="9"/>
      <c r="R967" s="2"/>
      <c r="S967" s="2"/>
    </row>
    <row r="968" spans="1:19">
      <c r="A968" s="42" t="s">
        <v>84</v>
      </c>
      <c r="B968" s="3" t="s">
        <v>119</v>
      </c>
      <c r="C968" s="3">
        <v>6</v>
      </c>
      <c r="D968" s="1"/>
      <c r="E968" s="20" t="s">
        <v>75</v>
      </c>
      <c r="F968" s="7" t="s">
        <v>15</v>
      </c>
      <c r="G968" s="7" t="s">
        <v>27</v>
      </c>
      <c r="H968" s="11">
        <v>6.17</v>
      </c>
      <c r="I968" s="8">
        <v>10.5</v>
      </c>
      <c r="J968" s="26">
        <v>2</v>
      </c>
      <c r="K968" s="10">
        <f t="shared" si="105"/>
        <v>0.12956999999999999</v>
      </c>
      <c r="L968" s="4"/>
      <c r="M968" s="17">
        <v>2</v>
      </c>
      <c r="N968" s="18">
        <f t="shared" si="106"/>
        <v>0.12956999999999999</v>
      </c>
      <c r="O968" s="19">
        <f t="shared" si="107"/>
        <v>0</v>
      </c>
      <c r="P968" s="13">
        <f t="shared" si="108"/>
        <v>0</v>
      </c>
      <c r="Q968" s="9"/>
      <c r="R968" s="2"/>
      <c r="S968" s="2"/>
    </row>
    <row r="969" spans="1:19">
      <c r="A969" s="42" t="s">
        <v>84</v>
      </c>
      <c r="B969" s="3" t="s">
        <v>119</v>
      </c>
      <c r="C969" s="3">
        <v>6</v>
      </c>
      <c r="D969" s="1"/>
      <c r="E969" s="20" t="s">
        <v>75</v>
      </c>
      <c r="F969" s="7" t="s">
        <v>15</v>
      </c>
      <c r="G969" s="7" t="s">
        <v>27</v>
      </c>
      <c r="H969" s="11">
        <v>6.17</v>
      </c>
      <c r="I969" s="8">
        <v>11.2</v>
      </c>
      <c r="J969" s="26">
        <v>2</v>
      </c>
      <c r="K969" s="10">
        <f t="shared" si="105"/>
        <v>0.138208</v>
      </c>
      <c r="L969" s="4"/>
      <c r="M969" s="17">
        <v>2</v>
      </c>
      <c r="N969" s="18">
        <f t="shared" si="106"/>
        <v>0.138208</v>
      </c>
      <c r="O969" s="19">
        <f t="shared" si="107"/>
        <v>0</v>
      </c>
      <c r="P969" s="13">
        <f t="shared" si="108"/>
        <v>0</v>
      </c>
      <c r="Q969" s="9"/>
      <c r="R969" s="2"/>
      <c r="S969" s="2"/>
    </row>
    <row r="970" spans="1:19">
      <c r="A970" s="42" t="s">
        <v>84</v>
      </c>
      <c r="B970" s="3" t="s">
        <v>119</v>
      </c>
      <c r="C970" s="3">
        <v>6</v>
      </c>
      <c r="D970" s="1"/>
      <c r="E970" s="20" t="s">
        <v>75</v>
      </c>
      <c r="F970" s="7" t="s">
        <v>15</v>
      </c>
      <c r="G970" s="7" t="s">
        <v>27</v>
      </c>
      <c r="H970" s="11">
        <v>6.17</v>
      </c>
      <c r="I970" s="8">
        <v>11.5</v>
      </c>
      <c r="J970" s="26">
        <v>6</v>
      </c>
      <c r="K970" s="10">
        <f t="shared" si="105"/>
        <v>0.42573</v>
      </c>
      <c r="L970" s="4"/>
      <c r="M970" s="17">
        <v>6</v>
      </c>
      <c r="N970" s="18">
        <f t="shared" si="106"/>
        <v>0.42573</v>
      </c>
      <c r="O970" s="19">
        <f t="shared" si="107"/>
        <v>0</v>
      </c>
      <c r="P970" s="13">
        <f t="shared" si="108"/>
        <v>0</v>
      </c>
      <c r="Q970" s="9"/>
      <c r="R970" s="2"/>
      <c r="S970" s="2"/>
    </row>
    <row r="971" spans="1:19">
      <c r="A971" s="42" t="s">
        <v>84</v>
      </c>
      <c r="B971" s="3" t="s">
        <v>119</v>
      </c>
      <c r="C971" s="3">
        <v>6</v>
      </c>
      <c r="D971" s="1"/>
      <c r="E971" s="20" t="s">
        <v>75</v>
      </c>
      <c r="F971" s="7" t="s">
        <v>15</v>
      </c>
      <c r="G971" s="7" t="s">
        <v>27</v>
      </c>
      <c r="H971" s="11">
        <v>6.17</v>
      </c>
      <c r="I971" s="8">
        <v>11.7</v>
      </c>
      <c r="J971" s="26">
        <v>1</v>
      </c>
      <c r="K971" s="10">
        <f t="shared" si="105"/>
        <v>7.2188999999999989E-2</v>
      </c>
      <c r="L971" s="4"/>
      <c r="M971" s="17">
        <v>1</v>
      </c>
      <c r="N971" s="18">
        <f t="shared" si="106"/>
        <v>7.2188999999999989E-2</v>
      </c>
      <c r="O971" s="19">
        <f t="shared" si="107"/>
        <v>0</v>
      </c>
      <c r="P971" s="13">
        <f t="shared" si="108"/>
        <v>0</v>
      </c>
      <c r="Q971" s="9"/>
      <c r="R971" s="2"/>
      <c r="S971" s="2"/>
    </row>
    <row r="972" spans="1:19">
      <c r="A972" s="42" t="s">
        <v>84</v>
      </c>
      <c r="B972" s="3" t="s">
        <v>119</v>
      </c>
      <c r="C972" s="3">
        <v>6</v>
      </c>
      <c r="D972" s="1"/>
      <c r="E972" s="20" t="s">
        <v>75</v>
      </c>
      <c r="F972" s="7" t="s">
        <v>15</v>
      </c>
      <c r="G972" s="7" t="s">
        <v>27</v>
      </c>
      <c r="H972" s="11">
        <v>6.17</v>
      </c>
      <c r="I972" s="8">
        <v>9.4</v>
      </c>
      <c r="J972" s="26">
        <v>1</v>
      </c>
      <c r="K972" s="10">
        <f t="shared" si="105"/>
        <v>5.7998000000000008E-2</v>
      </c>
      <c r="L972" s="4"/>
      <c r="M972" s="17">
        <v>1</v>
      </c>
      <c r="N972" s="18">
        <f t="shared" si="106"/>
        <v>5.7998000000000008E-2</v>
      </c>
      <c r="O972" s="19">
        <f t="shared" si="107"/>
        <v>0</v>
      </c>
      <c r="P972" s="13">
        <f t="shared" si="108"/>
        <v>0</v>
      </c>
      <c r="Q972" s="9"/>
      <c r="R972" s="2"/>
      <c r="S972" s="2"/>
    </row>
    <row r="973" spans="1:19">
      <c r="A973" s="42" t="s">
        <v>84</v>
      </c>
      <c r="B973" s="3" t="s">
        <v>119</v>
      </c>
      <c r="C973" s="3">
        <v>6</v>
      </c>
      <c r="D973" s="1"/>
      <c r="E973" s="20" t="s">
        <v>75</v>
      </c>
      <c r="F973" s="7" t="s">
        <v>15</v>
      </c>
      <c r="G973" s="7" t="s">
        <v>27</v>
      </c>
      <c r="H973" s="11">
        <v>6.17</v>
      </c>
      <c r="I973" s="8">
        <v>9.8000000000000007</v>
      </c>
      <c r="J973" s="26">
        <v>1</v>
      </c>
      <c r="K973" s="10">
        <f t="shared" si="105"/>
        <v>6.0465999999999999E-2</v>
      </c>
      <c r="L973" s="4"/>
      <c r="M973" s="17">
        <v>1</v>
      </c>
      <c r="N973" s="18">
        <f t="shared" si="106"/>
        <v>6.0465999999999999E-2</v>
      </c>
      <c r="O973" s="19">
        <f t="shared" si="107"/>
        <v>0</v>
      </c>
      <c r="P973" s="13">
        <f t="shared" si="108"/>
        <v>0</v>
      </c>
      <c r="Q973" s="9"/>
      <c r="R973" s="2"/>
      <c r="S973" s="2"/>
    </row>
    <row r="974" spans="1:19">
      <c r="A974" s="42" t="s">
        <v>84</v>
      </c>
      <c r="B974" s="3" t="s">
        <v>119</v>
      </c>
      <c r="C974" s="3">
        <v>6</v>
      </c>
      <c r="D974" s="1"/>
      <c r="E974" s="20" t="s">
        <v>75</v>
      </c>
      <c r="F974" s="7" t="s">
        <v>15</v>
      </c>
      <c r="G974" s="7" t="s">
        <v>27</v>
      </c>
      <c r="H974" s="11">
        <v>6.17</v>
      </c>
      <c r="I974" s="8">
        <v>10</v>
      </c>
      <c r="J974" s="26">
        <v>4</v>
      </c>
      <c r="K974" s="10">
        <f t="shared" si="105"/>
        <v>0.24680000000000002</v>
      </c>
      <c r="L974" s="4"/>
      <c r="M974" s="17">
        <v>4</v>
      </c>
      <c r="N974" s="18">
        <f t="shared" si="106"/>
        <v>0.24680000000000002</v>
      </c>
      <c r="O974" s="19">
        <f t="shared" si="107"/>
        <v>0</v>
      </c>
      <c r="P974" s="13">
        <f t="shared" si="108"/>
        <v>0</v>
      </c>
      <c r="Q974" s="9"/>
      <c r="R974" s="2"/>
      <c r="S974" s="2"/>
    </row>
    <row r="975" spans="1:19">
      <c r="A975" s="42" t="s">
        <v>84</v>
      </c>
      <c r="B975" s="3" t="s">
        <v>119</v>
      </c>
      <c r="C975" s="3">
        <v>7</v>
      </c>
      <c r="D975" s="1"/>
      <c r="E975" s="20" t="s">
        <v>75</v>
      </c>
      <c r="F975" s="7" t="s">
        <v>15</v>
      </c>
      <c r="G975" s="7" t="s">
        <v>27</v>
      </c>
      <c r="H975" s="11">
        <v>6.17</v>
      </c>
      <c r="I975" s="8">
        <v>12</v>
      </c>
      <c r="J975" s="26">
        <v>30</v>
      </c>
      <c r="K975" s="10">
        <f t="shared" si="105"/>
        <v>2.2211999999999996</v>
      </c>
      <c r="L975" s="4"/>
      <c r="M975" s="17">
        <v>30</v>
      </c>
      <c r="N975" s="18">
        <f t="shared" si="106"/>
        <v>2.2211999999999996</v>
      </c>
      <c r="O975" s="19">
        <f t="shared" si="107"/>
        <v>0</v>
      </c>
      <c r="P975" s="13">
        <f t="shared" si="108"/>
        <v>0</v>
      </c>
      <c r="Q975" s="9"/>
      <c r="R975" s="2"/>
      <c r="S975" s="2"/>
    </row>
    <row r="976" spans="1:19">
      <c r="A976" s="42" t="s">
        <v>84</v>
      </c>
      <c r="B976" s="3" t="s">
        <v>119</v>
      </c>
      <c r="C976" s="3">
        <v>7</v>
      </c>
      <c r="D976" s="1"/>
      <c r="E976" s="20" t="s">
        <v>75</v>
      </c>
      <c r="F976" s="7" t="s">
        <v>15</v>
      </c>
      <c r="G976" s="7" t="s">
        <v>27</v>
      </c>
      <c r="H976" s="11">
        <v>6.17</v>
      </c>
      <c r="I976" s="8">
        <v>11.7</v>
      </c>
      <c r="J976" s="26">
        <v>6</v>
      </c>
      <c r="K976" s="10">
        <f t="shared" si="105"/>
        <v>0.43313399999999996</v>
      </c>
      <c r="L976" s="4"/>
      <c r="M976" s="17">
        <v>6</v>
      </c>
      <c r="N976" s="18">
        <f t="shared" si="106"/>
        <v>0.43313399999999991</v>
      </c>
      <c r="O976" s="19">
        <f t="shared" si="107"/>
        <v>0</v>
      </c>
      <c r="P976" s="13">
        <f t="shared" si="108"/>
        <v>0</v>
      </c>
      <c r="Q976" s="9"/>
      <c r="R976" s="2"/>
      <c r="S976" s="2"/>
    </row>
    <row r="977" spans="1:22">
      <c r="A977" s="42" t="s">
        <v>84</v>
      </c>
      <c r="B977" s="3" t="s">
        <v>119</v>
      </c>
      <c r="C977" s="3">
        <v>8</v>
      </c>
      <c r="D977" s="1"/>
      <c r="E977" s="20" t="s">
        <v>75</v>
      </c>
      <c r="F977" s="7" t="s">
        <v>15</v>
      </c>
      <c r="G977" s="7" t="s">
        <v>27</v>
      </c>
      <c r="H977" s="11">
        <v>6.17</v>
      </c>
      <c r="I977" s="8">
        <v>11</v>
      </c>
      <c r="J977" s="26">
        <v>1</v>
      </c>
      <c r="K977" s="10">
        <f t="shared" si="105"/>
        <v>6.787E-2</v>
      </c>
      <c r="L977" s="4"/>
      <c r="M977" s="17">
        <v>1</v>
      </c>
      <c r="N977" s="18">
        <f t="shared" si="106"/>
        <v>6.787E-2</v>
      </c>
      <c r="O977" s="19">
        <f t="shared" si="107"/>
        <v>0</v>
      </c>
      <c r="P977" s="13">
        <f t="shared" si="108"/>
        <v>0</v>
      </c>
      <c r="Q977" s="9"/>
      <c r="R977" s="2"/>
      <c r="S977" s="2"/>
    </row>
    <row r="978" spans="1:22">
      <c r="A978" s="42" t="s">
        <v>84</v>
      </c>
      <c r="B978" s="3" t="s">
        <v>119</v>
      </c>
      <c r="C978" s="3">
        <v>8</v>
      </c>
      <c r="D978" s="1"/>
      <c r="E978" s="20" t="s">
        <v>75</v>
      </c>
      <c r="F978" s="7" t="s">
        <v>15</v>
      </c>
      <c r="G978" s="7" t="s">
        <v>27</v>
      </c>
      <c r="H978" s="11">
        <v>6.17</v>
      </c>
      <c r="I978" s="8">
        <v>11.5</v>
      </c>
      <c r="J978" s="26">
        <v>15</v>
      </c>
      <c r="K978" s="10">
        <f t="shared" si="105"/>
        <v>1.064325</v>
      </c>
      <c r="L978" s="4"/>
      <c r="M978" s="17">
        <v>15</v>
      </c>
      <c r="N978" s="18">
        <f t="shared" si="106"/>
        <v>1.064325</v>
      </c>
      <c r="O978" s="19">
        <f t="shared" si="107"/>
        <v>0</v>
      </c>
      <c r="P978" s="13">
        <f t="shared" si="108"/>
        <v>0</v>
      </c>
      <c r="Q978" s="9"/>
      <c r="R978" s="2"/>
      <c r="S978" s="2"/>
    </row>
    <row r="979" spans="1:22">
      <c r="A979" s="42" t="s">
        <v>84</v>
      </c>
      <c r="B979" s="3" t="s">
        <v>119</v>
      </c>
      <c r="C979" s="3">
        <v>9</v>
      </c>
      <c r="D979" s="1"/>
      <c r="E979" s="20" t="s">
        <v>75</v>
      </c>
      <c r="F979" s="7" t="s">
        <v>15</v>
      </c>
      <c r="G979" s="7" t="s">
        <v>27</v>
      </c>
      <c r="H979" s="11">
        <v>6.17</v>
      </c>
      <c r="I979" s="8">
        <v>12</v>
      </c>
      <c r="J979" s="26">
        <v>34</v>
      </c>
      <c r="K979" s="10">
        <f t="shared" si="105"/>
        <v>2.5173599999999996</v>
      </c>
      <c r="L979" s="4"/>
      <c r="M979" s="17">
        <v>34</v>
      </c>
      <c r="N979" s="18">
        <f t="shared" si="106"/>
        <v>2.51736</v>
      </c>
      <c r="O979" s="19">
        <f t="shared" si="107"/>
        <v>0</v>
      </c>
      <c r="P979" s="13">
        <f t="shared" si="108"/>
        <v>0</v>
      </c>
      <c r="Q979" s="9"/>
      <c r="R979" s="2"/>
      <c r="S979" s="2"/>
    </row>
    <row r="980" spans="1:22">
      <c r="A980" s="42" t="s">
        <v>84</v>
      </c>
      <c r="B980" s="3" t="s">
        <v>119</v>
      </c>
      <c r="C980" s="3">
        <v>1</v>
      </c>
      <c r="D980" s="1"/>
      <c r="E980" s="20" t="s">
        <v>81</v>
      </c>
      <c r="F980" s="7" t="s">
        <v>14</v>
      </c>
      <c r="G980" s="7" t="s">
        <v>28</v>
      </c>
      <c r="H980" s="11">
        <v>12.18</v>
      </c>
      <c r="I980" s="8">
        <v>11.8</v>
      </c>
      <c r="J980" s="26">
        <v>24</v>
      </c>
      <c r="K980" s="10">
        <f t="shared" si="105"/>
        <v>3.449376</v>
      </c>
      <c r="L980" s="4"/>
      <c r="M980" s="17">
        <f>8+4</f>
        <v>12</v>
      </c>
      <c r="N980" s="18">
        <f t="shared" si="106"/>
        <v>1.7246880000000002</v>
      </c>
      <c r="O980" s="19">
        <f t="shared" si="107"/>
        <v>12</v>
      </c>
      <c r="P980" s="13">
        <f t="shared" si="108"/>
        <v>1.7246880000000002</v>
      </c>
      <c r="Q980" s="9"/>
      <c r="R980" s="35">
        <v>4</v>
      </c>
      <c r="S980" s="2" t="s">
        <v>540</v>
      </c>
      <c r="T980" s="9">
        <v>11.8</v>
      </c>
      <c r="U980" s="2">
        <v>8</v>
      </c>
      <c r="V980" s="2" t="s">
        <v>515</v>
      </c>
    </row>
    <row r="981" spans="1:22">
      <c r="A981" s="42" t="s">
        <v>84</v>
      </c>
      <c r="B981" s="3" t="s">
        <v>119</v>
      </c>
      <c r="C981" s="3">
        <v>1</v>
      </c>
      <c r="D981" s="1"/>
      <c r="E981" s="20" t="s">
        <v>81</v>
      </c>
      <c r="F981" s="7" t="s">
        <v>14</v>
      </c>
      <c r="G981" s="7" t="s">
        <v>28</v>
      </c>
      <c r="H981" s="11">
        <v>12.18</v>
      </c>
      <c r="I981" s="8">
        <v>10.7</v>
      </c>
      <c r="J981" s="26">
        <v>1</v>
      </c>
      <c r="K981" s="10">
        <f t="shared" si="105"/>
        <v>0.130326</v>
      </c>
      <c r="L981" s="4"/>
      <c r="M981" s="17"/>
      <c r="N981" s="18">
        <f t="shared" si="106"/>
        <v>0</v>
      </c>
      <c r="O981" s="19">
        <f t="shared" si="107"/>
        <v>1</v>
      </c>
      <c r="P981" s="13">
        <f t="shared" si="108"/>
        <v>0.130326</v>
      </c>
      <c r="Q981" s="9"/>
      <c r="R981" s="2"/>
      <c r="S981" s="2"/>
    </row>
    <row r="982" spans="1:22">
      <c r="A982" s="42" t="s">
        <v>84</v>
      </c>
      <c r="B982" s="3" t="s">
        <v>119</v>
      </c>
      <c r="C982" s="3">
        <v>1</v>
      </c>
      <c r="D982" s="1"/>
      <c r="E982" s="20" t="s">
        <v>81</v>
      </c>
      <c r="F982" s="7" t="s">
        <v>14</v>
      </c>
      <c r="G982" s="7" t="s">
        <v>23</v>
      </c>
      <c r="H982" s="11">
        <v>9</v>
      </c>
      <c r="I982" s="8">
        <v>6</v>
      </c>
      <c r="J982" s="26">
        <v>1</v>
      </c>
      <c r="K982" s="10">
        <f t="shared" si="105"/>
        <v>5.3999999999999999E-2</v>
      </c>
      <c r="L982" s="4"/>
      <c r="M982" s="17"/>
      <c r="N982" s="18">
        <f t="shared" si="106"/>
        <v>0</v>
      </c>
      <c r="O982" s="19">
        <f t="shared" si="107"/>
        <v>1</v>
      </c>
      <c r="P982" s="13">
        <f t="shared" si="108"/>
        <v>5.3999999999999999E-2</v>
      </c>
      <c r="Q982" s="9"/>
      <c r="R982" s="2"/>
      <c r="S982" s="2"/>
    </row>
    <row r="983" spans="1:22">
      <c r="A983" s="42" t="s">
        <v>84</v>
      </c>
      <c r="B983" s="3" t="s">
        <v>119</v>
      </c>
      <c r="C983" s="3">
        <v>1</v>
      </c>
      <c r="D983" s="1"/>
      <c r="E983" s="20" t="s">
        <v>81</v>
      </c>
      <c r="F983" s="7" t="s">
        <v>14</v>
      </c>
      <c r="G983" s="7" t="s">
        <v>23</v>
      </c>
      <c r="H983" s="11">
        <v>9</v>
      </c>
      <c r="I983" s="8">
        <v>9.1</v>
      </c>
      <c r="J983" s="26">
        <v>1</v>
      </c>
      <c r="K983" s="10">
        <f t="shared" si="105"/>
        <v>8.1899999999999987E-2</v>
      </c>
      <c r="L983" s="4"/>
      <c r="M983" s="17"/>
      <c r="N983" s="18">
        <f t="shared" si="106"/>
        <v>0</v>
      </c>
      <c r="O983" s="19">
        <f t="shared" si="107"/>
        <v>1</v>
      </c>
      <c r="P983" s="13">
        <f t="shared" si="108"/>
        <v>8.1899999999999987E-2</v>
      </c>
      <c r="Q983" s="9"/>
      <c r="R983" s="2"/>
      <c r="S983" s="2"/>
    </row>
    <row r="984" spans="1:22">
      <c r="A984" s="42" t="s">
        <v>84</v>
      </c>
      <c r="B984" s="3" t="s">
        <v>119</v>
      </c>
      <c r="C984" s="3">
        <v>1</v>
      </c>
      <c r="D984" s="1"/>
      <c r="E984" s="20" t="s">
        <v>81</v>
      </c>
      <c r="F984" s="7" t="s">
        <v>14</v>
      </c>
      <c r="G984" s="7" t="s">
        <v>23</v>
      </c>
      <c r="H984" s="11">
        <v>9</v>
      </c>
      <c r="I984" s="8">
        <v>8.1999999999999993</v>
      </c>
      <c r="J984" s="26">
        <v>1</v>
      </c>
      <c r="K984" s="10">
        <f t="shared" si="105"/>
        <v>7.3799999999999991E-2</v>
      </c>
      <c r="L984" s="4"/>
      <c r="M984" s="17"/>
      <c r="N984" s="18">
        <f t="shared" si="106"/>
        <v>0</v>
      </c>
      <c r="O984" s="19">
        <f t="shared" si="107"/>
        <v>1</v>
      </c>
      <c r="P984" s="13">
        <f t="shared" si="108"/>
        <v>7.3799999999999991E-2</v>
      </c>
      <c r="Q984" s="9"/>
      <c r="R984" s="2"/>
      <c r="S984" s="2"/>
    </row>
    <row r="985" spans="1:22">
      <c r="A985" s="42" t="s">
        <v>84</v>
      </c>
      <c r="B985" s="3" t="s">
        <v>119</v>
      </c>
      <c r="C985" s="3">
        <v>1</v>
      </c>
      <c r="D985" s="1"/>
      <c r="E985" s="20" t="s">
        <v>81</v>
      </c>
      <c r="F985" s="7" t="s">
        <v>14</v>
      </c>
      <c r="G985" s="7" t="s">
        <v>23</v>
      </c>
      <c r="H985" s="11">
        <v>9</v>
      </c>
      <c r="I985" s="8">
        <v>8.75</v>
      </c>
      <c r="J985" s="26">
        <v>1</v>
      </c>
      <c r="K985" s="10">
        <f t="shared" si="105"/>
        <v>7.8750000000000001E-2</v>
      </c>
      <c r="L985" s="4"/>
      <c r="M985" s="17"/>
      <c r="N985" s="18">
        <f t="shared" si="106"/>
        <v>0</v>
      </c>
      <c r="O985" s="19">
        <f t="shared" si="107"/>
        <v>1</v>
      </c>
      <c r="P985" s="13">
        <f t="shared" si="108"/>
        <v>7.8750000000000001E-2</v>
      </c>
      <c r="Q985" s="9"/>
      <c r="R985" s="2"/>
      <c r="S985" s="2"/>
    </row>
    <row r="986" spans="1:22">
      <c r="A986" s="42" t="s">
        <v>84</v>
      </c>
      <c r="B986" s="3" t="s">
        <v>119</v>
      </c>
      <c r="C986" s="3">
        <v>1</v>
      </c>
      <c r="D986" s="1"/>
      <c r="E986" s="20" t="s">
        <v>81</v>
      </c>
      <c r="F986" s="7" t="s">
        <v>14</v>
      </c>
      <c r="G986" s="7" t="s">
        <v>23</v>
      </c>
      <c r="H986" s="11">
        <v>9</v>
      </c>
      <c r="I986" s="8">
        <v>8.9</v>
      </c>
      <c r="J986" s="26">
        <v>1</v>
      </c>
      <c r="K986" s="10">
        <f t="shared" si="105"/>
        <v>8.0100000000000005E-2</v>
      </c>
      <c r="L986" s="4"/>
      <c r="M986" s="17"/>
      <c r="N986" s="18">
        <f t="shared" si="106"/>
        <v>0</v>
      </c>
      <c r="O986" s="19">
        <f t="shared" si="107"/>
        <v>1</v>
      </c>
      <c r="P986" s="13">
        <f t="shared" si="108"/>
        <v>8.0100000000000005E-2</v>
      </c>
      <c r="Q986" s="9"/>
      <c r="R986" s="2"/>
      <c r="S986" s="2"/>
    </row>
    <row r="987" spans="1:22">
      <c r="A987" s="42" t="s">
        <v>84</v>
      </c>
      <c r="B987" s="3" t="s">
        <v>119</v>
      </c>
      <c r="C987" s="3">
        <v>1</v>
      </c>
      <c r="D987" s="1"/>
      <c r="E987" s="20" t="s">
        <v>81</v>
      </c>
      <c r="F987" s="7" t="s">
        <v>14</v>
      </c>
      <c r="G987" s="7" t="s">
        <v>23</v>
      </c>
      <c r="H987" s="11">
        <v>9</v>
      </c>
      <c r="I987" s="8">
        <v>10.5</v>
      </c>
      <c r="J987" s="26">
        <v>4</v>
      </c>
      <c r="K987" s="10">
        <f t="shared" si="105"/>
        <v>0.378</v>
      </c>
      <c r="L987" s="4"/>
      <c r="M987" s="17">
        <v>4</v>
      </c>
      <c r="N987" s="18">
        <f t="shared" si="106"/>
        <v>0.378</v>
      </c>
      <c r="O987" s="19">
        <f t="shared" si="107"/>
        <v>0</v>
      </c>
      <c r="P987" s="13">
        <f t="shared" si="108"/>
        <v>0</v>
      </c>
      <c r="Q987" s="9">
        <v>10</v>
      </c>
      <c r="R987" s="2">
        <v>4</v>
      </c>
      <c r="S987" s="2"/>
    </row>
    <row r="988" spans="1:22">
      <c r="A988" s="42" t="s">
        <v>84</v>
      </c>
      <c r="B988" s="3" t="s">
        <v>119</v>
      </c>
      <c r="C988" s="3">
        <v>2</v>
      </c>
      <c r="D988" s="1"/>
      <c r="E988" s="20" t="s">
        <v>81</v>
      </c>
      <c r="F988" s="7" t="s">
        <v>14</v>
      </c>
      <c r="G988" s="7" t="s">
        <v>23</v>
      </c>
      <c r="H988" s="11">
        <v>9</v>
      </c>
      <c r="I988" s="8">
        <v>11.5</v>
      </c>
      <c r="J988" s="26">
        <v>1</v>
      </c>
      <c r="K988" s="10">
        <f t="shared" si="105"/>
        <v>0.10349999999999999</v>
      </c>
      <c r="L988" s="4"/>
      <c r="M988" s="17"/>
      <c r="N988" s="18">
        <f t="shared" si="106"/>
        <v>0</v>
      </c>
      <c r="O988" s="19">
        <f t="shared" si="107"/>
        <v>1</v>
      </c>
      <c r="P988" s="13">
        <f t="shared" si="108"/>
        <v>0.10349999999999999</v>
      </c>
      <c r="Q988" s="9"/>
      <c r="R988" s="2">
        <v>1</v>
      </c>
      <c r="S988" s="2"/>
    </row>
    <row r="989" spans="1:22">
      <c r="A989" s="42" t="s">
        <v>84</v>
      </c>
      <c r="B989" s="3" t="s">
        <v>119</v>
      </c>
      <c r="C989" s="3">
        <v>2</v>
      </c>
      <c r="D989" s="1"/>
      <c r="E989" s="20" t="s">
        <v>81</v>
      </c>
      <c r="F989" s="7" t="s">
        <v>14</v>
      </c>
      <c r="G989" s="7" t="s">
        <v>23</v>
      </c>
      <c r="H989" s="11">
        <v>9</v>
      </c>
      <c r="I989" s="8">
        <v>11</v>
      </c>
      <c r="J989" s="26">
        <v>1</v>
      </c>
      <c r="K989" s="10">
        <f t="shared" si="105"/>
        <v>9.9000000000000005E-2</v>
      </c>
      <c r="L989" s="4"/>
      <c r="M989" s="17"/>
      <c r="N989" s="18">
        <f t="shared" si="106"/>
        <v>0</v>
      </c>
      <c r="O989" s="19">
        <f t="shared" si="107"/>
        <v>1</v>
      </c>
      <c r="P989" s="13">
        <f t="shared" si="108"/>
        <v>9.9000000000000005E-2</v>
      </c>
      <c r="Q989" s="9"/>
      <c r="R989" s="2">
        <v>1</v>
      </c>
      <c r="S989" s="2"/>
    </row>
    <row r="990" spans="1:22">
      <c r="A990" s="42" t="s">
        <v>84</v>
      </c>
      <c r="B990" s="3" t="s">
        <v>119</v>
      </c>
      <c r="C990" s="3">
        <v>2</v>
      </c>
      <c r="D990" s="1"/>
      <c r="E990" s="20" t="s">
        <v>81</v>
      </c>
      <c r="F990" s="7" t="s">
        <v>14</v>
      </c>
      <c r="G990" s="7" t="s">
        <v>23</v>
      </c>
      <c r="H990" s="11">
        <v>9</v>
      </c>
      <c r="I990" s="8">
        <v>11.7</v>
      </c>
      <c r="J990" s="26">
        <v>1</v>
      </c>
      <c r="K990" s="10">
        <f t="shared" si="105"/>
        <v>0.10529999999999999</v>
      </c>
      <c r="L990" s="4"/>
      <c r="M990" s="17"/>
      <c r="N990" s="18">
        <f t="shared" si="106"/>
        <v>0</v>
      </c>
      <c r="O990" s="19">
        <f t="shared" si="107"/>
        <v>1</v>
      </c>
      <c r="P990" s="13">
        <f t="shared" si="108"/>
        <v>0.10529999999999999</v>
      </c>
      <c r="Q990" s="9"/>
      <c r="R990" s="2">
        <v>1</v>
      </c>
      <c r="S990" s="2"/>
    </row>
    <row r="991" spans="1:22">
      <c r="A991" s="42" t="s">
        <v>84</v>
      </c>
      <c r="B991" s="3" t="s">
        <v>119</v>
      </c>
      <c r="C991" s="3">
        <v>2</v>
      </c>
      <c r="D991" s="1"/>
      <c r="E991" s="20" t="s">
        <v>81</v>
      </c>
      <c r="F991" s="7" t="s">
        <v>14</v>
      </c>
      <c r="G991" s="7" t="s">
        <v>23</v>
      </c>
      <c r="H991" s="11">
        <v>9</v>
      </c>
      <c r="I991" s="8">
        <v>12</v>
      </c>
      <c r="J991" s="26">
        <v>14</v>
      </c>
      <c r="K991" s="10">
        <f t="shared" si="105"/>
        <v>1.512</v>
      </c>
      <c r="L991" s="4"/>
      <c r="M991" s="17">
        <v>14</v>
      </c>
      <c r="N991" s="18">
        <f t="shared" si="106"/>
        <v>1.512</v>
      </c>
      <c r="O991" s="19">
        <f t="shared" si="107"/>
        <v>0</v>
      </c>
      <c r="P991" s="13">
        <f t="shared" si="108"/>
        <v>0</v>
      </c>
      <c r="Q991" s="9">
        <v>11</v>
      </c>
      <c r="R991" s="2">
        <v>14</v>
      </c>
      <c r="S991" s="2"/>
    </row>
    <row r="992" spans="1:22">
      <c r="A992" s="42" t="s">
        <v>84</v>
      </c>
      <c r="B992" s="3" t="s">
        <v>119</v>
      </c>
      <c r="C992" s="3">
        <v>3</v>
      </c>
      <c r="D992" s="1"/>
      <c r="E992" s="20" t="s">
        <v>81</v>
      </c>
      <c r="F992" s="7" t="s">
        <v>14</v>
      </c>
      <c r="G992" s="7" t="s">
        <v>23</v>
      </c>
      <c r="H992" s="11">
        <v>9</v>
      </c>
      <c r="I992" s="8">
        <v>12.8</v>
      </c>
      <c r="J992" s="26">
        <v>5</v>
      </c>
      <c r="K992" s="10">
        <f t="shared" si="105"/>
        <v>0.57599999999999996</v>
      </c>
      <c r="L992" s="4"/>
      <c r="M992" s="17">
        <v>5</v>
      </c>
      <c r="N992" s="18">
        <f t="shared" si="106"/>
        <v>0.57599999999999996</v>
      </c>
      <c r="O992" s="19">
        <f t="shared" si="107"/>
        <v>0</v>
      </c>
      <c r="P992" s="13">
        <f t="shared" si="108"/>
        <v>0</v>
      </c>
      <c r="Q992" s="9"/>
      <c r="R992" s="2"/>
      <c r="S992" s="2"/>
    </row>
    <row r="993" spans="1:19">
      <c r="A993" s="42" t="s">
        <v>84</v>
      </c>
      <c r="B993" s="3" t="s">
        <v>119</v>
      </c>
      <c r="C993" s="3">
        <v>3</v>
      </c>
      <c r="D993" s="1"/>
      <c r="E993" s="20" t="s">
        <v>81</v>
      </c>
      <c r="F993" s="7" t="s">
        <v>14</v>
      </c>
      <c r="G993" s="7" t="s">
        <v>23</v>
      </c>
      <c r="H993" s="11">
        <v>9</v>
      </c>
      <c r="I993" s="8">
        <v>12</v>
      </c>
      <c r="J993" s="26">
        <v>24</v>
      </c>
      <c r="K993" s="10">
        <f t="shared" si="105"/>
        <v>2.5920000000000001</v>
      </c>
      <c r="L993" s="4"/>
      <c r="M993" s="17">
        <v>24</v>
      </c>
      <c r="N993" s="18">
        <f t="shared" si="106"/>
        <v>2.5920000000000001</v>
      </c>
      <c r="O993" s="19">
        <f t="shared" si="107"/>
        <v>0</v>
      </c>
      <c r="P993" s="13">
        <f t="shared" si="108"/>
        <v>0</v>
      </c>
      <c r="Q993" s="9">
        <v>11.5</v>
      </c>
      <c r="R993" s="2">
        <v>24</v>
      </c>
      <c r="S993" s="2"/>
    </row>
    <row r="994" spans="1:19">
      <c r="A994" s="42" t="s">
        <v>84</v>
      </c>
      <c r="B994" s="3" t="s">
        <v>119</v>
      </c>
      <c r="C994" s="3">
        <v>4</v>
      </c>
      <c r="D994" s="1"/>
      <c r="E994" s="20" t="s">
        <v>81</v>
      </c>
      <c r="F994" s="7" t="s">
        <v>14</v>
      </c>
      <c r="G994" s="7" t="s">
        <v>23</v>
      </c>
      <c r="H994" s="11">
        <v>9</v>
      </c>
      <c r="I994" s="8">
        <v>11.7</v>
      </c>
      <c r="J994" s="26">
        <v>3</v>
      </c>
      <c r="K994" s="10">
        <f t="shared" si="105"/>
        <v>0.31589999999999996</v>
      </c>
      <c r="L994" s="4"/>
      <c r="M994" s="17"/>
      <c r="N994" s="18">
        <f t="shared" si="106"/>
        <v>0</v>
      </c>
      <c r="O994" s="19">
        <f t="shared" si="107"/>
        <v>3</v>
      </c>
      <c r="P994" s="13">
        <f t="shared" si="108"/>
        <v>0.31589999999999996</v>
      </c>
      <c r="Q994" s="9"/>
      <c r="R994" s="2">
        <v>3</v>
      </c>
      <c r="S994" s="2"/>
    </row>
    <row r="995" spans="1:19">
      <c r="A995" s="42" t="s">
        <v>84</v>
      </c>
      <c r="B995" s="3" t="s">
        <v>119</v>
      </c>
      <c r="C995" s="3">
        <v>4</v>
      </c>
      <c r="D995" s="1"/>
      <c r="E995" s="20" t="s">
        <v>81</v>
      </c>
      <c r="F995" s="7" t="s">
        <v>14</v>
      </c>
      <c r="G995" s="7" t="s">
        <v>23</v>
      </c>
      <c r="H995" s="11">
        <v>9</v>
      </c>
      <c r="I995" s="8">
        <v>12.8</v>
      </c>
      <c r="J995" s="26">
        <v>3</v>
      </c>
      <c r="K995" s="10">
        <f t="shared" si="105"/>
        <v>0.34560000000000002</v>
      </c>
      <c r="L995" s="4"/>
      <c r="M995" s="17">
        <v>1</v>
      </c>
      <c r="N995" s="18">
        <f t="shared" si="106"/>
        <v>0.1152</v>
      </c>
      <c r="O995" s="19">
        <f t="shared" si="107"/>
        <v>2</v>
      </c>
      <c r="P995" s="13">
        <f t="shared" si="108"/>
        <v>0.23039999999999999</v>
      </c>
      <c r="Q995" s="9"/>
      <c r="R995" s="2">
        <v>3</v>
      </c>
      <c r="S995" s="2"/>
    </row>
    <row r="996" spans="1:19">
      <c r="A996" s="42" t="s">
        <v>84</v>
      </c>
      <c r="B996" s="3" t="s">
        <v>119</v>
      </c>
      <c r="C996" s="3">
        <v>1</v>
      </c>
      <c r="D996" s="1"/>
      <c r="E996" s="20" t="s">
        <v>76</v>
      </c>
      <c r="F996" s="7" t="s">
        <v>15</v>
      </c>
      <c r="G996" s="7" t="s">
        <v>112</v>
      </c>
      <c r="H996" s="11">
        <v>25.4</v>
      </c>
      <c r="I996" s="8">
        <v>10</v>
      </c>
      <c r="J996" s="26">
        <v>1</v>
      </c>
      <c r="K996" s="10">
        <f t="shared" ref="K996:K1039" si="109">(H996*I996*J996/1000)</f>
        <v>0.254</v>
      </c>
      <c r="L996" s="4"/>
      <c r="M996" s="17"/>
      <c r="N996" s="18">
        <f t="shared" ref="N996:N1039" si="110">I996*M996*H996/1000</f>
        <v>0</v>
      </c>
      <c r="O996" s="106">
        <f t="shared" ref="O996:O1039" si="111">J996-M996</f>
        <v>1</v>
      </c>
      <c r="P996" s="13">
        <f t="shared" ref="P996:P1039" si="112">I996*O996*H996/1000</f>
        <v>0.254</v>
      </c>
      <c r="Q996" s="9" t="s">
        <v>361</v>
      </c>
      <c r="R996" s="2"/>
      <c r="S996" s="2"/>
    </row>
    <row r="997" spans="1:19">
      <c r="A997" s="42" t="s">
        <v>84</v>
      </c>
      <c r="B997" s="3"/>
      <c r="C997" s="3">
        <v>1</v>
      </c>
      <c r="D997" s="1"/>
      <c r="E997" s="20" t="s">
        <v>76</v>
      </c>
      <c r="F997" s="7" t="s">
        <v>15</v>
      </c>
      <c r="G997" s="7" t="s">
        <v>112</v>
      </c>
      <c r="H997" s="11">
        <v>25.4</v>
      </c>
      <c r="I997" s="8">
        <v>11.3</v>
      </c>
      <c r="J997" s="26">
        <v>2</v>
      </c>
      <c r="K997" s="10">
        <f t="shared" si="109"/>
        <v>0.57403999999999999</v>
      </c>
      <c r="L997" s="4"/>
      <c r="M997" s="17"/>
      <c r="N997" s="18">
        <f t="shared" si="110"/>
        <v>0</v>
      </c>
      <c r="O997" s="106">
        <f t="shared" si="111"/>
        <v>2</v>
      </c>
      <c r="P997" s="13">
        <f t="shared" si="112"/>
        <v>0.57403999999999999</v>
      </c>
      <c r="Q997" s="9" t="s">
        <v>361</v>
      </c>
      <c r="R997" s="2"/>
      <c r="S997" s="2"/>
    </row>
    <row r="998" spans="1:19">
      <c r="A998" s="42" t="s">
        <v>84</v>
      </c>
      <c r="B998" s="3" t="s">
        <v>120</v>
      </c>
      <c r="C998" s="3">
        <v>2</v>
      </c>
      <c r="D998" s="1"/>
      <c r="E998" s="20" t="s">
        <v>76</v>
      </c>
      <c r="F998" s="7" t="s">
        <v>15</v>
      </c>
      <c r="G998" s="7" t="s">
        <v>48</v>
      </c>
      <c r="H998" s="11">
        <v>23.6</v>
      </c>
      <c r="I998" s="8">
        <v>10.7</v>
      </c>
      <c r="J998" s="26">
        <v>1</v>
      </c>
      <c r="K998" s="10">
        <f t="shared" si="109"/>
        <v>0.25252000000000002</v>
      </c>
      <c r="L998" s="4"/>
      <c r="M998" s="17">
        <v>1</v>
      </c>
      <c r="N998" s="18">
        <f t="shared" si="110"/>
        <v>0.25252000000000002</v>
      </c>
      <c r="O998" s="19">
        <f t="shared" si="111"/>
        <v>0</v>
      </c>
      <c r="P998" s="13">
        <f t="shared" si="112"/>
        <v>0</v>
      </c>
      <c r="Q998" s="9">
        <v>10</v>
      </c>
      <c r="R998" s="2">
        <v>1</v>
      </c>
      <c r="S998" s="2" t="s">
        <v>457</v>
      </c>
    </row>
    <row r="999" spans="1:19">
      <c r="A999" s="42" t="s">
        <v>84</v>
      </c>
      <c r="B999" s="3" t="s">
        <v>120</v>
      </c>
      <c r="C999" s="3">
        <v>2</v>
      </c>
      <c r="D999" s="1"/>
      <c r="E999" s="20" t="s">
        <v>76</v>
      </c>
      <c r="F999" s="7" t="s">
        <v>15</v>
      </c>
      <c r="G999" s="7" t="s">
        <v>48</v>
      </c>
      <c r="H999" s="11">
        <v>23.6</v>
      </c>
      <c r="I999" s="8">
        <v>11.3</v>
      </c>
      <c r="J999" s="26">
        <v>2</v>
      </c>
      <c r="K999" s="10">
        <f t="shared" si="109"/>
        <v>0.53336000000000006</v>
      </c>
      <c r="L999" s="4"/>
      <c r="M999" s="17">
        <v>2</v>
      </c>
      <c r="N999" s="18">
        <f t="shared" si="110"/>
        <v>0.53336000000000006</v>
      </c>
      <c r="O999" s="19">
        <f t="shared" si="111"/>
        <v>0</v>
      </c>
      <c r="P999" s="13">
        <f t="shared" si="112"/>
        <v>0</v>
      </c>
      <c r="Q999" s="9"/>
      <c r="R999" s="2"/>
      <c r="S999" s="2"/>
    </row>
    <row r="1000" spans="1:19">
      <c r="A1000" s="42" t="s">
        <v>84</v>
      </c>
      <c r="B1000" s="3" t="s">
        <v>120</v>
      </c>
      <c r="C1000" s="3">
        <v>3</v>
      </c>
      <c r="D1000" s="1"/>
      <c r="E1000" s="20" t="s">
        <v>76</v>
      </c>
      <c r="F1000" s="7" t="s">
        <v>15</v>
      </c>
      <c r="G1000" s="7" t="s">
        <v>48</v>
      </c>
      <c r="H1000" s="11">
        <v>23.6</v>
      </c>
      <c r="I1000" s="8">
        <v>11.65</v>
      </c>
      <c r="J1000" s="26">
        <v>11</v>
      </c>
      <c r="K1000" s="10">
        <f t="shared" si="109"/>
        <v>3.02434</v>
      </c>
      <c r="L1000" s="4"/>
      <c r="M1000" s="17">
        <v>11</v>
      </c>
      <c r="N1000" s="18">
        <f t="shared" si="110"/>
        <v>3.02434</v>
      </c>
      <c r="O1000" s="19">
        <f t="shared" si="111"/>
        <v>0</v>
      </c>
      <c r="P1000" s="13">
        <f t="shared" si="112"/>
        <v>0</v>
      </c>
      <c r="Q1000" s="9"/>
      <c r="R1000" s="2"/>
      <c r="S1000" s="2"/>
    </row>
    <row r="1001" spans="1:19">
      <c r="A1001" s="42" t="s">
        <v>84</v>
      </c>
      <c r="B1001" s="3" t="s">
        <v>120</v>
      </c>
      <c r="C1001" s="3">
        <v>4</v>
      </c>
      <c r="D1001" s="1"/>
      <c r="E1001" s="20" t="s">
        <v>76</v>
      </c>
      <c r="F1001" s="7" t="s">
        <v>15</v>
      </c>
      <c r="G1001" s="7" t="s">
        <v>48</v>
      </c>
      <c r="H1001" s="11">
        <v>23.6</v>
      </c>
      <c r="I1001" s="8">
        <v>11.65</v>
      </c>
      <c r="J1001" s="26">
        <v>12</v>
      </c>
      <c r="K1001" s="10">
        <f t="shared" si="109"/>
        <v>3.2992799999999995</v>
      </c>
      <c r="L1001" s="4"/>
      <c r="M1001" s="17">
        <v>12</v>
      </c>
      <c r="N1001" s="18">
        <f t="shared" si="110"/>
        <v>3.2992800000000004</v>
      </c>
      <c r="O1001" s="19">
        <f t="shared" si="111"/>
        <v>0</v>
      </c>
      <c r="P1001" s="13">
        <f t="shared" si="112"/>
        <v>0</v>
      </c>
      <c r="Q1001" s="9"/>
      <c r="R1001" s="2"/>
      <c r="S1001" s="2"/>
    </row>
    <row r="1002" spans="1:19">
      <c r="A1002" s="42" t="s">
        <v>84</v>
      </c>
      <c r="B1002" s="3" t="s">
        <v>120</v>
      </c>
      <c r="C1002" s="3">
        <v>5</v>
      </c>
      <c r="D1002" s="1"/>
      <c r="E1002" s="20" t="s">
        <v>76</v>
      </c>
      <c r="F1002" s="7" t="s">
        <v>15</v>
      </c>
      <c r="G1002" s="7" t="s">
        <v>48</v>
      </c>
      <c r="H1002" s="11">
        <v>23.6</v>
      </c>
      <c r="I1002" s="8">
        <v>11.65</v>
      </c>
      <c r="J1002" s="26">
        <v>11</v>
      </c>
      <c r="K1002" s="10">
        <f t="shared" si="109"/>
        <v>3.02434</v>
      </c>
      <c r="L1002" s="4"/>
      <c r="M1002" s="17">
        <v>11</v>
      </c>
      <c r="N1002" s="18">
        <f t="shared" si="110"/>
        <v>3.02434</v>
      </c>
      <c r="O1002" s="19">
        <f t="shared" si="111"/>
        <v>0</v>
      </c>
      <c r="P1002" s="13">
        <f t="shared" si="112"/>
        <v>0</v>
      </c>
      <c r="Q1002" s="9"/>
      <c r="R1002" s="2"/>
      <c r="S1002" s="2"/>
    </row>
    <row r="1003" spans="1:19">
      <c r="A1003" s="42" t="s">
        <v>84</v>
      </c>
      <c r="B1003" s="3" t="s">
        <v>120</v>
      </c>
      <c r="C1003" s="3">
        <v>6</v>
      </c>
      <c r="D1003" s="1"/>
      <c r="E1003" s="20" t="s">
        <v>76</v>
      </c>
      <c r="F1003" s="7" t="s">
        <v>15</v>
      </c>
      <c r="G1003" s="7" t="s">
        <v>48</v>
      </c>
      <c r="H1003" s="11">
        <v>23.6</v>
      </c>
      <c r="I1003" s="8">
        <v>11.65</v>
      </c>
      <c r="J1003" s="26">
        <v>2</v>
      </c>
      <c r="K1003" s="10">
        <f t="shared" si="109"/>
        <v>0.54988000000000004</v>
      </c>
      <c r="L1003" s="4"/>
      <c r="M1003" s="17">
        <v>2</v>
      </c>
      <c r="N1003" s="18">
        <f t="shared" si="110"/>
        <v>0.54988000000000004</v>
      </c>
      <c r="O1003" s="19">
        <f t="shared" si="111"/>
        <v>0</v>
      </c>
      <c r="P1003" s="13">
        <f t="shared" si="112"/>
        <v>0</v>
      </c>
      <c r="Q1003" s="9"/>
      <c r="R1003" s="2"/>
      <c r="S1003" s="2"/>
    </row>
    <row r="1004" spans="1:19">
      <c r="A1004" s="42" t="s">
        <v>84</v>
      </c>
      <c r="B1004" s="3" t="s">
        <v>120</v>
      </c>
      <c r="C1004" s="3">
        <v>7</v>
      </c>
      <c r="D1004" s="1"/>
      <c r="E1004" s="20" t="s">
        <v>76</v>
      </c>
      <c r="F1004" s="7" t="s">
        <v>15</v>
      </c>
      <c r="G1004" s="7" t="s">
        <v>48</v>
      </c>
      <c r="H1004" s="11">
        <v>23.6</v>
      </c>
      <c r="I1004" s="8">
        <v>11.65</v>
      </c>
      <c r="J1004" s="26">
        <v>11</v>
      </c>
      <c r="K1004" s="10">
        <f t="shared" si="109"/>
        <v>3.02434</v>
      </c>
      <c r="L1004" s="4"/>
      <c r="M1004" s="17">
        <v>11</v>
      </c>
      <c r="N1004" s="18">
        <f t="shared" si="110"/>
        <v>3.02434</v>
      </c>
      <c r="O1004" s="19">
        <f t="shared" si="111"/>
        <v>0</v>
      </c>
      <c r="P1004" s="13">
        <f t="shared" si="112"/>
        <v>0</v>
      </c>
      <c r="Q1004" s="9"/>
      <c r="R1004" s="2"/>
      <c r="S1004" s="2"/>
    </row>
    <row r="1005" spans="1:19">
      <c r="A1005" s="42" t="s">
        <v>84</v>
      </c>
      <c r="B1005" s="3" t="s">
        <v>120</v>
      </c>
      <c r="C1005" s="3">
        <v>8</v>
      </c>
      <c r="D1005" s="1"/>
      <c r="E1005" s="20" t="s">
        <v>76</v>
      </c>
      <c r="F1005" s="7" t="s">
        <v>15</v>
      </c>
      <c r="G1005" s="7" t="s">
        <v>48</v>
      </c>
      <c r="H1005" s="11">
        <v>23.6</v>
      </c>
      <c r="I1005" s="8">
        <v>11.3</v>
      </c>
      <c r="J1005" s="26">
        <v>11</v>
      </c>
      <c r="K1005" s="10">
        <f t="shared" si="109"/>
        <v>2.9334799999999999</v>
      </c>
      <c r="L1005" s="4"/>
      <c r="M1005" s="17">
        <v>11</v>
      </c>
      <c r="N1005" s="18">
        <f t="shared" si="110"/>
        <v>2.9334800000000003</v>
      </c>
      <c r="O1005" s="19">
        <f t="shared" si="111"/>
        <v>0</v>
      </c>
      <c r="P1005" s="13">
        <f t="shared" si="112"/>
        <v>0</v>
      </c>
      <c r="Q1005" s="9"/>
      <c r="R1005" s="2"/>
      <c r="S1005" s="2"/>
    </row>
    <row r="1006" spans="1:19">
      <c r="A1006" s="42" t="s">
        <v>84</v>
      </c>
      <c r="B1006" s="3" t="s">
        <v>120</v>
      </c>
      <c r="C1006" s="3">
        <v>9</v>
      </c>
      <c r="D1006" s="1"/>
      <c r="E1006" s="20" t="s">
        <v>76</v>
      </c>
      <c r="F1006" s="7" t="s">
        <v>15</v>
      </c>
      <c r="G1006" s="7" t="s">
        <v>48</v>
      </c>
      <c r="H1006" s="11">
        <v>23.6</v>
      </c>
      <c r="I1006" s="8">
        <v>11.65</v>
      </c>
      <c r="J1006" s="26">
        <v>12</v>
      </c>
      <c r="K1006" s="10">
        <f t="shared" si="109"/>
        <v>3.2992799999999995</v>
      </c>
      <c r="L1006" s="4"/>
      <c r="M1006" s="17">
        <v>12</v>
      </c>
      <c r="N1006" s="18">
        <f t="shared" si="110"/>
        <v>3.2992800000000004</v>
      </c>
      <c r="O1006" s="19">
        <f t="shared" si="111"/>
        <v>0</v>
      </c>
      <c r="P1006" s="13">
        <f t="shared" si="112"/>
        <v>0</v>
      </c>
      <c r="Q1006" s="9"/>
      <c r="R1006" s="2"/>
      <c r="S1006" s="2"/>
    </row>
    <row r="1007" spans="1:19">
      <c r="A1007" s="42" t="s">
        <v>84</v>
      </c>
      <c r="B1007" s="3" t="s">
        <v>120</v>
      </c>
      <c r="C1007" s="3">
        <v>10</v>
      </c>
      <c r="D1007" s="1"/>
      <c r="E1007" s="20" t="s">
        <v>76</v>
      </c>
      <c r="F1007" s="7" t="s">
        <v>15</v>
      </c>
      <c r="G1007" s="7" t="s">
        <v>48</v>
      </c>
      <c r="H1007" s="11">
        <v>23.6</v>
      </c>
      <c r="I1007" s="8">
        <v>11.65</v>
      </c>
      <c r="J1007" s="26">
        <v>11</v>
      </c>
      <c r="K1007" s="10">
        <f t="shared" si="109"/>
        <v>3.02434</v>
      </c>
      <c r="L1007" s="4"/>
      <c r="M1007" s="17">
        <v>11</v>
      </c>
      <c r="N1007" s="18">
        <f t="shared" si="110"/>
        <v>3.02434</v>
      </c>
      <c r="O1007" s="19">
        <f t="shared" si="111"/>
        <v>0</v>
      </c>
      <c r="P1007" s="13">
        <f t="shared" si="112"/>
        <v>0</v>
      </c>
      <c r="Q1007" s="9"/>
      <c r="R1007" s="2"/>
      <c r="S1007" s="2"/>
    </row>
    <row r="1008" spans="1:19">
      <c r="A1008" s="42" t="s">
        <v>84</v>
      </c>
      <c r="B1008" s="3" t="s">
        <v>120</v>
      </c>
      <c r="C1008" s="3">
        <v>11</v>
      </c>
      <c r="D1008" s="1"/>
      <c r="E1008" s="20" t="s">
        <v>76</v>
      </c>
      <c r="F1008" s="7" t="s">
        <v>15</v>
      </c>
      <c r="G1008" s="7" t="s">
        <v>48</v>
      </c>
      <c r="H1008" s="11">
        <v>23.6</v>
      </c>
      <c r="I1008" s="8">
        <v>11.65</v>
      </c>
      <c r="J1008" s="26">
        <v>11</v>
      </c>
      <c r="K1008" s="10">
        <f t="shared" si="109"/>
        <v>3.02434</v>
      </c>
      <c r="L1008" s="4"/>
      <c r="M1008" s="17">
        <v>11</v>
      </c>
      <c r="N1008" s="18">
        <f t="shared" si="110"/>
        <v>3.02434</v>
      </c>
      <c r="O1008" s="19">
        <f t="shared" si="111"/>
        <v>0</v>
      </c>
      <c r="P1008" s="13">
        <f t="shared" si="112"/>
        <v>0</v>
      </c>
      <c r="Q1008" s="9"/>
      <c r="R1008" s="2"/>
      <c r="S1008" s="2"/>
    </row>
    <row r="1009" spans="1:21">
      <c r="A1009" s="42" t="s">
        <v>84</v>
      </c>
      <c r="B1009" s="3" t="s">
        <v>120</v>
      </c>
      <c r="C1009" s="3">
        <v>12</v>
      </c>
      <c r="D1009" s="1"/>
      <c r="E1009" s="20" t="s">
        <v>76</v>
      </c>
      <c r="F1009" s="7" t="s">
        <v>15</v>
      </c>
      <c r="G1009" s="7" t="s">
        <v>48</v>
      </c>
      <c r="H1009" s="11">
        <v>23.6</v>
      </c>
      <c r="I1009" s="8">
        <v>11.65</v>
      </c>
      <c r="J1009" s="26">
        <v>11</v>
      </c>
      <c r="K1009" s="10">
        <f t="shared" si="109"/>
        <v>3.02434</v>
      </c>
      <c r="L1009" s="4"/>
      <c r="M1009" s="17">
        <v>11</v>
      </c>
      <c r="N1009" s="18">
        <f t="shared" si="110"/>
        <v>3.02434</v>
      </c>
      <c r="O1009" s="19">
        <f t="shared" si="111"/>
        <v>0</v>
      </c>
      <c r="P1009" s="13">
        <f t="shared" si="112"/>
        <v>0</v>
      </c>
      <c r="Q1009" s="9"/>
      <c r="R1009" s="2"/>
      <c r="S1009" s="2"/>
    </row>
    <row r="1010" spans="1:21">
      <c r="A1010" s="42" t="s">
        <v>84</v>
      </c>
      <c r="B1010" s="3" t="s">
        <v>120</v>
      </c>
      <c r="C1010" s="3">
        <v>13</v>
      </c>
      <c r="D1010" s="1"/>
      <c r="E1010" s="20" t="s">
        <v>76</v>
      </c>
      <c r="F1010" s="7" t="s">
        <v>15</v>
      </c>
      <c r="G1010" s="7" t="s">
        <v>48</v>
      </c>
      <c r="H1010" s="11">
        <v>23.6</v>
      </c>
      <c r="I1010" s="8">
        <v>11.65</v>
      </c>
      <c r="J1010" s="26">
        <v>11</v>
      </c>
      <c r="K1010" s="10">
        <f t="shared" si="109"/>
        <v>3.02434</v>
      </c>
      <c r="L1010" s="4"/>
      <c r="M1010" s="17">
        <v>11</v>
      </c>
      <c r="N1010" s="18">
        <f t="shared" si="110"/>
        <v>3.02434</v>
      </c>
      <c r="O1010" s="19">
        <f t="shared" si="111"/>
        <v>0</v>
      </c>
      <c r="P1010" s="13">
        <f t="shared" si="112"/>
        <v>0</v>
      </c>
      <c r="Q1010" s="9"/>
      <c r="R1010" s="2"/>
      <c r="S1010" s="2"/>
    </row>
    <row r="1011" spans="1:21">
      <c r="A1011" s="42" t="s">
        <v>84</v>
      </c>
      <c r="B1011" s="3" t="s">
        <v>120</v>
      </c>
      <c r="C1011" s="3">
        <v>14</v>
      </c>
      <c r="D1011" s="1"/>
      <c r="E1011" s="20" t="s">
        <v>76</v>
      </c>
      <c r="F1011" s="7" t="s">
        <v>15</v>
      </c>
      <c r="G1011" s="7" t="s">
        <v>48</v>
      </c>
      <c r="H1011" s="11">
        <v>23.6</v>
      </c>
      <c r="I1011" s="8">
        <v>11.65</v>
      </c>
      <c r="J1011" s="26">
        <v>11</v>
      </c>
      <c r="K1011" s="10">
        <f t="shared" si="109"/>
        <v>3.02434</v>
      </c>
      <c r="L1011" s="4"/>
      <c r="M1011" s="17">
        <v>11</v>
      </c>
      <c r="N1011" s="18">
        <f t="shared" si="110"/>
        <v>3.02434</v>
      </c>
      <c r="O1011" s="19">
        <f t="shared" si="111"/>
        <v>0</v>
      </c>
      <c r="P1011" s="13">
        <f t="shared" si="112"/>
        <v>0</v>
      </c>
      <c r="Q1011" s="9"/>
      <c r="R1011" s="2"/>
      <c r="S1011" s="2"/>
    </row>
    <row r="1012" spans="1:21">
      <c r="A1012" s="42" t="s">
        <v>84</v>
      </c>
      <c r="B1012" s="3" t="s">
        <v>120</v>
      </c>
      <c r="C1012" s="3">
        <v>15</v>
      </c>
      <c r="D1012" s="1"/>
      <c r="E1012" s="20" t="s">
        <v>76</v>
      </c>
      <c r="F1012" s="7" t="s">
        <v>15</v>
      </c>
      <c r="G1012" s="7" t="s">
        <v>48</v>
      </c>
      <c r="H1012" s="11">
        <v>23.6</v>
      </c>
      <c r="I1012" s="8">
        <v>11.65</v>
      </c>
      <c r="J1012" s="26">
        <v>11</v>
      </c>
      <c r="K1012" s="10">
        <f t="shared" si="109"/>
        <v>3.02434</v>
      </c>
      <c r="L1012" s="4"/>
      <c r="M1012" s="17">
        <v>11</v>
      </c>
      <c r="N1012" s="18">
        <f t="shared" si="110"/>
        <v>3.02434</v>
      </c>
      <c r="O1012" s="19">
        <f t="shared" si="111"/>
        <v>0</v>
      </c>
      <c r="P1012" s="13">
        <f t="shared" si="112"/>
        <v>0</v>
      </c>
      <c r="Q1012" s="9"/>
      <c r="R1012" s="2"/>
      <c r="S1012" s="2"/>
    </row>
    <row r="1013" spans="1:21">
      <c r="A1013" s="42" t="s">
        <v>84</v>
      </c>
      <c r="B1013" s="3" t="s">
        <v>120</v>
      </c>
      <c r="C1013" s="3">
        <v>16</v>
      </c>
      <c r="D1013" s="1"/>
      <c r="E1013" s="20" t="s">
        <v>76</v>
      </c>
      <c r="F1013" s="7" t="s">
        <v>15</v>
      </c>
      <c r="G1013" s="7" t="s">
        <v>48</v>
      </c>
      <c r="H1013" s="11">
        <v>23.6</v>
      </c>
      <c r="I1013" s="8">
        <v>11.65</v>
      </c>
      <c r="J1013" s="26">
        <v>11</v>
      </c>
      <c r="K1013" s="10">
        <f t="shared" si="109"/>
        <v>3.02434</v>
      </c>
      <c r="L1013" s="4"/>
      <c r="M1013" s="17">
        <v>11</v>
      </c>
      <c r="N1013" s="18">
        <f t="shared" si="110"/>
        <v>3.02434</v>
      </c>
      <c r="O1013" s="19">
        <f t="shared" si="111"/>
        <v>0</v>
      </c>
      <c r="P1013" s="13">
        <f t="shared" si="112"/>
        <v>0</v>
      </c>
      <c r="Q1013" s="9"/>
      <c r="R1013" s="2"/>
      <c r="S1013" s="2"/>
    </row>
    <row r="1014" spans="1:21">
      <c r="A1014" s="42" t="s">
        <v>84</v>
      </c>
      <c r="B1014" s="3" t="s">
        <v>120</v>
      </c>
      <c r="C1014" s="3">
        <v>17</v>
      </c>
      <c r="D1014" s="1"/>
      <c r="E1014" s="20" t="s">
        <v>76</v>
      </c>
      <c r="F1014" s="7" t="s">
        <v>15</v>
      </c>
      <c r="G1014" s="7" t="s">
        <v>48</v>
      </c>
      <c r="H1014" s="11">
        <v>23.6</v>
      </c>
      <c r="I1014" s="8">
        <v>11.65</v>
      </c>
      <c r="J1014" s="26">
        <v>11</v>
      </c>
      <c r="K1014" s="10">
        <f t="shared" si="109"/>
        <v>3.02434</v>
      </c>
      <c r="L1014" s="4"/>
      <c r="M1014" s="17">
        <v>11</v>
      </c>
      <c r="N1014" s="18">
        <f t="shared" si="110"/>
        <v>3.02434</v>
      </c>
      <c r="O1014" s="19">
        <f t="shared" si="111"/>
        <v>0</v>
      </c>
      <c r="P1014" s="13">
        <f t="shared" si="112"/>
        <v>0</v>
      </c>
      <c r="Q1014" s="9"/>
      <c r="R1014" s="2"/>
      <c r="S1014" s="2"/>
    </row>
    <row r="1015" spans="1:21">
      <c r="A1015" s="42" t="s">
        <v>84</v>
      </c>
      <c r="B1015" s="3" t="s">
        <v>120</v>
      </c>
      <c r="C1015" s="3">
        <v>18</v>
      </c>
      <c r="D1015" s="1"/>
      <c r="E1015" s="20" t="s">
        <v>76</v>
      </c>
      <c r="F1015" s="7" t="s">
        <v>15</v>
      </c>
      <c r="G1015" s="7" t="s">
        <v>48</v>
      </c>
      <c r="H1015" s="11">
        <v>23.6</v>
      </c>
      <c r="I1015" s="8">
        <v>11.65</v>
      </c>
      <c r="J1015" s="26">
        <v>12</v>
      </c>
      <c r="K1015" s="10">
        <f t="shared" si="109"/>
        <v>3.2992799999999995</v>
      </c>
      <c r="L1015" s="4"/>
      <c r="M1015" s="17">
        <v>12</v>
      </c>
      <c r="N1015" s="18">
        <f t="shared" si="110"/>
        <v>3.2992800000000004</v>
      </c>
      <c r="O1015" s="19">
        <f t="shared" si="111"/>
        <v>0</v>
      </c>
      <c r="P1015" s="13">
        <f t="shared" si="112"/>
        <v>0</v>
      </c>
      <c r="Q1015" s="9"/>
      <c r="R1015" s="2"/>
      <c r="S1015" s="2"/>
    </row>
    <row r="1016" spans="1:21">
      <c r="A1016" s="42" t="s">
        <v>84</v>
      </c>
      <c r="B1016" s="3" t="s">
        <v>120</v>
      </c>
      <c r="C1016" s="3">
        <v>19</v>
      </c>
      <c r="D1016" s="1"/>
      <c r="E1016" s="20" t="s">
        <v>76</v>
      </c>
      <c r="F1016" s="7" t="s">
        <v>15</v>
      </c>
      <c r="G1016" s="7" t="s">
        <v>48</v>
      </c>
      <c r="H1016" s="11">
        <v>23.6</v>
      </c>
      <c r="I1016" s="8">
        <v>11.65</v>
      </c>
      <c r="J1016" s="26">
        <v>11</v>
      </c>
      <c r="K1016" s="10">
        <f t="shared" si="109"/>
        <v>3.02434</v>
      </c>
      <c r="L1016" s="4"/>
      <c r="M1016" s="17">
        <v>11</v>
      </c>
      <c r="N1016" s="18">
        <f t="shared" si="110"/>
        <v>3.02434</v>
      </c>
      <c r="O1016" s="19">
        <f t="shared" si="111"/>
        <v>0</v>
      </c>
      <c r="P1016" s="13">
        <f t="shared" si="112"/>
        <v>0</v>
      </c>
      <c r="Q1016" s="9"/>
      <c r="R1016" s="2"/>
      <c r="S1016" s="2"/>
    </row>
    <row r="1017" spans="1:21">
      <c r="A1017" s="42" t="s">
        <v>84</v>
      </c>
      <c r="B1017" s="3" t="s">
        <v>120</v>
      </c>
      <c r="C1017" s="3">
        <v>20</v>
      </c>
      <c r="D1017" s="1"/>
      <c r="E1017" s="20" t="s">
        <v>76</v>
      </c>
      <c r="F1017" s="7" t="s">
        <v>15</v>
      </c>
      <c r="G1017" s="7" t="s">
        <v>48</v>
      </c>
      <c r="H1017" s="11">
        <v>23.6</v>
      </c>
      <c r="I1017" s="8">
        <v>11.65</v>
      </c>
      <c r="J1017" s="26">
        <v>11</v>
      </c>
      <c r="K1017" s="10">
        <f t="shared" si="109"/>
        <v>3.02434</v>
      </c>
      <c r="L1017" s="4"/>
      <c r="M1017" s="17">
        <v>11</v>
      </c>
      <c r="N1017" s="18">
        <f t="shared" si="110"/>
        <v>3.02434</v>
      </c>
      <c r="O1017" s="19">
        <f t="shared" si="111"/>
        <v>0</v>
      </c>
      <c r="P1017" s="13">
        <f t="shared" si="112"/>
        <v>0</v>
      </c>
      <c r="Q1017" s="9"/>
      <c r="R1017" s="2"/>
      <c r="S1017" s="2"/>
    </row>
    <row r="1018" spans="1:21">
      <c r="A1018" s="42" t="s">
        <v>84</v>
      </c>
      <c r="B1018" s="3" t="s">
        <v>120</v>
      </c>
      <c r="C1018" s="3">
        <v>21</v>
      </c>
      <c r="D1018" s="1"/>
      <c r="E1018" s="20" t="s">
        <v>76</v>
      </c>
      <c r="F1018" s="7" t="s">
        <v>15</v>
      </c>
      <c r="G1018" s="7" t="s">
        <v>48</v>
      </c>
      <c r="H1018" s="11">
        <v>23.6</v>
      </c>
      <c r="I1018" s="8">
        <v>11.65</v>
      </c>
      <c r="J1018" s="26">
        <v>11</v>
      </c>
      <c r="K1018" s="10">
        <f t="shared" si="109"/>
        <v>3.02434</v>
      </c>
      <c r="L1018" s="4"/>
      <c r="M1018" s="17">
        <v>11</v>
      </c>
      <c r="N1018" s="18">
        <f t="shared" si="110"/>
        <v>3.02434</v>
      </c>
      <c r="O1018" s="19">
        <f t="shared" si="111"/>
        <v>0</v>
      </c>
      <c r="P1018" s="13">
        <f t="shared" si="112"/>
        <v>0</v>
      </c>
      <c r="Q1018" s="9"/>
      <c r="R1018" s="2"/>
      <c r="S1018" s="2"/>
    </row>
    <row r="1019" spans="1:21">
      <c r="A1019" s="42" t="s">
        <v>84</v>
      </c>
      <c r="B1019" s="3" t="s">
        <v>120</v>
      </c>
      <c r="C1019" s="3">
        <v>22</v>
      </c>
      <c r="D1019" s="1"/>
      <c r="E1019" s="20" t="s">
        <v>76</v>
      </c>
      <c r="F1019" s="7" t="s">
        <v>15</v>
      </c>
      <c r="G1019" s="7" t="s">
        <v>48</v>
      </c>
      <c r="H1019" s="11">
        <v>23.6</v>
      </c>
      <c r="I1019" s="8">
        <v>11.65</v>
      </c>
      <c r="J1019" s="26">
        <v>11</v>
      </c>
      <c r="K1019" s="10">
        <f t="shared" si="109"/>
        <v>3.02434</v>
      </c>
      <c r="L1019" s="4"/>
      <c r="M1019" s="17">
        <v>11</v>
      </c>
      <c r="N1019" s="18">
        <f t="shared" si="110"/>
        <v>3.02434</v>
      </c>
      <c r="O1019" s="19">
        <f t="shared" si="111"/>
        <v>0</v>
      </c>
      <c r="P1019" s="13">
        <f t="shared" si="112"/>
        <v>0</v>
      </c>
      <c r="Q1019" s="9">
        <v>11.3</v>
      </c>
      <c r="R1019" s="2">
        <v>9</v>
      </c>
      <c r="S1019" s="2"/>
    </row>
    <row r="1020" spans="1:21">
      <c r="A1020" s="42" t="s">
        <v>84</v>
      </c>
      <c r="B1020" s="3" t="s">
        <v>120</v>
      </c>
      <c r="C1020" s="3">
        <v>1</v>
      </c>
      <c r="D1020" s="1"/>
      <c r="E1020" s="20" t="s">
        <v>114</v>
      </c>
      <c r="F1020" s="7" t="s">
        <v>15</v>
      </c>
      <c r="G1020" s="7" t="s">
        <v>27</v>
      </c>
      <c r="H1020" s="11">
        <v>6.17</v>
      </c>
      <c r="I1020" s="8">
        <v>11.55</v>
      </c>
      <c r="J1020" s="26">
        <v>18</v>
      </c>
      <c r="K1020" s="10">
        <f t="shared" si="109"/>
        <v>1.2827430000000002</v>
      </c>
      <c r="L1020" s="4"/>
      <c r="M1020" s="17">
        <v>18</v>
      </c>
      <c r="N1020" s="18">
        <f t="shared" si="110"/>
        <v>1.282743</v>
      </c>
      <c r="O1020" s="19">
        <f t="shared" si="111"/>
        <v>0</v>
      </c>
      <c r="P1020" s="13">
        <f t="shared" si="112"/>
        <v>0</v>
      </c>
      <c r="Q1020" s="9">
        <v>11.55</v>
      </c>
      <c r="R1020" s="2">
        <v>18</v>
      </c>
      <c r="S1020" s="2"/>
    </row>
    <row r="1021" spans="1:21">
      <c r="A1021" s="42" t="s">
        <v>84</v>
      </c>
      <c r="B1021" s="3" t="s">
        <v>120</v>
      </c>
      <c r="C1021" s="3">
        <v>1</v>
      </c>
      <c r="D1021" s="1"/>
      <c r="E1021" s="20" t="s">
        <v>114</v>
      </c>
      <c r="F1021" s="7" t="s">
        <v>15</v>
      </c>
      <c r="G1021" s="7" t="s">
        <v>27</v>
      </c>
      <c r="H1021" s="11">
        <v>6.17</v>
      </c>
      <c r="I1021" s="8">
        <v>9.85</v>
      </c>
      <c r="J1021" s="26">
        <v>1</v>
      </c>
      <c r="K1021" s="10">
        <f t="shared" si="109"/>
        <v>6.0774499999999995E-2</v>
      </c>
      <c r="L1021" s="4"/>
      <c r="M1021" s="17">
        <v>1</v>
      </c>
      <c r="N1021" s="18">
        <f t="shared" si="110"/>
        <v>6.0774499999999995E-2</v>
      </c>
      <c r="O1021" s="19">
        <f t="shared" si="111"/>
        <v>0</v>
      </c>
      <c r="P1021" s="13">
        <f t="shared" si="112"/>
        <v>0</v>
      </c>
      <c r="Q1021" s="9">
        <v>9.85</v>
      </c>
      <c r="R1021" s="2">
        <v>1</v>
      </c>
      <c r="S1021" s="2"/>
    </row>
    <row r="1022" spans="1:21">
      <c r="A1022" s="42" t="s">
        <v>84</v>
      </c>
      <c r="B1022" s="3" t="s">
        <v>120</v>
      </c>
      <c r="C1022" s="3">
        <v>1</v>
      </c>
      <c r="D1022" s="1"/>
      <c r="E1022" s="20" t="s">
        <v>114</v>
      </c>
      <c r="F1022" s="7" t="s">
        <v>15</v>
      </c>
      <c r="G1022" s="7" t="s">
        <v>27</v>
      </c>
      <c r="H1022" s="11">
        <v>6.17</v>
      </c>
      <c r="I1022" s="8">
        <v>9.4</v>
      </c>
      <c r="J1022" s="26">
        <v>1</v>
      </c>
      <c r="K1022" s="10">
        <f t="shared" si="109"/>
        <v>5.7998000000000008E-2</v>
      </c>
      <c r="L1022" s="4"/>
      <c r="M1022" s="17">
        <v>1</v>
      </c>
      <c r="N1022" s="18">
        <f t="shared" si="110"/>
        <v>5.7998000000000008E-2</v>
      </c>
      <c r="O1022" s="19">
        <f t="shared" si="111"/>
        <v>0</v>
      </c>
      <c r="P1022" s="13">
        <f t="shared" si="112"/>
        <v>0</v>
      </c>
      <c r="Q1022" s="9"/>
      <c r="R1022" s="2">
        <v>1</v>
      </c>
      <c r="S1022" s="2" t="s">
        <v>700</v>
      </c>
      <c r="U1022" s="213"/>
    </row>
    <row r="1023" spans="1:21">
      <c r="A1023" s="42" t="s">
        <v>84</v>
      </c>
      <c r="B1023" s="3" t="s">
        <v>120</v>
      </c>
      <c r="C1023" s="3">
        <v>1</v>
      </c>
      <c r="D1023" s="1"/>
      <c r="E1023" s="20" t="s">
        <v>114</v>
      </c>
      <c r="F1023" s="7" t="s">
        <v>15</v>
      </c>
      <c r="G1023" s="7" t="s">
        <v>27</v>
      </c>
      <c r="H1023" s="11">
        <v>6.17</v>
      </c>
      <c r="I1023" s="8">
        <v>8.5</v>
      </c>
      <c r="J1023" s="26">
        <v>1</v>
      </c>
      <c r="K1023" s="10">
        <f t="shared" si="109"/>
        <v>5.2444999999999999E-2</v>
      </c>
      <c r="L1023" s="4"/>
      <c r="M1023" s="17">
        <v>1</v>
      </c>
      <c r="N1023" s="18">
        <f t="shared" si="110"/>
        <v>5.2444999999999999E-2</v>
      </c>
      <c r="O1023" s="19">
        <f t="shared" si="111"/>
        <v>0</v>
      </c>
      <c r="P1023" s="13">
        <f t="shared" si="112"/>
        <v>0</v>
      </c>
      <c r="Q1023" s="9">
        <v>8.5</v>
      </c>
      <c r="R1023" s="2">
        <v>1</v>
      </c>
      <c r="S1023" s="2" t="s">
        <v>699</v>
      </c>
      <c r="T1023" s="213"/>
      <c r="U1023" s="213"/>
    </row>
    <row r="1024" spans="1:21">
      <c r="A1024" s="42" t="s">
        <v>84</v>
      </c>
      <c r="B1024" s="3" t="s">
        <v>121</v>
      </c>
      <c r="C1024" s="3">
        <v>4</v>
      </c>
      <c r="D1024" s="1"/>
      <c r="E1024" s="20" t="s">
        <v>81</v>
      </c>
      <c r="F1024" s="7" t="s">
        <v>14</v>
      </c>
      <c r="G1024" s="7" t="s">
        <v>23</v>
      </c>
      <c r="H1024" s="11">
        <v>9</v>
      </c>
      <c r="I1024" s="8">
        <v>11</v>
      </c>
      <c r="J1024" s="26">
        <v>17</v>
      </c>
      <c r="K1024" s="10">
        <f t="shared" si="109"/>
        <v>1.6830000000000001</v>
      </c>
      <c r="L1024" s="4"/>
      <c r="M1024" s="17">
        <f>7+4+6</f>
        <v>17</v>
      </c>
      <c r="N1024" s="18">
        <f t="shared" si="110"/>
        <v>1.6830000000000001</v>
      </c>
      <c r="O1024" s="19">
        <f t="shared" si="111"/>
        <v>0</v>
      </c>
      <c r="P1024" s="13">
        <f t="shared" si="112"/>
        <v>0</v>
      </c>
      <c r="Q1024" s="9">
        <v>10</v>
      </c>
      <c r="R1024" s="2">
        <v>6</v>
      </c>
      <c r="S1024" s="2"/>
    </row>
    <row r="1025" spans="1:23">
      <c r="A1025" s="42" t="s">
        <v>84</v>
      </c>
      <c r="B1025" s="3" t="s">
        <v>121</v>
      </c>
      <c r="C1025" s="3">
        <v>16</v>
      </c>
      <c r="D1025" s="1"/>
      <c r="E1025" s="20" t="s">
        <v>81</v>
      </c>
      <c r="F1025" s="7" t="s">
        <v>14</v>
      </c>
      <c r="G1025" s="7" t="s">
        <v>23</v>
      </c>
      <c r="H1025" s="11">
        <v>9</v>
      </c>
      <c r="I1025" s="8">
        <v>11.5</v>
      </c>
      <c r="J1025" s="26">
        <v>29</v>
      </c>
      <c r="K1025" s="10">
        <f t="shared" si="109"/>
        <v>3.0015000000000001</v>
      </c>
      <c r="L1025" s="4"/>
      <c r="M1025" s="17">
        <f>5+13+11</f>
        <v>29</v>
      </c>
      <c r="N1025" s="18">
        <f t="shared" si="110"/>
        <v>3.0015000000000001</v>
      </c>
      <c r="O1025" s="19">
        <f t="shared" si="111"/>
        <v>0</v>
      </c>
      <c r="P1025" s="13">
        <f t="shared" si="112"/>
        <v>0</v>
      </c>
      <c r="Q1025" s="9"/>
      <c r="R1025" s="2"/>
      <c r="S1025" s="2"/>
    </row>
    <row r="1026" spans="1:23">
      <c r="A1026" s="42" t="s">
        <v>84</v>
      </c>
      <c r="B1026" s="3" t="s">
        <v>121</v>
      </c>
      <c r="C1026" s="3">
        <v>19</v>
      </c>
      <c r="D1026" s="1"/>
      <c r="E1026" s="20" t="s">
        <v>81</v>
      </c>
      <c r="F1026" s="7" t="s">
        <v>14</v>
      </c>
      <c r="G1026" s="7" t="s">
        <v>23</v>
      </c>
      <c r="H1026" s="11">
        <v>9</v>
      </c>
      <c r="I1026" s="8">
        <v>11.5</v>
      </c>
      <c r="J1026" s="26">
        <v>29</v>
      </c>
      <c r="K1026" s="10">
        <f t="shared" si="109"/>
        <v>3.0015000000000001</v>
      </c>
      <c r="L1026" s="4"/>
      <c r="M1026" s="17">
        <v>29</v>
      </c>
      <c r="N1026" s="18">
        <f t="shared" si="110"/>
        <v>3.0015000000000001</v>
      </c>
      <c r="O1026" s="19">
        <f t="shared" si="111"/>
        <v>0</v>
      </c>
      <c r="P1026" s="13">
        <f t="shared" si="112"/>
        <v>0</v>
      </c>
      <c r="Q1026" s="9"/>
      <c r="R1026" s="2"/>
      <c r="S1026" s="2"/>
    </row>
    <row r="1027" spans="1:23">
      <c r="A1027" s="42" t="s">
        <v>84</v>
      </c>
      <c r="B1027" s="3" t="s">
        <v>121</v>
      </c>
      <c r="C1027" s="3">
        <v>1</v>
      </c>
      <c r="D1027" s="1"/>
      <c r="E1027" s="20" t="s">
        <v>17</v>
      </c>
      <c r="F1027" s="7" t="s">
        <v>15</v>
      </c>
      <c r="G1027" s="7" t="s">
        <v>22</v>
      </c>
      <c r="H1027" s="11">
        <v>10.73</v>
      </c>
      <c r="I1027" s="8">
        <v>7.5</v>
      </c>
      <c r="J1027" s="26">
        <v>12</v>
      </c>
      <c r="K1027" s="10">
        <f t="shared" si="109"/>
        <v>0.9657</v>
      </c>
      <c r="L1027" s="4"/>
      <c r="M1027" s="17">
        <f>6+6</f>
        <v>12</v>
      </c>
      <c r="N1027" s="18">
        <f t="shared" si="110"/>
        <v>0.9657</v>
      </c>
      <c r="O1027" s="19">
        <f t="shared" si="111"/>
        <v>0</v>
      </c>
      <c r="P1027" s="13">
        <f t="shared" si="112"/>
        <v>0</v>
      </c>
      <c r="Q1027" s="9">
        <v>7.5</v>
      </c>
      <c r="R1027" s="2">
        <v>5</v>
      </c>
      <c r="S1027" s="2" t="s">
        <v>203</v>
      </c>
      <c r="V1027">
        <v>6</v>
      </c>
      <c r="W1027" t="s">
        <v>261</v>
      </c>
    </row>
    <row r="1028" spans="1:23">
      <c r="A1028" s="42" t="s">
        <v>84</v>
      </c>
      <c r="B1028" s="3" t="s">
        <v>121</v>
      </c>
      <c r="C1028" s="3">
        <v>1</v>
      </c>
      <c r="D1028" s="1"/>
      <c r="E1028" s="20" t="s">
        <v>17</v>
      </c>
      <c r="F1028" s="7" t="s">
        <v>15</v>
      </c>
      <c r="G1028" s="7" t="s">
        <v>25</v>
      </c>
      <c r="H1028" s="11">
        <v>7.34</v>
      </c>
      <c r="I1028" s="8">
        <v>8.5</v>
      </c>
      <c r="J1028" s="26">
        <v>1</v>
      </c>
      <c r="K1028" s="10">
        <f t="shared" si="109"/>
        <v>6.2390000000000001E-2</v>
      </c>
      <c r="L1028" s="4"/>
      <c r="M1028" s="17">
        <v>1</v>
      </c>
      <c r="N1028" s="18">
        <f t="shared" si="110"/>
        <v>6.2390000000000001E-2</v>
      </c>
      <c r="O1028" s="19">
        <f t="shared" si="111"/>
        <v>0</v>
      </c>
      <c r="P1028" s="13">
        <f t="shared" si="112"/>
        <v>0</v>
      </c>
      <c r="Q1028" s="9"/>
      <c r="R1028" s="2"/>
      <c r="S1028" s="50">
        <v>7.5</v>
      </c>
      <c r="T1028">
        <v>1</v>
      </c>
      <c r="U1028" s="213" t="s">
        <v>307</v>
      </c>
    </row>
    <row r="1029" spans="1:23">
      <c r="A1029" s="42" t="s">
        <v>84</v>
      </c>
      <c r="B1029" s="3" t="s">
        <v>121</v>
      </c>
      <c r="C1029" s="3">
        <v>1</v>
      </c>
      <c r="D1029" s="1"/>
      <c r="E1029" s="20" t="s">
        <v>17</v>
      </c>
      <c r="F1029" s="7" t="s">
        <v>15</v>
      </c>
      <c r="G1029" s="7" t="s">
        <v>25</v>
      </c>
      <c r="H1029" s="11">
        <v>7.34</v>
      </c>
      <c r="I1029" s="8">
        <v>10.5</v>
      </c>
      <c r="J1029" s="26">
        <v>7</v>
      </c>
      <c r="K1029" s="10">
        <f t="shared" si="109"/>
        <v>0.53949000000000003</v>
      </c>
      <c r="L1029" s="4"/>
      <c r="M1029" s="17">
        <v>7</v>
      </c>
      <c r="N1029" s="18">
        <f t="shared" si="110"/>
        <v>0.53949000000000003</v>
      </c>
      <c r="O1029" s="19">
        <f t="shared" si="111"/>
        <v>0</v>
      </c>
      <c r="P1029" s="13">
        <f t="shared" si="112"/>
        <v>0</v>
      </c>
      <c r="Q1029" s="9"/>
      <c r="R1029" s="2"/>
      <c r="S1029" s="50">
        <v>10.5</v>
      </c>
      <c r="T1029">
        <v>7</v>
      </c>
      <c r="U1029" s="213" t="s">
        <v>268</v>
      </c>
    </row>
    <row r="1030" spans="1:23">
      <c r="A1030" s="42" t="s">
        <v>84</v>
      </c>
      <c r="B1030" s="3" t="s">
        <v>121</v>
      </c>
      <c r="C1030" s="3">
        <v>1</v>
      </c>
      <c r="D1030" s="1"/>
      <c r="E1030" s="20" t="s">
        <v>17</v>
      </c>
      <c r="F1030" s="7" t="s">
        <v>15</v>
      </c>
      <c r="G1030" s="7" t="s">
        <v>25</v>
      </c>
      <c r="H1030" s="11">
        <v>7.34</v>
      </c>
      <c r="I1030" s="8">
        <v>10.199999999999999</v>
      </c>
      <c r="J1030" s="26">
        <v>1</v>
      </c>
      <c r="K1030" s="10">
        <f t="shared" si="109"/>
        <v>7.486799999999999E-2</v>
      </c>
      <c r="L1030" s="4"/>
      <c r="M1030" s="17">
        <v>1</v>
      </c>
      <c r="N1030" s="18">
        <f t="shared" si="110"/>
        <v>7.486799999999999E-2</v>
      </c>
      <c r="O1030" s="19">
        <f t="shared" si="111"/>
        <v>0</v>
      </c>
      <c r="P1030" s="13">
        <f t="shared" si="112"/>
        <v>0</v>
      </c>
      <c r="Q1030" s="9"/>
      <c r="R1030" s="2"/>
      <c r="S1030" s="50">
        <v>10</v>
      </c>
      <c r="T1030">
        <v>1</v>
      </c>
      <c r="U1030" s="213" t="s">
        <v>268</v>
      </c>
    </row>
    <row r="1031" spans="1:23">
      <c r="A1031" s="42" t="s">
        <v>84</v>
      </c>
      <c r="B1031" s="3" t="s">
        <v>121</v>
      </c>
      <c r="C1031" s="3">
        <v>1</v>
      </c>
      <c r="D1031" s="1"/>
      <c r="E1031" s="20" t="s">
        <v>17</v>
      </c>
      <c r="F1031" s="7" t="s">
        <v>15</v>
      </c>
      <c r="G1031" s="7" t="s">
        <v>25</v>
      </c>
      <c r="H1031" s="11">
        <v>7.34</v>
      </c>
      <c r="I1031" s="8">
        <v>10</v>
      </c>
      <c r="J1031" s="26">
        <v>3</v>
      </c>
      <c r="K1031" s="10">
        <f t="shared" si="109"/>
        <v>0.22020000000000001</v>
      </c>
      <c r="L1031" s="4"/>
      <c r="M1031" s="17">
        <v>3</v>
      </c>
      <c r="N1031" s="18">
        <f t="shared" si="110"/>
        <v>0.22019999999999998</v>
      </c>
      <c r="O1031" s="19">
        <f t="shared" si="111"/>
        <v>0</v>
      </c>
      <c r="P1031" s="13">
        <f t="shared" si="112"/>
        <v>0</v>
      </c>
      <c r="Q1031" s="9"/>
      <c r="R1031" s="2"/>
      <c r="S1031" s="50">
        <v>10</v>
      </c>
      <c r="T1031">
        <v>3</v>
      </c>
      <c r="U1031" s="213" t="s">
        <v>268</v>
      </c>
    </row>
    <row r="1032" spans="1:23">
      <c r="A1032" s="42" t="s">
        <v>84</v>
      </c>
      <c r="B1032" s="3" t="s">
        <v>121</v>
      </c>
      <c r="C1032" s="3">
        <v>2</v>
      </c>
      <c r="D1032" s="1"/>
      <c r="E1032" s="20" t="s">
        <v>17</v>
      </c>
      <c r="F1032" s="7" t="s">
        <v>15</v>
      </c>
      <c r="G1032" s="7" t="s">
        <v>25</v>
      </c>
      <c r="H1032" s="11">
        <v>7.34</v>
      </c>
      <c r="I1032" s="8">
        <v>10.25</v>
      </c>
      <c r="J1032" s="26">
        <v>4</v>
      </c>
      <c r="K1032" s="10">
        <f t="shared" si="109"/>
        <v>0.30093999999999999</v>
      </c>
      <c r="L1032" s="4"/>
      <c r="M1032" s="17">
        <v>4</v>
      </c>
      <c r="N1032" s="18">
        <f t="shared" si="110"/>
        <v>0.30093999999999999</v>
      </c>
      <c r="O1032" s="19">
        <f t="shared" si="111"/>
        <v>0</v>
      </c>
      <c r="P1032" s="13">
        <f t="shared" si="112"/>
        <v>0</v>
      </c>
      <c r="Q1032" s="9"/>
      <c r="R1032" s="2"/>
      <c r="S1032" s="50">
        <v>10</v>
      </c>
      <c r="T1032">
        <v>4</v>
      </c>
      <c r="U1032" s="213" t="s">
        <v>268</v>
      </c>
    </row>
    <row r="1033" spans="1:23">
      <c r="A1033" s="42" t="s">
        <v>84</v>
      </c>
      <c r="B1033" s="3" t="s">
        <v>121</v>
      </c>
      <c r="C1033" s="3">
        <v>1</v>
      </c>
      <c r="D1033" s="1"/>
      <c r="E1033" s="24" t="s">
        <v>85</v>
      </c>
      <c r="F1033" s="7" t="s">
        <v>15</v>
      </c>
      <c r="G1033" s="7" t="s">
        <v>18</v>
      </c>
      <c r="H1033" s="11">
        <v>6.86</v>
      </c>
      <c r="I1033" s="8">
        <v>12</v>
      </c>
      <c r="J1033" s="26">
        <v>8</v>
      </c>
      <c r="K1033" s="10">
        <f t="shared" si="109"/>
        <v>0.65856000000000003</v>
      </c>
      <c r="L1033" s="4"/>
      <c r="M1033" s="17">
        <v>8</v>
      </c>
      <c r="N1033" s="18">
        <f t="shared" si="110"/>
        <v>0.65856000000000003</v>
      </c>
      <c r="O1033" s="19">
        <f t="shared" si="111"/>
        <v>0</v>
      </c>
      <c r="P1033" s="13">
        <f t="shared" si="112"/>
        <v>0</v>
      </c>
      <c r="Q1033" s="9"/>
      <c r="R1033" s="2"/>
      <c r="S1033" s="2"/>
    </row>
    <row r="1034" spans="1:23">
      <c r="A1034" s="42" t="s">
        <v>84</v>
      </c>
      <c r="B1034" s="3" t="s">
        <v>121</v>
      </c>
      <c r="C1034" s="3">
        <v>1</v>
      </c>
      <c r="D1034" s="1"/>
      <c r="E1034" s="24" t="s">
        <v>85</v>
      </c>
      <c r="F1034" s="7" t="s">
        <v>15</v>
      </c>
      <c r="G1034" s="7" t="s">
        <v>18</v>
      </c>
      <c r="H1034" s="11">
        <v>6.86</v>
      </c>
      <c r="I1034" s="8">
        <v>11</v>
      </c>
      <c r="J1034" s="26">
        <v>6</v>
      </c>
      <c r="K1034" s="10">
        <f t="shared" si="109"/>
        <v>0.45276000000000005</v>
      </c>
      <c r="L1034" s="4"/>
      <c r="M1034" s="17">
        <v>6</v>
      </c>
      <c r="N1034" s="18">
        <f t="shared" si="110"/>
        <v>0.45276000000000005</v>
      </c>
      <c r="O1034" s="19">
        <f t="shared" si="111"/>
        <v>0</v>
      </c>
      <c r="P1034" s="13">
        <f t="shared" si="112"/>
        <v>0</v>
      </c>
      <c r="Q1034" s="9"/>
      <c r="R1034" s="2"/>
      <c r="S1034" s="2"/>
    </row>
    <row r="1035" spans="1:23">
      <c r="A1035" s="42" t="s">
        <v>84</v>
      </c>
      <c r="B1035" s="3" t="s">
        <v>121</v>
      </c>
      <c r="C1035" s="3">
        <v>1</v>
      </c>
      <c r="D1035" s="1"/>
      <c r="E1035" s="24" t="s">
        <v>85</v>
      </c>
      <c r="F1035" s="7" t="s">
        <v>15</v>
      </c>
      <c r="G1035" s="7" t="s">
        <v>18</v>
      </c>
      <c r="H1035" s="11">
        <v>6.86</v>
      </c>
      <c r="I1035" s="8">
        <v>8.5</v>
      </c>
      <c r="J1035" s="26">
        <v>1</v>
      </c>
      <c r="K1035" s="10">
        <f t="shared" si="109"/>
        <v>5.8310000000000001E-2</v>
      </c>
      <c r="L1035" s="4"/>
      <c r="M1035" s="17">
        <v>1</v>
      </c>
      <c r="N1035" s="18">
        <f t="shared" si="110"/>
        <v>5.8310000000000001E-2</v>
      </c>
      <c r="O1035" s="19">
        <f t="shared" si="111"/>
        <v>0</v>
      </c>
      <c r="P1035" s="13">
        <f t="shared" si="112"/>
        <v>0</v>
      </c>
      <c r="Q1035" s="32">
        <v>7.8</v>
      </c>
      <c r="R1035" s="2">
        <v>1</v>
      </c>
      <c r="S1035" s="32" t="s">
        <v>733</v>
      </c>
    </row>
    <row r="1036" spans="1:23">
      <c r="A1036" s="42" t="s">
        <v>84</v>
      </c>
      <c r="B1036" s="3" t="s">
        <v>121</v>
      </c>
      <c r="C1036" s="3">
        <v>1</v>
      </c>
      <c r="D1036" s="1"/>
      <c r="E1036" s="20" t="s">
        <v>74</v>
      </c>
      <c r="F1036" s="7" t="s">
        <v>15</v>
      </c>
      <c r="G1036" s="7" t="s">
        <v>18</v>
      </c>
      <c r="H1036" s="11">
        <v>6.86</v>
      </c>
      <c r="I1036" s="8">
        <v>8.6999999999999993</v>
      </c>
      <c r="J1036" s="26">
        <v>2</v>
      </c>
      <c r="K1036" s="10">
        <f t="shared" si="109"/>
        <v>0.11936399999999998</v>
      </c>
      <c r="L1036" s="4"/>
      <c r="M1036" s="17">
        <v>2</v>
      </c>
      <c r="N1036" s="18">
        <f t="shared" si="110"/>
        <v>0.11936399999999998</v>
      </c>
      <c r="O1036" s="19">
        <f t="shared" si="111"/>
        <v>0</v>
      </c>
      <c r="P1036" s="13">
        <f t="shared" si="112"/>
        <v>0</v>
      </c>
      <c r="Q1036" s="32">
        <v>7.8</v>
      </c>
      <c r="R1036" s="2">
        <v>2</v>
      </c>
      <c r="S1036" s="32" t="s">
        <v>733</v>
      </c>
    </row>
    <row r="1037" spans="1:23">
      <c r="A1037" s="42" t="s">
        <v>84</v>
      </c>
      <c r="B1037" s="3" t="s">
        <v>121</v>
      </c>
      <c r="C1037" s="3">
        <v>1</v>
      </c>
      <c r="D1037" s="1"/>
      <c r="E1037" s="20" t="s">
        <v>74</v>
      </c>
      <c r="F1037" s="7" t="s">
        <v>15</v>
      </c>
      <c r="G1037" s="7" t="s">
        <v>18</v>
      </c>
      <c r="H1037" s="11">
        <v>6.86</v>
      </c>
      <c r="I1037" s="8">
        <v>9.1999999999999993</v>
      </c>
      <c r="J1037" s="26">
        <v>5</v>
      </c>
      <c r="K1037" s="10">
        <f t="shared" si="109"/>
        <v>0.31555999999999995</v>
      </c>
      <c r="L1037" s="4"/>
      <c r="M1037" s="17">
        <v>5</v>
      </c>
      <c r="N1037" s="18">
        <f t="shared" si="110"/>
        <v>0.31556000000000001</v>
      </c>
      <c r="O1037" s="19">
        <f t="shared" si="111"/>
        <v>0</v>
      </c>
      <c r="P1037" s="13">
        <f t="shared" si="112"/>
        <v>0</v>
      </c>
      <c r="Q1037" s="9"/>
      <c r="R1037" s="2">
        <v>5</v>
      </c>
      <c r="S1037" s="2" t="s">
        <v>222</v>
      </c>
    </row>
    <row r="1038" spans="1:23">
      <c r="A1038" s="42" t="s">
        <v>84</v>
      </c>
      <c r="B1038" s="3" t="s">
        <v>121</v>
      </c>
      <c r="C1038" s="3">
        <v>1</v>
      </c>
      <c r="D1038" s="1"/>
      <c r="E1038" s="20" t="s">
        <v>74</v>
      </c>
      <c r="F1038" s="7" t="s">
        <v>15</v>
      </c>
      <c r="G1038" s="7" t="s">
        <v>18</v>
      </c>
      <c r="H1038" s="11">
        <v>6.86</v>
      </c>
      <c r="I1038" s="8">
        <v>9.5</v>
      </c>
      <c r="J1038" s="26">
        <v>2</v>
      </c>
      <c r="K1038" s="10">
        <f t="shared" si="109"/>
        <v>0.13034000000000001</v>
      </c>
      <c r="L1038" s="4"/>
      <c r="M1038" s="17">
        <v>2</v>
      </c>
      <c r="N1038" s="18">
        <f t="shared" si="110"/>
        <v>0.13034000000000001</v>
      </c>
      <c r="O1038" s="19">
        <f t="shared" si="111"/>
        <v>0</v>
      </c>
      <c r="P1038" s="13">
        <f t="shared" si="112"/>
        <v>0</v>
      </c>
      <c r="Q1038" s="9"/>
      <c r="R1038" s="2">
        <v>2</v>
      </c>
      <c r="S1038" s="2" t="s">
        <v>222</v>
      </c>
    </row>
    <row r="1039" spans="1:23">
      <c r="A1039" s="42" t="s">
        <v>84</v>
      </c>
      <c r="B1039" s="3" t="s">
        <v>121</v>
      </c>
      <c r="C1039" s="3">
        <v>1</v>
      </c>
      <c r="D1039" s="1"/>
      <c r="E1039" s="20" t="s">
        <v>74</v>
      </c>
      <c r="F1039" s="7" t="s">
        <v>15</v>
      </c>
      <c r="G1039" s="7" t="s">
        <v>18</v>
      </c>
      <c r="H1039" s="11">
        <v>6.86</v>
      </c>
      <c r="I1039" s="8">
        <v>10</v>
      </c>
      <c r="J1039" s="26">
        <v>4</v>
      </c>
      <c r="K1039" s="10">
        <f t="shared" si="109"/>
        <v>0.27440000000000003</v>
      </c>
      <c r="L1039" s="4"/>
      <c r="M1039" s="17">
        <v>4</v>
      </c>
      <c r="N1039" s="18">
        <f t="shared" si="110"/>
        <v>0.27440000000000003</v>
      </c>
      <c r="O1039" s="19">
        <f t="shared" si="111"/>
        <v>0</v>
      </c>
      <c r="P1039" s="13">
        <f t="shared" si="112"/>
        <v>0</v>
      </c>
      <c r="Q1039" s="9"/>
      <c r="R1039" s="2">
        <v>4</v>
      </c>
      <c r="S1039" s="2" t="s">
        <v>222</v>
      </c>
    </row>
    <row r="1040" spans="1:23">
      <c r="A1040" s="42" t="s">
        <v>84</v>
      </c>
      <c r="B1040" s="3" t="s">
        <v>121</v>
      </c>
      <c r="C1040" s="3">
        <v>1</v>
      </c>
      <c r="D1040" s="1"/>
      <c r="E1040" s="20" t="s">
        <v>74</v>
      </c>
      <c r="F1040" s="7" t="s">
        <v>15</v>
      </c>
      <c r="G1040" s="7" t="s">
        <v>18</v>
      </c>
      <c r="H1040" s="11">
        <v>6.86</v>
      </c>
      <c r="I1040" s="8">
        <v>11.5</v>
      </c>
      <c r="J1040" s="26">
        <v>1</v>
      </c>
      <c r="K1040" s="10">
        <f t="shared" ref="K1040:K1093" si="113">(H1040*I1040*J1040/1000)</f>
        <v>7.8890000000000002E-2</v>
      </c>
      <c r="L1040" s="4"/>
      <c r="M1040" s="17">
        <v>1</v>
      </c>
      <c r="N1040" s="18">
        <f t="shared" ref="N1040:N1093" si="114">I1040*M1040*H1040/1000</f>
        <v>7.8890000000000002E-2</v>
      </c>
      <c r="O1040" s="19">
        <f t="shared" ref="O1040:O1093" si="115">J1040-M1040</f>
        <v>0</v>
      </c>
      <c r="P1040" s="13">
        <f t="shared" ref="P1040:P1093" si="116">I1040*O1040*H1040/1000</f>
        <v>0</v>
      </c>
      <c r="Q1040" s="9"/>
      <c r="R1040" s="2">
        <v>1</v>
      </c>
      <c r="S1040" s="2" t="s">
        <v>222</v>
      </c>
    </row>
    <row r="1041" spans="1:19">
      <c r="A1041" s="42" t="s">
        <v>84</v>
      </c>
      <c r="B1041" s="3" t="s">
        <v>122</v>
      </c>
      <c r="C1041" s="3">
        <v>1</v>
      </c>
      <c r="D1041" s="1"/>
      <c r="E1041" s="20" t="s">
        <v>85</v>
      </c>
      <c r="F1041" s="7" t="s">
        <v>15</v>
      </c>
      <c r="G1041" s="7" t="s">
        <v>35</v>
      </c>
      <c r="H1041" s="11">
        <v>16.579999999999998</v>
      </c>
      <c r="I1041" s="8">
        <v>9.6</v>
      </c>
      <c r="J1041" s="26">
        <v>18</v>
      </c>
      <c r="K1041" s="10">
        <f t="shared" si="113"/>
        <v>2.8650239999999996</v>
      </c>
      <c r="L1041" s="4"/>
      <c r="M1041" s="17">
        <v>18</v>
      </c>
      <c r="N1041" s="18">
        <f t="shared" si="114"/>
        <v>2.8650239999999996</v>
      </c>
      <c r="O1041" s="19">
        <f t="shared" si="115"/>
        <v>0</v>
      </c>
      <c r="P1041" s="13">
        <f t="shared" si="116"/>
        <v>0</v>
      </c>
      <c r="Q1041" s="9"/>
      <c r="R1041" s="2"/>
      <c r="S1041" s="2"/>
    </row>
    <row r="1042" spans="1:19">
      <c r="A1042" s="42" t="s">
        <v>84</v>
      </c>
      <c r="B1042" s="3" t="s">
        <v>122</v>
      </c>
      <c r="C1042" s="3">
        <v>2</v>
      </c>
      <c r="D1042" s="1"/>
      <c r="E1042" s="20" t="s">
        <v>85</v>
      </c>
      <c r="F1042" s="7" t="s">
        <v>15</v>
      </c>
      <c r="G1042" s="7" t="s">
        <v>35</v>
      </c>
      <c r="H1042" s="11">
        <v>16.579999999999998</v>
      </c>
      <c r="I1042" s="8">
        <v>9.6</v>
      </c>
      <c r="J1042" s="26">
        <v>18</v>
      </c>
      <c r="K1042" s="10">
        <f t="shared" si="113"/>
        <v>2.8650239999999996</v>
      </c>
      <c r="L1042" s="4"/>
      <c r="M1042" s="17">
        <v>18</v>
      </c>
      <c r="N1042" s="18">
        <f t="shared" si="114"/>
        <v>2.8650239999999996</v>
      </c>
      <c r="O1042" s="19">
        <f t="shared" si="115"/>
        <v>0</v>
      </c>
      <c r="P1042" s="13">
        <f t="shared" si="116"/>
        <v>0</v>
      </c>
      <c r="Q1042" s="34"/>
      <c r="R1042" s="35"/>
      <c r="S1042" s="35"/>
    </row>
    <row r="1043" spans="1:19">
      <c r="A1043" s="42" t="s">
        <v>84</v>
      </c>
      <c r="B1043" s="3" t="s">
        <v>122</v>
      </c>
      <c r="C1043" s="3">
        <v>3</v>
      </c>
      <c r="D1043" s="1"/>
      <c r="E1043" s="20" t="s">
        <v>85</v>
      </c>
      <c r="F1043" s="7" t="s">
        <v>15</v>
      </c>
      <c r="G1043" s="7" t="s">
        <v>35</v>
      </c>
      <c r="H1043" s="11">
        <v>16.579999999999998</v>
      </c>
      <c r="I1043" s="8">
        <v>9.6</v>
      </c>
      <c r="J1043" s="26">
        <v>8</v>
      </c>
      <c r="K1043" s="10">
        <f t="shared" si="113"/>
        <v>1.2733439999999998</v>
      </c>
      <c r="L1043" s="4"/>
      <c r="M1043" s="17">
        <v>8</v>
      </c>
      <c r="N1043" s="18">
        <f t="shared" si="114"/>
        <v>1.2733439999999998</v>
      </c>
      <c r="O1043" s="19">
        <f t="shared" si="115"/>
        <v>0</v>
      </c>
      <c r="P1043" s="13">
        <f t="shared" si="116"/>
        <v>0</v>
      </c>
      <c r="Q1043" s="9"/>
      <c r="R1043" s="2"/>
      <c r="S1043" s="2"/>
    </row>
    <row r="1044" spans="1:19">
      <c r="A1044" s="42" t="s">
        <v>84</v>
      </c>
      <c r="B1044" s="3" t="s">
        <v>122</v>
      </c>
      <c r="C1044" s="3">
        <v>3</v>
      </c>
      <c r="D1044" s="1"/>
      <c r="E1044" s="20" t="s">
        <v>85</v>
      </c>
      <c r="F1044" s="7" t="s">
        <v>15</v>
      </c>
      <c r="G1044" s="7" t="s">
        <v>35</v>
      </c>
      <c r="H1044" s="11">
        <v>16.579999999999998</v>
      </c>
      <c r="I1044" s="8">
        <v>7.3</v>
      </c>
      <c r="J1044" s="26">
        <v>1</v>
      </c>
      <c r="K1044" s="10">
        <f t="shared" si="113"/>
        <v>0.12103399999999997</v>
      </c>
      <c r="L1044" s="4"/>
      <c r="M1044" s="17">
        <v>1</v>
      </c>
      <c r="N1044" s="18">
        <f t="shared" si="114"/>
        <v>0.12103399999999997</v>
      </c>
      <c r="O1044" s="19">
        <f t="shared" si="115"/>
        <v>0</v>
      </c>
      <c r="P1044" s="13">
        <f t="shared" si="116"/>
        <v>0</v>
      </c>
      <c r="Q1044" s="9">
        <v>6.1</v>
      </c>
      <c r="R1044" s="2">
        <v>1</v>
      </c>
      <c r="S1044" s="2" t="s">
        <v>604</v>
      </c>
    </row>
    <row r="1045" spans="1:19">
      <c r="A1045" s="42" t="s">
        <v>84</v>
      </c>
      <c r="B1045" s="3" t="s">
        <v>122</v>
      </c>
      <c r="C1045" s="3">
        <v>4</v>
      </c>
      <c r="D1045" s="1"/>
      <c r="E1045" s="20" t="s">
        <v>85</v>
      </c>
      <c r="F1045" s="7" t="s">
        <v>15</v>
      </c>
      <c r="G1045" s="7" t="s">
        <v>35</v>
      </c>
      <c r="H1045" s="11">
        <v>16.579999999999998</v>
      </c>
      <c r="I1045" s="8">
        <v>9.1999999999999993</v>
      </c>
      <c r="J1045" s="26">
        <v>9</v>
      </c>
      <c r="K1045" s="10">
        <f t="shared" si="113"/>
        <v>1.3728239999999998</v>
      </c>
      <c r="L1045" s="4"/>
      <c r="M1045" s="17">
        <v>9</v>
      </c>
      <c r="N1045" s="18">
        <f t="shared" si="114"/>
        <v>1.3728239999999998</v>
      </c>
      <c r="O1045" s="19">
        <f t="shared" si="115"/>
        <v>0</v>
      </c>
      <c r="P1045" s="13">
        <f t="shared" si="116"/>
        <v>0</v>
      </c>
      <c r="Q1045" s="9">
        <v>8.4</v>
      </c>
      <c r="R1045" s="2">
        <v>9</v>
      </c>
      <c r="S1045" s="2" t="s">
        <v>604</v>
      </c>
    </row>
    <row r="1046" spans="1:19">
      <c r="A1046" s="42" t="s">
        <v>84</v>
      </c>
      <c r="B1046" s="3" t="s">
        <v>122</v>
      </c>
      <c r="C1046" s="3">
        <v>5</v>
      </c>
      <c r="D1046" s="1"/>
      <c r="E1046" s="20" t="s">
        <v>85</v>
      </c>
      <c r="F1046" s="7" t="s">
        <v>15</v>
      </c>
      <c r="G1046" s="7" t="s">
        <v>35</v>
      </c>
      <c r="H1046" s="11">
        <v>16.579999999999998</v>
      </c>
      <c r="I1046" s="8">
        <v>5</v>
      </c>
      <c r="J1046" s="26">
        <v>1</v>
      </c>
      <c r="K1046" s="10">
        <f t="shared" si="113"/>
        <v>8.2899999999999988E-2</v>
      </c>
      <c r="L1046" s="4"/>
      <c r="M1046" s="17"/>
      <c r="N1046" s="18">
        <f t="shared" si="114"/>
        <v>0</v>
      </c>
      <c r="O1046" s="19">
        <f t="shared" si="115"/>
        <v>1</v>
      </c>
      <c r="P1046" s="13">
        <f t="shared" si="116"/>
        <v>8.2899999999999988E-2</v>
      </c>
      <c r="Q1046" s="9"/>
      <c r="R1046" s="2"/>
      <c r="S1046" s="2"/>
    </row>
    <row r="1047" spans="1:19">
      <c r="A1047" s="42" t="s">
        <v>84</v>
      </c>
      <c r="B1047" s="3" t="s">
        <v>122</v>
      </c>
      <c r="C1047" s="3">
        <v>5</v>
      </c>
      <c r="D1047" s="1"/>
      <c r="E1047" s="20" t="s">
        <v>85</v>
      </c>
      <c r="F1047" s="7" t="s">
        <v>15</v>
      </c>
      <c r="G1047" s="7" t="s">
        <v>35</v>
      </c>
      <c r="H1047" s="11">
        <v>16.579999999999998</v>
      </c>
      <c r="I1047" s="8">
        <v>6.5</v>
      </c>
      <c r="J1047" s="26">
        <v>2</v>
      </c>
      <c r="K1047" s="10">
        <f t="shared" si="113"/>
        <v>0.21553999999999995</v>
      </c>
      <c r="L1047" s="4"/>
      <c r="M1047" s="17">
        <v>2</v>
      </c>
      <c r="N1047" s="18">
        <f t="shared" si="114"/>
        <v>0.21553999999999995</v>
      </c>
      <c r="O1047" s="19">
        <f t="shared" si="115"/>
        <v>0</v>
      </c>
      <c r="P1047" s="13">
        <f t="shared" si="116"/>
        <v>0</v>
      </c>
      <c r="Q1047" s="9">
        <v>6.1</v>
      </c>
      <c r="R1047" s="2">
        <v>2</v>
      </c>
      <c r="S1047" s="2" t="s">
        <v>604</v>
      </c>
    </row>
    <row r="1048" spans="1:19">
      <c r="A1048" s="42" t="s">
        <v>84</v>
      </c>
      <c r="B1048" s="3" t="s">
        <v>122</v>
      </c>
      <c r="C1048" s="3">
        <v>5</v>
      </c>
      <c r="D1048" s="1"/>
      <c r="E1048" s="20" t="s">
        <v>85</v>
      </c>
      <c r="F1048" s="7" t="s">
        <v>15</v>
      </c>
      <c r="G1048" s="7" t="s">
        <v>35</v>
      </c>
      <c r="H1048" s="11">
        <v>16.579999999999998</v>
      </c>
      <c r="I1048" s="8">
        <v>6.6</v>
      </c>
      <c r="J1048" s="26">
        <v>2</v>
      </c>
      <c r="K1048" s="10">
        <f t="shared" si="113"/>
        <v>0.21885599999999997</v>
      </c>
      <c r="L1048" s="4"/>
      <c r="M1048" s="17">
        <v>2</v>
      </c>
      <c r="N1048" s="18">
        <f t="shared" si="114"/>
        <v>0.21885599999999997</v>
      </c>
      <c r="O1048" s="19">
        <f t="shared" si="115"/>
        <v>0</v>
      </c>
      <c r="P1048" s="13">
        <f t="shared" si="116"/>
        <v>0</v>
      </c>
      <c r="Q1048" s="9">
        <v>6.1</v>
      </c>
      <c r="R1048" s="2">
        <v>2</v>
      </c>
      <c r="S1048" s="2" t="s">
        <v>604</v>
      </c>
    </row>
    <row r="1049" spans="1:19">
      <c r="A1049" s="42" t="s">
        <v>84</v>
      </c>
      <c r="B1049" s="3" t="s">
        <v>122</v>
      </c>
      <c r="C1049" s="3">
        <v>5</v>
      </c>
      <c r="D1049" s="1"/>
      <c r="E1049" s="20" t="s">
        <v>85</v>
      </c>
      <c r="F1049" s="7" t="s">
        <v>15</v>
      </c>
      <c r="G1049" s="7" t="s">
        <v>35</v>
      </c>
      <c r="H1049" s="11">
        <v>16.579999999999998</v>
      </c>
      <c r="I1049" s="8">
        <v>6.7</v>
      </c>
      <c r="J1049" s="26">
        <v>2</v>
      </c>
      <c r="K1049" s="10">
        <f t="shared" si="113"/>
        <v>0.22217200000000001</v>
      </c>
      <c r="L1049" s="4"/>
      <c r="M1049" s="17">
        <v>2</v>
      </c>
      <c r="N1049" s="18">
        <f t="shared" si="114"/>
        <v>0.22217200000000001</v>
      </c>
      <c r="O1049" s="19">
        <f t="shared" si="115"/>
        <v>0</v>
      </c>
      <c r="P1049" s="13">
        <f t="shared" si="116"/>
        <v>0</v>
      </c>
      <c r="Q1049" s="9">
        <v>6.1</v>
      </c>
      <c r="R1049" s="2">
        <v>2</v>
      </c>
      <c r="S1049" s="2" t="s">
        <v>604</v>
      </c>
    </row>
    <row r="1050" spans="1:19">
      <c r="A1050" s="42" t="s">
        <v>84</v>
      </c>
      <c r="B1050" s="3" t="s">
        <v>122</v>
      </c>
      <c r="C1050" s="3">
        <v>5</v>
      </c>
      <c r="D1050" s="1"/>
      <c r="E1050" s="20" t="s">
        <v>85</v>
      </c>
      <c r="F1050" s="7" t="s">
        <v>15</v>
      </c>
      <c r="G1050" s="7" t="s">
        <v>35</v>
      </c>
      <c r="H1050" s="11">
        <v>16.579999999999998</v>
      </c>
      <c r="I1050" s="8">
        <v>6.8</v>
      </c>
      <c r="J1050" s="26">
        <v>5</v>
      </c>
      <c r="K1050" s="10">
        <f t="shared" si="113"/>
        <v>0.56371999999999989</v>
      </c>
      <c r="L1050" s="4"/>
      <c r="M1050" s="17">
        <v>5</v>
      </c>
      <c r="N1050" s="18">
        <f t="shared" si="114"/>
        <v>0.56371999999999989</v>
      </c>
      <c r="O1050" s="19">
        <f t="shared" si="115"/>
        <v>0</v>
      </c>
      <c r="P1050" s="13">
        <f t="shared" si="116"/>
        <v>0</v>
      </c>
      <c r="Q1050" s="9">
        <v>6.75</v>
      </c>
      <c r="R1050" s="2">
        <v>5</v>
      </c>
      <c r="S1050" s="2" t="s">
        <v>611</v>
      </c>
    </row>
    <row r="1051" spans="1:19">
      <c r="A1051" s="42" t="s">
        <v>84</v>
      </c>
      <c r="B1051" s="3" t="s">
        <v>122</v>
      </c>
      <c r="C1051" s="3">
        <v>5</v>
      </c>
      <c r="D1051" s="1"/>
      <c r="E1051" s="20" t="s">
        <v>85</v>
      </c>
      <c r="F1051" s="7" t="s">
        <v>15</v>
      </c>
      <c r="G1051" s="7" t="s">
        <v>35</v>
      </c>
      <c r="H1051" s="11">
        <v>16.579999999999998</v>
      </c>
      <c r="I1051" s="8">
        <v>7.1</v>
      </c>
      <c r="J1051" s="26">
        <v>1</v>
      </c>
      <c r="K1051" s="10">
        <f t="shared" si="113"/>
        <v>0.11771799999999998</v>
      </c>
      <c r="L1051" s="4"/>
      <c r="M1051" s="17">
        <v>1</v>
      </c>
      <c r="N1051" s="18">
        <f t="shared" si="114"/>
        <v>0.11771799999999998</v>
      </c>
      <c r="O1051" s="19">
        <f t="shared" si="115"/>
        <v>0</v>
      </c>
      <c r="P1051" s="13">
        <f t="shared" si="116"/>
        <v>0</v>
      </c>
      <c r="Q1051" s="9">
        <v>6.75</v>
      </c>
      <c r="R1051" s="2">
        <v>1</v>
      </c>
      <c r="S1051" s="2" t="s">
        <v>611</v>
      </c>
    </row>
    <row r="1052" spans="1:19">
      <c r="A1052" s="42" t="s">
        <v>84</v>
      </c>
      <c r="B1052" s="3" t="s">
        <v>122</v>
      </c>
      <c r="C1052" s="3">
        <v>5</v>
      </c>
      <c r="D1052" s="1"/>
      <c r="E1052" s="20" t="s">
        <v>85</v>
      </c>
      <c r="F1052" s="7" t="s">
        <v>15</v>
      </c>
      <c r="G1052" s="7" t="s">
        <v>35</v>
      </c>
      <c r="H1052" s="11">
        <v>16.579999999999998</v>
      </c>
      <c r="I1052" s="8">
        <v>8.1999999999999993</v>
      </c>
      <c r="J1052" s="26">
        <v>4</v>
      </c>
      <c r="K1052" s="10">
        <f t="shared" si="113"/>
        <v>0.54382399999999986</v>
      </c>
      <c r="L1052" s="4"/>
      <c r="M1052" s="17">
        <v>4</v>
      </c>
      <c r="N1052" s="18">
        <f t="shared" si="114"/>
        <v>0.54382399999999986</v>
      </c>
      <c r="O1052" s="19">
        <f t="shared" si="115"/>
        <v>0</v>
      </c>
      <c r="P1052" s="13">
        <f t="shared" si="116"/>
        <v>0</v>
      </c>
      <c r="Q1052" s="9">
        <v>6.75</v>
      </c>
      <c r="R1052" s="2">
        <v>4</v>
      </c>
      <c r="S1052" s="2" t="s">
        <v>611</v>
      </c>
    </row>
    <row r="1053" spans="1:19">
      <c r="A1053" s="42" t="s">
        <v>84</v>
      </c>
      <c r="B1053" s="3" t="s">
        <v>122</v>
      </c>
      <c r="C1053" s="3">
        <v>6</v>
      </c>
      <c r="D1053" s="1"/>
      <c r="E1053" s="20" t="s">
        <v>85</v>
      </c>
      <c r="F1053" s="7" t="s">
        <v>15</v>
      </c>
      <c r="G1053" s="7" t="s">
        <v>35</v>
      </c>
      <c r="H1053" s="11">
        <v>16.579999999999998</v>
      </c>
      <c r="I1053" s="8">
        <v>9.6</v>
      </c>
      <c r="J1053" s="26">
        <v>18</v>
      </c>
      <c r="K1053" s="10">
        <f t="shared" si="113"/>
        <v>2.8650239999999996</v>
      </c>
      <c r="L1053" s="4"/>
      <c r="M1053" s="17">
        <v>18</v>
      </c>
      <c r="N1053" s="18">
        <f t="shared" si="114"/>
        <v>2.8650239999999996</v>
      </c>
      <c r="O1053" s="19">
        <f t="shared" si="115"/>
        <v>0</v>
      </c>
      <c r="P1053" s="13">
        <f t="shared" si="116"/>
        <v>0</v>
      </c>
      <c r="Q1053" s="9"/>
      <c r="R1053" s="2"/>
      <c r="S1053" s="2"/>
    </row>
    <row r="1054" spans="1:19">
      <c r="A1054" s="42" t="s">
        <v>84</v>
      </c>
      <c r="B1054" s="3" t="s">
        <v>122</v>
      </c>
      <c r="C1054" s="3">
        <v>7</v>
      </c>
      <c r="D1054" s="1"/>
      <c r="E1054" s="20" t="s">
        <v>85</v>
      </c>
      <c r="F1054" s="7" t="s">
        <v>15</v>
      </c>
      <c r="G1054" s="7" t="s">
        <v>35</v>
      </c>
      <c r="H1054" s="11">
        <v>16.579999999999998</v>
      </c>
      <c r="I1054" s="8">
        <v>9.6</v>
      </c>
      <c r="J1054" s="26">
        <v>18</v>
      </c>
      <c r="K1054" s="10">
        <f t="shared" si="113"/>
        <v>2.8650239999999996</v>
      </c>
      <c r="L1054" s="4"/>
      <c r="M1054" s="17">
        <v>18</v>
      </c>
      <c r="N1054" s="18">
        <f t="shared" si="114"/>
        <v>2.8650239999999996</v>
      </c>
      <c r="O1054" s="19">
        <f t="shared" si="115"/>
        <v>0</v>
      </c>
      <c r="P1054" s="13">
        <f t="shared" si="116"/>
        <v>0</v>
      </c>
      <c r="Q1054" s="9"/>
      <c r="R1054" s="2"/>
      <c r="S1054" s="2"/>
    </row>
    <row r="1055" spans="1:19">
      <c r="A1055" s="42" t="s">
        <v>84</v>
      </c>
      <c r="B1055" s="3" t="s">
        <v>122</v>
      </c>
      <c r="C1055" s="3">
        <v>8</v>
      </c>
      <c r="D1055" s="1"/>
      <c r="E1055" s="20" t="s">
        <v>85</v>
      </c>
      <c r="F1055" s="7" t="s">
        <v>15</v>
      </c>
      <c r="G1055" s="7" t="s">
        <v>35</v>
      </c>
      <c r="H1055" s="11">
        <v>16.579999999999998</v>
      </c>
      <c r="I1055" s="8">
        <v>7.3</v>
      </c>
      <c r="J1055" s="26">
        <v>12</v>
      </c>
      <c r="K1055" s="10">
        <f t="shared" si="113"/>
        <v>1.4524079999999997</v>
      </c>
      <c r="L1055" s="4"/>
      <c r="M1055" s="17">
        <v>12</v>
      </c>
      <c r="N1055" s="18">
        <f t="shared" si="114"/>
        <v>1.4524079999999997</v>
      </c>
      <c r="O1055" s="19">
        <f t="shared" si="115"/>
        <v>0</v>
      </c>
      <c r="P1055" s="13">
        <f t="shared" si="116"/>
        <v>0</v>
      </c>
      <c r="Q1055" s="9"/>
      <c r="R1055" s="2"/>
      <c r="S1055" s="2"/>
    </row>
    <row r="1056" spans="1:19">
      <c r="A1056" s="42" t="s">
        <v>84</v>
      </c>
      <c r="B1056" s="3" t="s">
        <v>122</v>
      </c>
      <c r="C1056" s="3">
        <v>9</v>
      </c>
      <c r="D1056" s="1"/>
      <c r="E1056" s="20" t="s">
        <v>85</v>
      </c>
      <c r="F1056" s="7" t="s">
        <v>15</v>
      </c>
      <c r="G1056" s="7" t="s">
        <v>35</v>
      </c>
      <c r="H1056" s="11">
        <v>16.579999999999998</v>
      </c>
      <c r="I1056" s="8">
        <v>9.6</v>
      </c>
      <c r="J1056" s="26">
        <v>18</v>
      </c>
      <c r="K1056" s="10">
        <f t="shared" si="113"/>
        <v>2.8650239999999996</v>
      </c>
      <c r="L1056" s="4"/>
      <c r="M1056" s="17">
        <v>18</v>
      </c>
      <c r="N1056" s="18">
        <f t="shared" si="114"/>
        <v>2.8650239999999996</v>
      </c>
      <c r="O1056" s="19">
        <f t="shared" si="115"/>
        <v>0</v>
      </c>
      <c r="P1056" s="13">
        <f t="shared" si="116"/>
        <v>0</v>
      </c>
      <c r="Q1056" s="9"/>
      <c r="R1056" s="2"/>
      <c r="S1056" s="2"/>
    </row>
    <row r="1057" spans="1:19">
      <c r="A1057" s="42" t="s">
        <v>84</v>
      </c>
      <c r="B1057" s="3" t="s">
        <v>122</v>
      </c>
      <c r="C1057" s="3">
        <v>10</v>
      </c>
      <c r="D1057" s="1"/>
      <c r="E1057" s="20" t="s">
        <v>85</v>
      </c>
      <c r="F1057" s="7" t="s">
        <v>15</v>
      </c>
      <c r="G1057" s="7" t="s">
        <v>35</v>
      </c>
      <c r="H1057" s="11">
        <v>16.579999999999998</v>
      </c>
      <c r="I1057" s="8">
        <v>9.6</v>
      </c>
      <c r="J1057" s="26">
        <v>18</v>
      </c>
      <c r="K1057" s="10">
        <f t="shared" si="113"/>
        <v>2.8650239999999996</v>
      </c>
      <c r="L1057" s="4"/>
      <c r="M1057" s="17">
        <v>18</v>
      </c>
      <c r="N1057" s="18">
        <f t="shared" si="114"/>
        <v>2.8650239999999996</v>
      </c>
      <c r="O1057" s="19">
        <f t="shared" si="115"/>
        <v>0</v>
      </c>
      <c r="P1057" s="13">
        <f t="shared" si="116"/>
        <v>0</v>
      </c>
      <c r="Q1057" s="9"/>
      <c r="R1057" s="2"/>
      <c r="S1057" s="2"/>
    </row>
    <row r="1058" spans="1:19">
      <c r="A1058" s="42" t="s">
        <v>84</v>
      </c>
      <c r="B1058" s="3" t="s">
        <v>122</v>
      </c>
      <c r="C1058" s="3">
        <v>11</v>
      </c>
      <c r="D1058" s="1"/>
      <c r="E1058" s="20" t="s">
        <v>85</v>
      </c>
      <c r="F1058" s="7" t="s">
        <v>15</v>
      </c>
      <c r="G1058" s="7" t="s">
        <v>35</v>
      </c>
      <c r="H1058" s="11">
        <v>16.579999999999998</v>
      </c>
      <c r="I1058" s="8">
        <v>9.6</v>
      </c>
      <c r="J1058" s="26">
        <v>18</v>
      </c>
      <c r="K1058" s="10">
        <f t="shared" si="113"/>
        <v>2.8650239999999996</v>
      </c>
      <c r="L1058" s="4"/>
      <c r="M1058" s="17">
        <v>18</v>
      </c>
      <c r="N1058" s="18">
        <f t="shared" si="114"/>
        <v>2.8650239999999996</v>
      </c>
      <c r="O1058" s="19">
        <f t="shared" si="115"/>
        <v>0</v>
      </c>
      <c r="P1058" s="13">
        <f t="shared" si="116"/>
        <v>0</v>
      </c>
      <c r="Q1058" s="9"/>
      <c r="R1058" s="2"/>
      <c r="S1058" s="2"/>
    </row>
    <row r="1059" spans="1:19">
      <c r="A1059" s="42" t="s">
        <v>84</v>
      </c>
      <c r="B1059" s="3" t="s">
        <v>122</v>
      </c>
      <c r="C1059" s="3">
        <v>12</v>
      </c>
      <c r="D1059" s="1"/>
      <c r="E1059" s="20" t="s">
        <v>85</v>
      </c>
      <c r="F1059" s="7" t="s">
        <v>15</v>
      </c>
      <c r="G1059" s="7" t="s">
        <v>35</v>
      </c>
      <c r="H1059" s="11">
        <v>16.579999999999998</v>
      </c>
      <c r="I1059" s="8">
        <v>9.6</v>
      </c>
      <c r="J1059" s="26">
        <v>18</v>
      </c>
      <c r="K1059" s="10">
        <f t="shared" si="113"/>
        <v>2.8650239999999996</v>
      </c>
      <c r="L1059" s="4"/>
      <c r="M1059" s="22">
        <v>18</v>
      </c>
      <c r="N1059" s="18">
        <f t="shared" si="114"/>
        <v>2.8650239999999996</v>
      </c>
      <c r="O1059" s="19">
        <f t="shared" si="115"/>
        <v>0</v>
      </c>
      <c r="P1059" s="13">
        <f t="shared" si="116"/>
        <v>0</v>
      </c>
      <c r="Q1059" s="9"/>
      <c r="R1059" s="2"/>
      <c r="S1059" s="2"/>
    </row>
    <row r="1060" spans="1:19">
      <c r="A1060" s="42" t="s">
        <v>84</v>
      </c>
      <c r="B1060" s="3" t="s">
        <v>122</v>
      </c>
      <c r="C1060" s="3">
        <v>13</v>
      </c>
      <c r="D1060" s="1"/>
      <c r="E1060" s="20" t="s">
        <v>85</v>
      </c>
      <c r="F1060" s="7" t="s">
        <v>15</v>
      </c>
      <c r="G1060" s="7" t="s">
        <v>35</v>
      </c>
      <c r="H1060" s="11">
        <v>16.579999999999998</v>
      </c>
      <c r="I1060" s="8">
        <v>9.6</v>
      </c>
      <c r="J1060" s="26">
        <v>18</v>
      </c>
      <c r="K1060" s="10">
        <f t="shared" si="113"/>
        <v>2.8650239999999996</v>
      </c>
      <c r="L1060" s="4"/>
      <c r="M1060" s="22">
        <v>18</v>
      </c>
      <c r="N1060" s="18">
        <f t="shared" si="114"/>
        <v>2.8650239999999996</v>
      </c>
      <c r="O1060" s="19">
        <f t="shared" si="115"/>
        <v>0</v>
      </c>
      <c r="P1060" s="13">
        <f t="shared" si="116"/>
        <v>0</v>
      </c>
      <c r="Q1060" s="9"/>
      <c r="R1060" s="2"/>
      <c r="S1060" s="2"/>
    </row>
    <row r="1061" spans="1:19">
      <c r="A1061" s="42" t="s">
        <v>84</v>
      </c>
      <c r="B1061" s="3" t="s">
        <v>122</v>
      </c>
      <c r="C1061" s="3">
        <v>14</v>
      </c>
      <c r="D1061" s="1"/>
      <c r="E1061" s="20" t="s">
        <v>85</v>
      </c>
      <c r="F1061" s="7" t="s">
        <v>15</v>
      </c>
      <c r="G1061" s="7" t="s">
        <v>35</v>
      </c>
      <c r="H1061" s="11">
        <v>16.579999999999998</v>
      </c>
      <c r="I1061" s="8">
        <v>9.6</v>
      </c>
      <c r="J1061" s="26">
        <v>18</v>
      </c>
      <c r="K1061" s="10">
        <f t="shared" si="113"/>
        <v>2.8650239999999996</v>
      </c>
      <c r="L1061" s="4"/>
      <c r="M1061" s="22">
        <v>18</v>
      </c>
      <c r="N1061" s="18">
        <f t="shared" si="114"/>
        <v>2.8650239999999996</v>
      </c>
      <c r="O1061" s="19">
        <f t="shared" si="115"/>
        <v>0</v>
      </c>
      <c r="P1061" s="13">
        <f t="shared" si="116"/>
        <v>0</v>
      </c>
      <c r="Q1061" s="9"/>
      <c r="R1061" s="2"/>
      <c r="S1061" s="2"/>
    </row>
    <row r="1062" spans="1:19">
      <c r="A1062" s="42" t="s">
        <v>84</v>
      </c>
      <c r="B1062" s="3" t="s">
        <v>122</v>
      </c>
      <c r="C1062" s="3">
        <v>15</v>
      </c>
      <c r="D1062" s="1"/>
      <c r="E1062" s="20" t="s">
        <v>85</v>
      </c>
      <c r="F1062" s="7" t="s">
        <v>15</v>
      </c>
      <c r="G1062" s="7" t="s">
        <v>35</v>
      </c>
      <c r="H1062" s="11">
        <v>16.579999999999998</v>
      </c>
      <c r="I1062" s="8">
        <v>9.6</v>
      </c>
      <c r="J1062" s="26">
        <v>18</v>
      </c>
      <c r="K1062" s="10">
        <f t="shared" si="113"/>
        <v>2.8650239999999996</v>
      </c>
      <c r="L1062" s="4"/>
      <c r="M1062" s="22">
        <v>18</v>
      </c>
      <c r="N1062" s="18">
        <f t="shared" si="114"/>
        <v>2.8650239999999996</v>
      </c>
      <c r="O1062" s="19">
        <f t="shared" si="115"/>
        <v>0</v>
      </c>
      <c r="P1062" s="13">
        <f t="shared" si="116"/>
        <v>0</v>
      </c>
      <c r="Q1062" s="9"/>
      <c r="R1062" s="2"/>
      <c r="S1062" s="2"/>
    </row>
    <row r="1063" spans="1:19">
      <c r="A1063" s="42" t="s">
        <v>84</v>
      </c>
      <c r="B1063" s="3" t="s">
        <v>122</v>
      </c>
      <c r="C1063" s="3">
        <v>16</v>
      </c>
      <c r="D1063" s="1"/>
      <c r="E1063" s="20" t="s">
        <v>85</v>
      </c>
      <c r="F1063" s="7" t="s">
        <v>15</v>
      </c>
      <c r="G1063" s="7" t="s">
        <v>35</v>
      </c>
      <c r="H1063" s="11">
        <v>16.579999999999998</v>
      </c>
      <c r="I1063" s="8">
        <v>7.3</v>
      </c>
      <c r="J1063" s="26">
        <v>18</v>
      </c>
      <c r="K1063" s="10">
        <f t="shared" si="113"/>
        <v>2.1786119999999998</v>
      </c>
      <c r="L1063" s="4"/>
      <c r="M1063" s="37">
        <v>18</v>
      </c>
      <c r="N1063" s="18">
        <f t="shared" si="114"/>
        <v>2.1786120000000002</v>
      </c>
      <c r="O1063" s="19">
        <f t="shared" si="115"/>
        <v>0</v>
      </c>
      <c r="P1063" s="13">
        <f t="shared" si="116"/>
        <v>0</v>
      </c>
      <c r="Q1063" s="9"/>
      <c r="R1063" s="2"/>
      <c r="S1063" s="2"/>
    </row>
    <row r="1064" spans="1:19">
      <c r="A1064" s="42" t="s">
        <v>84</v>
      </c>
      <c r="B1064" s="3" t="s">
        <v>122</v>
      </c>
      <c r="C1064" s="3">
        <v>17</v>
      </c>
      <c r="D1064" s="1"/>
      <c r="E1064" s="20" t="s">
        <v>85</v>
      </c>
      <c r="F1064" s="7" t="s">
        <v>15</v>
      </c>
      <c r="G1064" s="7" t="s">
        <v>35</v>
      </c>
      <c r="H1064" s="11">
        <v>16.579999999999998</v>
      </c>
      <c r="I1064" s="8">
        <v>7.3</v>
      </c>
      <c r="J1064" s="26">
        <v>18</v>
      </c>
      <c r="K1064" s="10">
        <f t="shared" si="113"/>
        <v>2.1786119999999998</v>
      </c>
      <c r="L1064" s="4"/>
      <c r="M1064" s="37">
        <v>18</v>
      </c>
      <c r="N1064" s="18">
        <f t="shared" si="114"/>
        <v>2.1786120000000002</v>
      </c>
      <c r="O1064" s="19">
        <f t="shared" si="115"/>
        <v>0</v>
      </c>
      <c r="P1064" s="13">
        <f t="shared" si="116"/>
        <v>0</v>
      </c>
      <c r="Q1064" s="9"/>
      <c r="R1064" s="2"/>
      <c r="S1064" s="2"/>
    </row>
    <row r="1065" spans="1:19">
      <c r="A1065" s="42" t="s">
        <v>84</v>
      </c>
      <c r="B1065" s="3" t="s">
        <v>122</v>
      </c>
      <c r="C1065" s="3">
        <v>17</v>
      </c>
      <c r="D1065" s="1"/>
      <c r="E1065" s="20" t="s">
        <v>85</v>
      </c>
      <c r="F1065" s="7" t="s">
        <v>15</v>
      </c>
      <c r="G1065" s="7" t="s">
        <v>35</v>
      </c>
      <c r="H1065" s="11">
        <v>16.579999999999998</v>
      </c>
      <c r="I1065" s="8">
        <v>8.15</v>
      </c>
      <c r="J1065" s="26">
        <v>18</v>
      </c>
      <c r="K1065" s="10">
        <f t="shared" si="113"/>
        <v>2.4322859999999995</v>
      </c>
      <c r="L1065" s="4"/>
      <c r="M1065" s="22">
        <f>4+3+4+2+3</f>
        <v>16</v>
      </c>
      <c r="N1065" s="18">
        <f t="shared" si="114"/>
        <v>2.1620319999999995</v>
      </c>
      <c r="O1065" s="19">
        <f t="shared" si="115"/>
        <v>2</v>
      </c>
      <c r="P1065" s="13">
        <f t="shared" si="116"/>
        <v>0.27025399999999994</v>
      </c>
      <c r="Q1065" s="9" t="s">
        <v>610</v>
      </c>
      <c r="R1065" s="2">
        <f>6+7+3</f>
        <v>16</v>
      </c>
      <c r="S1065" s="2" t="s">
        <v>612</v>
      </c>
    </row>
    <row r="1066" spans="1:19">
      <c r="A1066" s="42" t="s">
        <v>84</v>
      </c>
      <c r="B1066" s="3" t="s">
        <v>122</v>
      </c>
      <c r="C1066" s="3">
        <v>17</v>
      </c>
      <c r="D1066" s="1"/>
      <c r="E1066" s="20" t="s">
        <v>85</v>
      </c>
      <c r="F1066" s="7" t="s">
        <v>15</v>
      </c>
      <c r="G1066" s="7" t="s">
        <v>35</v>
      </c>
      <c r="H1066" s="11">
        <v>16.579999999999998</v>
      </c>
      <c r="I1066" s="8">
        <v>8.15</v>
      </c>
      <c r="J1066" s="26">
        <v>18</v>
      </c>
      <c r="K1066" s="10">
        <f t="shared" si="113"/>
        <v>2.4322859999999995</v>
      </c>
      <c r="L1066" s="4"/>
      <c r="M1066" s="22"/>
      <c r="N1066" s="18">
        <f t="shared" si="114"/>
        <v>0</v>
      </c>
      <c r="O1066" s="19">
        <f t="shared" si="115"/>
        <v>18</v>
      </c>
      <c r="P1066" s="13">
        <f t="shared" si="116"/>
        <v>2.4322859999999999</v>
      </c>
      <c r="Q1066" s="9"/>
      <c r="R1066" s="2"/>
      <c r="S1066" s="2"/>
    </row>
    <row r="1067" spans="1:19">
      <c r="A1067" s="42" t="s">
        <v>84</v>
      </c>
      <c r="B1067" s="3" t="s">
        <v>122</v>
      </c>
      <c r="C1067" s="3">
        <v>17</v>
      </c>
      <c r="D1067" s="1"/>
      <c r="E1067" s="20" t="s">
        <v>85</v>
      </c>
      <c r="F1067" s="7" t="s">
        <v>15</v>
      </c>
      <c r="G1067" s="7" t="s">
        <v>35</v>
      </c>
      <c r="H1067" s="11">
        <v>16.579999999999998</v>
      </c>
      <c r="I1067" s="8">
        <v>8.15</v>
      </c>
      <c r="J1067" s="26">
        <v>18</v>
      </c>
      <c r="K1067" s="10">
        <f t="shared" si="113"/>
        <v>2.4322859999999995</v>
      </c>
      <c r="L1067" s="4"/>
      <c r="M1067" s="22">
        <v>15</v>
      </c>
      <c r="N1067" s="18">
        <f t="shared" si="114"/>
        <v>2.0269049999999997</v>
      </c>
      <c r="O1067" s="19">
        <f t="shared" si="115"/>
        <v>3</v>
      </c>
      <c r="P1067" s="13">
        <f t="shared" si="116"/>
        <v>0.40538100000000005</v>
      </c>
      <c r="Q1067" s="9">
        <v>8.15</v>
      </c>
      <c r="R1067" s="2">
        <v>15</v>
      </c>
      <c r="S1067" s="2" t="s">
        <v>800</v>
      </c>
    </row>
    <row r="1068" spans="1:19">
      <c r="A1068" s="42" t="s">
        <v>84</v>
      </c>
      <c r="B1068" s="3" t="s">
        <v>122</v>
      </c>
      <c r="C1068" s="3">
        <v>17</v>
      </c>
      <c r="D1068" s="1"/>
      <c r="E1068" s="20" t="s">
        <v>85</v>
      </c>
      <c r="F1068" s="7" t="s">
        <v>15</v>
      </c>
      <c r="G1068" s="7" t="s">
        <v>35</v>
      </c>
      <c r="H1068" s="11">
        <v>16.579999999999998</v>
      </c>
      <c r="I1068" s="8">
        <v>8.15</v>
      </c>
      <c r="J1068" s="26">
        <v>20</v>
      </c>
      <c r="K1068" s="10">
        <f t="shared" si="113"/>
        <v>2.7025399999999995</v>
      </c>
      <c r="L1068" s="4"/>
      <c r="M1068" s="22">
        <v>20</v>
      </c>
      <c r="N1068" s="18">
        <f t="shared" si="114"/>
        <v>2.7025399999999995</v>
      </c>
      <c r="O1068" s="19">
        <f t="shared" si="115"/>
        <v>0</v>
      </c>
      <c r="P1068" s="13">
        <f t="shared" si="116"/>
        <v>0</v>
      </c>
      <c r="Q1068" s="9">
        <v>8.15</v>
      </c>
      <c r="R1068" s="2">
        <v>20</v>
      </c>
      <c r="S1068" s="2" t="s">
        <v>799</v>
      </c>
    </row>
    <row r="1069" spans="1:19">
      <c r="A1069" s="42" t="s">
        <v>84</v>
      </c>
      <c r="B1069" s="3" t="s">
        <v>122</v>
      </c>
      <c r="C1069" s="3">
        <v>1</v>
      </c>
      <c r="D1069" s="1"/>
      <c r="E1069" s="20" t="s">
        <v>86</v>
      </c>
      <c r="F1069" s="7" t="s">
        <v>14</v>
      </c>
      <c r="G1069" s="7" t="s">
        <v>29</v>
      </c>
      <c r="H1069" s="11">
        <v>10.92</v>
      </c>
      <c r="I1069" s="8">
        <v>12</v>
      </c>
      <c r="J1069" s="26">
        <v>14</v>
      </c>
      <c r="K1069" s="10">
        <f t="shared" si="113"/>
        <v>1.83456</v>
      </c>
      <c r="L1069" s="4"/>
      <c r="M1069" s="37">
        <f>10+4</f>
        <v>14</v>
      </c>
      <c r="N1069" s="18">
        <f t="shared" si="114"/>
        <v>1.83456</v>
      </c>
      <c r="O1069" s="19">
        <f t="shared" si="115"/>
        <v>0</v>
      </c>
      <c r="P1069" s="13">
        <f t="shared" si="116"/>
        <v>0</v>
      </c>
      <c r="Q1069" s="9">
        <v>12</v>
      </c>
      <c r="R1069" s="2">
        <v>4</v>
      </c>
      <c r="S1069" s="9" t="s">
        <v>376</v>
      </c>
    </row>
    <row r="1070" spans="1:19">
      <c r="A1070" s="42" t="s">
        <v>84</v>
      </c>
      <c r="B1070" s="3" t="s">
        <v>122</v>
      </c>
      <c r="C1070" s="3">
        <v>1</v>
      </c>
      <c r="D1070" s="1"/>
      <c r="E1070" s="20" t="s">
        <v>86</v>
      </c>
      <c r="F1070" s="7" t="s">
        <v>14</v>
      </c>
      <c r="G1070" s="7" t="s">
        <v>32</v>
      </c>
      <c r="H1070" s="11">
        <v>8.3000000000000007</v>
      </c>
      <c r="I1070" s="8">
        <v>10.9</v>
      </c>
      <c r="J1070" s="26">
        <v>2</v>
      </c>
      <c r="K1070" s="10">
        <f t="shared" si="113"/>
        <v>0.18094000000000002</v>
      </c>
      <c r="L1070" s="4"/>
      <c r="M1070" s="37">
        <v>2</v>
      </c>
      <c r="N1070" s="18">
        <f t="shared" si="114"/>
        <v>0.18094000000000002</v>
      </c>
      <c r="O1070" s="19">
        <f t="shared" si="115"/>
        <v>0</v>
      </c>
      <c r="P1070" s="13">
        <f t="shared" si="116"/>
        <v>0</v>
      </c>
      <c r="Q1070" s="9">
        <v>10.9</v>
      </c>
      <c r="R1070" s="2">
        <v>2</v>
      </c>
      <c r="S1070" s="2" t="s">
        <v>731</v>
      </c>
    </row>
    <row r="1071" spans="1:19">
      <c r="A1071" s="42" t="s">
        <v>84</v>
      </c>
      <c r="B1071" s="3" t="s">
        <v>122</v>
      </c>
      <c r="C1071" s="3">
        <v>1</v>
      </c>
      <c r="D1071" s="1"/>
      <c r="E1071" s="20" t="s">
        <v>86</v>
      </c>
      <c r="F1071" s="7" t="s">
        <v>14</v>
      </c>
      <c r="G1071" s="7" t="s">
        <v>32</v>
      </c>
      <c r="H1071" s="11">
        <v>8.3000000000000007</v>
      </c>
      <c r="I1071" s="8">
        <v>11</v>
      </c>
      <c r="J1071" s="26">
        <v>11</v>
      </c>
      <c r="K1071" s="10">
        <f t="shared" si="113"/>
        <v>1.0043000000000002</v>
      </c>
      <c r="L1071" s="4"/>
      <c r="M1071" s="22">
        <f>7+4</f>
        <v>11</v>
      </c>
      <c r="N1071" s="18">
        <f t="shared" si="114"/>
        <v>1.0043</v>
      </c>
      <c r="O1071" s="19">
        <f t="shared" si="115"/>
        <v>0</v>
      </c>
      <c r="P1071" s="13">
        <f t="shared" si="116"/>
        <v>0</v>
      </c>
      <c r="Q1071" s="9"/>
      <c r="R1071" s="2"/>
      <c r="S1071" s="2"/>
    </row>
    <row r="1072" spans="1:19">
      <c r="A1072" s="42" t="s">
        <v>84</v>
      </c>
      <c r="B1072" s="3" t="s">
        <v>122</v>
      </c>
      <c r="C1072" s="3">
        <v>1</v>
      </c>
      <c r="D1072" s="1"/>
      <c r="E1072" s="20" t="s">
        <v>86</v>
      </c>
      <c r="F1072" s="7" t="s">
        <v>14</v>
      </c>
      <c r="G1072" s="7" t="s">
        <v>32</v>
      </c>
      <c r="H1072" s="11">
        <v>8.3000000000000007</v>
      </c>
      <c r="I1072" s="8">
        <v>9.6999999999999993</v>
      </c>
      <c r="J1072" s="26">
        <v>1</v>
      </c>
      <c r="K1072" s="10">
        <f t="shared" si="113"/>
        <v>8.0509999999999998E-2</v>
      </c>
      <c r="L1072" s="4"/>
      <c r="M1072" s="37">
        <v>1</v>
      </c>
      <c r="N1072" s="18">
        <f t="shared" si="114"/>
        <v>8.0509999999999998E-2</v>
      </c>
      <c r="O1072" s="19">
        <f t="shared" si="115"/>
        <v>0</v>
      </c>
      <c r="P1072" s="13">
        <f t="shared" si="116"/>
        <v>0</v>
      </c>
      <c r="Q1072" s="9">
        <v>9.6999999999999993</v>
      </c>
      <c r="R1072" s="2">
        <v>1</v>
      </c>
      <c r="S1072" s="2" t="s">
        <v>731</v>
      </c>
    </row>
    <row r="1073" spans="1:19">
      <c r="A1073" s="42" t="s">
        <v>84</v>
      </c>
      <c r="B1073" s="3" t="s">
        <v>122</v>
      </c>
      <c r="C1073" s="3">
        <v>1</v>
      </c>
      <c r="D1073" s="1"/>
      <c r="E1073" s="20" t="s">
        <v>86</v>
      </c>
      <c r="F1073" s="7" t="s">
        <v>14</v>
      </c>
      <c r="G1073" s="7" t="s">
        <v>32</v>
      </c>
      <c r="H1073" s="11">
        <v>8.3000000000000007</v>
      </c>
      <c r="I1073" s="8">
        <v>9.5</v>
      </c>
      <c r="J1073" s="26">
        <v>1</v>
      </c>
      <c r="K1073" s="10">
        <f t="shared" si="113"/>
        <v>7.8850000000000003E-2</v>
      </c>
      <c r="L1073" s="4"/>
      <c r="M1073" s="17">
        <v>1</v>
      </c>
      <c r="N1073" s="18">
        <f t="shared" si="114"/>
        <v>7.8850000000000003E-2</v>
      </c>
      <c r="O1073" s="19">
        <f t="shared" si="115"/>
        <v>0</v>
      </c>
      <c r="P1073" s="13">
        <f t="shared" si="116"/>
        <v>0</v>
      </c>
      <c r="Q1073" s="9"/>
      <c r="R1073" s="2">
        <v>1</v>
      </c>
      <c r="S1073" s="2" t="s">
        <v>731</v>
      </c>
    </row>
    <row r="1074" spans="1:19">
      <c r="A1074" s="42" t="s">
        <v>84</v>
      </c>
      <c r="B1074" s="3" t="s">
        <v>122</v>
      </c>
      <c r="C1074" s="3">
        <v>1</v>
      </c>
      <c r="D1074" s="1"/>
      <c r="E1074" s="20" t="s">
        <v>20</v>
      </c>
      <c r="F1074" s="7" t="s">
        <v>15</v>
      </c>
      <c r="G1074" s="7" t="s">
        <v>57</v>
      </c>
      <c r="H1074" s="11">
        <v>33.72</v>
      </c>
      <c r="I1074" s="8">
        <v>7.5</v>
      </c>
      <c r="J1074" s="26">
        <v>1</v>
      </c>
      <c r="K1074" s="10">
        <f t="shared" si="113"/>
        <v>0.25289999999999996</v>
      </c>
      <c r="L1074" s="4"/>
      <c r="M1074" s="17">
        <v>1</v>
      </c>
      <c r="N1074" s="18">
        <f t="shared" si="114"/>
        <v>0.25289999999999996</v>
      </c>
      <c r="O1074" s="19">
        <f t="shared" si="115"/>
        <v>0</v>
      </c>
      <c r="P1074" s="13">
        <f t="shared" si="116"/>
        <v>0</v>
      </c>
      <c r="Q1074" s="9">
        <v>7.5</v>
      </c>
      <c r="R1074" s="2">
        <v>1</v>
      </c>
      <c r="S1074" s="2" t="s">
        <v>278</v>
      </c>
    </row>
    <row r="1075" spans="1:19">
      <c r="A1075" s="42" t="s">
        <v>84</v>
      </c>
      <c r="B1075" s="3" t="s">
        <v>122</v>
      </c>
      <c r="C1075" s="3">
        <v>1</v>
      </c>
      <c r="D1075" s="1"/>
      <c r="E1075" s="20" t="s">
        <v>20</v>
      </c>
      <c r="F1075" s="7" t="s">
        <v>15</v>
      </c>
      <c r="G1075" s="7" t="s">
        <v>57</v>
      </c>
      <c r="H1075" s="11">
        <v>33.72</v>
      </c>
      <c r="I1075" s="8">
        <v>7.25</v>
      </c>
      <c r="J1075" s="26">
        <v>1</v>
      </c>
      <c r="K1075" s="10">
        <f t="shared" si="113"/>
        <v>0.24446999999999999</v>
      </c>
      <c r="L1075" s="4"/>
      <c r="M1075" s="17">
        <v>1</v>
      </c>
      <c r="N1075" s="18">
        <f t="shared" si="114"/>
        <v>0.24446999999999999</v>
      </c>
      <c r="O1075" s="19">
        <f t="shared" si="115"/>
        <v>0</v>
      </c>
      <c r="P1075" s="13">
        <f t="shared" si="116"/>
        <v>0</v>
      </c>
      <c r="Q1075" s="9">
        <v>7.25</v>
      </c>
      <c r="R1075" s="2">
        <v>1</v>
      </c>
      <c r="S1075" s="2" t="s">
        <v>278</v>
      </c>
    </row>
    <row r="1076" spans="1:19">
      <c r="A1076" s="42" t="s">
        <v>84</v>
      </c>
      <c r="B1076" s="3" t="s">
        <v>122</v>
      </c>
      <c r="C1076" s="3">
        <v>1</v>
      </c>
      <c r="D1076" s="1"/>
      <c r="E1076" s="20" t="s">
        <v>20</v>
      </c>
      <c r="F1076" s="7" t="s">
        <v>15</v>
      </c>
      <c r="G1076" s="7" t="s">
        <v>57</v>
      </c>
      <c r="H1076" s="11">
        <v>33.72</v>
      </c>
      <c r="I1076" s="8">
        <v>11.5</v>
      </c>
      <c r="J1076" s="26">
        <v>1</v>
      </c>
      <c r="K1076" s="10">
        <f t="shared" si="113"/>
        <v>0.38777999999999996</v>
      </c>
      <c r="L1076" s="4"/>
      <c r="M1076" s="17">
        <v>1</v>
      </c>
      <c r="N1076" s="18">
        <f t="shared" si="114"/>
        <v>0.38777999999999996</v>
      </c>
      <c r="O1076" s="19">
        <f t="shared" si="115"/>
        <v>0</v>
      </c>
      <c r="P1076" s="13">
        <f t="shared" si="116"/>
        <v>0</v>
      </c>
      <c r="Q1076" s="32">
        <v>10.1</v>
      </c>
      <c r="R1076" s="2">
        <v>1</v>
      </c>
      <c r="S1076" s="32" t="s">
        <v>195</v>
      </c>
    </row>
    <row r="1077" spans="1:19">
      <c r="A1077" s="42" t="s">
        <v>84</v>
      </c>
      <c r="B1077" s="3" t="s">
        <v>122</v>
      </c>
      <c r="C1077" s="3">
        <v>1</v>
      </c>
      <c r="D1077" s="1"/>
      <c r="E1077" s="20" t="s">
        <v>87</v>
      </c>
      <c r="F1077" s="7" t="s">
        <v>15</v>
      </c>
      <c r="G1077" s="7" t="s">
        <v>65</v>
      </c>
      <c r="H1077" s="11">
        <v>44.12</v>
      </c>
      <c r="I1077" s="8">
        <v>10.1</v>
      </c>
      <c r="J1077" s="26">
        <v>3</v>
      </c>
      <c r="K1077" s="10">
        <f t="shared" si="113"/>
        <v>1.3368359999999997</v>
      </c>
      <c r="L1077" s="4"/>
      <c r="M1077" s="17"/>
      <c r="N1077" s="18">
        <f t="shared" si="114"/>
        <v>0</v>
      </c>
      <c r="O1077" s="19">
        <f t="shared" si="115"/>
        <v>3</v>
      </c>
      <c r="P1077" s="13">
        <f t="shared" si="116"/>
        <v>1.3368359999999997</v>
      </c>
      <c r="Q1077" s="9"/>
      <c r="R1077" s="2"/>
      <c r="S1077" s="2"/>
    </row>
    <row r="1078" spans="1:19">
      <c r="A1078" s="42" t="s">
        <v>84</v>
      </c>
      <c r="B1078" s="3" t="s">
        <v>122</v>
      </c>
      <c r="C1078" s="3">
        <v>1</v>
      </c>
      <c r="D1078" s="1"/>
      <c r="E1078" s="20" t="s">
        <v>87</v>
      </c>
      <c r="F1078" s="7" t="s">
        <v>15</v>
      </c>
      <c r="G1078" s="7" t="s">
        <v>65</v>
      </c>
      <c r="H1078" s="11">
        <v>44.12</v>
      </c>
      <c r="I1078" s="8">
        <v>10</v>
      </c>
      <c r="J1078" s="26">
        <v>1</v>
      </c>
      <c r="K1078" s="10">
        <f t="shared" si="113"/>
        <v>0.44119999999999998</v>
      </c>
      <c r="L1078" s="4"/>
      <c r="M1078" s="17"/>
      <c r="N1078" s="18">
        <f t="shared" si="114"/>
        <v>0</v>
      </c>
      <c r="O1078" s="19">
        <f t="shared" si="115"/>
        <v>1</v>
      </c>
      <c r="P1078" s="13">
        <f t="shared" si="116"/>
        <v>0.44119999999999998</v>
      </c>
      <c r="Q1078" s="9"/>
      <c r="R1078" s="2"/>
      <c r="S1078" s="2"/>
    </row>
    <row r="1079" spans="1:19">
      <c r="A1079" s="42" t="s">
        <v>84</v>
      </c>
      <c r="B1079" s="3" t="s">
        <v>122</v>
      </c>
      <c r="C1079" s="3">
        <v>3</v>
      </c>
      <c r="D1079" s="1"/>
      <c r="E1079" s="20" t="s">
        <v>86</v>
      </c>
      <c r="F1079" s="7" t="s">
        <v>14</v>
      </c>
      <c r="G1079" s="7" t="s">
        <v>23</v>
      </c>
      <c r="H1079" s="11">
        <v>9</v>
      </c>
      <c r="I1079" s="8">
        <v>6.6</v>
      </c>
      <c r="J1079" s="26">
        <v>1</v>
      </c>
      <c r="K1079" s="10">
        <f t="shared" si="113"/>
        <v>5.9400000000000001E-2</v>
      </c>
      <c r="L1079" s="4"/>
      <c r="M1079" s="17"/>
      <c r="N1079" s="18">
        <f t="shared" si="114"/>
        <v>0</v>
      </c>
      <c r="O1079" s="19">
        <f t="shared" si="115"/>
        <v>1</v>
      </c>
      <c r="P1079" s="13">
        <f t="shared" si="116"/>
        <v>5.9400000000000001E-2</v>
      </c>
      <c r="Q1079" s="9"/>
      <c r="R1079" s="2"/>
      <c r="S1079" s="2"/>
    </row>
    <row r="1080" spans="1:19">
      <c r="A1080" s="42" t="s">
        <v>84</v>
      </c>
      <c r="B1080" s="3" t="s">
        <v>122</v>
      </c>
      <c r="C1080" s="3">
        <v>3</v>
      </c>
      <c r="D1080" s="1"/>
      <c r="E1080" s="20" t="s">
        <v>86</v>
      </c>
      <c r="F1080" s="7" t="s">
        <v>14</v>
      </c>
      <c r="G1080" s="7" t="s">
        <v>23</v>
      </c>
      <c r="H1080" s="11">
        <v>9</v>
      </c>
      <c r="I1080" s="8">
        <v>11.7</v>
      </c>
      <c r="J1080" s="26">
        <v>3</v>
      </c>
      <c r="K1080" s="10">
        <f t="shared" si="113"/>
        <v>0.31589999999999996</v>
      </c>
      <c r="L1080" s="4"/>
      <c r="M1080" s="17">
        <v>3</v>
      </c>
      <c r="N1080" s="18">
        <f t="shared" si="114"/>
        <v>0.31589999999999996</v>
      </c>
      <c r="O1080" s="19">
        <f t="shared" si="115"/>
        <v>0</v>
      </c>
      <c r="P1080" s="13">
        <f t="shared" si="116"/>
        <v>0</v>
      </c>
      <c r="Q1080" s="9">
        <v>10</v>
      </c>
      <c r="R1080" s="2">
        <v>3</v>
      </c>
      <c r="S1080" s="2"/>
    </row>
    <row r="1081" spans="1:19">
      <c r="A1081" s="42" t="s">
        <v>84</v>
      </c>
      <c r="B1081" s="3" t="s">
        <v>122</v>
      </c>
      <c r="C1081" s="3">
        <v>3</v>
      </c>
      <c r="D1081" s="1"/>
      <c r="E1081" s="20" t="s">
        <v>86</v>
      </c>
      <c r="F1081" s="7" t="s">
        <v>14</v>
      </c>
      <c r="G1081" s="7" t="s">
        <v>23</v>
      </c>
      <c r="H1081" s="11">
        <v>9</v>
      </c>
      <c r="I1081" s="8">
        <v>11.5</v>
      </c>
      <c r="J1081" s="26">
        <v>3</v>
      </c>
      <c r="K1081" s="10">
        <f t="shared" si="113"/>
        <v>0.3105</v>
      </c>
      <c r="L1081" s="4"/>
      <c r="M1081" s="17">
        <v>3</v>
      </c>
      <c r="N1081" s="18">
        <f t="shared" si="114"/>
        <v>0.3105</v>
      </c>
      <c r="O1081" s="19">
        <f t="shared" si="115"/>
        <v>0</v>
      </c>
      <c r="P1081" s="13">
        <f t="shared" si="116"/>
        <v>0</v>
      </c>
      <c r="Q1081" s="9">
        <v>10</v>
      </c>
      <c r="R1081" s="2">
        <v>3</v>
      </c>
      <c r="S1081" s="2"/>
    </row>
    <row r="1082" spans="1:19">
      <c r="A1082" s="42" t="s">
        <v>84</v>
      </c>
      <c r="B1082" s="3" t="s">
        <v>122</v>
      </c>
      <c r="C1082" s="3">
        <v>4</v>
      </c>
      <c r="D1082" s="1"/>
      <c r="E1082" s="20" t="s">
        <v>86</v>
      </c>
      <c r="F1082" s="7" t="s">
        <v>14</v>
      </c>
      <c r="G1082" s="7" t="s">
        <v>23</v>
      </c>
      <c r="H1082" s="11">
        <v>9</v>
      </c>
      <c r="I1082" s="8">
        <v>9.1999999999999993</v>
      </c>
      <c r="J1082" s="26">
        <v>1</v>
      </c>
      <c r="K1082" s="10">
        <f t="shared" si="113"/>
        <v>8.2799999999999999E-2</v>
      </c>
      <c r="L1082" s="4"/>
      <c r="M1082" s="17"/>
      <c r="N1082" s="18">
        <f t="shared" si="114"/>
        <v>0</v>
      </c>
      <c r="O1082" s="19">
        <f t="shared" si="115"/>
        <v>1</v>
      </c>
      <c r="P1082" s="13">
        <f t="shared" si="116"/>
        <v>8.2799999999999999E-2</v>
      </c>
      <c r="Q1082" s="9"/>
      <c r="R1082" s="2"/>
      <c r="S1082" s="2"/>
    </row>
    <row r="1083" spans="1:19">
      <c r="A1083" s="42" t="s">
        <v>84</v>
      </c>
      <c r="B1083" s="3" t="s">
        <v>122</v>
      </c>
      <c r="C1083" s="3">
        <v>5</v>
      </c>
      <c r="D1083" s="1"/>
      <c r="E1083" s="20" t="s">
        <v>86</v>
      </c>
      <c r="F1083" s="7" t="s">
        <v>14</v>
      </c>
      <c r="G1083" s="7" t="s">
        <v>23</v>
      </c>
      <c r="H1083" s="11">
        <v>9</v>
      </c>
      <c r="I1083" s="8">
        <v>11.5</v>
      </c>
      <c r="J1083" s="26">
        <v>8</v>
      </c>
      <c r="K1083" s="10">
        <f t="shared" si="113"/>
        <v>0.82799999999999996</v>
      </c>
      <c r="L1083" s="4"/>
      <c r="M1083" s="17">
        <f>6+2</f>
        <v>8</v>
      </c>
      <c r="N1083" s="18">
        <f t="shared" si="114"/>
        <v>0.82799999999999996</v>
      </c>
      <c r="O1083" s="19">
        <f t="shared" si="115"/>
        <v>0</v>
      </c>
      <c r="P1083" s="13">
        <f t="shared" si="116"/>
        <v>0</v>
      </c>
      <c r="Q1083" s="9"/>
      <c r="R1083" s="2"/>
      <c r="S1083" s="2"/>
    </row>
    <row r="1084" spans="1:19">
      <c r="A1084" s="42" t="s">
        <v>84</v>
      </c>
      <c r="B1084" s="3" t="s">
        <v>122</v>
      </c>
      <c r="C1084" s="3">
        <v>6</v>
      </c>
      <c r="D1084" s="1"/>
      <c r="E1084" s="20" t="s">
        <v>86</v>
      </c>
      <c r="F1084" s="7" t="s">
        <v>14</v>
      </c>
      <c r="G1084" s="7" t="s">
        <v>23</v>
      </c>
      <c r="H1084" s="11">
        <v>9</v>
      </c>
      <c r="I1084" s="8">
        <v>12.65</v>
      </c>
      <c r="J1084" s="26">
        <v>1</v>
      </c>
      <c r="K1084" s="10">
        <f t="shared" si="113"/>
        <v>0.11385000000000001</v>
      </c>
      <c r="L1084" s="4"/>
      <c r="M1084" s="17"/>
      <c r="N1084" s="18">
        <f t="shared" si="114"/>
        <v>0</v>
      </c>
      <c r="O1084" s="19">
        <f t="shared" si="115"/>
        <v>1</v>
      </c>
      <c r="P1084" s="13">
        <f t="shared" si="116"/>
        <v>0.11385000000000001</v>
      </c>
      <c r="Q1084" s="9"/>
      <c r="R1084" s="2"/>
      <c r="S1084" s="2"/>
    </row>
    <row r="1085" spans="1:19">
      <c r="A1085" s="42" t="s">
        <v>84</v>
      </c>
      <c r="B1085" s="3" t="s">
        <v>122</v>
      </c>
      <c r="C1085" s="3">
        <v>7</v>
      </c>
      <c r="D1085" s="1"/>
      <c r="E1085" s="20" t="s">
        <v>86</v>
      </c>
      <c r="F1085" s="7" t="s">
        <v>14</v>
      </c>
      <c r="G1085" s="7" t="s">
        <v>23</v>
      </c>
      <c r="H1085" s="11">
        <v>9</v>
      </c>
      <c r="I1085" s="8">
        <v>12.75</v>
      </c>
      <c r="J1085" s="26">
        <v>8</v>
      </c>
      <c r="K1085" s="10">
        <f t="shared" si="113"/>
        <v>0.91800000000000004</v>
      </c>
      <c r="L1085" s="4"/>
      <c r="M1085" s="17"/>
      <c r="N1085" s="18">
        <f t="shared" si="114"/>
        <v>0</v>
      </c>
      <c r="O1085" s="19">
        <f t="shared" si="115"/>
        <v>8</v>
      </c>
      <c r="P1085" s="13">
        <f t="shared" si="116"/>
        <v>0.91800000000000004</v>
      </c>
      <c r="Q1085" s="9"/>
      <c r="R1085" s="2"/>
      <c r="S1085" s="2"/>
    </row>
    <row r="1086" spans="1:19">
      <c r="A1086" s="42" t="s">
        <v>84</v>
      </c>
      <c r="B1086" s="3" t="s">
        <v>122</v>
      </c>
      <c r="C1086" s="3">
        <v>2</v>
      </c>
      <c r="D1086" s="1"/>
      <c r="E1086" s="24" t="s">
        <v>81</v>
      </c>
      <c r="F1086" s="7" t="s">
        <v>14</v>
      </c>
      <c r="G1086" s="7" t="s">
        <v>32</v>
      </c>
      <c r="H1086" s="11">
        <v>8.3000000000000007</v>
      </c>
      <c r="I1086" s="8">
        <v>10.1</v>
      </c>
      <c r="J1086" s="26">
        <v>1</v>
      </c>
      <c r="K1086" s="10">
        <f t="shared" si="113"/>
        <v>8.3830000000000002E-2</v>
      </c>
      <c r="L1086" s="4"/>
      <c r="M1086" s="17">
        <v>1</v>
      </c>
      <c r="N1086" s="18">
        <f t="shared" si="114"/>
        <v>8.3830000000000002E-2</v>
      </c>
      <c r="O1086" s="19">
        <f t="shared" si="115"/>
        <v>0</v>
      </c>
      <c r="P1086" s="13">
        <f t="shared" si="116"/>
        <v>0</v>
      </c>
      <c r="Q1086" s="9"/>
      <c r="R1086" s="2">
        <v>1</v>
      </c>
      <c r="S1086" s="2" t="s">
        <v>731</v>
      </c>
    </row>
    <row r="1087" spans="1:19">
      <c r="A1087" s="42" t="s">
        <v>84</v>
      </c>
      <c r="B1087" s="3" t="s">
        <v>122</v>
      </c>
      <c r="C1087" s="3">
        <v>2</v>
      </c>
      <c r="D1087" s="1"/>
      <c r="E1087" s="24" t="s">
        <v>81</v>
      </c>
      <c r="F1087" s="7" t="s">
        <v>14</v>
      </c>
      <c r="G1087" s="7" t="s">
        <v>32</v>
      </c>
      <c r="H1087" s="11">
        <v>8.3000000000000007</v>
      </c>
      <c r="I1087" s="8">
        <v>10.3</v>
      </c>
      <c r="J1087" s="26">
        <v>1</v>
      </c>
      <c r="K1087" s="10">
        <f t="shared" si="113"/>
        <v>8.549000000000001E-2</v>
      </c>
      <c r="L1087" s="4"/>
      <c r="M1087" s="17">
        <v>1</v>
      </c>
      <c r="N1087" s="18">
        <f t="shared" si="114"/>
        <v>8.549000000000001E-2</v>
      </c>
      <c r="O1087" s="19">
        <f t="shared" si="115"/>
        <v>0</v>
      </c>
      <c r="P1087" s="13">
        <f t="shared" si="116"/>
        <v>0</v>
      </c>
      <c r="Q1087" s="9"/>
      <c r="R1087" s="2">
        <v>1</v>
      </c>
      <c r="S1087" s="2" t="s">
        <v>731</v>
      </c>
    </row>
    <row r="1088" spans="1:19">
      <c r="A1088" s="42" t="s">
        <v>84</v>
      </c>
      <c r="B1088" s="3" t="s">
        <v>122</v>
      </c>
      <c r="C1088" s="3">
        <v>2</v>
      </c>
      <c r="D1088" s="1"/>
      <c r="E1088" s="24" t="s">
        <v>81</v>
      </c>
      <c r="F1088" s="7" t="s">
        <v>14</v>
      </c>
      <c r="G1088" s="7" t="s">
        <v>32</v>
      </c>
      <c r="H1088" s="11">
        <v>8.3000000000000007</v>
      </c>
      <c r="I1088" s="8">
        <v>11.25</v>
      </c>
      <c r="J1088" s="26">
        <v>1</v>
      </c>
      <c r="K1088" s="10">
        <f t="shared" si="113"/>
        <v>9.3375000000000014E-2</v>
      </c>
      <c r="L1088" s="4"/>
      <c r="M1088" s="17">
        <v>1</v>
      </c>
      <c r="N1088" s="18">
        <f t="shared" si="114"/>
        <v>9.3375000000000014E-2</v>
      </c>
      <c r="O1088" s="19">
        <f t="shared" si="115"/>
        <v>0</v>
      </c>
      <c r="P1088" s="13">
        <f t="shared" si="116"/>
        <v>0</v>
      </c>
      <c r="Q1088" s="9">
        <v>11</v>
      </c>
      <c r="R1088" s="2">
        <v>1</v>
      </c>
      <c r="S1088" s="2"/>
    </row>
    <row r="1089" spans="1:19">
      <c r="A1089" s="42" t="s">
        <v>84</v>
      </c>
      <c r="B1089" s="3" t="s">
        <v>122</v>
      </c>
      <c r="C1089" s="3">
        <v>2</v>
      </c>
      <c r="D1089" s="1"/>
      <c r="E1089" s="24" t="s">
        <v>81</v>
      </c>
      <c r="F1089" s="7" t="s">
        <v>14</v>
      </c>
      <c r="G1089" s="7" t="s">
        <v>32</v>
      </c>
      <c r="H1089" s="11">
        <v>8.3000000000000007</v>
      </c>
      <c r="I1089" s="8">
        <v>11.5</v>
      </c>
      <c r="J1089" s="26">
        <v>1</v>
      </c>
      <c r="K1089" s="10">
        <f t="shared" si="113"/>
        <v>9.5450000000000007E-2</v>
      </c>
      <c r="L1089" s="4"/>
      <c r="M1089" s="17">
        <v>1</v>
      </c>
      <c r="N1089" s="18">
        <f t="shared" si="114"/>
        <v>9.5450000000000007E-2</v>
      </c>
      <c r="O1089" s="19">
        <f t="shared" si="115"/>
        <v>0</v>
      </c>
      <c r="P1089" s="13">
        <f t="shared" si="116"/>
        <v>0</v>
      </c>
      <c r="Q1089" s="9">
        <v>11.5</v>
      </c>
      <c r="R1089" s="2">
        <v>1</v>
      </c>
      <c r="S1089" s="2"/>
    </row>
    <row r="1090" spans="1:19">
      <c r="A1090" s="42" t="s">
        <v>84</v>
      </c>
      <c r="B1090" s="3" t="s">
        <v>122</v>
      </c>
      <c r="C1090" s="3">
        <v>2</v>
      </c>
      <c r="D1090" s="1"/>
      <c r="E1090" s="24" t="s">
        <v>81</v>
      </c>
      <c r="F1090" s="7" t="s">
        <v>14</v>
      </c>
      <c r="G1090" s="7" t="s">
        <v>32</v>
      </c>
      <c r="H1090" s="11">
        <v>8.3000000000000007</v>
      </c>
      <c r="I1090" s="8">
        <v>11.7</v>
      </c>
      <c r="J1090" s="26">
        <v>1</v>
      </c>
      <c r="K1090" s="10">
        <f t="shared" si="113"/>
        <v>9.7110000000000002E-2</v>
      </c>
      <c r="L1090" s="4"/>
      <c r="M1090" s="17">
        <v>1</v>
      </c>
      <c r="N1090" s="18">
        <f t="shared" si="114"/>
        <v>9.7110000000000002E-2</v>
      </c>
      <c r="O1090" s="19">
        <f t="shared" si="115"/>
        <v>0</v>
      </c>
      <c r="P1090" s="13">
        <f t="shared" si="116"/>
        <v>0</v>
      </c>
      <c r="Q1090" s="9">
        <v>11</v>
      </c>
      <c r="R1090" s="2">
        <v>1</v>
      </c>
      <c r="S1090" s="2"/>
    </row>
    <row r="1091" spans="1:19">
      <c r="A1091" s="42" t="s">
        <v>84</v>
      </c>
      <c r="B1091" s="3" t="s">
        <v>122</v>
      </c>
      <c r="C1091" s="3">
        <v>2</v>
      </c>
      <c r="D1091" s="1"/>
      <c r="E1091" s="24" t="s">
        <v>81</v>
      </c>
      <c r="F1091" s="7" t="s">
        <v>14</v>
      </c>
      <c r="G1091" s="7" t="s">
        <v>32</v>
      </c>
      <c r="H1091" s="11">
        <v>8.3000000000000007</v>
      </c>
      <c r="I1091" s="8">
        <v>9.5</v>
      </c>
      <c r="J1091" s="26">
        <v>1</v>
      </c>
      <c r="K1091" s="10">
        <f t="shared" si="113"/>
        <v>7.8850000000000003E-2</v>
      </c>
      <c r="L1091" s="4"/>
      <c r="M1091" s="17">
        <v>1</v>
      </c>
      <c r="N1091" s="18">
        <f t="shared" si="114"/>
        <v>7.8850000000000003E-2</v>
      </c>
      <c r="O1091" s="19">
        <f t="shared" si="115"/>
        <v>0</v>
      </c>
      <c r="P1091" s="13">
        <f t="shared" si="116"/>
        <v>0</v>
      </c>
      <c r="Q1091" s="9">
        <v>6</v>
      </c>
      <c r="R1091" s="2">
        <v>1</v>
      </c>
      <c r="S1091" s="2"/>
    </row>
    <row r="1092" spans="1:19">
      <c r="A1092" s="42" t="s">
        <v>84</v>
      </c>
      <c r="B1092" s="3" t="s">
        <v>122</v>
      </c>
      <c r="C1092" s="3">
        <v>2</v>
      </c>
      <c r="D1092" s="1"/>
      <c r="E1092" s="24" t="s">
        <v>81</v>
      </c>
      <c r="F1092" s="7" t="s">
        <v>14</v>
      </c>
      <c r="G1092" s="7" t="s">
        <v>32</v>
      </c>
      <c r="H1092" s="11">
        <v>8.3000000000000007</v>
      </c>
      <c r="I1092" s="8">
        <v>9.8000000000000007</v>
      </c>
      <c r="J1092" s="26">
        <v>1</v>
      </c>
      <c r="K1092" s="10">
        <f t="shared" si="113"/>
        <v>8.1340000000000023E-2</v>
      </c>
      <c r="L1092" s="4"/>
      <c r="M1092" s="17">
        <v>1</v>
      </c>
      <c r="N1092" s="18">
        <f t="shared" si="114"/>
        <v>8.1340000000000023E-2</v>
      </c>
      <c r="O1092" s="19">
        <f t="shared" si="115"/>
        <v>0</v>
      </c>
      <c r="P1092" s="13">
        <f t="shared" si="116"/>
        <v>0</v>
      </c>
      <c r="Q1092" s="9">
        <v>6</v>
      </c>
      <c r="R1092" s="2">
        <v>1</v>
      </c>
      <c r="S1092" s="2"/>
    </row>
    <row r="1093" spans="1:19">
      <c r="A1093" s="42" t="s">
        <v>84</v>
      </c>
      <c r="B1093" s="3" t="s">
        <v>122</v>
      </c>
      <c r="C1093" s="3">
        <v>2</v>
      </c>
      <c r="D1093" s="1"/>
      <c r="E1093" s="24" t="s">
        <v>81</v>
      </c>
      <c r="F1093" s="7" t="s">
        <v>14</v>
      </c>
      <c r="G1093" s="7" t="s">
        <v>32</v>
      </c>
      <c r="H1093" s="11">
        <v>8.3000000000000007</v>
      </c>
      <c r="I1093" s="8">
        <v>10</v>
      </c>
      <c r="J1093" s="26">
        <v>2</v>
      </c>
      <c r="K1093" s="10">
        <f t="shared" si="113"/>
        <v>0.16600000000000001</v>
      </c>
      <c r="L1093" s="4"/>
      <c r="M1093" s="17">
        <v>1</v>
      </c>
      <c r="N1093" s="18">
        <f t="shared" si="114"/>
        <v>8.3000000000000004E-2</v>
      </c>
      <c r="O1093" s="19">
        <f t="shared" si="115"/>
        <v>1</v>
      </c>
      <c r="P1093" s="13">
        <f t="shared" si="116"/>
        <v>8.3000000000000004E-2</v>
      </c>
      <c r="Q1093" s="9"/>
      <c r="R1093" s="2">
        <v>1</v>
      </c>
      <c r="S1093" s="2" t="s">
        <v>731</v>
      </c>
    </row>
    <row r="1094" spans="1:19">
      <c r="A1094" s="42" t="s">
        <v>84</v>
      </c>
      <c r="B1094" s="3" t="s">
        <v>122</v>
      </c>
      <c r="C1094" s="3">
        <v>3</v>
      </c>
      <c r="D1094" s="1"/>
      <c r="E1094" s="24" t="s">
        <v>81</v>
      </c>
      <c r="F1094" s="7" t="s">
        <v>14</v>
      </c>
      <c r="G1094" s="7" t="s">
        <v>32</v>
      </c>
      <c r="H1094" s="11">
        <v>8.3000000000000007</v>
      </c>
      <c r="I1094" s="8">
        <v>12</v>
      </c>
      <c r="J1094" s="26">
        <v>15</v>
      </c>
      <c r="K1094" s="10">
        <f t="shared" ref="K1094:K1136" si="117">(H1094*I1094*J1094/1000)</f>
        <v>1.4940000000000002</v>
      </c>
      <c r="L1094" s="4"/>
      <c r="M1094" s="17">
        <f>2+4</f>
        <v>6</v>
      </c>
      <c r="N1094" s="18">
        <f t="shared" ref="N1094:N1136" si="118">I1094*M1094*H1094/1000</f>
        <v>0.59760000000000002</v>
      </c>
      <c r="O1094" s="19">
        <f t="shared" ref="O1094:O1136" si="119">J1094-M1094</f>
        <v>9</v>
      </c>
      <c r="P1094" s="13">
        <f t="shared" ref="P1094:P1136" si="120">I1094*O1094*H1094/1000</f>
        <v>0.89640000000000009</v>
      </c>
      <c r="Q1094" s="34">
        <v>12</v>
      </c>
      <c r="R1094" s="35">
        <v>4</v>
      </c>
      <c r="S1094" s="35" t="s">
        <v>538</v>
      </c>
    </row>
    <row r="1095" spans="1:19">
      <c r="A1095" s="42" t="s">
        <v>84</v>
      </c>
      <c r="B1095" s="3" t="s">
        <v>122</v>
      </c>
      <c r="C1095" s="3">
        <v>1</v>
      </c>
      <c r="D1095" s="1"/>
      <c r="E1095" s="20" t="s">
        <v>63</v>
      </c>
      <c r="F1095" s="7" t="s">
        <v>15</v>
      </c>
      <c r="G1095" s="7" t="s">
        <v>18</v>
      </c>
      <c r="H1095" s="11">
        <v>6.86</v>
      </c>
      <c r="I1095" s="8">
        <v>9.5</v>
      </c>
      <c r="J1095" s="26">
        <v>3</v>
      </c>
      <c r="K1095" s="10">
        <f t="shared" si="117"/>
        <v>0.19550999999999999</v>
      </c>
      <c r="L1095" s="4"/>
      <c r="M1095" s="17">
        <v>3</v>
      </c>
      <c r="N1095" s="18">
        <f t="shared" si="118"/>
        <v>0.19551000000000002</v>
      </c>
      <c r="O1095" s="19">
        <f t="shared" si="119"/>
        <v>0</v>
      </c>
      <c r="P1095" s="13">
        <f t="shared" si="120"/>
        <v>0</v>
      </c>
      <c r="Q1095" s="32">
        <v>7.8</v>
      </c>
      <c r="R1095" s="2">
        <v>3</v>
      </c>
      <c r="S1095" s="32" t="s">
        <v>733</v>
      </c>
    </row>
    <row r="1096" spans="1:19">
      <c r="A1096" s="42" t="s">
        <v>84</v>
      </c>
      <c r="B1096" s="3" t="s">
        <v>122</v>
      </c>
      <c r="C1096" s="3">
        <v>1</v>
      </c>
      <c r="D1096" s="1"/>
      <c r="E1096" s="20" t="s">
        <v>63</v>
      </c>
      <c r="F1096" s="7" t="s">
        <v>15</v>
      </c>
      <c r="G1096" s="7" t="s">
        <v>18</v>
      </c>
      <c r="H1096" s="11">
        <v>6.86</v>
      </c>
      <c r="I1096" s="8">
        <v>10</v>
      </c>
      <c r="J1096" s="26">
        <v>9</v>
      </c>
      <c r="K1096" s="10">
        <f t="shared" si="117"/>
        <v>0.61740000000000006</v>
      </c>
      <c r="L1096" s="4"/>
      <c r="M1096" s="17">
        <v>9</v>
      </c>
      <c r="N1096" s="18">
        <f t="shared" si="118"/>
        <v>0.61739999999999995</v>
      </c>
      <c r="O1096" s="19">
        <f t="shared" si="119"/>
        <v>0</v>
      </c>
      <c r="P1096" s="13">
        <f t="shared" si="120"/>
        <v>0</v>
      </c>
      <c r="Q1096" s="9">
        <v>10</v>
      </c>
      <c r="R1096" s="2">
        <v>9</v>
      </c>
      <c r="S1096" s="2" t="s">
        <v>735</v>
      </c>
    </row>
    <row r="1097" spans="1:19">
      <c r="A1097" s="42" t="s">
        <v>84</v>
      </c>
      <c r="B1097" s="3" t="s">
        <v>122</v>
      </c>
      <c r="C1097" s="3">
        <v>1</v>
      </c>
      <c r="D1097" s="1"/>
      <c r="E1097" s="20" t="s">
        <v>63</v>
      </c>
      <c r="F1097" s="7" t="s">
        <v>15</v>
      </c>
      <c r="G1097" s="7" t="s">
        <v>18</v>
      </c>
      <c r="H1097" s="11">
        <v>6.86</v>
      </c>
      <c r="I1097" s="8">
        <v>11</v>
      </c>
      <c r="J1097" s="26">
        <v>3</v>
      </c>
      <c r="K1097" s="10">
        <f t="shared" si="117"/>
        <v>0.22638000000000003</v>
      </c>
      <c r="L1097" s="4"/>
      <c r="M1097" s="17">
        <v>3</v>
      </c>
      <c r="N1097" s="18">
        <f t="shared" si="118"/>
        <v>0.22638000000000003</v>
      </c>
      <c r="O1097" s="19">
        <f t="shared" si="119"/>
        <v>0</v>
      </c>
      <c r="P1097" s="13">
        <f t="shared" si="120"/>
        <v>0</v>
      </c>
      <c r="Q1097" s="9">
        <v>10</v>
      </c>
      <c r="R1097" s="2">
        <v>3</v>
      </c>
      <c r="S1097" s="2" t="s">
        <v>735</v>
      </c>
    </row>
    <row r="1098" spans="1:19">
      <c r="A1098" s="42" t="s">
        <v>84</v>
      </c>
      <c r="B1098" s="3" t="s">
        <v>122</v>
      </c>
      <c r="C1098" s="3">
        <v>1</v>
      </c>
      <c r="D1098" s="1"/>
      <c r="E1098" s="20" t="s">
        <v>63</v>
      </c>
      <c r="F1098" s="7" t="s">
        <v>15</v>
      </c>
      <c r="G1098" s="7" t="s">
        <v>18</v>
      </c>
      <c r="H1098" s="11">
        <v>6.86</v>
      </c>
      <c r="I1098" s="8">
        <v>11.5</v>
      </c>
      <c r="J1098" s="26">
        <v>4</v>
      </c>
      <c r="K1098" s="10">
        <f t="shared" si="117"/>
        <v>0.31556000000000001</v>
      </c>
      <c r="L1098" s="4"/>
      <c r="M1098" s="17">
        <v>4</v>
      </c>
      <c r="N1098" s="18">
        <f t="shared" si="118"/>
        <v>0.31556000000000001</v>
      </c>
      <c r="O1098" s="19">
        <f t="shared" si="119"/>
        <v>0</v>
      </c>
      <c r="P1098" s="13">
        <f t="shared" si="120"/>
        <v>0</v>
      </c>
      <c r="Q1098" s="9">
        <v>11.5</v>
      </c>
      <c r="R1098" s="2">
        <v>4</v>
      </c>
      <c r="S1098" s="2" t="s">
        <v>735</v>
      </c>
    </row>
    <row r="1099" spans="1:19">
      <c r="A1099" s="42" t="s">
        <v>84</v>
      </c>
      <c r="B1099" s="3" t="s">
        <v>122</v>
      </c>
      <c r="C1099" s="3">
        <v>1</v>
      </c>
      <c r="D1099" s="1"/>
      <c r="E1099" s="20" t="s">
        <v>63</v>
      </c>
      <c r="F1099" s="7" t="s">
        <v>15</v>
      </c>
      <c r="G1099" s="7" t="s">
        <v>18</v>
      </c>
      <c r="H1099" s="11">
        <v>6.86</v>
      </c>
      <c r="I1099" s="8">
        <v>12</v>
      </c>
      <c r="J1099" s="26">
        <v>1</v>
      </c>
      <c r="K1099" s="10">
        <f t="shared" si="117"/>
        <v>8.2320000000000004E-2</v>
      </c>
      <c r="L1099" s="4"/>
      <c r="M1099" s="17">
        <v>1</v>
      </c>
      <c r="N1099" s="18">
        <f t="shared" si="118"/>
        <v>8.2320000000000004E-2</v>
      </c>
      <c r="O1099" s="19">
        <f t="shared" si="119"/>
        <v>0</v>
      </c>
      <c r="P1099" s="13">
        <f t="shared" si="120"/>
        <v>0</v>
      </c>
      <c r="Q1099" s="9">
        <v>11.5</v>
      </c>
      <c r="R1099" s="2">
        <v>1</v>
      </c>
      <c r="S1099" s="2" t="s">
        <v>735</v>
      </c>
    </row>
    <row r="1100" spans="1:19">
      <c r="A1100" s="42" t="s">
        <v>84</v>
      </c>
      <c r="B1100" s="3" t="s">
        <v>122</v>
      </c>
      <c r="C1100" s="3">
        <v>1</v>
      </c>
      <c r="D1100" s="1"/>
      <c r="E1100" s="20" t="s">
        <v>19</v>
      </c>
      <c r="F1100" s="7" t="s">
        <v>14</v>
      </c>
      <c r="G1100" s="7" t="s">
        <v>47</v>
      </c>
      <c r="H1100" s="11">
        <v>15</v>
      </c>
      <c r="I1100" s="8">
        <v>6.9</v>
      </c>
      <c r="J1100" s="26">
        <v>1</v>
      </c>
      <c r="K1100" s="10">
        <f t="shared" si="117"/>
        <v>0.10349999999999999</v>
      </c>
      <c r="L1100" s="4"/>
      <c r="M1100" s="17"/>
      <c r="N1100" s="18">
        <f t="shared" si="118"/>
        <v>0</v>
      </c>
      <c r="O1100" s="19">
        <f t="shared" si="119"/>
        <v>1</v>
      </c>
      <c r="P1100" s="13">
        <f t="shared" si="120"/>
        <v>0.10349999999999999</v>
      </c>
      <c r="Q1100" s="9"/>
      <c r="R1100" s="2"/>
      <c r="S1100" s="2"/>
    </row>
    <row r="1101" spans="1:19">
      <c r="A1101" s="42" t="s">
        <v>84</v>
      </c>
      <c r="B1101" s="3" t="s">
        <v>122</v>
      </c>
      <c r="C1101" s="3">
        <v>1</v>
      </c>
      <c r="D1101" s="1"/>
      <c r="E1101" s="20" t="s">
        <v>19</v>
      </c>
      <c r="F1101" s="7" t="s">
        <v>14</v>
      </c>
      <c r="G1101" s="7" t="s">
        <v>47</v>
      </c>
      <c r="H1101" s="11">
        <v>15</v>
      </c>
      <c r="I1101" s="8">
        <v>7.25</v>
      </c>
      <c r="J1101" s="26">
        <v>1</v>
      </c>
      <c r="K1101" s="10">
        <f t="shared" si="117"/>
        <v>0.10875</v>
      </c>
      <c r="L1101" s="4"/>
      <c r="M1101" s="17"/>
      <c r="N1101" s="18">
        <f t="shared" si="118"/>
        <v>0</v>
      </c>
      <c r="O1101" s="19">
        <f t="shared" si="119"/>
        <v>1</v>
      </c>
      <c r="P1101" s="13">
        <f t="shared" si="120"/>
        <v>0.10875</v>
      </c>
      <c r="Q1101" s="9"/>
      <c r="R1101" s="2"/>
      <c r="S1101" s="2"/>
    </row>
    <row r="1102" spans="1:19">
      <c r="A1102" s="42" t="s">
        <v>84</v>
      </c>
      <c r="B1102" s="3" t="s">
        <v>122</v>
      </c>
      <c r="C1102" s="3">
        <v>1</v>
      </c>
      <c r="D1102" s="1"/>
      <c r="E1102" s="20" t="s">
        <v>19</v>
      </c>
      <c r="F1102" s="7" t="s">
        <v>14</v>
      </c>
      <c r="G1102" s="7" t="s">
        <v>47</v>
      </c>
      <c r="H1102" s="11">
        <v>15</v>
      </c>
      <c r="I1102" s="8">
        <v>9.6</v>
      </c>
      <c r="J1102" s="26">
        <v>1</v>
      </c>
      <c r="K1102" s="10">
        <f t="shared" si="117"/>
        <v>0.14399999999999999</v>
      </c>
      <c r="L1102" s="4"/>
      <c r="M1102" s="17"/>
      <c r="N1102" s="18">
        <f t="shared" si="118"/>
        <v>0</v>
      </c>
      <c r="O1102" s="19">
        <f t="shared" si="119"/>
        <v>1</v>
      </c>
      <c r="P1102" s="13">
        <f t="shared" si="120"/>
        <v>0.14399999999999999</v>
      </c>
      <c r="Q1102" s="9"/>
      <c r="R1102" s="2"/>
      <c r="S1102" s="2"/>
    </row>
    <row r="1103" spans="1:19">
      <c r="A1103" s="42" t="s">
        <v>84</v>
      </c>
      <c r="B1103" s="3" t="s">
        <v>122</v>
      </c>
      <c r="C1103" s="3">
        <v>1</v>
      </c>
      <c r="D1103" s="1"/>
      <c r="E1103" s="20" t="s">
        <v>19</v>
      </c>
      <c r="F1103" s="7" t="s">
        <v>14</v>
      </c>
      <c r="G1103" s="7" t="s">
        <v>47</v>
      </c>
      <c r="H1103" s="11">
        <v>15</v>
      </c>
      <c r="I1103" s="8">
        <v>10.1</v>
      </c>
      <c r="J1103" s="26">
        <v>1</v>
      </c>
      <c r="K1103" s="10">
        <f t="shared" si="117"/>
        <v>0.1515</v>
      </c>
      <c r="L1103" s="4"/>
      <c r="M1103" s="17"/>
      <c r="N1103" s="18">
        <f t="shared" si="118"/>
        <v>0</v>
      </c>
      <c r="O1103" s="19">
        <f t="shared" si="119"/>
        <v>1</v>
      </c>
      <c r="P1103" s="13">
        <f t="shared" si="120"/>
        <v>0.1515</v>
      </c>
      <c r="Q1103" s="9"/>
      <c r="R1103" s="2"/>
      <c r="S1103" s="2"/>
    </row>
    <row r="1104" spans="1:19">
      <c r="A1104" s="42" t="s">
        <v>84</v>
      </c>
      <c r="B1104" s="3" t="s">
        <v>122</v>
      </c>
      <c r="C1104" s="3">
        <v>1</v>
      </c>
      <c r="D1104" s="1"/>
      <c r="E1104" s="20" t="s">
        <v>81</v>
      </c>
      <c r="F1104" s="7" t="s">
        <v>14</v>
      </c>
      <c r="G1104" s="7" t="s">
        <v>29</v>
      </c>
      <c r="H1104" s="11">
        <v>10.92</v>
      </c>
      <c r="I1104" s="8">
        <v>8.9</v>
      </c>
      <c r="J1104" s="26">
        <v>1</v>
      </c>
      <c r="K1104" s="10">
        <f t="shared" si="117"/>
        <v>9.7187999999999997E-2</v>
      </c>
      <c r="L1104" s="4"/>
      <c r="M1104" s="17"/>
      <c r="N1104" s="18">
        <f t="shared" si="118"/>
        <v>0</v>
      </c>
      <c r="O1104" s="19">
        <f t="shared" si="119"/>
        <v>1</v>
      </c>
      <c r="P1104" s="13">
        <f t="shared" si="120"/>
        <v>9.7187999999999997E-2</v>
      </c>
      <c r="Q1104" s="9"/>
      <c r="R1104" s="2"/>
      <c r="S1104" s="2"/>
    </row>
    <row r="1105" spans="1:20">
      <c r="A1105" s="42" t="s">
        <v>84</v>
      </c>
      <c r="B1105" s="3" t="s">
        <v>122</v>
      </c>
      <c r="C1105" s="3">
        <v>1</v>
      </c>
      <c r="D1105" s="1"/>
      <c r="E1105" s="20" t="s">
        <v>81</v>
      </c>
      <c r="F1105" s="7" t="s">
        <v>14</v>
      </c>
      <c r="G1105" s="7" t="s">
        <v>29</v>
      </c>
      <c r="H1105" s="11">
        <v>10.92</v>
      </c>
      <c r="I1105" s="8">
        <v>9.8000000000000007</v>
      </c>
      <c r="J1105" s="26">
        <v>1</v>
      </c>
      <c r="K1105" s="10">
        <f t="shared" si="117"/>
        <v>0.107016</v>
      </c>
      <c r="L1105" s="4"/>
      <c r="M1105" s="17"/>
      <c r="N1105" s="18">
        <f t="shared" si="118"/>
        <v>0</v>
      </c>
      <c r="O1105" s="19">
        <f t="shared" si="119"/>
        <v>1</v>
      </c>
      <c r="P1105" s="13">
        <f t="shared" si="120"/>
        <v>0.107016</v>
      </c>
      <c r="Q1105" s="9"/>
      <c r="R1105" s="2"/>
      <c r="S1105" s="2"/>
    </row>
    <row r="1106" spans="1:20">
      <c r="A1106" s="42" t="s">
        <v>84</v>
      </c>
      <c r="B1106" s="3" t="s">
        <v>122</v>
      </c>
      <c r="C1106" s="3">
        <v>1</v>
      </c>
      <c r="D1106" s="1"/>
      <c r="E1106" s="20" t="s">
        <v>81</v>
      </c>
      <c r="F1106" s="7" t="s">
        <v>14</v>
      </c>
      <c r="G1106" s="7" t="s">
        <v>29</v>
      </c>
      <c r="H1106" s="11">
        <v>10.92</v>
      </c>
      <c r="I1106" s="8">
        <v>11.2</v>
      </c>
      <c r="J1106" s="26">
        <v>3</v>
      </c>
      <c r="K1106" s="10">
        <f t="shared" si="117"/>
        <v>0.36691199999999996</v>
      </c>
      <c r="L1106" s="4"/>
      <c r="M1106" s="17">
        <v>3</v>
      </c>
      <c r="N1106" s="18">
        <f t="shared" si="118"/>
        <v>0.3669119999999999</v>
      </c>
      <c r="O1106" s="19">
        <f t="shared" si="119"/>
        <v>0</v>
      </c>
      <c r="P1106" s="13">
        <f t="shared" si="120"/>
        <v>0</v>
      </c>
      <c r="Q1106" s="9"/>
      <c r="R1106" s="2"/>
      <c r="S1106" s="2"/>
    </row>
    <row r="1107" spans="1:20">
      <c r="A1107" s="42" t="s">
        <v>84</v>
      </c>
      <c r="B1107" s="3" t="s">
        <v>122</v>
      </c>
      <c r="C1107" s="3">
        <v>1</v>
      </c>
      <c r="D1107" s="1"/>
      <c r="E1107" s="20" t="s">
        <v>63</v>
      </c>
      <c r="F1107" s="7" t="s">
        <v>15</v>
      </c>
      <c r="G1107" s="7" t="s">
        <v>42</v>
      </c>
      <c r="H1107" s="11">
        <v>19.72</v>
      </c>
      <c r="I1107" s="8">
        <v>10.9</v>
      </c>
      <c r="J1107" s="26">
        <v>2</v>
      </c>
      <c r="K1107" s="10">
        <f t="shared" si="117"/>
        <v>0.429896</v>
      </c>
      <c r="L1107" s="4"/>
      <c r="M1107" s="17">
        <v>2</v>
      </c>
      <c r="N1107" s="18">
        <f t="shared" si="118"/>
        <v>0.429896</v>
      </c>
      <c r="O1107" s="19">
        <f t="shared" si="119"/>
        <v>0</v>
      </c>
      <c r="P1107" s="13">
        <f t="shared" si="120"/>
        <v>0</v>
      </c>
      <c r="Q1107" s="9">
        <v>9.6</v>
      </c>
      <c r="R1107" s="2">
        <v>2</v>
      </c>
      <c r="S1107" s="2" t="s">
        <v>217</v>
      </c>
    </row>
    <row r="1108" spans="1:20">
      <c r="A1108" s="42" t="s">
        <v>84</v>
      </c>
      <c r="B1108" s="3" t="s">
        <v>122</v>
      </c>
      <c r="C1108" s="3">
        <v>1</v>
      </c>
      <c r="D1108" s="1"/>
      <c r="E1108" s="20" t="s">
        <v>63</v>
      </c>
      <c r="F1108" s="7" t="s">
        <v>15</v>
      </c>
      <c r="G1108" s="7" t="s">
        <v>42</v>
      </c>
      <c r="H1108" s="11">
        <v>19.72</v>
      </c>
      <c r="I1108" s="8">
        <v>11.1</v>
      </c>
      <c r="J1108" s="26">
        <v>1</v>
      </c>
      <c r="K1108" s="10">
        <f t="shared" si="117"/>
        <v>0.21889199999999998</v>
      </c>
      <c r="L1108" s="4"/>
      <c r="M1108" s="17">
        <v>1</v>
      </c>
      <c r="N1108" s="18">
        <f t="shared" si="118"/>
        <v>0.21889199999999998</v>
      </c>
      <c r="O1108" s="19">
        <f t="shared" si="119"/>
        <v>0</v>
      </c>
      <c r="P1108" s="13">
        <f t="shared" si="120"/>
        <v>0</v>
      </c>
      <c r="Q1108" s="9">
        <v>9.6</v>
      </c>
      <c r="R1108" s="2">
        <v>1</v>
      </c>
      <c r="S1108" s="2" t="s">
        <v>217</v>
      </c>
    </row>
    <row r="1109" spans="1:20">
      <c r="A1109" s="42"/>
      <c r="B1109" s="3" t="s">
        <v>122</v>
      </c>
      <c r="C1109" s="3"/>
      <c r="D1109" s="1"/>
      <c r="E1109" s="20" t="s">
        <v>114</v>
      </c>
      <c r="F1109" s="7" t="s">
        <v>15</v>
      </c>
      <c r="G1109" s="7" t="s">
        <v>25</v>
      </c>
      <c r="H1109" s="11">
        <v>7.34</v>
      </c>
      <c r="I1109" s="8">
        <v>10</v>
      </c>
      <c r="J1109" s="26">
        <v>1</v>
      </c>
      <c r="K1109" s="10">
        <f t="shared" si="117"/>
        <v>7.3400000000000007E-2</v>
      </c>
      <c r="L1109" s="4"/>
      <c r="M1109" s="17">
        <v>1</v>
      </c>
      <c r="N1109" s="18">
        <f t="shared" si="118"/>
        <v>7.3400000000000007E-2</v>
      </c>
      <c r="O1109" s="19">
        <f t="shared" si="119"/>
        <v>0</v>
      </c>
      <c r="P1109" s="13">
        <f t="shared" si="120"/>
        <v>0</v>
      </c>
      <c r="Q1109" s="9">
        <v>9.5500000000000007</v>
      </c>
      <c r="R1109" s="35">
        <v>1</v>
      </c>
      <c r="S1109" s="2" t="s">
        <v>701</v>
      </c>
    </row>
    <row r="1110" spans="1:20">
      <c r="A1110" s="42"/>
      <c r="B1110" s="3" t="s">
        <v>122</v>
      </c>
      <c r="C1110" s="3"/>
      <c r="D1110" s="1"/>
      <c r="E1110" s="20" t="s">
        <v>114</v>
      </c>
      <c r="F1110" s="7" t="s">
        <v>15</v>
      </c>
      <c r="G1110" s="7" t="s">
        <v>25</v>
      </c>
      <c r="H1110" s="11">
        <v>7.34</v>
      </c>
      <c r="I1110" s="8">
        <v>10.199999999999999</v>
      </c>
      <c r="J1110" s="26">
        <v>1</v>
      </c>
      <c r="K1110" s="10">
        <f t="shared" si="117"/>
        <v>7.486799999999999E-2</v>
      </c>
      <c r="L1110" s="4"/>
      <c r="M1110" s="17">
        <v>1</v>
      </c>
      <c r="N1110" s="18">
        <f t="shared" si="118"/>
        <v>7.486799999999999E-2</v>
      </c>
      <c r="O1110" s="19">
        <f t="shared" si="119"/>
        <v>0</v>
      </c>
      <c r="P1110" s="13">
        <f t="shared" si="120"/>
        <v>0</v>
      </c>
      <c r="Q1110" s="9">
        <v>9.5500000000000007</v>
      </c>
      <c r="R1110" s="35">
        <v>1</v>
      </c>
      <c r="S1110" s="2" t="s">
        <v>701</v>
      </c>
    </row>
    <row r="1111" spans="1:20">
      <c r="A1111" s="42"/>
      <c r="B1111" s="3" t="s">
        <v>122</v>
      </c>
      <c r="C1111" s="3"/>
      <c r="D1111" s="1"/>
      <c r="E1111" s="20" t="s">
        <v>114</v>
      </c>
      <c r="F1111" s="7" t="s">
        <v>15</v>
      </c>
      <c r="G1111" s="7" t="s">
        <v>25</v>
      </c>
      <c r="H1111" s="11">
        <v>7.34</v>
      </c>
      <c r="I1111" s="8">
        <v>10.5</v>
      </c>
      <c r="J1111" s="26">
        <v>2</v>
      </c>
      <c r="K1111" s="10">
        <f t="shared" si="117"/>
        <v>0.15414</v>
      </c>
      <c r="L1111" s="4"/>
      <c r="M1111" s="17">
        <v>2</v>
      </c>
      <c r="N1111" s="18">
        <f t="shared" si="118"/>
        <v>0.15414</v>
      </c>
      <c r="O1111" s="19">
        <f t="shared" si="119"/>
        <v>0</v>
      </c>
      <c r="P1111" s="13">
        <f t="shared" si="120"/>
        <v>0</v>
      </c>
      <c r="Q1111" s="9">
        <v>10.25</v>
      </c>
      <c r="R1111" s="2">
        <v>2</v>
      </c>
      <c r="S1111" s="2" t="s">
        <v>245</v>
      </c>
    </row>
    <row r="1112" spans="1:20">
      <c r="A1112" s="42" t="s">
        <v>84</v>
      </c>
      <c r="B1112" s="3" t="s">
        <v>122</v>
      </c>
      <c r="C1112" s="3">
        <v>1</v>
      </c>
      <c r="D1112" s="1"/>
      <c r="E1112" s="20" t="s">
        <v>86</v>
      </c>
      <c r="F1112" s="7" t="s">
        <v>14</v>
      </c>
      <c r="G1112" s="7" t="s">
        <v>52</v>
      </c>
      <c r="H1112" s="11">
        <v>17.829999999999998</v>
      </c>
      <c r="I1112" s="8">
        <v>11</v>
      </c>
      <c r="J1112" s="26">
        <v>4</v>
      </c>
      <c r="K1112" s="10">
        <f t="shared" si="117"/>
        <v>0.78452</v>
      </c>
      <c r="L1112" s="4"/>
      <c r="M1112" s="17">
        <f>1+2</f>
        <v>3</v>
      </c>
      <c r="N1112" s="18">
        <f t="shared" si="118"/>
        <v>0.58838999999999997</v>
      </c>
      <c r="O1112" s="19">
        <f t="shared" si="119"/>
        <v>1</v>
      </c>
      <c r="P1112" s="13">
        <f t="shared" si="120"/>
        <v>0.19613</v>
      </c>
      <c r="Q1112" s="9"/>
      <c r="R1112" s="2">
        <f>1+2</f>
        <v>3</v>
      </c>
      <c r="S1112" s="2" t="s">
        <v>396</v>
      </c>
    </row>
    <row r="1113" spans="1:20">
      <c r="A1113" s="42" t="s">
        <v>84</v>
      </c>
      <c r="B1113" s="3" t="s">
        <v>122</v>
      </c>
      <c r="C1113" s="3">
        <v>2</v>
      </c>
      <c r="D1113" s="1"/>
      <c r="E1113" s="20" t="s">
        <v>86</v>
      </c>
      <c r="F1113" s="7" t="s">
        <v>14</v>
      </c>
      <c r="G1113" s="7" t="s">
        <v>52</v>
      </c>
      <c r="H1113" s="11">
        <v>17.829999999999998</v>
      </c>
      <c r="I1113" s="8">
        <v>11</v>
      </c>
      <c r="J1113" s="26">
        <v>10</v>
      </c>
      <c r="K1113" s="10">
        <f t="shared" si="117"/>
        <v>1.9613</v>
      </c>
      <c r="L1113" s="4"/>
      <c r="M1113" s="17">
        <v>10</v>
      </c>
      <c r="N1113" s="18">
        <f t="shared" si="118"/>
        <v>1.9612999999999998</v>
      </c>
      <c r="O1113" s="19">
        <f t="shared" si="119"/>
        <v>0</v>
      </c>
      <c r="P1113" s="13">
        <f t="shared" si="120"/>
        <v>0</v>
      </c>
      <c r="Q1113" s="9"/>
      <c r="R1113" s="2">
        <v>10</v>
      </c>
      <c r="S1113" s="2" t="s">
        <v>203</v>
      </c>
    </row>
    <row r="1114" spans="1:20">
      <c r="A1114" s="42" t="s">
        <v>84</v>
      </c>
      <c r="B1114" s="3" t="s">
        <v>122</v>
      </c>
      <c r="C1114" s="3">
        <v>1</v>
      </c>
      <c r="D1114" s="1"/>
      <c r="E1114" s="20" t="s">
        <v>17</v>
      </c>
      <c r="F1114" s="7" t="s">
        <v>15</v>
      </c>
      <c r="G1114" s="7" t="s">
        <v>44</v>
      </c>
      <c r="H1114" s="11">
        <v>13.4</v>
      </c>
      <c r="I1114" s="8">
        <v>6</v>
      </c>
      <c r="J1114" s="26">
        <v>1</v>
      </c>
      <c r="K1114" s="10">
        <f t="shared" si="117"/>
        <v>8.0399999999999999E-2</v>
      </c>
      <c r="L1114" s="4"/>
      <c r="M1114" s="17">
        <v>1</v>
      </c>
      <c r="N1114" s="18">
        <f t="shared" si="118"/>
        <v>8.0399999999999999E-2</v>
      </c>
      <c r="O1114" s="19">
        <f t="shared" si="119"/>
        <v>0</v>
      </c>
      <c r="P1114" s="13">
        <f t="shared" si="120"/>
        <v>0</v>
      </c>
      <c r="Q1114" s="9"/>
      <c r="R1114" s="90">
        <v>1</v>
      </c>
      <c r="S1114" s="90" t="s">
        <v>240</v>
      </c>
      <c r="T1114" s="156"/>
    </row>
    <row r="1115" spans="1:20">
      <c r="A1115" s="42" t="s">
        <v>84</v>
      </c>
      <c r="B1115" s="3" t="s">
        <v>122</v>
      </c>
      <c r="C1115" s="3">
        <v>1</v>
      </c>
      <c r="D1115" s="1"/>
      <c r="E1115" s="20" t="s">
        <v>17</v>
      </c>
      <c r="F1115" s="7" t="s">
        <v>15</v>
      </c>
      <c r="G1115" s="7" t="s">
        <v>44</v>
      </c>
      <c r="H1115" s="11">
        <v>13.4</v>
      </c>
      <c r="I1115" s="8">
        <v>6.25</v>
      </c>
      <c r="J1115" s="26">
        <v>3</v>
      </c>
      <c r="K1115" s="10">
        <f t="shared" si="117"/>
        <v>0.25124999999999997</v>
      </c>
      <c r="L1115" s="4"/>
      <c r="M1115" s="17">
        <v>3</v>
      </c>
      <c r="N1115" s="18">
        <f t="shared" si="118"/>
        <v>0.25124999999999997</v>
      </c>
      <c r="O1115" s="19">
        <f t="shared" si="119"/>
        <v>0</v>
      </c>
      <c r="P1115" s="13">
        <f t="shared" si="120"/>
        <v>0</v>
      </c>
      <c r="Q1115" s="9"/>
      <c r="R1115" s="90">
        <v>3</v>
      </c>
      <c r="S1115" s="90" t="s">
        <v>240</v>
      </c>
      <c r="T1115" s="156"/>
    </row>
    <row r="1116" spans="1:20">
      <c r="A1116" s="42" t="s">
        <v>84</v>
      </c>
      <c r="B1116" s="3" t="s">
        <v>122</v>
      </c>
      <c r="C1116" s="3">
        <v>1</v>
      </c>
      <c r="D1116" s="1"/>
      <c r="E1116" s="20" t="s">
        <v>17</v>
      </c>
      <c r="F1116" s="7" t="s">
        <v>15</v>
      </c>
      <c r="G1116" s="7" t="s">
        <v>44</v>
      </c>
      <c r="H1116" s="11">
        <v>13.4</v>
      </c>
      <c r="I1116" s="8">
        <v>6.5</v>
      </c>
      <c r="J1116" s="26">
        <v>3</v>
      </c>
      <c r="K1116" s="10">
        <f t="shared" si="117"/>
        <v>0.26130000000000003</v>
      </c>
      <c r="L1116" s="4"/>
      <c r="M1116" s="17">
        <v>3</v>
      </c>
      <c r="N1116" s="18">
        <f t="shared" si="118"/>
        <v>0.26130000000000003</v>
      </c>
      <c r="O1116" s="19">
        <f t="shared" si="119"/>
        <v>0</v>
      </c>
      <c r="P1116" s="13">
        <f t="shared" si="120"/>
        <v>0</v>
      </c>
      <c r="Q1116" s="9"/>
      <c r="R1116" s="90">
        <v>3</v>
      </c>
      <c r="S1116" s="90" t="s">
        <v>240</v>
      </c>
      <c r="T1116" s="156"/>
    </row>
    <row r="1117" spans="1:20">
      <c r="A1117" s="42" t="s">
        <v>84</v>
      </c>
      <c r="B1117" s="3" t="s">
        <v>122</v>
      </c>
      <c r="C1117" s="3">
        <v>1</v>
      </c>
      <c r="D1117" s="1"/>
      <c r="E1117" s="20" t="s">
        <v>63</v>
      </c>
      <c r="F1117" s="7" t="s">
        <v>15</v>
      </c>
      <c r="G1117" s="7" t="s">
        <v>57</v>
      </c>
      <c r="H1117" s="11">
        <v>33.72</v>
      </c>
      <c r="I1117" s="8">
        <v>7.5</v>
      </c>
      <c r="J1117" s="26">
        <v>3</v>
      </c>
      <c r="K1117" s="10">
        <f t="shared" si="117"/>
        <v>0.75869999999999993</v>
      </c>
      <c r="L1117" s="4"/>
      <c r="M1117" s="17">
        <v>3</v>
      </c>
      <c r="N1117" s="18">
        <f t="shared" si="118"/>
        <v>0.75869999999999993</v>
      </c>
      <c r="O1117" s="310">
        <f t="shared" si="119"/>
        <v>0</v>
      </c>
      <c r="P1117" s="13">
        <f t="shared" si="120"/>
        <v>0</v>
      </c>
      <c r="Q1117" s="9"/>
      <c r="R1117" s="2">
        <v>3</v>
      </c>
      <c r="S1117" s="2" t="s">
        <v>514</v>
      </c>
    </row>
    <row r="1118" spans="1:20">
      <c r="A1118" s="42" t="s">
        <v>84</v>
      </c>
      <c r="B1118" s="3" t="s">
        <v>122</v>
      </c>
      <c r="C1118" s="3">
        <v>1</v>
      </c>
      <c r="D1118" s="1"/>
      <c r="E1118" s="20" t="s">
        <v>63</v>
      </c>
      <c r="F1118" s="7" t="s">
        <v>15</v>
      </c>
      <c r="G1118" s="7" t="s">
        <v>57</v>
      </c>
      <c r="H1118" s="11">
        <v>33.72</v>
      </c>
      <c r="I1118" s="8">
        <v>8</v>
      </c>
      <c r="J1118" s="26">
        <v>2</v>
      </c>
      <c r="K1118" s="10">
        <f t="shared" si="117"/>
        <v>0.53952</v>
      </c>
      <c r="L1118" s="4"/>
      <c r="M1118" s="17">
        <v>2</v>
      </c>
      <c r="N1118" s="18">
        <f t="shared" si="118"/>
        <v>0.53952</v>
      </c>
      <c r="O1118" s="310">
        <f t="shared" si="119"/>
        <v>0</v>
      </c>
      <c r="P1118" s="13">
        <f t="shared" si="120"/>
        <v>0</v>
      </c>
      <c r="Q1118" s="9"/>
      <c r="R1118" s="2">
        <v>2</v>
      </c>
      <c r="S1118" s="2" t="s">
        <v>514</v>
      </c>
    </row>
    <row r="1119" spans="1:20">
      <c r="A1119" s="42" t="s">
        <v>84</v>
      </c>
      <c r="B1119" s="3" t="s">
        <v>122</v>
      </c>
      <c r="C1119" s="3">
        <v>1</v>
      </c>
      <c r="D1119" s="1"/>
      <c r="E1119" s="20" t="s">
        <v>63</v>
      </c>
      <c r="F1119" s="7" t="s">
        <v>15</v>
      </c>
      <c r="G1119" s="7" t="s">
        <v>54</v>
      </c>
      <c r="H1119" s="11">
        <v>31.6</v>
      </c>
      <c r="I1119" s="8">
        <v>8.1</v>
      </c>
      <c r="J1119" s="26">
        <v>1</v>
      </c>
      <c r="K1119" s="10">
        <f t="shared" si="117"/>
        <v>0.25596000000000002</v>
      </c>
      <c r="L1119" s="4"/>
      <c r="M1119" s="17">
        <v>1</v>
      </c>
      <c r="N1119" s="18">
        <f t="shared" si="118"/>
        <v>0.25596000000000002</v>
      </c>
      <c r="O1119" s="19">
        <f t="shared" si="119"/>
        <v>0</v>
      </c>
      <c r="P1119" s="13">
        <f t="shared" si="120"/>
        <v>0</v>
      </c>
      <c r="Q1119" s="9">
        <v>7.2</v>
      </c>
      <c r="R1119" s="35">
        <v>1</v>
      </c>
      <c r="S1119" s="32" t="s">
        <v>673</v>
      </c>
    </row>
    <row r="1120" spans="1:20">
      <c r="A1120" s="42" t="s">
        <v>84</v>
      </c>
      <c r="B1120" s="3" t="s">
        <v>122</v>
      </c>
      <c r="C1120" s="3">
        <v>1</v>
      </c>
      <c r="D1120" s="1"/>
      <c r="E1120" s="20" t="s">
        <v>63</v>
      </c>
      <c r="F1120" s="7" t="s">
        <v>15</v>
      </c>
      <c r="G1120" s="7" t="s">
        <v>54</v>
      </c>
      <c r="H1120" s="11">
        <v>31.6</v>
      </c>
      <c r="I1120" s="8">
        <v>8.4</v>
      </c>
      <c r="J1120" s="26">
        <v>2</v>
      </c>
      <c r="K1120" s="10">
        <f t="shared" si="117"/>
        <v>0.53088000000000002</v>
      </c>
      <c r="L1120" s="4"/>
      <c r="M1120" s="17">
        <v>2</v>
      </c>
      <c r="N1120" s="18">
        <f t="shared" si="118"/>
        <v>0.53088000000000002</v>
      </c>
      <c r="O1120" s="19">
        <f t="shared" si="119"/>
        <v>0</v>
      </c>
      <c r="P1120" s="13">
        <f t="shared" si="120"/>
        <v>0</v>
      </c>
      <c r="Q1120" s="9">
        <v>7.2</v>
      </c>
      <c r="R1120" s="35">
        <v>2</v>
      </c>
      <c r="S1120" s="32" t="s">
        <v>673</v>
      </c>
    </row>
    <row r="1121" spans="1:19">
      <c r="A1121" s="42" t="s">
        <v>84</v>
      </c>
      <c r="B1121" s="3" t="s">
        <v>122</v>
      </c>
      <c r="C1121" s="3">
        <v>1</v>
      </c>
      <c r="D1121" s="1"/>
      <c r="E1121" s="20" t="s">
        <v>63</v>
      </c>
      <c r="F1121" s="7" t="s">
        <v>15</v>
      </c>
      <c r="G1121" s="7" t="s">
        <v>54</v>
      </c>
      <c r="H1121" s="11">
        <v>31.6</v>
      </c>
      <c r="I1121" s="8">
        <v>9.5</v>
      </c>
      <c r="J1121" s="26">
        <v>1</v>
      </c>
      <c r="K1121" s="10">
        <f t="shared" si="117"/>
        <v>0.30019999999999997</v>
      </c>
      <c r="L1121" s="4"/>
      <c r="M1121" s="17">
        <v>1</v>
      </c>
      <c r="N1121" s="18">
        <f t="shared" si="118"/>
        <v>0.30019999999999997</v>
      </c>
      <c r="O1121" s="19">
        <f t="shared" si="119"/>
        <v>0</v>
      </c>
      <c r="P1121" s="13">
        <f t="shared" si="120"/>
        <v>0</v>
      </c>
      <c r="Q1121" s="9">
        <v>7.2</v>
      </c>
      <c r="R1121" s="35">
        <v>1</v>
      </c>
      <c r="S1121" s="32" t="s">
        <v>673</v>
      </c>
    </row>
    <row r="1122" spans="1:19">
      <c r="A1122" s="42" t="s">
        <v>84</v>
      </c>
      <c r="B1122" s="3" t="s">
        <v>122</v>
      </c>
      <c r="C1122" s="3">
        <v>1</v>
      </c>
      <c r="D1122" s="1"/>
      <c r="E1122" s="20" t="s">
        <v>19</v>
      </c>
      <c r="F1122" s="7" t="s">
        <v>14</v>
      </c>
      <c r="G1122" s="7" t="s">
        <v>35</v>
      </c>
      <c r="H1122" s="11">
        <v>16.579999999999998</v>
      </c>
      <c r="I1122" s="8">
        <v>6.9</v>
      </c>
      <c r="J1122" s="26">
        <v>3</v>
      </c>
      <c r="K1122" s="10">
        <f t="shared" si="117"/>
        <v>0.34320600000000001</v>
      </c>
      <c r="L1122" s="4"/>
      <c r="M1122" s="17"/>
      <c r="N1122" s="18">
        <f t="shared" si="118"/>
        <v>0</v>
      </c>
      <c r="O1122" s="19">
        <f t="shared" si="119"/>
        <v>3</v>
      </c>
      <c r="P1122" s="13">
        <f t="shared" si="120"/>
        <v>0.34320600000000001</v>
      </c>
      <c r="Q1122" s="9"/>
      <c r="R1122" s="2"/>
      <c r="S1122" s="2"/>
    </row>
    <row r="1123" spans="1:19">
      <c r="A1123" s="42" t="s">
        <v>84</v>
      </c>
      <c r="B1123" s="3" t="s">
        <v>122</v>
      </c>
      <c r="C1123" s="3">
        <v>1</v>
      </c>
      <c r="D1123" s="1"/>
      <c r="E1123" s="20" t="s">
        <v>19</v>
      </c>
      <c r="F1123" s="7" t="s">
        <v>14</v>
      </c>
      <c r="G1123" s="7" t="s">
        <v>28</v>
      </c>
      <c r="H1123" s="11">
        <v>12.18</v>
      </c>
      <c r="I1123" s="8">
        <v>10.1</v>
      </c>
      <c r="J1123" s="26">
        <v>1</v>
      </c>
      <c r="K1123" s="10">
        <f t="shared" si="117"/>
        <v>0.12301799999999999</v>
      </c>
      <c r="L1123" s="4" t="s">
        <v>123</v>
      </c>
      <c r="M1123" s="17"/>
      <c r="N1123" s="18">
        <f t="shared" si="118"/>
        <v>0</v>
      </c>
      <c r="O1123" s="19">
        <f t="shared" si="119"/>
        <v>1</v>
      </c>
      <c r="P1123" s="13">
        <f t="shared" si="120"/>
        <v>0.12301799999999999</v>
      </c>
      <c r="Q1123" s="9"/>
      <c r="R1123" s="2"/>
      <c r="S1123" s="2"/>
    </row>
    <row r="1124" spans="1:19">
      <c r="A1124" s="42" t="s">
        <v>84</v>
      </c>
      <c r="B1124" s="3" t="s">
        <v>122</v>
      </c>
      <c r="C1124" s="3">
        <v>1</v>
      </c>
      <c r="D1124" s="1"/>
      <c r="E1124" s="20" t="s">
        <v>19</v>
      </c>
      <c r="F1124" s="7" t="s">
        <v>14</v>
      </c>
      <c r="G1124" s="7" t="s">
        <v>28</v>
      </c>
      <c r="H1124" s="11">
        <v>12.18</v>
      </c>
      <c r="I1124" s="8">
        <v>11.1</v>
      </c>
      <c r="J1124" s="26">
        <v>1</v>
      </c>
      <c r="K1124" s="10">
        <f t="shared" si="117"/>
        <v>0.13519799999999998</v>
      </c>
      <c r="L1124" s="4" t="s">
        <v>123</v>
      </c>
      <c r="M1124" s="17"/>
      <c r="N1124" s="18">
        <f t="shared" si="118"/>
        <v>0</v>
      </c>
      <c r="O1124" s="19">
        <f t="shared" si="119"/>
        <v>1</v>
      </c>
      <c r="P1124" s="13">
        <f t="shared" si="120"/>
        <v>0.13519799999999998</v>
      </c>
      <c r="Q1124" s="9"/>
      <c r="R1124" s="2"/>
      <c r="S1124" s="2"/>
    </row>
    <row r="1125" spans="1:19">
      <c r="A1125" s="42" t="s">
        <v>84</v>
      </c>
      <c r="B1125" s="3" t="s">
        <v>122</v>
      </c>
      <c r="C1125" s="3">
        <v>1</v>
      </c>
      <c r="D1125" s="1"/>
      <c r="E1125" s="20" t="s">
        <v>19</v>
      </c>
      <c r="F1125" s="7" t="s">
        <v>14</v>
      </c>
      <c r="G1125" s="7" t="s">
        <v>22</v>
      </c>
      <c r="H1125" s="11">
        <v>10.73</v>
      </c>
      <c r="I1125" s="8">
        <v>11.5</v>
      </c>
      <c r="J1125" s="26">
        <v>1</v>
      </c>
      <c r="K1125" s="10">
        <f t="shared" si="117"/>
        <v>0.123395</v>
      </c>
      <c r="L1125" s="4"/>
      <c r="M1125" s="17">
        <v>1</v>
      </c>
      <c r="N1125" s="18">
        <f t="shared" si="118"/>
        <v>0.123395</v>
      </c>
      <c r="O1125" s="19">
        <f t="shared" si="119"/>
        <v>0</v>
      </c>
      <c r="P1125" s="13">
        <f t="shared" si="120"/>
        <v>0</v>
      </c>
      <c r="Q1125" s="9">
        <v>8.75</v>
      </c>
      <c r="R1125" s="2">
        <v>1</v>
      </c>
      <c r="S1125" s="2" t="s">
        <v>450</v>
      </c>
    </row>
    <row r="1126" spans="1:19">
      <c r="A1126" s="42" t="s">
        <v>84</v>
      </c>
      <c r="B1126" s="3" t="s">
        <v>122</v>
      </c>
      <c r="C1126" s="3">
        <v>1</v>
      </c>
      <c r="D1126" s="1"/>
      <c r="E1126" s="20" t="s">
        <v>19</v>
      </c>
      <c r="F1126" s="7" t="s">
        <v>14</v>
      </c>
      <c r="G1126" s="7" t="s">
        <v>22</v>
      </c>
      <c r="H1126" s="11">
        <v>10.73</v>
      </c>
      <c r="I1126" s="8">
        <v>12</v>
      </c>
      <c r="J1126" s="26">
        <v>1</v>
      </c>
      <c r="K1126" s="10">
        <f t="shared" si="117"/>
        <v>0.12875999999999999</v>
      </c>
      <c r="L1126" s="4"/>
      <c r="M1126" s="17">
        <v>1</v>
      </c>
      <c r="N1126" s="18">
        <f t="shared" si="118"/>
        <v>0.12875999999999999</v>
      </c>
      <c r="O1126" s="19">
        <f t="shared" si="119"/>
        <v>0</v>
      </c>
      <c r="P1126" s="13">
        <f t="shared" si="120"/>
        <v>0</v>
      </c>
      <c r="Q1126" s="9">
        <v>8.75</v>
      </c>
      <c r="R1126" s="2">
        <v>1</v>
      </c>
      <c r="S1126" s="2" t="s">
        <v>450</v>
      </c>
    </row>
    <row r="1127" spans="1:19">
      <c r="A1127" s="42" t="s">
        <v>84</v>
      </c>
      <c r="B1127" s="3" t="s">
        <v>122</v>
      </c>
      <c r="C1127" s="3">
        <v>1</v>
      </c>
      <c r="D1127" s="1"/>
      <c r="E1127" s="20" t="s">
        <v>20</v>
      </c>
      <c r="F1127" s="7" t="s">
        <v>15</v>
      </c>
      <c r="G1127" s="7" t="s">
        <v>35</v>
      </c>
      <c r="H1127" s="11">
        <v>16.579999999999998</v>
      </c>
      <c r="I1127" s="8">
        <v>7</v>
      </c>
      <c r="J1127" s="26">
        <v>1</v>
      </c>
      <c r="K1127" s="10">
        <f t="shared" si="117"/>
        <v>0.11605999999999998</v>
      </c>
      <c r="L1127" s="4"/>
      <c r="M1127" s="17">
        <v>1</v>
      </c>
      <c r="N1127" s="18">
        <f t="shared" si="118"/>
        <v>0.11605999999999998</v>
      </c>
      <c r="O1127" s="19">
        <f t="shared" si="119"/>
        <v>0</v>
      </c>
      <c r="P1127" s="13">
        <f t="shared" si="120"/>
        <v>0</v>
      </c>
      <c r="Q1127" s="9"/>
      <c r="R1127" s="2">
        <v>1</v>
      </c>
      <c r="S1127" s="2" t="s">
        <v>369</v>
      </c>
    </row>
    <row r="1128" spans="1:19">
      <c r="A1128" s="42" t="s">
        <v>84</v>
      </c>
      <c r="B1128" s="3" t="s">
        <v>122</v>
      </c>
      <c r="C1128" s="3">
        <v>1</v>
      </c>
      <c r="D1128" s="1"/>
      <c r="E1128" s="20" t="s">
        <v>20</v>
      </c>
      <c r="F1128" s="7" t="s">
        <v>15</v>
      </c>
      <c r="G1128" s="7" t="s">
        <v>35</v>
      </c>
      <c r="H1128" s="11">
        <v>16.579999999999998</v>
      </c>
      <c r="I1128" s="8">
        <v>9.1999999999999993</v>
      </c>
      <c r="J1128" s="26">
        <v>1</v>
      </c>
      <c r="K1128" s="10">
        <f t="shared" si="117"/>
        <v>0.15253599999999998</v>
      </c>
      <c r="L1128" s="4"/>
      <c r="M1128" s="17">
        <v>1</v>
      </c>
      <c r="N1128" s="18">
        <f t="shared" si="118"/>
        <v>0.15253599999999998</v>
      </c>
      <c r="O1128" s="19">
        <f t="shared" si="119"/>
        <v>0</v>
      </c>
      <c r="P1128" s="13">
        <f t="shared" si="120"/>
        <v>0</v>
      </c>
      <c r="Q1128" s="9"/>
      <c r="R1128" s="2">
        <v>1</v>
      </c>
      <c r="S1128" s="2" t="s">
        <v>369</v>
      </c>
    </row>
    <row r="1129" spans="1:19">
      <c r="A1129" s="42" t="s">
        <v>84</v>
      </c>
      <c r="B1129" s="3" t="s">
        <v>122</v>
      </c>
      <c r="C1129" s="3">
        <v>1</v>
      </c>
      <c r="D1129" s="1"/>
      <c r="E1129" s="20" t="s">
        <v>20</v>
      </c>
      <c r="F1129" s="7" t="s">
        <v>15</v>
      </c>
      <c r="G1129" s="7" t="s">
        <v>35</v>
      </c>
      <c r="H1129" s="11">
        <v>16.579999999999998</v>
      </c>
      <c r="I1129" s="8">
        <v>10</v>
      </c>
      <c r="J1129" s="26">
        <v>1</v>
      </c>
      <c r="K1129" s="10">
        <f t="shared" si="117"/>
        <v>0.16579999999999998</v>
      </c>
      <c r="L1129" s="4"/>
      <c r="M1129" s="17">
        <v>1</v>
      </c>
      <c r="N1129" s="18">
        <f t="shared" si="118"/>
        <v>0.16579999999999998</v>
      </c>
      <c r="O1129" s="19">
        <f t="shared" si="119"/>
        <v>0</v>
      </c>
      <c r="P1129" s="13">
        <f t="shared" si="120"/>
        <v>0</v>
      </c>
      <c r="Q1129" s="9"/>
      <c r="R1129" s="2">
        <v>1</v>
      </c>
      <c r="S1129" s="2" t="s">
        <v>369</v>
      </c>
    </row>
    <row r="1130" spans="1:19">
      <c r="A1130" s="42" t="s">
        <v>84</v>
      </c>
      <c r="B1130" s="3" t="s">
        <v>122</v>
      </c>
      <c r="C1130" s="3">
        <v>1</v>
      </c>
      <c r="D1130" s="1"/>
      <c r="E1130" s="20" t="s">
        <v>20</v>
      </c>
      <c r="F1130" s="7" t="s">
        <v>15</v>
      </c>
      <c r="G1130" s="7" t="s">
        <v>35</v>
      </c>
      <c r="H1130" s="11">
        <v>16.579999999999998</v>
      </c>
      <c r="I1130" s="8">
        <v>12</v>
      </c>
      <c r="J1130" s="26">
        <v>3</v>
      </c>
      <c r="K1130" s="10">
        <f t="shared" si="117"/>
        <v>0.59687999999999986</v>
      </c>
      <c r="L1130" s="4"/>
      <c r="M1130" s="17">
        <v>3</v>
      </c>
      <c r="N1130" s="18">
        <f t="shared" si="118"/>
        <v>0.59687999999999986</v>
      </c>
      <c r="O1130" s="19">
        <f t="shared" si="119"/>
        <v>0</v>
      </c>
      <c r="P1130" s="13">
        <f t="shared" si="120"/>
        <v>0</v>
      </c>
      <c r="Q1130" s="9"/>
      <c r="R1130" s="2">
        <v>3</v>
      </c>
      <c r="S1130" s="2" t="s">
        <v>369</v>
      </c>
    </row>
    <row r="1131" spans="1:19">
      <c r="A1131" s="42" t="s">
        <v>84</v>
      </c>
      <c r="B1131" s="3" t="s">
        <v>122</v>
      </c>
      <c r="C1131" s="3">
        <v>1</v>
      </c>
      <c r="D1131" s="1"/>
      <c r="E1131" s="20" t="s">
        <v>88</v>
      </c>
      <c r="F1131" s="7" t="s">
        <v>15</v>
      </c>
      <c r="G1131" s="7" t="s">
        <v>44</v>
      </c>
      <c r="H1131" s="11">
        <v>13.4</v>
      </c>
      <c r="I1131" s="8">
        <v>7.2</v>
      </c>
      <c r="J1131" s="26">
        <v>1</v>
      </c>
      <c r="K1131" s="10">
        <f t="shared" si="117"/>
        <v>9.648000000000001E-2</v>
      </c>
      <c r="L1131" s="4"/>
      <c r="M1131" s="17">
        <v>1</v>
      </c>
      <c r="N1131" s="18">
        <f t="shared" si="118"/>
        <v>9.648000000000001E-2</v>
      </c>
      <c r="O1131" s="19">
        <f t="shared" si="119"/>
        <v>0</v>
      </c>
      <c r="P1131" s="13">
        <f t="shared" si="120"/>
        <v>0</v>
      </c>
      <c r="Q1131" s="9">
        <v>6</v>
      </c>
      <c r="R1131" s="2">
        <v>1</v>
      </c>
      <c r="S1131" s="2" t="s">
        <v>735</v>
      </c>
    </row>
    <row r="1132" spans="1:19">
      <c r="A1132" s="42" t="s">
        <v>84</v>
      </c>
      <c r="B1132" s="3" t="s">
        <v>122</v>
      </c>
      <c r="C1132" s="3">
        <v>1</v>
      </c>
      <c r="D1132" s="1"/>
      <c r="E1132" s="20" t="s">
        <v>88</v>
      </c>
      <c r="F1132" s="7" t="s">
        <v>15</v>
      </c>
      <c r="G1132" s="7" t="s">
        <v>44</v>
      </c>
      <c r="H1132" s="11">
        <v>13.4</v>
      </c>
      <c r="I1132" s="8">
        <v>7.6</v>
      </c>
      <c r="J1132" s="26">
        <v>2</v>
      </c>
      <c r="K1132" s="10">
        <f t="shared" si="117"/>
        <v>0.20368</v>
      </c>
      <c r="L1132" s="4"/>
      <c r="M1132" s="17">
        <v>2</v>
      </c>
      <c r="N1132" s="18">
        <f t="shared" si="118"/>
        <v>0.20368</v>
      </c>
      <c r="O1132" s="106">
        <f t="shared" si="119"/>
        <v>0</v>
      </c>
      <c r="P1132" s="13">
        <f t="shared" si="120"/>
        <v>0</v>
      </c>
      <c r="Q1132" s="9">
        <v>7.6</v>
      </c>
      <c r="R1132" s="2">
        <v>2</v>
      </c>
      <c r="S1132" s="2" t="s">
        <v>526</v>
      </c>
    </row>
    <row r="1133" spans="1:19">
      <c r="A1133" s="42" t="s">
        <v>84</v>
      </c>
      <c r="B1133" s="3" t="s">
        <v>122</v>
      </c>
      <c r="C1133" s="3">
        <v>1</v>
      </c>
      <c r="D1133" s="1"/>
      <c r="E1133" s="20" t="s">
        <v>88</v>
      </c>
      <c r="F1133" s="7" t="s">
        <v>15</v>
      </c>
      <c r="G1133" s="7" t="s">
        <v>44</v>
      </c>
      <c r="H1133" s="11">
        <v>13.4</v>
      </c>
      <c r="I1133" s="8">
        <v>7.8</v>
      </c>
      <c r="J1133" s="26">
        <v>1</v>
      </c>
      <c r="K1133" s="10">
        <f t="shared" si="117"/>
        <v>0.10452</v>
      </c>
      <c r="L1133" s="4"/>
      <c r="M1133" s="17">
        <v>1</v>
      </c>
      <c r="N1133" s="18">
        <f t="shared" si="118"/>
        <v>0.10452</v>
      </c>
      <c r="O1133" s="19">
        <f t="shared" si="119"/>
        <v>0</v>
      </c>
      <c r="P1133" s="13">
        <f t="shared" si="120"/>
        <v>0</v>
      </c>
      <c r="Q1133" s="9">
        <v>7.5</v>
      </c>
      <c r="R1133" s="2">
        <v>1</v>
      </c>
      <c r="S1133" s="2" t="s">
        <v>735</v>
      </c>
    </row>
    <row r="1134" spans="1:19">
      <c r="A1134" s="42"/>
      <c r="B1134" s="3" t="s">
        <v>122</v>
      </c>
      <c r="C1134" s="3">
        <v>1</v>
      </c>
      <c r="D1134" s="1"/>
      <c r="E1134" s="20" t="s">
        <v>113</v>
      </c>
      <c r="F1134" s="7" t="s">
        <v>15</v>
      </c>
      <c r="G1134" s="7" t="s">
        <v>44</v>
      </c>
      <c r="H1134" s="11">
        <v>13.4</v>
      </c>
      <c r="I1134" s="8">
        <v>9.1999999999999993</v>
      </c>
      <c r="J1134" s="26">
        <v>2</v>
      </c>
      <c r="K1134" s="10">
        <f t="shared" si="117"/>
        <v>0.24655999999999997</v>
      </c>
      <c r="L1134" s="4"/>
      <c r="M1134" s="17">
        <v>2</v>
      </c>
      <c r="N1134" s="18">
        <f t="shared" si="118"/>
        <v>0.24655999999999997</v>
      </c>
      <c r="O1134" s="19">
        <f t="shared" si="119"/>
        <v>0</v>
      </c>
      <c r="P1134" s="13">
        <f t="shared" si="120"/>
        <v>0</v>
      </c>
      <c r="Q1134" s="9"/>
      <c r="R1134" s="2"/>
      <c r="S1134" s="2"/>
    </row>
    <row r="1135" spans="1:19">
      <c r="A1135" s="42" t="s">
        <v>84</v>
      </c>
      <c r="B1135" s="3" t="s">
        <v>122</v>
      </c>
      <c r="C1135" s="3">
        <v>1</v>
      </c>
      <c r="D1135" s="1"/>
      <c r="E1135" s="20" t="s">
        <v>17</v>
      </c>
      <c r="F1135" s="7" t="s">
        <v>15</v>
      </c>
      <c r="G1135" s="7" t="s">
        <v>30</v>
      </c>
      <c r="H1135" s="11">
        <v>9.26</v>
      </c>
      <c r="I1135" s="184">
        <v>12</v>
      </c>
      <c r="J1135" s="56">
        <v>9</v>
      </c>
      <c r="K1135" s="10">
        <f t="shared" si="117"/>
        <v>1.0000800000000001</v>
      </c>
      <c r="L1135" s="4"/>
      <c r="M1135" s="17">
        <v>9</v>
      </c>
      <c r="N1135" s="18">
        <f t="shared" si="118"/>
        <v>1.0000799999999999</v>
      </c>
      <c r="O1135" s="19">
        <f t="shared" si="119"/>
        <v>0</v>
      </c>
      <c r="P1135" s="13">
        <f t="shared" si="120"/>
        <v>0</v>
      </c>
      <c r="Q1135" s="9">
        <v>12</v>
      </c>
      <c r="R1135" s="2">
        <v>9</v>
      </c>
      <c r="S1135" s="2" t="s">
        <v>208</v>
      </c>
    </row>
    <row r="1136" spans="1:19">
      <c r="A1136" s="42" t="s">
        <v>84</v>
      </c>
      <c r="B1136" s="3" t="s">
        <v>122</v>
      </c>
      <c r="C1136" s="3">
        <v>1</v>
      </c>
      <c r="D1136" s="1"/>
      <c r="E1136" s="20" t="s">
        <v>17</v>
      </c>
      <c r="F1136" s="7" t="s">
        <v>15</v>
      </c>
      <c r="G1136" s="7" t="s">
        <v>30</v>
      </c>
      <c r="H1136" s="11">
        <v>9.26</v>
      </c>
      <c r="I1136" s="184">
        <v>10.5</v>
      </c>
      <c r="J1136" s="56">
        <v>4</v>
      </c>
      <c r="K1136" s="10">
        <f t="shared" si="117"/>
        <v>0.38892000000000004</v>
      </c>
      <c r="L1136" s="4"/>
      <c r="M1136" s="17">
        <v>4</v>
      </c>
      <c r="N1136" s="18">
        <f t="shared" si="118"/>
        <v>0.38892000000000004</v>
      </c>
      <c r="O1136" s="19">
        <f t="shared" si="119"/>
        <v>0</v>
      </c>
      <c r="P1136" s="13">
        <f t="shared" si="120"/>
        <v>0</v>
      </c>
      <c r="Q1136" s="9"/>
      <c r="R1136" s="2"/>
      <c r="S1136" s="2"/>
    </row>
    <row r="1137" spans="1:21">
      <c r="A1137" s="42" t="s">
        <v>84</v>
      </c>
      <c r="B1137" s="3" t="s">
        <v>122</v>
      </c>
      <c r="C1137" s="3">
        <v>2</v>
      </c>
      <c r="D1137" s="1"/>
      <c r="E1137" s="20" t="s">
        <v>17</v>
      </c>
      <c r="F1137" s="7" t="s">
        <v>15</v>
      </c>
      <c r="G1137" s="7" t="s">
        <v>30</v>
      </c>
      <c r="H1137" s="11">
        <v>9.26</v>
      </c>
      <c r="I1137" s="184">
        <v>11.8</v>
      </c>
      <c r="J1137" s="26">
        <v>3</v>
      </c>
      <c r="K1137" s="10">
        <f t="shared" ref="K1137:K1191" si="121">(H1137*I1137*J1137/1000)</f>
        <v>0.32780399999999998</v>
      </c>
      <c r="L1137" s="4"/>
      <c r="M1137" s="17">
        <v>3</v>
      </c>
      <c r="N1137" s="18">
        <f t="shared" ref="N1137:N1191" si="122">I1137*M1137*H1137/1000</f>
        <v>0.32780400000000004</v>
      </c>
      <c r="O1137" s="19">
        <f t="shared" ref="O1137:O1191" si="123">J1137-M1137</f>
        <v>0</v>
      </c>
      <c r="P1137" s="13">
        <f t="shared" ref="P1137:P1191" si="124">I1137*O1137*H1137/1000</f>
        <v>0</v>
      </c>
      <c r="Q1137" s="9">
        <v>11.6</v>
      </c>
      <c r="R1137" s="35">
        <v>3</v>
      </c>
      <c r="S1137" s="2" t="s">
        <v>267</v>
      </c>
    </row>
    <row r="1138" spans="1:21">
      <c r="A1138" s="42" t="s">
        <v>84</v>
      </c>
      <c r="B1138" s="3" t="s">
        <v>122</v>
      </c>
      <c r="C1138" s="3">
        <v>2</v>
      </c>
      <c r="D1138" s="1"/>
      <c r="E1138" s="20" t="s">
        <v>17</v>
      </c>
      <c r="F1138" s="7" t="s">
        <v>15</v>
      </c>
      <c r="G1138" s="7" t="s">
        <v>30</v>
      </c>
      <c r="H1138" s="11">
        <v>9.26</v>
      </c>
      <c r="I1138" s="184">
        <v>10.5</v>
      </c>
      <c r="J1138" s="26">
        <v>1</v>
      </c>
      <c r="K1138" s="10">
        <f t="shared" si="121"/>
        <v>9.7230000000000011E-2</v>
      </c>
      <c r="L1138" s="4"/>
      <c r="M1138" s="17">
        <v>1</v>
      </c>
      <c r="N1138" s="18">
        <f t="shared" si="122"/>
        <v>9.7230000000000011E-2</v>
      </c>
      <c r="O1138" s="19">
        <f t="shared" si="123"/>
        <v>0</v>
      </c>
      <c r="P1138" s="13">
        <f t="shared" si="124"/>
        <v>0</v>
      </c>
      <c r="Q1138" s="9">
        <v>10</v>
      </c>
      <c r="R1138" s="35">
        <v>1</v>
      </c>
      <c r="S1138" s="2" t="s">
        <v>267</v>
      </c>
    </row>
    <row r="1139" spans="1:21">
      <c r="A1139" s="42" t="s">
        <v>84</v>
      </c>
      <c r="B1139" s="3" t="s">
        <v>122</v>
      </c>
      <c r="C1139" s="3">
        <v>2</v>
      </c>
      <c r="D1139" s="1"/>
      <c r="E1139" s="20" t="s">
        <v>17</v>
      </c>
      <c r="F1139" s="7" t="s">
        <v>15</v>
      </c>
      <c r="G1139" s="7" t="s">
        <v>30</v>
      </c>
      <c r="H1139" s="11">
        <v>9.26</v>
      </c>
      <c r="I1139" s="184">
        <v>10.5</v>
      </c>
      <c r="J1139" s="56">
        <f>1+4</f>
        <v>5</v>
      </c>
      <c r="K1139" s="10">
        <f t="shared" si="121"/>
        <v>0.48615000000000003</v>
      </c>
      <c r="L1139" s="4"/>
      <c r="M1139" s="17">
        <v>5</v>
      </c>
      <c r="N1139" s="18">
        <f t="shared" si="122"/>
        <v>0.48614999999999997</v>
      </c>
      <c r="O1139" s="19">
        <f t="shared" si="123"/>
        <v>0</v>
      </c>
      <c r="P1139" s="13">
        <f t="shared" si="124"/>
        <v>0</v>
      </c>
      <c r="Q1139" s="9"/>
      <c r="R1139" s="2"/>
      <c r="S1139" s="2"/>
    </row>
    <row r="1140" spans="1:21">
      <c r="A1140" s="42" t="s">
        <v>84</v>
      </c>
      <c r="B1140" s="3" t="s">
        <v>122</v>
      </c>
      <c r="C1140" s="3">
        <v>2</v>
      </c>
      <c r="D1140" s="1"/>
      <c r="E1140" s="20" t="s">
        <v>17</v>
      </c>
      <c r="F1140" s="7" t="s">
        <v>15</v>
      </c>
      <c r="G1140" s="7" t="s">
        <v>30</v>
      </c>
      <c r="H1140" s="11">
        <v>9.26</v>
      </c>
      <c r="I1140" s="184">
        <v>10.4</v>
      </c>
      <c r="J1140" s="56">
        <v>1</v>
      </c>
      <c r="K1140" s="10">
        <f t="shared" si="121"/>
        <v>9.6304000000000001E-2</v>
      </c>
      <c r="L1140" s="4"/>
      <c r="M1140" s="17">
        <v>1</v>
      </c>
      <c r="N1140" s="18">
        <f t="shared" si="122"/>
        <v>9.6304000000000001E-2</v>
      </c>
      <c r="O1140" s="19">
        <f t="shared" si="123"/>
        <v>0</v>
      </c>
      <c r="P1140" s="13">
        <f t="shared" si="124"/>
        <v>0</v>
      </c>
      <c r="Q1140" s="9"/>
      <c r="R1140" s="2"/>
      <c r="S1140" s="2"/>
    </row>
    <row r="1141" spans="1:21">
      <c r="A1141" s="42" t="s">
        <v>84</v>
      </c>
      <c r="B1141" s="3" t="s">
        <v>122</v>
      </c>
      <c r="C1141" s="3">
        <v>2</v>
      </c>
      <c r="D1141" s="1"/>
      <c r="E1141" s="20" t="s">
        <v>17</v>
      </c>
      <c r="F1141" s="7" t="s">
        <v>15</v>
      </c>
      <c r="G1141" s="7" t="s">
        <v>30</v>
      </c>
      <c r="H1141" s="11">
        <v>9.26</v>
      </c>
      <c r="I1141" s="184">
        <v>8</v>
      </c>
      <c r="J1141" s="56">
        <v>3</v>
      </c>
      <c r="K1141" s="10">
        <f t="shared" si="121"/>
        <v>0.22224000000000002</v>
      </c>
      <c r="L1141" s="4"/>
      <c r="M1141" s="17">
        <v>3</v>
      </c>
      <c r="N1141" s="18">
        <f t="shared" si="122"/>
        <v>0.22224000000000002</v>
      </c>
      <c r="O1141" s="19">
        <f t="shared" si="123"/>
        <v>0</v>
      </c>
      <c r="P1141" s="13">
        <f t="shared" si="124"/>
        <v>0</v>
      </c>
      <c r="Q1141" s="9"/>
      <c r="R1141" s="2"/>
      <c r="S1141" s="2"/>
    </row>
    <row r="1142" spans="1:21">
      <c r="A1142" s="42" t="s">
        <v>84</v>
      </c>
      <c r="B1142" s="3" t="s">
        <v>122</v>
      </c>
      <c r="C1142" s="3">
        <v>2</v>
      </c>
      <c r="D1142" s="1"/>
      <c r="E1142" s="20" t="s">
        <v>17</v>
      </c>
      <c r="F1142" s="7" t="s">
        <v>15</v>
      </c>
      <c r="G1142" s="7" t="s">
        <v>30</v>
      </c>
      <c r="H1142" s="11">
        <v>9.26</v>
      </c>
      <c r="I1142" s="184">
        <v>7.55</v>
      </c>
      <c r="J1142" s="26">
        <v>3</v>
      </c>
      <c r="K1142" s="10">
        <f t="shared" si="121"/>
        <v>0.20973899999999998</v>
      </c>
      <c r="L1142" s="4"/>
      <c r="M1142" s="17">
        <v>3</v>
      </c>
      <c r="N1142" s="18">
        <f t="shared" si="122"/>
        <v>0.20973899999999998</v>
      </c>
      <c r="O1142" s="19">
        <f t="shared" si="123"/>
        <v>0</v>
      </c>
      <c r="P1142" s="13">
        <f t="shared" si="124"/>
        <v>0</v>
      </c>
      <c r="Q1142" s="9">
        <v>7.25</v>
      </c>
      <c r="R1142" s="35">
        <v>3</v>
      </c>
      <c r="S1142" s="2" t="s">
        <v>267</v>
      </c>
    </row>
    <row r="1143" spans="1:21">
      <c r="A1143" s="42" t="s">
        <v>84</v>
      </c>
      <c r="B1143" s="3"/>
      <c r="C1143" s="3">
        <v>1</v>
      </c>
      <c r="D1143" s="1"/>
      <c r="E1143" s="20" t="s">
        <v>20</v>
      </c>
      <c r="F1143" s="7" t="s">
        <v>15</v>
      </c>
      <c r="G1143" s="7" t="s">
        <v>35</v>
      </c>
      <c r="H1143" s="11">
        <v>16.579999999999998</v>
      </c>
      <c r="I1143" s="8">
        <v>12</v>
      </c>
      <c r="J1143" s="26">
        <v>5</v>
      </c>
      <c r="K1143" s="10">
        <f t="shared" si="121"/>
        <v>0.99479999999999991</v>
      </c>
      <c r="L1143" s="4"/>
      <c r="M1143" s="17">
        <v>5</v>
      </c>
      <c r="N1143" s="18">
        <f t="shared" si="122"/>
        <v>0.99479999999999991</v>
      </c>
      <c r="O1143" s="19">
        <f t="shared" si="123"/>
        <v>0</v>
      </c>
      <c r="P1143" s="13">
        <f t="shared" si="124"/>
        <v>0</v>
      </c>
      <c r="Q1143" s="9"/>
      <c r="R1143" s="2">
        <v>5</v>
      </c>
      <c r="S1143" s="2" t="s">
        <v>369</v>
      </c>
    </row>
    <row r="1144" spans="1:21">
      <c r="A1144" s="42" t="s">
        <v>84</v>
      </c>
      <c r="B1144" s="3" t="s">
        <v>122</v>
      </c>
      <c r="C1144" s="3">
        <v>1</v>
      </c>
      <c r="D1144" s="1"/>
      <c r="E1144" s="12" t="s">
        <v>81</v>
      </c>
      <c r="F1144" s="7" t="s">
        <v>14</v>
      </c>
      <c r="G1144" s="7" t="s">
        <v>52</v>
      </c>
      <c r="H1144" s="11">
        <v>17.829999999999998</v>
      </c>
      <c r="I1144" s="8">
        <v>11.5</v>
      </c>
      <c r="J1144" s="26">
        <v>14</v>
      </c>
      <c r="K1144" s="10">
        <f t="shared" si="121"/>
        <v>2.8706299999999998</v>
      </c>
      <c r="L1144" s="4"/>
      <c r="M1144" s="17">
        <f>2+4+8</f>
        <v>14</v>
      </c>
      <c r="N1144" s="18">
        <f t="shared" si="122"/>
        <v>2.8706299999999998</v>
      </c>
      <c r="O1144" s="19">
        <f t="shared" si="123"/>
        <v>0</v>
      </c>
      <c r="P1144" s="13">
        <f t="shared" si="124"/>
        <v>0</v>
      </c>
      <c r="Q1144" s="9">
        <v>11.5</v>
      </c>
      <c r="R1144" s="2">
        <v>2</v>
      </c>
      <c r="S1144" s="2" t="s">
        <v>418</v>
      </c>
      <c r="T1144" s="213" t="s">
        <v>491</v>
      </c>
    </row>
    <row r="1145" spans="1:21">
      <c r="A1145" s="42" t="s">
        <v>84</v>
      </c>
      <c r="B1145" s="3" t="s">
        <v>122</v>
      </c>
      <c r="C1145" s="3">
        <v>1</v>
      </c>
      <c r="D1145" s="1"/>
      <c r="E1145" s="20" t="s">
        <v>75</v>
      </c>
      <c r="F1145" s="7" t="s">
        <v>15</v>
      </c>
      <c r="G1145" s="7" t="s">
        <v>21</v>
      </c>
      <c r="H1145" s="11">
        <v>6.97</v>
      </c>
      <c r="I1145" s="8">
        <v>9.5</v>
      </c>
      <c r="J1145" s="26">
        <v>1</v>
      </c>
      <c r="K1145" s="10">
        <f t="shared" si="121"/>
        <v>6.621500000000001E-2</v>
      </c>
      <c r="L1145" s="4"/>
      <c r="M1145" s="17">
        <v>1</v>
      </c>
      <c r="N1145" s="18">
        <f t="shared" si="122"/>
        <v>6.621500000000001E-2</v>
      </c>
      <c r="O1145" s="19">
        <f t="shared" si="123"/>
        <v>0</v>
      </c>
      <c r="P1145" s="13">
        <f t="shared" si="124"/>
        <v>0</v>
      </c>
      <c r="Q1145" s="9">
        <v>8.5</v>
      </c>
      <c r="R1145" s="2">
        <v>1</v>
      </c>
      <c r="S1145" s="2"/>
    </row>
    <row r="1146" spans="1:21">
      <c r="A1146" s="42" t="s">
        <v>84</v>
      </c>
      <c r="B1146" s="3" t="s">
        <v>122</v>
      </c>
      <c r="C1146" s="3">
        <v>1</v>
      </c>
      <c r="D1146" s="1"/>
      <c r="E1146" s="20" t="s">
        <v>75</v>
      </c>
      <c r="F1146" s="7" t="s">
        <v>15</v>
      </c>
      <c r="G1146" s="7" t="s">
        <v>21</v>
      </c>
      <c r="H1146" s="11">
        <v>6.97</v>
      </c>
      <c r="I1146" s="8">
        <v>10.5</v>
      </c>
      <c r="J1146" s="26">
        <v>8</v>
      </c>
      <c r="K1146" s="10">
        <f t="shared" si="121"/>
        <v>0.58548</v>
      </c>
      <c r="L1146" s="4"/>
      <c r="M1146" s="17">
        <f>2+6</f>
        <v>8</v>
      </c>
      <c r="N1146" s="18">
        <f t="shared" si="122"/>
        <v>0.58548</v>
      </c>
      <c r="O1146" s="106">
        <f t="shared" si="123"/>
        <v>0</v>
      </c>
      <c r="P1146" s="53">
        <f t="shared" si="124"/>
        <v>0</v>
      </c>
      <c r="Q1146" s="9">
        <v>10.199999999999999</v>
      </c>
      <c r="R1146" s="2">
        <v>2</v>
      </c>
      <c r="S1146" s="2" t="s">
        <v>256</v>
      </c>
      <c r="T1146">
        <v>6</v>
      </c>
      <c r="U1146" s="213" t="s">
        <v>476</v>
      </c>
    </row>
    <row r="1147" spans="1:21">
      <c r="A1147" s="42" t="s">
        <v>84</v>
      </c>
      <c r="B1147" s="3" t="s">
        <v>122</v>
      </c>
      <c r="C1147" s="3">
        <v>2</v>
      </c>
      <c r="D1147" s="1"/>
      <c r="E1147" s="20" t="s">
        <v>75</v>
      </c>
      <c r="F1147" s="7" t="s">
        <v>15</v>
      </c>
      <c r="G1147" s="7" t="s">
        <v>21</v>
      </c>
      <c r="H1147" s="11">
        <v>6.97</v>
      </c>
      <c r="I1147" s="8">
        <v>10.5</v>
      </c>
      <c r="J1147" s="26">
        <v>13</v>
      </c>
      <c r="K1147" s="10">
        <f t="shared" si="121"/>
        <v>0.95140499999999995</v>
      </c>
      <c r="L1147" s="4"/>
      <c r="M1147" s="17">
        <v>13</v>
      </c>
      <c r="N1147" s="18">
        <f t="shared" si="122"/>
        <v>0.95140499999999995</v>
      </c>
      <c r="O1147" s="19">
        <f t="shared" si="123"/>
        <v>0</v>
      </c>
      <c r="P1147" s="13">
        <f t="shared" si="124"/>
        <v>0</v>
      </c>
      <c r="Q1147" s="9"/>
      <c r="R1147" s="2"/>
      <c r="S1147" s="2"/>
    </row>
    <row r="1148" spans="1:21">
      <c r="A1148" s="42" t="s">
        <v>84</v>
      </c>
      <c r="B1148" s="3" t="s">
        <v>122</v>
      </c>
      <c r="C1148" s="3">
        <v>3</v>
      </c>
      <c r="D1148" s="1"/>
      <c r="E1148" s="20" t="s">
        <v>75</v>
      </c>
      <c r="F1148" s="7" t="s">
        <v>15</v>
      </c>
      <c r="G1148" s="7" t="s">
        <v>21</v>
      </c>
      <c r="H1148" s="11">
        <v>6.97</v>
      </c>
      <c r="I1148" s="8">
        <v>11.5</v>
      </c>
      <c r="J1148" s="26">
        <v>11</v>
      </c>
      <c r="K1148" s="10">
        <f t="shared" si="121"/>
        <v>0.88170500000000007</v>
      </c>
      <c r="L1148" s="4"/>
      <c r="M1148" s="17">
        <f>16-5</f>
        <v>11</v>
      </c>
      <c r="N1148" s="18">
        <f t="shared" si="122"/>
        <v>0.88170499999999996</v>
      </c>
      <c r="O1148" s="151">
        <f t="shared" si="123"/>
        <v>0</v>
      </c>
      <c r="P1148" s="152">
        <f t="shared" si="124"/>
        <v>0</v>
      </c>
      <c r="Q1148" s="9"/>
      <c r="R1148" s="2"/>
      <c r="S1148" s="2"/>
    </row>
    <row r="1149" spans="1:21">
      <c r="A1149" s="42" t="s">
        <v>84</v>
      </c>
      <c r="B1149" s="3" t="s">
        <v>122</v>
      </c>
      <c r="C1149" s="3">
        <v>4</v>
      </c>
      <c r="D1149" s="1"/>
      <c r="E1149" s="20" t="s">
        <v>75</v>
      </c>
      <c r="F1149" s="7" t="s">
        <v>15</v>
      </c>
      <c r="G1149" s="7" t="s">
        <v>21</v>
      </c>
      <c r="H1149" s="11">
        <v>6.97</v>
      </c>
      <c r="I1149" s="8">
        <v>12</v>
      </c>
      <c r="J1149" s="26">
        <v>21</v>
      </c>
      <c r="K1149" s="10">
        <f t="shared" si="121"/>
        <v>1.75644</v>
      </c>
      <c r="L1149" s="4"/>
      <c r="M1149" s="17">
        <v>21</v>
      </c>
      <c r="N1149" s="18">
        <f t="shared" si="122"/>
        <v>1.7564399999999998</v>
      </c>
      <c r="O1149" s="19">
        <f t="shared" si="123"/>
        <v>0</v>
      </c>
      <c r="P1149" s="13">
        <f t="shared" si="124"/>
        <v>0</v>
      </c>
      <c r="Q1149" s="9"/>
      <c r="R1149" s="2"/>
      <c r="S1149" s="2"/>
    </row>
    <row r="1150" spans="1:21">
      <c r="A1150" s="42" t="s">
        <v>84</v>
      </c>
      <c r="B1150" s="3" t="s">
        <v>122</v>
      </c>
      <c r="C1150" s="3">
        <v>5</v>
      </c>
      <c r="D1150" s="1"/>
      <c r="E1150" s="20" t="s">
        <v>75</v>
      </c>
      <c r="F1150" s="7" t="s">
        <v>15</v>
      </c>
      <c r="G1150" s="7" t="s">
        <v>21</v>
      </c>
      <c r="H1150" s="11">
        <v>6.97</v>
      </c>
      <c r="I1150" s="8">
        <v>12</v>
      </c>
      <c r="J1150" s="26">
        <v>33</v>
      </c>
      <c r="K1150" s="10">
        <f t="shared" si="121"/>
        <v>2.7601199999999997</v>
      </c>
      <c r="L1150" s="4"/>
      <c r="M1150" s="17">
        <v>33</v>
      </c>
      <c r="N1150" s="18">
        <f t="shared" si="122"/>
        <v>2.7601199999999997</v>
      </c>
      <c r="O1150" s="19">
        <f t="shared" si="123"/>
        <v>0</v>
      </c>
      <c r="P1150" s="13">
        <f t="shared" si="124"/>
        <v>0</v>
      </c>
      <c r="Q1150" s="9"/>
      <c r="R1150" s="2"/>
      <c r="S1150" s="2"/>
    </row>
    <row r="1151" spans="1:21">
      <c r="A1151" s="42" t="s">
        <v>84</v>
      </c>
      <c r="B1151" s="3" t="s">
        <v>122</v>
      </c>
      <c r="C1151" s="3">
        <v>1</v>
      </c>
      <c r="D1151" s="1"/>
      <c r="E1151" s="20" t="s">
        <v>88</v>
      </c>
      <c r="F1151" s="7" t="s">
        <v>15</v>
      </c>
      <c r="G1151" s="7" t="s">
        <v>30</v>
      </c>
      <c r="H1151" s="11">
        <v>9.26</v>
      </c>
      <c r="I1151" s="184">
        <v>7</v>
      </c>
      <c r="J1151" s="26">
        <v>1</v>
      </c>
      <c r="K1151" s="10">
        <f t="shared" si="121"/>
        <v>6.4819999999999989E-2</v>
      </c>
      <c r="L1151" s="4"/>
      <c r="M1151" s="17"/>
      <c r="N1151" s="18">
        <f t="shared" si="122"/>
        <v>0</v>
      </c>
      <c r="O1151" s="19">
        <f t="shared" si="123"/>
        <v>1</v>
      </c>
      <c r="P1151" s="13">
        <f t="shared" si="124"/>
        <v>6.4819999999999989E-2</v>
      </c>
      <c r="Q1151" s="9"/>
      <c r="R1151" s="2"/>
      <c r="S1151" s="2"/>
    </row>
    <row r="1152" spans="1:21">
      <c r="A1152" s="42" t="s">
        <v>84</v>
      </c>
      <c r="B1152" s="3" t="s">
        <v>122</v>
      </c>
      <c r="C1152" s="3">
        <v>1</v>
      </c>
      <c r="D1152" s="1"/>
      <c r="E1152" s="20" t="s">
        <v>88</v>
      </c>
      <c r="F1152" s="7" t="s">
        <v>15</v>
      </c>
      <c r="G1152" s="7" t="s">
        <v>30</v>
      </c>
      <c r="H1152" s="11">
        <v>9.26</v>
      </c>
      <c r="I1152" s="184">
        <v>7.8</v>
      </c>
      <c r="J1152" s="26">
        <v>1</v>
      </c>
      <c r="K1152" s="10">
        <f t="shared" si="121"/>
        <v>7.2228000000000001E-2</v>
      </c>
      <c r="L1152" s="4"/>
      <c r="M1152" s="17"/>
      <c r="N1152" s="18">
        <f t="shared" si="122"/>
        <v>0</v>
      </c>
      <c r="O1152" s="19">
        <f t="shared" si="123"/>
        <v>1</v>
      </c>
      <c r="P1152" s="13">
        <f t="shared" si="124"/>
        <v>7.2228000000000001E-2</v>
      </c>
      <c r="Q1152" s="9"/>
      <c r="R1152" s="2"/>
      <c r="S1152" s="2"/>
    </row>
    <row r="1153" spans="1:19">
      <c r="A1153" s="42" t="s">
        <v>84</v>
      </c>
      <c r="B1153" s="3" t="s">
        <v>122</v>
      </c>
      <c r="C1153" s="3">
        <v>1</v>
      </c>
      <c r="D1153" s="1"/>
      <c r="E1153" s="20" t="s">
        <v>88</v>
      </c>
      <c r="F1153" s="7" t="s">
        <v>15</v>
      </c>
      <c r="G1153" s="7" t="s">
        <v>30</v>
      </c>
      <c r="H1153" s="11">
        <v>9.26</v>
      </c>
      <c r="I1153" s="184">
        <v>8.5</v>
      </c>
      <c r="J1153" s="26">
        <v>2</v>
      </c>
      <c r="K1153" s="10">
        <f t="shared" si="121"/>
        <v>0.15741999999999998</v>
      </c>
      <c r="L1153" s="4"/>
      <c r="M1153" s="17"/>
      <c r="N1153" s="18">
        <f t="shared" si="122"/>
        <v>0</v>
      </c>
      <c r="O1153" s="19">
        <f t="shared" si="123"/>
        <v>2</v>
      </c>
      <c r="P1153" s="13">
        <f t="shared" si="124"/>
        <v>0.15741999999999998</v>
      </c>
      <c r="Q1153" s="9"/>
      <c r="R1153" s="2"/>
      <c r="S1153" s="2"/>
    </row>
    <row r="1154" spans="1:19">
      <c r="A1154" s="42" t="s">
        <v>84</v>
      </c>
      <c r="B1154" s="3" t="s">
        <v>122</v>
      </c>
      <c r="C1154" s="3">
        <v>1</v>
      </c>
      <c r="D1154" s="1"/>
      <c r="E1154" s="20" t="s">
        <v>88</v>
      </c>
      <c r="F1154" s="7" t="s">
        <v>15</v>
      </c>
      <c r="G1154" s="7" t="s">
        <v>30</v>
      </c>
      <c r="H1154" s="11">
        <v>9.26</v>
      </c>
      <c r="I1154" s="184">
        <v>9</v>
      </c>
      <c r="J1154" s="26">
        <v>1</v>
      </c>
      <c r="K1154" s="10">
        <f t="shared" si="121"/>
        <v>8.3339999999999997E-2</v>
      </c>
      <c r="L1154" s="4"/>
      <c r="M1154" s="17"/>
      <c r="N1154" s="18">
        <f t="shared" si="122"/>
        <v>0</v>
      </c>
      <c r="O1154" s="19">
        <f t="shared" si="123"/>
        <v>1</v>
      </c>
      <c r="P1154" s="13">
        <f t="shared" si="124"/>
        <v>8.3339999999999997E-2</v>
      </c>
      <c r="Q1154" s="9"/>
      <c r="R1154" s="2"/>
      <c r="S1154" s="2"/>
    </row>
    <row r="1155" spans="1:19">
      <c r="A1155" s="42" t="s">
        <v>84</v>
      </c>
      <c r="B1155" s="3" t="s">
        <v>122</v>
      </c>
      <c r="C1155" s="3">
        <v>1</v>
      </c>
      <c r="D1155" s="1"/>
      <c r="E1155" s="20" t="s">
        <v>85</v>
      </c>
      <c r="F1155" s="7" t="s">
        <v>15</v>
      </c>
      <c r="G1155" s="7" t="s">
        <v>35</v>
      </c>
      <c r="H1155" s="11">
        <v>16.579999999999998</v>
      </c>
      <c r="I1155" s="8">
        <v>9.6</v>
      </c>
      <c r="J1155" s="26">
        <v>18</v>
      </c>
      <c r="K1155" s="10">
        <f t="shared" si="121"/>
        <v>2.8650239999999996</v>
      </c>
      <c r="L1155" s="4"/>
      <c r="M1155" s="17">
        <v>18</v>
      </c>
      <c r="N1155" s="18">
        <f t="shared" si="122"/>
        <v>2.8650239999999996</v>
      </c>
      <c r="O1155" s="19">
        <f t="shared" si="123"/>
        <v>0</v>
      </c>
      <c r="P1155" s="13">
        <f t="shared" si="124"/>
        <v>0</v>
      </c>
      <c r="Q1155" s="9"/>
      <c r="R1155" s="2"/>
      <c r="S1155" s="2"/>
    </row>
    <row r="1156" spans="1:19">
      <c r="A1156" s="42" t="s">
        <v>84</v>
      </c>
      <c r="B1156" s="3" t="s">
        <v>122</v>
      </c>
      <c r="C1156" s="3">
        <v>1</v>
      </c>
      <c r="D1156" s="1"/>
      <c r="E1156" s="20" t="s">
        <v>75</v>
      </c>
      <c r="F1156" s="7" t="s">
        <v>15</v>
      </c>
      <c r="G1156" s="7" t="s">
        <v>55</v>
      </c>
      <c r="H1156" s="11">
        <v>4.6500000000000004</v>
      </c>
      <c r="I1156" s="8">
        <v>11.5</v>
      </c>
      <c r="J1156" s="43">
        <v>38</v>
      </c>
      <c r="K1156" s="10">
        <f t="shared" si="121"/>
        <v>2.0320499999999999</v>
      </c>
      <c r="L1156" s="4"/>
      <c r="M1156" s="17">
        <v>38</v>
      </c>
      <c r="N1156" s="18">
        <f t="shared" si="122"/>
        <v>2.0320500000000004</v>
      </c>
      <c r="O1156" s="19">
        <f t="shared" si="123"/>
        <v>0</v>
      </c>
      <c r="P1156" s="13">
        <f t="shared" si="124"/>
        <v>0</v>
      </c>
      <c r="Q1156" s="9"/>
      <c r="R1156" s="2"/>
      <c r="S1156" s="2"/>
    </row>
    <row r="1157" spans="1:19">
      <c r="A1157" s="42" t="s">
        <v>84</v>
      </c>
      <c r="B1157" s="3" t="s">
        <v>124</v>
      </c>
      <c r="C1157" s="3">
        <v>1</v>
      </c>
      <c r="D1157" s="1"/>
      <c r="E1157" s="20" t="s">
        <v>75</v>
      </c>
      <c r="F1157" s="7" t="s">
        <v>15</v>
      </c>
      <c r="G1157" s="7" t="s">
        <v>25</v>
      </c>
      <c r="H1157" s="11">
        <v>7.34</v>
      </c>
      <c r="I1157" s="8">
        <v>11.2</v>
      </c>
      <c r="J1157" s="26">
        <v>1</v>
      </c>
      <c r="K1157" s="10">
        <f t="shared" si="121"/>
        <v>8.2208000000000003E-2</v>
      </c>
      <c r="L1157" s="4"/>
      <c r="M1157" s="17"/>
      <c r="N1157" s="18">
        <f t="shared" si="122"/>
        <v>0</v>
      </c>
      <c r="O1157" s="19">
        <f t="shared" si="123"/>
        <v>1</v>
      </c>
      <c r="P1157" s="13">
        <f t="shared" si="124"/>
        <v>8.2208000000000003E-2</v>
      </c>
      <c r="Q1157" s="9"/>
      <c r="R1157" s="2"/>
      <c r="S1157" s="2"/>
    </row>
    <row r="1158" spans="1:19">
      <c r="A1158" s="42" t="s">
        <v>84</v>
      </c>
      <c r="B1158" s="3" t="s">
        <v>124</v>
      </c>
      <c r="C1158" s="3">
        <v>1</v>
      </c>
      <c r="D1158" s="1"/>
      <c r="E1158" s="20" t="s">
        <v>75</v>
      </c>
      <c r="F1158" s="7" t="s">
        <v>15</v>
      </c>
      <c r="G1158" s="7" t="s">
        <v>25</v>
      </c>
      <c r="H1158" s="11">
        <v>7.34</v>
      </c>
      <c r="I1158" s="8">
        <v>9.5</v>
      </c>
      <c r="J1158" s="26">
        <v>3</v>
      </c>
      <c r="K1158" s="10">
        <f t="shared" si="121"/>
        <v>0.20918999999999999</v>
      </c>
      <c r="L1158" s="4"/>
      <c r="M1158" s="17"/>
      <c r="N1158" s="18">
        <f t="shared" si="122"/>
        <v>0</v>
      </c>
      <c r="O1158" s="19">
        <f t="shared" si="123"/>
        <v>3</v>
      </c>
      <c r="P1158" s="13">
        <f t="shared" si="124"/>
        <v>0.20918999999999999</v>
      </c>
      <c r="Q1158" s="9"/>
      <c r="R1158" s="2"/>
      <c r="S1158" s="2"/>
    </row>
    <row r="1159" spans="1:19">
      <c r="A1159" s="42" t="s">
        <v>84</v>
      </c>
      <c r="B1159" s="3" t="s">
        <v>124</v>
      </c>
      <c r="C1159" s="3">
        <v>2</v>
      </c>
      <c r="D1159" s="1"/>
      <c r="E1159" s="20" t="s">
        <v>75</v>
      </c>
      <c r="F1159" s="7" t="s">
        <v>15</v>
      </c>
      <c r="G1159" s="7" t="s">
        <v>25</v>
      </c>
      <c r="H1159" s="11">
        <v>7.34</v>
      </c>
      <c r="I1159" s="8">
        <v>11.7</v>
      </c>
      <c r="J1159" s="26">
        <v>11</v>
      </c>
      <c r="K1159" s="10">
        <f t="shared" si="121"/>
        <v>0.944658</v>
      </c>
      <c r="L1159" s="4"/>
      <c r="M1159" s="17">
        <v>11</v>
      </c>
      <c r="N1159" s="18">
        <f t="shared" si="122"/>
        <v>0.94465799999999989</v>
      </c>
      <c r="O1159" s="19">
        <f t="shared" si="123"/>
        <v>0</v>
      </c>
      <c r="P1159" s="13">
        <f t="shared" si="124"/>
        <v>0</v>
      </c>
      <c r="Q1159" s="9"/>
      <c r="R1159" s="2"/>
      <c r="S1159" s="2"/>
    </row>
    <row r="1160" spans="1:19">
      <c r="A1160" s="42" t="s">
        <v>84</v>
      </c>
      <c r="B1160" s="3" t="s">
        <v>124</v>
      </c>
      <c r="C1160" s="3">
        <v>2</v>
      </c>
      <c r="D1160" s="1"/>
      <c r="E1160" s="20" t="s">
        <v>75</v>
      </c>
      <c r="F1160" s="7" t="s">
        <v>15</v>
      </c>
      <c r="G1160" s="7" t="s">
        <v>25</v>
      </c>
      <c r="H1160" s="11">
        <v>7.34</v>
      </c>
      <c r="I1160" s="8">
        <v>11.8</v>
      </c>
      <c r="J1160" s="26">
        <v>9</v>
      </c>
      <c r="K1160" s="10">
        <f t="shared" si="121"/>
        <v>0.77950800000000009</v>
      </c>
      <c r="L1160" s="4"/>
      <c r="M1160" s="17">
        <v>3</v>
      </c>
      <c r="N1160" s="18">
        <f t="shared" si="122"/>
        <v>0.25983600000000001</v>
      </c>
      <c r="O1160" s="19">
        <f t="shared" si="123"/>
        <v>6</v>
      </c>
      <c r="P1160" s="13">
        <f t="shared" si="124"/>
        <v>0.51967200000000002</v>
      </c>
      <c r="Q1160" s="9">
        <v>11</v>
      </c>
      <c r="R1160" s="35">
        <v>3</v>
      </c>
      <c r="S1160" s="32" t="s">
        <v>692</v>
      </c>
    </row>
    <row r="1161" spans="1:19">
      <c r="A1161" s="42" t="s">
        <v>84</v>
      </c>
      <c r="B1161" s="3" t="s">
        <v>124</v>
      </c>
      <c r="C1161" s="3">
        <v>2</v>
      </c>
      <c r="D1161" s="1"/>
      <c r="E1161" s="20" t="s">
        <v>75</v>
      </c>
      <c r="F1161" s="7" t="s">
        <v>15</v>
      </c>
      <c r="G1161" s="7" t="s">
        <v>25</v>
      </c>
      <c r="H1161" s="11">
        <v>7.34</v>
      </c>
      <c r="I1161" s="8">
        <v>11</v>
      </c>
      <c r="J1161" s="26">
        <v>5</v>
      </c>
      <c r="K1161" s="10">
        <f t="shared" si="121"/>
        <v>0.4037</v>
      </c>
      <c r="L1161" s="4"/>
      <c r="M1161" s="17">
        <v>5</v>
      </c>
      <c r="N1161" s="18">
        <f t="shared" si="122"/>
        <v>0.4037</v>
      </c>
      <c r="O1161" s="19">
        <f t="shared" si="123"/>
        <v>0</v>
      </c>
      <c r="P1161" s="13">
        <f t="shared" si="124"/>
        <v>0</v>
      </c>
      <c r="Q1161" s="9"/>
      <c r="R1161" s="2"/>
      <c r="S1161" s="2"/>
    </row>
    <row r="1162" spans="1:19">
      <c r="A1162" s="42" t="s">
        <v>84</v>
      </c>
      <c r="B1162" s="3" t="s">
        <v>124</v>
      </c>
      <c r="C1162" s="3">
        <v>2</v>
      </c>
      <c r="D1162" s="1"/>
      <c r="E1162" s="20" t="s">
        <v>75</v>
      </c>
      <c r="F1162" s="7" t="s">
        <v>15</v>
      </c>
      <c r="G1162" s="7" t="s">
        <v>25</v>
      </c>
      <c r="H1162" s="11">
        <v>7.34</v>
      </c>
      <c r="I1162" s="8">
        <v>11.3</v>
      </c>
      <c r="J1162" s="26">
        <v>5</v>
      </c>
      <c r="K1162" s="10">
        <f t="shared" si="121"/>
        <v>0.41471000000000002</v>
      </c>
      <c r="L1162" s="4"/>
      <c r="M1162" s="17">
        <v>5</v>
      </c>
      <c r="N1162" s="18">
        <f t="shared" si="122"/>
        <v>0.41470999999999997</v>
      </c>
      <c r="O1162" s="19">
        <f t="shared" si="123"/>
        <v>0</v>
      </c>
      <c r="P1162" s="13">
        <f t="shared" si="124"/>
        <v>0</v>
      </c>
      <c r="Q1162" s="9"/>
      <c r="R1162" s="2"/>
      <c r="S1162" s="2"/>
    </row>
    <row r="1163" spans="1:19">
      <c r="A1163" s="42" t="s">
        <v>84</v>
      </c>
      <c r="B1163" s="3" t="s">
        <v>124</v>
      </c>
      <c r="C1163" s="3">
        <v>3</v>
      </c>
      <c r="D1163" s="1"/>
      <c r="E1163" s="20" t="s">
        <v>75</v>
      </c>
      <c r="F1163" s="7" t="s">
        <v>15</v>
      </c>
      <c r="G1163" s="7" t="s">
        <v>25</v>
      </c>
      <c r="H1163" s="11">
        <v>7.34</v>
      </c>
      <c r="I1163" s="8">
        <v>12</v>
      </c>
      <c r="J1163" s="26">
        <v>35</v>
      </c>
      <c r="K1163" s="10">
        <f t="shared" si="121"/>
        <v>3.0827999999999998</v>
      </c>
      <c r="L1163" s="4"/>
      <c r="M1163" s="17">
        <v>35</v>
      </c>
      <c r="N1163" s="18">
        <f t="shared" si="122"/>
        <v>3.0827999999999998</v>
      </c>
      <c r="O1163" s="19">
        <f t="shared" si="123"/>
        <v>0</v>
      </c>
      <c r="P1163" s="13">
        <f t="shared" si="124"/>
        <v>0</v>
      </c>
      <c r="Q1163" s="9"/>
      <c r="R1163" s="2"/>
      <c r="S1163" s="2"/>
    </row>
    <row r="1164" spans="1:19">
      <c r="A1164" s="42" t="s">
        <v>84</v>
      </c>
      <c r="B1164" s="3" t="s">
        <v>124</v>
      </c>
      <c r="C1164" s="3">
        <v>4</v>
      </c>
      <c r="D1164" s="1"/>
      <c r="E1164" s="20" t="s">
        <v>75</v>
      </c>
      <c r="F1164" s="7" t="s">
        <v>15</v>
      </c>
      <c r="G1164" s="7" t="s">
        <v>25</v>
      </c>
      <c r="H1164" s="11">
        <v>7.34</v>
      </c>
      <c r="I1164" s="8">
        <v>10</v>
      </c>
      <c r="J1164" s="26">
        <v>38</v>
      </c>
      <c r="K1164" s="10">
        <f t="shared" si="121"/>
        <v>2.7892000000000001</v>
      </c>
      <c r="L1164" s="4"/>
      <c r="M1164" s="17">
        <v>38</v>
      </c>
      <c r="N1164" s="18">
        <f t="shared" si="122"/>
        <v>2.7891999999999997</v>
      </c>
      <c r="O1164" s="19">
        <f t="shared" si="123"/>
        <v>0</v>
      </c>
      <c r="P1164" s="13">
        <f t="shared" si="124"/>
        <v>0</v>
      </c>
      <c r="Q1164" s="9"/>
      <c r="R1164" s="2"/>
      <c r="S1164" s="2"/>
    </row>
    <row r="1165" spans="1:19">
      <c r="A1165" s="42" t="s">
        <v>84</v>
      </c>
      <c r="B1165" s="3" t="s">
        <v>124</v>
      </c>
      <c r="C1165" s="3">
        <v>5</v>
      </c>
      <c r="D1165" s="1"/>
      <c r="E1165" s="20" t="s">
        <v>75</v>
      </c>
      <c r="F1165" s="7" t="s">
        <v>15</v>
      </c>
      <c r="G1165" s="7" t="s">
        <v>25</v>
      </c>
      <c r="H1165" s="11">
        <v>7.34</v>
      </c>
      <c r="I1165" s="8">
        <v>10.5</v>
      </c>
      <c r="J1165" s="26">
        <v>12</v>
      </c>
      <c r="K1165" s="10">
        <f t="shared" si="121"/>
        <v>0.92483999999999988</v>
      </c>
      <c r="L1165" s="4"/>
      <c r="M1165" s="17">
        <v>12</v>
      </c>
      <c r="N1165" s="18">
        <f t="shared" si="122"/>
        <v>0.92484</v>
      </c>
      <c r="O1165" s="19">
        <f t="shared" si="123"/>
        <v>0</v>
      </c>
      <c r="P1165" s="13">
        <f t="shared" si="124"/>
        <v>0</v>
      </c>
      <c r="Q1165" s="9"/>
      <c r="R1165" s="2"/>
      <c r="S1165" s="2"/>
    </row>
    <row r="1166" spans="1:19">
      <c r="A1166" s="42" t="s">
        <v>84</v>
      </c>
      <c r="B1166" s="3" t="s">
        <v>124</v>
      </c>
      <c r="C1166" s="3">
        <v>6</v>
      </c>
      <c r="D1166" s="1"/>
      <c r="E1166" s="20" t="s">
        <v>75</v>
      </c>
      <c r="F1166" s="7" t="s">
        <v>15</v>
      </c>
      <c r="G1166" s="7" t="s">
        <v>25</v>
      </c>
      <c r="H1166" s="11">
        <v>7.34</v>
      </c>
      <c r="I1166" s="8">
        <v>12</v>
      </c>
      <c r="J1166" s="26">
        <v>34</v>
      </c>
      <c r="K1166" s="10">
        <f t="shared" si="121"/>
        <v>2.9947199999999996</v>
      </c>
      <c r="L1166" s="4"/>
      <c r="M1166" s="17">
        <v>34</v>
      </c>
      <c r="N1166" s="18">
        <f t="shared" si="122"/>
        <v>2.9947199999999996</v>
      </c>
      <c r="O1166" s="19">
        <f t="shared" si="123"/>
        <v>0</v>
      </c>
      <c r="P1166" s="13">
        <f t="shared" si="124"/>
        <v>0</v>
      </c>
      <c r="Q1166" s="9"/>
      <c r="R1166" s="2"/>
      <c r="S1166" s="2"/>
    </row>
    <row r="1167" spans="1:19">
      <c r="A1167" s="42" t="s">
        <v>84</v>
      </c>
      <c r="B1167" s="3" t="s">
        <v>124</v>
      </c>
      <c r="C1167" s="3">
        <v>7</v>
      </c>
      <c r="D1167" s="1"/>
      <c r="E1167" s="20" t="s">
        <v>75</v>
      </c>
      <c r="F1167" s="7" t="s">
        <v>15</v>
      </c>
      <c r="G1167" s="7" t="s">
        <v>25</v>
      </c>
      <c r="H1167" s="11">
        <v>7.34</v>
      </c>
      <c r="I1167" s="8">
        <v>11.5</v>
      </c>
      <c r="J1167" s="26">
        <v>39</v>
      </c>
      <c r="K1167" s="10">
        <f t="shared" si="121"/>
        <v>3.2919899999999997</v>
      </c>
      <c r="L1167" s="4"/>
      <c r="M1167" s="17">
        <v>39</v>
      </c>
      <c r="N1167" s="18">
        <f t="shared" si="122"/>
        <v>3.2919899999999997</v>
      </c>
      <c r="O1167" s="19">
        <f t="shared" si="123"/>
        <v>0</v>
      </c>
      <c r="P1167" s="13">
        <f t="shared" si="124"/>
        <v>0</v>
      </c>
      <c r="Q1167" s="9"/>
      <c r="R1167" s="2"/>
      <c r="S1167" s="2"/>
    </row>
    <row r="1168" spans="1:19">
      <c r="A1168" s="42" t="s">
        <v>84</v>
      </c>
      <c r="B1168" s="3" t="s">
        <v>124</v>
      </c>
      <c r="C1168" s="3">
        <v>8</v>
      </c>
      <c r="D1168" s="1"/>
      <c r="E1168" s="20" t="s">
        <v>75</v>
      </c>
      <c r="F1168" s="7" t="s">
        <v>15</v>
      </c>
      <c r="G1168" s="7" t="s">
        <v>25</v>
      </c>
      <c r="H1168" s="11">
        <v>7.34</v>
      </c>
      <c r="I1168" s="8">
        <v>10</v>
      </c>
      <c r="J1168" s="26">
        <v>40</v>
      </c>
      <c r="K1168" s="10">
        <f t="shared" si="121"/>
        <v>2.9359999999999999</v>
      </c>
      <c r="L1168" s="4"/>
      <c r="M1168" s="17">
        <v>40</v>
      </c>
      <c r="N1168" s="18">
        <f t="shared" si="122"/>
        <v>2.9359999999999999</v>
      </c>
      <c r="O1168" s="19">
        <f t="shared" si="123"/>
        <v>0</v>
      </c>
      <c r="P1168" s="13">
        <f t="shared" si="124"/>
        <v>0</v>
      </c>
      <c r="Q1168" s="9"/>
      <c r="R1168" s="2"/>
      <c r="S1168" s="2"/>
    </row>
    <row r="1169" spans="1:19">
      <c r="A1169" s="42" t="s">
        <v>84</v>
      </c>
      <c r="B1169" s="3" t="s">
        <v>124</v>
      </c>
      <c r="C1169" s="3">
        <v>9</v>
      </c>
      <c r="D1169" s="1"/>
      <c r="E1169" s="20" t="s">
        <v>75</v>
      </c>
      <c r="F1169" s="7" t="s">
        <v>15</v>
      </c>
      <c r="G1169" s="7" t="s">
        <v>25</v>
      </c>
      <c r="H1169" s="11">
        <v>7.34</v>
      </c>
      <c r="I1169" s="8">
        <v>10.5</v>
      </c>
      <c r="J1169" s="26">
        <v>39</v>
      </c>
      <c r="K1169" s="10">
        <f t="shared" si="121"/>
        <v>3.0057299999999993</v>
      </c>
      <c r="L1169" s="4"/>
      <c r="M1169" s="17">
        <v>39</v>
      </c>
      <c r="N1169" s="18">
        <f t="shared" si="122"/>
        <v>3.0057300000000002</v>
      </c>
      <c r="O1169" s="19">
        <f t="shared" si="123"/>
        <v>0</v>
      </c>
      <c r="P1169" s="13">
        <f t="shared" si="124"/>
        <v>0</v>
      </c>
      <c r="Q1169" s="9"/>
      <c r="R1169" s="2"/>
      <c r="S1169" s="2"/>
    </row>
    <row r="1170" spans="1:19">
      <c r="A1170" s="42" t="s">
        <v>84</v>
      </c>
      <c r="B1170" s="3" t="s">
        <v>124</v>
      </c>
      <c r="C1170" s="3">
        <v>10</v>
      </c>
      <c r="D1170" s="1"/>
      <c r="E1170" s="20" t="s">
        <v>75</v>
      </c>
      <c r="F1170" s="7" t="s">
        <v>15</v>
      </c>
      <c r="G1170" s="7" t="s">
        <v>25</v>
      </c>
      <c r="H1170" s="11">
        <v>7.34</v>
      </c>
      <c r="I1170" s="8">
        <v>10.5</v>
      </c>
      <c r="J1170" s="26">
        <v>39</v>
      </c>
      <c r="K1170" s="10">
        <f t="shared" si="121"/>
        <v>3.0057299999999993</v>
      </c>
      <c r="L1170" s="4"/>
      <c r="M1170" s="17">
        <v>39</v>
      </c>
      <c r="N1170" s="18">
        <f t="shared" si="122"/>
        <v>3.0057300000000002</v>
      </c>
      <c r="O1170" s="19">
        <f t="shared" si="123"/>
        <v>0</v>
      </c>
      <c r="P1170" s="13">
        <f t="shared" si="124"/>
        <v>0</v>
      </c>
      <c r="Q1170" s="9"/>
      <c r="R1170" s="2"/>
      <c r="S1170" s="2"/>
    </row>
    <row r="1171" spans="1:19">
      <c r="A1171" s="42" t="s">
        <v>84</v>
      </c>
      <c r="B1171" s="3" t="s">
        <v>124</v>
      </c>
      <c r="C1171" s="3">
        <v>11</v>
      </c>
      <c r="D1171" s="1"/>
      <c r="E1171" s="20" t="s">
        <v>75</v>
      </c>
      <c r="F1171" s="7" t="s">
        <v>15</v>
      </c>
      <c r="G1171" s="7" t="s">
        <v>25</v>
      </c>
      <c r="H1171" s="11">
        <v>7.34</v>
      </c>
      <c r="I1171" s="8">
        <v>11</v>
      </c>
      <c r="J1171" s="26">
        <v>39</v>
      </c>
      <c r="K1171" s="10">
        <f t="shared" si="121"/>
        <v>3.1488599999999995</v>
      </c>
      <c r="L1171" s="4"/>
      <c r="M1171" s="17">
        <v>39</v>
      </c>
      <c r="N1171" s="18">
        <f t="shared" si="122"/>
        <v>3.14886</v>
      </c>
      <c r="O1171" s="19">
        <f t="shared" si="123"/>
        <v>0</v>
      </c>
      <c r="P1171" s="13">
        <f t="shared" si="124"/>
        <v>0</v>
      </c>
      <c r="Q1171" s="9"/>
      <c r="R1171" s="2"/>
      <c r="S1171" s="2"/>
    </row>
    <row r="1172" spans="1:19">
      <c r="A1172" s="42" t="s">
        <v>84</v>
      </c>
      <c r="B1172" s="3" t="s">
        <v>124</v>
      </c>
      <c r="C1172" s="3">
        <v>12</v>
      </c>
      <c r="D1172" s="1"/>
      <c r="E1172" s="20" t="s">
        <v>75</v>
      </c>
      <c r="F1172" s="7" t="s">
        <v>15</v>
      </c>
      <c r="G1172" s="7" t="s">
        <v>25</v>
      </c>
      <c r="H1172" s="11">
        <v>7.34</v>
      </c>
      <c r="I1172" s="8">
        <v>12</v>
      </c>
      <c r="J1172" s="26">
        <v>36</v>
      </c>
      <c r="K1172" s="10">
        <f t="shared" si="121"/>
        <v>3.1708799999999999</v>
      </c>
      <c r="L1172" s="4"/>
      <c r="M1172" s="17">
        <v>36</v>
      </c>
      <c r="N1172" s="18">
        <f t="shared" si="122"/>
        <v>3.1708799999999999</v>
      </c>
      <c r="O1172" s="19">
        <f t="shared" si="123"/>
        <v>0</v>
      </c>
      <c r="P1172" s="13">
        <f t="shared" si="124"/>
        <v>0</v>
      </c>
      <c r="Q1172" s="9"/>
      <c r="R1172" s="2"/>
      <c r="S1172" s="2"/>
    </row>
    <row r="1173" spans="1:19">
      <c r="A1173" s="42" t="s">
        <v>84</v>
      </c>
      <c r="B1173" s="3" t="s">
        <v>124</v>
      </c>
      <c r="C1173" s="3">
        <v>13</v>
      </c>
      <c r="D1173" s="1"/>
      <c r="E1173" s="20" t="s">
        <v>75</v>
      </c>
      <c r="F1173" s="7" t="s">
        <v>15</v>
      </c>
      <c r="G1173" s="7" t="s">
        <v>25</v>
      </c>
      <c r="H1173" s="11">
        <v>7.34</v>
      </c>
      <c r="I1173" s="8">
        <v>10.5</v>
      </c>
      <c r="J1173" s="26">
        <v>39</v>
      </c>
      <c r="K1173" s="10">
        <f t="shared" si="121"/>
        <v>3.0057299999999993</v>
      </c>
      <c r="L1173" s="4"/>
      <c r="M1173" s="17">
        <v>39</v>
      </c>
      <c r="N1173" s="18">
        <f t="shared" si="122"/>
        <v>3.0057300000000002</v>
      </c>
      <c r="O1173" s="19">
        <f t="shared" si="123"/>
        <v>0</v>
      </c>
      <c r="P1173" s="13">
        <f t="shared" si="124"/>
        <v>0</v>
      </c>
      <c r="Q1173" s="9"/>
      <c r="R1173" s="2"/>
      <c r="S1173" s="2"/>
    </row>
    <row r="1174" spans="1:19">
      <c r="A1174" s="42" t="s">
        <v>84</v>
      </c>
      <c r="B1174" s="3" t="s">
        <v>124</v>
      </c>
      <c r="C1174" s="3">
        <v>14</v>
      </c>
      <c r="D1174" s="1"/>
      <c r="E1174" s="20" t="s">
        <v>75</v>
      </c>
      <c r="F1174" s="7" t="s">
        <v>15</v>
      </c>
      <c r="G1174" s="7" t="s">
        <v>25</v>
      </c>
      <c r="H1174" s="11">
        <v>7.34</v>
      </c>
      <c r="I1174" s="8">
        <v>10.5</v>
      </c>
      <c r="J1174" s="26">
        <v>39</v>
      </c>
      <c r="K1174" s="10">
        <f t="shared" si="121"/>
        <v>3.0057299999999993</v>
      </c>
      <c r="L1174" s="4"/>
      <c r="M1174" s="17">
        <v>39</v>
      </c>
      <c r="N1174" s="18">
        <f t="shared" si="122"/>
        <v>3.0057300000000002</v>
      </c>
      <c r="O1174" s="19">
        <f t="shared" si="123"/>
        <v>0</v>
      </c>
      <c r="P1174" s="13">
        <f t="shared" si="124"/>
        <v>0</v>
      </c>
      <c r="Q1174" s="9"/>
      <c r="R1174" s="2"/>
      <c r="S1174" s="2"/>
    </row>
    <row r="1175" spans="1:19">
      <c r="A1175" s="42" t="s">
        <v>84</v>
      </c>
      <c r="B1175" s="3" t="s">
        <v>124</v>
      </c>
      <c r="C1175" s="3">
        <v>15</v>
      </c>
      <c r="D1175" s="1"/>
      <c r="E1175" s="20" t="s">
        <v>75</v>
      </c>
      <c r="F1175" s="7" t="s">
        <v>15</v>
      </c>
      <c r="G1175" s="7" t="s">
        <v>25</v>
      </c>
      <c r="H1175" s="11">
        <v>7.34</v>
      </c>
      <c r="I1175" s="8">
        <v>12</v>
      </c>
      <c r="J1175" s="26">
        <v>36</v>
      </c>
      <c r="K1175" s="10">
        <f t="shared" si="121"/>
        <v>3.1708799999999999</v>
      </c>
      <c r="L1175" s="4"/>
      <c r="M1175" s="17">
        <v>36</v>
      </c>
      <c r="N1175" s="18">
        <f t="shared" si="122"/>
        <v>3.1708799999999999</v>
      </c>
      <c r="O1175" s="19">
        <f t="shared" si="123"/>
        <v>0</v>
      </c>
      <c r="P1175" s="13">
        <f t="shared" si="124"/>
        <v>0</v>
      </c>
      <c r="Q1175" s="9"/>
      <c r="R1175" s="2"/>
      <c r="S1175" s="2"/>
    </row>
    <row r="1176" spans="1:19">
      <c r="A1176" s="42" t="s">
        <v>84</v>
      </c>
      <c r="B1176" s="3" t="s">
        <v>124</v>
      </c>
      <c r="C1176" s="3">
        <v>16</v>
      </c>
      <c r="D1176" s="1"/>
      <c r="E1176" s="20" t="s">
        <v>75</v>
      </c>
      <c r="F1176" s="7" t="s">
        <v>15</v>
      </c>
      <c r="G1176" s="7" t="s">
        <v>25</v>
      </c>
      <c r="H1176" s="11">
        <v>7.34</v>
      </c>
      <c r="I1176" s="8">
        <v>10.5</v>
      </c>
      <c r="J1176" s="26">
        <v>38</v>
      </c>
      <c r="K1176" s="10">
        <f t="shared" si="121"/>
        <v>2.9286599999999998</v>
      </c>
      <c r="L1176" s="4"/>
      <c r="M1176" s="17">
        <v>38</v>
      </c>
      <c r="N1176" s="18">
        <f t="shared" si="122"/>
        <v>2.9286599999999998</v>
      </c>
      <c r="O1176" s="19">
        <f t="shared" si="123"/>
        <v>0</v>
      </c>
      <c r="P1176" s="13">
        <f t="shared" si="124"/>
        <v>0</v>
      </c>
      <c r="Q1176" s="9"/>
      <c r="R1176" s="2"/>
      <c r="S1176" s="2"/>
    </row>
    <row r="1177" spans="1:19">
      <c r="A1177" s="42" t="s">
        <v>84</v>
      </c>
      <c r="B1177" s="3" t="s">
        <v>124</v>
      </c>
      <c r="C1177" s="3">
        <v>17</v>
      </c>
      <c r="D1177" s="1"/>
      <c r="E1177" s="20" t="s">
        <v>75</v>
      </c>
      <c r="F1177" s="7" t="s">
        <v>15</v>
      </c>
      <c r="G1177" s="7" t="s">
        <v>25</v>
      </c>
      <c r="H1177" s="11">
        <v>7.34</v>
      </c>
      <c r="I1177" s="8">
        <v>11</v>
      </c>
      <c r="J1177" s="26">
        <v>39</v>
      </c>
      <c r="K1177" s="10">
        <f t="shared" si="121"/>
        <v>3.1488599999999995</v>
      </c>
      <c r="L1177" s="4"/>
      <c r="M1177" s="17">
        <v>39</v>
      </c>
      <c r="N1177" s="18">
        <f t="shared" si="122"/>
        <v>3.14886</v>
      </c>
      <c r="O1177" s="19">
        <f t="shared" si="123"/>
        <v>0</v>
      </c>
      <c r="P1177" s="13">
        <f t="shared" si="124"/>
        <v>0</v>
      </c>
      <c r="Q1177" s="9"/>
      <c r="R1177" s="2"/>
      <c r="S1177" s="2"/>
    </row>
    <row r="1178" spans="1:19">
      <c r="A1178" s="42" t="s">
        <v>84</v>
      </c>
      <c r="B1178" s="3" t="s">
        <v>124</v>
      </c>
      <c r="C1178" s="3">
        <v>18</v>
      </c>
      <c r="D1178" s="1"/>
      <c r="E1178" s="20" t="s">
        <v>75</v>
      </c>
      <c r="F1178" s="7" t="s">
        <v>15</v>
      </c>
      <c r="G1178" s="7" t="s">
        <v>25</v>
      </c>
      <c r="H1178" s="11">
        <v>7.34</v>
      </c>
      <c r="I1178" s="8">
        <v>10.5</v>
      </c>
      <c r="J1178" s="26">
        <v>39</v>
      </c>
      <c r="K1178" s="10">
        <f t="shared" si="121"/>
        <v>3.0057299999999993</v>
      </c>
      <c r="L1178" s="4"/>
      <c r="M1178" s="17">
        <v>39</v>
      </c>
      <c r="N1178" s="18">
        <f t="shared" si="122"/>
        <v>3.0057300000000002</v>
      </c>
      <c r="O1178" s="19">
        <f t="shared" si="123"/>
        <v>0</v>
      </c>
      <c r="P1178" s="13">
        <f t="shared" si="124"/>
        <v>0</v>
      </c>
      <c r="Q1178" s="9"/>
      <c r="R1178" s="2"/>
      <c r="S1178" s="2"/>
    </row>
    <row r="1179" spans="1:19">
      <c r="A1179" s="42" t="s">
        <v>84</v>
      </c>
      <c r="B1179" s="3" t="s">
        <v>124</v>
      </c>
      <c r="C1179" s="3">
        <v>19</v>
      </c>
      <c r="D1179" s="1"/>
      <c r="E1179" s="20" t="s">
        <v>75</v>
      </c>
      <c r="F1179" s="7" t="s">
        <v>15</v>
      </c>
      <c r="G1179" s="7" t="s">
        <v>25</v>
      </c>
      <c r="H1179" s="11">
        <v>7.34</v>
      </c>
      <c r="I1179" s="8">
        <v>10.5</v>
      </c>
      <c r="J1179" s="26">
        <v>39</v>
      </c>
      <c r="K1179" s="10">
        <f t="shared" si="121"/>
        <v>3.0057299999999993</v>
      </c>
      <c r="L1179" s="4"/>
      <c r="M1179" s="17">
        <v>39</v>
      </c>
      <c r="N1179" s="18">
        <f t="shared" si="122"/>
        <v>3.0057300000000002</v>
      </c>
      <c r="O1179" s="19">
        <f t="shared" si="123"/>
        <v>0</v>
      </c>
      <c r="P1179" s="13">
        <f t="shared" si="124"/>
        <v>0</v>
      </c>
      <c r="Q1179" s="9"/>
      <c r="R1179" s="2"/>
      <c r="S1179" s="2"/>
    </row>
    <row r="1180" spans="1:19">
      <c r="A1180" s="42" t="s">
        <v>84</v>
      </c>
      <c r="B1180" s="3" t="s">
        <v>124</v>
      </c>
      <c r="C1180" s="3">
        <v>20</v>
      </c>
      <c r="D1180" s="1"/>
      <c r="E1180" s="20" t="s">
        <v>75</v>
      </c>
      <c r="F1180" s="7" t="s">
        <v>15</v>
      </c>
      <c r="G1180" s="7" t="s">
        <v>25</v>
      </c>
      <c r="H1180" s="11">
        <v>7.34</v>
      </c>
      <c r="I1180" s="8">
        <v>10.5</v>
      </c>
      <c r="J1180" s="26">
        <v>36</v>
      </c>
      <c r="K1180" s="10">
        <f t="shared" si="121"/>
        <v>2.7745199999999994</v>
      </c>
      <c r="L1180" s="4"/>
      <c r="M1180" s="17">
        <v>36</v>
      </c>
      <c r="N1180" s="18">
        <f t="shared" si="122"/>
        <v>2.7745199999999999</v>
      </c>
      <c r="O1180" s="19">
        <f t="shared" si="123"/>
        <v>0</v>
      </c>
      <c r="P1180" s="13">
        <f t="shared" si="124"/>
        <v>0</v>
      </c>
      <c r="Q1180" s="9"/>
      <c r="R1180" s="2"/>
      <c r="S1180" s="2"/>
    </row>
    <row r="1181" spans="1:19">
      <c r="A1181" s="42" t="s">
        <v>84</v>
      </c>
      <c r="B1181" s="3" t="s">
        <v>124</v>
      </c>
      <c r="C1181" s="3">
        <v>21</v>
      </c>
      <c r="D1181" s="1"/>
      <c r="E1181" s="20" t="s">
        <v>75</v>
      </c>
      <c r="F1181" s="7" t="s">
        <v>15</v>
      </c>
      <c r="G1181" s="7" t="s">
        <v>25</v>
      </c>
      <c r="H1181" s="11">
        <v>7.34</v>
      </c>
      <c r="I1181" s="8">
        <v>11.5</v>
      </c>
      <c r="J1181" s="26">
        <v>36</v>
      </c>
      <c r="K1181" s="10">
        <f t="shared" si="121"/>
        <v>3.0387599999999999</v>
      </c>
      <c r="L1181" s="4"/>
      <c r="M1181" s="17">
        <v>36</v>
      </c>
      <c r="N1181" s="18">
        <f t="shared" si="122"/>
        <v>3.0387599999999999</v>
      </c>
      <c r="O1181" s="19">
        <f t="shared" si="123"/>
        <v>0</v>
      </c>
      <c r="P1181" s="13">
        <f t="shared" si="124"/>
        <v>0</v>
      </c>
      <c r="Q1181" s="9"/>
      <c r="R1181" s="2"/>
      <c r="S1181" s="2"/>
    </row>
    <row r="1182" spans="1:19">
      <c r="A1182" s="42" t="s">
        <v>84</v>
      </c>
      <c r="B1182" s="3" t="s">
        <v>124</v>
      </c>
      <c r="C1182" s="3">
        <v>22</v>
      </c>
      <c r="D1182" s="1"/>
      <c r="E1182" s="20" t="s">
        <v>75</v>
      </c>
      <c r="F1182" s="7" t="s">
        <v>15</v>
      </c>
      <c r="G1182" s="7" t="s">
        <v>25</v>
      </c>
      <c r="H1182" s="11">
        <v>7.34</v>
      </c>
      <c r="I1182" s="8">
        <v>11.5</v>
      </c>
      <c r="J1182" s="26">
        <v>36</v>
      </c>
      <c r="K1182" s="10">
        <f t="shared" si="121"/>
        <v>3.0387599999999999</v>
      </c>
      <c r="L1182" s="4"/>
      <c r="M1182" s="17">
        <v>36</v>
      </c>
      <c r="N1182" s="18">
        <f t="shared" si="122"/>
        <v>3.0387599999999999</v>
      </c>
      <c r="O1182" s="19">
        <f t="shared" si="123"/>
        <v>0</v>
      </c>
      <c r="P1182" s="13">
        <f t="shared" si="124"/>
        <v>0</v>
      </c>
      <c r="Q1182" s="9"/>
      <c r="R1182" s="2"/>
      <c r="S1182" s="2"/>
    </row>
    <row r="1183" spans="1:19">
      <c r="A1183" s="42" t="s">
        <v>84</v>
      </c>
      <c r="B1183" s="3" t="s">
        <v>124</v>
      </c>
      <c r="C1183" s="3">
        <v>23</v>
      </c>
      <c r="D1183" s="1"/>
      <c r="E1183" s="20" t="s">
        <v>75</v>
      </c>
      <c r="F1183" s="7" t="s">
        <v>15</v>
      </c>
      <c r="G1183" s="7" t="s">
        <v>25</v>
      </c>
      <c r="H1183" s="11">
        <v>7.34</v>
      </c>
      <c r="I1183" s="8">
        <v>11.5</v>
      </c>
      <c r="J1183" s="26">
        <v>36</v>
      </c>
      <c r="K1183" s="10">
        <f t="shared" si="121"/>
        <v>3.0387599999999999</v>
      </c>
      <c r="L1183" s="4"/>
      <c r="M1183" s="17">
        <v>36</v>
      </c>
      <c r="N1183" s="18">
        <f t="shared" si="122"/>
        <v>3.0387599999999999</v>
      </c>
      <c r="O1183" s="19">
        <f t="shared" si="123"/>
        <v>0</v>
      </c>
      <c r="P1183" s="13">
        <f t="shared" si="124"/>
        <v>0</v>
      </c>
      <c r="Q1183" s="9"/>
      <c r="R1183" s="2"/>
      <c r="S1183" s="2"/>
    </row>
    <row r="1184" spans="1:19">
      <c r="A1184" s="42" t="s">
        <v>84</v>
      </c>
      <c r="B1184" s="3" t="s">
        <v>124</v>
      </c>
      <c r="C1184" s="3">
        <v>1</v>
      </c>
      <c r="D1184" s="1"/>
      <c r="E1184" s="20" t="s">
        <v>76</v>
      </c>
      <c r="F1184" s="7" t="s">
        <v>15</v>
      </c>
      <c r="G1184" s="7" t="s">
        <v>48</v>
      </c>
      <c r="H1184" s="11">
        <v>23.6</v>
      </c>
      <c r="I1184" s="8">
        <v>11.3</v>
      </c>
      <c r="J1184" s="26">
        <v>11</v>
      </c>
      <c r="K1184" s="10">
        <f t="shared" si="121"/>
        <v>2.9334799999999999</v>
      </c>
      <c r="L1184" s="4"/>
      <c r="M1184" s="17">
        <v>11</v>
      </c>
      <c r="N1184" s="18">
        <f t="shared" si="122"/>
        <v>2.9334800000000003</v>
      </c>
      <c r="O1184" s="19">
        <f t="shared" si="123"/>
        <v>0</v>
      </c>
      <c r="P1184" s="13">
        <f t="shared" si="124"/>
        <v>0</v>
      </c>
      <c r="Q1184" s="9"/>
      <c r="R1184" s="2"/>
      <c r="S1184" s="2"/>
    </row>
    <row r="1185" spans="1:19">
      <c r="A1185" s="42" t="s">
        <v>84</v>
      </c>
      <c r="B1185" s="3" t="s">
        <v>124</v>
      </c>
      <c r="C1185" s="3">
        <v>2</v>
      </c>
      <c r="D1185" s="1"/>
      <c r="E1185" s="20" t="s">
        <v>76</v>
      </c>
      <c r="F1185" s="7" t="s">
        <v>15</v>
      </c>
      <c r="G1185" s="7" t="s">
        <v>48</v>
      </c>
      <c r="H1185" s="11">
        <v>23.6</v>
      </c>
      <c r="I1185" s="8">
        <v>11.3</v>
      </c>
      <c r="J1185" s="26">
        <v>7</v>
      </c>
      <c r="K1185" s="10">
        <f t="shared" si="121"/>
        <v>1.86676</v>
      </c>
      <c r="L1185" s="4"/>
      <c r="M1185" s="17">
        <v>7</v>
      </c>
      <c r="N1185" s="18">
        <f t="shared" si="122"/>
        <v>1.8667600000000002</v>
      </c>
      <c r="O1185" s="19">
        <f t="shared" si="123"/>
        <v>0</v>
      </c>
      <c r="P1185" s="13">
        <f t="shared" si="124"/>
        <v>0</v>
      </c>
      <c r="Q1185" s="9"/>
      <c r="R1185" s="2"/>
      <c r="S1185" s="2"/>
    </row>
    <row r="1186" spans="1:19">
      <c r="A1186" s="42" t="s">
        <v>84</v>
      </c>
      <c r="B1186" s="3" t="s">
        <v>124</v>
      </c>
      <c r="C1186" s="3">
        <v>3</v>
      </c>
      <c r="D1186" s="1"/>
      <c r="E1186" s="20" t="s">
        <v>76</v>
      </c>
      <c r="F1186" s="7" t="s">
        <v>15</v>
      </c>
      <c r="G1186" s="7" t="s">
        <v>48</v>
      </c>
      <c r="H1186" s="11">
        <v>23.6</v>
      </c>
      <c r="I1186" s="8">
        <v>11.65</v>
      </c>
      <c r="J1186" s="26">
        <v>8</v>
      </c>
      <c r="K1186" s="10">
        <f t="shared" si="121"/>
        <v>2.1995200000000001</v>
      </c>
      <c r="L1186" s="4"/>
      <c r="M1186" s="17">
        <v>8</v>
      </c>
      <c r="N1186" s="18">
        <f t="shared" si="122"/>
        <v>2.1995200000000001</v>
      </c>
      <c r="O1186" s="19">
        <f t="shared" si="123"/>
        <v>0</v>
      </c>
      <c r="P1186" s="13">
        <f t="shared" si="124"/>
        <v>0</v>
      </c>
      <c r="Q1186" s="9"/>
      <c r="R1186" s="2"/>
      <c r="S1186" s="2"/>
    </row>
    <row r="1187" spans="1:19">
      <c r="A1187" s="42" t="s">
        <v>84</v>
      </c>
      <c r="B1187" s="3" t="s">
        <v>124</v>
      </c>
      <c r="C1187" s="3">
        <v>4</v>
      </c>
      <c r="D1187" s="1"/>
      <c r="E1187" s="20" t="s">
        <v>76</v>
      </c>
      <c r="F1187" s="7" t="s">
        <v>15</v>
      </c>
      <c r="G1187" s="7" t="s">
        <v>48</v>
      </c>
      <c r="H1187" s="11">
        <v>23.6</v>
      </c>
      <c r="I1187" s="8">
        <v>11.65</v>
      </c>
      <c r="J1187" s="26">
        <v>11</v>
      </c>
      <c r="K1187" s="10">
        <f t="shared" si="121"/>
        <v>3.02434</v>
      </c>
      <c r="L1187" s="4"/>
      <c r="M1187" s="17">
        <v>11</v>
      </c>
      <c r="N1187" s="18">
        <f t="shared" si="122"/>
        <v>3.02434</v>
      </c>
      <c r="O1187" s="19">
        <f t="shared" si="123"/>
        <v>0</v>
      </c>
      <c r="P1187" s="13">
        <f t="shared" si="124"/>
        <v>0</v>
      </c>
      <c r="Q1187" s="9"/>
      <c r="R1187" s="2"/>
      <c r="S1187" s="2"/>
    </row>
    <row r="1188" spans="1:19">
      <c r="A1188" s="42" t="s">
        <v>84</v>
      </c>
      <c r="B1188" s="3" t="s">
        <v>124</v>
      </c>
      <c r="C1188" s="3">
        <v>5</v>
      </c>
      <c r="D1188" s="1"/>
      <c r="E1188" s="20" t="s">
        <v>76</v>
      </c>
      <c r="F1188" s="7" t="s">
        <v>15</v>
      </c>
      <c r="G1188" s="7" t="s">
        <v>48</v>
      </c>
      <c r="H1188" s="11">
        <v>23.6</v>
      </c>
      <c r="I1188" s="8">
        <v>11.65</v>
      </c>
      <c r="J1188" s="26">
        <v>11</v>
      </c>
      <c r="K1188" s="10">
        <f t="shared" si="121"/>
        <v>3.02434</v>
      </c>
      <c r="L1188" s="4"/>
      <c r="M1188" s="17">
        <v>11</v>
      </c>
      <c r="N1188" s="18">
        <f t="shared" si="122"/>
        <v>3.02434</v>
      </c>
      <c r="O1188" s="19">
        <f t="shared" si="123"/>
        <v>0</v>
      </c>
      <c r="P1188" s="13">
        <f t="shared" si="124"/>
        <v>0</v>
      </c>
      <c r="Q1188" s="9"/>
      <c r="R1188" s="2"/>
      <c r="S1188" s="2"/>
    </row>
    <row r="1189" spans="1:19">
      <c r="A1189" s="42" t="s">
        <v>84</v>
      </c>
      <c r="B1189" s="3" t="s">
        <v>124</v>
      </c>
      <c r="C1189" s="3">
        <v>6</v>
      </c>
      <c r="D1189" s="1"/>
      <c r="E1189" s="20" t="s">
        <v>76</v>
      </c>
      <c r="F1189" s="7" t="s">
        <v>15</v>
      </c>
      <c r="G1189" s="7" t="s">
        <v>48</v>
      </c>
      <c r="H1189" s="11">
        <v>23.6</v>
      </c>
      <c r="I1189" s="8">
        <v>11.65</v>
      </c>
      <c r="J1189" s="26">
        <v>11</v>
      </c>
      <c r="K1189" s="10">
        <f t="shared" si="121"/>
        <v>3.02434</v>
      </c>
      <c r="L1189" s="4"/>
      <c r="M1189" s="17">
        <v>11</v>
      </c>
      <c r="N1189" s="18">
        <f t="shared" si="122"/>
        <v>3.02434</v>
      </c>
      <c r="O1189" s="19">
        <f t="shared" si="123"/>
        <v>0</v>
      </c>
      <c r="P1189" s="13">
        <f t="shared" si="124"/>
        <v>0</v>
      </c>
      <c r="Q1189" s="9"/>
      <c r="R1189" s="2"/>
      <c r="S1189" s="2"/>
    </row>
    <row r="1190" spans="1:19">
      <c r="A1190" s="42" t="s">
        <v>84</v>
      </c>
      <c r="B1190" s="3" t="s">
        <v>124</v>
      </c>
      <c r="C1190" s="3">
        <v>7</v>
      </c>
      <c r="D1190" s="1"/>
      <c r="E1190" s="20" t="s">
        <v>76</v>
      </c>
      <c r="F1190" s="7" t="s">
        <v>15</v>
      </c>
      <c r="G1190" s="7" t="s">
        <v>48</v>
      </c>
      <c r="H1190" s="11">
        <v>23.6</v>
      </c>
      <c r="I1190" s="8">
        <v>11.65</v>
      </c>
      <c r="J1190" s="26">
        <v>11</v>
      </c>
      <c r="K1190" s="10">
        <f t="shared" si="121"/>
        <v>3.02434</v>
      </c>
      <c r="L1190" s="4"/>
      <c r="M1190" s="17">
        <v>11</v>
      </c>
      <c r="N1190" s="18">
        <f t="shared" si="122"/>
        <v>3.02434</v>
      </c>
      <c r="O1190" s="19">
        <f t="shared" si="123"/>
        <v>0</v>
      </c>
      <c r="P1190" s="13">
        <f t="shared" si="124"/>
        <v>0</v>
      </c>
      <c r="Q1190" s="9"/>
      <c r="R1190" s="2"/>
      <c r="S1190" s="2"/>
    </row>
    <row r="1191" spans="1:19">
      <c r="A1191" s="42" t="s">
        <v>84</v>
      </c>
      <c r="B1191" s="3" t="s">
        <v>124</v>
      </c>
      <c r="C1191" s="3">
        <v>8</v>
      </c>
      <c r="D1191" s="1"/>
      <c r="E1191" s="20" t="s">
        <v>76</v>
      </c>
      <c r="F1191" s="7" t="s">
        <v>15</v>
      </c>
      <c r="G1191" s="7" t="s">
        <v>48</v>
      </c>
      <c r="H1191" s="11">
        <v>23.6</v>
      </c>
      <c r="I1191" s="8">
        <v>11.65</v>
      </c>
      <c r="J1191" s="26">
        <v>11</v>
      </c>
      <c r="K1191" s="10">
        <f t="shared" si="121"/>
        <v>3.02434</v>
      </c>
      <c r="L1191" s="4"/>
      <c r="M1191" s="17">
        <v>11</v>
      </c>
      <c r="N1191" s="18">
        <f t="shared" si="122"/>
        <v>3.02434</v>
      </c>
      <c r="O1191" s="19">
        <f t="shared" si="123"/>
        <v>0</v>
      </c>
      <c r="P1191" s="13">
        <f t="shared" si="124"/>
        <v>0</v>
      </c>
      <c r="Q1191" s="9"/>
      <c r="R1191" s="2"/>
      <c r="S1191" s="2"/>
    </row>
    <row r="1192" spans="1:19">
      <c r="A1192" s="42" t="s">
        <v>84</v>
      </c>
      <c r="B1192" s="3" t="s">
        <v>124</v>
      </c>
      <c r="C1192" s="3">
        <v>9</v>
      </c>
      <c r="D1192" s="1"/>
      <c r="E1192" s="20" t="s">
        <v>76</v>
      </c>
      <c r="F1192" s="7" t="s">
        <v>15</v>
      </c>
      <c r="G1192" s="7" t="s">
        <v>48</v>
      </c>
      <c r="H1192" s="11">
        <v>23.6</v>
      </c>
      <c r="I1192" s="8">
        <v>11.65</v>
      </c>
      <c r="J1192" s="26">
        <v>12</v>
      </c>
      <c r="K1192" s="10">
        <f t="shared" ref="K1192:K1239" si="125">(H1192*I1192*J1192/1000)</f>
        <v>3.2992799999999995</v>
      </c>
      <c r="L1192" s="4"/>
      <c r="M1192" s="17">
        <v>12</v>
      </c>
      <c r="N1192" s="18">
        <f t="shared" ref="N1192:N1239" si="126">I1192*M1192*H1192/1000</f>
        <v>3.2992800000000004</v>
      </c>
      <c r="O1192" s="19">
        <f t="shared" ref="O1192:O1239" si="127">J1192-M1192</f>
        <v>0</v>
      </c>
      <c r="P1192" s="13">
        <f t="shared" ref="P1192:P1239" si="128">I1192*O1192*H1192/1000</f>
        <v>0</v>
      </c>
      <c r="Q1192" s="9"/>
      <c r="R1192" s="2"/>
      <c r="S1192" s="2"/>
    </row>
    <row r="1193" spans="1:19">
      <c r="A1193" s="42" t="s">
        <v>84</v>
      </c>
      <c r="B1193" s="3" t="s">
        <v>124</v>
      </c>
      <c r="C1193" s="3">
        <v>10</v>
      </c>
      <c r="D1193" s="1"/>
      <c r="E1193" s="20" t="s">
        <v>76</v>
      </c>
      <c r="F1193" s="7" t="s">
        <v>15</v>
      </c>
      <c r="G1193" s="7" t="s">
        <v>48</v>
      </c>
      <c r="H1193" s="11">
        <v>23.6</v>
      </c>
      <c r="I1193" s="8">
        <v>11.65</v>
      </c>
      <c r="J1193" s="26">
        <v>11</v>
      </c>
      <c r="K1193" s="10">
        <f t="shared" si="125"/>
        <v>3.02434</v>
      </c>
      <c r="L1193" s="4"/>
      <c r="M1193" s="17">
        <v>11</v>
      </c>
      <c r="N1193" s="18">
        <f t="shared" si="126"/>
        <v>3.02434</v>
      </c>
      <c r="O1193" s="19">
        <f t="shared" si="127"/>
        <v>0</v>
      </c>
      <c r="P1193" s="13">
        <f t="shared" si="128"/>
        <v>0</v>
      </c>
      <c r="Q1193" s="9"/>
      <c r="R1193" s="2"/>
      <c r="S1193" s="2"/>
    </row>
    <row r="1194" spans="1:19">
      <c r="A1194" s="42" t="s">
        <v>84</v>
      </c>
      <c r="B1194" s="3" t="s">
        <v>124</v>
      </c>
      <c r="C1194" s="3">
        <v>11</v>
      </c>
      <c r="D1194" s="1"/>
      <c r="E1194" s="20" t="s">
        <v>76</v>
      </c>
      <c r="F1194" s="7" t="s">
        <v>15</v>
      </c>
      <c r="G1194" s="7" t="s">
        <v>48</v>
      </c>
      <c r="H1194" s="11">
        <v>23.6</v>
      </c>
      <c r="I1194" s="8">
        <v>11.65</v>
      </c>
      <c r="J1194" s="26">
        <v>12</v>
      </c>
      <c r="K1194" s="10">
        <f t="shared" si="125"/>
        <v>3.2992799999999995</v>
      </c>
      <c r="L1194" s="4"/>
      <c r="M1194" s="17">
        <v>12</v>
      </c>
      <c r="N1194" s="18">
        <f t="shared" si="126"/>
        <v>3.2992800000000004</v>
      </c>
      <c r="O1194" s="19">
        <f t="shared" si="127"/>
        <v>0</v>
      </c>
      <c r="P1194" s="13">
        <f t="shared" si="128"/>
        <v>0</v>
      </c>
      <c r="Q1194" s="9"/>
      <c r="R1194" s="2"/>
      <c r="S1194" s="2"/>
    </row>
    <row r="1195" spans="1:19">
      <c r="A1195" s="42" t="s">
        <v>84</v>
      </c>
      <c r="B1195" s="3" t="s">
        <v>124</v>
      </c>
      <c r="C1195" s="3">
        <v>12</v>
      </c>
      <c r="D1195" s="1"/>
      <c r="E1195" s="20" t="s">
        <v>76</v>
      </c>
      <c r="F1195" s="7" t="s">
        <v>15</v>
      </c>
      <c r="G1195" s="7" t="s">
        <v>48</v>
      </c>
      <c r="H1195" s="11">
        <v>23.6</v>
      </c>
      <c r="I1195" s="8">
        <v>11.65</v>
      </c>
      <c r="J1195" s="26">
        <v>11</v>
      </c>
      <c r="K1195" s="10">
        <f t="shared" si="125"/>
        <v>3.02434</v>
      </c>
      <c r="L1195" s="4"/>
      <c r="M1195" s="17">
        <v>11</v>
      </c>
      <c r="N1195" s="18">
        <f t="shared" si="126"/>
        <v>3.02434</v>
      </c>
      <c r="O1195" s="19">
        <f t="shared" si="127"/>
        <v>0</v>
      </c>
      <c r="P1195" s="13">
        <f t="shared" si="128"/>
        <v>0</v>
      </c>
      <c r="Q1195" s="9"/>
      <c r="R1195" s="2"/>
      <c r="S1195" s="2"/>
    </row>
    <row r="1196" spans="1:19">
      <c r="A1196" s="42" t="s">
        <v>84</v>
      </c>
      <c r="B1196" s="3" t="s">
        <v>124</v>
      </c>
      <c r="C1196" s="3">
        <v>13</v>
      </c>
      <c r="D1196" s="1"/>
      <c r="E1196" s="20" t="s">
        <v>76</v>
      </c>
      <c r="F1196" s="7" t="s">
        <v>15</v>
      </c>
      <c r="G1196" s="7" t="s">
        <v>48</v>
      </c>
      <c r="H1196" s="11">
        <v>23.6</v>
      </c>
      <c r="I1196" s="8">
        <v>11.65</v>
      </c>
      <c r="J1196" s="26">
        <v>11</v>
      </c>
      <c r="K1196" s="10">
        <f t="shared" si="125"/>
        <v>3.02434</v>
      </c>
      <c r="L1196" s="4"/>
      <c r="M1196" s="17">
        <v>11</v>
      </c>
      <c r="N1196" s="18">
        <f t="shared" si="126"/>
        <v>3.02434</v>
      </c>
      <c r="O1196" s="19">
        <f t="shared" si="127"/>
        <v>0</v>
      </c>
      <c r="P1196" s="13">
        <f t="shared" si="128"/>
        <v>0</v>
      </c>
      <c r="Q1196" s="9"/>
      <c r="R1196" s="2"/>
      <c r="S1196" s="2"/>
    </row>
    <row r="1197" spans="1:19">
      <c r="A1197" s="42" t="s">
        <v>84</v>
      </c>
      <c r="B1197" s="3" t="s">
        <v>124</v>
      </c>
      <c r="C1197" s="3">
        <v>14</v>
      </c>
      <c r="D1197" s="1"/>
      <c r="E1197" s="20" t="s">
        <v>76</v>
      </c>
      <c r="F1197" s="7" t="s">
        <v>15</v>
      </c>
      <c r="G1197" s="7" t="s">
        <v>48</v>
      </c>
      <c r="H1197" s="11">
        <v>23.6</v>
      </c>
      <c r="I1197" s="8">
        <v>11.65</v>
      </c>
      <c r="J1197" s="26">
        <v>11</v>
      </c>
      <c r="K1197" s="10">
        <f t="shared" si="125"/>
        <v>3.02434</v>
      </c>
      <c r="L1197" s="4"/>
      <c r="M1197" s="17">
        <v>11</v>
      </c>
      <c r="N1197" s="18">
        <f t="shared" si="126"/>
        <v>3.02434</v>
      </c>
      <c r="O1197" s="19">
        <f t="shared" si="127"/>
        <v>0</v>
      </c>
      <c r="P1197" s="13">
        <f t="shared" si="128"/>
        <v>0</v>
      </c>
      <c r="Q1197" s="9"/>
      <c r="R1197" s="2"/>
      <c r="S1197" s="2"/>
    </row>
    <row r="1198" spans="1:19">
      <c r="A1198" s="42" t="s">
        <v>84</v>
      </c>
      <c r="B1198" s="3" t="s">
        <v>124</v>
      </c>
      <c r="C1198" s="3">
        <v>15</v>
      </c>
      <c r="D1198" s="1"/>
      <c r="E1198" s="20" t="s">
        <v>76</v>
      </c>
      <c r="F1198" s="7" t="s">
        <v>15</v>
      </c>
      <c r="G1198" s="7" t="s">
        <v>48</v>
      </c>
      <c r="H1198" s="11">
        <v>23.6</v>
      </c>
      <c r="I1198" s="8">
        <v>11.65</v>
      </c>
      <c r="J1198" s="26">
        <v>12</v>
      </c>
      <c r="K1198" s="10">
        <f t="shared" si="125"/>
        <v>3.2992799999999995</v>
      </c>
      <c r="L1198" s="4"/>
      <c r="M1198" s="17">
        <v>12</v>
      </c>
      <c r="N1198" s="18">
        <f t="shared" si="126"/>
        <v>3.2992800000000004</v>
      </c>
      <c r="O1198" s="19">
        <f t="shared" si="127"/>
        <v>0</v>
      </c>
      <c r="P1198" s="13">
        <f t="shared" si="128"/>
        <v>0</v>
      </c>
      <c r="Q1198" s="9"/>
      <c r="R1198" s="2"/>
      <c r="S1198" s="2"/>
    </row>
    <row r="1199" spans="1:19">
      <c r="A1199" s="42" t="s">
        <v>84</v>
      </c>
      <c r="B1199" s="3" t="s">
        <v>124</v>
      </c>
      <c r="C1199" s="3">
        <v>1</v>
      </c>
      <c r="D1199" s="1"/>
      <c r="E1199" s="20" t="s">
        <v>17</v>
      </c>
      <c r="F1199" s="7" t="s">
        <v>15</v>
      </c>
      <c r="G1199" s="7" t="s">
        <v>30</v>
      </c>
      <c r="H1199" s="11">
        <v>9.26</v>
      </c>
      <c r="I1199" s="184">
        <v>6.8</v>
      </c>
      <c r="J1199" s="26">
        <v>3</v>
      </c>
      <c r="K1199" s="10">
        <f t="shared" si="125"/>
        <v>0.18890399999999999</v>
      </c>
      <c r="L1199" s="4"/>
      <c r="M1199" s="17">
        <v>3</v>
      </c>
      <c r="N1199" s="18">
        <f t="shared" si="126"/>
        <v>0.18890399999999999</v>
      </c>
      <c r="O1199" s="87">
        <f t="shared" si="127"/>
        <v>0</v>
      </c>
      <c r="P1199" s="13">
        <f t="shared" si="128"/>
        <v>0</v>
      </c>
      <c r="Q1199" s="9">
        <v>6.25</v>
      </c>
      <c r="R1199" s="2">
        <v>3</v>
      </c>
      <c r="S1199" s="2" t="s">
        <v>516</v>
      </c>
    </row>
    <row r="1200" spans="1:19">
      <c r="A1200" s="42" t="s">
        <v>84</v>
      </c>
      <c r="B1200" s="3" t="s">
        <v>124</v>
      </c>
      <c r="C1200" s="3">
        <v>2</v>
      </c>
      <c r="D1200" s="1"/>
      <c r="E1200" s="20" t="s">
        <v>17</v>
      </c>
      <c r="F1200" s="7" t="s">
        <v>15</v>
      </c>
      <c r="G1200" s="7" t="s">
        <v>30</v>
      </c>
      <c r="H1200" s="11">
        <v>9.26</v>
      </c>
      <c r="I1200" s="184">
        <v>7.25</v>
      </c>
      <c r="J1200" s="26">
        <v>1</v>
      </c>
      <c r="K1200" s="10">
        <f t="shared" si="125"/>
        <v>6.7135E-2</v>
      </c>
      <c r="L1200" s="4"/>
      <c r="M1200" s="17">
        <v>1</v>
      </c>
      <c r="N1200" s="18">
        <f t="shared" si="126"/>
        <v>6.7135E-2</v>
      </c>
      <c r="O1200" s="19">
        <f t="shared" si="127"/>
        <v>0</v>
      </c>
      <c r="P1200" s="13">
        <f t="shared" si="128"/>
        <v>0</v>
      </c>
      <c r="Q1200" s="9">
        <v>7.25</v>
      </c>
      <c r="R1200" s="35">
        <v>1</v>
      </c>
      <c r="S1200" s="2" t="s">
        <v>267</v>
      </c>
    </row>
    <row r="1201" spans="1:21">
      <c r="A1201" s="42" t="s">
        <v>84</v>
      </c>
      <c r="B1201" s="3" t="s">
        <v>124</v>
      </c>
      <c r="C1201" s="3">
        <v>2</v>
      </c>
      <c r="D1201" s="1"/>
      <c r="E1201" s="20" t="s">
        <v>17</v>
      </c>
      <c r="F1201" s="7" t="s">
        <v>15</v>
      </c>
      <c r="G1201" s="7" t="s">
        <v>30</v>
      </c>
      <c r="H1201" s="11">
        <v>9.26</v>
      </c>
      <c r="I1201" s="184">
        <v>8.5</v>
      </c>
      <c r="J1201" s="26">
        <v>2</v>
      </c>
      <c r="K1201" s="10">
        <f t="shared" si="125"/>
        <v>0.15741999999999998</v>
      </c>
      <c r="L1201" s="4"/>
      <c r="M1201" s="17">
        <v>2</v>
      </c>
      <c r="N1201" s="18">
        <f t="shared" si="126"/>
        <v>0.15741999999999998</v>
      </c>
      <c r="O1201" s="19">
        <f t="shared" si="127"/>
        <v>0</v>
      </c>
      <c r="P1201" s="13">
        <f t="shared" si="128"/>
        <v>0</v>
      </c>
      <c r="Q1201" s="9"/>
      <c r="R1201" s="2"/>
      <c r="S1201" s="2"/>
    </row>
    <row r="1202" spans="1:21">
      <c r="A1202" s="42" t="s">
        <v>84</v>
      </c>
      <c r="B1202" s="3" t="s">
        <v>124</v>
      </c>
      <c r="C1202" s="3">
        <v>4</v>
      </c>
      <c r="D1202" s="1"/>
      <c r="E1202" s="20" t="s">
        <v>17</v>
      </c>
      <c r="F1202" s="7" t="s">
        <v>15</v>
      </c>
      <c r="G1202" s="7" t="s">
        <v>30</v>
      </c>
      <c r="H1202" s="11">
        <v>9.26</v>
      </c>
      <c r="I1202" s="184">
        <v>5.8</v>
      </c>
      <c r="J1202" s="26">
        <v>1</v>
      </c>
      <c r="K1202" s="10">
        <f t="shared" si="125"/>
        <v>5.3707999999999999E-2</v>
      </c>
      <c r="L1202" s="4"/>
      <c r="M1202" s="17"/>
      <c r="N1202" s="18">
        <f t="shared" si="126"/>
        <v>0</v>
      </c>
      <c r="O1202" s="19">
        <f t="shared" si="127"/>
        <v>1</v>
      </c>
      <c r="P1202" s="13">
        <f t="shared" si="128"/>
        <v>5.3707999999999999E-2</v>
      </c>
      <c r="Q1202" s="111"/>
      <c r="R1202" s="2"/>
      <c r="S1202" s="2"/>
    </row>
    <row r="1203" spans="1:21" s="29" customFormat="1">
      <c r="A1203" s="42" t="s">
        <v>84</v>
      </c>
      <c r="B1203" s="3" t="s">
        <v>124</v>
      </c>
      <c r="C1203" s="3">
        <v>4</v>
      </c>
      <c r="D1203" s="2"/>
      <c r="E1203" s="20" t="s">
        <v>17</v>
      </c>
      <c r="F1203" s="7" t="s">
        <v>15</v>
      </c>
      <c r="G1203" s="7" t="s">
        <v>30</v>
      </c>
      <c r="H1203" s="11">
        <v>9.26</v>
      </c>
      <c r="I1203" s="332">
        <v>6</v>
      </c>
      <c r="J1203" s="26">
        <v>7</v>
      </c>
      <c r="K1203" s="10">
        <f t="shared" si="125"/>
        <v>0.38892000000000004</v>
      </c>
      <c r="L1203" s="4"/>
      <c r="M1203" s="17"/>
      <c r="N1203" s="18">
        <f t="shared" si="126"/>
        <v>0</v>
      </c>
      <c r="O1203" s="19">
        <f t="shared" si="127"/>
        <v>7</v>
      </c>
      <c r="P1203" s="13">
        <f t="shared" si="128"/>
        <v>0.38892000000000004</v>
      </c>
      <c r="Q1203" s="111"/>
      <c r="R1203" s="2"/>
      <c r="S1203" s="2"/>
    </row>
    <row r="1204" spans="1:21">
      <c r="A1204" s="42" t="s">
        <v>84</v>
      </c>
      <c r="B1204" s="3" t="s">
        <v>124</v>
      </c>
      <c r="C1204" s="3">
        <v>4</v>
      </c>
      <c r="D1204" s="1"/>
      <c r="E1204" s="20" t="s">
        <v>17</v>
      </c>
      <c r="F1204" s="7" t="s">
        <v>15</v>
      </c>
      <c r="G1204" s="7" t="s">
        <v>30</v>
      </c>
      <c r="H1204" s="11">
        <v>9.26</v>
      </c>
      <c r="I1204" s="184">
        <v>6.6</v>
      </c>
      <c r="J1204" s="26">
        <v>1</v>
      </c>
      <c r="K1204" s="10">
        <f t="shared" si="125"/>
        <v>6.111599999999999E-2</v>
      </c>
      <c r="L1204" s="4"/>
      <c r="M1204" s="17">
        <v>1</v>
      </c>
      <c r="N1204" s="18">
        <f t="shared" si="126"/>
        <v>6.111599999999999E-2</v>
      </c>
      <c r="O1204" s="87">
        <f t="shared" si="127"/>
        <v>0</v>
      </c>
      <c r="P1204" s="13">
        <f t="shared" si="128"/>
        <v>0</v>
      </c>
      <c r="Q1204" s="9">
        <v>6.25</v>
      </c>
      <c r="R1204" s="2">
        <v>1</v>
      </c>
      <c r="S1204" s="2" t="s">
        <v>516</v>
      </c>
    </row>
    <row r="1205" spans="1:21">
      <c r="A1205" s="42" t="s">
        <v>84</v>
      </c>
      <c r="B1205" s="3" t="s">
        <v>124</v>
      </c>
      <c r="C1205" s="3">
        <v>4</v>
      </c>
      <c r="D1205" s="1"/>
      <c r="E1205" s="20" t="s">
        <v>17</v>
      </c>
      <c r="F1205" s="7" t="s">
        <v>15</v>
      </c>
      <c r="G1205" s="7" t="s">
        <v>30</v>
      </c>
      <c r="H1205" s="11">
        <v>9.26</v>
      </c>
      <c r="I1205" s="184">
        <v>6.5</v>
      </c>
      <c r="J1205" s="26">
        <v>7</v>
      </c>
      <c r="K1205" s="10">
        <f t="shared" si="125"/>
        <v>0.42132999999999998</v>
      </c>
      <c r="L1205" s="4"/>
      <c r="M1205" s="17">
        <v>7</v>
      </c>
      <c r="N1205" s="18">
        <f t="shared" si="126"/>
        <v>0.42132999999999998</v>
      </c>
      <c r="O1205" s="87">
        <f t="shared" si="127"/>
        <v>0</v>
      </c>
      <c r="P1205" s="13">
        <f t="shared" si="128"/>
        <v>0</v>
      </c>
      <c r="Q1205" s="9">
        <v>6.25</v>
      </c>
      <c r="R1205" s="2">
        <v>7</v>
      </c>
      <c r="S1205" s="2" t="s">
        <v>516</v>
      </c>
    </row>
    <row r="1206" spans="1:21">
      <c r="A1206" s="42" t="s">
        <v>84</v>
      </c>
      <c r="B1206" s="3" t="s">
        <v>124</v>
      </c>
      <c r="C1206" s="3">
        <v>10</v>
      </c>
      <c r="D1206" s="1"/>
      <c r="E1206" s="139" t="s">
        <v>17</v>
      </c>
      <c r="F1206" s="3" t="s">
        <v>15</v>
      </c>
      <c r="G1206" s="3" t="s">
        <v>30</v>
      </c>
      <c r="H1206" s="140">
        <v>9.26</v>
      </c>
      <c r="I1206" s="332">
        <v>7.95</v>
      </c>
      <c r="J1206" s="26">
        <v>19</v>
      </c>
      <c r="K1206" s="10">
        <f t="shared" si="125"/>
        <v>1.3987230000000002</v>
      </c>
      <c r="L1206" s="4"/>
      <c r="M1206" s="17">
        <v>19</v>
      </c>
      <c r="N1206" s="18">
        <f t="shared" si="126"/>
        <v>1.3987230000000002</v>
      </c>
      <c r="O1206" s="19">
        <f t="shared" si="127"/>
        <v>0</v>
      </c>
      <c r="P1206" s="13">
        <f t="shared" si="128"/>
        <v>0</v>
      </c>
      <c r="Q1206" s="9"/>
      <c r="R1206" s="2"/>
      <c r="S1206" s="2"/>
    </row>
    <row r="1207" spans="1:21">
      <c r="A1207" s="42" t="s">
        <v>84</v>
      </c>
      <c r="B1207" s="3" t="s">
        <v>124</v>
      </c>
      <c r="C1207" s="3">
        <v>2</v>
      </c>
      <c r="D1207" s="1"/>
      <c r="E1207" s="20" t="s">
        <v>86</v>
      </c>
      <c r="F1207" s="7" t="s">
        <v>14</v>
      </c>
      <c r="G1207" s="7" t="s">
        <v>18</v>
      </c>
      <c r="H1207" s="11">
        <v>6.86</v>
      </c>
      <c r="I1207" s="8">
        <v>10.6</v>
      </c>
      <c r="J1207" s="26">
        <v>5</v>
      </c>
      <c r="K1207" s="10">
        <f t="shared" si="125"/>
        <v>0.36357999999999996</v>
      </c>
      <c r="L1207" s="4"/>
      <c r="M1207" s="17">
        <v>5</v>
      </c>
      <c r="N1207" s="18">
        <f t="shared" si="126"/>
        <v>0.36358000000000001</v>
      </c>
      <c r="O1207" s="19">
        <f t="shared" si="127"/>
        <v>0</v>
      </c>
      <c r="P1207" s="13">
        <f t="shared" si="128"/>
        <v>0</v>
      </c>
      <c r="Q1207" s="9"/>
      <c r="R1207" s="2"/>
      <c r="S1207" s="2"/>
    </row>
    <row r="1208" spans="1:21">
      <c r="A1208" s="42" t="s">
        <v>84</v>
      </c>
      <c r="B1208" s="3" t="s">
        <v>124</v>
      </c>
      <c r="C1208" s="3">
        <v>3</v>
      </c>
      <c r="D1208" s="1"/>
      <c r="E1208" s="20" t="s">
        <v>86</v>
      </c>
      <c r="F1208" s="7" t="s">
        <v>14</v>
      </c>
      <c r="G1208" s="7" t="s">
        <v>18</v>
      </c>
      <c r="H1208" s="11">
        <v>6.86</v>
      </c>
      <c r="I1208" s="8">
        <v>10.6</v>
      </c>
      <c r="J1208" s="26">
        <v>34</v>
      </c>
      <c r="K1208" s="10">
        <f t="shared" si="125"/>
        <v>2.4723439999999997</v>
      </c>
      <c r="L1208" s="4"/>
      <c r="M1208" s="17">
        <v>34</v>
      </c>
      <c r="N1208" s="18">
        <f t="shared" si="126"/>
        <v>2.4723440000000001</v>
      </c>
      <c r="O1208" s="19">
        <f t="shared" si="127"/>
        <v>0</v>
      </c>
      <c r="P1208" s="13">
        <f t="shared" si="128"/>
        <v>0</v>
      </c>
      <c r="Q1208" s="9"/>
      <c r="R1208" s="2"/>
      <c r="S1208" s="2"/>
    </row>
    <row r="1209" spans="1:21">
      <c r="A1209" s="42" t="s">
        <v>84</v>
      </c>
      <c r="B1209" s="3" t="s">
        <v>124</v>
      </c>
      <c r="C1209" s="3">
        <v>4</v>
      </c>
      <c r="D1209" s="1"/>
      <c r="E1209" s="20" t="s">
        <v>86</v>
      </c>
      <c r="F1209" s="7" t="s">
        <v>14</v>
      </c>
      <c r="G1209" s="7" t="s">
        <v>18</v>
      </c>
      <c r="H1209" s="11">
        <v>6.86</v>
      </c>
      <c r="I1209" s="8">
        <v>10.6</v>
      </c>
      <c r="J1209" s="26">
        <v>17</v>
      </c>
      <c r="K1209" s="10">
        <f t="shared" si="125"/>
        <v>1.2361719999999998</v>
      </c>
      <c r="L1209" s="4"/>
      <c r="M1209" s="17">
        <v>17</v>
      </c>
      <c r="N1209" s="18">
        <f t="shared" si="126"/>
        <v>1.236172</v>
      </c>
      <c r="O1209" s="19">
        <f t="shared" si="127"/>
        <v>0</v>
      </c>
      <c r="P1209" s="13">
        <f t="shared" si="128"/>
        <v>0</v>
      </c>
      <c r="Q1209" s="9"/>
      <c r="R1209" s="2"/>
      <c r="S1209" s="2"/>
    </row>
    <row r="1210" spans="1:21">
      <c r="A1210" s="42"/>
      <c r="B1210" s="3" t="s">
        <v>124</v>
      </c>
      <c r="C1210" s="3">
        <v>4</v>
      </c>
      <c r="D1210" s="1"/>
      <c r="E1210" s="20" t="s">
        <v>86</v>
      </c>
      <c r="F1210" s="7" t="s">
        <v>14</v>
      </c>
      <c r="G1210" s="7" t="s">
        <v>18</v>
      </c>
      <c r="H1210" s="11">
        <v>6.86</v>
      </c>
      <c r="I1210" s="8">
        <v>12</v>
      </c>
      <c r="J1210" s="26">
        <v>6</v>
      </c>
      <c r="K1210" s="10">
        <f t="shared" si="125"/>
        <v>0.49392000000000008</v>
      </c>
      <c r="L1210" s="4"/>
      <c r="M1210" s="17">
        <v>6</v>
      </c>
      <c r="N1210" s="18">
        <f t="shared" si="126"/>
        <v>0.49392000000000003</v>
      </c>
      <c r="O1210" s="19">
        <f t="shared" si="127"/>
        <v>0</v>
      </c>
      <c r="P1210" s="13">
        <f t="shared" si="128"/>
        <v>0</v>
      </c>
      <c r="Q1210" s="9"/>
      <c r="R1210" s="2"/>
      <c r="S1210" s="2"/>
    </row>
    <row r="1211" spans="1:21">
      <c r="A1211" s="42"/>
      <c r="B1211" s="3" t="s">
        <v>124</v>
      </c>
      <c r="C1211" s="3">
        <v>4</v>
      </c>
      <c r="D1211" s="1" t="s">
        <v>93</v>
      </c>
      <c r="E1211" s="20" t="s">
        <v>86</v>
      </c>
      <c r="F1211" s="7" t="s">
        <v>14</v>
      </c>
      <c r="G1211" s="7" t="s">
        <v>18</v>
      </c>
      <c r="H1211" s="11">
        <v>6.86</v>
      </c>
      <c r="I1211" s="8">
        <v>9.3000000000000007</v>
      </c>
      <c r="J1211" s="26">
        <v>1</v>
      </c>
      <c r="K1211" s="10">
        <f t="shared" si="125"/>
        <v>6.3798000000000007E-2</v>
      </c>
      <c r="L1211" s="4"/>
      <c r="M1211" s="17">
        <v>1</v>
      </c>
      <c r="N1211" s="18">
        <f t="shared" si="126"/>
        <v>6.3798000000000007E-2</v>
      </c>
      <c r="O1211" s="19">
        <f t="shared" si="127"/>
        <v>0</v>
      </c>
      <c r="P1211" s="13">
        <f t="shared" si="128"/>
        <v>0</v>
      </c>
      <c r="Q1211" s="9"/>
      <c r="R1211" s="2"/>
      <c r="S1211" s="2">
        <v>8</v>
      </c>
      <c r="T1211">
        <v>1</v>
      </c>
      <c r="U1211" s="2" t="s">
        <v>539</v>
      </c>
    </row>
    <row r="1212" spans="1:21">
      <c r="A1212" s="42"/>
      <c r="B1212" s="3" t="s">
        <v>124</v>
      </c>
      <c r="C1212" s="3">
        <v>4</v>
      </c>
      <c r="D1212" s="1"/>
      <c r="E1212" s="20" t="s">
        <v>86</v>
      </c>
      <c r="F1212" s="7" t="s">
        <v>14</v>
      </c>
      <c r="G1212" s="7" t="s">
        <v>18</v>
      </c>
      <c r="H1212" s="11">
        <v>6.86</v>
      </c>
      <c r="I1212" s="8">
        <v>12</v>
      </c>
      <c r="J1212" s="26">
        <v>2</v>
      </c>
      <c r="K1212" s="10">
        <f t="shared" si="125"/>
        <v>0.16464000000000001</v>
      </c>
      <c r="L1212" s="4"/>
      <c r="M1212" s="17">
        <v>2</v>
      </c>
      <c r="N1212" s="18">
        <f t="shared" si="126"/>
        <v>0.16464000000000001</v>
      </c>
      <c r="O1212" s="19">
        <f t="shared" si="127"/>
        <v>0</v>
      </c>
      <c r="P1212" s="13">
        <f t="shared" si="128"/>
        <v>0</v>
      </c>
      <c r="Q1212" s="9"/>
      <c r="R1212" s="2"/>
      <c r="S1212" s="2"/>
    </row>
    <row r="1213" spans="1:21">
      <c r="A1213" s="42" t="s">
        <v>84</v>
      </c>
      <c r="B1213" s="3" t="s">
        <v>124</v>
      </c>
      <c r="C1213" s="3">
        <v>1</v>
      </c>
      <c r="D1213" s="1"/>
      <c r="E1213" s="20" t="s">
        <v>679</v>
      </c>
      <c r="F1213" s="7" t="s">
        <v>15</v>
      </c>
      <c r="G1213" s="7" t="s">
        <v>58</v>
      </c>
      <c r="H1213" s="11">
        <v>27.29</v>
      </c>
      <c r="I1213" s="8">
        <v>5.9</v>
      </c>
      <c r="J1213" s="26">
        <v>2</v>
      </c>
      <c r="K1213" s="10">
        <f t="shared" si="125"/>
        <v>0.32202199999999997</v>
      </c>
      <c r="L1213" s="4"/>
      <c r="M1213" s="17"/>
      <c r="N1213" s="18">
        <f t="shared" si="126"/>
        <v>0</v>
      </c>
      <c r="O1213" s="19">
        <f t="shared" si="127"/>
        <v>2</v>
      </c>
      <c r="P1213" s="13">
        <f t="shared" si="128"/>
        <v>0.32202199999999997</v>
      </c>
      <c r="Q1213" s="9"/>
      <c r="R1213" s="2"/>
      <c r="S1213" s="2"/>
    </row>
    <row r="1214" spans="1:21">
      <c r="A1214" s="42" t="s">
        <v>84</v>
      </c>
      <c r="B1214" s="3" t="s">
        <v>124</v>
      </c>
      <c r="C1214" s="3">
        <v>1</v>
      </c>
      <c r="D1214" s="1"/>
      <c r="E1214" s="20" t="s">
        <v>679</v>
      </c>
      <c r="F1214" s="7" t="s">
        <v>15</v>
      </c>
      <c r="G1214" s="7" t="s">
        <v>58</v>
      </c>
      <c r="H1214" s="11">
        <v>27.29</v>
      </c>
      <c r="I1214" s="8">
        <v>6</v>
      </c>
      <c r="J1214" s="26">
        <v>1</v>
      </c>
      <c r="K1214" s="10">
        <f t="shared" si="125"/>
        <v>0.16374</v>
      </c>
      <c r="L1214" s="4"/>
      <c r="M1214" s="17"/>
      <c r="N1214" s="18">
        <f t="shared" si="126"/>
        <v>0</v>
      </c>
      <c r="O1214" s="19">
        <f t="shared" si="127"/>
        <v>1</v>
      </c>
      <c r="P1214" s="13">
        <f t="shared" si="128"/>
        <v>0.16374</v>
      </c>
      <c r="Q1214" s="9"/>
      <c r="R1214" s="2"/>
      <c r="S1214" s="2"/>
    </row>
    <row r="1215" spans="1:21">
      <c r="A1215" s="42" t="s">
        <v>84</v>
      </c>
      <c r="B1215" s="3" t="s">
        <v>124</v>
      </c>
      <c r="C1215" s="3">
        <v>1</v>
      </c>
      <c r="D1215" s="1"/>
      <c r="E1215" s="20" t="s">
        <v>114</v>
      </c>
      <c r="F1215" s="7" t="s">
        <v>15</v>
      </c>
      <c r="G1215" s="7" t="s">
        <v>54</v>
      </c>
      <c r="H1215" s="11">
        <v>31.6</v>
      </c>
      <c r="I1215" s="8">
        <v>7.8</v>
      </c>
      <c r="J1215" s="26">
        <v>1</v>
      </c>
      <c r="K1215" s="10">
        <f t="shared" si="125"/>
        <v>0.24648</v>
      </c>
      <c r="L1215" s="4"/>
      <c r="M1215" s="17">
        <v>1</v>
      </c>
      <c r="N1215" s="18">
        <f t="shared" si="126"/>
        <v>0.24648</v>
      </c>
      <c r="O1215" s="19">
        <f t="shared" si="127"/>
        <v>0</v>
      </c>
      <c r="P1215" s="13">
        <f t="shared" si="128"/>
        <v>0</v>
      </c>
      <c r="Q1215" s="9">
        <v>7.8</v>
      </c>
      <c r="R1215" s="2">
        <v>1</v>
      </c>
      <c r="S1215" s="2" t="s">
        <v>278</v>
      </c>
    </row>
    <row r="1216" spans="1:21">
      <c r="A1216" s="42" t="s">
        <v>84</v>
      </c>
      <c r="B1216" s="3" t="s">
        <v>124</v>
      </c>
      <c r="C1216" s="3">
        <v>1</v>
      </c>
      <c r="D1216" s="1"/>
      <c r="E1216" s="20" t="s">
        <v>114</v>
      </c>
      <c r="F1216" s="7" t="s">
        <v>15</v>
      </c>
      <c r="G1216" s="7" t="s">
        <v>54</v>
      </c>
      <c r="H1216" s="11">
        <v>31.6</v>
      </c>
      <c r="I1216" s="8">
        <v>12</v>
      </c>
      <c r="J1216" s="26">
        <v>1</v>
      </c>
      <c r="K1216" s="10">
        <f t="shared" si="125"/>
        <v>0.37920000000000004</v>
      </c>
      <c r="L1216" s="4"/>
      <c r="M1216" s="17">
        <v>1</v>
      </c>
      <c r="N1216" s="18">
        <f t="shared" si="126"/>
        <v>0.37920000000000004</v>
      </c>
      <c r="O1216" s="19">
        <f t="shared" si="127"/>
        <v>0</v>
      </c>
      <c r="P1216" s="13">
        <f t="shared" si="128"/>
        <v>0</v>
      </c>
      <c r="Q1216" s="9">
        <v>12</v>
      </c>
      <c r="R1216" s="2">
        <v>1</v>
      </c>
      <c r="S1216" s="2" t="s">
        <v>278</v>
      </c>
    </row>
    <row r="1217" spans="1:21">
      <c r="A1217" s="42" t="s">
        <v>84</v>
      </c>
      <c r="B1217" s="3" t="s">
        <v>124</v>
      </c>
      <c r="C1217" s="3">
        <v>1</v>
      </c>
      <c r="D1217" s="1"/>
      <c r="E1217" s="20" t="s">
        <v>19</v>
      </c>
      <c r="F1217" s="7" t="s">
        <v>14</v>
      </c>
      <c r="G1217" s="7" t="s">
        <v>25</v>
      </c>
      <c r="H1217" s="11">
        <v>7.34</v>
      </c>
      <c r="I1217" s="8">
        <v>11.5</v>
      </c>
      <c r="J1217" s="26">
        <v>2</v>
      </c>
      <c r="K1217" s="10">
        <f t="shared" si="125"/>
        <v>0.16882</v>
      </c>
      <c r="L1217" s="4"/>
      <c r="M1217" s="17">
        <v>2</v>
      </c>
      <c r="N1217" s="18">
        <f t="shared" si="126"/>
        <v>0.16882</v>
      </c>
      <c r="O1217" s="19">
        <f t="shared" si="127"/>
        <v>0</v>
      </c>
      <c r="P1217" s="13">
        <f t="shared" si="128"/>
        <v>0</v>
      </c>
      <c r="Q1217" s="9">
        <v>10.15</v>
      </c>
      <c r="R1217" s="2">
        <v>2</v>
      </c>
      <c r="S1217" s="2" t="s">
        <v>335</v>
      </c>
    </row>
    <row r="1218" spans="1:21">
      <c r="A1218" s="42" t="s">
        <v>84</v>
      </c>
      <c r="B1218" s="3" t="s">
        <v>124</v>
      </c>
      <c r="C1218" s="3">
        <v>1</v>
      </c>
      <c r="D1218" s="1"/>
      <c r="E1218" s="20" t="s">
        <v>114</v>
      </c>
      <c r="F1218" s="7" t="s">
        <v>15</v>
      </c>
      <c r="G1218" s="7" t="s">
        <v>32</v>
      </c>
      <c r="H1218" s="11">
        <v>8.3000000000000007</v>
      </c>
      <c r="I1218" s="8">
        <v>11.5</v>
      </c>
      <c r="J1218" s="26">
        <v>6</v>
      </c>
      <c r="K1218" s="10">
        <f t="shared" si="125"/>
        <v>0.5727000000000001</v>
      </c>
      <c r="L1218" s="4"/>
      <c r="M1218" s="17">
        <v>6</v>
      </c>
      <c r="N1218" s="18">
        <f t="shared" si="126"/>
        <v>0.5727000000000001</v>
      </c>
      <c r="O1218" s="19">
        <f t="shared" si="127"/>
        <v>0</v>
      </c>
      <c r="P1218" s="13">
        <f t="shared" si="128"/>
        <v>0</v>
      </c>
      <c r="Q1218" s="9">
        <v>11.2</v>
      </c>
      <c r="R1218" s="2">
        <v>6</v>
      </c>
      <c r="S1218" s="2" t="s">
        <v>203</v>
      </c>
    </row>
    <row r="1219" spans="1:21">
      <c r="A1219" s="42" t="s">
        <v>84</v>
      </c>
      <c r="B1219" s="3" t="s">
        <v>124</v>
      </c>
      <c r="C1219" s="3">
        <v>1</v>
      </c>
      <c r="D1219" s="1"/>
      <c r="E1219" s="20" t="s">
        <v>19</v>
      </c>
      <c r="F1219" s="7" t="s">
        <v>14</v>
      </c>
      <c r="G1219" s="7" t="s">
        <v>125</v>
      </c>
      <c r="H1219" s="11">
        <v>8.49</v>
      </c>
      <c r="I1219" s="8">
        <v>9.6999999999999993</v>
      </c>
      <c r="J1219" s="26">
        <v>5</v>
      </c>
      <c r="K1219" s="10">
        <f t="shared" si="125"/>
        <v>0.41176499999999999</v>
      </c>
      <c r="L1219" s="4"/>
      <c r="M1219" s="17">
        <v>5</v>
      </c>
      <c r="N1219" s="18">
        <f t="shared" si="126"/>
        <v>0.41176499999999999</v>
      </c>
      <c r="O1219" s="19">
        <f t="shared" si="127"/>
        <v>0</v>
      </c>
      <c r="P1219" s="13">
        <f t="shared" si="128"/>
        <v>0</v>
      </c>
      <c r="Q1219" s="9"/>
      <c r="R1219" s="2"/>
      <c r="S1219" s="2"/>
    </row>
    <row r="1220" spans="1:21">
      <c r="A1220" s="42" t="s">
        <v>84</v>
      </c>
      <c r="B1220" s="3" t="s">
        <v>124</v>
      </c>
      <c r="C1220" s="3">
        <v>1</v>
      </c>
      <c r="D1220" s="1"/>
      <c r="E1220" s="20" t="s">
        <v>19</v>
      </c>
      <c r="F1220" s="7" t="s">
        <v>14</v>
      </c>
      <c r="G1220" s="7" t="s">
        <v>125</v>
      </c>
      <c r="H1220" s="11">
        <v>8.49</v>
      </c>
      <c r="I1220" s="8">
        <v>9.5</v>
      </c>
      <c r="J1220" s="26">
        <v>6</v>
      </c>
      <c r="K1220" s="10">
        <f t="shared" si="125"/>
        <v>0.48393000000000003</v>
      </c>
      <c r="L1220" s="4"/>
      <c r="M1220" s="17">
        <v>6</v>
      </c>
      <c r="N1220" s="18">
        <f t="shared" si="126"/>
        <v>0.48393000000000003</v>
      </c>
      <c r="O1220" s="19">
        <f t="shared" si="127"/>
        <v>0</v>
      </c>
      <c r="P1220" s="13">
        <f t="shared" si="128"/>
        <v>0</v>
      </c>
      <c r="Q1220" s="9"/>
      <c r="R1220" s="2"/>
      <c r="S1220" s="2"/>
    </row>
    <row r="1221" spans="1:21">
      <c r="A1221" s="42" t="s">
        <v>84</v>
      </c>
      <c r="B1221" s="3" t="s">
        <v>124</v>
      </c>
      <c r="C1221" s="3">
        <v>1</v>
      </c>
      <c r="D1221" s="1"/>
      <c r="E1221" s="20" t="s">
        <v>126</v>
      </c>
      <c r="F1221" s="7" t="s">
        <v>15</v>
      </c>
      <c r="G1221" s="7" t="s">
        <v>42</v>
      </c>
      <c r="H1221" s="11">
        <v>19.72</v>
      </c>
      <c r="I1221" s="8">
        <v>6.5</v>
      </c>
      <c r="J1221" s="26">
        <v>1</v>
      </c>
      <c r="K1221" s="10">
        <f t="shared" si="125"/>
        <v>0.12818000000000002</v>
      </c>
      <c r="L1221" s="4"/>
      <c r="M1221" s="17">
        <v>1</v>
      </c>
      <c r="N1221" s="18">
        <f t="shared" si="126"/>
        <v>0.12818000000000002</v>
      </c>
      <c r="O1221" s="19">
        <f t="shared" si="127"/>
        <v>0</v>
      </c>
      <c r="P1221" s="13">
        <f t="shared" si="128"/>
        <v>0</v>
      </c>
      <c r="Q1221" s="9">
        <v>6</v>
      </c>
      <c r="R1221" s="35">
        <v>1</v>
      </c>
      <c r="S1221" s="2" t="s">
        <v>793</v>
      </c>
    </row>
    <row r="1222" spans="1:21">
      <c r="A1222" s="42" t="s">
        <v>84</v>
      </c>
      <c r="B1222" s="3" t="s">
        <v>124</v>
      </c>
      <c r="C1222" s="3">
        <v>1</v>
      </c>
      <c r="D1222" s="1"/>
      <c r="E1222" s="20" t="s">
        <v>126</v>
      </c>
      <c r="F1222" s="7" t="s">
        <v>15</v>
      </c>
      <c r="G1222" s="7" t="s">
        <v>42</v>
      </c>
      <c r="H1222" s="11">
        <v>19.72</v>
      </c>
      <c r="I1222" s="8">
        <v>7.6</v>
      </c>
      <c r="J1222" s="26">
        <v>6</v>
      </c>
      <c r="K1222" s="10">
        <f t="shared" si="125"/>
        <v>0.89923199999999992</v>
      </c>
      <c r="L1222" s="4"/>
      <c r="M1222" s="17">
        <v>6</v>
      </c>
      <c r="N1222" s="18">
        <f t="shared" si="126"/>
        <v>0.89923199999999981</v>
      </c>
      <c r="O1222" s="19">
        <f t="shared" si="127"/>
        <v>0</v>
      </c>
      <c r="P1222" s="13">
        <f t="shared" si="128"/>
        <v>0</v>
      </c>
      <c r="Q1222" s="9">
        <v>7.1</v>
      </c>
      <c r="R1222" s="2">
        <v>6</v>
      </c>
      <c r="S1222" s="2" t="s">
        <v>313</v>
      </c>
    </row>
    <row r="1223" spans="1:21">
      <c r="A1223" s="42" t="s">
        <v>84</v>
      </c>
      <c r="B1223" s="3" t="s">
        <v>124</v>
      </c>
      <c r="C1223" s="3">
        <v>1</v>
      </c>
      <c r="D1223" s="1"/>
      <c r="E1223" s="20" t="s">
        <v>85</v>
      </c>
      <c r="F1223" s="7" t="s">
        <v>15</v>
      </c>
      <c r="G1223" s="7" t="s">
        <v>35</v>
      </c>
      <c r="H1223" s="11">
        <v>16.579999999999998</v>
      </c>
      <c r="I1223" s="8">
        <v>9.6</v>
      </c>
      <c r="J1223" s="26">
        <v>18</v>
      </c>
      <c r="K1223" s="10">
        <f t="shared" si="125"/>
        <v>2.8650239999999996</v>
      </c>
      <c r="L1223" s="4"/>
      <c r="M1223" s="17">
        <v>18</v>
      </c>
      <c r="N1223" s="18">
        <f t="shared" si="126"/>
        <v>2.8650239999999996</v>
      </c>
      <c r="O1223" s="19">
        <f t="shared" si="127"/>
        <v>0</v>
      </c>
      <c r="P1223" s="13">
        <f t="shared" si="128"/>
        <v>0</v>
      </c>
      <c r="Q1223" s="9"/>
      <c r="R1223" s="2"/>
      <c r="S1223" s="2"/>
    </row>
    <row r="1224" spans="1:21">
      <c r="A1224" s="42" t="s">
        <v>84</v>
      </c>
      <c r="B1224" s="3" t="s">
        <v>124</v>
      </c>
      <c r="C1224" s="3">
        <v>2</v>
      </c>
      <c r="D1224" s="1"/>
      <c r="E1224" s="20" t="s">
        <v>85</v>
      </c>
      <c r="F1224" s="7" t="s">
        <v>15</v>
      </c>
      <c r="G1224" s="7" t="s">
        <v>35</v>
      </c>
      <c r="H1224" s="11">
        <v>16.579999999999998</v>
      </c>
      <c r="I1224" s="8">
        <v>9.6</v>
      </c>
      <c r="J1224" s="26">
        <v>18</v>
      </c>
      <c r="K1224" s="10">
        <f t="shared" si="125"/>
        <v>2.8650239999999996</v>
      </c>
      <c r="L1224" s="4"/>
      <c r="M1224" s="17">
        <v>18</v>
      </c>
      <c r="N1224" s="18">
        <f t="shared" si="126"/>
        <v>2.8650239999999996</v>
      </c>
      <c r="O1224" s="19">
        <f t="shared" si="127"/>
        <v>0</v>
      </c>
      <c r="P1224" s="13">
        <f t="shared" si="128"/>
        <v>0</v>
      </c>
      <c r="Q1224" s="9"/>
      <c r="R1224" s="2"/>
      <c r="S1224" s="2"/>
    </row>
    <row r="1225" spans="1:21">
      <c r="A1225" s="42" t="s">
        <v>84</v>
      </c>
      <c r="B1225" s="3" t="s">
        <v>124</v>
      </c>
      <c r="C1225" s="3">
        <v>3</v>
      </c>
      <c r="D1225" s="1"/>
      <c r="E1225" s="20" t="s">
        <v>85</v>
      </c>
      <c r="F1225" s="7" t="s">
        <v>15</v>
      </c>
      <c r="G1225" s="7" t="s">
        <v>35</v>
      </c>
      <c r="H1225" s="11">
        <v>16.579999999999998</v>
      </c>
      <c r="I1225" s="8">
        <v>7.3</v>
      </c>
      <c r="J1225" s="26">
        <v>8</v>
      </c>
      <c r="K1225" s="10">
        <f t="shared" si="125"/>
        <v>0.9682719999999998</v>
      </c>
      <c r="L1225" s="4"/>
      <c r="M1225" s="17">
        <v>6</v>
      </c>
      <c r="N1225" s="18">
        <f t="shared" si="126"/>
        <v>0.72620399999999985</v>
      </c>
      <c r="O1225" s="19">
        <f t="shared" si="127"/>
        <v>2</v>
      </c>
      <c r="P1225" s="13">
        <f t="shared" si="128"/>
        <v>0.24206799999999995</v>
      </c>
      <c r="Q1225" s="9"/>
      <c r="R1225" s="2"/>
      <c r="S1225" s="2"/>
    </row>
    <row r="1226" spans="1:21">
      <c r="A1226" s="42" t="s">
        <v>84</v>
      </c>
      <c r="B1226" s="3" t="s">
        <v>124</v>
      </c>
      <c r="C1226" s="3">
        <v>4</v>
      </c>
      <c r="D1226" s="1"/>
      <c r="E1226" s="20" t="s">
        <v>85</v>
      </c>
      <c r="F1226" s="7" t="s">
        <v>15</v>
      </c>
      <c r="G1226" s="7" t="s">
        <v>35</v>
      </c>
      <c r="H1226" s="11">
        <v>16.579999999999998</v>
      </c>
      <c r="I1226" s="8">
        <v>9.6</v>
      </c>
      <c r="J1226" s="26">
        <v>9</v>
      </c>
      <c r="K1226" s="10">
        <f t="shared" si="125"/>
        <v>1.4325119999999998</v>
      </c>
      <c r="L1226" s="4"/>
      <c r="M1226" s="17">
        <v>9</v>
      </c>
      <c r="N1226" s="18">
        <f t="shared" si="126"/>
        <v>1.4325119999999998</v>
      </c>
      <c r="O1226" s="19">
        <f t="shared" si="127"/>
        <v>0</v>
      </c>
      <c r="P1226" s="13">
        <f t="shared" si="128"/>
        <v>0</v>
      </c>
      <c r="Q1226" s="9"/>
      <c r="R1226" s="2"/>
      <c r="S1226" s="2"/>
    </row>
    <row r="1227" spans="1:21">
      <c r="A1227" s="42" t="s">
        <v>84</v>
      </c>
      <c r="B1227" s="3" t="s">
        <v>124</v>
      </c>
      <c r="C1227" s="3">
        <v>5</v>
      </c>
      <c r="D1227" s="1"/>
      <c r="E1227" s="20" t="s">
        <v>76</v>
      </c>
      <c r="F1227" s="7" t="s">
        <v>15</v>
      </c>
      <c r="G1227" s="7" t="s">
        <v>35</v>
      </c>
      <c r="H1227" s="11">
        <v>16.579999999999998</v>
      </c>
      <c r="I1227" s="8">
        <v>11.15</v>
      </c>
      <c r="J1227" s="26">
        <v>2</v>
      </c>
      <c r="K1227" s="10">
        <f t="shared" si="125"/>
        <v>0.36973400000000001</v>
      </c>
      <c r="L1227" s="4"/>
      <c r="M1227" s="17">
        <v>2</v>
      </c>
      <c r="N1227" s="18">
        <f t="shared" si="126"/>
        <v>0.36973400000000001</v>
      </c>
      <c r="O1227" s="19">
        <f t="shared" si="127"/>
        <v>0</v>
      </c>
      <c r="P1227" s="13">
        <f t="shared" si="128"/>
        <v>0</v>
      </c>
      <c r="Q1227" s="32">
        <v>9.6</v>
      </c>
      <c r="R1227" s="2">
        <v>2</v>
      </c>
      <c r="S1227" s="2"/>
    </row>
    <row r="1228" spans="1:21">
      <c r="A1228" s="42" t="s">
        <v>84</v>
      </c>
      <c r="B1228" s="3" t="s">
        <v>124</v>
      </c>
      <c r="C1228" s="3">
        <v>6</v>
      </c>
      <c r="D1228" s="1"/>
      <c r="E1228" s="20" t="s">
        <v>76</v>
      </c>
      <c r="F1228" s="7" t="s">
        <v>15</v>
      </c>
      <c r="G1228" s="7" t="s">
        <v>35</v>
      </c>
      <c r="H1228" s="11">
        <v>16.579999999999998</v>
      </c>
      <c r="I1228" s="8">
        <v>8.15</v>
      </c>
      <c r="J1228" s="26">
        <v>15</v>
      </c>
      <c r="K1228" s="10">
        <f t="shared" si="125"/>
        <v>2.0269049999999997</v>
      </c>
      <c r="L1228" s="4"/>
      <c r="M1228" s="17">
        <f>4+11</f>
        <v>15</v>
      </c>
      <c r="N1228" s="18">
        <f t="shared" si="126"/>
        <v>2.0269049999999997</v>
      </c>
      <c r="O1228" s="19">
        <f t="shared" si="127"/>
        <v>0</v>
      </c>
      <c r="P1228" s="13">
        <f t="shared" si="128"/>
        <v>0</v>
      </c>
      <c r="Q1228" s="9">
        <v>8.15</v>
      </c>
      <c r="R1228" s="2">
        <v>11</v>
      </c>
      <c r="S1228" s="2" t="s">
        <v>540</v>
      </c>
      <c r="T1228" s="2">
        <v>4</v>
      </c>
      <c r="U1228" s="2" t="s">
        <v>369</v>
      </c>
    </row>
    <row r="1229" spans="1:21">
      <c r="A1229" s="42" t="s">
        <v>84</v>
      </c>
      <c r="B1229" s="3" t="s">
        <v>124</v>
      </c>
      <c r="C1229" s="3">
        <v>1</v>
      </c>
      <c r="D1229" s="1"/>
      <c r="E1229" s="20" t="s">
        <v>114</v>
      </c>
      <c r="F1229" s="7" t="s">
        <v>15</v>
      </c>
      <c r="G1229" s="7" t="s">
        <v>49</v>
      </c>
      <c r="H1229" s="11">
        <v>17.82</v>
      </c>
      <c r="I1229" s="8">
        <v>9.3000000000000007</v>
      </c>
      <c r="J1229" s="26">
        <v>2</v>
      </c>
      <c r="K1229" s="10">
        <f t="shared" si="125"/>
        <v>0.33145200000000008</v>
      </c>
      <c r="L1229" s="4"/>
      <c r="M1229" s="17">
        <v>2</v>
      </c>
      <c r="N1229" s="18">
        <f t="shared" si="126"/>
        <v>0.33145200000000008</v>
      </c>
      <c r="O1229" s="19">
        <f t="shared" si="127"/>
        <v>0</v>
      </c>
      <c r="P1229" s="13">
        <f t="shared" si="128"/>
        <v>0</v>
      </c>
      <c r="Q1229" s="9">
        <v>9.1999999999999993</v>
      </c>
      <c r="R1229" s="2">
        <v>2</v>
      </c>
      <c r="S1229" s="2" t="s">
        <v>295</v>
      </c>
    </row>
    <row r="1230" spans="1:21">
      <c r="A1230" s="42" t="s">
        <v>84</v>
      </c>
      <c r="B1230" s="3" t="s">
        <v>124</v>
      </c>
      <c r="C1230" s="3">
        <v>1</v>
      </c>
      <c r="D1230" s="1"/>
      <c r="E1230" s="20" t="s">
        <v>114</v>
      </c>
      <c r="F1230" s="7" t="s">
        <v>15</v>
      </c>
      <c r="G1230" s="7" t="s">
        <v>49</v>
      </c>
      <c r="H1230" s="11">
        <v>17.82</v>
      </c>
      <c r="I1230" s="8">
        <v>9.4</v>
      </c>
      <c r="J1230" s="26">
        <v>9</v>
      </c>
      <c r="K1230" s="10">
        <f t="shared" si="125"/>
        <v>1.5075720000000001</v>
      </c>
      <c r="L1230" s="4"/>
      <c r="M1230" s="17">
        <v>9</v>
      </c>
      <c r="N1230" s="18">
        <f t="shared" si="126"/>
        <v>1.5075720000000001</v>
      </c>
      <c r="O1230" s="19">
        <f t="shared" si="127"/>
        <v>0</v>
      </c>
      <c r="P1230" s="13">
        <f t="shared" si="128"/>
        <v>0</v>
      </c>
      <c r="Q1230" s="9"/>
      <c r="R1230" s="2">
        <v>9</v>
      </c>
      <c r="S1230" s="2" t="s">
        <v>469</v>
      </c>
    </row>
    <row r="1231" spans="1:21">
      <c r="A1231" s="42" t="s">
        <v>84</v>
      </c>
      <c r="B1231" s="3" t="s">
        <v>124</v>
      </c>
      <c r="C1231" s="3">
        <v>1</v>
      </c>
      <c r="D1231" s="1"/>
      <c r="E1231" s="20" t="s">
        <v>114</v>
      </c>
      <c r="F1231" s="7" t="s">
        <v>15</v>
      </c>
      <c r="G1231" s="7" t="s">
        <v>49</v>
      </c>
      <c r="H1231" s="11">
        <v>17.82</v>
      </c>
      <c r="I1231" s="8">
        <v>8.6999999999999993</v>
      </c>
      <c r="J1231" s="26">
        <v>1</v>
      </c>
      <c r="K1231" s="10">
        <f t="shared" si="125"/>
        <v>0.15503400000000001</v>
      </c>
      <c r="L1231" s="4"/>
      <c r="M1231" s="17">
        <v>1</v>
      </c>
      <c r="N1231" s="18">
        <f t="shared" si="126"/>
        <v>0.15503400000000001</v>
      </c>
      <c r="O1231" s="19">
        <f t="shared" si="127"/>
        <v>0</v>
      </c>
      <c r="P1231" s="13">
        <f t="shared" si="128"/>
        <v>0</v>
      </c>
      <c r="Q1231" s="9">
        <v>7.2</v>
      </c>
      <c r="R1231" s="2">
        <v>1</v>
      </c>
      <c r="S1231" s="2" t="s">
        <v>295</v>
      </c>
    </row>
    <row r="1232" spans="1:21">
      <c r="A1232" s="42" t="s">
        <v>84</v>
      </c>
      <c r="B1232" s="3" t="s">
        <v>124</v>
      </c>
      <c r="C1232" s="3">
        <v>1</v>
      </c>
      <c r="D1232" s="1"/>
      <c r="E1232" s="20" t="s">
        <v>114</v>
      </c>
      <c r="F1232" s="7" t="s">
        <v>15</v>
      </c>
      <c r="G1232" s="7" t="s">
        <v>49</v>
      </c>
      <c r="H1232" s="11">
        <v>17.82</v>
      </c>
      <c r="I1232" s="8">
        <v>8.9</v>
      </c>
      <c r="J1232" s="26">
        <v>1</v>
      </c>
      <c r="K1232" s="10">
        <f t="shared" si="125"/>
        <v>0.15859800000000002</v>
      </c>
      <c r="L1232" s="4"/>
      <c r="M1232" s="17">
        <v>1</v>
      </c>
      <c r="N1232" s="18">
        <f t="shared" si="126"/>
        <v>0.15859800000000002</v>
      </c>
      <c r="O1232" s="19">
        <f t="shared" si="127"/>
        <v>0</v>
      </c>
      <c r="P1232" s="13">
        <f t="shared" si="128"/>
        <v>0</v>
      </c>
      <c r="Q1232" s="9">
        <v>7.2</v>
      </c>
      <c r="R1232" s="2">
        <v>1</v>
      </c>
      <c r="S1232" s="2" t="s">
        <v>295</v>
      </c>
    </row>
    <row r="1233" spans="1:19">
      <c r="A1233" s="42" t="s">
        <v>84</v>
      </c>
      <c r="B1233" s="3" t="s">
        <v>124</v>
      </c>
      <c r="C1233" s="3">
        <v>1</v>
      </c>
      <c r="D1233" s="1"/>
      <c r="E1233" s="20" t="s">
        <v>114</v>
      </c>
      <c r="F1233" s="7" t="s">
        <v>15</v>
      </c>
      <c r="G1233" s="7" t="s">
        <v>49</v>
      </c>
      <c r="H1233" s="11">
        <v>17.82</v>
      </c>
      <c r="I1233" s="8">
        <v>9.1999999999999993</v>
      </c>
      <c r="J1233" s="26">
        <v>4</v>
      </c>
      <c r="K1233" s="10">
        <f t="shared" si="125"/>
        <v>0.65577599999999991</v>
      </c>
      <c r="L1233" s="4"/>
      <c r="M1233" s="17">
        <v>4</v>
      </c>
      <c r="N1233" s="18">
        <f t="shared" si="126"/>
        <v>0.65577599999999991</v>
      </c>
      <c r="O1233" s="19">
        <f t="shared" si="127"/>
        <v>0</v>
      </c>
      <c r="P1233" s="13">
        <f t="shared" si="128"/>
        <v>0</v>
      </c>
      <c r="Q1233" s="9">
        <v>9.1999999999999993</v>
      </c>
      <c r="R1233" s="2">
        <v>4</v>
      </c>
      <c r="S1233" s="2" t="s">
        <v>295</v>
      </c>
    </row>
    <row r="1234" spans="1:19">
      <c r="A1234" s="42" t="s">
        <v>84</v>
      </c>
      <c r="B1234" s="3" t="s">
        <v>124</v>
      </c>
      <c r="C1234" s="3">
        <v>1</v>
      </c>
      <c r="D1234" s="1"/>
      <c r="E1234" s="12" t="s">
        <v>19</v>
      </c>
      <c r="F1234" s="7" t="s">
        <v>14</v>
      </c>
      <c r="G1234" s="7" t="s">
        <v>35</v>
      </c>
      <c r="H1234" s="11">
        <v>16.579999999999998</v>
      </c>
      <c r="I1234" s="8">
        <v>6.2</v>
      </c>
      <c r="J1234" s="26">
        <v>1</v>
      </c>
      <c r="K1234" s="10">
        <f t="shared" si="125"/>
        <v>0.102796</v>
      </c>
      <c r="L1234" s="4"/>
      <c r="M1234" s="17"/>
      <c r="N1234" s="18">
        <f t="shared" si="126"/>
        <v>0</v>
      </c>
      <c r="O1234" s="19">
        <f t="shared" si="127"/>
        <v>1</v>
      </c>
      <c r="P1234" s="13">
        <f t="shared" si="128"/>
        <v>0.102796</v>
      </c>
      <c r="Q1234" s="9"/>
      <c r="R1234" s="2"/>
      <c r="S1234" s="2"/>
    </row>
    <row r="1235" spans="1:19">
      <c r="A1235" s="42" t="s">
        <v>84</v>
      </c>
      <c r="B1235" s="3" t="s">
        <v>124</v>
      </c>
      <c r="C1235" s="3">
        <v>1</v>
      </c>
      <c r="D1235" s="1"/>
      <c r="E1235" s="20" t="s">
        <v>114</v>
      </c>
      <c r="F1235" s="7" t="s">
        <v>15</v>
      </c>
      <c r="G1235" s="7" t="s">
        <v>49</v>
      </c>
      <c r="H1235" s="11">
        <v>17.82</v>
      </c>
      <c r="I1235" s="8">
        <v>10.7</v>
      </c>
      <c r="J1235" s="26">
        <v>2</v>
      </c>
      <c r="K1235" s="10">
        <f t="shared" si="125"/>
        <v>0.38134799999999996</v>
      </c>
      <c r="L1235" s="4"/>
      <c r="M1235" s="17">
        <v>2</v>
      </c>
      <c r="N1235" s="18">
        <f t="shared" si="126"/>
        <v>0.38134799999999996</v>
      </c>
      <c r="O1235" s="19">
        <f t="shared" si="127"/>
        <v>0</v>
      </c>
      <c r="P1235" s="13">
        <f t="shared" si="128"/>
        <v>0</v>
      </c>
      <c r="Q1235" s="9">
        <v>9.6</v>
      </c>
      <c r="R1235" s="2">
        <v>2</v>
      </c>
      <c r="S1235" s="2"/>
    </row>
    <row r="1236" spans="1:19">
      <c r="A1236" s="42" t="s">
        <v>84</v>
      </c>
      <c r="B1236" s="3" t="s">
        <v>124</v>
      </c>
      <c r="C1236" s="3">
        <v>1</v>
      </c>
      <c r="D1236" s="1"/>
      <c r="E1236" s="20" t="s">
        <v>114</v>
      </c>
      <c r="F1236" s="7" t="s">
        <v>15</v>
      </c>
      <c r="G1236" s="7" t="s">
        <v>49</v>
      </c>
      <c r="H1236" s="11">
        <v>17.82</v>
      </c>
      <c r="I1236" s="8">
        <v>10.5</v>
      </c>
      <c r="J1236" s="26">
        <v>1</v>
      </c>
      <c r="K1236" s="10">
        <f t="shared" si="125"/>
        <v>0.18711000000000003</v>
      </c>
      <c r="L1236" s="4"/>
      <c r="M1236" s="17">
        <v>1</v>
      </c>
      <c r="N1236" s="18">
        <f t="shared" si="126"/>
        <v>0.18711000000000003</v>
      </c>
      <c r="O1236" s="19">
        <f t="shared" si="127"/>
        <v>0</v>
      </c>
      <c r="P1236" s="13">
        <f t="shared" si="128"/>
        <v>0</v>
      </c>
      <c r="Q1236" s="9">
        <v>9.6</v>
      </c>
      <c r="R1236" s="2">
        <v>1</v>
      </c>
      <c r="S1236" s="2"/>
    </row>
    <row r="1237" spans="1:19">
      <c r="A1237" s="42" t="s">
        <v>84</v>
      </c>
      <c r="B1237" s="3" t="s">
        <v>124</v>
      </c>
      <c r="C1237" s="3">
        <v>1</v>
      </c>
      <c r="D1237" s="1"/>
      <c r="E1237" s="20" t="s">
        <v>114</v>
      </c>
      <c r="F1237" s="7" t="s">
        <v>15</v>
      </c>
      <c r="G1237" s="7" t="s">
        <v>49</v>
      </c>
      <c r="H1237" s="11">
        <v>17.82</v>
      </c>
      <c r="I1237" s="8">
        <v>10.9</v>
      </c>
      <c r="J1237" s="26">
        <v>2</v>
      </c>
      <c r="K1237" s="10">
        <f t="shared" si="125"/>
        <v>0.38847599999999999</v>
      </c>
      <c r="L1237" s="4"/>
      <c r="M1237" s="17">
        <v>2</v>
      </c>
      <c r="N1237" s="18">
        <f t="shared" si="126"/>
        <v>0.38847599999999999</v>
      </c>
      <c r="O1237" s="19">
        <f t="shared" si="127"/>
        <v>0</v>
      </c>
      <c r="P1237" s="13">
        <f t="shared" si="128"/>
        <v>0</v>
      </c>
      <c r="Q1237" s="9">
        <v>9.6</v>
      </c>
      <c r="R1237" s="2">
        <v>2</v>
      </c>
      <c r="S1237" s="2"/>
    </row>
    <row r="1238" spans="1:19">
      <c r="A1238" s="42" t="s">
        <v>84</v>
      </c>
      <c r="B1238" s="3" t="s">
        <v>124</v>
      </c>
      <c r="C1238" s="3">
        <v>1</v>
      </c>
      <c r="D1238" s="1"/>
      <c r="E1238" s="20" t="s">
        <v>114</v>
      </c>
      <c r="F1238" s="7" t="s">
        <v>15</v>
      </c>
      <c r="G1238" s="7" t="s">
        <v>49</v>
      </c>
      <c r="H1238" s="11">
        <v>17.82</v>
      </c>
      <c r="I1238" s="8">
        <v>9.6</v>
      </c>
      <c r="J1238" s="26">
        <v>4</v>
      </c>
      <c r="K1238" s="10">
        <f t="shared" si="125"/>
        <v>0.68428800000000001</v>
      </c>
      <c r="L1238" s="4"/>
      <c r="M1238" s="17">
        <v>4</v>
      </c>
      <c r="N1238" s="18">
        <f t="shared" si="126"/>
        <v>0.68428800000000001</v>
      </c>
      <c r="O1238" s="19">
        <f t="shared" si="127"/>
        <v>0</v>
      </c>
      <c r="P1238" s="13">
        <f t="shared" si="128"/>
        <v>0</v>
      </c>
      <c r="Q1238" s="9">
        <v>9.6</v>
      </c>
      <c r="R1238" s="2">
        <v>4</v>
      </c>
      <c r="S1238" s="2"/>
    </row>
    <row r="1239" spans="1:19">
      <c r="A1239" s="42" t="s">
        <v>84</v>
      </c>
      <c r="B1239" s="3" t="s">
        <v>124</v>
      </c>
      <c r="C1239" s="3">
        <v>3</v>
      </c>
      <c r="D1239" s="1"/>
      <c r="E1239" s="20" t="s">
        <v>114</v>
      </c>
      <c r="F1239" s="7" t="s">
        <v>15</v>
      </c>
      <c r="G1239" s="7" t="s">
        <v>49</v>
      </c>
      <c r="H1239" s="11">
        <v>17.82</v>
      </c>
      <c r="I1239" s="8">
        <v>10.6</v>
      </c>
      <c r="J1239" s="26">
        <v>4</v>
      </c>
      <c r="K1239" s="10">
        <f t="shared" si="125"/>
        <v>0.75556800000000002</v>
      </c>
      <c r="L1239" s="4"/>
      <c r="M1239" s="17">
        <v>4</v>
      </c>
      <c r="N1239" s="18">
        <f t="shared" si="126"/>
        <v>0.75556800000000002</v>
      </c>
      <c r="O1239" s="19">
        <f t="shared" si="127"/>
        <v>0</v>
      </c>
      <c r="P1239" s="13">
        <f t="shared" si="128"/>
        <v>0</v>
      </c>
      <c r="Q1239" s="9">
        <v>9.6</v>
      </c>
      <c r="R1239" s="2">
        <v>4</v>
      </c>
      <c r="S1239" s="2"/>
    </row>
    <row r="1240" spans="1:19">
      <c r="A1240" s="42" t="s">
        <v>84</v>
      </c>
      <c r="B1240" s="3" t="s">
        <v>124</v>
      </c>
      <c r="C1240" s="3">
        <v>5</v>
      </c>
      <c r="D1240" s="1"/>
      <c r="E1240" s="20" t="s">
        <v>114</v>
      </c>
      <c r="F1240" s="7" t="s">
        <v>15</v>
      </c>
      <c r="G1240" s="7" t="s">
        <v>49</v>
      </c>
      <c r="H1240" s="11">
        <v>17.82</v>
      </c>
      <c r="I1240" s="8">
        <v>10.5</v>
      </c>
      <c r="J1240" s="26">
        <v>3</v>
      </c>
      <c r="K1240" s="10">
        <f t="shared" ref="K1240:K1296" si="129">(H1240*I1240*J1240/1000)</f>
        <v>0.56133</v>
      </c>
      <c r="L1240" s="4"/>
      <c r="M1240" s="17">
        <v>3</v>
      </c>
      <c r="N1240" s="18">
        <f t="shared" ref="N1240:N1296" si="130">I1240*M1240*H1240/1000</f>
        <v>0.56133</v>
      </c>
      <c r="O1240" s="19">
        <f t="shared" ref="O1240:O1296" si="131">J1240-M1240</f>
        <v>0</v>
      </c>
      <c r="P1240" s="13">
        <f t="shared" ref="P1240:P1296" si="132">I1240*O1240*H1240/1000</f>
        <v>0</v>
      </c>
      <c r="Q1240" s="9">
        <v>9.6</v>
      </c>
      <c r="R1240" s="2">
        <v>3</v>
      </c>
      <c r="S1240" s="2"/>
    </row>
    <row r="1241" spans="1:19">
      <c r="A1241" s="42" t="s">
        <v>84</v>
      </c>
      <c r="B1241" s="3" t="s">
        <v>124</v>
      </c>
      <c r="C1241" s="3">
        <v>1</v>
      </c>
      <c r="D1241" s="1"/>
      <c r="E1241" s="20" t="s">
        <v>114</v>
      </c>
      <c r="F1241" s="7" t="s">
        <v>15</v>
      </c>
      <c r="G1241" s="7" t="s">
        <v>42</v>
      </c>
      <c r="H1241" s="11">
        <v>19.72</v>
      </c>
      <c r="I1241" s="8">
        <v>4.2</v>
      </c>
      <c r="J1241" s="26">
        <v>2</v>
      </c>
      <c r="K1241" s="10">
        <f t="shared" si="129"/>
        <v>0.16564799999999999</v>
      </c>
      <c r="L1241" s="4"/>
      <c r="M1241" s="17"/>
      <c r="N1241" s="18">
        <f t="shared" si="130"/>
        <v>0</v>
      </c>
      <c r="O1241" s="19">
        <f t="shared" si="131"/>
        <v>2</v>
      </c>
      <c r="P1241" s="13">
        <f t="shared" si="132"/>
        <v>0.16564799999999999</v>
      </c>
      <c r="Q1241" s="9"/>
      <c r="R1241" s="2"/>
      <c r="S1241" s="2"/>
    </row>
    <row r="1242" spans="1:19">
      <c r="A1242" s="42" t="s">
        <v>90</v>
      </c>
      <c r="B1242" s="48" t="s">
        <v>148</v>
      </c>
      <c r="C1242" s="32">
        <v>1</v>
      </c>
      <c r="D1242" s="32"/>
      <c r="E1242" s="48" t="s">
        <v>19</v>
      </c>
      <c r="F1242" s="48" t="s">
        <v>14</v>
      </c>
      <c r="G1242" s="48" t="s">
        <v>149</v>
      </c>
      <c r="H1242" s="49">
        <v>6.39</v>
      </c>
      <c r="I1242" s="9">
        <v>12</v>
      </c>
      <c r="J1242" s="2">
        <v>1</v>
      </c>
      <c r="K1242" s="10">
        <f t="shared" si="129"/>
        <v>7.6679999999999998E-2</v>
      </c>
      <c r="L1242" s="32"/>
      <c r="M1242" s="32">
        <v>1</v>
      </c>
      <c r="N1242" s="18">
        <f t="shared" si="130"/>
        <v>7.6679999999999998E-2</v>
      </c>
      <c r="O1242" s="19">
        <f t="shared" si="131"/>
        <v>0</v>
      </c>
      <c r="P1242" s="13">
        <f t="shared" si="132"/>
        <v>0</v>
      </c>
      <c r="Q1242" s="33">
        <v>9</v>
      </c>
      <c r="R1242" s="32">
        <v>1</v>
      </c>
      <c r="S1242" s="32"/>
    </row>
    <row r="1243" spans="1:19">
      <c r="A1243" s="42" t="s">
        <v>90</v>
      </c>
      <c r="B1243" s="48" t="s">
        <v>148</v>
      </c>
      <c r="C1243" s="32">
        <v>1</v>
      </c>
      <c r="D1243" s="32"/>
      <c r="E1243" s="48" t="s">
        <v>19</v>
      </c>
      <c r="F1243" s="48" t="s">
        <v>14</v>
      </c>
      <c r="G1243" s="48" t="s">
        <v>149</v>
      </c>
      <c r="H1243" s="49">
        <v>6.39</v>
      </c>
      <c r="I1243" s="28">
        <v>11</v>
      </c>
      <c r="J1243" s="2">
        <v>1</v>
      </c>
      <c r="K1243" s="10">
        <f t="shared" si="129"/>
        <v>7.0289999999999991E-2</v>
      </c>
      <c r="L1243" s="32"/>
      <c r="M1243" s="32">
        <v>1</v>
      </c>
      <c r="N1243" s="18">
        <f t="shared" si="130"/>
        <v>7.0289999999999991E-2</v>
      </c>
      <c r="O1243" s="19">
        <f t="shared" si="131"/>
        <v>0</v>
      </c>
      <c r="P1243" s="13">
        <f t="shared" si="132"/>
        <v>0</v>
      </c>
      <c r="Q1243" s="33">
        <v>9</v>
      </c>
      <c r="R1243" s="32">
        <v>1</v>
      </c>
      <c r="S1243" s="32"/>
    </row>
    <row r="1244" spans="1:19">
      <c r="A1244" s="42" t="s">
        <v>90</v>
      </c>
      <c r="B1244" s="48" t="s">
        <v>148</v>
      </c>
      <c r="C1244" s="32">
        <v>1</v>
      </c>
      <c r="D1244" s="32"/>
      <c r="E1244" s="48" t="s">
        <v>19</v>
      </c>
      <c r="F1244" s="48" t="s">
        <v>14</v>
      </c>
      <c r="G1244" s="48" t="s">
        <v>149</v>
      </c>
      <c r="H1244" s="49">
        <v>6.39</v>
      </c>
      <c r="I1244" s="9">
        <v>10</v>
      </c>
      <c r="J1244" s="2">
        <v>1</v>
      </c>
      <c r="K1244" s="10">
        <f t="shared" si="129"/>
        <v>6.3899999999999998E-2</v>
      </c>
      <c r="L1244" s="32"/>
      <c r="M1244" s="32">
        <v>1</v>
      </c>
      <c r="N1244" s="18">
        <f t="shared" si="130"/>
        <v>6.3899999999999998E-2</v>
      </c>
      <c r="O1244" s="19">
        <f t="shared" si="131"/>
        <v>0</v>
      </c>
      <c r="P1244" s="13">
        <f t="shared" si="132"/>
        <v>0</v>
      </c>
      <c r="Q1244" s="33">
        <v>10</v>
      </c>
      <c r="R1244" s="32">
        <v>1</v>
      </c>
      <c r="S1244" s="32"/>
    </row>
    <row r="1245" spans="1:19">
      <c r="A1245" s="42" t="s">
        <v>90</v>
      </c>
      <c r="B1245" s="48" t="s">
        <v>148</v>
      </c>
      <c r="C1245" s="32">
        <v>1</v>
      </c>
      <c r="D1245" s="32"/>
      <c r="E1245" s="48" t="s">
        <v>19</v>
      </c>
      <c r="F1245" s="48" t="s">
        <v>14</v>
      </c>
      <c r="G1245" s="48" t="s">
        <v>149</v>
      </c>
      <c r="H1245" s="49">
        <v>6.39</v>
      </c>
      <c r="I1245" s="51">
        <v>8.1999999999999993</v>
      </c>
      <c r="J1245" s="2">
        <v>4</v>
      </c>
      <c r="K1245" s="10">
        <f t="shared" si="129"/>
        <v>0.20959199999999997</v>
      </c>
      <c r="L1245" s="32"/>
      <c r="M1245" s="32">
        <v>4</v>
      </c>
      <c r="N1245" s="18">
        <f t="shared" si="130"/>
        <v>0.20959199999999997</v>
      </c>
      <c r="O1245" s="106">
        <f t="shared" si="131"/>
        <v>0</v>
      </c>
      <c r="P1245" s="13">
        <f t="shared" si="132"/>
        <v>0</v>
      </c>
      <c r="Q1245" s="32">
        <v>8.1999999999999993</v>
      </c>
      <c r="R1245" s="32">
        <v>4</v>
      </c>
      <c r="S1245" s="32" t="s">
        <v>534</v>
      </c>
    </row>
    <row r="1246" spans="1:19">
      <c r="A1246" s="42" t="s">
        <v>90</v>
      </c>
      <c r="B1246" s="48" t="s">
        <v>148</v>
      </c>
      <c r="C1246" s="32">
        <v>1</v>
      </c>
      <c r="D1246" s="32"/>
      <c r="E1246" s="48" t="s">
        <v>19</v>
      </c>
      <c r="F1246" s="48" t="s">
        <v>14</v>
      </c>
      <c r="G1246" s="48" t="s">
        <v>149</v>
      </c>
      <c r="H1246" s="49">
        <v>6.39</v>
      </c>
      <c r="I1246" s="28">
        <v>9.6999999999999993</v>
      </c>
      <c r="J1246" s="2">
        <v>1</v>
      </c>
      <c r="K1246" s="10">
        <f t="shared" si="129"/>
        <v>6.1982999999999989E-2</v>
      </c>
      <c r="L1246" s="32"/>
      <c r="M1246" s="32">
        <v>1</v>
      </c>
      <c r="N1246" s="18">
        <f t="shared" si="130"/>
        <v>6.1982999999999989E-2</v>
      </c>
      <c r="O1246" s="19">
        <f t="shared" si="131"/>
        <v>0</v>
      </c>
      <c r="P1246" s="13">
        <f t="shared" si="132"/>
        <v>0</v>
      </c>
      <c r="Q1246" s="33">
        <v>9</v>
      </c>
      <c r="R1246" s="32">
        <v>1</v>
      </c>
      <c r="S1246" s="32"/>
    </row>
    <row r="1247" spans="1:19">
      <c r="A1247" s="42" t="s">
        <v>90</v>
      </c>
      <c r="B1247" s="48" t="s">
        <v>148</v>
      </c>
      <c r="C1247" s="32">
        <v>1</v>
      </c>
      <c r="D1247" s="32"/>
      <c r="E1247" s="48" t="s">
        <v>19</v>
      </c>
      <c r="F1247" s="48" t="s">
        <v>14</v>
      </c>
      <c r="G1247" s="48" t="s">
        <v>149</v>
      </c>
      <c r="H1247" s="49">
        <v>6.39</v>
      </c>
      <c r="I1247" s="28">
        <v>9.8000000000000007</v>
      </c>
      <c r="J1247" s="3">
        <v>1</v>
      </c>
      <c r="K1247" s="10">
        <f t="shared" si="129"/>
        <v>6.2621999999999997E-2</v>
      </c>
      <c r="L1247" s="32"/>
      <c r="M1247" s="32">
        <v>1</v>
      </c>
      <c r="N1247" s="18">
        <f t="shared" si="130"/>
        <v>6.2621999999999997E-2</v>
      </c>
      <c r="O1247" s="19">
        <f t="shared" si="131"/>
        <v>0</v>
      </c>
      <c r="P1247" s="13">
        <f t="shared" si="132"/>
        <v>0</v>
      </c>
      <c r="Q1247" s="33">
        <v>9</v>
      </c>
      <c r="R1247" s="32">
        <v>1</v>
      </c>
      <c r="S1247" s="32"/>
    </row>
    <row r="1248" spans="1:19">
      <c r="A1248" s="42" t="s">
        <v>90</v>
      </c>
      <c r="B1248" s="48" t="s">
        <v>148</v>
      </c>
      <c r="C1248" s="32">
        <v>2</v>
      </c>
      <c r="D1248" s="32"/>
      <c r="E1248" s="48" t="s">
        <v>19</v>
      </c>
      <c r="F1248" s="48" t="s">
        <v>14</v>
      </c>
      <c r="G1248" s="48" t="s">
        <v>149</v>
      </c>
      <c r="H1248" s="49">
        <v>6.39</v>
      </c>
      <c r="I1248" s="28">
        <v>8</v>
      </c>
      <c r="J1248" s="3">
        <v>2</v>
      </c>
      <c r="K1248" s="10">
        <f t="shared" si="129"/>
        <v>0.10224</v>
      </c>
      <c r="L1248" s="32"/>
      <c r="M1248" s="32">
        <v>2</v>
      </c>
      <c r="N1248" s="18">
        <f t="shared" si="130"/>
        <v>0.10224</v>
      </c>
      <c r="O1248" s="19">
        <f t="shared" si="131"/>
        <v>0</v>
      </c>
      <c r="P1248" s="13">
        <f t="shared" si="132"/>
        <v>0</v>
      </c>
      <c r="Q1248" s="33">
        <v>7.25</v>
      </c>
      <c r="R1248" s="32">
        <v>2</v>
      </c>
      <c r="S1248" s="32"/>
    </row>
    <row r="1249" spans="1:19">
      <c r="A1249" s="42" t="s">
        <v>90</v>
      </c>
      <c r="B1249" s="48" t="s">
        <v>148</v>
      </c>
      <c r="C1249" s="32">
        <v>2</v>
      </c>
      <c r="D1249" s="32"/>
      <c r="E1249" s="48" t="s">
        <v>19</v>
      </c>
      <c r="F1249" s="48" t="s">
        <v>14</v>
      </c>
      <c r="G1249" s="48" t="s">
        <v>149</v>
      </c>
      <c r="H1249" s="49">
        <v>6.39</v>
      </c>
      <c r="I1249" s="28">
        <v>8.1</v>
      </c>
      <c r="J1249" s="3">
        <v>1</v>
      </c>
      <c r="K1249" s="10">
        <f t="shared" si="129"/>
        <v>5.1758999999999993E-2</v>
      </c>
      <c r="L1249" s="32"/>
      <c r="M1249" s="32">
        <v>1</v>
      </c>
      <c r="N1249" s="18">
        <f t="shared" si="130"/>
        <v>5.1758999999999993E-2</v>
      </c>
      <c r="O1249" s="19">
        <f t="shared" si="131"/>
        <v>0</v>
      </c>
      <c r="P1249" s="13">
        <f t="shared" si="132"/>
        <v>0</v>
      </c>
      <c r="Q1249" s="33">
        <v>7.25</v>
      </c>
      <c r="R1249" s="32">
        <v>1</v>
      </c>
      <c r="S1249" s="32"/>
    </row>
    <row r="1250" spans="1:19">
      <c r="A1250" s="42" t="s">
        <v>90</v>
      </c>
      <c r="B1250" s="48" t="s">
        <v>148</v>
      </c>
      <c r="C1250" s="32">
        <v>2</v>
      </c>
      <c r="D1250" s="32"/>
      <c r="E1250" s="48" t="s">
        <v>19</v>
      </c>
      <c r="F1250" s="48" t="s">
        <v>14</v>
      </c>
      <c r="G1250" s="48" t="s">
        <v>149</v>
      </c>
      <c r="H1250" s="49">
        <v>6.39</v>
      </c>
      <c r="I1250" s="28">
        <v>8.1999999999999993</v>
      </c>
      <c r="J1250" s="3">
        <v>3</v>
      </c>
      <c r="K1250" s="10">
        <f t="shared" si="129"/>
        <v>0.157194</v>
      </c>
      <c r="L1250" s="32"/>
      <c r="M1250" s="32">
        <v>3</v>
      </c>
      <c r="N1250" s="18">
        <f t="shared" si="130"/>
        <v>0.157194</v>
      </c>
      <c r="O1250" s="19">
        <f t="shared" si="131"/>
        <v>0</v>
      </c>
      <c r="P1250" s="13">
        <f t="shared" si="132"/>
        <v>0</v>
      </c>
      <c r="Q1250" s="33">
        <v>7.25</v>
      </c>
      <c r="R1250" s="32">
        <v>3</v>
      </c>
      <c r="S1250" s="32"/>
    </row>
    <row r="1251" spans="1:19">
      <c r="A1251" s="42" t="s">
        <v>90</v>
      </c>
      <c r="B1251" s="48" t="s">
        <v>148</v>
      </c>
      <c r="C1251" s="32">
        <v>2</v>
      </c>
      <c r="D1251" s="32"/>
      <c r="E1251" s="48" t="s">
        <v>19</v>
      </c>
      <c r="F1251" s="48" t="s">
        <v>14</v>
      </c>
      <c r="G1251" s="48" t="s">
        <v>149</v>
      </c>
      <c r="H1251" s="49">
        <v>6.39</v>
      </c>
      <c r="I1251" s="28">
        <v>9</v>
      </c>
      <c r="J1251" s="3">
        <v>2</v>
      </c>
      <c r="K1251" s="10">
        <f t="shared" si="129"/>
        <v>0.11502</v>
      </c>
      <c r="L1251" s="32"/>
      <c r="M1251" s="32">
        <v>2</v>
      </c>
      <c r="N1251" s="18">
        <f t="shared" si="130"/>
        <v>0.11502</v>
      </c>
      <c r="O1251" s="19">
        <f t="shared" si="131"/>
        <v>0</v>
      </c>
      <c r="P1251" s="13">
        <f t="shared" si="132"/>
        <v>0</v>
      </c>
      <c r="Q1251" s="33">
        <v>9</v>
      </c>
      <c r="R1251" s="32">
        <v>2</v>
      </c>
      <c r="S1251" s="32"/>
    </row>
    <row r="1252" spans="1:19">
      <c r="A1252" s="42" t="s">
        <v>90</v>
      </c>
      <c r="B1252" s="48" t="s">
        <v>148</v>
      </c>
      <c r="C1252" s="32">
        <v>2</v>
      </c>
      <c r="D1252" s="32"/>
      <c r="E1252" s="48" t="s">
        <v>19</v>
      </c>
      <c r="F1252" s="48" t="s">
        <v>14</v>
      </c>
      <c r="G1252" s="48" t="s">
        <v>149</v>
      </c>
      <c r="H1252" s="49">
        <v>6.39</v>
      </c>
      <c r="I1252" s="28">
        <v>5.5</v>
      </c>
      <c r="J1252" s="3">
        <v>1</v>
      </c>
      <c r="K1252" s="10">
        <f t="shared" si="129"/>
        <v>3.5144999999999996E-2</v>
      </c>
      <c r="L1252" s="32"/>
      <c r="M1252" s="32"/>
      <c r="N1252" s="18">
        <f t="shared" si="130"/>
        <v>0</v>
      </c>
      <c r="O1252" s="106">
        <f t="shared" si="131"/>
        <v>1</v>
      </c>
      <c r="P1252" s="13">
        <f t="shared" si="132"/>
        <v>3.5144999999999996E-2</v>
      </c>
      <c r="Q1252" s="32" t="s">
        <v>467</v>
      </c>
      <c r="R1252" s="32">
        <v>1</v>
      </c>
      <c r="S1252" s="32"/>
    </row>
    <row r="1253" spans="1:19">
      <c r="A1253" s="42" t="s">
        <v>90</v>
      </c>
      <c r="B1253" s="48" t="s">
        <v>148</v>
      </c>
      <c r="C1253" s="32">
        <v>2</v>
      </c>
      <c r="D1253" s="32"/>
      <c r="E1253" s="48" t="s">
        <v>19</v>
      </c>
      <c r="F1253" s="48" t="s">
        <v>14</v>
      </c>
      <c r="G1253" s="48" t="s">
        <v>149</v>
      </c>
      <c r="H1253" s="49">
        <v>6.39</v>
      </c>
      <c r="I1253" s="28">
        <v>5.8</v>
      </c>
      <c r="J1253" s="3">
        <v>1</v>
      </c>
      <c r="K1253" s="10">
        <f t="shared" si="129"/>
        <v>3.7061999999999998E-2</v>
      </c>
      <c r="L1253" s="32"/>
      <c r="M1253" s="32"/>
      <c r="N1253" s="18">
        <f t="shared" si="130"/>
        <v>0</v>
      </c>
      <c r="O1253" s="106">
        <f t="shared" si="131"/>
        <v>1</v>
      </c>
      <c r="P1253" s="13">
        <f t="shared" si="132"/>
        <v>3.7061999999999998E-2</v>
      </c>
      <c r="Q1253" s="32" t="s">
        <v>467</v>
      </c>
      <c r="R1253" s="32">
        <v>1</v>
      </c>
      <c r="S1253" s="32"/>
    </row>
    <row r="1254" spans="1:19">
      <c r="A1254" s="42" t="s">
        <v>90</v>
      </c>
      <c r="B1254" s="48" t="s">
        <v>148</v>
      </c>
      <c r="C1254" s="32">
        <v>2</v>
      </c>
      <c r="D1254" s="32"/>
      <c r="E1254" s="48" t="s">
        <v>19</v>
      </c>
      <c r="F1254" s="48" t="s">
        <v>14</v>
      </c>
      <c r="G1254" s="48" t="s">
        <v>149</v>
      </c>
      <c r="H1254" s="49">
        <v>6.39</v>
      </c>
      <c r="I1254" s="28">
        <v>7</v>
      </c>
      <c r="J1254" s="3">
        <v>2</v>
      </c>
      <c r="K1254" s="10">
        <f t="shared" si="129"/>
        <v>8.9459999999999998E-2</v>
      </c>
      <c r="L1254" s="32"/>
      <c r="M1254" s="32">
        <v>2</v>
      </c>
      <c r="N1254" s="18">
        <f t="shared" si="130"/>
        <v>8.9459999999999998E-2</v>
      </c>
      <c r="O1254" s="106">
        <f t="shared" si="131"/>
        <v>0</v>
      </c>
      <c r="P1254" s="13">
        <f t="shared" si="132"/>
        <v>0</v>
      </c>
      <c r="Q1254" s="311" t="s">
        <v>671</v>
      </c>
      <c r="R1254" s="32">
        <v>2</v>
      </c>
      <c r="S1254" s="32"/>
    </row>
    <row r="1255" spans="1:19">
      <c r="A1255" s="42" t="s">
        <v>90</v>
      </c>
      <c r="B1255" s="48" t="s">
        <v>148</v>
      </c>
      <c r="C1255" s="32">
        <v>2</v>
      </c>
      <c r="D1255" s="32"/>
      <c r="E1255" s="48" t="s">
        <v>19</v>
      </c>
      <c r="F1255" s="48" t="s">
        <v>14</v>
      </c>
      <c r="G1255" s="48" t="s">
        <v>149</v>
      </c>
      <c r="H1255" s="49">
        <v>6.39</v>
      </c>
      <c r="I1255" s="28">
        <v>10</v>
      </c>
      <c r="J1255" s="3">
        <v>5</v>
      </c>
      <c r="K1255" s="10">
        <f t="shared" si="129"/>
        <v>0.31950000000000001</v>
      </c>
      <c r="L1255" s="32"/>
      <c r="M1255" s="32">
        <v>5</v>
      </c>
      <c r="N1255" s="18">
        <f t="shared" si="130"/>
        <v>0.31950000000000001</v>
      </c>
      <c r="O1255" s="106">
        <f t="shared" si="131"/>
        <v>0</v>
      </c>
      <c r="P1255" s="13">
        <f t="shared" si="132"/>
        <v>0</v>
      </c>
      <c r="Q1255" s="33">
        <v>9</v>
      </c>
      <c r="R1255" s="32">
        <v>5</v>
      </c>
      <c r="S1255" s="32"/>
    </row>
    <row r="1256" spans="1:19">
      <c r="A1256" s="42" t="s">
        <v>90</v>
      </c>
      <c r="B1256" s="48" t="s">
        <v>148</v>
      </c>
      <c r="C1256" s="32">
        <v>2</v>
      </c>
      <c r="D1256" s="32"/>
      <c r="E1256" s="48" t="s">
        <v>19</v>
      </c>
      <c r="F1256" s="48" t="s">
        <v>14</v>
      </c>
      <c r="G1256" s="48" t="s">
        <v>149</v>
      </c>
      <c r="H1256" s="49">
        <v>6.39</v>
      </c>
      <c r="I1256" s="28">
        <v>9.5</v>
      </c>
      <c r="J1256" s="3">
        <v>1</v>
      </c>
      <c r="K1256" s="10">
        <f t="shared" si="129"/>
        <v>6.0704999999999995E-2</v>
      </c>
      <c r="L1256" s="32"/>
      <c r="M1256" s="32">
        <v>1</v>
      </c>
      <c r="N1256" s="18">
        <f t="shared" si="130"/>
        <v>6.0704999999999995E-2</v>
      </c>
      <c r="O1256" s="106">
        <f t="shared" si="131"/>
        <v>0</v>
      </c>
      <c r="P1256" s="13">
        <f t="shared" si="132"/>
        <v>0</v>
      </c>
      <c r="Q1256" s="33">
        <v>9</v>
      </c>
      <c r="R1256" s="32">
        <v>1</v>
      </c>
      <c r="S1256" s="32"/>
    </row>
    <row r="1257" spans="1:19">
      <c r="A1257" s="42" t="s">
        <v>90</v>
      </c>
      <c r="B1257" s="48" t="s">
        <v>148</v>
      </c>
      <c r="C1257" s="32">
        <v>2</v>
      </c>
      <c r="D1257" s="32"/>
      <c r="E1257" s="48" t="s">
        <v>19</v>
      </c>
      <c r="F1257" s="48" t="s">
        <v>14</v>
      </c>
      <c r="G1257" s="48" t="s">
        <v>149</v>
      </c>
      <c r="H1257" s="49">
        <v>6.39</v>
      </c>
      <c r="I1257" s="28">
        <v>9.75</v>
      </c>
      <c r="J1257" s="3">
        <v>1</v>
      </c>
      <c r="K1257" s="10">
        <f t="shared" si="129"/>
        <v>6.2302499999999997E-2</v>
      </c>
      <c r="L1257" s="32"/>
      <c r="M1257" s="32">
        <v>1</v>
      </c>
      <c r="N1257" s="18">
        <f t="shared" si="130"/>
        <v>6.2302499999999997E-2</v>
      </c>
      <c r="O1257" s="106">
        <f t="shared" si="131"/>
        <v>0</v>
      </c>
      <c r="P1257" s="13">
        <f t="shared" si="132"/>
        <v>0</v>
      </c>
      <c r="Q1257" s="33">
        <v>9</v>
      </c>
      <c r="R1257" s="32">
        <v>1</v>
      </c>
      <c r="S1257" s="32"/>
    </row>
    <row r="1258" spans="1:19">
      <c r="A1258" s="42" t="s">
        <v>90</v>
      </c>
      <c r="B1258" s="48" t="s">
        <v>148</v>
      </c>
      <c r="C1258" s="32">
        <v>2</v>
      </c>
      <c r="D1258" s="32"/>
      <c r="E1258" s="48" t="s">
        <v>19</v>
      </c>
      <c r="F1258" s="48" t="s">
        <v>14</v>
      </c>
      <c r="G1258" s="48" t="s">
        <v>149</v>
      </c>
      <c r="H1258" s="49">
        <v>6.39</v>
      </c>
      <c r="I1258" s="28">
        <v>7.3</v>
      </c>
      <c r="J1258" s="2">
        <v>1</v>
      </c>
      <c r="K1258" s="10">
        <f t="shared" si="129"/>
        <v>4.6647000000000001E-2</v>
      </c>
      <c r="L1258" s="32"/>
      <c r="M1258" s="32">
        <v>1</v>
      </c>
      <c r="N1258" s="18">
        <f t="shared" si="130"/>
        <v>4.6647000000000001E-2</v>
      </c>
      <c r="O1258" s="106">
        <f t="shared" si="131"/>
        <v>0</v>
      </c>
      <c r="P1258" s="13">
        <f t="shared" si="132"/>
        <v>0</v>
      </c>
      <c r="Q1258" s="33">
        <v>6.6</v>
      </c>
      <c r="R1258" s="32">
        <v>1</v>
      </c>
      <c r="S1258" s="32"/>
    </row>
    <row r="1259" spans="1:19">
      <c r="A1259" s="42" t="s">
        <v>90</v>
      </c>
      <c r="B1259" s="48" t="s">
        <v>148</v>
      </c>
      <c r="C1259" s="32">
        <v>2</v>
      </c>
      <c r="D1259" s="32"/>
      <c r="E1259" s="48" t="s">
        <v>19</v>
      </c>
      <c r="F1259" s="48" t="s">
        <v>14</v>
      </c>
      <c r="G1259" s="48" t="s">
        <v>149</v>
      </c>
      <c r="H1259" s="49">
        <v>6.39</v>
      </c>
      <c r="I1259" s="28">
        <v>7.5</v>
      </c>
      <c r="J1259" s="3">
        <v>1</v>
      </c>
      <c r="K1259" s="10">
        <f t="shared" si="129"/>
        <v>4.7924999999999995E-2</v>
      </c>
      <c r="L1259" s="32"/>
      <c r="M1259" s="32">
        <v>1</v>
      </c>
      <c r="N1259" s="18">
        <f t="shared" si="130"/>
        <v>4.7924999999999995E-2</v>
      </c>
      <c r="O1259" s="106">
        <f t="shared" si="131"/>
        <v>0</v>
      </c>
      <c r="P1259" s="13">
        <f t="shared" si="132"/>
        <v>0</v>
      </c>
      <c r="Q1259" s="33"/>
      <c r="R1259" s="32">
        <v>1</v>
      </c>
      <c r="S1259" s="32"/>
    </row>
    <row r="1260" spans="1:19">
      <c r="A1260" s="42" t="s">
        <v>90</v>
      </c>
      <c r="B1260" s="48" t="s">
        <v>148</v>
      </c>
      <c r="C1260" s="32">
        <v>2</v>
      </c>
      <c r="D1260" s="32"/>
      <c r="E1260" s="48" t="s">
        <v>19</v>
      </c>
      <c r="F1260" s="48" t="s">
        <v>14</v>
      </c>
      <c r="G1260" s="48" t="s">
        <v>149</v>
      </c>
      <c r="H1260" s="49">
        <v>6.39</v>
      </c>
      <c r="I1260" s="28">
        <v>7.7</v>
      </c>
      <c r="J1260" s="3">
        <v>1</v>
      </c>
      <c r="K1260" s="10">
        <f t="shared" si="129"/>
        <v>4.9202999999999997E-2</v>
      </c>
      <c r="L1260" s="32"/>
      <c r="M1260" s="32">
        <v>1</v>
      </c>
      <c r="N1260" s="18">
        <f t="shared" si="130"/>
        <v>4.9202999999999997E-2</v>
      </c>
      <c r="O1260" s="106">
        <f t="shared" si="131"/>
        <v>0</v>
      </c>
      <c r="P1260" s="13">
        <f t="shared" si="132"/>
        <v>0</v>
      </c>
      <c r="Q1260" s="33">
        <v>6.6</v>
      </c>
      <c r="R1260" s="32">
        <v>1</v>
      </c>
      <c r="S1260" s="32"/>
    </row>
    <row r="1261" spans="1:19">
      <c r="A1261" s="42" t="s">
        <v>90</v>
      </c>
      <c r="B1261" s="48" t="s">
        <v>148</v>
      </c>
      <c r="C1261" s="32">
        <v>2</v>
      </c>
      <c r="D1261" s="32"/>
      <c r="E1261" s="48" t="s">
        <v>19</v>
      </c>
      <c r="F1261" s="48" t="s">
        <v>14</v>
      </c>
      <c r="G1261" s="48" t="s">
        <v>149</v>
      </c>
      <c r="H1261" s="49">
        <v>6.39</v>
      </c>
      <c r="I1261" s="28">
        <v>7.8</v>
      </c>
      <c r="J1261" s="3">
        <v>1</v>
      </c>
      <c r="K1261" s="10">
        <f t="shared" si="129"/>
        <v>4.9841999999999997E-2</v>
      </c>
      <c r="L1261" s="32"/>
      <c r="M1261" s="32">
        <v>1</v>
      </c>
      <c r="N1261" s="18">
        <f t="shared" si="130"/>
        <v>4.9841999999999997E-2</v>
      </c>
      <c r="O1261" s="106">
        <f t="shared" si="131"/>
        <v>0</v>
      </c>
      <c r="P1261" s="13">
        <f t="shared" si="132"/>
        <v>0</v>
      </c>
      <c r="Q1261" s="33">
        <v>6.6</v>
      </c>
      <c r="R1261" s="32">
        <v>1</v>
      </c>
      <c r="S1261" s="32"/>
    </row>
    <row r="1262" spans="1:19">
      <c r="A1262" s="42" t="s">
        <v>90</v>
      </c>
      <c r="B1262" s="48" t="s">
        <v>148</v>
      </c>
      <c r="C1262" s="32">
        <v>2</v>
      </c>
      <c r="D1262" s="32"/>
      <c r="E1262" s="48" t="s">
        <v>19</v>
      </c>
      <c r="F1262" s="48" t="s">
        <v>14</v>
      </c>
      <c r="G1262" s="48" t="s">
        <v>149</v>
      </c>
      <c r="H1262" s="49">
        <v>6.39</v>
      </c>
      <c r="I1262" s="8">
        <v>7.9</v>
      </c>
      <c r="J1262" s="7">
        <v>1</v>
      </c>
      <c r="K1262" s="10">
        <f t="shared" si="129"/>
        <v>5.0481000000000005E-2</v>
      </c>
      <c r="L1262" s="32"/>
      <c r="M1262" s="32">
        <v>1</v>
      </c>
      <c r="N1262" s="18">
        <f t="shared" si="130"/>
        <v>5.0481000000000005E-2</v>
      </c>
      <c r="O1262" s="106">
        <f t="shared" si="131"/>
        <v>0</v>
      </c>
      <c r="P1262" s="13">
        <f t="shared" si="132"/>
        <v>0</v>
      </c>
      <c r="Q1262" s="33">
        <v>7.25</v>
      </c>
      <c r="R1262" s="32">
        <v>1</v>
      </c>
      <c r="S1262" s="32"/>
    </row>
    <row r="1263" spans="1:19">
      <c r="A1263" s="42" t="s">
        <v>90</v>
      </c>
      <c r="B1263" s="48" t="s">
        <v>148</v>
      </c>
      <c r="C1263" s="32">
        <v>3</v>
      </c>
      <c r="D1263" s="32"/>
      <c r="E1263" s="48" t="s">
        <v>19</v>
      </c>
      <c r="F1263" s="48" t="s">
        <v>14</v>
      </c>
      <c r="G1263" s="48" t="s">
        <v>144</v>
      </c>
      <c r="H1263" s="49">
        <v>5.38</v>
      </c>
      <c r="I1263" s="52">
        <v>8.25</v>
      </c>
      <c r="J1263" s="7">
        <v>1</v>
      </c>
      <c r="K1263" s="10">
        <f t="shared" si="129"/>
        <v>4.4385000000000001E-2</v>
      </c>
      <c r="L1263" s="32"/>
      <c r="M1263" s="32">
        <v>1</v>
      </c>
      <c r="N1263" s="18">
        <f t="shared" si="130"/>
        <v>4.4385000000000001E-2</v>
      </c>
      <c r="O1263" s="106">
        <f t="shared" si="131"/>
        <v>0</v>
      </c>
      <c r="P1263" s="13">
        <f t="shared" si="132"/>
        <v>0</v>
      </c>
      <c r="Q1263" s="32">
        <v>7.95</v>
      </c>
      <c r="R1263" s="32">
        <v>1</v>
      </c>
      <c r="S1263" s="32" t="s">
        <v>657</v>
      </c>
    </row>
    <row r="1264" spans="1:19">
      <c r="A1264" s="42" t="s">
        <v>90</v>
      </c>
      <c r="B1264" s="48" t="s">
        <v>148</v>
      </c>
      <c r="C1264" s="32">
        <v>3</v>
      </c>
      <c r="D1264" s="32"/>
      <c r="E1264" s="48" t="s">
        <v>19</v>
      </c>
      <c r="F1264" s="48" t="s">
        <v>14</v>
      </c>
      <c r="G1264" s="48" t="s">
        <v>144</v>
      </c>
      <c r="H1264" s="49">
        <v>5.38</v>
      </c>
      <c r="I1264" s="52">
        <v>8.6999999999999993</v>
      </c>
      <c r="J1264" s="7">
        <v>2</v>
      </c>
      <c r="K1264" s="10">
        <f t="shared" si="129"/>
        <v>9.3612000000000001E-2</v>
      </c>
      <c r="L1264" s="32"/>
      <c r="M1264" s="32">
        <v>2</v>
      </c>
      <c r="N1264" s="18">
        <f t="shared" si="130"/>
        <v>9.3612000000000001E-2</v>
      </c>
      <c r="O1264" s="106">
        <f t="shared" si="131"/>
        <v>0</v>
      </c>
      <c r="P1264" s="13">
        <f t="shared" si="132"/>
        <v>0</v>
      </c>
      <c r="Q1264" s="32">
        <v>7.95</v>
      </c>
      <c r="R1264" s="32">
        <v>2</v>
      </c>
      <c r="S1264" s="32" t="s">
        <v>657</v>
      </c>
    </row>
    <row r="1265" spans="1:19">
      <c r="A1265" s="42" t="s">
        <v>90</v>
      </c>
      <c r="B1265" s="48" t="s">
        <v>148</v>
      </c>
      <c r="C1265" s="32">
        <v>3</v>
      </c>
      <c r="D1265" s="32"/>
      <c r="E1265" s="48" t="s">
        <v>19</v>
      </c>
      <c r="F1265" s="48" t="s">
        <v>14</v>
      </c>
      <c r="G1265" s="48" t="s">
        <v>144</v>
      </c>
      <c r="H1265" s="49">
        <v>5.38</v>
      </c>
      <c r="I1265" s="52">
        <v>9</v>
      </c>
      <c r="J1265" s="7">
        <v>8</v>
      </c>
      <c r="K1265" s="10">
        <f t="shared" si="129"/>
        <v>0.38736000000000004</v>
      </c>
      <c r="L1265" s="32"/>
      <c r="M1265" s="32">
        <f>5+3</f>
        <v>8</v>
      </c>
      <c r="N1265" s="18">
        <f t="shared" si="130"/>
        <v>0.38736000000000004</v>
      </c>
      <c r="O1265" s="106">
        <f t="shared" si="131"/>
        <v>0</v>
      </c>
      <c r="P1265" s="13">
        <f t="shared" si="132"/>
        <v>0</v>
      </c>
      <c r="Q1265" s="32" t="s">
        <v>656</v>
      </c>
      <c r="R1265" s="32">
        <f>5+3</f>
        <v>8</v>
      </c>
      <c r="S1265" s="32" t="s">
        <v>631</v>
      </c>
    </row>
    <row r="1266" spans="1:19">
      <c r="A1266" s="42" t="s">
        <v>90</v>
      </c>
      <c r="B1266" s="48" t="s">
        <v>148</v>
      </c>
      <c r="C1266" s="32">
        <v>3</v>
      </c>
      <c r="D1266" s="32"/>
      <c r="E1266" s="48" t="s">
        <v>19</v>
      </c>
      <c r="F1266" s="48" t="s">
        <v>14</v>
      </c>
      <c r="G1266" s="48" t="s">
        <v>144</v>
      </c>
      <c r="H1266" s="49">
        <v>5.38</v>
      </c>
      <c r="I1266" s="52">
        <v>9.1</v>
      </c>
      <c r="J1266" s="7">
        <v>1</v>
      </c>
      <c r="K1266" s="10">
        <f t="shared" si="129"/>
        <v>4.8958000000000002E-2</v>
      </c>
      <c r="L1266" s="32"/>
      <c r="M1266" s="32">
        <v>1</v>
      </c>
      <c r="N1266" s="18">
        <f t="shared" si="130"/>
        <v>4.8958000000000002E-2</v>
      </c>
      <c r="O1266" s="106">
        <f t="shared" si="131"/>
        <v>0</v>
      </c>
      <c r="P1266" s="13">
        <f t="shared" si="132"/>
        <v>0</v>
      </c>
      <c r="Q1266" s="32">
        <v>7.95</v>
      </c>
      <c r="R1266" s="32">
        <v>1</v>
      </c>
      <c r="S1266" s="32" t="s">
        <v>657</v>
      </c>
    </row>
    <row r="1267" spans="1:19">
      <c r="A1267" s="42" t="s">
        <v>90</v>
      </c>
      <c r="B1267" s="48" t="s">
        <v>148</v>
      </c>
      <c r="C1267" s="32">
        <v>3</v>
      </c>
      <c r="D1267" s="32"/>
      <c r="E1267" s="48" t="s">
        <v>19</v>
      </c>
      <c r="F1267" s="48" t="s">
        <v>14</v>
      </c>
      <c r="G1267" s="48" t="s">
        <v>144</v>
      </c>
      <c r="H1267" s="49">
        <v>5.38</v>
      </c>
      <c r="I1267" s="52">
        <v>9.1999999999999993</v>
      </c>
      <c r="J1267" s="7">
        <v>2</v>
      </c>
      <c r="K1267" s="10">
        <f t="shared" si="129"/>
        <v>9.8991999999999997E-2</v>
      </c>
      <c r="L1267" s="32"/>
      <c r="M1267" s="32">
        <v>2</v>
      </c>
      <c r="N1267" s="18">
        <f t="shared" si="130"/>
        <v>9.8991999999999997E-2</v>
      </c>
      <c r="O1267" s="106">
        <f t="shared" si="131"/>
        <v>0</v>
      </c>
      <c r="P1267" s="13">
        <f t="shared" si="132"/>
        <v>0</v>
      </c>
      <c r="Q1267" s="32">
        <v>7.95</v>
      </c>
      <c r="R1267" s="32">
        <v>2</v>
      </c>
      <c r="S1267" s="32" t="s">
        <v>657</v>
      </c>
    </row>
    <row r="1268" spans="1:19">
      <c r="A1268" s="42" t="s">
        <v>90</v>
      </c>
      <c r="B1268" s="48" t="s">
        <v>148</v>
      </c>
      <c r="C1268" s="32">
        <v>3</v>
      </c>
      <c r="D1268" s="32"/>
      <c r="E1268" s="48" t="s">
        <v>19</v>
      </c>
      <c r="F1268" s="48" t="s">
        <v>14</v>
      </c>
      <c r="G1268" s="48" t="s">
        <v>144</v>
      </c>
      <c r="H1268" s="49">
        <v>5.38</v>
      </c>
      <c r="I1268" s="52">
        <v>9.35</v>
      </c>
      <c r="J1268" s="7">
        <v>1</v>
      </c>
      <c r="K1268" s="10">
        <f t="shared" si="129"/>
        <v>5.0303E-2</v>
      </c>
      <c r="L1268" s="32"/>
      <c r="M1268" s="32">
        <v>1</v>
      </c>
      <c r="N1268" s="18">
        <f t="shared" si="130"/>
        <v>5.0303E-2</v>
      </c>
      <c r="O1268" s="106">
        <f t="shared" si="131"/>
        <v>0</v>
      </c>
      <c r="P1268" s="13">
        <f t="shared" si="132"/>
        <v>0</v>
      </c>
      <c r="Q1268" s="32">
        <v>7.95</v>
      </c>
      <c r="R1268" s="32">
        <v>1</v>
      </c>
      <c r="S1268" s="32" t="s">
        <v>657</v>
      </c>
    </row>
    <row r="1269" spans="1:19">
      <c r="A1269" s="42" t="s">
        <v>90</v>
      </c>
      <c r="B1269" s="48" t="s">
        <v>148</v>
      </c>
      <c r="C1269" s="32">
        <v>3</v>
      </c>
      <c r="D1269" s="32"/>
      <c r="E1269" s="48" t="s">
        <v>19</v>
      </c>
      <c r="F1269" s="48" t="s">
        <v>14</v>
      </c>
      <c r="G1269" s="48" t="s">
        <v>144</v>
      </c>
      <c r="H1269" s="49">
        <v>5.38</v>
      </c>
      <c r="I1269" s="52">
        <v>9.4499999999999993</v>
      </c>
      <c r="J1269" s="7">
        <v>2</v>
      </c>
      <c r="K1269" s="10">
        <f t="shared" si="129"/>
        <v>0.10168199999999999</v>
      </c>
      <c r="L1269" s="32"/>
      <c r="M1269" s="32">
        <v>2</v>
      </c>
      <c r="N1269" s="18">
        <f t="shared" si="130"/>
        <v>0.10168199999999999</v>
      </c>
      <c r="O1269" s="106">
        <f t="shared" si="131"/>
        <v>0</v>
      </c>
      <c r="P1269" s="13">
        <f t="shared" si="132"/>
        <v>0</v>
      </c>
      <c r="Q1269" s="32">
        <v>7.95</v>
      </c>
      <c r="R1269" s="32">
        <v>2</v>
      </c>
      <c r="S1269" s="32" t="s">
        <v>657</v>
      </c>
    </row>
    <row r="1270" spans="1:19">
      <c r="A1270" s="42" t="s">
        <v>90</v>
      </c>
      <c r="B1270" s="48" t="s">
        <v>148</v>
      </c>
      <c r="C1270" s="32">
        <v>4</v>
      </c>
      <c r="D1270" s="32"/>
      <c r="E1270" s="48" t="s">
        <v>19</v>
      </c>
      <c r="F1270" s="48" t="s">
        <v>14</v>
      </c>
      <c r="G1270" s="48" t="s">
        <v>149</v>
      </c>
      <c r="H1270" s="49">
        <v>6.39</v>
      </c>
      <c r="I1270" s="8">
        <v>7.8</v>
      </c>
      <c r="J1270" s="7">
        <v>1</v>
      </c>
      <c r="K1270" s="10">
        <f t="shared" si="129"/>
        <v>4.9841999999999997E-2</v>
      </c>
      <c r="L1270" s="32"/>
      <c r="M1270" s="32">
        <v>1</v>
      </c>
      <c r="N1270" s="18">
        <f t="shared" si="130"/>
        <v>4.9841999999999997E-2</v>
      </c>
      <c r="O1270" s="106">
        <f t="shared" si="131"/>
        <v>0</v>
      </c>
      <c r="P1270" s="13">
        <f t="shared" si="132"/>
        <v>0</v>
      </c>
      <c r="Q1270" s="33">
        <v>7.25</v>
      </c>
      <c r="R1270" s="32">
        <v>1</v>
      </c>
      <c r="S1270" s="32"/>
    </row>
    <row r="1271" spans="1:19">
      <c r="A1271" s="42" t="s">
        <v>90</v>
      </c>
      <c r="B1271" s="48" t="s">
        <v>148</v>
      </c>
      <c r="C1271" s="32">
        <v>4</v>
      </c>
      <c r="D1271" s="32"/>
      <c r="E1271" s="48" t="s">
        <v>19</v>
      </c>
      <c r="F1271" s="48" t="s">
        <v>14</v>
      </c>
      <c r="G1271" s="48" t="s">
        <v>149</v>
      </c>
      <c r="H1271" s="49">
        <v>6.39</v>
      </c>
      <c r="I1271" s="8">
        <v>9.5</v>
      </c>
      <c r="J1271" s="7">
        <v>9</v>
      </c>
      <c r="K1271" s="10">
        <f t="shared" si="129"/>
        <v>0.54634500000000008</v>
      </c>
      <c r="L1271" s="32"/>
      <c r="M1271" s="32">
        <v>9</v>
      </c>
      <c r="N1271" s="18">
        <f t="shared" si="130"/>
        <v>0.54634500000000008</v>
      </c>
      <c r="O1271" s="106">
        <f t="shared" si="131"/>
        <v>0</v>
      </c>
      <c r="P1271" s="13">
        <f t="shared" si="132"/>
        <v>0</v>
      </c>
      <c r="Q1271" s="33">
        <v>9</v>
      </c>
      <c r="R1271" s="32">
        <v>9</v>
      </c>
      <c r="S1271" s="32"/>
    </row>
    <row r="1272" spans="1:19">
      <c r="A1272" s="42" t="s">
        <v>90</v>
      </c>
      <c r="B1272" s="48" t="s">
        <v>148</v>
      </c>
      <c r="C1272" s="32">
        <v>4</v>
      </c>
      <c r="D1272" s="32"/>
      <c r="E1272" s="48" t="s">
        <v>19</v>
      </c>
      <c r="F1272" s="48" t="s">
        <v>14</v>
      </c>
      <c r="G1272" s="48" t="s">
        <v>149</v>
      </c>
      <c r="H1272" s="49">
        <v>6.39</v>
      </c>
      <c r="I1272" s="8">
        <v>13.1</v>
      </c>
      <c r="J1272" s="7">
        <v>2</v>
      </c>
      <c r="K1272" s="10">
        <f t="shared" si="129"/>
        <v>0.16741799999999998</v>
      </c>
      <c r="L1272" s="32"/>
      <c r="M1272" s="32">
        <v>2</v>
      </c>
      <c r="N1272" s="18">
        <f t="shared" si="130"/>
        <v>0.16741799999999998</v>
      </c>
      <c r="O1272" s="106">
        <f t="shared" si="131"/>
        <v>0</v>
      </c>
      <c r="P1272" s="13">
        <f t="shared" si="132"/>
        <v>0</v>
      </c>
      <c r="Q1272" s="33">
        <v>9</v>
      </c>
      <c r="R1272" s="32">
        <v>2</v>
      </c>
      <c r="S1272" s="32"/>
    </row>
    <row r="1273" spans="1:19">
      <c r="A1273" s="42" t="s">
        <v>90</v>
      </c>
      <c r="B1273" s="48" t="s">
        <v>148</v>
      </c>
      <c r="C1273" s="32">
        <v>4</v>
      </c>
      <c r="D1273" s="32"/>
      <c r="E1273" s="48" t="s">
        <v>19</v>
      </c>
      <c r="F1273" s="48" t="s">
        <v>14</v>
      </c>
      <c r="G1273" s="48" t="s">
        <v>149</v>
      </c>
      <c r="H1273" s="49">
        <v>6.39</v>
      </c>
      <c r="I1273" s="8">
        <v>9</v>
      </c>
      <c r="J1273" s="7">
        <v>3</v>
      </c>
      <c r="K1273" s="10">
        <f t="shared" si="129"/>
        <v>0.17252999999999999</v>
      </c>
      <c r="L1273" s="32"/>
      <c r="M1273" s="32">
        <v>3</v>
      </c>
      <c r="N1273" s="18">
        <f t="shared" si="130"/>
        <v>0.17252999999999999</v>
      </c>
      <c r="O1273" s="106">
        <f t="shared" si="131"/>
        <v>0</v>
      </c>
      <c r="P1273" s="13">
        <f t="shared" si="132"/>
        <v>0</v>
      </c>
      <c r="Q1273" s="33">
        <v>9</v>
      </c>
      <c r="R1273" s="32">
        <v>3</v>
      </c>
      <c r="S1273" s="32"/>
    </row>
    <row r="1274" spans="1:19">
      <c r="A1274" s="42" t="s">
        <v>90</v>
      </c>
      <c r="B1274" s="48" t="s">
        <v>148</v>
      </c>
      <c r="C1274" s="32">
        <v>4</v>
      </c>
      <c r="D1274" s="32"/>
      <c r="E1274" s="48" t="s">
        <v>19</v>
      </c>
      <c r="F1274" s="48" t="s">
        <v>14</v>
      </c>
      <c r="G1274" s="48" t="s">
        <v>149</v>
      </c>
      <c r="H1274" s="49">
        <v>6.39</v>
      </c>
      <c r="I1274" s="8">
        <v>10.8</v>
      </c>
      <c r="J1274" s="7">
        <v>1</v>
      </c>
      <c r="K1274" s="10">
        <f t="shared" si="129"/>
        <v>6.9012000000000004E-2</v>
      </c>
      <c r="L1274" s="32"/>
      <c r="M1274" s="32">
        <v>1</v>
      </c>
      <c r="N1274" s="18">
        <f t="shared" si="130"/>
        <v>6.9012000000000004E-2</v>
      </c>
      <c r="O1274" s="106">
        <f t="shared" si="131"/>
        <v>0</v>
      </c>
      <c r="P1274" s="13">
        <f t="shared" si="132"/>
        <v>0</v>
      </c>
      <c r="Q1274" s="33">
        <v>9</v>
      </c>
      <c r="R1274" s="32">
        <v>1</v>
      </c>
      <c r="S1274" s="32"/>
    </row>
    <row r="1275" spans="1:19">
      <c r="A1275" s="42" t="s">
        <v>90</v>
      </c>
      <c r="B1275" s="48" t="s">
        <v>148</v>
      </c>
      <c r="C1275" s="32">
        <v>4</v>
      </c>
      <c r="D1275" s="32"/>
      <c r="E1275" s="48" t="s">
        <v>19</v>
      </c>
      <c r="F1275" s="48" t="s">
        <v>14</v>
      </c>
      <c r="G1275" s="48" t="s">
        <v>149</v>
      </c>
      <c r="H1275" s="49">
        <v>6.39</v>
      </c>
      <c r="I1275" s="8">
        <v>9.4</v>
      </c>
      <c r="J1275" s="7">
        <v>1</v>
      </c>
      <c r="K1275" s="10">
        <f t="shared" si="129"/>
        <v>6.0066000000000001E-2</v>
      </c>
      <c r="L1275" s="32"/>
      <c r="M1275" s="32">
        <v>1</v>
      </c>
      <c r="N1275" s="18">
        <f t="shared" si="130"/>
        <v>6.0066000000000001E-2</v>
      </c>
      <c r="O1275" s="106">
        <f t="shared" si="131"/>
        <v>0</v>
      </c>
      <c r="P1275" s="13">
        <f t="shared" si="132"/>
        <v>0</v>
      </c>
      <c r="Q1275" s="33">
        <v>9</v>
      </c>
      <c r="R1275" s="32">
        <v>1</v>
      </c>
      <c r="S1275" s="32"/>
    </row>
    <row r="1276" spans="1:19">
      <c r="A1276" s="42" t="s">
        <v>90</v>
      </c>
      <c r="B1276" s="48" t="s">
        <v>148</v>
      </c>
      <c r="C1276" s="32">
        <v>4</v>
      </c>
      <c r="D1276" s="32"/>
      <c r="E1276" s="48" t="s">
        <v>19</v>
      </c>
      <c r="F1276" s="48" t="s">
        <v>14</v>
      </c>
      <c r="G1276" s="48" t="s">
        <v>149</v>
      </c>
      <c r="H1276" s="49">
        <v>6.39</v>
      </c>
      <c r="I1276" s="8">
        <v>13</v>
      </c>
      <c r="J1276" s="7">
        <v>2</v>
      </c>
      <c r="K1276" s="10">
        <f t="shared" si="129"/>
        <v>0.16613999999999998</v>
      </c>
      <c r="L1276" s="32"/>
      <c r="M1276" s="32">
        <v>2</v>
      </c>
      <c r="N1276" s="18">
        <f t="shared" si="130"/>
        <v>0.16613999999999998</v>
      </c>
      <c r="O1276" s="106">
        <f t="shared" si="131"/>
        <v>0</v>
      </c>
      <c r="P1276" s="13">
        <f t="shared" si="132"/>
        <v>0</v>
      </c>
      <c r="Q1276" s="33">
        <v>9</v>
      </c>
      <c r="R1276" s="32">
        <v>2</v>
      </c>
      <c r="S1276" s="32"/>
    </row>
    <row r="1277" spans="1:19">
      <c r="A1277" s="42" t="s">
        <v>90</v>
      </c>
      <c r="B1277" s="48" t="s">
        <v>148</v>
      </c>
      <c r="C1277" s="32">
        <v>5</v>
      </c>
      <c r="D1277" s="32"/>
      <c r="E1277" s="48" t="s">
        <v>19</v>
      </c>
      <c r="F1277" s="48" t="s">
        <v>14</v>
      </c>
      <c r="G1277" s="48" t="s">
        <v>149</v>
      </c>
      <c r="H1277" s="49">
        <v>6.39</v>
      </c>
      <c r="I1277" s="8">
        <v>8</v>
      </c>
      <c r="J1277" s="7">
        <v>1</v>
      </c>
      <c r="K1277" s="10">
        <f t="shared" si="129"/>
        <v>5.1119999999999999E-2</v>
      </c>
      <c r="L1277" s="32"/>
      <c r="M1277" s="32"/>
      <c r="N1277" s="18">
        <f t="shared" si="130"/>
        <v>0</v>
      </c>
      <c r="O1277" s="106">
        <f t="shared" si="131"/>
        <v>1</v>
      </c>
      <c r="P1277" s="13">
        <f t="shared" si="132"/>
        <v>5.1119999999999999E-2</v>
      </c>
      <c r="Q1277" s="32" t="s">
        <v>467</v>
      </c>
      <c r="R1277" s="32">
        <v>1</v>
      </c>
      <c r="S1277" s="32"/>
    </row>
    <row r="1278" spans="1:19">
      <c r="A1278" s="42" t="s">
        <v>90</v>
      </c>
      <c r="B1278" s="48" t="s">
        <v>148</v>
      </c>
      <c r="C1278" s="32">
        <v>5</v>
      </c>
      <c r="D1278" s="32"/>
      <c r="E1278" s="48" t="s">
        <v>19</v>
      </c>
      <c r="F1278" s="48" t="s">
        <v>14</v>
      </c>
      <c r="G1278" s="48" t="s">
        <v>149</v>
      </c>
      <c r="H1278" s="49">
        <v>6.39</v>
      </c>
      <c r="I1278" s="8">
        <v>7</v>
      </c>
      <c r="J1278" s="7">
        <v>1</v>
      </c>
      <c r="K1278" s="10">
        <f t="shared" si="129"/>
        <v>4.4729999999999999E-2</v>
      </c>
      <c r="L1278" s="32"/>
      <c r="M1278" s="32"/>
      <c r="N1278" s="18">
        <f t="shared" si="130"/>
        <v>0</v>
      </c>
      <c r="O1278" s="106">
        <f t="shared" si="131"/>
        <v>1</v>
      </c>
      <c r="P1278" s="13">
        <f t="shared" si="132"/>
        <v>4.4729999999999999E-2</v>
      </c>
      <c r="Q1278" s="32" t="s">
        <v>467</v>
      </c>
      <c r="R1278" s="32">
        <v>1</v>
      </c>
      <c r="S1278" s="32"/>
    </row>
    <row r="1279" spans="1:19">
      <c r="A1279" s="42" t="s">
        <v>90</v>
      </c>
      <c r="B1279" s="48" t="s">
        <v>148</v>
      </c>
      <c r="C1279" s="32">
        <v>5</v>
      </c>
      <c r="D1279" s="32"/>
      <c r="E1279" s="48" t="s">
        <v>19</v>
      </c>
      <c r="F1279" s="48" t="s">
        <v>14</v>
      </c>
      <c r="G1279" s="48" t="s">
        <v>149</v>
      </c>
      <c r="H1279" s="49">
        <v>6.39</v>
      </c>
      <c r="I1279" s="8">
        <v>7.3</v>
      </c>
      <c r="J1279" s="7">
        <v>1</v>
      </c>
      <c r="K1279" s="10">
        <f t="shared" si="129"/>
        <v>4.6647000000000001E-2</v>
      </c>
      <c r="L1279" s="32"/>
      <c r="M1279" s="32"/>
      <c r="N1279" s="18">
        <f t="shared" si="130"/>
        <v>0</v>
      </c>
      <c r="O1279" s="106">
        <f t="shared" si="131"/>
        <v>1</v>
      </c>
      <c r="P1279" s="13">
        <f t="shared" si="132"/>
        <v>4.6647000000000001E-2</v>
      </c>
      <c r="Q1279" s="32" t="s">
        <v>467</v>
      </c>
      <c r="R1279" s="32">
        <v>1</v>
      </c>
      <c r="S1279" s="32"/>
    </row>
    <row r="1280" spans="1:19">
      <c r="A1280" s="42" t="s">
        <v>90</v>
      </c>
      <c r="B1280" s="48" t="s">
        <v>148</v>
      </c>
      <c r="C1280" s="32">
        <v>5</v>
      </c>
      <c r="D1280" s="32"/>
      <c r="E1280" s="48" t="s">
        <v>19</v>
      </c>
      <c r="F1280" s="48" t="s">
        <v>14</v>
      </c>
      <c r="G1280" s="48" t="s">
        <v>149</v>
      </c>
      <c r="H1280" s="49">
        <v>6.39</v>
      </c>
      <c r="I1280" s="8">
        <v>5</v>
      </c>
      <c r="J1280" s="7">
        <v>1</v>
      </c>
      <c r="K1280" s="10">
        <f t="shared" si="129"/>
        <v>3.1949999999999999E-2</v>
      </c>
      <c r="L1280" s="32"/>
      <c r="M1280" s="32"/>
      <c r="N1280" s="18">
        <f t="shared" si="130"/>
        <v>0</v>
      </c>
      <c r="O1280" s="106">
        <f t="shared" si="131"/>
        <v>1</v>
      </c>
      <c r="P1280" s="13">
        <f t="shared" si="132"/>
        <v>3.1949999999999999E-2</v>
      </c>
      <c r="Q1280" s="32" t="s">
        <v>467</v>
      </c>
      <c r="R1280" s="32">
        <v>1</v>
      </c>
      <c r="S1280" s="32"/>
    </row>
    <row r="1281" spans="1:19">
      <c r="A1281" s="42" t="s">
        <v>90</v>
      </c>
      <c r="B1281" s="48" t="s">
        <v>148</v>
      </c>
      <c r="C1281" s="32">
        <v>5</v>
      </c>
      <c r="D1281" s="32"/>
      <c r="E1281" s="48" t="s">
        <v>19</v>
      </c>
      <c r="F1281" s="48" t="s">
        <v>14</v>
      </c>
      <c r="G1281" s="48" t="s">
        <v>149</v>
      </c>
      <c r="H1281" s="49">
        <v>6.39</v>
      </c>
      <c r="I1281" s="8">
        <v>5.8</v>
      </c>
      <c r="J1281" s="7">
        <v>1</v>
      </c>
      <c r="K1281" s="10">
        <f t="shared" si="129"/>
        <v>3.7061999999999998E-2</v>
      </c>
      <c r="L1281" s="32"/>
      <c r="M1281" s="32"/>
      <c r="N1281" s="18">
        <f t="shared" si="130"/>
        <v>0</v>
      </c>
      <c r="O1281" s="106">
        <f t="shared" si="131"/>
        <v>1</v>
      </c>
      <c r="P1281" s="13">
        <f t="shared" si="132"/>
        <v>3.7061999999999998E-2</v>
      </c>
      <c r="Q1281" s="32" t="s">
        <v>467</v>
      </c>
      <c r="R1281" s="32">
        <v>1</v>
      </c>
      <c r="S1281" s="32"/>
    </row>
    <row r="1282" spans="1:19">
      <c r="A1282" s="42" t="s">
        <v>90</v>
      </c>
      <c r="B1282" s="48" t="s">
        <v>148</v>
      </c>
      <c r="C1282" s="32">
        <v>5</v>
      </c>
      <c r="D1282" s="32"/>
      <c r="E1282" s="48" t="s">
        <v>19</v>
      </c>
      <c r="F1282" s="48" t="s">
        <v>14</v>
      </c>
      <c r="G1282" s="48" t="s">
        <v>149</v>
      </c>
      <c r="H1282" s="49">
        <v>6.39</v>
      </c>
      <c r="I1282" s="8">
        <v>6.2</v>
      </c>
      <c r="J1282" s="7">
        <v>1</v>
      </c>
      <c r="K1282" s="10">
        <f t="shared" si="129"/>
        <v>3.9618E-2</v>
      </c>
      <c r="L1282" s="32"/>
      <c r="M1282" s="32"/>
      <c r="N1282" s="18">
        <f t="shared" si="130"/>
        <v>0</v>
      </c>
      <c r="O1282" s="106">
        <f t="shared" si="131"/>
        <v>1</v>
      </c>
      <c r="P1282" s="13">
        <f t="shared" si="132"/>
        <v>3.9618E-2</v>
      </c>
      <c r="Q1282" s="32" t="s">
        <v>467</v>
      </c>
      <c r="R1282" s="32">
        <v>1</v>
      </c>
      <c r="S1282" s="32"/>
    </row>
    <row r="1283" spans="1:19">
      <c r="A1283" s="42" t="s">
        <v>90</v>
      </c>
      <c r="B1283" s="48" t="s">
        <v>148</v>
      </c>
      <c r="C1283" s="32">
        <v>5</v>
      </c>
      <c r="D1283" s="32"/>
      <c r="E1283" s="48" t="s">
        <v>19</v>
      </c>
      <c r="F1283" s="48" t="s">
        <v>14</v>
      </c>
      <c r="G1283" s="48" t="s">
        <v>149</v>
      </c>
      <c r="H1283" s="49">
        <v>6.39</v>
      </c>
      <c r="I1283" s="8">
        <v>6.5</v>
      </c>
      <c r="J1283" s="7">
        <v>1</v>
      </c>
      <c r="K1283" s="10">
        <f t="shared" si="129"/>
        <v>4.1534999999999996E-2</v>
      </c>
      <c r="L1283" s="32"/>
      <c r="M1283" s="32"/>
      <c r="N1283" s="18">
        <f t="shared" si="130"/>
        <v>0</v>
      </c>
      <c r="O1283" s="106">
        <f t="shared" si="131"/>
        <v>1</v>
      </c>
      <c r="P1283" s="13">
        <f t="shared" si="132"/>
        <v>4.1534999999999996E-2</v>
      </c>
      <c r="Q1283" s="32" t="s">
        <v>467</v>
      </c>
      <c r="R1283" s="32">
        <v>1</v>
      </c>
      <c r="S1283" s="32"/>
    </row>
    <row r="1284" spans="1:19">
      <c r="A1284" s="42" t="s">
        <v>90</v>
      </c>
      <c r="B1284" s="48" t="s">
        <v>148</v>
      </c>
      <c r="C1284" s="32">
        <v>5</v>
      </c>
      <c r="D1284" s="32"/>
      <c r="E1284" s="48" t="s">
        <v>19</v>
      </c>
      <c r="F1284" s="48" t="s">
        <v>14</v>
      </c>
      <c r="G1284" s="48" t="s">
        <v>149</v>
      </c>
      <c r="H1284" s="49">
        <v>6.39</v>
      </c>
      <c r="I1284" s="8">
        <v>7.5</v>
      </c>
      <c r="J1284" s="7">
        <v>5</v>
      </c>
      <c r="K1284" s="10">
        <f t="shared" si="129"/>
        <v>0.239625</v>
      </c>
      <c r="L1284" s="32"/>
      <c r="M1284" s="32"/>
      <c r="N1284" s="18">
        <f t="shared" si="130"/>
        <v>0</v>
      </c>
      <c r="O1284" s="106">
        <f t="shared" si="131"/>
        <v>5</v>
      </c>
      <c r="P1284" s="13">
        <f t="shared" si="132"/>
        <v>0.239625</v>
      </c>
      <c r="Q1284" s="32" t="s">
        <v>467</v>
      </c>
      <c r="R1284" s="32">
        <v>5</v>
      </c>
      <c r="S1284" s="32"/>
    </row>
    <row r="1285" spans="1:19">
      <c r="A1285" s="42" t="s">
        <v>90</v>
      </c>
      <c r="B1285" s="48" t="s">
        <v>148</v>
      </c>
      <c r="C1285" s="32">
        <v>6</v>
      </c>
      <c r="D1285" s="32"/>
      <c r="E1285" s="363" t="s">
        <v>150</v>
      </c>
      <c r="F1285" s="48" t="s">
        <v>15</v>
      </c>
      <c r="G1285" s="48" t="s">
        <v>149</v>
      </c>
      <c r="H1285" s="49">
        <v>6.39</v>
      </c>
      <c r="I1285" s="52">
        <v>11.5</v>
      </c>
      <c r="J1285" s="7">
        <v>1</v>
      </c>
      <c r="K1285" s="10">
        <f t="shared" si="129"/>
        <v>7.3484999999999995E-2</v>
      </c>
      <c r="L1285" s="32"/>
      <c r="M1285" s="32">
        <v>1</v>
      </c>
      <c r="N1285" s="18">
        <f t="shared" si="130"/>
        <v>7.3484999999999995E-2</v>
      </c>
      <c r="O1285" s="19">
        <f t="shared" si="131"/>
        <v>0</v>
      </c>
      <c r="P1285" s="13">
        <f t="shared" si="132"/>
        <v>0</v>
      </c>
      <c r="Q1285" s="32"/>
      <c r="R1285" s="32">
        <v>1</v>
      </c>
      <c r="S1285" s="32" t="s">
        <v>208</v>
      </c>
    </row>
    <row r="1286" spans="1:19">
      <c r="A1286" s="42" t="s">
        <v>90</v>
      </c>
      <c r="B1286" s="48" t="s">
        <v>148</v>
      </c>
      <c r="C1286" s="32">
        <v>6</v>
      </c>
      <c r="D1286" s="32"/>
      <c r="E1286" s="363" t="s">
        <v>150</v>
      </c>
      <c r="F1286" s="48" t="s">
        <v>15</v>
      </c>
      <c r="G1286" s="48" t="s">
        <v>149</v>
      </c>
      <c r="H1286" s="49">
        <v>6.39</v>
      </c>
      <c r="I1286" s="52">
        <v>12</v>
      </c>
      <c r="J1286" s="7">
        <v>10</v>
      </c>
      <c r="K1286" s="10">
        <f t="shared" si="129"/>
        <v>0.76679999999999993</v>
      </c>
      <c r="L1286" s="32"/>
      <c r="M1286" s="32">
        <v>10</v>
      </c>
      <c r="N1286" s="18">
        <f t="shared" si="130"/>
        <v>0.76679999999999993</v>
      </c>
      <c r="O1286" s="19">
        <f t="shared" si="131"/>
        <v>0</v>
      </c>
      <c r="P1286" s="13">
        <f t="shared" si="132"/>
        <v>0</v>
      </c>
      <c r="Q1286" s="32"/>
      <c r="R1286" s="32">
        <v>10</v>
      </c>
      <c r="S1286" s="32" t="s">
        <v>208</v>
      </c>
    </row>
    <row r="1287" spans="1:19">
      <c r="A1287" s="42" t="s">
        <v>90</v>
      </c>
      <c r="B1287" s="48" t="s">
        <v>148</v>
      </c>
      <c r="C1287" s="32">
        <v>7</v>
      </c>
      <c r="D1287" s="32"/>
      <c r="E1287" s="363" t="s">
        <v>150</v>
      </c>
      <c r="F1287" s="48" t="s">
        <v>15</v>
      </c>
      <c r="G1287" s="48" t="s">
        <v>144</v>
      </c>
      <c r="H1287" s="49">
        <v>5.38</v>
      </c>
      <c r="I1287" s="52">
        <v>11</v>
      </c>
      <c r="J1287" s="7">
        <v>2</v>
      </c>
      <c r="K1287" s="10">
        <f t="shared" si="129"/>
        <v>0.11835999999999999</v>
      </c>
      <c r="L1287" s="32"/>
      <c r="M1287" s="32"/>
      <c r="N1287" s="18">
        <f t="shared" si="130"/>
        <v>0</v>
      </c>
      <c r="O1287" s="19">
        <f t="shared" si="131"/>
        <v>2</v>
      </c>
      <c r="P1287" s="13">
        <f t="shared" si="132"/>
        <v>0.11835999999999999</v>
      </c>
      <c r="Q1287" s="32"/>
      <c r="R1287" s="32"/>
      <c r="S1287" s="32"/>
    </row>
    <row r="1288" spans="1:19">
      <c r="A1288" s="42" t="s">
        <v>90</v>
      </c>
      <c r="B1288" s="48" t="s">
        <v>148</v>
      </c>
      <c r="C1288" s="32">
        <v>8</v>
      </c>
      <c r="D1288" s="32"/>
      <c r="E1288" s="48" t="s">
        <v>19</v>
      </c>
      <c r="F1288" s="48" t="s">
        <v>14</v>
      </c>
      <c r="G1288" s="48" t="s">
        <v>144</v>
      </c>
      <c r="H1288" s="49">
        <v>5.38</v>
      </c>
      <c r="I1288" s="52">
        <v>7</v>
      </c>
      <c r="J1288" s="7">
        <v>1</v>
      </c>
      <c r="K1288" s="10">
        <f t="shared" si="129"/>
        <v>3.7659999999999999E-2</v>
      </c>
      <c r="L1288" s="32"/>
      <c r="M1288" s="32"/>
      <c r="N1288" s="18">
        <f t="shared" si="130"/>
        <v>0</v>
      </c>
      <c r="O1288" s="19">
        <f t="shared" si="131"/>
        <v>1</v>
      </c>
      <c r="P1288" s="13">
        <f t="shared" si="132"/>
        <v>3.7659999999999999E-2</v>
      </c>
      <c r="Q1288" s="32"/>
      <c r="R1288" s="32"/>
      <c r="S1288" s="32"/>
    </row>
    <row r="1289" spans="1:19">
      <c r="A1289" s="42" t="s">
        <v>90</v>
      </c>
      <c r="B1289" s="48" t="s">
        <v>148</v>
      </c>
      <c r="C1289" s="32">
        <v>8</v>
      </c>
      <c r="D1289" s="32"/>
      <c r="E1289" s="48" t="s">
        <v>19</v>
      </c>
      <c r="F1289" s="48" t="s">
        <v>14</v>
      </c>
      <c r="G1289" s="48" t="s">
        <v>144</v>
      </c>
      <c r="H1289" s="49">
        <v>5.38</v>
      </c>
      <c r="I1289" s="52">
        <v>8</v>
      </c>
      <c r="J1289" s="7">
        <v>1</v>
      </c>
      <c r="K1289" s="10">
        <f t="shared" si="129"/>
        <v>4.3040000000000002E-2</v>
      </c>
      <c r="L1289" s="32"/>
      <c r="M1289" s="32">
        <v>1</v>
      </c>
      <c r="N1289" s="18">
        <f t="shared" si="130"/>
        <v>4.3040000000000002E-2</v>
      </c>
      <c r="O1289" s="106">
        <f t="shared" si="131"/>
        <v>0</v>
      </c>
      <c r="P1289" s="13">
        <f t="shared" si="132"/>
        <v>0</v>
      </c>
      <c r="Q1289" s="32">
        <v>7.95</v>
      </c>
      <c r="R1289" s="32">
        <v>1</v>
      </c>
      <c r="S1289" s="32" t="s">
        <v>657</v>
      </c>
    </row>
    <row r="1290" spans="1:19">
      <c r="A1290" s="42" t="s">
        <v>90</v>
      </c>
      <c r="B1290" s="48" t="s">
        <v>148</v>
      </c>
      <c r="C1290" s="32">
        <v>8</v>
      </c>
      <c r="D1290" s="32"/>
      <c r="E1290" s="48" t="s">
        <v>19</v>
      </c>
      <c r="F1290" s="48" t="s">
        <v>14</v>
      </c>
      <c r="G1290" s="48" t="s">
        <v>144</v>
      </c>
      <c r="H1290" s="49">
        <v>5.38</v>
      </c>
      <c r="I1290" s="52">
        <v>9</v>
      </c>
      <c r="J1290" s="7">
        <v>9</v>
      </c>
      <c r="K1290" s="10">
        <f t="shared" si="129"/>
        <v>0.43578000000000006</v>
      </c>
      <c r="L1290" s="32"/>
      <c r="M1290" s="32">
        <v>9</v>
      </c>
      <c r="N1290" s="18">
        <f t="shared" si="130"/>
        <v>0.43577999999999995</v>
      </c>
      <c r="O1290" s="106">
        <f t="shared" si="131"/>
        <v>0</v>
      </c>
      <c r="P1290" s="13">
        <f t="shared" si="132"/>
        <v>0</v>
      </c>
      <c r="Q1290" s="32">
        <v>7.95</v>
      </c>
      <c r="R1290" s="32">
        <v>9</v>
      </c>
      <c r="S1290" s="32" t="s">
        <v>657</v>
      </c>
    </row>
    <row r="1291" spans="1:19">
      <c r="A1291" s="42" t="s">
        <v>90</v>
      </c>
      <c r="B1291" s="48" t="s">
        <v>148</v>
      </c>
      <c r="C1291" s="32">
        <v>8</v>
      </c>
      <c r="D1291" s="32"/>
      <c r="E1291" s="48" t="s">
        <v>19</v>
      </c>
      <c r="F1291" s="48" t="s">
        <v>14</v>
      </c>
      <c r="G1291" s="48" t="s">
        <v>144</v>
      </c>
      <c r="H1291" s="49">
        <v>5.38</v>
      </c>
      <c r="I1291" s="52">
        <v>7.75</v>
      </c>
      <c r="J1291" s="7">
        <v>1</v>
      </c>
      <c r="K1291" s="10">
        <f t="shared" si="129"/>
        <v>4.1695000000000003E-2</v>
      </c>
      <c r="L1291" s="32"/>
      <c r="M1291" s="32"/>
      <c r="N1291" s="18">
        <f t="shared" si="130"/>
        <v>0</v>
      </c>
      <c r="O1291" s="19">
        <f t="shared" si="131"/>
        <v>1</v>
      </c>
      <c r="P1291" s="13">
        <f t="shared" si="132"/>
        <v>4.1695000000000003E-2</v>
      </c>
      <c r="Q1291" s="32"/>
      <c r="R1291" s="32"/>
      <c r="S1291" s="32"/>
    </row>
    <row r="1292" spans="1:19">
      <c r="A1292" s="42" t="s">
        <v>90</v>
      </c>
      <c r="B1292" s="48" t="s">
        <v>148</v>
      </c>
      <c r="C1292" s="32">
        <v>8</v>
      </c>
      <c r="D1292" s="32"/>
      <c r="E1292" s="48" t="s">
        <v>19</v>
      </c>
      <c r="F1292" s="48" t="s">
        <v>14</v>
      </c>
      <c r="G1292" s="48" t="s">
        <v>144</v>
      </c>
      <c r="H1292" s="49">
        <v>5.38</v>
      </c>
      <c r="I1292" s="52">
        <v>8.5</v>
      </c>
      <c r="J1292" s="7">
        <v>9</v>
      </c>
      <c r="K1292" s="10">
        <f t="shared" si="129"/>
        <v>0.41156999999999999</v>
      </c>
      <c r="L1292" s="32"/>
      <c r="M1292" s="32">
        <v>9</v>
      </c>
      <c r="N1292" s="18">
        <f t="shared" si="130"/>
        <v>0.41156999999999999</v>
      </c>
      <c r="O1292" s="106">
        <f t="shared" si="131"/>
        <v>0</v>
      </c>
      <c r="P1292" s="13">
        <f t="shared" si="132"/>
        <v>0</v>
      </c>
      <c r="Q1292" s="32">
        <v>7.95</v>
      </c>
      <c r="R1292" s="32">
        <v>9</v>
      </c>
      <c r="S1292" s="32" t="s">
        <v>657</v>
      </c>
    </row>
    <row r="1293" spans="1:19">
      <c r="A1293" s="42" t="s">
        <v>90</v>
      </c>
      <c r="B1293" s="48" t="s">
        <v>148</v>
      </c>
      <c r="C1293" s="32">
        <v>8</v>
      </c>
      <c r="D1293" s="32"/>
      <c r="E1293" s="48" t="s">
        <v>19</v>
      </c>
      <c r="F1293" s="48" t="s">
        <v>14</v>
      </c>
      <c r="G1293" s="48" t="s">
        <v>144</v>
      </c>
      <c r="H1293" s="49">
        <v>5.38</v>
      </c>
      <c r="I1293" s="52">
        <v>9.4</v>
      </c>
      <c r="J1293" s="7">
        <v>2</v>
      </c>
      <c r="K1293" s="10">
        <f t="shared" si="129"/>
        <v>0.10114400000000001</v>
      </c>
      <c r="L1293" s="32"/>
      <c r="M1293" s="32">
        <v>2</v>
      </c>
      <c r="N1293" s="18">
        <f t="shared" si="130"/>
        <v>0.10114400000000001</v>
      </c>
      <c r="O1293" s="106">
        <f t="shared" si="131"/>
        <v>0</v>
      </c>
      <c r="P1293" s="13">
        <f t="shared" si="132"/>
        <v>0</v>
      </c>
      <c r="Q1293" s="32">
        <v>7.95</v>
      </c>
      <c r="R1293" s="32">
        <v>2</v>
      </c>
      <c r="S1293" s="32" t="s">
        <v>657</v>
      </c>
    </row>
    <row r="1294" spans="1:19">
      <c r="A1294" s="42" t="s">
        <v>90</v>
      </c>
      <c r="B1294" s="48" t="s">
        <v>148</v>
      </c>
      <c r="C1294" s="32">
        <v>8</v>
      </c>
      <c r="D1294" s="32"/>
      <c r="E1294" s="48" t="s">
        <v>19</v>
      </c>
      <c r="F1294" s="48" t="s">
        <v>14</v>
      </c>
      <c r="G1294" s="48" t="s">
        <v>144</v>
      </c>
      <c r="H1294" s="49">
        <v>5.38</v>
      </c>
      <c r="I1294" s="52">
        <v>7.6</v>
      </c>
      <c r="J1294" s="7">
        <v>1</v>
      </c>
      <c r="K1294" s="10">
        <f t="shared" si="129"/>
        <v>4.0888000000000001E-2</v>
      </c>
      <c r="L1294" s="32"/>
      <c r="M1294" s="32"/>
      <c r="N1294" s="18">
        <f t="shared" si="130"/>
        <v>0</v>
      </c>
      <c r="O1294" s="19">
        <f t="shared" si="131"/>
        <v>1</v>
      </c>
      <c r="P1294" s="13">
        <f t="shared" si="132"/>
        <v>4.0888000000000001E-2</v>
      </c>
      <c r="Q1294" s="32"/>
      <c r="R1294" s="32"/>
      <c r="S1294" s="32"/>
    </row>
    <row r="1295" spans="1:19">
      <c r="A1295" s="42" t="s">
        <v>90</v>
      </c>
      <c r="B1295" s="48" t="s">
        <v>148</v>
      </c>
      <c r="C1295" s="32">
        <v>9</v>
      </c>
      <c r="D1295" s="32"/>
      <c r="E1295" s="48" t="s">
        <v>19</v>
      </c>
      <c r="F1295" s="48" t="s">
        <v>14</v>
      </c>
      <c r="G1295" s="48" t="s">
        <v>149</v>
      </c>
      <c r="H1295" s="49">
        <v>6.39</v>
      </c>
      <c r="I1295" s="8">
        <v>8</v>
      </c>
      <c r="J1295" s="7">
        <v>2</v>
      </c>
      <c r="K1295" s="10">
        <f t="shared" si="129"/>
        <v>0.10224</v>
      </c>
      <c r="L1295" s="32"/>
      <c r="M1295" s="32"/>
      <c r="N1295" s="18">
        <f t="shared" si="130"/>
        <v>0</v>
      </c>
      <c r="O1295" s="106">
        <f t="shared" si="131"/>
        <v>2</v>
      </c>
      <c r="P1295" s="13">
        <f t="shared" si="132"/>
        <v>0.10224</v>
      </c>
      <c r="Q1295" s="32" t="s">
        <v>467</v>
      </c>
      <c r="R1295" s="32">
        <v>2</v>
      </c>
      <c r="S1295" s="32"/>
    </row>
    <row r="1296" spans="1:19">
      <c r="A1296" s="42" t="s">
        <v>90</v>
      </c>
      <c r="B1296" s="48" t="s">
        <v>148</v>
      </c>
      <c r="C1296" s="32">
        <v>9</v>
      </c>
      <c r="D1296" s="32"/>
      <c r="E1296" s="48" t="s">
        <v>19</v>
      </c>
      <c r="F1296" s="48" t="s">
        <v>14</v>
      </c>
      <c r="G1296" s="48" t="s">
        <v>149</v>
      </c>
      <c r="H1296" s="49">
        <v>6.39</v>
      </c>
      <c r="I1296" s="8">
        <v>6</v>
      </c>
      <c r="J1296" s="7">
        <v>1</v>
      </c>
      <c r="K1296" s="10">
        <f t="shared" si="129"/>
        <v>3.8339999999999999E-2</v>
      </c>
      <c r="L1296" s="32"/>
      <c r="M1296" s="32"/>
      <c r="N1296" s="18">
        <f t="shared" si="130"/>
        <v>0</v>
      </c>
      <c r="O1296" s="106">
        <f t="shared" si="131"/>
        <v>1</v>
      </c>
      <c r="P1296" s="13">
        <f t="shared" si="132"/>
        <v>3.8339999999999999E-2</v>
      </c>
      <c r="Q1296" s="32" t="s">
        <v>467</v>
      </c>
      <c r="R1296" s="32">
        <v>1</v>
      </c>
      <c r="S1296" s="32"/>
    </row>
    <row r="1297" spans="1:19">
      <c r="A1297" s="42" t="s">
        <v>90</v>
      </c>
      <c r="B1297" s="48" t="s">
        <v>148</v>
      </c>
      <c r="C1297" s="32">
        <v>9</v>
      </c>
      <c r="D1297" s="32"/>
      <c r="E1297" s="48" t="s">
        <v>19</v>
      </c>
      <c r="F1297" s="48" t="s">
        <v>14</v>
      </c>
      <c r="G1297" s="48" t="s">
        <v>149</v>
      </c>
      <c r="H1297" s="49">
        <v>6.39</v>
      </c>
      <c r="I1297" s="8">
        <v>7</v>
      </c>
      <c r="J1297" s="7">
        <v>2</v>
      </c>
      <c r="K1297" s="10">
        <f t="shared" ref="K1297:K1360" si="133">(H1297*I1297*J1297/1000)</f>
        <v>8.9459999999999998E-2</v>
      </c>
      <c r="L1297" s="32"/>
      <c r="M1297" s="32"/>
      <c r="N1297" s="18">
        <f t="shared" ref="N1297:N1360" si="134">I1297*M1297*H1297/1000</f>
        <v>0</v>
      </c>
      <c r="O1297" s="106">
        <f t="shared" ref="O1297:O1360" si="135">J1297-M1297</f>
        <v>2</v>
      </c>
      <c r="P1297" s="13">
        <f t="shared" ref="P1297:P1360" si="136">I1297*O1297*H1297/1000</f>
        <v>8.9459999999999998E-2</v>
      </c>
      <c r="Q1297" s="32" t="s">
        <v>467</v>
      </c>
      <c r="R1297" s="32">
        <v>2</v>
      </c>
      <c r="S1297" s="32"/>
    </row>
    <row r="1298" spans="1:19">
      <c r="A1298" s="42" t="s">
        <v>90</v>
      </c>
      <c r="B1298" s="48" t="s">
        <v>148</v>
      </c>
      <c r="C1298" s="32">
        <v>9</v>
      </c>
      <c r="D1298" s="32"/>
      <c r="E1298" s="48" t="s">
        <v>19</v>
      </c>
      <c r="F1298" s="48" t="s">
        <v>14</v>
      </c>
      <c r="G1298" s="48" t="s">
        <v>149</v>
      </c>
      <c r="H1298" s="49">
        <v>6.39</v>
      </c>
      <c r="I1298" s="8">
        <v>7.5</v>
      </c>
      <c r="J1298" s="7">
        <v>5</v>
      </c>
      <c r="K1298" s="10">
        <f t="shared" si="133"/>
        <v>0.239625</v>
      </c>
      <c r="L1298" s="32"/>
      <c r="M1298" s="32"/>
      <c r="N1298" s="18">
        <f t="shared" si="134"/>
        <v>0</v>
      </c>
      <c r="O1298" s="106">
        <f t="shared" si="135"/>
        <v>5</v>
      </c>
      <c r="P1298" s="13">
        <f t="shared" si="136"/>
        <v>0.239625</v>
      </c>
      <c r="Q1298" s="32" t="s">
        <v>467</v>
      </c>
      <c r="R1298" s="32">
        <v>5</v>
      </c>
      <c r="S1298" s="32"/>
    </row>
    <row r="1299" spans="1:19">
      <c r="A1299" s="42" t="s">
        <v>90</v>
      </c>
      <c r="B1299" s="48" t="s">
        <v>148</v>
      </c>
      <c r="C1299" s="32">
        <v>9</v>
      </c>
      <c r="D1299" s="32"/>
      <c r="E1299" s="48" t="s">
        <v>19</v>
      </c>
      <c r="F1299" s="48" t="s">
        <v>14</v>
      </c>
      <c r="G1299" s="48" t="s">
        <v>149</v>
      </c>
      <c r="H1299" s="49">
        <v>6.39</v>
      </c>
      <c r="I1299" s="8">
        <v>7.7</v>
      </c>
      <c r="J1299" s="7">
        <v>1</v>
      </c>
      <c r="K1299" s="10">
        <f t="shared" si="133"/>
        <v>4.9202999999999997E-2</v>
      </c>
      <c r="L1299" s="32"/>
      <c r="M1299" s="32"/>
      <c r="N1299" s="18">
        <f t="shared" si="134"/>
        <v>0</v>
      </c>
      <c r="O1299" s="106">
        <f t="shared" si="135"/>
        <v>1</v>
      </c>
      <c r="P1299" s="13">
        <f t="shared" si="136"/>
        <v>4.9202999999999997E-2</v>
      </c>
      <c r="Q1299" s="32" t="s">
        <v>467</v>
      </c>
      <c r="R1299" s="32">
        <v>1</v>
      </c>
      <c r="S1299" s="32"/>
    </row>
    <row r="1300" spans="1:19">
      <c r="A1300" s="42" t="s">
        <v>90</v>
      </c>
      <c r="B1300" s="48" t="s">
        <v>148</v>
      </c>
      <c r="C1300" s="32">
        <v>10</v>
      </c>
      <c r="D1300" s="32"/>
      <c r="E1300" s="48" t="s">
        <v>19</v>
      </c>
      <c r="F1300" s="48" t="s">
        <v>14</v>
      </c>
      <c r="G1300" s="48" t="s">
        <v>144</v>
      </c>
      <c r="H1300" s="49">
        <v>5.38</v>
      </c>
      <c r="I1300" s="52">
        <v>10.5</v>
      </c>
      <c r="J1300" s="7">
        <v>8</v>
      </c>
      <c r="K1300" s="10">
        <f t="shared" si="133"/>
        <v>0.45191999999999999</v>
      </c>
      <c r="L1300" s="32"/>
      <c r="M1300" s="32">
        <v>8</v>
      </c>
      <c r="N1300" s="18">
        <f t="shared" si="134"/>
        <v>0.45191999999999999</v>
      </c>
      <c r="O1300" s="19">
        <f t="shared" si="135"/>
        <v>0</v>
      </c>
      <c r="P1300" s="13">
        <f t="shared" si="136"/>
        <v>0</v>
      </c>
      <c r="Q1300" s="32">
        <v>10.5</v>
      </c>
      <c r="R1300" s="32">
        <v>8</v>
      </c>
      <c r="S1300" s="32" t="s">
        <v>654</v>
      </c>
    </row>
    <row r="1301" spans="1:19">
      <c r="A1301" s="42" t="s">
        <v>90</v>
      </c>
      <c r="B1301" s="48" t="s">
        <v>148</v>
      </c>
      <c r="C1301" s="32">
        <v>10</v>
      </c>
      <c r="D1301" s="32"/>
      <c r="E1301" s="48" t="s">
        <v>19</v>
      </c>
      <c r="F1301" s="48" t="s">
        <v>14</v>
      </c>
      <c r="G1301" s="48" t="s">
        <v>144</v>
      </c>
      <c r="H1301" s="49">
        <v>5.38</v>
      </c>
      <c r="I1301" s="52">
        <v>6</v>
      </c>
      <c r="J1301" s="7">
        <v>1</v>
      </c>
      <c r="K1301" s="10">
        <f t="shared" si="133"/>
        <v>3.2280000000000003E-2</v>
      </c>
      <c r="L1301" s="32"/>
      <c r="M1301" s="32"/>
      <c r="N1301" s="18">
        <f t="shared" si="134"/>
        <v>0</v>
      </c>
      <c r="O1301" s="19">
        <f t="shared" si="135"/>
        <v>1</v>
      </c>
      <c r="P1301" s="13">
        <f t="shared" si="136"/>
        <v>3.2280000000000003E-2</v>
      </c>
      <c r="Q1301" s="32"/>
      <c r="R1301" s="32"/>
      <c r="S1301" s="32"/>
    </row>
    <row r="1302" spans="1:19">
      <c r="A1302" s="42" t="s">
        <v>90</v>
      </c>
      <c r="B1302" s="48" t="s">
        <v>148</v>
      </c>
      <c r="C1302" s="32">
        <v>10</v>
      </c>
      <c r="D1302" s="32"/>
      <c r="E1302" s="48" t="s">
        <v>19</v>
      </c>
      <c r="F1302" s="48" t="s">
        <v>14</v>
      </c>
      <c r="G1302" s="48" t="s">
        <v>144</v>
      </c>
      <c r="H1302" s="49">
        <v>5.38</v>
      </c>
      <c r="I1302" s="52">
        <v>10</v>
      </c>
      <c r="J1302" s="7">
        <v>2</v>
      </c>
      <c r="K1302" s="10">
        <f t="shared" si="133"/>
        <v>0.1076</v>
      </c>
      <c r="L1302" s="32"/>
      <c r="M1302" s="32">
        <v>2</v>
      </c>
      <c r="N1302" s="18">
        <f t="shared" si="134"/>
        <v>0.1076</v>
      </c>
      <c r="O1302" s="19">
        <f t="shared" si="135"/>
        <v>0</v>
      </c>
      <c r="P1302" s="13">
        <f t="shared" si="136"/>
        <v>0</v>
      </c>
      <c r="Q1302" s="155">
        <v>10</v>
      </c>
      <c r="R1302" s="32">
        <v>2</v>
      </c>
      <c r="S1302" s="32" t="s">
        <v>654</v>
      </c>
    </row>
    <row r="1303" spans="1:19">
      <c r="A1303" s="42" t="s">
        <v>90</v>
      </c>
      <c r="B1303" s="48" t="s">
        <v>148</v>
      </c>
      <c r="C1303" s="32">
        <v>11</v>
      </c>
      <c r="D1303" s="32"/>
      <c r="E1303" s="48" t="s">
        <v>19</v>
      </c>
      <c r="F1303" s="48" t="s">
        <v>14</v>
      </c>
      <c r="G1303" s="48" t="s">
        <v>149</v>
      </c>
      <c r="H1303" s="49">
        <v>6.39</v>
      </c>
      <c r="I1303" s="8">
        <v>7.5</v>
      </c>
      <c r="J1303" s="7">
        <v>10</v>
      </c>
      <c r="K1303" s="10">
        <f t="shared" si="133"/>
        <v>0.47925000000000001</v>
      </c>
      <c r="L1303" s="32"/>
      <c r="M1303" s="32"/>
      <c r="N1303" s="18">
        <f t="shared" si="134"/>
        <v>0</v>
      </c>
      <c r="O1303" s="106">
        <f t="shared" si="135"/>
        <v>10</v>
      </c>
      <c r="P1303" s="13">
        <f t="shared" si="136"/>
        <v>0.47925000000000001</v>
      </c>
      <c r="Q1303" s="32" t="s">
        <v>467</v>
      </c>
      <c r="R1303" s="32">
        <v>10</v>
      </c>
      <c r="S1303" s="32"/>
    </row>
    <row r="1304" spans="1:19">
      <c r="A1304" s="42" t="s">
        <v>90</v>
      </c>
      <c r="B1304" s="48" t="s">
        <v>148</v>
      </c>
      <c r="C1304" s="32">
        <v>11</v>
      </c>
      <c r="D1304" s="32"/>
      <c r="E1304" s="48" t="s">
        <v>19</v>
      </c>
      <c r="F1304" s="48" t="s">
        <v>14</v>
      </c>
      <c r="G1304" s="48" t="s">
        <v>149</v>
      </c>
      <c r="H1304" s="49">
        <v>6.39</v>
      </c>
      <c r="I1304" s="8">
        <v>8</v>
      </c>
      <c r="J1304" s="7">
        <v>4</v>
      </c>
      <c r="K1304" s="10">
        <f t="shared" si="133"/>
        <v>0.20448</v>
      </c>
      <c r="L1304" s="32"/>
      <c r="M1304" s="32"/>
      <c r="N1304" s="18">
        <f t="shared" si="134"/>
        <v>0</v>
      </c>
      <c r="O1304" s="106">
        <f t="shared" si="135"/>
        <v>4</v>
      </c>
      <c r="P1304" s="13">
        <f t="shared" si="136"/>
        <v>0.20448</v>
      </c>
      <c r="Q1304" s="32" t="s">
        <v>467</v>
      </c>
      <c r="R1304" s="32">
        <v>4</v>
      </c>
      <c r="S1304" s="32"/>
    </row>
    <row r="1305" spans="1:19">
      <c r="A1305" s="42" t="s">
        <v>90</v>
      </c>
      <c r="B1305" s="48" t="s">
        <v>148</v>
      </c>
      <c r="C1305" s="32">
        <v>12</v>
      </c>
      <c r="D1305" s="32"/>
      <c r="E1305" s="48" t="s">
        <v>19</v>
      </c>
      <c r="F1305" s="48" t="s">
        <v>14</v>
      </c>
      <c r="G1305" s="48" t="s">
        <v>149</v>
      </c>
      <c r="H1305" s="49">
        <v>6.39</v>
      </c>
      <c r="I1305" s="8">
        <v>8.5</v>
      </c>
      <c r="J1305" s="7">
        <v>4</v>
      </c>
      <c r="K1305" s="10">
        <f t="shared" si="133"/>
        <v>0.21725999999999998</v>
      </c>
      <c r="L1305" s="32"/>
      <c r="M1305" s="32"/>
      <c r="N1305" s="18">
        <f t="shared" si="134"/>
        <v>0</v>
      </c>
      <c r="O1305" s="106">
        <f t="shared" si="135"/>
        <v>4</v>
      </c>
      <c r="P1305" s="13">
        <f t="shared" si="136"/>
        <v>0.21725999999999998</v>
      </c>
      <c r="Q1305" s="32" t="s">
        <v>467</v>
      </c>
      <c r="R1305" s="32">
        <v>4</v>
      </c>
      <c r="S1305" s="32"/>
    </row>
    <row r="1306" spans="1:19">
      <c r="A1306" s="42" t="s">
        <v>90</v>
      </c>
      <c r="B1306" s="48" t="s">
        <v>148</v>
      </c>
      <c r="C1306" s="32">
        <v>12</v>
      </c>
      <c r="D1306" s="32"/>
      <c r="E1306" s="48" t="s">
        <v>19</v>
      </c>
      <c r="F1306" s="48" t="s">
        <v>14</v>
      </c>
      <c r="G1306" s="48" t="s">
        <v>149</v>
      </c>
      <c r="H1306" s="49">
        <v>6.39</v>
      </c>
      <c r="I1306" s="8">
        <v>8.6999999999999993</v>
      </c>
      <c r="J1306" s="7">
        <v>4</v>
      </c>
      <c r="K1306" s="10">
        <f t="shared" si="133"/>
        <v>0.22237199999999996</v>
      </c>
      <c r="L1306" s="32"/>
      <c r="M1306" s="32"/>
      <c r="N1306" s="18">
        <f t="shared" si="134"/>
        <v>0</v>
      </c>
      <c r="O1306" s="19">
        <f t="shared" si="135"/>
        <v>4</v>
      </c>
      <c r="P1306" s="13">
        <f t="shared" si="136"/>
        <v>0.22237199999999996</v>
      </c>
      <c r="Q1306" s="33"/>
      <c r="R1306" s="32"/>
      <c r="S1306" s="32"/>
    </row>
    <row r="1307" spans="1:19">
      <c r="A1307" s="42" t="s">
        <v>90</v>
      </c>
      <c r="B1307" s="48" t="s">
        <v>148</v>
      </c>
      <c r="C1307" s="32">
        <v>12</v>
      </c>
      <c r="D1307" s="32"/>
      <c r="E1307" s="48" t="s">
        <v>19</v>
      </c>
      <c r="F1307" s="48" t="s">
        <v>14</v>
      </c>
      <c r="G1307" s="48" t="s">
        <v>149</v>
      </c>
      <c r="H1307" s="49">
        <v>6.39</v>
      </c>
      <c r="I1307" s="8">
        <v>8.8000000000000007</v>
      </c>
      <c r="J1307" s="7">
        <v>7</v>
      </c>
      <c r="K1307" s="10">
        <f t="shared" si="133"/>
        <v>0.39362400000000003</v>
      </c>
      <c r="L1307" s="32"/>
      <c r="M1307" s="32"/>
      <c r="N1307" s="18">
        <f t="shared" si="134"/>
        <v>0</v>
      </c>
      <c r="O1307" s="19">
        <f t="shared" si="135"/>
        <v>7</v>
      </c>
      <c r="P1307" s="13">
        <f t="shared" si="136"/>
        <v>0.39362400000000003</v>
      </c>
      <c r="Q1307" s="33"/>
      <c r="R1307" s="32"/>
      <c r="S1307" s="32"/>
    </row>
    <row r="1308" spans="1:19">
      <c r="A1308" s="42" t="s">
        <v>90</v>
      </c>
      <c r="B1308" s="48" t="s">
        <v>148</v>
      </c>
      <c r="C1308" s="32">
        <v>12</v>
      </c>
      <c r="D1308" s="32"/>
      <c r="E1308" s="48" t="s">
        <v>19</v>
      </c>
      <c r="F1308" s="48" t="s">
        <v>14</v>
      </c>
      <c r="G1308" s="48" t="s">
        <v>149</v>
      </c>
      <c r="H1308" s="49">
        <v>6.39</v>
      </c>
      <c r="I1308" s="8">
        <v>9</v>
      </c>
      <c r="J1308" s="7">
        <v>12</v>
      </c>
      <c r="K1308" s="10">
        <f t="shared" si="133"/>
        <v>0.69011999999999996</v>
      </c>
      <c r="L1308" s="32"/>
      <c r="M1308" s="32">
        <v>12</v>
      </c>
      <c r="N1308" s="18">
        <f t="shared" si="134"/>
        <v>0.69011999999999996</v>
      </c>
      <c r="O1308" s="19">
        <f t="shared" si="135"/>
        <v>0</v>
      </c>
      <c r="P1308" s="13">
        <f t="shared" si="136"/>
        <v>0</v>
      </c>
      <c r="Q1308" s="33">
        <v>9</v>
      </c>
      <c r="R1308" s="32">
        <v>12</v>
      </c>
      <c r="S1308" s="32"/>
    </row>
    <row r="1309" spans="1:19">
      <c r="A1309" s="42" t="s">
        <v>90</v>
      </c>
      <c r="B1309" s="48" t="s">
        <v>148</v>
      </c>
      <c r="C1309" s="32">
        <v>13</v>
      </c>
      <c r="D1309" s="32"/>
      <c r="E1309" s="48" t="s">
        <v>19</v>
      </c>
      <c r="F1309" s="48" t="s">
        <v>14</v>
      </c>
      <c r="G1309" s="48" t="s">
        <v>149</v>
      </c>
      <c r="H1309" s="49">
        <v>6.39</v>
      </c>
      <c r="I1309" s="52">
        <v>10.5</v>
      </c>
      <c r="J1309" s="7">
        <v>1</v>
      </c>
      <c r="K1309" s="10">
        <f t="shared" si="133"/>
        <v>6.7095000000000002E-2</v>
      </c>
      <c r="L1309" s="32" t="s">
        <v>26</v>
      </c>
      <c r="M1309" s="32">
        <v>1</v>
      </c>
      <c r="N1309" s="18">
        <f t="shared" si="134"/>
        <v>6.7095000000000002E-2</v>
      </c>
      <c r="O1309" s="19">
        <f t="shared" si="135"/>
        <v>0</v>
      </c>
      <c r="P1309" s="13">
        <f t="shared" si="136"/>
        <v>0</v>
      </c>
      <c r="Q1309" s="32" t="s">
        <v>498</v>
      </c>
      <c r="R1309" s="32"/>
      <c r="S1309" s="32"/>
    </row>
    <row r="1310" spans="1:19">
      <c r="A1310" s="42" t="s">
        <v>90</v>
      </c>
      <c r="B1310" s="48" t="s">
        <v>148</v>
      </c>
      <c r="C1310" s="32">
        <v>13</v>
      </c>
      <c r="D1310" s="32"/>
      <c r="E1310" s="48" t="s">
        <v>19</v>
      </c>
      <c r="F1310" s="48" t="s">
        <v>14</v>
      </c>
      <c r="G1310" s="48" t="s">
        <v>149</v>
      </c>
      <c r="H1310" s="49">
        <v>6.39</v>
      </c>
      <c r="I1310" s="52">
        <v>11.4</v>
      </c>
      <c r="J1310" s="7">
        <v>1</v>
      </c>
      <c r="K1310" s="10">
        <f t="shared" si="133"/>
        <v>7.2846000000000008E-2</v>
      </c>
      <c r="L1310" s="32" t="s">
        <v>26</v>
      </c>
      <c r="M1310" s="32">
        <v>1</v>
      </c>
      <c r="N1310" s="18">
        <f t="shared" si="134"/>
        <v>7.2846000000000008E-2</v>
      </c>
      <c r="O1310" s="19">
        <f t="shared" si="135"/>
        <v>0</v>
      </c>
      <c r="P1310" s="13">
        <f t="shared" si="136"/>
        <v>0</v>
      </c>
      <c r="Q1310" s="32" t="s">
        <v>498</v>
      </c>
      <c r="R1310" s="32"/>
      <c r="S1310" s="32"/>
    </row>
    <row r="1311" spans="1:19">
      <c r="A1311" s="42" t="s">
        <v>90</v>
      </c>
      <c r="B1311" s="48" t="s">
        <v>148</v>
      </c>
      <c r="C1311" s="32">
        <v>13</v>
      </c>
      <c r="D1311" s="32"/>
      <c r="E1311" s="48" t="s">
        <v>19</v>
      </c>
      <c r="F1311" s="48" t="s">
        <v>14</v>
      </c>
      <c r="G1311" s="48" t="s">
        <v>149</v>
      </c>
      <c r="H1311" s="49">
        <v>6.39</v>
      </c>
      <c r="I1311" s="52">
        <v>13</v>
      </c>
      <c r="J1311" s="7">
        <v>1</v>
      </c>
      <c r="K1311" s="10">
        <f t="shared" si="133"/>
        <v>8.3069999999999991E-2</v>
      </c>
      <c r="L1311" s="32" t="s">
        <v>26</v>
      </c>
      <c r="M1311" s="32">
        <v>1</v>
      </c>
      <c r="N1311" s="18">
        <f t="shared" si="134"/>
        <v>8.3069999999999991E-2</v>
      </c>
      <c r="O1311" s="19">
        <f t="shared" si="135"/>
        <v>0</v>
      </c>
      <c r="P1311" s="13">
        <f t="shared" si="136"/>
        <v>0</v>
      </c>
      <c r="Q1311" s="32" t="s">
        <v>498</v>
      </c>
      <c r="R1311" s="32"/>
      <c r="S1311" s="32"/>
    </row>
    <row r="1312" spans="1:19">
      <c r="A1312" s="42" t="s">
        <v>90</v>
      </c>
      <c r="B1312" s="48" t="s">
        <v>148</v>
      </c>
      <c r="C1312" s="32">
        <v>13</v>
      </c>
      <c r="D1312" s="32"/>
      <c r="E1312" s="48" t="s">
        <v>19</v>
      </c>
      <c r="F1312" s="48" t="s">
        <v>14</v>
      </c>
      <c r="G1312" s="48" t="s">
        <v>149</v>
      </c>
      <c r="H1312" s="49">
        <v>6.39</v>
      </c>
      <c r="I1312" s="52">
        <v>11.5</v>
      </c>
      <c r="J1312" s="7">
        <v>6</v>
      </c>
      <c r="K1312" s="10">
        <f t="shared" si="133"/>
        <v>0.44090999999999997</v>
      </c>
      <c r="L1312" s="32" t="s">
        <v>26</v>
      </c>
      <c r="M1312" s="32">
        <v>6</v>
      </c>
      <c r="N1312" s="18">
        <f t="shared" si="134"/>
        <v>0.44090999999999997</v>
      </c>
      <c r="O1312" s="19">
        <f t="shared" si="135"/>
        <v>0</v>
      </c>
      <c r="P1312" s="13">
        <f t="shared" si="136"/>
        <v>0</v>
      </c>
      <c r="Q1312" s="32" t="s">
        <v>498</v>
      </c>
      <c r="R1312" s="32"/>
      <c r="S1312" s="32"/>
    </row>
    <row r="1313" spans="1:19">
      <c r="A1313" s="42" t="s">
        <v>90</v>
      </c>
      <c r="B1313" s="48" t="s">
        <v>148</v>
      </c>
      <c r="C1313" s="32">
        <v>13</v>
      </c>
      <c r="D1313" s="32"/>
      <c r="E1313" s="48" t="s">
        <v>19</v>
      </c>
      <c r="F1313" s="48" t="s">
        <v>14</v>
      </c>
      <c r="G1313" s="48" t="s">
        <v>149</v>
      </c>
      <c r="H1313" s="49">
        <v>6.39</v>
      </c>
      <c r="I1313" s="52">
        <v>11</v>
      </c>
      <c r="J1313" s="7">
        <v>1</v>
      </c>
      <c r="K1313" s="10">
        <f t="shared" si="133"/>
        <v>7.0289999999999991E-2</v>
      </c>
      <c r="L1313" s="32" t="s">
        <v>26</v>
      </c>
      <c r="M1313" s="32">
        <v>1</v>
      </c>
      <c r="N1313" s="18">
        <f t="shared" si="134"/>
        <v>7.0289999999999991E-2</v>
      </c>
      <c r="O1313" s="19">
        <f t="shared" si="135"/>
        <v>0</v>
      </c>
      <c r="P1313" s="13">
        <f t="shared" si="136"/>
        <v>0</v>
      </c>
      <c r="Q1313" s="32" t="s">
        <v>498</v>
      </c>
      <c r="R1313" s="32"/>
      <c r="S1313" s="32"/>
    </row>
    <row r="1314" spans="1:19">
      <c r="A1314" s="42" t="s">
        <v>90</v>
      </c>
      <c r="B1314" s="48" t="s">
        <v>148</v>
      </c>
      <c r="C1314" s="32">
        <v>14</v>
      </c>
      <c r="D1314" s="32"/>
      <c r="E1314" s="363" t="s">
        <v>150</v>
      </c>
      <c r="F1314" s="48" t="s">
        <v>15</v>
      </c>
      <c r="G1314" s="48" t="s">
        <v>144</v>
      </c>
      <c r="H1314" s="49">
        <v>5.38</v>
      </c>
      <c r="I1314" s="52">
        <v>10.5</v>
      </c>
      <c r="J1314" s="7">
        <v>5</v>
      </c>
      <c r="K1314" s="10">
        <f t="shared" si="133"/>
        <v>0.28244999999999998</v>
      </c>
      <c r="L1314" s="32"/>
      <c r="M1314" s="32"/>
      <c r="N1314" s="18">
        <f t="shared" si="134"/>
        <v>0</v>
      </c>
      <c r="O1314" s="19">
        <f t="shared" si="135"/>
        <v>5</v>
      </c>
      <c r="P1314" s="13">
        <f t="shared" si="136"/>
        <v>0.28244999999999998</v>
      </c>
      <c r="Q1314" s="32"/>
      <c r="R1314" s="32"/>
      <c r="S1314" s="32"/>
    </row>
    <row r="1315" spans="1:19">
      <c r="A1315" s="42" t="s">
        <v>90</v>
      </c>
      <c r="B1315" s="48" t="s">
        <v>148</v>
      </c>
      <c r="C1315" s="32">
        <v>15</v>
      </c>
      <c r="D1315" s="32"/>
      <c r="E1315" s="48" t="s">
        <v>151</v>
      </c>
      <c r="F1315" s="48" t="s">
        <v>15</v>
      </c>
      <c r="G1315" s="48" t="s">
        <v>144</v>
      </c>
      <c r="H1315" s="49">
        <v>5.38</v>
      </c>
      <c r="I1315" s="52">
        <v>7.5</v>
      </c>
      <c r="J1315" s="7">
        <v>3</v>
      </c>
      <c r="K1315" s="10">
        <f t="shared" si="133"/>
        <v>0.12105</v>
      </c>
      <c r="L1315" s="32"/>
      <c r="M1315" s="32">
        <v>3</v>
      </c>
      <c r="N1315" s="18">
        <f t="shared" si="134"/>
        <v>0.12104999999999999</v>
      </c>
      <c r="O1315" s="19">
        <f t="shared" si="135"/>
        <v>0</v>
      </c>
      <c r="P1315" s="13">
        <f t="shared" si="136"/>
        <v>0</v>
      </c>
      <c r="Q1315" s="55">
        <v>6.6</v>
      </c>
      <c r="R1315" s="45">
        <v>3</v>
      </c>
      <c r="S1315" s="32" t="s">
        <v>604</v>
      </c>
    </row>
    <row r="1316" spans="1:19">
      <c r="A1316" s="42" t="s">
        <v>90</v>
      </c>
      <c r="B1316" s="48" t="s">
        <v>148</v>
      </c>
      <c r="C1316" s="32">
        <v>15</v>
      </c>
      <c r="D1316" s="32"/>
      <c r="E1316" s="48" t="s">
        <v>151</v>
      </c>
      <c r="F1316" s="48" t="s">
        <v>15</v>
      </c>
      <c r="G1316" s="48" t="s">
        <v>144</v>
      </c>
      <c r="H1316" s="49">
        <v>5.38</v>
      </c>
      <c r="I1316" s="52">
        <v>6.7</v>
      </c>
      <c r="J1316" s="7">
        <v>1</v>
      </c>
      <c r="K1316" s="10">
        <f t="shared" si="133"/>
        <v>3.6046000000000002E-2</v>
      </c>
      <c r="L1316" s="32"/>
      <c r="M1316" s="32">
        <v>1</v>
      </c>
      <c r="N1316" s="18">
        <f t="shared" si="134"/>
        <v>3.6046000000000002E-2</v>
      </c>
      <c r="O1316" s="19">
        <f t="shared" si="135"/>
        <v>0</v>
      </c>
      <c r="P1316" s="13">
        <f t="shared" si="136"/>
        <v>0</v>
      </c>
      <c r="Q1316" s="55">
        <v>6.6</v>
      </c>
      <c r="R1316" s="45">
        <v>1</v>
      </c>
      <c r="S1316" s="32" t="s">
        <v>604</v>
      </c>
    </row>
    <row r="1317" spans="1:19">
      <c r="A1317" s="42" t="s">
        <v>90</v>
      </c>
      <c r="B1317" s="48" t="s">
        <v>148</v>
      </c>
      <c r="C1317" s="32">
        <v>16</v>
      </c>
      <c r="D1317" s="32"/>
      <c r="E1317" s="48" t="s">
        <v>19</v>
      </c>
      <c r="F1317" s="48" t="s">
        <v>14</v>
      </c>
      <c r="G1317" s="48" t="s">
        <v>144</v>
      </c>
      <c r="H1317" s="49">
        <v>5.38</v>
      </c>
      <c r="I1317" s="52">
        <v>8.1999999999999993</v>
      </c>
      <c r="J1317" s="7">
        <v>1</v>
      </c>
      <c r="K1317" s="10">
        <f t="shared" si="133"/>
        <v>4.4115999999999995E-2</v>
      </c>
      <c r="L1317" s="32"/>
      <c r="M1317" s="32">
        <v>1</v>
      </c>
      <c r="N1317" s="18">
        <f t="shared" si="134"/>
        <v>4.4115999999999995E-2</v>
      </c>
      <c r="O1317" s="106">
        <f t="shared" si="135"/>
        <v>0</v>
      </c>
      <c r="P1317" s="13">
        <f t="shared" si="136"/>
        <v>0</v>
      </c>
      <c r="Q1317" s="32">
        <v>7.95</v>
      </c>
      <c r="R1317" s="32">
        <v>1</v>
      </c>
      <c r="S1317" s="32" t="s">
        <v>657</v>
      </c>
    </row>
    <row r="1318" spans="1:19">
      <c r="A1318" s="42" t="s">
        <v>90</v>
      </c>
      <c r="B1318" s="48" t="s">
        <v>148</v>
      </c>
      <c r="C1318" s="32">
        <v>16</v>
      </c>
      <c r="D1318" s="32"/>
      <c r="E1318" s="48" t="s">
        <v>19</v>
      </c>
      <c r="F1318" s="48" t="s">
        <v>14</v>
      </c>
      <c r="G1318" s="48" t="s">
        <v>144</v>
      </c>
      <c r="H1318" s="49">
        <v>5.38</v>
      </c>
      <c r="I1318" s="52">
        <v>5.9</v>
      </c>
      <c r="J1318" s="7">
        <v>1</v>
      </c>
      <c r="K1318" s="10">
        <f t="shared" si="133"/>
        <v>3.1741999999999999E-2</v>
      </c>
      <c r="L1318" s="32"/>
      <c r="M1318" s="32"/>
      <c r="N1318" s="18">
        <f t="shared" si="134"/>
        <v>0</v>
      </c>
      <c r="O1318" s="19">
        <f t="shared" si="135"/>
        <v>1</v>
      </c>
      <c r="P1318" s="13">
        <f t="shared" si="136"/>
        <v>3.1741999999999999E-2</v>
      </c>
      <c r="Q1318" s="32"/>
      <c r="R1318" s="32"/>
      <c r="S1318" s="32"/>
    </row>
    <row r="1319" spans="1:19">
      <c r="A1319" s="42" t="s">
        <v>90</v>
      </c>
      <c r="B1319" s="48" t="s">
        <v>148</v>
      </c>
      <c r="C1319" s="32">
        <v>17</v>
      </c>
      <c r="D1319" s="32"/>
      <c r="E1319" s="48" t="s">
        <v>19</v>
      </c>
      <c r="F1319" s="48" t="s">
        <v>14</v>
      </c>
      <c r="G1319" s="48" t="s">
        <v>144</v>
      </c>
      <c r="H1319" s="49">
        <v>5.38</v>
      </c>
      <c r="I1319" s="52">
        <v>11</v>
      </c>
      <c r="J1319" s="7">
        <v>2</v>
      </c>
      <c r="K1319" s="10">
        <f t="shared" si="133"/>
        <v>0.11835999999999999</v>
      </c>
      <c r="L1319" s="32"/>
      <c r="M1319" s="32">
        <v>2</v>
      </c>
      <c r="N1319" s="18">
        <f t="shared" si="134"/>
        <v>0.11835999999999999</v>
      </c>
      <c r="O1319" s="19">
        <f t="shared" si="135"/>
        <v>0</v>
      </c>
      <c r="P1319" s="13">
        <f t="shared" si="136"/>
        <v>0</v>
      </c>
      <c r="Q1319" s="33">
        <v>11</v>
      </c>
      <c r="R1319" s="32">
        <v>2</v>
      </c>
      <c r="S1319" s="32" t="s">
        <v>654</v>
      </c>
    </row>
    <row r="1320" spans="1:19">
      <c r="A1320" s="42" t="s">
        <v>90</v>
      </c>
      <c r="B1320" s="48" t="s">
        <v>148</v>
      </c>
      <c r="C1320" s="32">
        <v>17</v>
      </c>
      <c r="D1320" s="32"/>
      <c r="E1320" s="48" t="s">
        <v>19</v>
      </c>
      <c r="F1320" s="48" t="s">
        <v>14</v>
      </c>
      <c r="G1320" s="48" t="s">
        <v>144</v>
      </c>
      <c r="H1320" s="49">
        <v>5.38</v>
      </c>
      <c r="I1320" s="52">
        <v>11.3</v>
      </c>
      <c r="J1320" s="7">
        <v>1</v>
      </c>
      <c r="K1320" s="10">
        <f t="shared" si="133"/>
        <v>6.0794000000000001E-2</v>
      </c>
      <c r="L1320" s="32"/>
      <c r="M1320" s="32">
        <v>1</v>
      </c>
      <c r="N1320" s="18">
        <f t="shared" si="134"/>
        <v>6.0794000000000001E-2</v>
      </c>
      <c r="O1320" s="19">
        <f t="shared" si="135"/>
        <v>0</v>
      </c>
      <c r="P1320" s="13">
        <f t="shared" si="136"/>
        <v>0</v>
      </c>
      <c r="Q1320" s="33">
        <v>11</v>
      </c>
      <c r="R1320" s="32">
        <v>1</v>
      </c>
      <c r="S1320" s="32" t="s">
        <v>654</v>
      </c>
    </row>
    <row r="1321" spans="1:19">
      <c r="A1321" s="42" t="s">
        <v>90</v>
      </c>
      <c r="B1321" s="48" t="s">
        <v>148</v>
      </c>
      <c r="C1321" s="32">
        <v>17</v>
      </c>
      <c r="D1321" s="32"/>
      <c r="E1321" s="48" t="s">
        <v>19</v>
      </c>
      <c r="F1321" s="48" t="s">
        <v>14</v>
      </c>
      <c r="G1321" s="48" t="s">
        <v>144</v>
      </c>
      <c r="H1321" s="49">
        <v>5.38</v>
      </c>
      <c r="I1321" s="52">
        <v>12</v>
      </c>
      <c r="J1321" s="7">
        <v>14</v>
      </c>
      <c r="K1321" s="10">
        <f t="shared" si="133"/>
        <v>0.90383999999999998</v>
      </c>
      <c r="L1321" s="32"/>
      <c r="M1321" s="32">
        <v>14</v>
      </c>
      <c r="N1321" s="18">
        <f t="shared" si="134"/>
        <v>0.90383999999999998</v>
      </c>
      <c r="O1321" s="19">
        <f t="shared" si="135"/>
        <v>0</v>
      </c>
      <c r="P1321" s="13">
        <f t="shared" si="136"/>
        <v>0</v>
      </c>
      <c r="Q1321" s="33">
        <v>12</v>
      </c>
      <c r="R1321" s="32">
        <v>14</v>
      </c>
      <c r="S1321" s="32" t="s">
        <v>631</v>
      </c>
    </row>
    <row r="1322" spans="1:19">
      <c r="A1322" s="42" t="s">
        <v>90</v>
      </c>
      <c r="B1322" s="48" t="s">
        <v>148</v>
      </c>
      <c r="C1322" s="32">
        <v>18</v>
      </c>
      <c r="D1322" s="32"/>
      <c r="E1322" s="48" t="s">
        <v>19</v>
      </c>
      <c r="F1322" s="48" t="s">
        <v>14</v>
      </c>
      <c r="G1322" s="48" t="s">
        <v>149</v>
      </c>
      <c r="H1322" s="49">
        <v>6.39</v>
      </c>
      <c r="I1322" s="8">
        <v>6.5</v>
      </c>
      <c r="J1322" s="7">
        <v>1</v>
      </c>
      <c r="K1322" s="10">
        <f t="shared" si="133"/>
        <v>4.1534999999999996E-2</v>
      </c>
      <c r="L1322" s="32"/>
      <c r="M1322" s="32"/>
      <c r="N1322" s="18">
        <f t="shared" si="134"/>
        <v>0</v>
      </c>
      <c r="O1322" s="106">
        <f t="shared" si="135"/>
        <v>1</v>
      </c>
      <c r="P1322" s="13">
        <f t="shared" si="136"/>
        <v>4.1534999999999996E-2</v>
      </c>
      <c r="Q1322" s="32" t="s">
        <v>467</v>
      </c>
      <c r="R1322" s="32">
        <v>1</v>
      </c>
      <c r="S1322" s="32"/>
    </row>
    <row r="1323" spans="1:19">
      <c r="A1323" s="42" t="s">
        <v>90</v>
      </c>
      <c r="B1323" s="48" t="s">
        <v>148</v>
      </c>
      <c r="C1323" s="32">
        <v>18</v>
      </c>
      <c r="D1323" s="32"/>
      <c r="E1323" s="48" t="s">
        <v>19</v>
      </c>
      <c r="F1323" s="48" t="s">
        <v>14</v>
      </c>
      <c r="G1323" s="48" t="s">
        <v>149</v>
      </c>
      <c r="H1323" s="49">
        <v>6.39</v>
      </c>
      <c r="I1323" s="8">
        <v>11.8</v>
      </c>
      <c r="J1323" s="7">
        <v>2</v>
      </c>
      <c r="K1323" s="10">
        <f t="shared" si="133"/>
        <v>0.15080399999999999</v>
      </c>
      <c r="L1323" s="32"/>
      <c r="M1323" s="32">
        <v>2</v>
      </c>
      <c r="N1323" s="18">
        <f t="shared" si="134"/>
        <v>0.15080399999999999</v>
      </c>
      <c r="O1323" s="19">
        <f t="shared" si="135"/>
        <v>0</v>
      </c>
      <c r="P1323" s="13">
        <f t="shared" si="136"/>
        <v>0</v>
      </c>
      <c r="Q1323" s="33">
        <v>9</v>
      </c>
      <c r="R1323" s="32">
        <v>2</v>
      </c>
      <c r="S1323" s="32"/>
    </row>
    <row r="1324" spans="1:19">
      <c r="A1324" s="42" t="s">
        <v>90</v>
      </c>
      <c r="B1324" s="48" t="s">
        <v>148</v>
      </c>
      <c r="C1324" s="32">
        <v>18</v>
      </c>
      <c r="D1324" s="32"/>
      <c r="E1324" s="48" t="s">
        <v>19</v>
      </c>
      <c r="F1324" s="48" t="s">
        <v>14</v>
      </c>
      <c r="G1324" s="48" t="s">
        <v>149</v>
      </c>
      <c r="H1324" s="49">
        <v>6.39</v>
      </c>
      <c r="I1324" s="8">
        <v>7.5</v>
      </c>
      <c r="J1324" s="7">
        <v>1</v>
      </c>
      <c r="K1324" s="10">
        <f t="shared" si="133"/>
        <v>4.7924999999999995E-2</v>
      </c>
      <c r="L1324" s="32"/>
      <c r="M1324" s="32"/>
      <c r="N1324" s="18">
        <f t="shared" si="134"/>
        <v>0</v>
      </c>
      <c r="O1324" s="19">
        <f t="shared" si="135"/>
        <v>1</v>
      </c>
      <c r="P1324" s="13">
        <f t="shared" si="136"/>
        <v>4.7924999999999995E-2</v>
      </c>
      <c r="Q1324" s="33"/>
      <c r="R1324" s="32"/>
      <c r="S1324" s="32"/>
    </row>
    <row r="1325" spans="1:19">
      <c r="A1325" s="42" t="s">
        <v>90</v>
      </c>
      <c r="B1325" s="48" t="s">
        <v>148</v>
      </c>
      <c r="C1325" s="32">
        <v>18</v>
      </c>
      <c r="D1325" s="32"/>
      <c r="E1325" s="48" t="s">
        <v>19</v>
      </c>
      <c r="F1325" s="48" t="s">
        <v>14</v>
      </c>
      <c r="G1325" s="48" t="s">
        <v>149</v>
      </c>
      <c r="H1325" s="49">
        <v>6.39</v>
      </c>
      <c r="I1325" s="8">
        <v>12</v>
      </c>
      <c r="J1325" s="7">
        <v>5</v>
      </c>
      <c r="K1325" s="10">
        <f t="shared" si="133"/>
        <v>0.38339999999999996</v>
      </c>
      <c r="L1325" s="32"/>
      <c r="M1325" s="32">
        <v>5</v>
      </c>
      <c r="N1325" s="18">
        <f t="shared" si="134"/>
        <v>0.38339999999999996</v>
      </c>
      <c r="O1325" s="19">
        <f t="shared" si="135"/>
        <v>0</v>
      </c>
      <c r="P1325" s="13">
        <f t="shared" si="136"/>
        <v>0</v>
      </c>
      <c r="Q1325" s="33">
        <v>9</v>
      </c>
      <c r="R1325" s="32">
        <v>5</v>
      </c>
      <c r="S1325" s="32"/>
    </row>
    <row r="1326" spans="1:19">
      <c r="A1326" s="42" t="s">
        <v>90</v>
      </c>
      <c r="B1326" s="48" t="s">
        <v>148</v>
      </c>
      <c r="C1326" s="32">
        <v>19</v>
      </c>
      <c r="D1326" s="32"/>
      <c r="E1326" s="48" t="s">
        <v>151</v>
      </c>
      <c r="F1326" s="48" t="s">
        <v>15</v>
      </c>
      <c r="G1326" s="48" t="s">
        <v>149</v>
      </c>
      <c r="H1326" s="49">
        <v>6.39</v>
      </c>
      <c r="I1326" s="52">
        <v>12</v>
      </c>
      <c r="J1326" s="7">
        <v>6</v>
      </c>
      <c r="K1326" s="10">
        <f t="shared" si="133"/>
        <v>0.46007999999999993</v>
      </c>
      <c r="L1326" s="32"/>
      <c r="M1326" s="32">
        <v>6</v>
      </c>
      <c r="N1326" s="18">
        <f t="shared" si="134"/>
        <v>0.46007999999999999</v>
      </c>
      <c r="O1326" s="19">
        <f t="shared" si="135"/>
        <v>0</v>
      </c>
      <c r="P1326" s="13">
        <f t="shared" si="136"/>
        <v>0</v>
      </c>
      <c r="Q1326" s="32">
        <v>12</v>
      </c>
      <c r="R1326" s="32">
        <v>6</v>
      </c>
      <c r="S1326" s="32" t="s">
        <v>653</v>
      </c>
    </row>
    <row r="1327" spans="1:19">
      <c r="A1327" s="42" t="s">
        <v>90</v>
      </c>
      <c r="B1327" s="48" t="s">
        <v>148</v>
      </c>
      <c r="C1327" s="32">
        <v>19</v>
      </c>
      <c r="D1327" s="32"/>
      <c r="E1327" s="48" t="s">
        <v>151</v>
      </c>
      <c r="F1327" s="48" t="s">
        <v>15</v>
      </c>
      <c r="G1327" s="48" t="s">
        <v>149</v>
      </c>
      <c r="H1327" s="49">
        <v>6.39</v>
      </c>
      <c r="I1327" s="52">
        <v>10.75</v>
      </c>
      <c r="J1327" s="7">
        <v>1</v>
      </c>
      <c r="K1327" s="10">
        <f t="shared" si="133"/>
        <v>6.869249999999999E-2</v>
      </c>
      <c r="L1327" s="32"/>
      <c r="M1327" s="32">
        <v>1</v>
      </c>
      <c r="N1327" s="18">
        <f t="shared" si="134"/>
        <v>6.869249999999999E-2</v>
      </c>
      <c r="O1327" s="19">
        <f t="shared" si="135"/>
        <v>0</v>
      </c>
      <c r="P1327" s="13">
        <f t="shared" si="136"/>
        <v>0</v>
      </c>
      <c r="Q1327" s="32">
        <v>10</v>
      </c>
      <c r="R1327" s="32">
        <v>1</v>
      </c>
      <c r="S1327" s="32" t="s">
        <v>652</v>
      </c>
    </row>
    <row r="1328" spans="1:19">
      <c r="A1328" s="42" t="s">
        <v>90</v>
      </c>
      <c r="B1328" s="48" t="s">
        <v>148</v>
      </c>
      <c r="C1328" s="32">
        <v>20</v>
      </c>
      <c r="D1328" s="32"/>
      <c r="E1328" s="48" t="s">
        <v>19</v>
      </c>
      <c r="F1328" s="48" t="s">
        <v>14</v>
      </c>
      <c r="G1328" s="48" t="s">
        <v>149</v>
      </c>
      <c r="H1328" s="49">
        <v>6.39</v>
      </c>
      <c r="I1328" s="8">
        <v>8.5</v>
      </c>
      <c r="J1328" s="7">
        <v>1</v>
      </c>
      <c r="K1328" s="10">
        <f t="shared" si="133"/>
        <v>5.4314999999999995E-2</v>
      </c>
      <c r="L1328" s="32"/>
      <c r="M1328" s="32"/>
      <c r="N1328" s="18">
        <f t="shared" si="134"/>
        <v>0</v>
      </c>
      <c r="O1328" s="19">
        <f t="shared" si="135"/>
        <v>1</v>
      </c>
      <c r="P1328" s="13">
        <f t="shared" si="136"/>
        <v>5.4314999999999995E-2</v>
      </c>
      <c r="Q1328" s="33"/>
      <c r="R1328" s="32"/>
      <c r="S1328" s="32"/>
    </row>
    <row r="1329" spans="1:19">
      <c r="A1329" s="42" t="s">
        <v>90</v>
      </c>
      <c r="B1329" s="48" t="s">
        <v>148</v>
      </c>
      <c r="C1329" s="32">
        <v>20</v>
      </c>
      <c r="D1329" s="32"/>
      <c r="E1329" s="48" t="s">
        <v>19</v>
      </c>
      <c r="F1329" s="48" t="s">
        <v>14</v>
      </c>
      <c r="G1329" s="48" t="s">
        <v>149</v>
      </c>
      <c r="H1329" s="49">
        <v>6.39</v>
      </c>
      <c r="I1329" s="8">
        <v>8.9</v>
      </c>
      <c r="J1329" s="7">
        <v>1</v>
      </c>
      <c r="K1329" s="10">
        <f t="shared" si="133"/>
        <v>5.6871000000000005E-2</v>
      </c>
      <c r="L1329" s="32"/>
      <c r="M1329" s="32"/>
      <c r="N1329" s="18">
        <f t="shared" si="134"/>
        <v>0</v>
      </c>
      <c r="O1329" s="19">
        <f t="shared" si="135"/>
        <v>1</v>
      </c>
      <c r="P1329" s="13">
        <f t="shared" si="136"/>
        <v>5.6871000000000005E-2</v>
      </c>
      <c r="Q1329" s="33"/>
      <c r="R1329" s="32"/>
      <c r="S1329" s="32"/>
    </row>
    <row r="1330" spans="1:19">
      <c r="A1330" s="42" t="s">
        <v>90</v>
      </c>
      <c r="B1330" s="48" t="s">
        <v>148</v>
      </c>
      <c r="C1330" s="32">
        <v>20</v>
      </c>
      <c r="D1330" s="32"/>
      <c r="E1330" s="48" t="s">
        <v>19</v>
      </c>
      <c r="F1330" s="48" t="s">
        <v>14</v>
      </c>
      <c r="G1330" s="48" t="s">
        <v>149</v>
      </c>
      <c r="H1330" s="49">
        <v>6.39</v>
      </c>
      <c r="I1330" s="8">
        <v>8.3000000000000007</v>
      </c>
      <c r="J1330" s="7">
        <v>1</v>
      </c>
      <c r="K1330" s="10">
        <f t="shared" si="133"/>
        <v>5.3037000000000001E-2</v>
      </c>
      <c r="L1330" s="32"/>
      <c r="M1330" s="32"/>
      <c r="N1330" s="18">
        <f t="shared" si="134"/>
        <v>0</v>
      </c>
      <c r="O1330" s="19">
        <f t="shared" si="135"/>
        <v>1</v>
      </c>
      <c r="P1330" s="13">
        <f t="shared" si="136"/>
        <v>5.3037000000000001E-2</v>
      </c>
      <c r="Q1330" s="33"/>
      <c r="R1330" s="32"/>
      <c r="S1330" s="32"/>
    </row>
    <row r="1331" spans="1:19">
      <c r="A1331" s="42" t="s">
        <v>90</v>
      </c>
      <c r="B1331" s="48" t="s">
        <v>148</v>
      </c>
      <c r="C1331" s="32">
        <v>20</v>
      </c>
      <c r="D1331" s="32"/>
      <c r="E1331" s="48" t="s">
        <v>19</v>
      </c>
      <c r="F1331" s="48" t="s">
        <v>14</v>
      </c>
      <c r="G1331" s="48" t="s">
        <v>149</v>
      </c>
      <c r="H1331" s="49">
        <v>6.39</v>
      </c>
      <c r="I1331" s="8">
        <v>11.5</v>
      </c>
      <c r="J1331" s="7">
        <v>1</v>
      </c>
      <c r="K1331" s="10">
        <f t="shared" si="133"/>
        <v>7.3484999999999995E-2</v>
      </c>
      <c r="L1331" s="32"/>
      <c r="M1331" s="32">
        <v>1</v>
      </c>
      <c r="N1331" s="18">
        <f t="shared" si="134"/>
        <v>7.3484999999999995E-2</v>
      </c>
      <c r="O1331" s="19">
        <f t="shared" si="135"/>
        <v>0</v>
      </c>
      <c r="P1331" s="13">
        <f t="shared" si="136"/>
        <v>0</v>
      </c>
      <c r="Q1331" s="33">
        <v>9</v>
      </c>
      <c r="R1331" s="32">
        <v>1</v>
      </c>
      <c r="S1331" s="32"/>
    </row>
    <row r="1332" spans="1:19">
      <c r="A1332" s="42" t="s">
        <v>90</v>
      </c>
      <c r="B1332" s="48" t="s">
        <v>148</v>
      </c>
      <c r="C1332" s="32">
        <v>20</v>
      </c>
      <c r="D1332" s="32"/>
      <c r="E1332" s="48" t="s">
        <v>19</v>
      </c>
      <c r="F1332" s="48" t="s">
        <v>14</v>
      </c>
      <c r="G1332" s="48" t="s">
        <v>149</v>
      </c>
      <c r="H1332" s="49">
        <v>6.39</v>
      </c>
      <c r="I1332" s="8">
        <v>9.6999999999999993</v>
      </c>
      <c r="J1332" s="7">
        <v>4</v>
      </c>
      <c r="K1332" s="10">
        <f t="shared" si="133"/>
        <v>0.24793199999999996</v>
      </c>
      <c r="L1332" s="32"/>
      <c r="M1332" s="32">
        <v>4</v>
      </c>
      <c r="N1332" s="18">
        <f t="shared" si="134"/>
        <v>0.24793199999999996</v>
      </c>
      <c r="O1332" s="19">
        <f t="shared" si="135"/>
        <v>0</v>
      </c>
      <c r="P1332" s="13">
        <f t="shared" si="136"/>
        <v>0</v>
      </c>
      <c r="Q1332" s="33">
        <v>9</v>
      </c>
      <c r="R1332" s="32">
        <v>4</v>
      </c>
      <c r="S1332" s="32"/>
    </row>
    <row r="1333" spans="1:19">
      <c r="A1333" s="42" t="s">
        <v>90</v>
      </c>
      <c r="B1333" s="48" t="s">
        <v>148</v>
      </c>
      <c r="C1333" s="32">
        <v>21</v>
      </c>
      <c r="D1333" s="32"/>
      <c r="E1333" s="48" t="s">
        <v>19</v>
      </c>
      <c r="F1333" s="48" t="s">
        <v>14</v>
      </c>
      <c r="G1333" s="48" t="s">
        <v>144</v>
      </c>
      <c r="H1333" s="49">
        <v>5.38</v>
      </c>
      <c r="I1333" s="52">
        <v>8</v>
      </c>
      <c r="J1333" s="7">
        <v>1</v>
      </c>
      <c r="K1333" s="10">
        <f t="shared" si="133"/>
        <v>4.3040000000000002E-2</v>
      </c>
      <c r="L1333" s="32" t="s">
        <v>26</v>
      </c>
      <c r="M1333" s="32">
        <v>1</v>
      </c>
      <c r="N1333" s="18">
        <f t="shared" si="134"/>
        <v>4.3040000000000002E-2</v>
      </c>
      <c r="O1333" s="19">
        <f t="shared" si="135"/>
        <v>0</v>
      </c>
      <c r="P1333" s="13">
        <f t="shared" si="136"/>
        <v>0</v>
      </c>
      <c r="Q1333" s="32" t="s">
        <v>498</v>
      </c>
      <c r="R1333" s="32"/>
      <c r="S1333" s="32"/>
    </row>
    <row r="1334" spans="1:19">
      <c r="A1334" s="42" t="s">
        <v>90</v>
      </c>
      <c r="B1334" s="48" t="s">
        <v>148</v>
      </c>
      <c r="C1334" s="32">
        <v>21</v>
      </c>
      <c r="D1334" s="32"/>
      <c r="E1334" s="48" t="s">
        <v>19</v>
      </c>
      <c r="F1334" s="48" t="s">
        <v>14</v>
      </c>
      <c r="G1334" s="48" t="s">
        <v>144</v>
      </c>
      <c r="H1334" s="49">
        <v>5.38</v>
      </c>
      <c r="I1334" s="52">
        <v>8.4</v>
      </c>
      <c r="J1334" s="7">
        <v>1</v>
      </c>
      <c r="K1334" s="10">
        <f t="shared" si="133"/>
        <v>4.5192000000000003E-2</v>
      </c>
      <c r="L1334" s="32" t="s">
        <v>26</v>
      </c>
      <c r="M1334" s="32">
        <v>1</v>
      </c>
      <c r="N1334" s="18">
        <f t="shared" si="134"/>
        <v>4.5192000000000003E-2</v>
      </c>
      <c r="O1334" s="19">
        <f t="shared" si="135"/>
        <v>0</v>
      </c>
      <c r="P1334" s="13">
        <f t="shared" si="136"/>
        <v>0</v>
      </c>
      <c r="Q1334" s="32" t="s">
        <v>498</v>
      </c>
      <c r="R1334" s="32"/>
      <c r="S1334" s="32"/>
    </row>
    <row r="1335" spans="1:19">
      <c r="A1335" s="42" t="s">
        <v>90</v>
      </c>
      <c r="B1335" s="48" t="s">
        <v>148</v>
      </c>
      <c r="C1335" s="32">
        <v>21</v>
      </c>
      <c r="D1335" s="32"/>
      <c r="E1335" s="48" t="s">
        <v>19</v>
      </c>
      <c r="F1335" s="48" t="s">
        <v>14</v>
      </c>
      <c r="G1335" s="48" t="s">
        <v>144</v>
      </c>
      <c r="H1335" s="49">
        <v>5.38</v>
      </c>
      <c r="I1335" s="52">
        <v>8.5</v>
      </c>
      <c r="J1335" s="7">
        <v>2</v>
      </c>
      <c r="K1335" s="10">
        <f t="shared" si="133"/>
        <v>9.146E-2</v>
      </c>
      <c r="L1335" s="32" t="s">
        <v>26</v>
      </c>
      <c r="M1335" s="32">
        <v>2</v>
      </c>
      <c r="N1335" s="18">
        <f t="shared" si="134"/>
        <v>9.146E-2</v>
      </c>
      <c r="O1335" s="19">
        <f t="shared" si="135"/>
        <v>0</v>
      </c>
      <c r="P1335" s="13">
        <f t="shared" si="136"/>
        <v>0</v>
      </c>
      <c r="Q1335" s="32" t="s">
        <v>498</v>
      </c>
      <c r="R1335" s="32"/>
      <c r="S1335" s="32"/>
    </row>
    <row r="1336" spans="1:19">
      <c r="A1336" s="42" t="s">
        <v>90</v>
      </c>
      <c r="B1336" s="48" t="s">
        <v>148</v>
      </c>
      <c r="C1336" s="32">
        <v>21</v>
      </c>
      <c r="D1336" s="32"/>
      <c r="E1336" s="48" t="s">
        <v>19</v>
      </c>
      <c r="F1336" s="48" t="s">
        <v>14</v>
      </c>
      <c r="G1336" s="48" t="s">
        <v>144</v>
      </c>
      <c r="H1336" s="49">
        <v>5.38</v>
      </c>
      <c r="I1336" s="52">
        <v>8.25</v>
      </c>
      <c r="J1336" s="7">
        <v>1</v>
      </c>
      <c r="K1336" s="10">
        <f t="shared" si="133"/>
        <v>4.4385000000000001E-2</v>
      </c>
      <c r="L1336" s="32" t="s">
        <v>26</v>
      </c>
      <c r="M1336" s="32">
        <v>1</v>
      </c>
      <c r="N1336" s="18">
        <f t="shared" si="134"/>
        <v>4.4385000000000001E-2</v>
      </c>
      <c r="O1336" s="19">
        <f t="shared" si="135"/>
        <v>0</v>
      </c>
      <c r="P1336" s="13">
        <f t="shared" si="136"/>
        <v>0</v>
      </c>
      <c r="Q1336" s="32" t="s">
        <v>498</v>
      </c>
      <c r="R1336" s="32"/>
      <c r="S1336" s="32"/>
    </row>
    <row r="1337" spans="1:19">
      <c r="A1337" s="42" t="s">
        <v>90</v>
      </c>
      <c r="B1337" s="48" t="s">
        <v>148</v>
      </c>
      <c r="C1337" s="32">
        <v>21</v>
      </c>
      <c r="D1337" s="32"/>
      <c r="E1337" s="48" t="s">
        <v>19</v>
      </c>
      <c r="F1337" s="48" t="s">
        <v>14</v>
      </c>
      <c r="G1337" s="48" t="s">
        <v>144</v>
      </c>
      <c r="H1337" s="49">
        <v>5.38</v>
      </c>
      <c r="I1337" s="52">
        <v>5.4</v>
      </c>
      <c r="J1337" s="7">
        <v>1</v>
      </c>
      <c r="K1337" s="10">
        <f t="shared" si="133"/>
        <v>2.9051999999999998E-2</v>
      </c>
      <c r="L1337" s="32" t="s">
        <v>26</v>
      </c>
      <c r="M1337" s="32">
        <v>1</v>
      </c>
      <c r="N1337" s="18">
        <f t="shared" si="134"/>
        <v>2.9051999999999998E-2</v>
      </c>
      <c r="O1337" s="19">
        <f t="shared" si="135"/>
        <v>0</v>
      </c>
      <c r="P1337" s="13">
        <f t="shared" si="136"/>
        <v>0</v>
      </c>
      <c r="Q1337" s="32" t="s">
        <v>498</v>
      </c>
      <c r="R1337" s="32"/>
      <c r="S1337" s="32"/>
    </row>
    <row r="1338" spans="1:19">
      <c r="A1338" s="42" t="s">
        <v>90</v>
      </c>
      <c r="B1338" s="48" t="s">
        <v>148</v>
      </c>
      <c r="C1338" s="32">
        <v>21</v>
      </c>
      <c r="D1338" s="32"/>
      <c r="E1338" s="48" t="s">
        <v>19</v>
      </c>
      <c r="F1338" s="48" t="s">
        <v>14</v>
      </c>
      <c r="G1338" s="48" t="s">
        <v>144</v>
      </c>
      <c r="H1338" s="49">
        <v>5.38</v>
      </c>
      <c r="I1338" s="52">
        <v>12</v>
      </c>
      <c r="J1338" s="7">
        <v>1</v>
      </c>
      <c r="K1338" s="10">
        <f t="shared" si="133"/>
        <v>6.4560000000000006E-2</v>
      </c>
      <c r="L1338" s="32" t="s">
        <v>26</v>
      </c>
      <c r="M1338" s="32">
        <v>1</v>
      </c>
      <c r="N1338" s="18">
        <f t="shared" si="134"/>
        <v>6.4560000000000006E-2</v>
      </c>
      <c r="O1338" s="19">
        <f t="shared" si="135"/>
        <v>0</v>
      </c>
      <c r="P1338" s="13">
        <f t="shared" si="136"/>
        <v>0</v>
      </c>
      <c r="Q1338" s="32" t="s">
        <v>498</v>
      </c>
      <c r="R1338" s="32"/>
      <c r="S1338" s="32"/>
    </row>
    <row r="1339" spans="1:19">
      <c r="A1339" s="42" t="s">
        <v>90</v>
      </c>
      <c r="B1339" s="48" t="s">
        <v>148</v>
      </c>
      <c r="C1339" s="32">
        <v>22</v>
      </c>
      <c r="D1339" s="32"/>
      <c r="E1339" s="48" t="s">
        <v>151</v>
      </c>
      <c r="F1339" s="48" t="s">
        <v>15</v>
      </c>
      <c r="G1339" s="48" t="s">
        <v>144</v>
      </c>
      <c r="H1339" s="49">
        <v>5.38</v>
      </c>
      <c r="I1339" s="52">
        <v>12</v>
      </c>
      <c r="J1339" s="7">
        <v>8</v>
      </c>
      <c r="K1339" s="10">
        <f t="shared" si="133"/>
        <v>0.51648000000000005</v>
      </c>
      <c r="L1339" s="32"/>
      <c r="M1339" s="32">
        <v>8</v>
      </c>
      <c r="N1339" s="18">
        <f t="shared" si="134"/>
        <v>0.51648000000000005</v>
      </c>
      <c r="O1339" s="19">
        <f t="shared" si="135"/>
        <v>0</v>
      </c>
      <c r="P1339" s="13">
        <f t="shared" si="136"/>
        <v>0</v>
      </c>
      <c r="Q1339" s="55">
        <v>12</v>
      </c>
      <c r="R1339" s="45">
        <v>8</v>
      </c>
      <c r="S1339" s="32" t="s">
        <v>651</v>
      </c>
    </row>
    <row r="1340" spans="1:19">
      <c r="A1340" s="42" t="s">
        <v>90</v>
      </c>
      <c r="B1340" s="48" t="s">
        <v>148</v>
      </c>
      <c r="C1340" s="32">
        <v>22</v>
      </c>
      <c r="D1340" s="32"/>
      <c r="E1340" s="48" t="s">
        <v>151</v>
      </c>
      <c r="F1340" s="48" t="s">
        <v>15</v>
      </c>
      <c r="G1340" s="48" t="s">
        <v>144</v>
      </c>
      <c r="H1340" s="49">
        <v>5.38</v>
      </c>
      <c r="I1340" s="52">
        <v>9</v>
      </c>
      <c r="J1340" s="7">
        <v>2</v>
      </c>
      <c r="K1340" s="10">
        <f t="shared" si="133"/>
        <v>9.6840000000000009E-2</v>
      </c>
      <c r="L1340" s="32"/>
      <c r="M1340" s="32">
        <v>2</v>
      </c>
      <c r="N1340" s="18">
        <f t="shared" si="134"/>
        <v>9.6840000000000009E-2</v>
      </c>
      <c r="O1340" s="19">
        <f t="shared" si="135"/>
        <v>0</v>
      </c>
      <c r="P1340" s="13">
        <f t="shared" si="136"/>
        <v>0</v>
      </c>
      <c r="Q1340" s="55">
        <v>8</v>
      </c>
      <c r="R1340" s="45">
        <v>2</v>
      </c>
      <c r="S1340" s="32" t="s">
        <v>651</v>
      </c>
    </row>
    <row r="1341" spans="1:19">
      <c r="A1341" s="42" t="s">
        <v>90</v>
      </c>
      <c r="B1341" s="48" t="s">
        <v>148</v>
      </c>
      <c r="C1341" s="32">
        <v>23</v>
      </c>
      <c r="D1341" s="32"/>
      <c r="E1341" s="69" t="s">
        <v>152</v>
      </c>
      <c r="F1341" s="69" t="s">
        <v>15</v>
      </c>
      <c r="G1341" s="69" t="s">
        <v>16</v>
      </c>
      <c r="H1341" s="61">
        <v>5.77</v>
      </c>
      <c r="I1341" s="109">
        <v>11</v>
      </c>
      <c r="J1341" s="60">
        <v>1</v>
      </c>
      <c r="K1341" s="62">
        <f t="shared" si="133"/>
        <v>6.3469999999999999E-2</v>
      </c>
      <c r="L1341" s="256" t="s">
        <v>153</v>
      </c>
      <c r="M1341" s="32">
        <v>1</v>
      </c>
      <c r="N1341" s="18">
        <f t="shared" si="134"/>
        <v>6.3469999999999999E-2</v>
      </c>
      <c r="O1341" s="19">
        <f t="shared" si="135"/>
        <v>0</v>
      </c>
      <c r="P1341" s="13">
        <f t="shared" si="136"/>
        <v>0</v>
      </c>
      <c r="Q1341" s="32" t="s">
        <v>226</v>
      </c>
      <c r="R1341" s="32"/>
      <c r="S1341" s="32"/>
    </row>
    <row r="1342" spans="1:19">
      <c r="A1342" s="42" t="s">
        <v>90</v>
      </c>
      <c r="B1342" s="48" t="s">
        <v>148</v>
      </c>
      <c r="C1342" s="32">
        <v>23</v>
      </c>
      <c r="D1342" s="32"/>
      <c r="E1342" s="69" t="s">
        <v>152</v>
      </c>
      <c r="F1342" s="69" t="s">
        <v>15</v>
      </c>
      <c r="G1342" s="69" t="s">
        <v>16</v>
      </c>
      <c r="H1342" s="61">
        <v>5.77</v>
      </c>
      <c r="I1342" s="109">
        <v>11.3</v>
      </c>
      <c r="J1342" s="60">
        <v>1</v>
      </c>
      <c r="K1342" s="62">
        <f t="shared" si="133"/>
        <v>6.5200999999999995E-2</v>
      </c>
      <c r="L1342" s="256" t="s">
        <v>153</v>
      </c>
      <c r="M1342" s="32">
        <v>1</v>
      </c>
      <c r="N1342" s="18">
        <f t="shared" si="134"/>
        <v>6.5200999999999995E-2</v>
      </c>
      <c r="O1342" s="19">
        <f t="shared" si="135"/>
        <v>0</v>
      </c>
      <c r="P1342" s="13">
        <f t="shared" si="136"/>
        <v>0</v>
      </c>
      <c r="Q1342" s="32" t="s">
        <v>226</v>
      </c>
      <c r="R1342" s="32"/>
      <c r="S1342" s="32"/>
    </row>
    <row r="1343" spans="1:19">
      <c r="A1343" s="42" t="s">
        <v>90</v>
      </c>
      <c r="B1343" s="48" t="s">
        <v>148</v>
      </c>
      <c r="C1343" s="32">
        <v>23</v>
      </c>
      <c r="D1343" s="32"/>
      <c r="E1343" s="69" t="s">
        <v>152</v>
      </c>
      <c r="F1343" s="69" t="s">
        <v>15</v>
      </c>
      <c r="G1343" s="69" t="s">
        <v>16</v>
      </c>
      <c r="H1343" s="61">
        <v>5.77</v>
      </c>
      <c r="I1343" s="109">
        <v>11.5</v>
      </c>
      <c r="J1343" s="60">
        <v>8</v>
      </c>
      <c r="K1343" s="62">
        <f t="shared" si="133"/>
        <v>0.53083999999999987</v>
      </c>
      <c r="L1343" s="256" t="s">
        <v>153</v>
      </c>
      <c r="M1343" s="32">
        <v>8</v>
      </c>
      <c r="N1343" s="18">
        <f t="shared" si="134"/>
        <v>0.53083999999999987</v>
      </c>
      <c r="O1343" s="19">
        <f t="shared" si="135"/>
        <v>0</v>
      </c>
      <c r="P1343" s="13">
        <f t="shared" si="136"/>
        <v>0</v>
      </c>
      <c r="Q1343" s="32" t="s">
        <v>226</v>
      </c>
      <c r="R1343" s="32"/>
      <c r="S1343" s="32"/>
    </row>
    <row r="1344" spans="1:19">
      <c r="A1344" s="42" t="s">
        <v>90</v>
      </c>
      <c r="B1344" s="48" t="s">
        <v>148</v>
      </c>
      <c r="C1344" s="32">
        <v>23</v>
      </c>
      <c r="D1344" s="32"/>
      <c r="E1344" s="69" t="s">
        <v>152</v>
      </c>
      <c r="F1344" s="69" t="s">
        <v>15</v>
      </c>
      <c r="G1344" s="69" t="s">
        <v>16</v>
      </c>
      <c r="H1344" s="61">
        <v>5.77</v>
      </c>
      <c r="I1344" s="109">
        <v>12</v>
      </c>
      <c r="J1344" s="60">
        <v>2</v>
      </c>
      <c r="K1344" s="62">
        <f t="shared" si="133"/>
        <v>0.13847999999999999</v>
      </c>
      <c r="L1344" s="256" t="s">
        <v>153</v>
      </c>
      <c r="M1344" s="32">
        <v>2</v>
      </c>
      <c r="N1344" s="18">
        <f t="shared" si="134"/>
        <v>0.13847999999999999</v>
      </c>
      <c r="O1344" s="19">
        <f t="shared" si="135"/>
        <v>0</v>
      </c>
      <c r="P1344" s="13">
        <f t="shared" si="136"/>
        <v>0</v>
      </c>
      <c r="Q1344" s="32" t="s">
        <v>226</v>
      </c>
      <c r="R1344" s="32"/>
      <c r="S1344" s="32"/>
    </row>
    <row r="1345" spans="1:19">
      <c r="A1345" s="42" t="s">
        <v>90</v>
      </c>
      <c r="B1345" s="48" t="s">
        <v>148</v>
      </c>
      <c r="C1345" s="32">
        <v>24</v>
      </c>
      <c r="D1345" s="32"/>
      <c r="E1345" s="48" t="s">
        <v>17</v>
      </c>
      <c r="F1345" s="48" t="s">
        <v>15</v>
      </c>
      <c r="G1345" s="48" t="s">
        <v>18</v>
      </c>
      <c r="H1345" s="11">
        <v>6.86</v>
      </c>
      <c r="I1345" s="8">
        <v>10.5</v>
      </c>
      <c r="J1345" s="7">
        <v>2</v>
      </c>
      <c r="K1345" s="10">
        <f t="shared" si="133"/>
        <v>0.14405999999999999</v>
      </c>
      <c r="L1345" s="32"/>
      <c r="M1345" s="32">
        <v>2</v>
      </c>
      <c r="N1345" s="18">
        <f t="shared" si="134"/>
        <v>0.14405999999999999</v>
      </c>
      <c r="O1345" s="19">
        <f t="shared" si="135"/>
        <v>0</v>
      </c>
      <c r="P1345" s="13">
        <f t="shared" si="136"/>
        <v>0</v>
      </c>
      <c r="Q1345" s="33">
        <v>10</v>
      </c>
      <c r="R1345" s="32">
        <v>2</v>
      </c>
      <c r="S1345" s="2" t="s">
        <v>208</v>
      </c>
    </row>
    <row r="1346" spans="1:19">
      <c r="A1346" s="42" t="s">
        <v>90</v>
      </c>
      <c r="B1346" s="48" t="s">
        <v>148</v>
      </c>
      <c r="C1346" s="32">
        <v>24</v>
      </c>
      <c r="D1346" s="32"/>
      <c r="E1346" s="48" t="s">
        <v>17</v>
      </c>
      <c r="F1346" s="48" t="s">
        <v>15</v>
      </c>
      <c r="G1346" s="48" t="s">
        <v>18</v>
      </c>
      <c r="H1346" s="11">
        <v>6.86</v>
      </c>
      <c r="I1346" s="8">
        <v>7</v>
      </c>
      <c r="J1346" s="7">
        <v>2</v>
      </c>
      <c r="K1346" s="10">
        <f t="shared" si="133"/>
        <v>9.604E-2</v>
      </c>
      <c r="L1346" s="32"/>
      <c r="M1346" s="32">
        <v>2</v>
      </c>
      <c r="N1346" s="18">
        <f t="shared" si="134"/>
        <v>9.604E-2</v>
      </c>
      <c r="O1346" s="19">
        <f t="shared" si="135"/>
        <v>0</v>
      </c>
      <c r="P1346" s="13">
        <f t="shared" si="136"/>
        <v>0</v>
      </c>
      <c r="Q1346" s="32"/>
      <c r="R1346" s="32">
        <v>2</v>
      </c>
      <c r="S1346" s="32" t="s">
        <v>295</v>
      </c>
    </row>
    <row r="1347" spans="1:19">
      <c r="A1347" s="42" t="s">
        <v>90</v>
      </c>
      <c r="B1347" s="48" t="s">
        <v>148</v>
      </c>
      <c r="C1347" s="32">
        <v>24</v>
      </c>
      <c r="D1347" s="32"/>
      <c r="E1347" s="48" t="s">
        <v>17</v>
      </c>
      <c r="F1347" s="48" t="s">
        <v>15</v>
      </c>
      <c r="G1347" s="48" t="s">
        <v>18</v>
      </c>
      <c r="H1347" s="11">
        <v>6.86</v>
      </c>
      <c r="I1347" s="8">
        <v>6.4</v>
      </c>
      <c r="J1347" s="7">
        <v>1</v>
      </c>
      <c r="K1347" s="10">
        <f t="shared" si="133"/>
        <v>4.3904000000000006E-2</v>
      </c>
      <c r="L1347" s="32"/>
      <c r="M1347" s="32">
        <v>1</v>
      </c>
      <c r="N1347" s="18">
        <f t="shared" si="134"/>
        <v>4.3904000000000006E-2</v>
      </c>
      <c r="O1347" s="19">
        <f t="shared" si="135"/>
        <v>0</v>
      </c>
      <c r="P1347" s="13">
        <f t="shared" si="136"/>
        <v>0</v>
      </c>
      <c r="Q1347" s="32"/>
      <c r="R1347" s="32">
        <v>1</v>
      </c>
      <c r="S1347" s="32" t="s">
        <v>295</v>
      </c>
    </row>
    <row r="1348" spans="1:19">
      <c r="A1348" s="42" t="s">
        <v>90</v>
      </c>
      <c r="B1348" s="48" t="s">
        <v>148</v>
      </c>
      <c r="C1348" s="32">
        <v>25</v>
      </c>
      <c r="D1348" s="32" t="s">
        <v>93</v>
      </c>
      <c r="E1348" s="48" t="s">
        <v>151</v>
      </c>
      <c r="F1348" s="48" t="s">
        <v>15</v>
      </c>
      <c r="G1348" s="48" t="s">
        <v>21</v>
      </c>
      <c r="H1348" s="11">
        <v>6.97</v>
      </c>
      <c r="I1348" s="8">
        <v>6.2</v>
      </c>
      <c r="J1348" s="7">
        <v>1</v>
      </c>
      <c r="K1348" s="10">
        <f t="shared" si="133"/>
        <v>4.3213999999999995E-2</v>
      </c>
      <c r="L1348" s="32"/>
      <c r="M1348" s="32"/>
      <c r="N1348" s="18">
        <f t="shared" si="134"/>
        <v>0</v>
      </c>
      <c r="O1348" s="19">
        <f t="shared" si="135"/>
        <v>1</v>
      </c>
      <c r="P1348" s="13">
        <f t="shared" si="136"/>
        <v>4.3213999999999995E-2</v>
      </c>
      <c r="Q1348" s="155"/>
      <c r="R1348" s="32"/>
      <c r="S1348" s="32"/>
    </row>
    <row r="1349" spans="1:19">
      <c r="A1349" s="42" t="s">
        <v>90</v>
      </c>
      <c r="B1349" s="48" t="s">
        <v>148</v>
      </c>
      <c r="C1349" s="32">
        <v>25</v>
      </c>
      <c r="D1349" s="32" t="s">
        <v>93</v>
      </c>
      <c r="E1349" s="48" t="s">
        <v>151</v>
      </c>
      <c r="F1349" s="48" t="s">
        <v>15</v>
      </c>
      <c r="G1349" s="48" t="s">
        <v>21</v>
      </c>
      <c r="H1349" s="11">
        <v>6.97</v>
      </c>
      <c r="I1349" s="8">
        <v>6.5</v>
      </c>
      <c r="J1349" s="7">
        <v>1</v>
      </c>
      <c r="K1349" s="10">
        <f t="shared" si="133"/>
        <v>4.5304999999999998E-2</v>
      </c>
      <c r="L1349" s="32"/>
      <c r="M1349" s="32"/>
      <c r="N1349" s="18">
        <f t="shared" si="134"/>
        <v>0</v>
      </c>
      <c r="O1349" s="19">
        <f t="shared" si="135"/>
        <v>1</v>
      </c>
      <c r="P1349" s="13">
        <f t="shared" si="136"/>
        <v>4.5304999999999998E-2</v>
      </c>
      <c r="Q1349" s="155"/>
      <c r="R1349" s="32"/>
      <c r="S1349" s="32"/>
    </row>
    <row r="1350" spans="1:19">
      <c r="A1350" s="42" t="s">
        <v>90</v>
      </c>
      <c r="B1350" s="48" t="s">
        <v>148</v>
      </c>
      <c r="C1350" s="32">
        <v>26</v>
      </c>
      <c r="D1350" s="32"/>
      <c r="E1350" s="48" t="s">
        <v>19</v>
      </c>
      <c r="F1350" s="48" t="s">
        <v>14</v>
      </c>
      <c r="G1350" s="48" t="s">
        <v>154</v>
      </c>
      <c r="H1350" s="49">
        <v>4.9800000000000004</v>
      </c>
      <c r="I1350" s="52">
        <v>12</v>
      </c>
      <c r="J1350" s="7">
        <v>64</v>
      </c>
      <c r="K1350" s="10">
        <f t="shared" si="133"/>
        <v>3.8246400000000005</v>
      </c>
      <c r="L1350" s="32"/>
      <c r="M1350" s="32">
        <v>60</v>
      </c>
      <c r="N1350" s="18">
        <f t="shared" si="134"/>
        <v>3.5856000000000003</v>
      </c>
      <c r="O1350" s="19">
        <f t="shared" si="135"/>
        <v>4</v>
      </c>
      <c r="P1350" s="13">
        <f t="shared" si="136"/>
        <v>0.23904000000000003</v>
      </c>
      <c r="Q1350" s="32"/>
      <c r="R1350" s="32">
        <v>60</v>
      </c>
      <c r="S1350" s="32" t="s">
        <v>223</v>
      </c>
    </row>
    <row r="1351" spans="1:19">
      <c r="A1351" s="42" t="s">
        <v>90</v>
      </c>
      <c r="B1351" s="48" t="s">
        <v>148</v>
      </c>
      <c r="C1351" s="32">
        <v>27</v>
      </c>
      <c r="D1351" s="32"/>
      <c r="E1351" s="48" t="s">
        <v>20</v>
      </c>
      <c r="F1351" s="48" t="s">
        <v>15</v>
      </c>
      <c r="G1351" s="48" t="s">
        <v>18</v>
      </c>
      <c r="H1351" s="11">
        <v>6.86</v>
      </c>
      <c r="I1351" s="52">
        <v>7.8</v>
      </c>
      <c r="J1351" s="7">
        <v>1</v>
      </c>
      <c r="K1351" s="10">
        <f t="shared" si="133"/>
        <v>5.3508E-2</v>
      </c>
      <c r="L1351" s="32"/>
      <c r="M1351" s="32">
        <v>1</v>
      </c>
      <c r="N1351" s="18">
        <f t="shared" si="134"/>
        <v>5.3508E-2</v>
      </c>
      <c r="O1351" s="19">
        <f t="shared" si="135"/>
        <v>0</v>
      </c>
      <c r="P1351" s="13">
        <f t="shared" si="136"/>
        <v>0</v>
      </c>
      <c r="Q1351" s="32"/>
      <c r="R1351" s="32">
        <v>1</v>
      </c>
      <c r="S1351" s="2" t="s">
        <v>222</v>
      </c>
    </row>
    <row r="1352" spans="1:19">
      <c r="A1352" s="42" t="s">
        <v>90</v>
      </c>
      <c r="B1352" s="48" t="s">
        <v>148</v>
      </c>
      <c r="C1352" s="32">
        <v>27</v>
      </c>
      <c r="D1352" s="32"/>
      <c r="E1352" s="48" t="s">
        <v>20</v>
      </c>
      <c r="F1352" s="48" t="s">
        <v>15</v>
      </c>
      <c r="G1352" s="48" t="s">
        <v>18</v>
      </c>
      <c r="H1352" s="11">
        <v>6.86</v>
      </c>
      <c r="I1352" s="52">
        <v>9</v>
      </c>
      <c r="J1352" s="7">
        <v>2</v>
      </c>
      <c r="K1352" s="10">
        <f t="shared" si="133"/>
        <v>0.12348000000000001</v>
      </c>
      <c r="L1352" s="32"/>
      <c r="M1352" s="32">
        <v>2</v>
      </c>
      <c r="N1352" s="18">
        <f t="shared" si="134"/>
        <v>0.12348000000000001</v>
      </c>
      <c r="O1352" s="19">
        <f t="shared" si="135"/>
        <v>0</v>
      </c>
      <c r="P1352" s="13">
        <f t="shared" si="136"/>
        <v>0</v>
      </c>
      <c r="Q1352" s="32"/>
      <c r="R1352" s="32">
        <v>2</v>
      </c>
      <c r="S1352" s="2" t="s">
        <v>222</v>
      </c>
    </row>
    <row r="1353" spans="1:19">
      <c r="A1353" s="42" t="s">
        <v>90</v>
      </c>
      <c r="B1353" s="48" t="s">
        <v>148</v>
      </c>
      <c r="C1353" s="32">
        <v>27</v>
      </c>
      <c r="D1353" s="32"/>
      <c r="E1353" s="48" t="s">
        <v>20</v>
      </c>
      <c r="F1353" s="48" t="s">
        <v>15</v>
      </c>
      <c r="G1353" s="48" t="s">
        <v>18</v>
      </c>
      <c r="H1353" s="11">
        <v>6.86</v>
      </c>
      <c r="I1353" s="52">
        <v>11.65</v>
      </c>
      <c r="J1353" s="7">
        <v>1</v>
      </c>
      <c r="K1353" s="10">
        <f t="shared" si="133"/>
        <v>7.9919000000000018E-2</v>
      </c>
      <c r="L1353" s="32"/>
      <c r="M1353" s="32">
        <v>1</v>
      </c>
      <c r="N1353" s="18">
        <f t="shared" si="134"/>
        <v>7.9919000000000018E-2</v>
      </c>
      <c r="O1353" s="19">
        <f t="shared" si="135"/>
        <v>0</v>
      </c>
      <c r="P1353" s="13">
        <f t="shared" si="136"/>
        <v>0</v>
      </c>
      <c r="Q1353" s="32"/>
      <c r="R1353" s="32">
        <v>1</v>
      </c>
      <c r="S1353" s="2" t="s">
        <v>222</v>
      </c>
    </row>
    <row r="1354" spans="1:19">
      <c r="A1354" s="42" t="s">
        <v>90</v>
      </c>
      <c r="B1354" s="48" t="s">
        <v>148</v>
      </c>
      <c r="C1354" s="32">
        <v>28</v>
      </c>
      <c r="D1354" s="32"/>
      <c r="E1354" s="48" t="s">
        <v>19</v>
      </c>
      <c r="F1354" s="48" t="s">
        <v>14</v>
      </c>
      <c r="G1354" s="48" t="s">
        <v>144</v>
      </c>
      <c r="H1354" s="49">
        <v>5.38</v>
      </c>
      <c r="I1354" s="52">
        <v>10.5</v>
      </c>
      <c r="J1354" s="7">
        <v>2</v>
      </c>
      <c r="K1354" s="10">
        <f t="shared" si="133"/>
        <v>0.11298</v>
      </c>
      <c r="L1354" s="32"/>
      <c r="M1354" s="32">
        <v>2</v>
      </c>
      <c r="N1354" s="18">
        <f t="shared" si="134"/>
        <v>0.11298</v>
      </c>
      <c r="O1354" s="19">
        <f t="shared" si="135"/>
        <v>0</v>
      </c>
      <c r="P1354" s="13">
        <f t="shared" si="136"/>
        <v>0</v>
      </c>
      <c r="Q1354" s="33">
        <v>10.5</v>
      </c>
      <c r="R1354" s="32">
        <v>2</v>
      </c>
      <c r="S1354" s="32" t="s">
        <v>654</v>
      </c>
    </row>
    <row r="1355" spans="1:19">
      <c r="A1355" s="42" t="s">
        <v>90</v>
      </c>
      <c r="B1355" s="48" t="s">
        <v>148</v>
      </c>
      <c r="C1355" s="32">
        <v>29</v>
      </c>
      <c r="D1355" s="32"/>
      <c r="E1355" s="48" t="s">
        <v>19</v>
      </c>
      <c r="F1355" s="48" t="s">
        <v>14</v>
      </c>
      <c r="G1355" s="48" t="s">
        <v>149</v>
      </c>
      <c r="H1355" s="49">
        <v>6.39</v>
      </c>
      <c r="I1355" s="8">
        <v>9.4</v>
      </c>
      <c r="J1355" s="7">
        <v>1</v>
      </c>
      <c r="K1355" s="10">
        <f t="shared" si="133"/>
        <v>6.0066000000000001E-2</v>
      </c>
      <c r="L1355" s="32"/>
      <c r="M1355" s="32">
        <v>1</v>
      </c>
      <c r="N1355" s="18">
        <f t="shared" si="134"/>
        <v>6.0066000000000001E-2</v>
      </c>
      <c r="O1355" s="19">
        <f t="shared" si="135"/>
        <v>0</v>
      </c>
      <c r="P1355" s="13">
        <f t="shared" si="136"/>
        <v>0</v>
      </c>
      <c r="Q1355" s="33">
        <v>9</v>
      </c>
      <c r="R1355" s="32">
        <v>1</v>
      </c>
      <c r="S1355" s="32"/>
    </row>
    <row r="1356" spans="1:19">
      <c r="A1356" s="42" t="s">
        <v>90</v>
      </c>
      <c r="B1356" s="48" t="s">
        <v>148</v>
      </c>
      <c r="C1356" s="32">
        <v>29</v>
      </c>
      <c r="D1356" s="32"/>
      <c r="E1356" s="48" t="s">
        <v>19</v>
      </c>
      <c r="F1356" s="48" t="s">
        <v>14</v>
      </c>
      <c r="G1356" s="48" t="s">
        <v>149</v>
      </c>
      <c r="H1356" s="49">
        <v>6.39</v>
      </c>
      <c r="I1356" s="8">
        <v>9.8000000000000007</v>
      </c>
      <c r="J1356" s="7">
        <v>1</v>
      </c>
      <c r="K1356" s="10">
        <f t="shared" si="133"/>
        <v>6.2621999999999997E-2</v>
      </c>
      <c r="L1356" s="32"/>
      <c r="M1356" s="32">
        <v>1</v>
      </c>
      <c r="N1356" s="18">
        <f t="shared" si="134"/>
        <v>6.2621999999999997E-2</v>
      </c>
      <c r="O1356" s="19">
        <f t="shared" si="135"/>
        <v>0</v>
      </c>
      <c r="P1356" s="13">
        <f t="shared" si="136"/>
        <v>0</v>
      </c>
      <c r="Q1356" s="33">
        <v>9</v>
      </c>
      <c r="R1356" s="32">
        <v>1</v>
      </c>
      <c r="S1356" s="32"/>
    </row>
    <row r="1357" spans="1:19">
      <c r="A1357" s="42" t="s">
        <v>90</v>
      </c>
      <c r="B1357" s="48" t="s">
        <v>148</v>
      </c>
      <c r="C1357" s="32">
        <v>30</v>
      </c>
      <c r="D1357" s="32"/>
      <c r="E1357" s="48" t="s">
        <v>19</v>
      </c>
      <c r="F1357" s="48" t="s">
        <v>14</v>
      </c>
      <c r="G1357" s="48" t="s">
        <v>16</v>
      </c>
      <c r="H1357" s="11">
        <v>5.77</v>
      </c>
      <c r="I1357" s="52">
        <v>6.5</v>
      </c>
      <c r="J1357" s="7">
        <v>1</v>
      </c>
      <c r="K1357" s="10">
        <f t="shared" si="133"/>
        <v>3.7504999999999997E-2</v>
      </c>
      <c r="L1357" s="32"/>
      <c r="M1357" s="32">
        <v>1</v>
      </c>
      <c r="N1357" s="18">
        <f t="shared" si="134"/>
        <v>3.7504999999999997E-2</v>
      </c>
      <c r="O1357" s="19">
        <f t="shared" si="135"/>
        <v>0</v>
      </c>
      <c r="P1357" s="13">
        <f t="shared" si="136"/>
        <v>0</v>
      </c>
      <c r="Q1357" s="32">
        <v>6.5</v>
      </c>
      <c r="R1357" s="32">
        <v>1</v>
      </c>
      <c r="S1357" s="32" t="s">
        <v>374</v>
      </c>
    </row>
    <row r="1358" spans="1:19">
      <c r="A1358" s="42" t="s">
        <v>90</v>
      </c>
      <c r="B1358" s="48" t="s">
        <v>148</v>
      </c>
      <c r="C1358" s="32">
        <v>30</v>
      </c>
      <c r="D1358" s="32"/>
      <c r="E1358" s="48" t="s">
        <v>19</v>
      </c>
      <c r="F1358" s="48" t="s">
        <v>14</v>
      </c>
      <c r="G1358" s="48" t="s">
        <v>16</v>
      </c>
      <c r="H1358" s="11">
        <v>5.77</v>
      </c>
      <c r="I1358" s="52">
        <v>7.5</v>
      </c>
      <c r="J1358" s="7">
        <v>1</v>
      </c>
      <c r="K1358" s="10">
        <f t="shared" si="133"/>
        <v>4.3275000000000001E-2</v>
      </c>
      <c r="L1358" s="32"/>
      <c r="M1358" s="32">
        <v>1</v>
      </c>
      <c r="N1358" s="18">
        <f t="shared" si="134"/>
        <v>4.3275000000000001E-2</v>
      </c>
      <c r="O1358" s="19">
        <f t="shared" si="135"/>
        <v>0</v>
      </c>
      <c r="P1358" s="13">
        <f t="shared" si="136"/>
        <v>0</v>
      </c>
      <c r="Q1358" s="32"/>
      <c r="R1358" s="32">
        <v>1</v>
      </c>
      <c r="S1358" s="32" t="s">
        <v>278</v>
      </c>
    </row>
    <row r="1359" spans="1:19">
      <c r="A1359" s="42" t="s">
        <v>90</v>
      </c>
      <c r="B1359" s="48" t="s">
        <v>148</v>
      </c>
      <c r="C1359" s="32">
        <v>30</v>
      </c>
      <c r="D1359" s="32"/>
      <c r="E1359" s="48" t="s">
        <v>19</v>
      </c>
      <c r="F1359" s="48" t="s">
        <v>14</v>
      </c>
      <c r="G1359" s="48" t="s">
        <v>16</v>
      </c>
      <c r="H1359" s="11">
        <v>5.77</v>
      </c>
      <c r="I1359" s="52">
        <v>7.3</v>
      </c>
      <c r="J1359" s="7">
        <v>1</v>
      </c>
      <c r="K1359" s="10">
        <f t="shared" si="133"/>
        <v>4.2120999999999992E-2</v>
      </c>
      <c r="L1359" s="32"/>
      <c r="M1359" s="32">
        <v>1</v>
      </c>
      <c r="N1359" s="18">
        <f t="shared" si="134"/>
        <v>4.2120999999999992E-2</v>
      </c>
      <c r="O1359" s="19">
        <f t="shared" si="135"/>
        <v>0</v>
      </c>
      <c r="P1359" s="13">
        <f t="shared" si="136"/>
        <v>0</v>
      </c>
      <c r="Q1359" s="32"/>
      <c r="R1359" s="32">
        <v>1</v>
      </c>
      <c r="S1359" s="32" t="s">
        <v>278</v>
      </c>
    </row>
    <row r="1360" spans="1:19">
      <c r="A1360" s="42" t="s">
        <v>90</v>
      </c>
      <c r="B1360" s="48" t="s">
        <v>148</v>
      </c>
      <c r="C1360" s="32">
        <v>30</v>
      </c>
      <c r="D1360" s="32"/>
      <c r="E1360" s="48" t="s">
        <v>19</v>
      </c>
      <c r="F1360" s="48" t="s">
        <v>14</v>
      </c>
      <c r="G1360" s="48" t="s">
        <v>16</v>
      </c>
      <c r="H1360" s="11">
        <v>5.77</v>
      </c>
      <c r="I1360" s="52">
        <v>7.7</v>
      </c>
      <c r="J1360" s="7">
        <v>1</v>
      </c>
      <c r="K1360" s="10">
        <f t="shared" si="133"/>
        <v>4.4428999999999996E-2</v>
      </c>
      <c r="L1360" s="32"/>
      <c r="M1360" s="32">
        <v>1</v>
      </c>
      <c r="N1360" s="18">
        <f t="shared" si="134"/>
        <v>4.4428999999999996E-2</v>
      </c>
      <c r="O1360" s="19">
        <f t="shared" si="135"/>
        <v>0</v>
      </c>
      <c r="P1360" s="13">
        <f t="shared" si="136"/>
        <v>0</v>
      </c>
      <c r="Q1360" s="32"/>
      <c r="R1360" s="32">
        <v>1</v>
      </c>
      <c r="S1360" s="32" t="s">
        <v>278</v>
      </c>
    </row>
    <row r="1361" spans="1:19">
      <c r="A1361" s="42" t="s">
        <v>90</v>
      </c>
      <c r="B1361" s="48" t="s">
        <v>148</v>
      </c>
      <c r="C1361" s="32">
        <v>30</v>
      </c>
      <c r="D1361" s="32"/>
      <c r="E1361" s="48" t="s">
        <v>19</v>
      </c>
      <c r="F1361" s="48" t="s">
        <v>14</v>
      </c>
      <c r="G1361" s="48" t="s">
        <v>16</v>
      </c>
      <c r="H1361" s="11">
        <v>5.77</v>
      </c>
      <c r="I1361" s="52">
        <v>8</v>
      </c>
      <c r="J1361" s="7">
        <v>2</v>
      </c>
      <c r="K1361" s="10">
        <f t="shared" ref="K1361:K1424" si="137">(H1361*I1361*J1361/1000)</f>
        <v>9.2319999999999999E-2</v>
      </c>
      <c r="L1361" s="32"/>
      <c r="M1361" s="32">
        <v>2</v>
      </c>
      <c r="N1361" s="18">
        <f t="shared" ref="N1361:N1424" si="138">I1361*M1361*H1361/1000</f>
        <v>9.2319999999999999E-2</v>
      </c>
      <c r="O1361" s="19">
        <f t="shared" ref="O1361:O1424" si="139">J1361-M1361</f>
        <v>0</v>
      </c>
      <c r="P1361" s="13">
        <f t="shared" ref="P1361:P1424" si="140">I1361*O1361*H1361/1000</f>
        <v>0</v>
      </c>
      <c r="Q1361" s="32"/>
      <c r="R1361" s="32">
        <v>2</v>
      </c>
      <c r="S1361" s="32" t="s">
        <v>278</v>
      </c>
    </row>
    <row r="1362" spans="1:19">
      <c r="A1362" s="42" t="s">
        <v>90</v>
      </c>
      <c r="B1362" s="48" t="s">
        <v>148</v>
      </c>
      <c r="C1362" s="32">
        <v>30</v>
      </c>
      <c r="D1362" s="32"/>
      <c r="E1362" s="48" t="s">
        <v>19</v>
      </c>
      <c r="F1362" s="48" t="s">
        <v>14</v>
      </c>
      <c r="G1362" s="48" t="s">
        <v>16</v>
      </c>
      <c r="H1362" s="11">
        <v>5.77</v>
      </c>
      <c r="I1362" s="52">
        <v>8.3000000000000007</v>
      </c>
      <c r="J1362" s="7">
        <v>2</v>
      </c>
      <c r="K1362" s="10">
        <f t="shared" si="137"/>
        <v>9.5781999999999992E-2</v>
      </c>
      <c r="L1362" s="32"/>
      <c r="M1362" s="32">
        <v>2</v>
      </c>
      <c r="N1362" s="18">
        <f t="shared" si="138"/>
        <v>9.5781999999999992E-2</v>
      </c>
      <c r="O1362" s="19">
        <f t="shared" si="139"/>
        <v>0</v>
      </c>
      <c r="P1362" s="13">
        <f t="shared" si="140"/>
        <v>0</v>
      </c>
      <c r="Q1362" s="32"/>
      <c r="R1362" s="32">
        <v>2</v>
      </c>
      <c r="S1362" s="32" t="s">
        <v>278</v>
      </c>
    </row>
    <row r="1363" spans="1:19">
      <c r="A1363" s="42" t="s">
        <v>90</v>
      </c>
      <c r="B1363" s="48" t="s">
        <v>148</v>
      </c>
      <c r="C1363" s="32">
        <v>30</v>
      </c>
      <c r="D1363" s="32"/>
      <c r="E1363" s="48" t="s">
        <v>19</v>
      </c>
      <c r="F1363" s="48" t="s">
        <v>14</v>
      </c>
      <c r="G1363" s="48" t="s">
        <v>16</v>
      </c>
      <c r="H1363" s="11">
        <v>5.77</v>
      </c>
      <c r="I1363" s="52">
        <v>8.6</v>
      </c>
      <c r="J1363" s="7">
        <v>1</v>
      </c>
      <c r="K1363" s="10">
        <f t="shared" si="137"/>
        <v>4.9621999999999993E-2</v>
      </c>
      <c r="L1363" s="32"/>
      <c r="M1363" s="32">
        <v>1</v>
      </c>
      <c r="N1363" s="18">
        <f t="shared" si="138"/>
        <v>4.9621999999999993E-2</v>
      </c>
      <c r="O1363" s="19">
        <f t="shared" si="139"/>
        <v>0</v>
      </c>
      <c r="P1363" s="13">
        <f t="shared" si="140"/>
        <v>0</v>
      </c>
      <c r="Q1363" s="32"/>
      <c r="R1363" s="32">
        <v>1</v>
      </c>
      <c r="S1363" s="32" t="s">
        <v>278</v>
      </c>
    </row>
    <row r="1364" spans="1:19">
      <c r="A1364" s="42" t="s">
        <v>90</v>
      </c>
      <c r="B1364" s="48" t="s">
        <v>148</v>
      </c>
      <c r="C1364" s="32">
        <v>31</v>
      </c>
      <c r="D1364" s="32"/>
      <c r="E1364" s="48" t="s">
        <v>20</v>
      </c>
      <c r="F1364" s="48" t="s">
        <v>15</v>
      </c>
      <c r="G1364" s="48" t="s">
        <v>18</v>
      </c>
      <c r="H1364" s="11">
        <v>6.86</v>
      </c>
      <c r="I1364" s="52">
        <v>12</v>
      </c>
      <c r="J1364" s="7">
        <v>2</v>
      </c>
      <c r="K1364" s="10">
        <f t="shared" si="137"/>
        <v>0.16464000000000001</v>
      </c>
      <c r="L1364" s="32"/>
      <c r="M1364" s="32">
        <v>2</v>
      </c>
      <c r="N1364" s="18">
        <f t="shared" si="138"/>
        <v>0.16464000000000001</v>
      </c>
      <c r="O1364" s="19">
        <f t="shared" si="139"/>
        <v>0</v>
      </c>
      <c r="P1364" s="13">
        <f t="shared" si="140"/>
        <v>0</v>
      </c>
      <c r="Q1364" s="32"/>
      <c r="R1364" s="32">
        <v>2</v>
      </c>
      <c r="S1364" s="2" t="s">
        <v>222</v>
      </c>
    </row>
    <row r="1365" spans="1:19">
      <c r="A1365" s="42" t="s">
        <v>90</v>
      </c>
      <c r="B1365" s="48" t="s">
        <v>148</v>
      </c>
      <c r="C1365" s="32">
        <v>31</v>
      </c>
      <c r="D1365" s="32"/>
      <c r="E1365" s="48" t="s">
        <v>106</v>
      </c>
      <c r="F1365" s="48" t="s">
        <v>15</v>
      </c>
      <c r="G1365" s="48" t="s">
        <v>22</v>
      </c>
      <c r="H1365" s="11">
        <v>10.73</v>
      </c>
      <c r="I1365" s="52">
        <v>12</v>
      </c>
      <c r="J1365" s="7">
        <v>2</v>
      </c>
      <c r="K1365" s="10">
        <f t="shared" si="137"/>
        <v>0.25751999999999997</v>
      </c>
      <c r="L1365" s="32"/>
      <c r="M1365" s="32"/>
      <c r="N1365" s="18">
        <f t="shared" si="138"/>
        <v>0</v>
      </c>
      <c r="O1365" s="19">
        <f t="shared" si="139"/>
        <v>2</v>
      </c>
      <c r="P1365" s="13">
        <f t="shared" si="140"/>
        <v>0.25751999999999997</v>
      </c>
      <c r="Q1365" s="32"/>
      <c r="R1365" s="32"/>
      <c r="S1365" s="32"/>
    </row>
    <row r="1366" spans="1:19">
      <c r="A1366" s="42" t="s">
        <v>90</v>
      </c>
      <c r="B1366" s="48" t="s">
        <v>148</v>
      </c>
      <c r="C1366" s="32">
        <v>31</v>
      </c>
      <c r="D1366" s="32"/>
      <c r="E1366" s="48" t="s">
        <v>106</v>
      </c>
      <c r="F1366" s="48" t="s">
        <v>15</v>
      </c>
      <c r="G1366" s="48" t="s">
        <v>22</v>
      </c>
      <c r="H1366" s="11">
        <v>10.73</v>
      </c>
      <c r="I1366" s="52">
        <v>11.8</v>
      </c>
      <c r="J1366" s="7">
        <v>2</v>
      </c>
      <c r="K1366" s="10">
        <f t="shared" si="137"/>
        <v>0.25322800000000006</v>
      </c>
      <c r="L1366" s="32"/>
      <c r="M1366" s="32"/>
      <c r="N1366" s="18">
        <f t="shared" si="138"/>
        <v>0</v>
      </c>
      <c r="O1366" s="19">
        <f t="shared" si="139"/>
        <v>2</v>
      </c>
      <c r="P1366" s="13">
        <f t="shared" si="140"/>
        <v>0.25322800000000006</v>
      </c>
      <c r="Q1366" s="32"/>
      <c r="R1366" s="32"/>
      <c r="S1366" s="32"/>
    </row>
    <row r="1367" spans="1:19">
      <c r="A1367" s="42" t="s">
        <v>90</v>
      </c>
      <c r="B1367" s="48" t="s">
        <v>148</v>
      </c>
      <c r="C1367" s="32">
        <v>32</v>
      </c>
      <c r="D1367" s="32"/>
      <c r="E1367" s="48" t="s">
        <v>20</v>
      </c>
      <c r="F1367" s="48" t="s">
        <v>15</v>
      </c>
      <c r="G1367" s="48" t="s">
        <v>61</v>
      </c>
      <c r="H1367" s="11">
        <v>19.68</v>
      </c>
      <c r="I1367" s="52">
        <v>12</v>
      </c>
      <c r="J1367" s="7">
        <v>2</v>
      </c>
      <c r="K1367" s="10">
        <f t="shared" si="137"/>
        <v>0.47232000000000002</v>
      </c>
      <c r="L1367" s="32"/>
      <c r="M1367" s="32"/>
      <c r="N1367" s="18">
        <f t="shared" si="138"/>
        <v>0</v>
      </c>
      <c r="O1367" s="19">
        <f t="shared" si="139"/>
        <v>2</v>
      </c>
      <c r="P1367" s="13">
        <f t="shared" si="140"/>
        <v>0.47232000000000002</v>
      </c>
      <c r="Q1367" s="32"/>
      <c r="R1367" s="32"/>
      <c r="S1367" s="32"/>
    </row>
    <row r="1368" spans="1:19">
      <c r="A1368" s="42" t="s">
        <v>90</v>
      </c>
      <c r="B1368" s="48" t="s">
        <v>148</v>
      </c>
      <c r="C1368" s="32">
        <v>33</v>
      </c>
      <c r="D1368" s="32"/>
      <c r="E1368" s="48" t="s">
        <v>19</v>
      </c>
      <c r="F1368" s="48" t="s">
        <v>14</v>
      </c>
      <c r="G1368" s="48" t="s">
        <v>28</v>
      </c>
      <c r="H1368" s="11">
        <v>12.18</v>
      </c>
      <c r="I1368" s="52">
        <v>6.75</v>
      </c>
      <c r="J1368" s="7">
        <v>2</v>
      </c>
      <c r="K1368" s="10">
        <f t="shared" si="137"/>
        <v>0.16443000000000002</v>
      </c>
      <c r="L1368" s="32"/>
      <c r="M1368" s="32"/>
      <c r="N1368" s="18">
        <f t="shared" si="138"/>
        <v>0</v>
      </c>
      <c r="O1368" s="19">
        <f t="shared" si="139"/>
        <v>2</v>
      </c>
      <c r="P1368" s="13">
        <f t="shared" si="140"/>
        <v>0.16443000000000002</v>
      </c>
      <c r="Q1368" s="9"/>
      <c r="R1368" s="2"/>
      <c r="S1368" s="2"/>
    </row>
    <row r="1369" spans="1:19">
      <c r="A1369" s="42" t="s">
        <v>90</v>
      </c>
      <c r="B1369" s="48" t="s">
        <v>148</v>
      </c>
      <c r="C1369" s="32">
        <v>33</v>
      </c>
      <c r="D1369" s="32"/>
      <c r="E1369" s="48" t="s">
        <v>19</v>
      </c>
      <c r="F1369" s="48" t="s">
        <v>14</v>
      </c>
      <c r="G1369" s="48" t="s">
        <v>28</v>
      </c>
      <c r="H1369" s="11">
        <v>12.18</v>
      </c>
      <c r="I1369" s="52">
        <v>9</v>
      </c>
      <c r="J1369" s="7">
        <v>4</v>
      </c>
      <c r="K1369" s="10">
        <f t="shared" si="137"/>
        <v>0.43848000000000004</v>
      </c>
      <c r="L1369" s="32"/>
      <c r="M1369" s="32">
        <v>4</v>
      </c>
      <c r="N1369" s="18">
        <f t="shared" si="138"/>
        <v>0.43848000000000004</v>
      </c>
      <c r="O1369" s="19">
        <f t="shared" si="139"/>
        <v>0</v>
      </c>
      <c r="P1369" s="13">
        <f t="shared" si="140"/>
        <v>0</v>
      </c>
      <c r="Q1369" s="9">
        <v>8</v>
      </c>
      <c r="R1369" s="111">
        <v>4</v>
      </c>
      <c r="S1369" s="2" t="s">
        <v>279</v>
      </c>
    </row>
    <row r="1370" spans="1:19">
      <c r="A1370" s="42" t="s">
        <v>90</v>
      </c>
      <c r="B1370" s="48" t="s">
        <v>148</v>
      </c>
      <c r="C1370" s="32">
        <v>33</v>
      </c>
      <c r="D1370" s="32"/>
      <c r="E1370" s="48" t="s">
        <v>19</v>
      </c>
      <c r="F1370" s="48" t="s">
        <v>14</v>
      </c>
      <c r="G1370" s="48" t="s">
        <v>28</v>
      </c>
      <c r="H1370" s="11">
        <v>12.18</v>
      </c>
      <c r="I1370" s="52">
        <v>10.5</v>
      </c>
      <c r="J1370" s="7">
        <v>1</v>
      </c>
      <c r="K1370" s="10">
        <f t="shared" si="137"/>
        <v>0.12789</v>
      </c>
      <c r="L1370" s="32"/>
      <c r="M1370" s="32">
        <v>1</v>
      </c>
      <c r="N1370" s="18">
        <f t="shared" si="138"/>
        <v>0.12789</v>
      </c>
      <c r="O1370" s="19">
        <f t="shared" si="139"/>
        <v>0</v>
      </c>
      <c r="P1370" s="13">
        <f t="shared" si="140"/>
        <v>0</v>
      </c>
      <c r="Q1370" s="9">
        <v>8</v>
      </c>
      <c r="R1370" s="111">
        <v>1</v>
      </c>
      <c r="S1370" s="2" t="s">
        <v>279</v>
      </c>
    </row>
    <row r="1371" spans="1:19">
      <c r="A1371" s="42" t="s">
        <v>90</v>
      </c>
      <c r="B1371" s="48" t="s">
        <v>148</v>
      </c>
      <c r="C1371" s="32">
        <v>34</v>
      </c>
      <c r="D1371" s="32"/>
      <c r="E1371" s="48" t="s">
        <v>19</v>
      </c>
      <c r="F1371" s="48" t="s">
        <v>14</v>
      </c>
      <c r="G1371" s="48" t="s">
        <v>16</v>
      </c>
      <c r="H1371" s="11">
        <v>5.77</v>
      </c>
      <c r="I1371" s="52">
        <v>10.5</v>
      </c>
      <c r="J1371" s="7">
        <v>1</v>
      </c>
      <c r="K1371" s="10">
        <f t="shared" si="137"/>
        <v>6.0584999999999993E-2</v>
      </c>
      <c r="L1371" s="32"/>
      <c r="M1371" s="32">
        <v>1</v>
      </c>
      <c r="N1371" s="18">
        <f t="shared" si="138"/>
        <v>6.0584999999999993E-2</v>
      </c>
      <c r="O1371" s="19">
        <f t="shared" si="139"/>
        <v>0</v>
      </c>
      <c r="P1371" s="13">
        <f t="shared" si="140"/>
        <v>0</v>
      </c>
      <c r="Q1371" s="55">
        <v>7.1</v>
      </c>
      <c r="R1371" s="32">
        <v>1</v>
      </c>
      <c r="S1371" s="2" t="s">
        <v>279</v>
      </c>
    </row>
    <row r="1372" spans="1:19">
      <c r="A1372" s="42" t="s">
        <v>90</v>
      </c>
      <c r="B1372" s="48" t="s">
        <v>148</v>
      </c>
      <c r="C1372" s="32">
        <v>34</v>
      </c>
      <c r="D1372" s="32"/>
      <c r="E1372" s="48" t="s">
        <v>19</v>
      </c>
      <c r="F1372" s="48" t="s">
        <v>14</v>
      </c>
      <c r="G1372" s="48" t="s">
        <v>16</v>
      </c>
      <c r="H1372" s="11">
        <v>5.77</v>
      </c>
      <c r="I1372" s="52">
        <v>11</v>
      </c>
      <c r="J1372" s="7">
        <v>2</v>
      </c>
      <c r="K1372" s="10">
        <f t="shared" si="137"/>
        <v>0.12694</v>
      </c>
      <c r="L1372" s="32"/>
      <c r="M1372" s="32">
        <v>2</v>
      </c>
      <c r="N1372" s="18">
        <f t="shared" si="138"/>
        <v>0.12694</v>
      </c>
      <c r="O1372" s="19">
        <f t="shared" si="139"/>
        <v>0</v>
      </c>
      <c r="P1372" s="13">
        <f t="shared" si="140"/>
        <v>0</v>
      </c>
      <c r="Q1372" s="55">
        <v>11</v>
      </c>
      <c r="R1372" s="32">
        <v>2</v>
      </c>
      <c r="S1372" s="2" t="s">
        <v>279</v>
      </c>
    </row>
    <row r="1373" spans="1:19">
      <c r="A1373" s="42" t="s">
        <v>90</v>
      </c>
      <c r="B1373" s="48" t="s">
        <v>148</v>
      </c>
      <c r="C1373" s="32">
        <v>35</v>
      </c>
      <c r="D1373" s="32"/>
      <c r="E1373" s="48" t="s">
        <v>19</v>
      </c>
      <c r="F1373" s="48" t="s">
        <v>14</v>
      </c>
      <c r="G1373" s="48" t="s">
        <v>18</v>
      </c>
      <c r="H1373" s="11">
        <v>6.86</v>
      </c>
      <c r="I1373" s="52">
        <v>10</v>
      </c>
      <c r="J1373" s="7">
        <v>7</v>
      </c>
      <c r="K1373" s="10">
        <f t="shared" si="137"/>
        <v>0.48020000000000007</v>
      </c>
      <c r="L1373" s="32"/>
      <c r="M1373" s="32">
        <v>7</v>
      </c>
      <c r="N1373" s="18">
        <f t="shared" si="138"/>
        <v>0.48020000000000007</v>
      </c>
      <c r="O1373" s="19">
        <f t="shared" si="139"/>
        <v>0</v>
      </c>
      <c r="P1373" s="13">
        <f t="shared" si="140"/>
        <v>0</v>
      </c>
      <c r="Q1373" s="32"/>
      <c r="R1373" s="32">
        <v>7</v>
      </c>
      <c r="S1373" s="32" t="s">
        <v>278</v>
      </c>
    </row>
    <row r="1374" spans="1:19">
      <c r="A1374" s="42" t="s">
        <v>90</v>
      </c>
      <c r="B1374" s="48" t="s">
        <v>148</v>
      </c>
      <c r="C1374" s="32">
        <v>36</v>
      </c>
      <c r="D1374" s="32"/>
      <c r="E1374" s="48" t="s">
        <v>19</v>
      </c>
      <c r="F1374" s="48" t="s">
        <v>14</v>
      </c>
      <c r="G1374" s="48" t="s">
        <v>34</v>
      </c>
      <c r="H1374" s="11">
        <v>9.61</v>
      </c>
      <c r="I1374" s="52">
        <v>12</v>
      </c>
      <c r="J1374" s="7">
        <v>3</v>
      </c>
      <c r="K1374" s="10">
        <f t="shared" si="137"/>
        <v>0.34595999999999999</v>
      </c>
      <c r="L1374" s="32"/>
      <c r="M1374" s="32">
        <v>3</v>
      </c>
      <c r="N1374" s="18">
        <f t="shared" si="138"/>
        <v>0.34595999999999999</v>
      </c>
      <c r="O1374" s="19">
        <f t="shared" si="139"/>
        <v>0</v>
      </c>
      <c r="P1374" s="13">
        <f t="shared" si="140"/>
        <v>0</v>
      </c>
      <c r="Q1374" s="32"/>
      <c r="R1374" s="32">
        <v>3</v>
      </c>
      <c r="S1374" s="2" t="s">
        <v>278</v>
      </c>
    </row>
    <row r="1375" spans="1:19">
      <c r="A1375" s="42" t="s">
        <v>90</v>
      </c>
      <c r="B1375" s="48" t="s">
        <v>148</v>
      </c>
      <c r="C1375" s="32">
        <v>36</v>
      </c>
      <c r="D1375" s="32"/>
      <c r="E1375" s="48" t="s">
        <v>19</v>
      </c>
      <c r="F1375" s="48" t="s">
        <v>14</v>
      </c>
      <c r="G1375" s="48" t="s">
        <v>34</v>
      </c>
      <c r="H1375" s="11">
        <v>9.61</v>
      </c>
      <c r="I1375" s="52">
        <v>6</v>
      </c>
      <c r="J1375" s="7">
        <v>1</v>
      </c>
      <c r="K1375" s="10">
        <f t="shared" si="137"/>
        <v>5.7659999999999996E-2</v>
      </c>
      <c r="L1375" s="32"/>
      <c r="M1375" s="32"/>
      <c r="N1375" s="18">
        <f t="shared" si="138"/>
        <v>0</v>
      </c>
      <c r="O1375" s="19">
        <f t="shared" si="139"/>
        <v>1</v>
      </c>
      <c r="P1375" s="13">
        <f t="shared" si="140"/>
        <v>5.7659999999999996E-2</v>
      </c>
      <c r="Q1375" s="32"/>
      <c r="R1375" s="32"/>
      <c r="S1375" s="32"/>
    </row>
    <row r="1376" spans="1:19">
      <c r="A1376" s="42" t="s">
        <v>90</v>
      </c>
      <c r="B1376" s="48" t="s">
        <v>148</v>
      </c>
      <c r="C1376" s="32">
        <v>37</v>
      </c>
      <c r="D1376" s="32"/>
      <c r="E1376" s="48" t="s">
        <v>17</v>
      </c>
      <c r="F1376" s="48" t="s">
        <v>15</v>
      </c>
      <c r="G1376" s="48" t="s">
        <v>27</v>
      </c>
      <c r="H1376" s="11">
        <v>6.17</v>
      </c>
      <c r="I1376" s="8">
        <v>6.65</v>
      </c>
      <c r="J1376" s="7">
        <v>1</v>
      </c>
      <c r="K1376" s="10">
        <f t="shared" si="137"/>
        <v>4.1030500000000004E-2</v>
      </c>
      <c r="L1376" s="32"/>
      <c r="M1376" s="32">
        <v>1</v>
      </c>
      <c r="N1376" s="18">
        <f t="shared" si="138"/>
        <v>4.1030500000000004E-2</v>
      </c>
      <c r="O1376" s="106">
        <f t="shared" si="139"/>
        <v>0</v>
      </c>
      <c r="P1376" s="13">
        <f t="shared" si="140"/>
        <v>0</v>
      </c>
      <c r="Q1376" s="9"/>
      <c r="R1376" s="111">
        <v>1</v>
      </c>
      <c r="S1376" s="2" t="s">
        <v>664</v>
      </c>
    </row>
    <row r="1377" spans="1:19">
      <c r="A1377" s="42" t="s">
        <v>90</v>
      </c>
      <c r="B1377" s="48" t="s">
        <v>148</v>
      </c>
      <c r="C1377" s="32">
        <v>37</v>
      </c>
      <c r="D1377" s="32"/>
      <c r="E1377" s="48" t="s">
        <v>17</v>
      </c>
      <c r="F1377" s="48" t="s">
        <v>15</v>
      </c>
      <c r="G1377" s="48" t="s">
        <v>27</v>
      </c>
      <c r="H1377" s="11">
        <v>6.17</v>
      </c>
      <c r="I1377" s="8">
        <v>11</v>
      </c>
      <c r="J1377" s="7">
        <v>1</v>
      </c>
      <c r="K1377" s="10">
        <f t="shared" si="137"/>
        <v>6.787E-2</v>
      </c>
      <c r="L1377" s="32"/>
      <c r="M1377" s="32">
        <v>1</v>
      </c>
      <c r="N1377" s="18">
        <f t="shared" si="138"/>
        <v>6.787E-2</v>
      </c>
      <c r="O1377" s="106">
        <f t="shared" si="139"/>
        <v>0</v>
      </c>
      <c r="P1377" s="13">
        <f t="shared" si="140"/>
        <v>0</v>
      </c>
      <c r="Q1377" s="55"/>
      <c r="R1377" s="32">
        <v>1</v>
      </c>
      <c r="S1377" s="2" t="s">
        <v>664</v>
      </c>
    </row>
    <row r="1378" spans="1:19">
      <c r="A1378" s="42" t="s">
        <v>90</v>
      </c>
      <c r="B1378" s="48" t="s">
        <v>148</v>
      </c>
      <c r="C1378" s="32">
        <v>38</v>
      </c>
      <c r="D1378" s="32"/>
      <c r="E1378" s="48" t="s">
        <v>20</v>
      </c>
      <c r="F1378" s="48" t="s">
        <v>15</v>
      </c>
      <c r="G1378" s="48" t="s">
        <v>27</v>
      </c>
      <c r="H1378" s="11">
        <v>6.17</v>
      </c>
      <c r="I1378" s="8">
        <v>5.5</v>
      </c>
      <c r="J1378" s="7">
        <v>1</v>
      </c>
      <c r="K1378" s="10">
        <f t="shared" si="137"/>
        <v>3.3935E-2</v>
      </c>
      <c r="L1378" s="32"/>
      <c r="M1378" s="32">
        <v>1</v>
      </c>
      <c r="N1378" s="18">
        <f t="shared" si="138"/>
        <v>3.3935E-2</v>
      </c>
      <c r="O1378" s="19">
        <f t="shared" si="139"/>
        <v>0</v>
      </c>
      <c r="P1378" s="13">
        <f t="shared" si="140"/>
        <v>0</v>
      </c>
      <c r="Q1378" s="32"/>
      <c r="R1378" s="32">
        <v>1</v>
      </c>
      <c r="S1378" s="2" t="s">
        <v>700</v>
      </c>
    </row>
    <row r="1379" spans="1:19">
      <c r="A1379" s="42" t="s">
        <v>90</v>
      </c>
      <c r="B1379" s="48" t="s">
        <v>148</v>
      </c>
      <c r="C1379" s="32">
        <v>38</v>
      </c>
      <c r="D1379" s="32"/>
      <c r="E1379" s="48" t="s">
        <v>20</v>
      </c>
      <c r="F1379" s="48" t="s">
        <v>15</v>
      </c>
      <c r="G1379" s="48" t="s">
        <v>27</v>
      </c>
      <c r="H1379" s="11">
        <v>6.17</v>
      </c>
      <c r="I1379" s="8">
        <v>5.4</v>
      </c>
      <c r="J1379" s="7">
        <v>1</v>
      </c>
      <c r="K1379" s="10">
        <f t="shared" si="137"/>
        <v>3.3318000000000007E-2</v>
      </c>
      <c r="L1379" s="32"/>
      <c r="M1379" s="32">
        <v>1</v>
      </c>
      <c r="N1379" s="18">
        <f t="shared" si="138"/>
        <v>3.3318000000000007E-2</v>
      </c>
      <c r="O1379" s="19">
        <f t="shared" si="139"/>
        <v>0</v>
      </c>
      <c r="P1379" s="13">
        <f t="shared" si="140"/>
        <v>0</v>
      </c>
      <c r="Q1379" s="32"/>
      <c r="R1379" s="32">
        <v>1</v>
      </c>
      <c r="S1379" s="2" t="s">
        <v>700</v>
      </c>
    </row>
    <row r="1380" spans="1:19">
      <c r="A1380" s="42" t="s">
        <v>90</v>
      </c>
      <c r="B1380" s="48" t="s">
        <v>148</v>
      </c>
      <c r="C1380" s="32">
        <v>39</v>
      </c>
      <c r="D1380" s="32"/>
      <c r="E1380" s="48" t="s">
        <v>24</v>
      </c>
      <c r="F1380" s="48" t="s">
        <v>14</v>
      </c>
      <c r="G1380" s="48" t="s">
        <v>16</v>
      </c>
      <c r="H1380" s="11">
        <v>5.77</v>
      </c>
      <c r="I1380" s="52">
        <v>9</v>
      </c>
      <c r="J1380" s="7">
        <v>2</v>
      </c>
      <c r="K1380" s="10">
        <f t="shared" si="137"/>
        <v>0.10385999999999998</v>
      </c>
      <c r="L1380" s="32"/>
      <c r="M1380" s="32">
        <v>2</v>
      </c>
      <c r="N1380" s="18">
        <f t="shared" si="138"/>
        <v>0.10385999999999998</v>
      </c>
      <c r="O1380" s="19">
        <f t="shared" si="139"/>
        <v>0</v>
      </c>
      <c r="P1380" s="13">
        <f t="shared" si="140"/>
        <v>0</v>
      </c>
      <c r="Q1380" s="32">
        <v>6.5</v>
      </c>
      <c r="R1380" s="32">
        <v>2</v>
      </c>
      <c r="S1380" s="32" t="s">
        <v>374</v>
      </c>
    </row>
    <row r="1381" spans="1:19">
      <c r="A1381" s="42" t="s">
        <v>90</v>
      </c>
      <c r="B1381" s="48" t="s">
        <v>148</v>
      </c>
      <c r="C1381" s="32">
        <v>40</v>
      </c>
      <c r="D1381" s="32"/>
      <c r="E1381" s="48" t="s">
        <v>24</v>
      </c>
      <c r="F1381" s="48" t="s">
        <v>14</v>
      </c>
      <c r="G1381" s="48" t="s">
        <v>25</v>
      </c>
      <c r="H1381" s="11">
        <v>7.34</v>
      </c>
      <c r="I1381" s="52">
        <v>6</v>
      </c>
      <c r="J1381" s="7">
        <v>2</v>
      </c>
      <c r="K1381" s="10">
        <f t="shared" si="137"/>
        <v>8.8079999999999992E-2</v>
      </c>
      <c r="L1381" s="32"/>
      <c r="M1381" s="32">
        <v>2</v>
      </c>
      <c r="N1381" s="18">
        <f t="shared" si="138"/>
        <v>8.8079999999999992E-2</v>
      </c>
      <c r="O1381" s="19">
        <f t="shared" si="139"/>
        <v>0</v>
      </c>
      <c r="P1381" s="13">
        <f t="shared" si="140"/>
        <v>0</v>
      </c>
      <c r="Q1381" s="32"/>
      <c r="R1381" s="32"/>
      <c r="S1381" s="32"/>
    </row>
    <row r="1382" spans="1:19">
      <c r="A1382" s="42" t="s">
        <v>90</v>
      </c>
      <c r="B1382" s="48" t="s">
        <v>148</v>
      </c>
      <c r="C1382" s="32">
        <v>40</v>
      </c>
      <c r="D1382" s="32"/>
      <c r="E1382" s="48" t="s">
        <v>24</v>
      </c>
      <c r="F1382" s="48" t="s">
        <v>14</v>
      </c>
      <c r="G1382" s="48" t="s">
        <v>25</v>
      </c>
      <c r="H1382" s="11">
        <v>7.34</v>
      </c>
      <c r="I1382" s="52">
        <v>8</v>
      </c>
      <c r="J1382" s="7">
        <v>3</v>
      </c>
      <c r="K1382" s="10">
        <f t="shared" si="137"/>
        <v>0.17615999999999998</v>
      </c>
      <c r="L1382" s="32"/>
      <c r="M1382" s="32">
        <v>3</v>
      </c>
      <c r="N1382" s="18">
        <f t="shared" si="138"/>
        <v>0.17615999999999998</v>
      </c>
      <c r="O1382" s="19">
        <f t="shared" si="139"/>
        <v>0</v>
      </c>
      <c r="P1382" s="13">
        <f t="shared" si="140"/>
        <v>0</v>
      </c>
      <c r="Q1382" s="32">
        <v>7.55</v>
      </c>
      <c r="R1382" s="32">
        <v>3</v>
      </c>
      <c r="S1382" s="2" t="s">
        <v>335</v>
      </c>
    </row>
    <row r="1383" spans="1:19">
      <c r="A1383" s="42" t="s">
        <v>90</v>
      </c>
      <c r="B1383" s="48" t="s">
        <v>148</v>
      </c>
      <c r="C1383" s="32">
        <v>40</v>
      </c>
      <c r="D1383" s="32"/>
      <c r="E1383" s="48" t="s">
        <v>24</v>
      </c>
      <c r="F1383" s="48" t="s">
        <v>14</v>
      </c>
      <c r="G1383" s="48" t="s">
        <v>25</v>
      </c>
      <c r="H1383" s="11">
        <v>7.34</v>
      </c>
      <c r="I1383" s="52">
        <v>12</v>
      </c>
      <c r="J1383" s="7">
        <v>1</v>
      </c>
      <c r="K1383" s="10">
        <f t="shared" si="137"/>
        <v>8.8079999999999992E-2</v>
      </c>
      <c r="L1383" s="32"/>
      <c r="M1383" s="32">
        <v>1</v>
      </c>
      <c r="N1383" s="18">
        <f t="shared" si="138"/>
        <v>8.8079999999999992E-2</v>
      </c>
      <c r="O1383" s="19">
        <f t="shared" si="139"/>
        <v>0</v>
      </c>
      <c r="P1383" s="13">
        <f t="shared" si="140"/>
        <v>0</v>
      </c>
      <c r="Q1383" s="9">
        <v>11.5</v>
      </c>
      <c r="R1383" s="35">
        <v>1</v>
      </c>
      <c r="S1383" s="2" t="s">
        <v>707</v>
      </c>
    </row>
    <row r="1384" spans="1:19">
      <c r="A1384" s="42" t="s">
        <v>90</v>
      </c>
      <c r="B1384" s="48" t="s">
        <v>148</v>
      </c>
      <c r="C1384" s="32">
        <v>41</v>
      </c>
      <c r="D1384" s="32"/>
      <c r="E1384" s="48" t="s">
        <v>155</v>
      </c>
      <c r="F1384" s="48" t="s">
        <v>15</v>
      </c>
      <c r="G1384" s="48" t="s">
        <v>44</v>
      </c>
      <c r="H1384" s="11">
        <v>13.4</v>
      </c>
      <c r="I1384" s="52">
        <v>9.5</v>
      </c>
      <c r="J1384" s="7">
        <v>2</v>
      </c>
      <c r="K1384" s="10">
        <f t="shared" si="137"/>
        <v>0.25459999999999999</v>
      </c>
      <c r="L1384" s="32"/>
      <c r="M1384" s="32">
        <v>2</v>
      </c>
      <c r="N1384" s="18">
        <f t="shared" si="138"/>
        <v>0.25459999999999999</v>
      </c>
      <c r="O1384" s="19">
        <f t="shared" si="139"/>
        <v>0</v>
      </c>
      <c r="P1384" s="13">
        <f t="shared" si="140"/>
        <v>0</v>
      </c>
      <c r="Q1384" s="32"/>
      <c r="R1384" s="32">
        <v>2</v>
      </c>
      <c r="S1384" s="2" t="s">
        <v>485</v>
      </c>
    </row>
    <row r="1385" spans="1:19">
      <c r="A1385" s="42" t="s">
        <v>90</v>
      </c>
      <c r="B1385" s="48" t="s">
        <v>148</v>
      </c>
      <c r="C1385" s="32">
        <v>42</v>
      </c>
      <c r="D1385" s="32"/>
      <c r="E1385" s="48" t="s">
        <v>155</v>
      </c>
      <c r="F1385" s="48" t="s">
        <v>15</v>
      </c>
      <c r="G1385" s="48" t="s">
        <v>99</v>
      </c>
      <c r="H1385" s="11">
        <v>18.2</v>
      </c>
      <c r="I1385" s="52">
        <v>9.6</v>
      </c>
      <c r="J1385" s="7">
        <v>1</v>
      </c>
      <c r="K1385" s="10">
        <f t="shared" si="137"/>
        <v>0.17471999999999999</v>
      </c>
      <c r="L1385" s="32" t="s">
        <v>26</v>
      </c>
      <c r="M1385" s="32"/>
      <c r="N1385" s="18">
        <f t="shared" si="138"/>
        <v>0</v>
      </c>
      <c r="O1385" s="19">
        <f t="shared" si="139"/>
        <v>1</v>
      </c>
      <c r="P1385" s="13">
        <f t="shared" si="140"/>
        <v>0.17471999999999999</v>
      </c>
      <c r="Q1385" s="32"/>
      <c r="R1385" s="32"/>
      <c r="S1385" s="32"/>
    </row>
    <row r="1386" spans="1:19">
      <c r="A1386" s="42" t="s">
        <v>90</v>
      </c>
      <c r="B1386" s="48" t="s">
        <v>148</v>
      </c>
      <c r="C1386" s="32">
        <v>43</v>
      </c>
      <c r="D1386" s="32"/>
      <c r="E1386" s="48" t="s">
        <v>20</v>
      </c>
      <c r="F1386" s="48" t="s">
        <v>15</v>
      </c>
      <c r="G1386" s="48" t="s">
        <v>25</v>
      </c>
      <c r="H1386" s="11">
        <v>7.34</v>
      </c>
      <c r="I1386" s="52">
        <v>9.1999999999999993</v>
      </c>
      <c r="J1386" s="7">
        <v>1</v>
      </c>
      <c r="K1386" s="10">
        <f t="shared" si="137"/>
        <v>6.7527999999999991E-2</v>
      </c>
      <c r="L1386" s="32"/>
      <c r="M1386" s="32">
        <v>1</v>
      </c>
      <c r="N1386" s="18">
        <f t="shared" si="138"/>
        <v>6.7527999999999991E-2</v>
      </c>
      <c r="O1386" s="19">
        <f t="shared" si="139"/>
        <v>0</v>
      </c>
      <c r="P1386" s="13">
        <f t="shared" si="140"/>
        <v>0</v>
      </c>
      <c r="Q1386" s="32"/>
      <c r="R1386" s="32">
        <v>1</v>
      </c>
      <c r="S1386" s="32" t="s">
        <v>278</v>
      </c>
    </row>
    <row r="1387" spans="1:19">
      <c r="A1387" s="42" t="s">
        <v>90</v>
      </c>
      <c r="B1387" s="48" t="s">
        <v>148</v>
      </c>
      <c r="C1387" s="32">
        <v>43</v>
      </c>
      <c r="D1387" s="32"/>
      <c r="E1387" s="48" t="s">
        <v>20</v>
      </c>
      <c r="F1387" s="48" t="s">
        <v>15</v>
      </c>
      <c r="G1387" s="48" t="s">
        <v>25</v>
      </c>
      <c r="H1387" s="11">
        <v>7.34</v>
      </c>
      <c r="I1387" s="52">
        <v>11.5</v>
      </c>
      <c r="J1387" s="7">
        <v>4</v>
      </c>
      <c r="K1387" s="10">
        <f t="shared" si="137"/>
        <v>0.33764</v>
      </c>
      <c r="L1387" s="32"/>
      <c r="M1387" s="32">
        <v>4</v>
      </c>
      <c r="N1387" s="18">
        <f t="shared" si="138"/>
        <v>0.33764</v>
      </c>
      <c r="O1387" s="19">
        <f t="shared" si="139"/>
        <v>0</v>
      </c>
      <c r="P1387" s="13">
        <f t="shared" si="140"/>
        <v>0</v>
      </c>
      <c r="Q1387" s="32"/>
      <c r="R1387" s="32">
        <v>4</v>
      </c>
      <c r="S1387" s="32" t="s">
        <v>278</v>
      </c>
    </row>
    <row r="1388" spans="1:19">
      <c r="A1388" s="42" t="s">
        <v>90</v>
      </c>
      <c r="B1388" s="48" t="s">
        <v>148</v>
      </c>
      <c r="C1388" s="32">
        <v>43</v>
      </c>
      <c r="D1388" s="32"/>
      <c r="E1388" s="48" t="s">
        <v>20</v>
      </c>
      <c r="F1388" s="48" t="s">
        <v>15</v>
      </c>
      <c r="G1388" s="48" t="s">
        <v>25</v>
      </c>
      <c r="H1388" s="11">
        <v>7.34</v>
      </c>
      <c r="I1388" s="52">
        <v>7.3</v>
      </c>
      <c r="J1388" s="7">
        <v>1</v>
      </c>
      <c r="K1388" s="10">
        <f t="shared" si="137"/>
        <v>5.3581999999999998E-2</v>
      </c>
      <c r="L1388" s="32"/>
      <c r="M1388" s="32">
        <v>1</v>
      </c>
      <c r="N1388" s="18">
        <f t="shared" si="138"/>
        <v>5.3581999999999998E-2</v>
      </c>
      <c r="O1388" s="19">
        <f t="shared" si="139"/>
        <v>0</v>
      </c>
      <c r="P1388" s="13">
        <f t="shared" si="140"/>
        <v>0</v>
      </c>
      <c r="Q1388" s="32"/>
      <c r="R1388" s="32">
        <v>1</v>
      </c>
      <c r="S1388" s="32" t="s">
        <v>278</v>
      </c>
    </row>
    <row r="1389" spans="1:19">
      <c r="A1389" s="42" t="s">
        <v>90</v>
      </c>
      <c r="B1389" s="48" t="s">
        <v>148</v>
      </c>
      <c r="C1389" s="32">
        <v>43</v>
      </c>
      <c r="D1389" s="32"/>
      <c r="E1389" s="48" t="s">
        <v>20</v>
      </c>
      <c r="F1389" s="48" t="s">
        <v>15</v>
      </c>
      <c r="G1389" s="48" t="s">
        <v>25</v>
      </c>
      <c r="H1389" s="11">
        <v>7.34</v>
      </c>
      <c r="I1389" s="52">
        <v>7</v>
      </c>
      <c r="J1389" s="7">
        <v>1</v>
      </c>
      <c r="K1389" s="10">
        <f t="shared" si="137"/>
        <v>5.1379999999999995E-2</v>
      </c>
      <c r="L1389" s="32"/>
      <c r="M1389" s="32">
        <v>1</v>
      </c>
      <c r="N1389" s="18">
        <f t="shared" si="138"/>
        <v>5.1379999999999995E-2</v>
      </c>
      <c r="O1389" s="19">
        <f t="shared" si="139"/>
        <v>0</v>
      </c>
      <c r="P1389" s="13">
        <f t="shared" si="140"/>
        <v>0</v>
      </c>
      <c r="Q1389" s="32"/>
      <c r="R1389" s="32">
        <v>1</v>
      </c>
      <c r="S1389" s="32" t="s">
        <v>278</v>
      </c>
    </row>
    <row r="1390" spans="1:19">
      <c r="A1390" s="42" t="s">
        <v>90</v>
      </c>
      <c r="B1390" s="48" t="s">
        <v>148</v>
      </c>
      <c r="C1390" s="32">
        <v>44</v>
      </c>
      <c r="D1390" s="32"/>
      <c r="E1390" s="48" t="s">
        <v>19</v>
      </c>
      <c r="F1390" s="48" t="s">
        <v>14</v>
      </c>
      <c r="G1390" s="48" t="s">
        <v>154</v>
      </c>
      <c r="H1390" s="49">
        <v>4.9800000000000004</v>
      </c>
      <c r="I1390" s="52">
        <v>12</v>
      </c>
      <c r="J1390" s="7">
        <v>11</v>
      </c>
      <c r="K1390" s="10">
        <f t="shared" si="137"/>
        <v>0.65736000000000006</v>
      </c>
      <c r="L1390" s="32"/>
      <c r="M1390" s="32">
        <v>11</v>
      </c>
      <c r="N1390" s="18">
        <f t="shared" si="138"/>
        <v>0.65736000000000006</v>
      </c>
      <c r="O1390" s="19">
        <f t="shared" si="139"/>
        <v>0</v>
      </c>
      <c r="P1390" s="13">
        <f t="shared" si="140"/>
        <v>0</v>
      </c>
      <c r="Q1390" s="32"/>
      <c r="R1390" s="32">
        <v>11</v>
      </c>
      <c r="S1390" s="32" t="s">
        <v>223</v>
      </c>
    </row>
    <row r="1391" spans="1:19">
      <c r="A1391" s="42" t="s">
        <v>90</v>
      </c>
      <c r="B1391" s="48" t="s">
        <v>148</v>
      </c>
      <c r="C1391" s="32">
        <v>44</v>
      </c>
      <c r="D1391" s="32"/>
      <c r="E1391" s="48" t="s">
        <v>19</v>
      </c>
      <c r="F1391" s="48" t="s">
        <v>14</v>
      </c>
      <c r="G1391" s="48" t="s">
        <v>154</v>
      </c>
      <c r="H1391" s="49">
        <v>4.9800000000000004</v>
      </c>
      <c r="I1391" s="52">
        <v>10.199999999999999</v>
      </c>
      <c r="J1391" s="7">
        <v>1</v>
      </c>
      <c r="K1391" s="10">
        <f t="shared" si="137"/>
        <v>5.0796000000000001E-2</v>
      </c>
      <c r="L1391" s="32"/>
      <c r="M1391" s="32">
        <v>1</v>
      </c>
      <c r="N1391" s="18">
        <f t="shared" si="138"/>
        <v>5.0796000000000001E-2</v>
      </c>
      <c r="O1391" s="19">
        <f t="shared" si="139"/>
        <v>0</v>
      </c>
      <c r="P1391" s="13">
        <f t="shared" si="140"/>
        <v>0</v>
      </c>
      <c r="Q1391" s="32"/>
      <c r="R1391" s="32">
        <v>1</v>
      </c>
      <c r="S1391" s="32" t="s">
        <v>223</v>
      </c>
    </row>
    <row r="1392" spans="1:19">
      <c r="A1392" s="42" t="s">
        <v>90</v>
      </c>
      <c r="B1392" s="48" t="s">
        <v>148</v>
      </c>
      <c r="C1392" s="32">
        <v>44</v>
      </c>
      <c r="D1392" s="32"/>
      <c r="E1392" s="48" t="s">
        <v>19</v>
      </c>
      <c r="F1392" s="48" t="s">
        <v>14</v>
      </c>
      <c r="G1392" s="48" t="s">
        <v>154</v>
      </c>
      <c r="H1392" s="49">
        <v>4.9800000000000004</v>
      </c>
      <c r="I1392" s="52">
        <v>8.6</v>
      </c>
      <c r="J1392" s="7">
        <v>2</v>
      </c>
      <c r="K1392" s="10">
        <f t="shared" si="137"/>
        <v>8.565600000000001E-2</v>
      </c>
      <c r="L1392" s="32"/>
      <c r="M1392" s="32">
        <v>1</v>
      </c>
      <c r="N1392" s="18">
        <f t="shared" si="138"/>
        <v>4.2828000000000005E-2</v>
      </c>
      <c r="O1392" s="19">
        <f t="shared" si="139"/>
        <v>1</v>
      </c>
      <c r="P1392" s="13">
        <f t="shared" si="140"/>
        <v>4.2828000000000005E-2</v>
      </c>
      <c r="Q1392" s="32"/>
      <c r="R1392" s="32">
        <v>1</v>
      </c>
      <c r="S1392" s="32" t="s">
        <v>223</v>
      </c>
    </row>
    <row r="1393" spans="1:19">
      <c r="A1393" s="42" t="s">
        <v>90</v>
      </c>
      <c r="B1393" s="48" t="s">
        <v>148</v>
      </c>
      <c r="C1393" s="32">
        <v>45</v>
      </c>
      <c r="D1393" s="32"/>
      <c r="E1393" s="48" t="s">
        <v>19</v>
      </c>
      <c r="F1393" s="48" t="s">
        <v>14</v>
      </c>
      <c r="G1393" s="48" t="s">
        <v>154</v>
      </c>
      <c r="H1393" s="49">
        <v>4.9800000000000004</v>
      </c>
      <c r="I1393" s="52">
        <v>11.5</v>
      </c>
      <c r="J1393" s="7">
        <v>4</v>
      </c>
      <c r="K1393" s="10">
        <f t="shared" si="137"/>
        <v>0.22908000000000001</v>
      </c>
      <c r="L1393" s="32"/>
      <c r="M1393" s="32">
        <v>4</v>
      </c>
      <c r="N1393" s="18">
        <f t="shared" si="138"/>
        <v>0.22908000000000001</v>
      </c>
      <c r="O1393" s="19">
        <f t="shared" si="139"/>
        <v>0</v>
      </c>
      <c r="P1393" s="13">
        <f t="shared" si="140"/>
        <v>0</v>
      </c>
      <c r="Q1393" s="32"/>
      <c r="R1393" s="32">
        <v>4</v>
      </c>
      <c r="S1393" s="32" t="s">
        <v>223</v>
      </c>
    </row>
    <row r="1394" spans="1:19">
      <c r="A1394" s="42" t="s">
        <v>90</v>
      </c>
      <c r="B1394" s="48" t="s">
        <v>148</v>
      </c>
      <c r="C1394" s="32">
        <v>45</v>
      </c>
      <c r="D1394" s="32"/>
      <c r="E1394" s="48" t="s">
        <v>19</v>
      </c>
      <c r="F1394" s="48" t="s">
        <v>14</v>
      </c>
      <c r="G1394" s="48" t="s">
        <v>154</v>
      </c>
      <c r="H1394" s="49">
        <v>4.9800000000000004</v>
      </c>
      <c r="I1394" s="52">
        <v>10.5</v>
      </c>
      <c r="J1394" s="7">
        <v>6</v>
      </c>
      <c r="K1394" s="10">
        <f t="shared" si="137"/>
        <v>0.31374000000000002</v>
      </c>
      <c r="L1394" s="32"/>
      <c r="M1394" s="32">
        <v>6</v>
      </c>
      <c r="N1394" s="18">
        <f t="shared" si="138"/>
        <v>0.31374000000000002</v>
      </c>
      <c r="O1394" s="19">
        <f t="shared" si="139"/>
        <v>0</v>
      </c>
      <c r="P1394" s="13">
        <f t="shared" si="140"/>
        <v>0</v>
      </c>
      <c r="Q1394" s="32"/>
      <c r="R1394" s="32">
        <v>6</v>
      </c>
      <c r="S1394" s="32" t="s">
        <v>223</v>
      </c>
    </row>
    <row r="1395" spans="1:19">
      <c r="A1395" s="42" t="s">
        <v>90</v>
      </c>
      <c r="B1395" s="48" t="s">
        <v>148</v>
      </c>
      <c r="C1395" s="32">
        <v>45</v>
      </c>
      <c r="D1395" s="32"/>
      <c r="E1395" s="48" t="s">
        <v>19</v>
      </c>
      <c r="F1395" s="48" t="s">
        <v>14</v>
      </c>
      <c r="G1395" s="48" t="s">
        <v>154</v>
      </c>
      <c r="H1395" s="49">
        <v>4.9800000000000004</v>
      </c>
      <c r="I1395" s="52">
        <v>11</v>
      </c>
      <c r="J1395" s="7">
        <v>7</v>
      </c>
      <c r="K1395" s="10">
        <f t="shared" si="137"/>
        <v>0.38346000000000002</v>
      </c>
      <c r="L1395" s="32"/>
      <c r="M1395" s="32">
        <v>7</v>
      </c>
      <c r="N1395" s="18">
        <f t="shared" si="138"/>
        <v>0.38346000000000002</v>
      </c>
      <c r="O1395" s="19">
        <f t="shared" si="139"/>
        <v>0</v>
      </c>
      <c r="P1395" s="13">
        <f t="shared" si="140"/>
        <v>0</v>
      </c>
      <c r="Q1395" s="32"/>
      <c r="R1395" s="32">
        <v>7</v>
      </c>
      <c r="S1395" s="32" t="s">
        <v>223</v>
      </c>
    </row>
    <row r="1396" spans="1:19">
      <c r="A1396" s="42" t="s">
        <v>90</v>
      </c>
      <c r="B1396" s="48" t="s">
        <v>148</v>
      </c>
      <c r="C1396" s="32">
        <v>45</v>
      </c>
      <c r="D1396" s="32"/>
      <c r="E1396" s="48" t="s">
        <v>19</v>
      </c>
      <c r="F1396" s="48" t="s">
        <v>14</v>
      </c>
      <c r="G1396" s="48" t="s">
        <v>154</v>
      </c>
      <c r="H1396" s="49">
        <v>4.9800000000000004</v>
      </c>
      <c r="I1396" s="52">
        <v>9</v>
      </c>
      <c r="J1396" s="7">
        <v>1</v>
      </c>
      <c r="K1396" s="10">
        <f t="shared" si="137"/>
        <v>4.4820000000000006E-2</v>
      </c>
      <c r="L1396" s="32"/>
      <c r="M1396" s="32">
        <v>1</v>
      </c>
      <c r="N1396" s="18">
        <f t="shared" si="138"/>
        <v>4.4820000000000006E-2</v>
      </c>
      <c r="O1396" s="19">
        <f t="shared" si="139"/>
        <v>0</v>
      </c>
      <c r="P1396" s="13">
        <f t="shared" si="140"/>
        <v>0</v>
      </c>
      <c r="Q1396" s="32"/>
      <c r="R1396" s="32">
        <v>1</v>
      </c>
      <c r="S1396" s="32" t="s">
        <v>223</v>
      </c>
    </row>
    <row r="1397" spans="1:19">
      <c r="A1397" s="42" t="s">
        <v>90</v>
      </c>
      <c r="B1397" s="48" t="s">
        <v>148</v>
      </c>
      <c r="C1397" s="32">
        <v>46</v>
      </c>
      <c r="D1397" s="32"/>
      <c r="E1397" s="48" t="s">
        <v>19</v>
      </c>
      <c r="F1397" s="48" t="s">
        <v>14</v>
      </c>
      <c r="G1397" s="48" t="s">
        <v>154</v>
      </c>
      <c r="H1397" s="49">
        <v>4.9800000000000004</v>
      </c>
      <c r="I1397" s="52">
        <v>12</v>
      </c>
      <c r="J1397" s="7">
        <v>24</v>
      </c>
      <c r="K1397" s="10">
        <f t="shared" si="137"/>
        <v>1.4342400000000002</v>
      </c>
      <c r="L1397" s="32"/>
      <c r="M1397" s="32">
        <v>24</v>
      </c>
      <c r="N1397" s="18">
        <f t="shared" si="138"/>
        <v>1.4342400000000002</v>
      </c>
      <c r="O1397" s="19">
        <f t="shared" si="139"/>
        <v>0</v>
      </c>
      <c r="P1397" s="13">
        <f t="shared" si="140"/>
        <v>0</v>
      </c>
      <c r="Q1397" s="32"/>
      <c r="R1397" s="32">
        <v>24</v>
      </c>
      <c r="S1397" s="32" t="s">
        <v>223</v>
      </c>
    </row>
    <row r="1398" spans="1:19">
      <c r="A1398" s="42" t="s">
        <v>90</v>
      </c>
      <c r="B1398" s="48" t="s">
        <v>148</v>
      </c>
      <c r="C1398" s="32">
        <v>47</v>
      </c>
      <c r="D1398" s="32"/>
      <c r="E1398" s="48" t="s">
        <v>156</v>
      </c>
      <c r="F1398" s="48" t="s">
        <v>15</v>
      </c>
      <c r="G1398" s="48" t="s">
        <v>16</v>
      </c>
      <c r="H1398" s="11">
        <v>5.77</v>
      </c>
      <c r="I1398" s="52">
        <v>5.5</v>
      </c>
      <c r="J1398" s="7">
        <v>2</v>
      </c>
      <c r="K1398" s="10">
        <f t="shared" si="137"/>
        <v>6.3469999999999999E-2</v>
      </c>
      <c r="L1398" s="32"/>
      <c r="M1398" s="32"/>
      <c r="N1398" s="18">
        <f t="shared" si="138"/>
        <v>0</v>
      </c>
      <c r="O1398" s="19">
        <f t="shared" si="139"/>
        <v>2</v>
      </c>
      <c r="P1398" s="13">
        <f t="shared" si="140"/>
        <v>6.3469999999999999E-2</v>
      </c>
      <c r="Q1398" s="32"/>
      <c r="R1398" s="32"/>
      <c r="S1398" s="32"/>
    </row>
    <row r="1399" spans="1:19">
      <c r="A1399" s="42" t="s">
        <v>90</v>
      </c>
      <c r="B1399" s="48" t="s">
        <v>148</v>
      </c>
      <c r="C1399" s="32">
        <v>48</v>
      </c>
      <c r="D1399" s="67" t="s">
        <v>142</v>
      </c>
      <c r="E1399" s="69" t="s">
        <v>20</v>
      </c>
      <c r="F1399" s="48" t="s">
        <v>15</v>
      </c>
      <c r="G1399" s="48" t="s">
        <v>27</v>
      </c>
      <c r="H1399" s="11">
        <v>6.17</v>
      </c>
      <c r="I1399" s="8">
        <v>12</v>
      </c>
      <c r="J1399" s="7">
        <v>7</v>
      </c>
      <c r="K1399" s="10">
        <f t="shared" si="137"/>
        <v>0.51827999999999996</v>
      </c>
      <c r="L1399" s="32"/>
      <c r="M1399" s="32">
        <v>7</v>
      </c>
      <c r="N1399" s="18">
        <f t="shared" si="138"/>
        <v>0.51827999999999996</v>
      </c>
      <c r="O1399" s="19">
        <f t="shared" si="139"/>
        <v>0</v>
      </c>
      <c r="P1399" s="13">
        <f t="shared" si="140"/>
        <v>0</v>
      </c>
      <c r="Q1399" s="32">
        <v>11.5</v>
      </c>
      <c r="R1399" s="32">
        <v>7</v>
      </c>
      <c r="S1399" s="2" t="s">
        <v>699</v>
      </c>
    </row>
    <row r="1400" spans="1:19">
      <c r="A1400" s="42" t="s">
        <v>90</v>
      </c>
      <c r="B1400" s="48" t="s">
        <v>148</v>
      </c>
      <c r="C1400" s="32">
        <v>48</v>
      </c>
      <c r="D1400" s="32"/>
      <c r="E1400" s="20" t="s">
        <v>75</v>
      </c>
      <c r="F1400" s="48" t="s">
        <v>15</v>
      </c>
      <c r="G1400" s="48" t="s">
        <v>27</v>
      </c>
      <c r="H1400" s="11">
        <v>6.17</v>
      </c>
      <c r="I1400" s="52">
        <v>11.5</v>
      </c>
      <c r="J1400" s="7">
        <v>2</v>
      </c>
      <c r="K1400" s="10">
        <f t="shared" si="137"/>
        <v>0.14191000000000001</v>
      </c>
      <c r="L1400" s="32"/>
      <c r="M1400" s="32">
        <v>2</v>
      </c>
      <c r="N1400" s="18">
        <f t="shared" si="138"/>
        <v>0.14191000000000001</v>
      </c>
      <c r="O1400" s="19">
        <f t="shared" si="139"/>
        <v>0</v>
      </c>
      <c r="P1400" s="13">
        <f t="shared" si="140"/>
        <v>0</v>
      </c>
      <c r="Q1400" s="32"/>
      <c r="R1400" s="32"/>
      <c r="S1400" s="32"/>
    </row>
    <row r="1401" spans="1:19">
      <c r="A1401" s="42" t="s">
        <v>90</v>
      </c>
      <c r="B1401" s="48" t="s">
        <v>148</v>
      </c>
      <c r="C1401" s="32">
        <v>48</v>
      </c>
      <c r="D1401" s="32" t="s">
        <v>142</v>
      </c>
      <c r="E1401" s="48" t="s">
        <v>20</v>
      </c>
      <c r="F1401" s="48" t="s">
        <v>15</v>
      </c>
      <c r="G1401" s="48" t="s">
        <v>27</v>
      </c>
      <c r="H1401" s="11">
        <v>6.17</v>
      </c>
      <c r="I1401" s="8">
        <v>9.4499999999999993</v>
      </c>
      <c r="J1401" s="7">
        <v>1</v>
      </c>
      <c r="K1401" s="10">
        <f t="shared" si="137"/>
        <v>5.830649999999999E-2</v>
      </c>
      <c r="L1401" s="32"/>
      <c r="M1401" s="32">
        <v>1</v>
      </c>
      <c r="N1401" s="18">
        <f t="shared" si="138"/>
        <v>5.830649999999999E-2</v>
      </c>
      <c r="O1401" s="19">
        <f t="shared" si="139"/>
        <v>0</v>
      </c>
      <c r="P1401" s="13">
        <f t="shared" si="140"/>
        <v>0</v>
      </c>
      <c r="Q1401" s="32">
        <v>8.5</v>
      </c>
      <c r="R1401" s="32">
        <v>1</v>
      </c>
      <c r="S1401" s="2" t="s">
        <v>699</v>
      </c>
    </row>
    <row r="1402" spans="1:19">
      <c r="A1402" s="42" t="s">
        <v>90</v>
      </c>
      <c r="B1402" s="48" t="s">
        <v>148</v>
      </c>
      <c r="C1402" s="32">
        <v>49</v>
      </c>
      <c r="D1402" s="32"/>
      <c r="E1402" s="48" t="s">
        <v>156</v>
      </c>
      <c r="F1402" s="48" t="s">
        <v>15</v>
      </c>
      <c r="G1402" s="48" t="s">
        <v>32</v>
      </c>
      <c r="H1402" s="11">
        <v>8.3000000000000007</v>
      </c>
      <c r="I1402" s="52">
        <v>7</v>
      </c>
      <c r="J1402" s="7">
        <v>1</v>
      </c>
      <c r="K1402" s="10">
        <f t="shared" si="137"/>
        <v>5.8100000000000006E-2</v>
      </c>
      <c r="L1402" s="32"/>
      <c r="M1402" s="32">
        <v>1</v>
      </c>
      <c r="N1402" s="18">
        <f t="shared" si="138"/>
        <v>5.8100000000000006E-2</v>
      </c>
      <c r="O1402" s="19">
        <f t="shared" si="139"/>
        <v>0</v>
      </c>
      <c r="P1402" s="13">
        <f t="shared" si="140"/>
        <v>0</v>
      </c>
      <c r="Q1402" s="33">
        <v>6.3</v>
      </c>
      <c r="R1402" s="32">
        <v>1</v>
      </c>
      <c r="S1402" s="32" t="s">
        <v>725</v>
      </c>
    </row>
    <row r="1403" spans="1:19">
      <c r="A1403" s="42" t="s">
        <v>90</v>
      </c>
      <c r="B1403" s="48" t="s">
        <v>148</v>
      </c>
      <c r="C1403" s="32">
        <v>49</v>
      </c>
      <c r="D1403" s="32"/>
      <c r="E1403" s="48" t="s">
        <v>156</v>
      </c>
      <c r="F1403" s="48" t="s">
        <v>15</v>
      </c>
      <c r="G1403" s="48" t="s">
        <v>32</v>
      </c>
      <c r="H1403" s="11">
        <v>8.3000000000000007</v>
      </c>
      <c r="I1403" s="52">
        <v>6.75</v>
      </c>
      <c r="J1403" s="7">
        <v>1</v>
      </c>
      <c r="K1403" s="10">
        <f t="shared" si="137"/>
        <v>5.6025000000000005E-2</v>
      </c>
      <c r="L1403" s="32"/>
      <c r="M1403" s="32">
        <v>1</v>
      </c>
      <c r="N1403" s="18">
        <f t="shared" si="138"/>
        <v>5.6025000000000005E-2</v>
      </c>
      <c r="O1403" s="64">
        <f t="shared" si="139"/>
        <v>0</v>
      </c>
      <c r="P1403" s="65">
        <f t="shared" si="140"/>
        <v>0</v>
      </c>
      <c r="Q1403" s="32"/>
      <c r="R1403" s="32"/>
      <c r="S1403" s="32"/>
    </row>
    <row r="1404" spans="1:19">
      <c r="A1404" s="42" t="s">
        <v>90</v>
      </c>
      <c r="B1404" s="48" t="s">
        <v>148</v>
      </c>
      <c r="C1404" s="32">
        <v>49</v>
      </c>
      <c r="D1404" s="32"/>
      <c r="E1404" s="48" t="s">
        <v>156</v>
      </c>
      <c r="F1404" s="48" t="s">
        <v>15</v>
      </c>
      <c r="G1404" s="48" t="s">
        <v>32</v>
      </c>
      <c r="H1404" s="11">
        <v>8.3000000000000007</v>
      </c>
      <c r="I1404" s="52">
        <v>6.5</v>
      </c>
      <c r="J1404" s="7">
        <v>1</v>
      </c>
      <c r="K1404" s="10">
        <f t="shared" si="137"/>
        <v>5.3950000000000005E-2</v>
      </c>
      <c r="L1404" s="32"/>
      <c r="M1404" s="32">
        <v>1</v>
      </c>
      <c r="N1404" s="18">
        <f t="shared" si="138"/>
        <v>5.3950000000000005E-2</v>
      </c>
      <c r="O1404" s="19">
        <f t="shared" si="139"/>
        <v>0</v>
      </c>
      <c r="P1404" s="13">
        <f t="shared" si="140"/>
        <v>0</v>
      </c>
      <c r="Q1404" s="33">
        <v>6.3</v>
      </c>
      <c r="R1404" s="32">
        <v>1</v>
      </c>
      <c r="S1404" s="32" t="s">
        <v>725</v>
      </c>
    </row>
    <row r="1405" spans="1:19">
      <c r="A1405" s="42" t="s">
        <v>90</v>
      </c>
      <c r="B1405" s="48" t="s">
        <v>148</v>
      </c>
      <c r="C1405" s="32">
        <v>50</v>
      </c>
      <c r="D1405" s="32"/>
      <c r="E1405" s="48" t="s">
        <v>19</v>
      </c>
      <c r="F1405" s="48" t="s">
        <v>14</v>
      </c>
      <c r="G1405" s="48" t="s">
        <v>144</v>
      </c>
      <c r="H1405" s="49">
        <v>5.38</v>
      </c>
      <c r="I1405" s="52">
        <v>12</v>
      </c>
      <c r="J1405" s="7">
        <v>3</v>
      </c>
      <c r="K1405" s="10">
        <f t="shared" si="137"/>
        <v>0.19368000000000002</v>
      </c>
      <c r="L1405" s="32"/>
      <c r="M1405" s="32">
        <v>3</v>
      </c>
      <c r="N1405" s="18">
        <f t="shared" si="138"/>
        <v>0.19368000000000002</v>
      </c>
      <c r="O1405" s="19">
        <f t="shared" si="139"/>
        <v>0</v>
      </c>
      <c r="P1405" s="13">
        <f t="shared" si="140"/>
        <v>0</v>
      </c>
      <c r="Q1405" s="33">
        <v>12</v>
      </c>
      <c r="R1405" s="32">
        <v>3</v>
      </c>
      <c r="S1405" s="32" t="s">
        <v>655</v>
      </c>
    </row>
    <row r="1406" spans="1:19">
      <c r="A1406" s="42" t="s">
        <v>90</v>
      </c>
      <c r="B1406" s="48" t="s">
        <v>148</v>
      </c>
      <c r="C1406" s="32">
        <v>51</v>
      </c>
      <c r="D1406" s="32"/>
      <c r="E1406" s="48" t="s">
        <v>89</v>
      </c>
      <c r="F1406" s="48" t="s">
        <v>15</v>
      </c>
      <c r="G1406" s="48" t="s">
        <v>37</v>
      </c>
      <c r="H1406" s="11">
        <v>18.149999999999999</v>
      </c>
      <c r="I1406" s="52">
        <v>6</v>
      </c>
      <c r="J1406" s="7">
        <v>1</v>
      </c>
      <c r="K1406" s="10">
        <f t="shared" si="137"/>
        <v>0.1089</v>
      </c>
      <c r="L1406" s="32"/>
      <c r="M1406" s="32">
        <v>1</v>
      </c>
      <c r="N1406" s="18">
        <f t="shared" si="138"/>
        <v>0.1089</v>
      </c>
      <c r="O1406" s="19">
        <f t="shared" si="139"/>
        <v>0</v>
      </c>
      <c r="P1406" s="13">
        <f t="shared" si="140"/>
        <v>0</v>
      </c>
      <c r="Q1406" s="32"/>
      <c r="R1406" s="32">
        <v>1</v>
      </c>
      <c r="S1406" s="2" t="s">
        <v>643</v>
      </c>
    </row>
    <row r="1407" spans="1:19">
      <c r="A1407" s="42" t="s">
        <v>90</v>
      </c>
      <c r="B1407" s="48" t="s">
        <v>148</v>
      </c>
      <c r="C1407" s="32">
        <v>52</v>
      </c>
      <c r="D1407" s="32"/>
      <c r="E1407" s="48" t="s">
        <v>19</v>
      </c>
      <c r="F1407" s="48" t="s">
        <v>14</v>
      </c>
      <c r="G1407" s="48" t="s">
        <v>30</v>
      </c>
      <c r="H1407" s="11">
        <v>9.26</v>
      </c>
      <c r="I1407" s="8">
        <v>9</v>
      </c>
      <c r="J1407" s="7">
        <v>1</v>
      </c>
      <c r="K1407" s="10">
        <f t="shared" si="137"/>
        <v>8.3339999999999997E-2</v>
      </c>
      <c r="L1407" s="32"/>
      <c r="M1407" s="32">
        <v>1</v>
      </c>
      <c r="N1407" s="18">
        <f t="shared" si="138"/>
        <v>8.3339999999999997E-2</v>
      </c>
      <c r="O1407" s="19">
        <f t="shared" si="139"/>
        <v>0</v>
      </c>
      <c r="P1407" s="13">
        <f t="shared" si="140"/>
        <v>0</v>
      </c>
      <c r="Q1407" s="33">
        <v>7.6</v>
      </c>
      <c r="R1407" s="32">
        <v>1</v>
      </c>
      <c r="S1407" s="2" t="s">
        <v>212</v>
      </c>
    </row>
    <row r="1408" spans="1:19">
      <c r="A1408" s="42" t="s">
        <v>90</v>
      </c>
      <c r="B1408" s="48" t="s">
        <v>148</v>
      </c>
      <c r="C1408" s="32">
        <v>53</v>
      </c>
      <c r="D1408" s="32"/>
      <c r="E1408" s="48" t="s">
        <v>20</v>
      </c>
      <c r="F1408" s="48" t="s">
        <v>15</v>
      </c>
      <c r="G1408" s="48" t="s">
        <v>27</v>
      </c>
      <c r="H1408" s="11">
        <v>6.17</v>
      </c>
      <c r="I1408" s="8">
        <v>5.5</v>
      </c>
      <c r="J1408" s="7">
        <v>1</v>
      </c>
      <c r="K1408" s="10">
        <f t="shared" si="137"/>
        <v>3.3935E-2</v>
      </c>
      <c r="L1408" s="32"/>
      <c r="M1408" s="32">
        <v>1</v>
      </c>
      <c r="N1408" s="18">
        <f t="shared" si="138"/>
        <v>3.3935E-2</v>
      </c>
      <c r="O1408" s="19">
        <f t="shared" si="139"/>
        <v>0</v>
      </c>
      <c r="P1408" s="13">
        <f t="shared" si="140"/>
        <v>0</v>
      </c>
      <c r="Q1408" s="32"/>
      <c r="R1408" s="32">
        <v>1</v>
      </c>
      <c r="S1408" s="2" t="s">
        <v>700</v>
      </c>
    </row>
    <row r="1409" spans="1:21">
      <c r="A1409" s="42" t="s">
        <v>90</v>
      </c>
      <c r="B1409" s="48" t="s">
        <v>148</v>
      </c>
      <c r="C1409" s="32">
        <v>54</v>
      </c>
      <c r="D1409" s="32"/>
      <c r="E1409" s="48" t="s">
        <v>20</v>
      </c>
      <c r="F1409" s="48" t="s">
        <v>15</v>
      </c>
      <c r="G1409" s="48" t="s">
        <v>40</v>
      </c>
      <c r="H1409" s="11">
        <v>16.5</v>
      </c>
      <c r="I1409" s="52">
        <v>8</v>
      </c>
      <c r="J1409" s="7">
        <v>1</v>
      </c>
      <c r="K1409" s="10">
        <f t="shared" si="137"/>
        <v>0.13200000000000001</v>
      </c>
      <c r="L1409" s="32"/>
      <c r="M1409" s="32">
        <v>1</v>
      </c>
      <c r="N1409" s="18">
        <f t="shared" si="138"/>
        <v>0.13200000000000001</v>
      </c>
      <c r="O1409" s="19">
        <f t="shared" si="139"/>
        <v>0</v>
      </c>
      <c r="P1409" s="13">
        <f t="shared" si="140"/>
        <v>0</v>
      </c>
      <c r="Q1409" s="32"/>
      <c r="R1409" s="45">
        <v>1</v>
      </c>
      <c r="S1409" s="45" t="s">
        <v>222</v>
      </c>
    </row>
    <row r="1410" spans="1:21">
      <c r="A1410" s="42" t="s">
        <v>90</v>
      </c>
      <c r="B1410" s="48" t="s">
        <v>148</v>
      </c>
      <c r="C1410" s="32">
        <v>54</v>
      </c>
      <c r="D1410" s="32"/>
      <c r="E1410" s="48" t="s">
        <v>20</v>
      </c>
      <c r="F1410" s="48" t="s">
        <v>15</v>
      </c>
      <c r="G1410" s="48" t="s">
        <v>33</v>
      </c>
      <c r="H1410" s="11">
        <v>15.92</v>
      </c>
      <c r="I1410" s="52">
        <v>11</v>
      </c>
      <c r="J1410" s="7">
        <v>1</v>
      </c>
      <c r="K1410" s="10">
        <f t="shared" si="137"/>
        <v>0.17512</v>
      </c>
      <c r="L1410" s="32"/>
      <c r="M1410" s="32">
        <v>1</v>
      </c>
      <c r="N1410" s="18">
        <f t="shared" si="138"/>
        <v>0.17512</v>
      </c>
      <c r="O1410" s="19">
        <f t="shared" si="139"/>
        <v>0</v>
      </c>
      <c r="P1410" s="13">
        <f t="shared" si="140"/>
        <v>0</v>
      </c>
      <c r="Q1410" s="32"/>
      <c r="R1410" s="45">
        <v>1</v>
      </c>
      <c r="S1410" s="32" t="s">
        <v>371</v>
      </c>
    </row>
    <row r="1411" spans="1:21">
      <c r="A1411" s="42" t="s">
        <v>90</v>
      </c>
      <c r="B1411" s="48" t="s">
        <v>148</v>
      </c>
      <c r="C1411" s="32">
        <v>54</v>
      </c>
      <c r="D1411" s="32"/>
      <c r="E1411" s="48" t="s">
        <v>24</v>
      </c>
      <c r="F1411" s="48" t="s">
        <v>14</v>
      </c>
      <c r="G1411" s="48" t="s">
        <v>37</v>
      </c>
      <c r="H1411" s="11">
        <v>18.149999999999999</v>
      </c>
      <c r="I1411" s="8">
        <v>11.35</v>
      </c>
      <c r="J1411" s="7">
        <v>1</v>
      </c>
      <c r="K1411" s="10">
        <f t="shared" si="137"/>
        <v>0.20600249999999998</v>
      </c>
      <c r="L1411" s="32"/>
      <c r="M1411" s="32">
        <v>1</v>
      </c>
      <c r="N1411" s="18">
        <f t="shared" si="138"/>
        <v>0.20600249999999998</v>
      </c>
      <c r="O1411" s="19">
        <f t="shared" si="139"/>
        <v>0</v>
      </c>
      <c r="P1411" s="13">
        <f t="shared" si="140"/>
        <v>0</v>
      </c>
      <c r="Q1411" s="32">
        <v>8.75</v>
      </c>
      <c r="R1411" s="32">
        <v>1</v>
      </c>
      <c r="S1411" s="2" t="s">
        <v>307</v>
      </c>
    </row>
    <row r="1412" spans="1:21">
      <c r="A1412" s="42" t="s">
        <v>90</v>
      </c>
      <c r="B1412" s="48" t="s">
        <v>148</v>
      </c>
      <c r="C1412" s="32">
        <v>55</v>
      </c>
      <c r="D1412" s="32"/>
      <c r="E1412" s="48" t="s">
        <v>17</v>
      </c>
      <c r="F1412" s="48" t="s">
        <v>15</v>
      </c>
      <c r="G1412" s="48" t="s">
        <v>25</v>
      </c>
      <c r="H1412" s="11">
        <v>7.34</v>
      </c>
      <c r="I1412" s="52">
        <v>9</v>
      </c>
      <c r="J1412" s="7">
        <v>2</v>
      </c>
      <c r="K1412" s="10">
        <f t="shared" si="137"/>
        <v>0.13212000000000002</v>
      </c>
      <c r="L1412" s="32"/>
      <c r="M1412" s="32">
        <v>2</v>
      </c>
      <c r="N1412" s="18">
        <f t="shared" si="138"/>
        <v>0.13212000000000002</v>
      </c>
      <c r="O1412" s="19">
        <f t="shared" si="139"/>
        <v>0</v>
      </c>
      <c r="P1412" s="13">
        <f t="shared" si="140"/>
        <v>0</v>
      </c>
      <c r="Q1412" s="32"/>
      <c r="R1412" s="32"/>
      <c r="S1412" s="33">
        <v>8</v>
      </c>
      <c r="T1412">
        <v>2</v>
      </c>
      <c r="U1412" s="213" t="s">
        <v>268</v>
      </c>
    </row>
    <row r="1413" spans="1:21">
      <c r="A1413" s="42" t="s">
        <v>90</v>
      </c>
      <c r="B1413" s="48" t="s">
        <v>148</v>
      </c>
      <c r="C1413" s="32">
        <v>56</v>
      </c>
      <c r="D1413" s="32"/>
      <c r="E1413" s="48" t="s">
        <v>157</v>
      </c>
      <c r="F1413" s="48" t="s">
        <v>15</v>
      </c>
      <c r="G1413" s="48" t="s">
        <v>25</v>
      </c>
      <c r="H1413" s="11">
        <v>7.36</v>
      </c>
      <c r="I1413" s="8">
        <v>8.5</v>
      </c>
      <c r="J1413" s="7">
        <v>3</v>
      </c>
      <c r="K1413" s="10">
        <f t="shared" si="137"/>
        <v>0.18768000000000001</v>
      </c>
      <c r="L1413" s="32"/>
      <c r="M1413" s="32">
        <v>3</v>
      </c>
      <c r="N1413" s="18">
        <f t="shared" si="138"/>
        <v>0.18768000000000001</v>
      </c>
      <c r="O1413" s="64">
        <f t="shared" si="139"/>
        <v>0</v>
      </c>
      <c r="P1413" s="65">
        <f t="shared" si="140"/>
        <v>0</v>
      </c>
      <c r="Q1413" s="33">
        <v>7.4</v>
      </c>
      <c r="R1413" s="45">
        <v>3</v>
      </c>
      <c r="S1413" s="2" t="s">
        <v>701</v>
      </c>
      <c r="U1413" s="32" t="s">
        <v>246</v>
      </c>
    </row>
    <row r="1414" spans="1:21">
      <c r="A1414" s="42" t="s">
        <v>90</v>
      </c>
      <c r="B1414" s="48" t="s">
        <v>148</v>
      </c>
      <c r="C1414" s="32">
        <v>56</v>
      </c>
      <c r="D1414" s="32"/>
      <c r="E1414" s="48" t="s">
        <v>157</v>
      </c>
      <c r="F1414" s="48" t="s">
        <v>15</v>
      </c>
      <c r="G1414" s="48" t="s">
        <v>25</v>
      </c>
      <c r="H1414" s="11">
        <v>7.36</v>
      </c>
      <c r="I1414" s="8">
        <v>9</v>
      </c>
      <c r="J1414" s="7">
        <v>8</v>
      </c>
      <c r="K1414" s="10">
        <f t="shared" si="137"/>
        <v>0.52992000000000006</v>
      </c>
      <c r="L1414" s="32"/>
      <c r="M1414" s="32">
        <v>8</v>
      </c>
      <c r="N1414" s="18">
        <f t="shared" si="138"/>
        <v>0.52992000000000006</v>
      </c>
      <c r="O1414" s="64">
        <f t="shared" si="139"/>
        <v>0</v>
      </c>
      <c r="P1414" s="65">
        <f t="shared" si="140"/>
        <v>0</v>
      </c>
      <c r="Q1414" s="33">
        <v>7.4</v>
      </c>
      <c r="R1414" s="45">
        <v>8</v>
      </c>
      <c r="S1414" s="2" t="s">
        <v>701</v>
      </c>
      <c r="U1414" s="32" t="s">
        <v>246</v>
      </c>
    </row>
    <row r="1415" spans="1:21">
      <c r="A1415" s="42" t="s">
        <v>90</v>
      </c>
      <c r="B1415" s="48" t="s">
        <v>148</v>
      </c>
      <c r="C1415" s="32">
        <v>57</v>
      </c>
      <c r="D1415" s="32"/>
      <c r="E1415" s="48" t="s">
        <v>89</v>
      </c>
      <c r="F1415" s="48" t="s">
        <v>15</v>
      </c>
      <c r="G1415" s="48" t="s">
        <v>27</v>
      </c>
      <c r="H1415" s="11">
        <v>6.17</v>
      </c>
      <c r="I1415" s="8">
        <v>8</v>
      </c>
      <c r="J1415" s="7">
        <v>1</v>
      </c>
      <c r="K1415" s="10">
        <f t="shared" si="137"/>
        <v>4.9360000000000001E-2</v>
      </c>
      <c r="L1415" s="32"/>
      <c r="M1415" s="45">
        <v>1</v>
      </c>
      <c r="N1415" s="18">
        <f t="shared" si="138"/>
        <v>4.9360000000000001E-2</v>
      </c>
      <c r="O1415" s="19">
        <f t="shared" si="139"/>
        <v>0</v>
      </c>
      <c r="P1415" s="13">
        <f t="shared" si="140"/>
        <v>0</v>
      </c>
      <c r="Q1415" s="32"/>
      <c r="R1415" s="32"/>
      <c r="S1415" s="33">
        <v>8</v>
      </c>
      <c r="T1415">
        <v>1</v>
      </c>
      <c r="U1415" s="213" t="s">
        <v>272</v>
      </c>
    </row>
    <row r="1416" spans="1:21">
      <c r="A1416" s="42" t="s">
        <v>90</v>
      </c>
      <c r="B1416" s="48" t="s">
        <v>148</v>
      </c>
      <c r="C1416" s="32">
        <v>58</v>
      </c>
      <c r="D1416" s="32"/>
      <c r="E1416" s="48" t="s">
        <v>19</v>
      </c>
      <c r="F1416" s="48" t="s">
        <v>14</v>
      </c>
      <c r="G1416" s="48" t="s">
        <v>27</v>
      </c>
      <c r="H1416" s="11">
        <v>6.17</v>
      </c>
      <c r="I1416" s="52">
        <v>10</v>
      </c>
      <c r="J1416" s="7">
        <v>1</v>
      </c>
      <c r="K1416" s="10">
        <f t="shared" si="137"/>
        <v>6.1700000000000005E-2</v>
      </c>
      <c r="L1416" s="32"/>
      <c r="M1416" s="32">
        <v>1</v>
      </c>
      <c r="N1416" s="18">
        <f t="shared" si="138"/>
        <v>6.1700000000000005E-2</v>
      </c>
      <c r="O1416" s="19">
        <f t="shared" si="139"/>
        <v>0</v>
      </c>
      <c r="P1416" s="13">
        <f t="shared" si="140"/>
        <v>0</v>
      </c>
      <c r="Q1416" s="477">
        <v>10</v>
      </c>
      <c r="R1416" s="404">
        <v>1</v>
      </c>
      <c r="S1416" s="2" t="s">
        <v>705</v>
      </c>
    </row>
    <row r="1417" spans="1:21">
      <c r="A1417" s="42" t="s">
        <v>90</v>
      </c>
      <c r="B1417" s="48" t="s">
        <v>148</v>
      </c>
      <c r="C1417" s="32">
        <v>59</v>
      </c>
      <c r="D1417" s="32"/>
      <c r="E1417" s="48" t="s">
        <v>19</v>
      </c>
      <c r="F1417" s="48" t="s">
        <v>14</v>
      </c>
      <c r="G1417" s="48" t="s">
        <v>25</v>
      </c>
      <c r="H1417" s="11">
        <v>7.34</v>
      </c>
      <c r="I1417" s="52">
        <v>9.5</v>
      </c>
      <c r="J1417" s="7">
        <v>1</v>
      </c>
      <c r="K1417" s="10">
        <f t="shared" si="137"/>
        <v>6.973E-2</v>
      </c>
      <c r="L1417" s="32"/>
      <c r="M1417" s="32">
        <v>1</v>
      </c>
      <c r="N1417" s="18">
        <f t="shared" si="138"/>
        <v>6.973E-2</v>
      </c>
      <c r="O1417" s="19">
        <f t="shared" si="139"/>
        <v>0</v>
      </c>
      <c r="P1417" s="13">
        <f t="shared" si="140"/>
        <v>0</v>
      </c>
      <c r="Q1417" s="32"/>
      <c r="R1417" s="32"/>
      <c r="S1417" s="32"/>
    </row>
    <row r="1418" spans="1:21">
      <c r="A1418" s="42" t="s">
        <v>90</v>
      </c>
      <c r="B1418" s="48" t="s">
        <v>148</v>
      </c>
      <c r="C1418" s="32">
        <v>59</v>
      </c>
      <c r="D1418" s="32"/>
      <c r="E1418" s="48" t="s">
        <v>20</v>
      </c>
      <c r="F1418" s="48" t="s">
        <v>15</v>
      </c>
      <c r="G1418" s="48" t="s">
        <v>29</v>
      </c>
      <c r="H1418" s="11">
        <v>10.92</v>
      </c>
      <c r="I1418" s="52">
        <v>9</v>
      </c>
      <c r="J1418" s="7">
        <v>1</v>
      </c>
      <c r="K1418" s="10">
        <f t="shared" si="137"/>
        <v>9.8280000000000006E-2</v>
      </c>
      <c r="L1418" s="32"/>
      <c r="M1418" s="32">
        <v>1</v>
      </c>
      <c r="N1418" s="18">
        <f t="shared" si="138"/>
        <v>9.8280000000000006E-2</v>
      </c>
      <c r="O1418" s="19">
        <f t="shared" si="139"/>
        <v>0</v>
      </c>
      <c r="P1418" s="13">
        <f t="shared" si="140"/>
        <v>0</v>
      </c>
      <c r="Q1418" s="55">
        <v>6.55</v>
      </c>
      <c r="R1418" s="45">
        <v>1</v>
      </c>
      <c r="S1418" s="32" t="s">
        <v>374</v>
      </c>
    </row>
    <row r="1419" spans="1:21">
      <c r="A1419" s="42" t="s">
        <v>90</v>
      </c>
      <c r="B1419" s="48" t="s">
        <v>148</v>
      </c>
      <c r="C1419" s="32">
        <v>60</v>
      </c>
      <c r="D1419" s="32"/>
      <c r="E1419" s="48" t="s">
        <v>20</v>
      </c>
      <c r="F1419" s="48" t="s">
        <v>15</v>
      </c>
      <c r="G1419" s="48" t="s">
        <v>29</v>
      </c>
      <c r="H1419" s="11">
        <v>10.92</v>
      </c>
      <c r="I1419" s="52">
        <v>8.6</v>
      </c>
      <c r="J1419" s="7">
        <v>3</v>
      </c>
      <c r="K1419" s="10">
        <f t="shared" si="137"/>
        <v>0.28173599999999999</v>
      </c>
      <c r="L1419" s="32"/>
      <c r="M1419" s="32">
        <v>3</v>
      </c>
      <c r="N1419" s="18">
        <f t="shared" si="138"/>
        <v>0.28173599999999999</v>
      </c>
      <c r="O1419" s="19">
        <f t="shared" si="139"/>
        <v>0</v>
      </c>
      <c r="P1419" s="13">
        <f t="shared" si="140"/>
        <v>0</v>
      </c>
      <c r="Q1419" s="55">
        <v>6.55</v>
      </c>
      <c r="R1419" s="45">
        <v>3</v>
      </c>
      <c r="S1419" s="32" t="s">
        <v>374</v>
      </c>
    </row>
    <row r="1420" spans="1:21">
      <c r="A1420" s="42" t="s">
        <v>90</v>
      </c>
      <c r="B1420" s="48" t="s">
        <v>148</v>
      </c>
      <c r="C1420" s="32">
        <v>61</v>
      </c>
      <c r="D1420" s="32"/>
      <c r="E1420" s="48" t="s">
        <v>19</v>
      </c>
      <c r="F1420" s="48" t="s">
        <v>14</v>
      </c>
      <c r="G1420" s="48" t="s">
        <v>22</v>
      </c>
      <c r="H1420" s="11">
        <v>10.73</v>
      </c>
      <c r="I1420" s="8">
        <v>7.2</v>
      </c>
      <c r="J1420" s="7">
        <v>1</v>
      </c>
      <c r="K1420" s="10">
        <f t="shared" si="137"/>
        <v>7.7256000000000005E-2</v>
      </c>
      <c r="L1420" s="32"/>
      <c r="M1420" s="32">
        <v>1</v>
      </c>
      <c r="N1420" s="18">
        <f t="shared" si="138"/>
        <v>7.7256000000000005E-2</v>
      </c>
      <c r="O1420" s="19">
        <f t="shared" si="139"/>
        <v>0</v>
      </c>
      <c r="P1420" s="13">
        <f t="shared" si="140"/>
        <v>0</v>
      </c>
      <c r="Q1420" s="32">
        <v>6.5</v>
      </c>
      <c r="R1420" s="45">
        <v>1</v>
      </c>
      <c r="S1420" s="32" t="s">
        <v>279</v>
      </c>
    </row>
    <row r="1421" spans="1:21">
      <c r="A1421" s="42" t="s">
        <v>90</v>
      </c>
      <c r="B1421" s="48" t="s">
        <v>148</v>
      </c>
      <c r="C1421" s="32">
        <v>61</v>
      </c>
      <c r="D1421" s="32"/>
      <c r="E1421" s="48" t="s">
        <v>19</v>
      </c>
      <c r="F1421" s="48" t="s">
        <v>14</v>
      </c>
      <c r="G1421" s="48" t="s">
        <v>22</v>
      </c>
      <c r="H1421" s="11">
        <v>10.73</v>
      </c>
      <c r="I1421" s="8">
        <v>7.8</v>
      </c>
      <c r="J1421" s="7">
        <v>2</v>
      </c>
      <c r="K1421" s="10">
        <f t="shared" si="137"/>
        <v>0.16738800000000001</v>
      </c>
      <c r="L1421" s="32"/>
      <c r="M1421" s="32">
        <v>2</v>
      </c>
      <c r="N1421" s="18">
        <f t="shared" si="138"/>
        <v>0.16738800000000001</v>
      </c>
      <c r="O1421" s="19">
        <f t="shared" si="139"/>
        <v>0</v>
      </c>
      <c r="P1421" s="13">
        <f t="shared" si="140"/>
        <v>0</v>
      </c>
      <c r="Q1421" s="32">
        <v>6.5</v>
      </c>
      <c r="R1421" s="45">
        <v>2</v>
      </c>
      <c r="S1421" s="32" t="s">
        <v>279</v>
      </c>
    </row>
    <row r="1422" spans="1:21">
      <c r="A1422" s="42" t="s">
        <v>90</v>
      </c>
      <c r="B1422" s="48" t="s">
        <v>148</v>
      </c>
      <c r="C1422" s="32">
        <v>62</v>
      </c>
      <c r="D1422" s="32"/>
      <c r="E1422" s="48" t="s">
        <v>20</v>
      </c>
      <c r="F1422" s="48" t="s">
        <v>15</v>
      </c>
      <c r="G1422" s="48" t="s">
        <v>22</v>
      </c>
      <c r="H1422" s="11">
        <v>10.73</v>
      </c>
      <c r="I1422" s="52">
        <v>10.7</v>
      </c>
      <c r="J1422" s="7">
        <v>1</v>
      </c>
      <c r="K1422" s="10">
        <f t="shared" si="137"/>
        <v>0.114811</v>
      </c>
      <c r="L1422" s="32"/>
      <c r="M1422" s="32">
        <v>1</v>
      </c>
      <c r="N1422" s="18">
        <f t="shared" si="138"/>
        <v>0.114811</v>
      </c>
      <c r="O1422" s="19">
        <f t="shared" si="139"/>
        <v>0</v>
      </c>
      <c r="P1422" s="13">
        <f t="shared" si="140"/>
        <v>0</v>
      </c>
      <c r="Q1422" s="32">
        <v>10.4</v>
      </c>
      <c r="R1422" s="45">
        <v>1</v>
      </c>
      <c r="S1422" s="32" t="s">
        <v>279</v>
      </c>
    </row>
    <row r="1423" spans="1:21">
      <c r="A1423" s="42" t="s">
        <v>90</v>
      </c>
      <c r="B1423" s="48" t="s">
        <v>148</v>
      </c>
      <c r="C1423" s="32">
        <v>62</v>
      </c>
      <c r="D1423" s="32"/>
      <c r="E1423" s="48" t="s">
        <v>20</v>
      </c>
      <c r="F1423" s="48" t="s">
        <v>15</v>
      </c>
      <c r="G1423" s="48" t="s">
        <v>22</v>
      </c>
      <c r="H1423" s="11">
        <v>10.73</v>
      </c>
      <c r="I1423" s="52">
        <v>11.2</v>
      </c>
      <c r="J1423" s="7">
        <v>1</v>
      </c>
      <c r="K1423" s="10">
        <f t="shared" si="137"/>
        <v>0.12017600000000001</v>
      </c>
      <c r="L1423" s="32"/>
      <c r="M1423" s="32">
        <v>1</v>
      </c>
      <c r="N1423" s="18">
        <f t="shared" si="138"/>
        <v>0.12017600000000001</v>
      </c>
      <c r="O1423" s="19">
        <f t="shared" si="139"/>
        <v>0</v>
      </c>
      <c r="P1423" s="13">
        <f t="shared" si="140"/>
        <v>0</v>
      </c>
      <c r="Q1423" s="32">
        <v>10.4</v>
      </c>
      <c r="R1423" s="45">
        <v>1</v>
      </c>
      <c r="S1423" s="32" t="s">
        <v>279</v>
      </c>
    </row>
    <row r="1424" spans="1:21">
      <c r="A1424" s="42" t="s">
        <v>90</v>
      </c>
      <c r="B1424" s="48" t="s">
        <v>148</v>
      </c>
      <c r="C1424" s="32">
        <v>63</v>
      </c>
      <c r="D1424" s="32"/>
      <c r="E1424" s="48" t="s">
        <v>89</v>
      </c>
      <c r="F1424" s="48" t="s">
        <v>15</v>
      </c>
      <c r="G1424" s="48" t="s">
        <v>29</v>
      </c>
      <c r="H1424" s="11">
        <v>10.92</v>
      </c>
      <c r="I1424" s="52">
        <v>11.4</v>
      </c>
      <c r="J1424" s="7">
        <v>1</v>
      </c>
      <c r="K1424" s="10">
        <f t="shared" si="137"/>
        <v>0.124488</v>
      </c>
      <c r="L1424" s="32"/>
      <c r="M1424" s="32">
        <v>1</v>
      </c>
      <c r="N1424" s="18">
        <f t="shared" si="138"/>
        <v>0.124488</v>
      </c>
      <c r="O1424" s="19">
        <f t="shared" si="139"/>
        <v>0</v>
      </c>
      <c r="P1424" s="13">
        <f t="shared" si="140"/>
        <v>0</v>
      </c>
      <c r="Q1424" s="32"/>
      <c r="R1424" s="32"/>
      <c r="S1424" s="32"/>
    </row>
    <row r="1425" spans="1:19">
      <c r="A1425" s="42" t="s">
        <v>90</v>
      </c>
      <c r="B1425" s="48" t="s">
        <v>148</v>
      </c>
      <c r="C1425" s="32">
        <v>63</v>
      </c>
      <c r="D1425" s="32"/>
      <c r="E1425" s="48" t="s">
        <v>89</v>
      </c>
      <c r="F1425" s="48" t="s">
        <v>15</v>
      </c>
      <c r="G1425" s="48" t="s">
        <v>29</v>
      </c>
      <c r="H1425" s="11">
        <v>10.92</v>
      </c>
      <c r="I1425" s="52">
        <v>10.199999999999999</v>
      </c>
      <c r="J1425" s="7">
        <v>1</v>
      </c>
      <c r="K1425" s="10">
        <f t="shared" ref="K1425:K1488" si="141">(H1425*I1425*J1425/1000)</f>
        <v>0.11138399999999998</v>
      </c>
      <c r="L1425" s="32"/>
      <c r="M1425" s="32">
        <v>1</v>
      </c>
      <c r="N1425" s="18">
        <f t="shared" ref="N1425:N1488" si="142">I1425*M1425*H1425/1000</f>
        <v>0.11138399999999998</v>
      </c>
      <c r="O1425" s="19">
        <f t="shared" ref="O1425:O1488" si="143">J1425-M1425</f>
        <v>0</v>
      </c>
      <c r="P1425" s="13">
        <f t="shared" ref="P1425:P1488" si="144">I1425*O1425*H1425/1000</f>
        <v>0</v>
      </c>
      <c r="Q1425" s="55">
        <v>10</v>
      </c>
      <c r="R1425" s="45">
        <v>1</v>
      </c>
      <c r="S1425" s="32" t="s">
        <v>371</v>
      </c>
    </row>
    <row r="1426" spans="1:19">
      <c r="A1426" s="42" t="s">
        <v>90</v>
      </c>
      <c r="B1426" s="48" t="s">
        <v>148</v>
      </c>
      <c r="C1426" s="32">
        <v>63</v>
      </c>
      <c r="D1426" s="32"/>
      <c r="E1426" s="48" t="s">
        <v>89</v>
      </c>
      <c r="F1426" s="48" t="s">
        <v>15</v>
      </c>
      <c r="G1426" s="48" t="s">
        <v>29</v>
      </c>
      <c r="H1426" s="11">
        <v>10.92</v>
      </c>
      <c r="I1426" s="8">
        <v>9.1999999999999993</v>
      </c>
      <c r="J1426" s="7">
        <v>1</v>
      </c>
      <c r="K1426" s="10">
        <f t="shared" si="141"/>
        <v>0.100464</v>
      </c>
      <c r="L1426" s="32"/>
      <c r="M1426" s="32">
        <v>1</v>
      </c>
      <c r="N1426" s="18">
        <f t="shared" si="142"/>
        <v>0.100464</v>
      </c>
      <c r="O1426" s="19">
        <f t="shared" si="143"/>
        <v>0</v>
      </c>
      <c r="P1426" s="13">
        <f t="shared" si="144"/>
        <v>0</v>
      </c>
      <c r="Q1426" s="32"/>
      <c r="R1426" s="32"/>
      <c r="S1426" s="32"/>
    </row>
    <row r="1427" spans="1:19">
      <c r="A1427" s="42" t="s">
        <v>90</v>
      </c>
      <c r="B1427" s="48" t="s">
        <v>148</v>
      </c>
      <c r="C1427" s="32">
        <v>63</v>
      </c>
      <c r="D1427" s="32"/>
      <c r="E1427" s="48" t="s">
        <v>89</v>
      </c>
      <c r="F1427" s="48" t="s">
        <v>15</v>
      </c>
      <c r="G1427" s="48" t="s">
        <v>29</v>
      </c>
      <c r="H1427" s="11">
        <v>10.92</v>
      </c>
      <c r="I1427" s="52">
        <v>8.8000000000000007</v>
      </c>
      <c r="J1427" s="7">
        <v>1</v>
      </c>
      <c r="K1427" s="10">
        <f t="shared" si="141"/>
        <v>9.6096000000000001E-2</v>
      </c>
      <c r="L1427" s="32"/>
      <c r="M1427" s="32">
        <v>1</v>
      </c>
      <c r="N1427" s="18">
        <f t="shared" si="142"/>
        <v>9.6096000000000001E-2</v>
      </c>
      <c r="O1427" s="19">
        <f t="shared" si="143"/>
        <v>0</v>
      </c>
      <c r="P1427" s="13">
        <f t="shared" si="144"/>
        <v>0</v>
      </c>
      <c r="Q1427" s="55">
        <v>7.5</v>
      </c>
      <c r="R1427" s="32">
        <v>1</v>
      </c>
      <c r="S1427" s="32" t="s">
        <v>540</v>
      </c>
    </row>
    <row r="1428" spans="1:19">
      <c r="A1428" s="42" t="s">
        <v>90</v>
      </c>
      <c r="B1428" s="48" t="s">
        <v>148</v>
      </c>
      <c r="C1428" s="32">
        <v>64</v>
      </c>
      <c r="D1428" s="32" t="s">
        <v>142</v>
      </c>
      <c r="E1428" s="48" t="s">
        <v>20</v>
      </c>
      <c r="F1428" s="48" t="s">
        <v>15</v>
      </c>
      <c r="G1428" s="48" t="s">
        <v>25</v>
      </c>
      <c r="H1428" s="11">
        <v>7.34</v>
      </c>
      <c r="I1428" s="52">
        <v>9.8000000000000007</v>
      </c>
      <c r="J1428" s="375">
        <v>2</v>
      </c>
      <c r="K1428" s="10">
        <f t="shared" si="141"/>
        <v>0.14386399999999999</v>
      </c>
      <c r="L1428" s="32"/>
      <c r="M1428" s="32">
        <v>2</v>
      </c>
      <c r="N1428" s="18">
        <f t="shared" si="142"/>
        <v>0.14386399999999999</v>
      </c>
      <c r="O1428" s="19">
        <f t="shared" si="143"/>
        <v>0</v>
      </c>
      <c r="P1428" s="13">
        <f t="shared" si="144"/>
        <v>0</v>
      </c>
      <c r="Q1428" s="33"/>
      <c r="R1428" s="45">
        <v>2</v>
      </c>
      <c r="S1428" s="2" t="s">
        <v>788</v>
      </c>
    </row>
    <row r="1429" spans="1:19">
      <c r="A1429" s="42" t="s">
        <v>90</v>
      </c>
      <c r="B1429" s="48" t="s">
        <v>148</v>
      </c>
      <c r="C1429" s="32">
        <v>64</v>
      </c>
      <c r="D1429" s="32" t="s">
        <v>142</v>
      </c>
      <c r="E1429" s="48" t="s">
        <v>20</v>
      </c>
      <c r="F1429" s="48" t="s">
        <v>15</v>
      </c>
      <c r="G1429" s="48" t="s">
        <v>25</v>
      </c>
      <c r="H1429" s="11">
        <v>7.34</v>
      </c>
      <c r="I1429" s="8">
        <v>9.5</v>
      </c>
      <c r="J1429" s="375">
        <v>3</v>
      </c>
      <c r="K1429" s="10">
        <f t="shared" si="141"/>
        <v>0.20918999999999999</v>
      </c>
      <c r="L1429" s="32"/>
      <c r="M1429" s="32">
        <v>3</v>
      </c>
      <c r="N1429" s="18">
        <f t="shared" si="142"/>
        <v>0.20918999999999999</v>
      </c>
      <c r="O1429" s="19">
        <f t="shared" si="143"/>
        <v>0</v>
      </c>
      <c r="P1429" s="13">
        <f t="shared" si="144"/>
        <v>0</v>
      </c>
      <c r="Q1429" s="33"/>
      <c r="R1429" s="45">
        <v>3</v>
      </c>
      <c r="S1429" s="2" t="s">
        <v>788</v>
      </c>
    </row>
    <row r="1430" spans="1:19">
      <c r="A1430" s="42" t="s">
        <v>90</v>
      </c>
      <c r="B1430" s="48" t="s">
        <v>148</v>
      </c>
      <c r="C1430" s="32">
        <v>64</v>
      </c>
      <c r="D1430" s="32" t="s">
        <v>142</v>
      </c>
      <c r="E1430" s="48" t="s">
        <v>20</v>
      </c>
      <c r="F1430" s="48" t="s">
        <v>15</v>
      </c>
      <c r="G1430" s="48" t="s">
        <v>25</v>
      </c>
      <c r="H1430" s="11">
        <v>7.34</v>
      </c>
      <c r="I1430" s="52">
        <v>10.8</v>
      </c>
      <c r="J1430" s="375">
        <v>1</v>
      </c>
      <c r="K1430" s="10">
        <f t="shared" si="141"/>
        <v>7.9272000000000009E-2</v>
      </c>
      <c r="L1430" s="32"/>
      <c r="M1430" s="32">
        <v>1</v>
      </c>
      <c r="N1430" s="18">
        <f t="shared" si="142"/>
        <v>7.9272000000000009E-2</v>
      </c>
      <c r="O1430" s="19">
        <f t="shared" si="143"/>
        <v>0</v>
      </c>
      <c r="P1430" s="13">
        <f t="shared" si="144"/>
        <v>0</v>
      </c>
      <c r="Q1430" s="33"/>
      <c r="R1430" s="45">
        <v>1</v>
      </c>
      <c r="S1430" s="2" t="s">
        <v>788</v>
      </c>
    </row>
    <row r="1431" spans="1:19">
      <c r="A1431" s="42" t="s">
        <v>90</v>
      </c>
      <c r="B1431" s="48" t="s">
        <v>148</v>
      </c>
      <c r="C1431" s="32">
        <v>64</v>
      </c>
      <c r="D1431" s="32" t="s">
        <v>142</v>
      </c>
      <c r="E1431" s="48" t="s">
        <v>20</v>
      </c>
      <c r="F1431" s="48" t="s">
        <v>15</v>
      </c>
      <c r="G1431" s="48" t="s">
        <v>25</v>
      </c>
      <c r="H1431" s="11">
        <v>7.34</v>
      </c>
      <c r="I1431" s="52">
        <v>9.1999999999999993</v>
      </c>
      <c r="J1431" s="375">
        <v>1</v>
      </c>
      <c r="K1431" s="10">
        <f t="shared" si="141"/>
        <v>6.7527999999999991E-2</v>
      </c>
      <c r="L1431" s="32"/>
      <c r="M1431" s="32">
        <v>1</v>
      </c>
      <c r="N1431" s="18">
        <f t="shared" si="142"/>
        <v>6.7527999999999991E-2</v>
      </c>
      <c r="O1431" s="19">
        <f t="shared" si="143"/>
        <v>0</v>
      </c>
      <c r="P1431" s="13">
        <f t="shared" si="144"/>
        <v>0</v>
      </c>
      <c r="Q1431" s="33"/>
      <c r="R1431" s="45">
        <v>1</v>
      </c>
      <c r="S1431" s="2" t="s">
        <v>788</v>
      </c>
    </row>
    <row r="1432" spans="1:19">
      <c r="A1432" s="42" t="s">
        <v>90</v>
      </c>
      <c r="B1432" s="48" t="s">
        <v>148</v>
      </c>
      <c r="C1432" s="32">
        <v>65</v>
      </c>
      <c r="D1432" s="32" t="s">
        <v>142</v>
      </c>
      <c r="E1432" s="20" t="s">
        <v>75</v>
      </c>
      <c r="F1432" s="48" t="s">
        <v>15</v>
      </c>
      <c r="G1432" s="48" t="s">
        <v>32</v>
      </c>
      <c r="H1432" s="11">
        <v>8.3000000000000007</v>
      </c>
      <c r="I1432" s="52">
        <v>11.5</v>
      </c>
      <c r="J1432" s="7">
        <v>3</v>
      </c>
      <c r="K1432" s="10">
        <f t="shared" si="141"/>
        <v>0.28635000000000005</v>
      </c>
      <c r="L1432" s="32"/>
      <c r="M1432" s="32"/>
      <c r="N1432" s="18">
        <f t="shared" si="142"/>
        <v>0</v>
      </c>
      <c r="O1432" s="19">
        <f t="shared" si="143"/>
        <v>3</v>
      </c>
      <c r="P1432" s="13">
        <f t="shared" si="144"/>
        <v>0.28635000000000005</v>
      </c>
      <c r="Q1432" s="32"/>
      <c r="R1432" s="32"/>
      <c r="S1432" s="32"/>
    </row>
    <row r="1433" spans="1:19">
      <c r="A1433" s="42" t="s">
        <v>90</v>
      </c>
      <c r="B1433" s="48" t="s">
        <v>148</v>
      </c>
      <c r="C1433" s="32">
        <v>65</v>
      </c>
      <c r="D1433" s="32" t="s">
        <v>142</v>
      </c>
      <c r="E1433" s="20" t="s">
        <v>75</v>
      </c>
      <c r="F1433" s="48" t="s">
        <v>15</v>
      </c>
      <c r="G1433" s="48" t="s">
        <v>32</v>
      </c>
      <c r="H1433" s="11">
        <v>8.3000000000000007</v>
      </c>
      <c r="I1433" s="52">
        <v>10.5</v>
      </c>
      <c r="J1433" s="7">
        <v>4</v>
      </c>
      <c r="K1433" s="10">
        <f t="shared" si="141"/>
        <v>0.34860000000000002</v>
      </c>
      <c r="L1433" s="32"/>
      <c r="M1433" s="32"/>
      <c r="N1433" s="18">
        <f t="shared" si="142"/>
        <v>0</v>
      </c>
      <c r="O1433" s="19">
        <f t="shared" si="143"/>
        <v>4</v>
      </c>
      <c r="P1433" s="13">
        <f t="shared" si="144"/>
        <v>0.34860000000000002</v>
      </c>
      <c r="Q1433" s="32"/>
      <c r="R1433" s="32"/>
      <c r="S1433" s="32"/>
    </row>
    <row r="1434" spans="1:19">
      <c r="A1434" s="42" t="s">
        <v>90</v>
      </c>
      <c r="B1434" s="48" t="s">
        <v>148</v>
      </c>
      <c r="C1434" s="32">
        <v>65</v>
      </c>
      <c r="D1434" s="32" t="s">
        <v>142</v>
      </c>
      <c r="E1434" s="20" t="s">
        <v>75</v>
      </c>
      <c r="F1434" s="48" t="s">
        <v>15</v>
      </c>
      <c r="G1434" s="48" t="s">
        <v>32</v>
      </c>
      <c r="H1434" s="11">
        <v>8.3000000000000007</v>
      </c>
      <c r="I1434" s="52">
        <v>8.75</v>
      </c>
      <c r="J1434" s="7">
        <v>3</v>
      </c>
      <c r="K1434" s="10">
        <f t="shared" si="141"/>
        <v>0.21787500000000001</v>
      </c>
      <c r="L1434" s="32"/>
      <c r="M1434" s="32"/>
      <c r="N1434" s="18">
        <f t="shared" si="142"/>
        <v>0</v>
      </c>
      <c r="O1434" s="19">
        <f t="shared" si="143"/>
        <v>3</v>
      </c>
      <c r="P1434" s="13">
        <f t="shared" si="144"/>
        <v>0.21787500000000004</v>
      </c>
      <c r="Q1434" s="33"/>
      <c r="R1434" s="32"/>
      <c r="S1434" s="32"/>
    </row>
    <row r="1435" spans="1:19">
      <c r="A1435" s="42" t="s">
        <v>90</v>
      </c>
      <c r="B1435" s="48" t="s">
        <v>148</v>
      </c>
      <c r="C1435" s="32">
        <v>66</v>
      </c>
      <c r="D1435" s="32"/>
      <c r="E1435" s="69" t="s">
        <v>20</v>
      </c>
      <c r="F1435" s="69" t="s">
        <v>15</v>
      </c>
      <c r="G1435" s="69" t="s">
        <v>34</v>
      </c>
      <c r="H1435" s="61">
        <v>9.61</v>
      </c>
      <c r="I1435" s="70">
        <v>11.5</v>
      </c>
      <c r="J1435" s="60">
        <v>1</v>
      </c>
      <c r="K1435" s="62">
        <f t="shared" si="141"/>
        <v>0.11051499999999999</v>
      </c>
      <c r="L1435" s="256" t="s">
        <v>158</v>
      </c>
      <c r="M1435" s="67"/>
      <c r="N1435" s="63">
        <f t="shared" si="142"/>
        <v>0</v>
      </c>
      <c r="O1435" s="64">
        <f t="shared" si="143"/>
        <v>1</v>
      </c>
      <c r="P1435" s="65">
        <f t="shared" si="144"/>
        <v>0.11051499999999999</v>
      </c>
      <c r="Q1435" s="67"/>
      <c r="R1435" s="32"/>
      <c r="S1435" s="32"/>
    </row>
    <row r="1436" spans="1:19">
      <c r="A1436" s="42" t="s">
        <v>90</v>
      </c>
      <c r="B1436" s="48" t="s">
        <v>148</v>
      </c>
      <c r="C1436" s="32">
        <v>67</v>
      </c>
      <c r="D1436" s="32"/>
      <c r="E1436" s="48" t="s">
        <v>106</v>
      </c>
      <c r="F1436" s="48" t="s">
        <v>15</v>
      </c>
      <c r="G1436" s="48" t="s">
        <v>34</v>
      </c>
      <c r="H1436" s="11">
        <v>9.61</v>
      </c>
      <c r="I1436" s="52">
        <v>12</v>
      </c>
      <c r="J1436" s="7">
        <v>3</v>
      </c>
      <c r="K1436" s="10">
        <f t="shared" si="141"/>
        <v>0.34595999999999999</v>
      </c>
      <c r="L1436" s="32"/>
      <c r="M1436" s="32">
        <v>3</v>
      </c>
      <c r="N1436" s="18">
        <f t="shared" si="142"/>
        <v>0.34595999999999999</v>
      </c>
      <c r="O1436" s="19">
        <f t="shared" si="143"/>
        <v>0</v>
      </c>
      <c r="P1436" s="13">
        <f t="shared" si="144"/>
        <v>0</v>
      </c>
      <c r="Q1436" s="32"/>
      <c r="R1436" s="32">
        <v>3</v>
      </c>
      <c r="S1436" s="32" t="s">
        <v>456</v>
      </c>
    </row>
    <row r="1437" spans="1:19">
      <c r="A1437" s="42" t="s">
        <v>90</v>
      </c>
      <c r="B1437" s="48" t="s">
        <v>148</v>
      </c>
      <c r="C1437" s="32">
        <v>68</v>
      </c>
      <c r="D1437" s="32"/>
      <c r="E1437" s="48" t="s">
        <v>20</v>
      </c>
      <c r="F1437" s="48" t="s">
        <v>15</v>
      </c>
      <c r="G1437" s="48" t="s">
        <v>29</v>
      </c>
      <c r="H1437" s="11">
        <v>10.92</v>
      </c>
      <c r="I1437" s="52">
        <v>11</v>
      </c>
      <c r="J1437" s="7">
        <v>1</v>
      </c>
      <c r="K1437" s="10">
        <f t="shared" si="141"/>
        <v>0.12012</v>
      </c>
      <c r="L1437" s="32"/>
      <c r="M1437" s="32">
        <v>1</v>
      </c>
      <c r="N1437" s="18">
        <f t="shared" si="142"/>
        <v>0.12012</v>
      </c>
      <c r="O1437" s="19">
        <f t="shared" si="143"/>
        <v>0</v>
      </c>
      <c r="P1437" s="13">
        <f t="shared" si="144"/>
        <v>0</v>
      </c>
      <c r="Q1437" s="55">
        <v>7.5</v>
      </c>
      <c r="R1437" s="32">
        <v>1</v>
      </c>
      <c r="S1437" s="32" t="s">
        <v>540</v>
      </c>
    </row>
    <row r="1438" spans="1:19">
      <c r="A1438" s="42" t="s">
        <v>90</v>
      </c>
      <c r="B1438" s="48" t="s">
        <v>148</v>
      </c>
      <c r="C1438" s="32">
        <v>69</v>
      </c>
      <c r="D1438" s="32"/>
      <c r="E1438" s="48" t="s">
        <v>20</v>
      </c>
      <c r="F1438" s="48" t="s">
        <v>15</v>
      </c>
      <c r="G1438" s="48" t="s">
        <v>32</v>
      </c>
      <c r="H1438" s="11">
        <v>8.3000000000000007</v>
      </c>
      <c r="I1438" s="52">
        <v>5</v>
      </c>
      <c r="J1438" s="7">
        <v>1</v>
      </c>
      <c r="K1438" s="10">
        <f t="shared" si="141"/>
        <v>4.1500000000000002E-2</v>
      </c>
      <c r="L1438" s="32"/>
      <c r="M1438" s="32"/>
      <c r="N1438" s="18">
        <f t="shared" si="142"/>
        <v>0</v>
      </c>
      <c r="O1438" s="19">
        <f t="shared" si="143"/>
        <v>1</v>
      </c>
      <c r="P1438" s="13">
        <f t="shared" si="144"/>
        <v>4.1500000000000002E-2</v>
      </c>
      <c r="Q1438" s="33"/>
      <c r="R1438" s="32"/>
      <c r="S1438" s="32"/>
    </row>
    <row r="1439" spans="1:19">
      <c r="A1439" s="42" t="s">
        <v>90</v>
      </c>
      <c r="B1439" s="48" t="s">
        <v>148</v>
      </c>
      <c r="C1439" s="32">
        <v>70</v>
      </c>
      <c r="D1439" s="32"/>
      <c r="E1439" s="48" t="s">
        <v>20</v>
      </c>
      <c r="F1439" s="48" t="s">
        <v>15</v>
      </c>
      <c r="G1439" s="48" t="s">
        <v>30</v>
      </c>
      <c r="H1439" s="11">
        <v>9.26</v>
      </c>
      <c r="I1439" s="184">
        <v>5.7</v>
      </c>
      <c r="J1439" s="362">
        <v>1</v>
      </c>
      <c r="K1439" s="10">
        <f t="shared" si="141"/>
        <v>5.2782000000000003E-2</v>
      </c>
      <c r="L1439" s="32"/>
      <c r="M1439" s="32"/>
      <c r="N1439" s="18">
        <f t="shared" si="142"/>
        <v>0</v>
      </c>
      <c r="O1439" s="19">
        <f t="shared" si="143"/>
        <v>1</v>
      </c>
      <c r="P1439" s="13">
        <f t="shared" si="144"/>
        <v>5.2782000000000003E-2</v>
      </c>
      <c r="Q1439" s="159"/>
      <c r="R1439" s="32"/>
      <c r="S1439" s="32"/>
    </row>
    <row r="1440" spans="1:19">
      <c r="A1440" s="42" t="s">
        <v>90</v>
      </c>
      <c r="B1440" s="48" t="s">
        <v>148</v>
      </c>
      <c r="C1440" s="32">
        <v>70</v>
      </c>
      <c r="D1440" s="32"/>
      <c r="E1440" s="48" t="s">
        <v>20</v>
      </c>
      <c r="F1440" s="48" t="s">
        <v>15</v>
      </c>
      <c r="G1440" s="48" t="s">
        <v>30</v>
      </c>
      <c r="H1440" s="11">
        <v>9.26</v>
      </c>
      <c r="I1440" s="184">
        <v>7.1</v>
      </c>
      <c r="J1440" s="362">
        <v>1</v>
      </c>
      <c r="K1440" s="10">
        <f t="shared" si="141"/>
        <v>6.5745999999999999E-2</v>
      </c>
      <c r="L1440" s="32"/>
      <c r="M1440" s="32">
        <v>1</v>
      </c>
      <c r="N1440" s="18">
        <f t="shared" si="142"/>
        <v>6.5745999999999999E-2</v>
      </c>
      <c r="O1440" s="19">
        <f t="shared" si="143"/>
        <v>0</v>
      </c>
      <c r="P1440" s="13">
        <f t="shared" si="144"/>
        <v>0</v>
      </c>
      <c r="Q1440" s="159">
        <v>6.4</v>
      </c>
      <c r="R1440" s="45">
        <v>1</v>
      </c>
      <c r="S1440" s="2" t="s">
        <v>739</v>
      </c>
    </row>
    <row r="1441" spans="1:19">
      <c r="A1441" s="42" t="s">
        <v>90</v>
      </c>
      <c r="B1441" s="48" t="s">
        <v>148</v>
      </c>
      <c r="C1441" s="32">
        <v>70</v>
      </c>
      <c r="D1441" s="32"/>
      <c r="E1441" s="48" t="s">
        <v>20</v>
      </c>
      <c r="F1441" s="48" t="s">
        <v>15</v>
      </c>
      <c r="G1441" s="48" t="s">
        <v>30</v>
      </c>
      <c r="H1441" s="11">
        <v>9.26</v>
      </c>
      <c r="I1441" s="184">
        <v>6.3</v>
      </c>
      <c r="J1441" s="7">
        <v>1</v>
      </c>
      <c r="K1441" s="10">
        <f t="shared" si="141"/>
        <v>5.8337999999999994E-2</v>
      </c>
      <c r="L1441" s="32"/>
      <c r="M1441" s="32">
        <v>1</v>
      </c>
      <c r="N1441" s="18">
        <f t="shared" si="142"/>
        <v>5.8337999999999994E-2</v>
      </c>
      <c r="O1441" s="19">
        <f t="shared" si="143"/>
        <v>0</v>
      </c>
      <c r="P1441" s="13">
        <f t="shared" si="144"/>
        <v>0</v>
      </c>
      <c r="Q1441" s="159">
        <v>6.4</v>
      </c>
      <c r="R1441" s="45">
        <v>1</v>
      </c>
      <c r="S1441" s="2" t="s">
        <v>739</v>
      </c>
    </row>
    <row r="1442" spans="1:19">
      <c r="A1442" s="42" t="s">
        <v>90</v>
      </c>
      <c r="B1442" s="48" t="s">
        <v>148</v>
      </c>
      <c r="C1442" s="32">
        <v>70</v>
      </c>
      <c r="D1442" s="32"/>
      <c r="E1442" s="48" t="s">
        <v>20</v>
      </c>
      <c r="F1442" s="48" t="s">
        <v>15</v>
      </c>
      <c r="G1442" s="48" t="s">
        <v>30</v>
      </c>
      <c r="H1442" s="11">
        <v>9.26</v>
      </c>
      <c r="I1442" s="184">
        <v>9.1999999999999993</v>
      </c>
      <c r="J1442" s="362">
        <v>1</v>
      </c>
      <c r="K1442" s="10">
        <f t="shared" si="141"/>
        <v>8.519199999999999E-2</v>
      </c>
      <c r="L1442" s="32"/>
      <c r="M1442" s="32">
        <v>1</v>
      </c>
      <c r="N1442" s="18">
        <f t="shared" si="142"/>
        <v>8.519199999999999E-2</v>
      </c>
      <c r="O1442" s="19">
        <f t="shared" si="143"/>
        <v>0</v>
      </c>
      <c r="P1442" s="13">
        <f t="shared" si="144"/>
        <v>0</v>
      </c>
      <c r="Q1442" s="159">
        <v>6.4</v>
      </c>
      <c r="R1442" s="45">
        <v>1</v>
      </c>
      <c r="S1442" s="2" t="s">
        <v>739</v>
      </c>
    </row>
    <row r="1443" spans="1:19">
      <c r="A1443" s="42" t="s">
        <v>90</v>
      </c>
      <c r="B1443" s="48" t="s">
        <v>148</v>
      </c>
      <c r="C1443" s="32">
        <v>70</v>
      </c>
      <c r="D1443" s="32"/>
      <c r="E1443" s="48" t="s">
        <v>20</v>
      </c>
      <c r="F1443" s="48" t="s">
        <v>15</v>
      </c>
      <c r="G1443" s="48" t="s">
        <v>30</v>
      </c>
      <c r="H1443" s="11">
        <v>9.26</v>
      </c>
      <c r="I1443" s="184">
        <v>9.3000000000000007</v>
      </c>
      <c r="J1443" s="7">
        <v>1</v>
      </c>
      <c r="K1443" s="10">
        <f t="shared" si="141"/>
        <v>8.6118000000000014E-2</v>
      </c>
      <c r="L1443" s="32"/>
      <c r="M1443" s="32">
        <v>1</v>
      </c>
      <c r="N1443" s="18">
        <f t="shared" si="142"/>
        <v>8.6118000000000014E-2</v>
      </c>
      <c r="O1443" s="19">
        <f t="shared" si="143"/>
        <v>0</v>
      </c>
      <c r="P1443" s="13">
        <f t="shared" si="144"/>
        <v>0</v>
      </c>
      <c r="Q1443" s="159">
        <v>6.4</v>
      </c>
      <c r="R1443" s="45">
        <v>1</v>
      </c>
      <c r="S1443" s="2" t="s">
        <v>739</v>
      </c>
    </row>
    <row r="1444" spans="1:19">
      <c r="A1444" s="42" t="s">
        <v>90</v>
      </c>
      <c r="B1444" s="48" t="s">
        <v>148</v>
      </c>
      <c r="C1444" s="32">
        <v>71</v>
      </c>
      <c r="D1444" s="32"/>
      <c r="E1444" s="48" t="s">
        <v>89</v>
      </c>
      <c r="F1444" s="48" t="s">
        <v>15</v>
      </c>
      <c r="G1444" s="48" t="s">
        <v>30</v>
      </c>
      <c r="H1444" s="11">
        <v>9.26</v>
      </c>
      <c r="I1444" s="184">
        <v>6.8</v>
      </c>
      <c r="J1444" s="7">
        <v>1</v>
      </c>
      <c r="K1444" s="10">
        <f t="shared" si="141"/>
        <v>6.2967999999999996E-2</v>
      </c>
      <c r="L1444" s="32"/>
      <c r="M1444" s="32">
        <v>1</v>
      </c>
      <c r="N1444" s="18">
        <f t="shared" si="142"/>
        <v>6.2967999999999996E-2</v>
      </c>
      <c r="O1444" s="19">
        <f t="shared" si="143"/>
        <v>0</v>
      </c>
      <c r="P1444" s="13">
        <f t="shared" si="144"/>
        <v>0</v>
      </c>
      <c r="Q1444" s="159">
        <v>6.4</v>
      </c>
      <c r="R1444" s="45">
        <v>1</v>
      </c>
      <c r="S1444" s="2" t="s">
        <v>739</v>
      </c>
    </row>
    <row r="1445" spans="1:19">
      <c r="A1445" s="42" t="s">
        <v>90</v>
      </c>
      <c r="B1445" s="48" t="s">
        <v>148</v>
      </c>
      <c r="C1445" s="32">
        <v>71</v>
      </c>
      <c r="D1445" s="32"/>
      <c r="E1445" s="48" t="s">
        <v>89</v>
      </c>
      <c r="F1445" s="48" t="s">
        <v>15</v>
      </c>
      <c r="G1445" s="48" t="s">
        <v>30</v>
      </c>
      <c r="H1445" s="11">
        <v>9.26</v>
      </c>
      <c r="I1445" s="184">
        <v>7.8</v>
      </c>
      <c r="J1445" s="7">
        <v>2</v>
      </c>
      <c r="K1445" s="10">
        <f t="shared" si="141"/>
        <v>0.144456</v>
      </c>
      <c r="L1445" s="32"/>
      <c r="M1445" s="32">
        <v>2</v>
      </c>
      <c r="N1445" s="18">
        <f t="shared" si="142"/>
        <v>0.144456</v>
      </c>
      <c r="O1445" s="19">
        <f t="shared" si="143"/>
        <v>0</v>
      </c>
      <c r="P1445" s="13">
        <f t="shared" si="144"/>
        <v>0</v>
      </c>
      <c r="Q1445" s="159">
        <v>6.4</v>
      </c>
      <c r="R1445" s="45">
        <v>2</v>
      </c>
      <c r="S1445" s="2" t="s">
        <v>739</v>
      </c>
    </row>
    <row r="1446" spans="1:19">
      <c r="A1446" s="42" t="s">
        <v>90</v>
      </c>
      <c r="B1446" s="48" t="s">
        <v>148</v>
      </c>
      <c r="C1446" s="32">
        <v>71</v>
      </c>
      <c r="D1446" s="32"/>
      <c r="E1446" s="48" t="s">
        <v>89</v>
      </c>
      <c r="F1446" s="48" t="s">
        <v>15</v>
      </c>
      <c r="G1446" s="48" t="s">
        <v>30</v>
      </c>
      <c r="H1446" s="11">
        <v>9.26</v>
      </c>
      <c r="I1446" s="184">
        <v>8</v>
      </c>
      <c r="J1446" s="362">
        <v>1</v>
      </c>
      <c r="K1446" s="10">
        <f t="shared" si="141"/>
        <v>7.4079999999999993E-2</v>
      </c>
      <c r="L1446" s="32"/>
      <c r="M1446" s="32">
        <v>1</v>
      </c>
      <c r="N1446" s="18">
        <f t="shared" si="142"/>
        <v>7.4079999999999993E-2</v>
      </c>
      <c r="O1446" s="19">
        <f t="shared" si="143"/>
        <v>0</v>
      </c>
      <c r="P1446" s="13">
        <f t="shared" si="144"/>
        <v>0</v>
      </c>
      <c r="Q1446" s="159">
        <v>6.4</v>
      </c>
      <c r="R1446" s="45">
        <v>1</v>
      </c>
      <c r="S1446" s="2" t="s">
        <v>739</v>
      </c>
    </row>
    <row r="1447" spans="1:19">
      <c r="A1447" s="42" t="s">
        <v>90</v>
      </c>
      <c r="B1447" s="48" t="s">
        <v>148</v>
      </c>
      <c r="C1447" s="32">
        <v>72</v>
      </c>
      <c r="D1447" s="32"/>
      <c r="E1447" s="48" t="s">
        <v>20</v>
      </c>
      <c r="F1447" s="48" t="s">
        <v>15</v>
      </c>
      <c r="G1447" s="48" t="s">
        <v>32</v>
      </c>
      <c r="H1447" s="11">
        <v>8.3000000000000007</v>
      </c>
      <c r="I1447" s="52">
        <v>5.6</v>
      </c>
      <c r="J1447" s="7">
        <v>1</v>
      </c>
      <c r="K1447" s="10">
        <f t="shared" si="141"/>
        <v>4.6480000000000007E-2</v>
      </c>
      <c r="L1447" s="32"/>
      <c r="M1447" s="32"/>
      <c r="N1447" s="18">
        <f t="shared" si="142"/>
        <v>0</v>
      </c>
      <c r="O1447" s="19">
        <f t="shared" si="143"/>
        <v>1</v>
      </c>
      <c r="P1447" s="13">
        <f t="shared" si="144"/>
        <v>4.6480000000000007E-2</v>
      </c>
      <c r="Q1447" s="33"/>
      <c r="R1447" s="32"/>
      <c r="S1447" s="32"/>
    </row>
    <row r="1448" spans="1:19">
      <c r="A1448" s="42" t="s">
        <v>90</v>
      </c>
      <c r="B1448" s="48" t="s">
        <v>148</v>
      </c>
      <c r="C1448" s="32">
        <v>72</v>
      </c>
      <c r="D1448" s="32"/>
      <c r="E1448" s="48" t="s">
        <v>20</v>
      </c>
      <c r="F1448" s="48" t="s">
        <v>15</v>
      </c>
      <c r="G1448" s="48" t="s">
        <v>32</v>
      </c>
      <c r="H1448" s="11">
        <v>8.3000000000000007</v>
      </c>
      <c r="I1448" s="52">
        <v>7.5</v>
      </c>
      <c r="J1448" s="7">
        <v>1</v>
      </c>
      <c r="K1448" s="10">
        <f t="shared" si="141"/>
        <v>6.2250000000000007E-2</v>
      </c>
      <c r="L1448" s="32"/>
      <c r="M1448" s="32">
        <v>1</v>
      </c>
      <c r="N1448" s="18">
        <f t="shared" si="142"/>
        <v>6.2250000000000007E-2</v>
      </c>
      <c r="O1448" s="19">
        <f t="shared" si="143"/>
        <v>0</v>
      </c>
      <c r="P1448" s="13">
        <f t="shared" si="144"/>
        <v>0</v>
      </c>
      <c r="Q1448" s="33">
        <v>7.1</v>
      </c>
      <c r="R1448" s="32">
        <v>1</v>
      </c>
      <c r="S1448" s="32"/>
    </row>
    <row r="1449" spans="1:19">
      <c r="A1449" s="42" t="s">
        <v>90</v>
      </c>
      <c r="B1449" s="48" t="s">
        <v>148</v>
      </c>
      <c r="C1449" s="32">
        <v>72</v>
      </c>
      <c r="D1449" s="32"/>
      <c r="E1449" s="48" t="s">
        <v>20</v>
      </c>
      <c r="F1449" s="48" t="s">
        <v>15</v>
      </c>
      <c r="G1449" s="48" t="s">
        <v>32</v>
      </c>
      <c r="H1449" s="11">
        <v>8.3000000000000007</v>
      </c>
      <c r="I1449" s="52">
        <v>6.5</v>
      </c>
      <c r="J1449" s="7">
        <v>1</v>
      </c>
      <c r="K1449" s="10">
        <f t="shared" si="141"/>
        <v>5.3950000000000005E-2</v>
      </c>
      <c r="L1449" s="32"/>
      <c r="M1449" s="32">
        <v>1</v>
      </c>
      <c r="N1449" s="18">
        <f t="shared" si="142"/>
        <v>5.3950000000000005E-2</v>
      </c>
      <c r="O1449" s="19">
        <f t="shared" si="143"/>
        <v>0</v>
      </c>
      <c r="P1449" s="13">
        <f t="shared" si="144"/>
        <v>0</v>
      </c>
      <c r="Q1449" s="33">
        <v>6.3</v>
      </c>
      <c r="R1449" s="32">
        <v>1</v>
      </c>
      <c r="S1449" s="32" t="s">
        <v>725</v>
      </c>
    </row>
    <row r="1450" spans="1:19">
      <c r="A1450" s="42" t="s">
        <v>90</v>
      </c>
      <c r="B1450" s="48" t="s">
        <v>148</v>
      </c>
      <c r="C1450" s="32">
        <v>72</v>
      </c>
      <c r="D1450" s="32"/>
      <c r="E1450" s="48" t="s">
        <v>20</v>
      </c>
      <c r="F1450" s="48" t="s">
        <v>15</v>
      </c>
      <c r="G1450" s="48" t="s">
        <v>32</v>
      </c>
      <c r="H1450" s="11">
        <v>8.3000000000000007</v>
      </c>
      <c r="I1450" s="52">
        <v>8</v>
      </c>
      <c r="J1450" s="7">
        <v>1</v>
      </c>
      <c r="K1450" s="10">
        <f t="shared" si="141"/>
        <v>6.6400000000000001E-2</v>
      </c>
      <c r="L1450" s="32"/>
      <c r="M1450" s="32">
        <v>1</v>
      </c>
      <c r="N1450" s="18">
        <f t="shared" si="142"/>
        <v>6.6400000000000001E-2</v>
      </c>
      <c r="O1450" s="19">
        <f t="shared" si="143"/>
        <v>0</v>
      </c>
      <c r="P1450" s="13">
        <f t="shared" si="144"/>
        <v>0</v>
      </c>
      <c r="Q1450" s="32">
        <v>6.75</v>
      </c>
      <c r="R1450" s="32">
        <v>1</v>
      </c>
      <c r="S1450" s="32"/>
    </row>
    <row r="1451" spans="1:19">
      <c r="A1451" s="42" t="s">
        <v>90</v>
      </c>
      <c r="B1451" s="48" t="s">
        <v>148</v>
      </c>
      <c r="C1451" s="32">
        <v>72</v>
      </c>
      <c r="D1451" s="32"/>
      <c r="E1451" s="48" t="s">
        <v>20</v>
      </c>
      <c r="F1451" s="48" t="s">
        <v>15</v>
      </c>
      <c r="G1451" s="48" t="s">
        <v>32</v>
      </c>
      <c r="H1451" s="11">
        <v>8.3000000000000007</v>
      </c>
      <c r="I1451" s="52">
        <v>7.25</v>
      </c>
      <c r="J1451" s="7">
        <v>1</v>
      </c>
      <c r="K1451" s="10">
        <f t="shared" si="141"/>
        <v>6.0175000000000006E-2</v>
      </c>
      <c r="L1451" s="32"/>
      <c r="M1451" s="32">
        <v>1</v>
      </c>
      <c r="N1451" s="18">
        <f t="shared" si="142"/>
        <v>6.0175000000000006E-2</v>
      </c>
      <c r="O1451" s="19">
        <f t="shared" si="143"/>
        <v>0</v>
      </c>
      <c r="P1451" s="13">
        <f t="shared" si="144"/>
        <v>0</v>
      </c>
      <c r="Q1451" s="32">
        <v>6.75</v>
      </c>
      <c r="R1451" s="32">
        <v>1</v>
      </c>
      <c r="S1451" s="32"/>
    </row>
    <row r="1452" spans="1:19">
      <c r="A1452" s="42" t="s">
        <v>90</v>
      </c>
      <c r="B1452" s="48" t="s">
        <v>148</v>
      </c>
      <c r="C1452" s="32">
        <v>73</v>
      </c>
      <c r="D1452" s="32"/>
      <c r="E1452" s="48" t="s">
        <v>19</v>
      </c>
      <c r="F1452" s="48" t="s">
        <v>14</v>
      </c>
      <c r="G1452" s="48" t="s">
        <v>40</v>
      </c>
      <c r="H1452" s="11">
        <v>16.5</v>
      </c>
      <c r="I1452" s="52">
        <v>11</v>
      </c>
      <c r="J1452" s="7">
        <v>1</v>
      </c>
      <c r="K1452" s="10">
        <f t="shared" si="141"/>
        <v>0.18149999999999999</v>
      </c>
      <c r="L1452" s="32"/>
      <c r="M1452" s="32"/>
      <c r="N1452" s="18">
        <f t="shared" si="142"/>
        <v>0</v>
      </c>
      <c r="O1452" s="19">
        <f t="shared" si="143"/>
        <v>1</v>
      </c>
      <c r="P1452" s="13">
        <f t="shared" si="144"/>
        <v>0.18149999999999999</v>
      </c>
      <c r="Q1452" s="32"/>
      <c r="R1452" s="32"/>
      <c r="S1452" s="32"/>
    </row>
    <row r="1453" spans="1:19">
      <c r="A1453" s="42" t="s">
        <v>90</v>
      </c>
      <c r="B1453" s="48" t="s">
        <v>148</v>
      </c>
      <c r="C1453" s="32">
        <v>73</v>
      </c>
      <c r="D1453" s="32"/>
      <c r="E1453" s="48" t="s">
        <v>19</v>
      </c>
      <c r="F1453" s="48" t="s">
        <v>14</v>
      </c>
      <c r="G1453" s="48" t="s">
        <v>40</v>
      </c>
      <c r="H1453" s="11">
        <v>16.5</v>
      </c>
      <c r="I1453" s="52">
        <v>11.6</v>
      </c>
      <c r="J1453" s="7">
        <v>1</v>
      </c>
      <c r="K1453" s="10">
        <f t="shared" si="141"/>
        <v>0.19140000000000001</v>
      </c>
      <c r="L1453" s="32"/>
      <c r="M1453" s="32"/>
      <c r="N1453" s="18">
        <f t="shared" si="142"/>
        <v>0</v>
      </c>
      <c r="O1453" s="19">
        <f t="shared" si="143"/>
        <v>1</v>
      </c>
      <c r="P1453" s="13">
        <f t="shared" si="144"/>
        <v>0.19140000000000001</v>
      </c>
      <c r="Q1453" s="32"/>
      <c r="R1453" s="32"/>
      <c r="S1453" s="32"/>
    </row>
    <row r="1454" spans="1:19">
      <c r="A1454" s="42" t="s">
        <v>90</v>
      </c>
      <c r="B1454" s="48" t="s">
        <v>148</v>
      </c>
      <c r="C1454" s="32">
        <v>73</v>
      </c>
      <c r="D1454" s="32"/>
      <c r="E1454" s="48" t="s">
        <v>19</v>
      </c>
      <c r="F1454" s="48" t="s">
        <v>14</v>
      </c>
      <c r="G1454" s="48" t="s">
        <v>40</v>
      </c>
      <c r="H1454" s="11">
        <v>16.5</v>
      </c>
      <c r="I1454" s="52">
        <v>11.5</v>
      </c>
      <c r="J1454" s="7">
        <v>1</v>
      </c>
      <c r="K1454" s="10">
        <f t="shared" si="141"/>
        <v>0.18975</v>
      </c>
      <c r="L1454" s="32"/>
      <c r="M1454" s="32"/>
      <c r="N1454" s="18">
        <f t="shared" si="142"/>
        <v>0</v>
      </c>
      <c r="O1454" s="19">
        <f t="shared" si="143"/>
        <v>1</v>
      </c>
      <c r="P1454" s="13">
        <f t="shared" si="144"/>
        <v>0.18975</v>
      </c>
      <c r="Q1454" s="32"/>
      <c r="R1454" s="32"/>
      <c r="S1454" s="32"/>
    </row>
    <row r="1455" spans="1:19">
      <c r="A1455" s="42" t="s">
        <v>90</v>
      </c>
      <c r="B1455" s="48" t="s">
        <v>148</v>
      </c>
      <c r="C1455" s="32">
        <v>74</v>
      </c>
      <c r="D1455" s="32"/>
      <c r="E1455" s="48" t="s">
        <v>20</v>
      </c>
      <c r="F1455" s="48" t="s">
        <v>15</v>
      </c>
      <c r="G1455" s="48" t="s">
        <v>34</v>
      </c>
      <c r="H1455" s="11">
        <v>9.61</v>
      </c>
      <c r="I1455" s="52">
        <v>6</v>
      </c>
      <c r="J1455" s="7">
        <v>1</v>
      </c>
      <c r="K1455" s="10">
        <f t="shared" si="141"/>
        <v>5.7659999999999996E-2</v>
      </c>
      <c r="L1455" s="32"/>
      <c r="M1455" s="32">
        <v>1</v>
      </c>
      <c r="N1455" s="18">
        <f t="shared" si="142"/>
        <v>5.7659999999999996E-2</v>
      </c>
      <c r="O1455" s="19">
        <f t="shared" si="143"/>
        <v>0</v>
      </c>
      <c r="P1455" s="13">
        <f t="shared" si="144"/>
        <v>0</v>
      </c>
      <c r="Q1455" s="32"/>
      <c r="R1455" s="32"/>
      <c r="S1455" s="32"/>
    </row>
    <row r="1456" spans="1:19">
      <c r="A1456" s="42" t="s">
        <v>90</v>
      </c>
      <c r="B1456" s="48" t="s">
        <v>148</v>
      </c>
      <c r="C1456" s="32">
        <v>74</v>
      </c>
      <c r="D1456" s="32"/>
      <c r="E1456" s="48" t="s">
        <v>20</v>
      </c>
      <c r="F1456" s="48" t="s">
        <v>15</v>
      </c>
      <c r="G1456" s="48" t="s">
        <v>34</v>
      </c>
      <c r="H1456" s="11">
        <v>9.61</v>
      </c>
      <c r="I1456" s="52">
        <v>12</v>
      </c>
      <c r="J1456" s="7">
        <v>2</v>
      </c>
      <c r="K1456" s="10">
        <f t="shared" si="141"/>
        <v>0.23063999999999998</v>
      </c>
      <c r="L1456" s="32"/>
      <c r="M1456" s="32">
        <v>2</v>
      </c>
      <c r="N1456" s="18">
        <f t="shared" si="142"/>
        <v>0.23063999999999998</v>
      </c>
      <c r="O1456" s="19">
        <f t="shared" si="143"/>
        <v>0</v>
      </c>
      <c r="P1456" s="13">
        <f t="shared" si="144"/>
        <v>0</v>
      </c>
      <c r="Q1456" s="32"/>
      <c r="R1456" s="32"/>
      <c r="S1456" s="32"/>
    </row>
    <row r="1457" spans="1:19">
      <c r="A1457" s="42" t="s">
        <v>90</v>
      </c>
      <c r="B1457" s="48" t="s">
        <v>148</v>
      </c>
      <c r="C1457" s="32">
        <v>75</v>
      </c>
      <c r="D1457" s="32"/>
      <c r="E1457" s="48" t="s">
        <v>106</v>
      </c>
      <c r="F1457" s="48" t="s">
        <v>15</v>
      </c>
      <c r="G1457" s="48" t="s">
        <v>37</v>
      </c>
      <c r="H1457" s="11">
        <v>18.149999999999999</v>
      </c>
      <c r="I1457" s="8">
        <v>8.3000000000000007</v>
      </c>
      <c r="J1457" s="7">
        <v>1</v>
      </c>
      <c r="K1457" s="10">
        <f t="shared" si="141"/>
        <v>0.150645</v>
      </c>
      <c r="L1457" s="32"/>
      <c r="M1457" s="32">
        <v>1</v>
      </c>
      <c r="N1457" s="18">
        <f t="shared" si="142"/>
        <v>0.150645</v>
      </c>
      <c r="O1457" s="19">
        <f t="shared" si="143"/>
        <v>0</v>
      </c>
      <c r="P1457" s="13">
        <f t="shared" si="144"/>
        <v>0</v>
      </c>
      <c r="Q1457" s="9">
        <v>8.1999999999999993</v>
      </c>
      <c r="R1457" s="32">
        <v>1</v>
      </c>
      <c r="S1457" s="2" t="s">
        <v>602</v>
      </c>
    </row>
    <row r="1458" spans="1:19">
      <c r="A1458" s="42" t="s">
        <v>90</v>
      </c>
      <c r="B1458" s="48" t="s">
        <v>148</v>
      </c>
      <c r="C1458" s="32">
        <v>75</v>
      </c>
      <c r="D1458" s="32"/>
      <c r="E1458" s="48" t="s">
        <v>106</v>
      </c>
      <c r="F1458" s="48" t="s">
        <v>15</v>
      </c>
      <c r="G1458" s="48" t="s">
        <v>37</v>
      </c>
      <c r="H1458" s="11">
        <v>18.149999999999999</v>
      </c>
      <c r="I1458" s="8">
        <v>11.5</v>
      </c>
      <c r="J1458" s="7">
        <v>2</v>
      </c>
      <c r="K1458" s="10">
        <f t="shared" si="141"/>
        <v>0.41744999999999999</v>
      </c>
      <c r="L1458" s="32"/>
      <c r="M1458" s="32">
        <v>2</v>
      </c>
      <c r="N1458" s="18">
        <f t="shared" si="142"/>
        <v>0.41744999999999999</v>
      </c>
      <c r="O1458" s="19">
        <f t="shared" si="143"/>
        <v>0</v>
      </c>
      <c r="P1458" s="13">
        <f t="shared" si="144"/>
        <v>0</v>
      </c>
      <c r="Q1458" s="33">
        <v>10.8</v>
      </c>
      <c r="R1458" s="32">
        <v>2</v>
      </c>
      <c r="S1458" s="2" t="s">
        <v>209</v>
      </c>
    </row>
    <row r="1459" spans="1:19">
      <c r="A1459" s="42" t="s">
        <v>90</v>
      </c>
      <c r="B1459" s="48" t="s">
        <v>148</v>
      </c>
      <c r="C1459" s="32">
        <v>76</v>
      </c>
      <c r="D1459" s="32"/>
      <c r="E1459" s="48" t="s">
        <v>19</v>
      </c>
      <c r="F1459" s="48" t="s">
        <v>14</v>
      </c>
      <c r="G1459" s="48" t="s">
        <v>37</v>
      </c>
      <c r="H1459" s="11">
        <v>18.149999999999999</v>
      </c>
      <c r="I1459" s="52">
        <v>7.5</v>
      </c>
      <c r="J1459" s="7">
        <v>5</v>
      </c>
      <c r="K1459" s="10">
        <f t="shared" si="141"/>
        <v>0.68062500000000004</v>
      </c>
      <c r="L1459" s="32"/>
      <c r="M1459" s="32">
        <v>1</v>
      </c>
      <c r="N1459" s="18">
        <f t="shared" si="142"/>
        <v>0.136125</v>
      </c>
      <c r="O1459" s="19">
        <f t="shared" si="143"/>
        <v>4</v>
      </c>
      <c r="P1459" s="13">
        <f t="shared" si="144"/>
        <v>0.54449999999999998</v>
      </c>
      <c r="Q1459" s="33">
        <v>6</v>
      </c>
      <c r="R1459" s="45">
        <v>1</v>
      </c>
      <c r="S1459" s="32" t="s">
        <v>790</v>
      </c>
    </row>
    <row r="1460" spans="1:19">
      <c r="A1460" s="42" t="s">
        <v>90</v>
      </c>
      <c r="B1460" s="48" t="s">
        <v>148</v>
      </c>
      <c r="C1460" s="32">
        <v>77</v>
      </c>
      <c r="D1460" s="32"/>
      <c r="E1460" s="48" t="s">
        <v>20</v>
      </c>
      <c r="F1460" s="48" t="s">
        <v>15</v>
      </c>
      <c r="G1460" s="48" t="s">
        <v>41</v>
      </c>
      <c r="H1460" s="11">
        <v>11.8</v>
      </c>
      <c r="I1460" s="52">
        <v>10.199999999999999</v>
      </c>
      <c r="J1460" s="7">
        <v>1</v>
      </c>
      <c r="K1460" s="10">
        <f t="shared" si="141"/>
        <v>0.12035999999999999</v>
      </c>
      <c r="L1460" s="32"/>
      <c r="M1460" s="32">
        <v>1</v>
      </c>
      <c r="N1460" s="18">
        <f t="shared" si="142"/>
        <v>0.12035999999999999</v>
      </c>
      <c r="O1460" s="19">
        <f t="shared" si="143"/>
        <v>0</v>
      </c>
      <c r="P1460" s="13">
        <f t="shared" si="144"/>
        <v>0</v>
      </c>
      <c r="Q1460" s="33">
        <v>7.5</v>
      </c>
      <c r="R1460" s="32">
        <v>1</v>
      </c>
      <c r="S1460" s="32" t="s">
        <v>198</v>
      </c>
    </row>
    <row r="1461" spans="1:19">
      <c r="A1461" s="42" t="s">
        <v>90</v>
      </c>
      <c r="B1461" s="48" t="s">
        <v>148</v>
      </c>
      <c r="C1461" s="32">
        <v>77</v>
      </c>
      <c r="D1461" s="32"/>
      <c r="E1461" s="48" t="s">
        <v>20</v>
      </c>
      <c r="F1461" s="48" t="s">
        <v>15</v>
      </c>
      <c r="G1461" s="48" t="s">
        <v>41</v>
      </c>
      <c r="H1461" s="11">
        <v>11.8</v>
      </c>
      <c r="I1461" s="52">
        <v>10.6</v>
      </c>
      <c r="J1461" s="7">
        <v>1</v>
      </c>
      <c r="K1461" s="10">
        <f t="shared" si="141"/>
        <v>0.12508</v>
      </c>
      <c r="L1461" s="32"/>
      <c r="M1461" s="32">
        <v>1</v>
      </c>
      <c r="N1461" s="18">
        <f t="shared" si="142"/>
        <v>0.12508</v>
      </c>
      <c r="O1461" s="19">
        <f t="shared" si="143"/>
        <v>0</v>
      </c>
      <c r="P1461" s="13">
        <f t="shared" si="144"/>
        <v>0</v>
      </c>
      <c r="Q1461" s="33">
        <v>7.5</v>
      </c>
      <c r="R1461" s="32">
        <v>1</v>
      </c>
      <c r="S1461" s="32" t="s">
        <v>198</v>
      </c>
    </row>
    <row r="1462" spans="1:19">
      <c r="A1462" s="42" t="s">
        <v>90</v>
      </c>
      <c r="B1462" s="48" t="s">
        <v>148</v>
      </c>
      <c r="C1462" s="32">
        <v>78</v>
      </c>
      <c r="D1462" s="32"/>
      <c r="E1462" s="69" t="s">
        <v>20</v>
      </c>
      <c r="F1462" s="69" t="s">
        <v>15</v>
      </c>
      <c r="G1462" s="69" t="s">
        <v>48</v>
      </c>
      <c r="H1462" s="61">
        <v>23.6</v>
      </c>
      <c r="I1462" s="70">
        <v>12</v>
      </c>
      <c r="J1462" s="60">
        <v>1</v>
      </c>
      <c r="K1462" s="62">
        <f t="shared" si="141"/>
        <v>0.28320000000000006</v>
      </c>
      <c r="L1462" s="256" t="s">
        <v>158</v>
      </c>
      <c r="M1462" s="67"/>
      <c r="N1462" s="63">
        <f t="shared" si="142"/>
        <v>0</v>
      </c>
      <c r="O1462" s="64">
        <f t="shared" si="143"/>
        <v>1</v>
      </c>
      <c r="P1462" s="65">
        <f t="shared" si="144"/>
        <v>0.28320000000000006</v>
      </c>
      <c r="Q1462" s="32"/>
      <c r="R1462" s="32"/>
      <c r="S1462" s="32"/>
    </row>
    <row r="1463" spans="1:19">
      <c r="A1463" s="42" t="s">
        <v>90</v>
      </c>
      <c r="B1463" s="48" t="s">
        <v>148</v>
      </c>
      <c r="C1463" s="32">
        <v>79</v>
      </c>
      <c r="D1463" s="32"/>
      <c r="E1463" s="48" t="s">
        <v>20</v>
      </c>
      <c r="F1463" s="48" t="s">
        <v>15</v>
      </c>
      <c r="G1463" s="48" t="s">
        <v>42</v>
      </c>
      <c r="H1463" s="11">
        <v>19.72</v>
      </c>
      <c r="I1463" s="8">
        <v>11.2</v>
      </c>
      <c r="J1463" s="7">
        <v>1</v>
      </c>
      <c r="K1463" s="10">
        <f t="shared" si="141"/>
        <v>0.22086399999999998</v>
      </c>
      <c r="L1463" s="32"/>
      <c r="M1463" s="32">
        <v>1</v>
      </c>
      <c r="N1463" s="18">
        <f t="shared" si="142"/>
        <v>0.22086399999999998</v>
      </c>
      <c r="O1463" s="19">
        <f t="shared" si="143"/>
        <v>0</v>
      </c>
      <c r="P1463" s="13">
        <f t="shared" si="144"/>
        <v>0</v>
      </c>
      <c r="Q1463" s="32">
        <v>9.25</v>
      </c>
      <c r="R1463" s="45">
        <v>1</v>
      </c>
      <c r="S1463" s="32" t="s">
        <v>760</v>
      </c>
    </row>
    <row r="1464" spans="1:19">
      <c r="A1464" s="42" t="s">
        <v>90</v>
      </c>
      <c r="B1464" s="48" t="s">
        <v>148</v>
      </c>
      <c r="C1464" s="32">
        <v>79</v>
      </c>
      <c r="D1464" s="32"/>
      <c r="E1464" s="48" t="s">
        <v>20</v>
      </c>
      <c r="F1464" s="48" t="s">
        <v>15</v>
      </c>
      <c r="G1464" s="48" t="s">
        <v>42</v>
      </c>
      <c r="H1464" s="11">
        <v>19.72</v>
      </c>
      <c r="I1464" s="8">
        <v>11</v>
      </c>
      <c r="J1464" s="7">
        <v>1</v>
      </c>
      <c r="K1464" s="10">
        <f t="shared" si="141"/>
        <v>0.21691999999999997</v>
      </c>
      <c r="L1464" s="32"/>
      <c r="M1464" s="32">
        <v>1</v>
      </c>
      <c r="N1464" s="18">
        <f t="shared" si="142"/>
        <v>0.21691999999999997</v>
      </c>
      <c r="O1464" s="19">
        <f t="shared" si="143"/>
        <v>0</v>
      </c>
      <c r="P1464" s="13">
        <f t="shared" si="144"/>
        <v>0</v>
      </c>
      <c r="Q1464" s="32">
        <v>9.25</v>
      </c>
      <c r="R1464" s="45">
        <v>1</v>
      </c>
      <c r="S1464" s="32" t="s">
        <v>760</v>
      </c>
    </row>
    <row r="1465" spans="1:19">
      <c r="A1465" s="42" t="s">
        <v>90</v>
      </c>
      <c r="B1465" s="48" t="s">
        <v>148</v>
      </c>
      <c r="C1465" s="32">
        <v>80</v>
      </c>
      <c r="D1465" s="32"/>
      <c r="E1465" s="48" t="s">
        <v>19</v>
      </c>
      <c r="F1465" s="48" t="s">
        <v>14</v>
      </c>
      <c r="G1465" s="48" t="s">
        <v>35</v>
      </c>
      <c r="H1465" s="11">
        <v>16.579999999999998</v>
      </c>
      <c r="I1465" s="52">
        <v>12</v>
      </c>
      <c r="J1465" s="7">
        <v>3</v>
      </c>
      <c r="K1465" s="10">
        <f t="shared" si="141"/>
        <v>0.59687999999999986</v>
      </c>
      <c r="L1465" s="32"/>
      <c r="M1465" s="32">
        <v>3</v>
      </c>
      <c r="N1465" s="18">
        <f t="shared" si="142"/>
        <v>0.59687999999999986</v>
      </c>
      <c r="O1465" s="19">
        <f t="shared" si="143"/>
        <v>0</v>
      </c>
      <c r="P1465" s="13">
        <f t="shared" si="144"/>
        <v>0</v>
      </c>
      <c r="Q1465" s="32"/>
      <c r="R1465" s="32"/>
      <c r="S1465" s="32"/>
    </row>
    <row r="1466" spans="1:19">
      <c r="A1466" s="42" t="s">
        <v>90</v>
      </c>
      <c r="B1466" s="48" t="s">
        <v>148</v>
      </c>
      <c r="C1466" s="32">
        <v>80</v>
      </c>
      <c r="D1466" s="32"/>
      <c r="E1466" s="48" t="s">
        <v>19</v>
      </c>
      <c r="F1466" s="48" t="s">
        <v>14</v>
      </c>
      <c r="G1466" s="48" t="s">
        <v>35</v>
      </c>
      <c r="H1466" s="11">
        <v>16.579999999999998</v>
      </c>
      <c r="I1466" s="52">
        <v>10.9</v>
      </c>
      <c r="J1466" s="7">
        <v>1</v>
      </c>
      <c r="K1466" s="10">
        <f t="shared" si="141"/>
        <v>0.18072199999999999</v>
      </c>
      <c r="L1466" s="32"/>
      <c r="M1466" s="32">
        <v>1</v>
      </c>
      <c r="N1466" s="18">
        <f t="shared" si="142"/>
        <v>0.18072199999999999</v>
      </c>
      <c r="O1466" s="19">
        <f t="shared" si="143"/>
        <v>0</v>
      </c>
      <c r="P1466" s="13">
        <f t="shared" si="144"/>
        <v>0</v>
      </c>
      <c r="Q1466" s="32">
        <v>10.9</v>
      </c>
      <c r="R1466" s="32">
        <v>1</v>
      </c>
      <c r="S1466" s="32" t="s">
        <v>336</v>
      </c>
    </row>
    <row r="1467" spans="1:19">
      <c r="A1467" s="42" t="s">
        <v>90</v>
      </c>
      <c r="B1467" s="48" t="s">
        <v>148</v>
      </c>
      <c r="C1467" s="32">
        <v>81</v>
      </c>
      <c r="D1467" s="32"/>
      <c r="E1467" s="48" t="s">
        <v>19</v>
      </c>
      <c r="F1467" s="48" t="s">
        <v>14</v>
      </c>
      <c r="G1467" s="48" t="s">
        <v>32</v>
      </c>
      <c r="H1467" s="11">
        <v>8.3000000000000007</v>
      </c>
      <c r="I1467" s="52">
        <v>9</v>
      </c>
      <c r="J1467" s="7">
        <v>1</v>
      </c>
      <c r="K1467" s="10">
        <f t="shared" si="141"/>
        <v>7.4700000000000003E-2</v>
      </c>
      <c r="L1467" s="32"/>
      <c r="M1467" s="32">
        <v>1</v>
      </c>
      <c r="N1467" s="18">
        <f t="shared" si="142"/>
        <v>7.4700000000000003E-2</v>
      </c>
      <c r="O1467" s="19">
        <f t="shared" si="143"/>
        <v>0</v>
      </c>
      <c r="P1467" s="13">
        <f t="shared" si="144"/>
        <v>0</v>
      </c>
      <c r="Q1467" s="32"/>
      <c r="R1467" s="32">
        <v>1</v>
      </c>
      <c r="S1467" s="32"/>
    </row>
    <row r="1468" spans="1:19">
      <c r="A1468" s="42" t="s">
        <v>90</v>
      </c>
      <c r="B1468" s="48" t="s">
        <v>148</v>
      </c>
      <c r="C1468" s="32">
        <v>81</v>
      </c>
      <c r="D1468" s="32"/>
      <c r="E1468" s="48" t="s">
        <v>19</v>
      </c>
      <c r="F1468" s="48" t="s">
        <v>14</v>
      </c>
      <c r="G1468" s="48" t="s">
        <v>32</v>
      </c>
      <c r="H1468" s="11">
        <v>8.3000000000000007</v>
      </c>
      <c r="I1468" s="52">
        <v>7</v>
      </c>
      <c r="J1468" s="7">
        <v>2</v>
      </c>
      <c r="K1468" s="10">
        <f t="shared" si="141"/>
        <v>0.11620000000000001</v>
      </c>
      <c r="L1468" s="32"/>
      <c r="M1468" s="32">
        <v>2</v>
      </c>
      <c r="N1468" s="18">
        <f t="shared" si="142"/>
        <v>0.11620000000000001</v>
      </c>
      <c r="O1468" s="19">
        <f t="shared" si="143"/>
        <v>0</v>
      </c>
      <c r="P1468" s="13">
        <f t="shared" si="144"/>
        <v>0</v>
      </c>
      <c r="Q1468" s="32"/>
      <c r="R1468" s="32">
        <v>2</v>
      </c>
      <c r="S1468" s="32"/>
    </row>
    <row r="1469" spans="1:19">
      <c r="A1469" s="42" t="s">
        <v>90</v>
      </c>
      <c r="B1469" s="48" t="s">
        <v>148</v>
      </c>
      <c r="C1469" s="32">
        <v>82</v>
      </c>
      <c r="D1469" s="32"/>
      <c r="E1469" s="48" t="s">
        <v>19</v>
      </c>
      <c r="F1469" s="48" t="s">
        <v>14</v>
      </c>
      <c r="G1469" s="48" t="s">
        <v>32</v>
      </c>
      <c r="H1469" s="11">
        <v>8.3000000000000007</v>
      </c>
      <c r="I1469" s="52">
        <v>8.5</v>
      </c>
      <c r="J1469" s="7">
        <v>5</v>
      </c>
      <c r="K1469" s="10">
        <f t="shared" si="141"/>
        <v>0.35275000000000006</v>
      </c>
      <c r="L1469" s="32"/>
      <c r="M1469" s="32">
        <v>5</v>
      </c>
      <c r="N1469" s="18">
        <f t="shared" si="142"/>
        <v>0.35275000000000006</v>
      </c>
      <c r="O1469" s="19">
        <f t="shared" si="143"/>
        <v>0</v>
      </c>
      <c r="P1469" s="13">
        <f t="shared" si="144"/>
        <v>0</v>
      </c>
      <c r="Q1469" s="32"/>
      <c r="R1469" s="32">
        <v>5</v>
      </c>
      <c r="S1469" s="32"/>
    </row>
    <row r="1470" spans="1:19">
      <c r="A1470" s="42" t="s">
        <v>90</v>
      </c>
      <c r="B1470" s="48" t="s">
        <v>148</v>
      </c>
      <c r="C1470" s="32">
        <v>83</v>
      </c>
      <c r="D1470" s="32"/>
      <c r="E1470" s="48" t="s">
        <v>106</v>
      </c>
      <c r="F1470" s="48" t="s">
        <v>15</v>
      </c>
      <c r="G1470" s="48" t="s">
        <v>30</v>
      </c>
      <c r="H1470" s="11">
        <v>9.26</v>
      </c>
      <c r="I1470" s="322">
        <v>10.5</v>
      </c>
      <c r="J1470" s="7">
        <v>2</v>
      </c>
      <c r="K1470" s="10">
        <f t="shared" si="141"/>
        <v>0.19446000000000002</v>
      </c>
      <c r="L1470" s="32"/>
      <c r="M1470" s="32"/>
      <c r="N1470" s="18">
        <f t="shared" si="142"/>
        <v>0</v>
      </c>
      <c r="O1470" s="19">
        <f t="shared" si="143"/>
        <v>2</v>
      </c>
      <c r="P1470" s="13">
        <f t="shared" si="144"/>
        <v>0.19446000000000002</v>
      </c>
      <c r="Q1470" s="32"/>
      <c r="R1470" s="32"/>
      <c r="S1470" s="32"/>
    </row>
    <row r="1471" spans="1:19">
      <c r="A1471" s="42" t="s">
        <v>90</v>
      </c>
      <c r="B1471" s="48" t="s">
        <v>148</v>
      </c>
      <c r="C1471" s="32">
        <v>84</v>
      </c>
      <c r="D1471" s="32"/>
      <c r="E1471" s="48" t="s">
        <v>19</v>
      </c>
      <c r="F1471" s="48" t="s">
        <v>14</v>
      </c>
      <c r="G1471" s="48" t="s">
        <v>34</v>
      </c>
      <c r="H1471" s="11">
        <v>9.61</v>
      </c>
      <c r="I1471" s="52">
        <v>8.6</v>
      </c>
      <c r="J1471" s="7">
        <v>1</v>
      </c>
      <c r="K1471" s="10">
        <f t="shared" si="141"/>
        <v>8.2645999999999983E-2</v>
      </c>
      <c r="L1471" s="32"/>
      <c r="M1471" s="32">
        <v>1</v>
      </c>
      <c r="N1471" s="18">
        <f t="shared" si="142"/>
        <v>8.2645999999999983E-2</v>
      </c>
      <c r="O1471" s="19">
        <f t="shared" si="143"/>
        <v>0</v>
      </c>
      <c r="P1471" s="13">
        <f t="shared" si="144"/>
        <v>0</v>
      </c>
      <c r="Q1471" s="32"/>
      <c r="R1471" s="32">
        <v>1</v>
      </c>
      <c r="S1471" s="2" t="s">
        <v>278</v>
      </c>
    </row>
    <row r="1472" spans="1:19">
      <c r="A1472" s="42" t="s">
        <v>90</v>
      </c>
      <c r="B1472" s="48" t="s">
        <v>148</v>
      </c>
      <c r="C1472" s="32">
        <v>85</v>
      </c>
      <c r="D1472" s="32"/>
      <c r="E1472" s="48" t="s">
        <v>152</v>
      </c>
      <c r="F1472" s="48" t="s">
        <v>15</v>
      </c>
      <c r="G1472" s="48" t="s">
        <v>22</v>
      </c>
      <c r="H1472" s="11">
        <v>10.73</v>
      </c>
      <c r="I1472" s="52">
        <v>11.7</v>
      </c>
      <c r="J1472" s="7">
        <v>1</v>
      </c>
      <c r="K1472" s="10">
        <f t="shared" si="141"/>
        <v>0.12554099999999999</v>
      </c>
      <c r="L1472" s="32"/>
      <c r="M1472" s="32">
        <v>1</v>
      </c>
      <c r="N1472" s="18">
        <f t="shared" si="142"/>
        <v>0.12554099999999999</v>
      </c>
      <c r="O1472" s="19">
        <f t="shared" si="143"/>
        <v>0</v>
      </c>
      <c r="P1472" s="13">
        <f t="shared" si="144"/>
        <v>0</v>
      </c>
      <c r="Q1472" s="32">
        <v>11.6</v>
      </c>
      <c r="R1472" s="45">
        <v>1</v>
      </c>
      <c r="S1472" s="32" t="s">
        <v>279</v>
      </c>
    </row>
    <row r="1473" spans="1:22">
      <c r="A1473" s="42" t="s">
        <v>90</v>
      </c>
      <c r="B1473" s="48" t="s">
        <v>148</v>
      </c>
      <c r="C1473" s="32">
        <v>85</v>
      </c>
      <c r="D1473" s="32"/>
      <c r="E1473" s="48" t="s">
        <v>152</v>
      </c>
      <c r="F1473" s="48" t="s">
        <v>15</v>
      </c>
      <c r="G1473" s="48" t="s">
        <v>22</v>
      </c>
      <c r="H1473" s="11">
        <v>10.73</v>
      </c>
      <c r="I1473" s="52">
        <v>9.6999999999999993</v>
      </c>
      <c r="J1473" s="7">
        <v>2</v>
      </c>
      <c r="K1473" s="10">
        <f t="shared" si="141"/>
        <v>0.20816200000000001</v>
      </c>
      <c r="L1473" s="32"/>
      <c r="M1473" s="32">
        <v>2</v>
      </c>
      <c r="N1473" s="18">
        <f t="shared" si="142"/>
        <v>0.20816200000000001</v>
      </c>
      <c r="O1473" s="19">
        <f t="shared" si="143"/>
        <v>0</v>
      </c>
      <c r="P1473" s="13">
        <f t="shared" si="144"/>
        <v>0</v>
      </c>
      <c r="Q1473" s="32">
        <v>9.4</v>
      </c>
      <c r="R1473" s="45">
        <v>2</v>
      </c>
      <c r="S1473" s="32" t="s">
        <v>279</v>
      </c>
    </row>
    <row r="1474" spans="1:22">
      <c r="A1474" s="42" t="s">
        <v>90</v>
      </c>
      <c r="B1474" s="48" t="s">
        <v>148</v>
      </c>
      <c r="C1474" s="32">
        <v>86</v>
      </c>
      <c r="D1474" s="32"/>
      <c r="E1474" s="48" t="s">
        <v>152</v>
      </c>
      <c r="F1474" s="48" t="s">
        <v>15</v>
      </c>
      <c r="G1474" s="48" t="s">
        <v>21</v>
      </c>
      <c r="H1474" s="11">
        <v>6.97</v>
      </c>
      <c r="I1474" s="8">
        <v>12</v>
      </c>
      <c r="J1474" s="7">
        <v>8</v>
      </c>
      <c r="K1474" s="10">
        <f t="shared" si="141"/>
        <v>0.66912000000000005</v>
      </c>
      <c r="L1474" s="32"/>
      <c r="M1474" s="32">
        <v>8</v>
      </c>
      <c r="N1474" s="18">
        <f t="shared" si="142"/>
        <v>0.66912000000000005</v>
      </c>
      <c r="O1474" s="19">
        <f t="shared" si="143"/>
        <v>0</v>
      </c>
      <c r="P1474" s="13">
        <f t="shared" si="144"/>
        <v>0</v>
      </c>
      <c r="Q1474" s="336"/>
      <c r="R1474" s="111"/>
      <c r="S1474" s="111"/>
      <c r="T1474" s="32">
        <v>12</v>
      </c>
      <c r="U1474" s="32">
        <v>8</v>
      </c>
      <c r="V1474" s="32" t="s">
        <v>223</v>
      </c>
    </row>
    <row r="1475" spans="1:22">
      <c r="A1475" s="42" t="s">
        <v>90</v>
      </c>
      <c r="B1475" s="48" t="s">
        <v>148</v>
      </c>
      <c r="C1475" s="32">
        <v>87</v>
      </c>
      <c r="D1475" s="32"/>
      <c r="E1475" s="48" t="s">
        <v>152</v>
      </c>
      <c r="F1475" s="48" t="s">
        <v>15</v>
      </c>
      <c r="G1475" s="48" t="s">
        <v>34</v>
      </c>
      <c r="H1475" s="11">
        <v>9.61</v>
      </c>
      <c r="I1475" s="52">
        <v>8</v>
      </c>
      <c r="J1475" s="7">
        <v>1</v>
      </c>
      <c r="K1475" s="10">
        <f t="shared" si="141"/>
        <v>7.687999999999999E-2</v>
      </c>
      <c r="L1475" s="32"/>
      <c r="M1475" s="32">
        <v>1</v>
      </c>
      <c r="N1475" s="18">
        <f t="shared" si="142"/>
        <v>7.687999999999999E-2</v>
      </c>
      <c r="O1475" s="19">
        <f t="shared" si="143"/>
        <v>0</v>
      </c>
      <c r="P1475" s="13">
        <f t="shared" si="144"/>
        <v>0</v>
      </c>
      <c r="Q1475" s="32"/>
      <c r="R1475" s="32"/>
      <c r="S1475" s="32"/>
    </row>
    <row r="1476" spans="1:22">
      <c r="A1476" s="42" t="s">
        <v>90</v>
      </c>
      <c r="B1476" s="48" t="s">
        <v>148</v>
      </c>
      <c r="C1476" s="32">
        <v>87</v>
      </c>
      <c r="D1476" s="32"/>
      <c r="E1476" s="48" t="s">
        <v>152</v>
      </c>
      <c r="F1476" s="48" t="s">
        <v>15</v>
      </c>
      <c r="G1476" s="48" t="s">
        <v>34</v>
      </c>
      <c r="H1476" s="11">
        <v>9.61</v>
      </c>
      <c r="I1476" s="52">
        <v>10.5</v>
      </c>
      <c r="J1476" s="7">
        <v>2</v>
      </c>
      <c r="K1476" s="10">
        <f t="shared" si="141"/>
        <v>0.20180999999999999</v>
      </c>
      <c r="L1476" s="32"/>
      <c r="M1476" s="32">
        <v>2</v>
      </c>
      <c r="N1476" s="18">
        <f t="shared" si="142"/>
        <v>0.20180999999999999</v>
      </c>
      <c r="O1476" s="19">
        <f t="shared" si="143"/>
        <v>0</v>
      </c>
      <c r="P1476" s="13">
        <f t="shared" si="144"/>
        <v>0</v>
      </c>
      <c r="Q1476" s="32"/>
      <c r="R1476" s="32">
        <v>2</v>
      </c>
      <c r="S1476" s="32" t="s">
        <v>259</v>
      </c>
    </row>
    <row r="1477" spans="1:22">
      <c r="A1477" s="42" t="s">
        <v>90</v>
      </c>
      <c r="B1477" s="48" t="s">
        <v>148</v>
      </c>
      <c r="C1477" s="32">
        <v>87</v>
      </c>
      <c r="D1477" s="32"/>
      <c r="E1477" s="48" t="s">
        <v>152</v>
      </c>
      <c r="F1477" s="48" t="s">
        <v>15</v>
      </c>
      <c r="G1477" s="48" t="s">
        <v>34</v>
      </c>
      <c r="H1477" s="11">
        <v>9.61</v>
      </c>
      <c r="I1477" s="52">
        <v>8.6</v>
      </c>
      <c r="J1477" s="7">
        <v>1</v>
      </c>
      <c r="K1477" s="10">
        <f t="shared" si="141"/>
        <v>8.2645999999999983E-2</v>
      </c>
      <c r="L1477" s="32"/>
      <c r="M1477" s="32">
        <v>1</v>
      </c>
      <c r="N1477" s="18">
        <f t="shared" si="142"/>
        <v>8.2645999999999983E-2</v>
      </c>
      <c r="O1477" s="19">
        <f t="shared" si="143"/>
        <v>0</v>
      </c>
      <c r="P1477" s="13">
        <f t="shared" si="144"/>
        <v>0</v>
      </c>
      <c r="Q1477" s="32"/>
      <c r="R1477" s="32"/>
      <c r="S1477" s="32"/>
    </row>
    <row r="1478" spans="1:22">
      <c r="A1478" s="42" t="s">
        <v>90</v>
      </c>
      <c r="B1478" s="48" t="s">
        <v>148</v>
      </c>
      <c r="C1478" s="32">
        <v>87</v>
      </c>
      <c r="D1478" s="32"/>
      <c r="E1478" s="48" t="s">
        <v>152</v>
      </c>
      <c r="F1478" s="48" t="s">
        <v>15</v>
      </c>
      <c r="G1478" s="48" t="s">
        <v>34</v>
      </c>
      <c r="H1478" s="11">
        <v>9.61</v>
      </c>
      <c r="I1478" s="52">
        <v>6.9</v>
      </c>
      <c r="J1478" s="7">
        <v>1</v>
      </c>
      <c r="K1478" s="10">
        <f t="shared" si="141"/>
        <v>6.6308999999999993E-2</v>
      </c>
      <c r="L1478" s="32"/>
      <c r="M1478" s="32">
        <v>1</v>
      </c>
      <c r="N1478" s="18">
        <f t="shared" si="142"/>
        <v>6.6308999999999993E-2</v>
      </c>
      <c r="O1478" s="19">
        <f t="shared" si="143"/>
        <v>0</v>
      </c>
      <c r="P1478" s="13">
        <f t="shared" si="144"/>
        <v>0</v>
      </c>
      <c r="Q1478" s="32"/>
      <c r="R1478" s="32"/>
      <c r="S1478" s="32"/>
    </row>
    <row r="1479" spans="1:22">
      <c r="A1479" s="42" t="s">
        <v>90</v>
      </c>
      <c r="B1479" s="48" t="s">
        <v>148</v>
      </c>
      <c r="C1479" s="32">
        <v>87</v>
      </c>
      <c r="D1479" s="32"/>
      <c r="E1479" s="48" t="s">
        <v>152</v>
      </c>
      <c r="F1479" s="48" t="s">
        <v>15</v>
      </c>
      <c r="G1479" s="48" t="s">
        <v>34</v>
      </c>
      <c r="H1479" s="11">
        <v>9.61</v>
      </c>
      <c r="I1479" s="52">
        <v>7</v>
      </c>
      <c r="J1479" s="7">
        <v>1</v>
      </c>
      <c r="K1479" s="10">
        <f t="shared" si="141"/>
        <v>6.7269999999999996E-2</v>
      </c>
      <c r="L1479" s="32"/>
      <c r="M1479" s="32">
        <v>1</v>
      </c>
      <c r="N1479" s="18">
        <f t="shared" si="142"/>
        <v>6.7269999999999996E-2</v>
      </c>
      <c r="O1479" s="19">
        <f t="shared" si="143"/>
        <v>0</v>
      </c>
      <c r="P1479" s="13">
        <f t="shared" si="144"/>
        <v>0</v>
      </c>
      <c r="Q1479" s="32"/>
      <c r="R1479" s="32">
        <v>1</v>
      </c>
      <c r="S1479" s="32" t="s">
        <v>278</v>
      </c>
    </row>
    <row r="1480" spans="1:22">
      <c r="A1480" s="42" t="s">
        <v>90</v>
      </c>
      <c r="B1480" s="48" t="s">
        <v>148</v>
      </c>
      <c r="C1480" s="32">
        <v>87</v>
      </c>
      <c r="D1480" s="32"/>
      <c r="E1480" s="48" t="s">
        <v>152</v>
      </c>
      <c r="F1480" s="48" t="s">
        <v>15</v>
      </c>
      <c r="G1480" s="48" t="s">
        <v>34</v>
      </c>
      <c r="H1480" s="11">
        <v>9.61</v>
      </c>
      <c r="I1480" s="52">
        <v>8.3000000000000007</v>
      </c>
      <c r="J1480" s="7">
        <v>2</v>
      </c>
      <c r="K1480" s="10">
        <f t="shared" si="141"/>
        <v>0.159526</v>
      </c>
      <c r="L1480" s="32"/>
      <c r="M1480" s="32">
        <v>2</v>
      </c>
      <c r="N1480" s="18">
        <f t="shared" si="142"/>
        <v>0.159526</v>
      </c>
      <c r="O1480" s="19">
        <f t="shared" si="143"/>
        <v>0</v>
      </c>
      <c r="P1480" s="13">
        <f t="shared" si="144"/>
        <v>0</v>
      </c>
      <c r="Q1480" s="32"/>
      <c r="R1480" s="32">
        <v>2</v>
      </c>
      <c r="S1480" s="32" t="s">
        <v>278</v>
      </c>
    </row>
    <row r="1481" spans="1:22">
      <c r="A1481" s="42" t="s">
        <v>90</v>
      </c>
      <c r="B1481" s="48" t="s">
        <v>148</v>
      </c>
      <c r="C1481" s="32">
        <v>88</v>
      </c>
      <c r="D1481" s="32"/>
      <c r="E1481" s="48" t="s">
        <v>24</v>
      </c>
      <c r="F1481" s="48" t="s">
        <v>14</v>
      </c>
      <c r="G1481" s="48" t="s">
        <v>39</v>
      </c>
      <c r="H1481" s="11">
        <v>14.66</v>
      </c>
      <c r="I1481" s="8">
        <v>7</v>
      </c>
      <c r="J1481" s="7">
        <v>2</v>
      </c>
      <c r="K1481" s="10">
        <f t="shared" si="141"/>
        <v>0.20524000000000001</v>
      </c>
      <c r="L1481" s="32"/>
      <c r="M1481" s="32">
        <v>2</v>
      </c>
      <c r="N1481" s="18">
        <f t="shared" si="142"/>
        <v>0.20524000000000001</v>
      </c>
      <c r="O1481" s="19">
        <f t="shared" si="143"/>
        <v>0</v>
      </c>
      <c r="P1481" s="13">
        <f t="shared" si="144"/>
        <v>0</v>
      </c>
      <c r="Q1481" s="32"/>
      <c r="R1481" s="32">
        <v>2</v>
      </c>
      <c r="S1481" s="32" t="s">
        <v>631</v>
      </c>
    </row>
    <row r="1482" spans="1:22">
      <c r="A1482" s="42" t="s">
        <v>90</v>
      </c>
      <c r="B1482" s="48" t="s">
        <v>148</v>
      </c>
      <c r="C1482" s="32">
        <v>88</v>
      </c>
      <c r="D1482" s="32"/>
      <c r="E1482" s="48" t="s">
        <v>24</v>
      </c>
      <c r="F1482" s="48" t="s">
        <v>14</v>
      </c>
      <c r="G1482" s="48" t="s">
        <v>39</v>
      </c>
      <c r="H1482" s="11">
        <v>14.66</v>
      </c>
      <c r="I1482" s="8">
        <v>7.4</v>
      </c>
      <c r="J1482" s="7">
        <v>1</v>
      </c>
      <c r="K1482" s="10">
        <f t="shared" si="141"/>
        <v>0.10848400000000001</v>
      </c>
      <c r="L1482" s="32"/>
      <c r="M1482" s="32">
        <v>1</v>
      </c>
      <c r="N1482" s="18">
        <f t="shared" si="142"/>
        <v>0.10848400000000001</v>
      </c>
      <c r="O1482" s="19">
        <f t="shared" si="143"/>
        <v>0</v>
      </c>
      <c r="P1482" s="13">
        <f t="shared" si="144"/>
        <v>0</v>
      </c>
      <c r="Q1482" s="32"/>
      <c r="R1482" s="32">
        <v>1</v>
      </c>
      <c r="S1482" s="32" t="s">
        <v>631</v>
      </c>
    </row>
    <row r="1483" spans="1:22">
      <c r="A1483" s="42" t="s">
        <v>90</v>
      </c>
      <c r="B1483" s="48" t="s">
        <v>148</v>
      </c>
      <c r="C1483" s="32">
        <v>88</v>
      </c>
      <c r="D1483" s="32"/>
      <c r="E1483" s="48" t="s">
        <v>24</v>
      </c>
      <c r="F1483" s="48" t="s">
        <v>14</v>
      </c>
      <c r="G1483" s="48" t="s">
        <v>39</v>
      </c>
      <c r="H1483" s="11">
        <v>14.66</v>
      </c>
      <c r="I1483" s="52">
        <v>12</v>
      </c>
      <c r="J1483" s="7">
        <v>5</v>
      </c>
      <c r="K1483" s="10">
        <f t="shared" si="141"/>
        <v>0.87960000000000016</v>
      </c>
      <c r="L1483" s="32"/>
      <c r="M1483" s="32">
        <f>4+1</f>
        <v>5</v>
      </c>
      <c r="N1483" s="18">
        <f t="shared" si="142"/>
        <v>0.87960000000000005</v>
      </c>
      <c r="O1483" s="19">
        <f t="shared" si="143"/>
        <v>0</v>
      </c>
      <c r="P1483" s="13">
        <f t="shared" si="144"/>
        <v>0</v>
      </c>
      <c r="Q1483" s="33">
        <v>9.1</v>
      </c>
      <c r="R1483" s="45">
        <v>1</v>
      </c>
      <c r="S1483" s="32" t="s">
        <v>646</v>
      </c>
      <c r="T1483" s="33">
        <v>12</v>
      </c>
      <c r="U1483" s="32">
        <v>4</v>
      </c>
      <c r="V1483" s="111" t="s">
        <v>431</v>
      </c>
    </row>
    <row r="1484" spans="1:22">
      <c r="A1484" s="42" t="s">
        <v>90</v>
      </c>
      <c r="B1484" s="48" t="s">
        <v>148</v>
      </c>
      <c r="C1484" s="32">
        <v>89</v>
      </c>
      <c r="D1484" s="32"/>
      <c r="E1484" s="48" t="s">
        <v>19</v>
      </c>
      <c r="F1484" s="48" t="s">
        <v>14</v>
      </c>
      <c r="G1484" s="48" t="s">
        <v>27</v>
      </c>
      <c r="H1484" s="11">
        <v>6.17</v>
      </c>
      <c r="I1484" s="52">
        <v>11.5</v>
      </c>
      <c r="J1484" s="7">
        <v>1</v>
      </c>
      <c r="K1484" s="10">
        <f t="shared" si="141"/>
        <v>7.0955000000000004E-2</v>
      </c>
      <c r="L1484" s="32"/>
      <c r="M1484" s="32">
        <v>1</v>
      </c>
      <c r="N1484" s="18">
        <f t="shared" si="142"/>
        <v>7.0955000000000004E-2</v>
      </c>
      <c r="O1484" s="19">
        <f t="shared" si="143"/>
        <v>0</v>
      </c>
      <c r="P1484" s="13">
        <f t="shared" si="144"/>
        <v>0</v>
      </c>
      <c r="Q1484" s="477">
        <v>11.5</v>
      </c>
      <c r="R1484" s="404">
        <v>1</v>
      </c>
      <c r="S1484" s="2" t="s">
        <v>705</v>
      </c>
    </row>
    <row r="1485" spans="1:22">
      <c r="A1485" s="42" t="s">
        <v>90</v>
      </c>
      <c r="B1485" s="48" t="s">
        <v>148</v>
      </c>
      <c r="C1485" s="32">
        <v>89</v>
      </c>
      <c r="D1485" s="32"/>
      <c r="E1485" s="48" t="s">
        <v>19</v>
      </c>
      <c r="F1485" s="48" t="s">
        <v>14</v>
      </c>
      <c r="G1485" s="48" t="s">
        <v>27</v>
      </c>
      <c r="H1485" s="11">
        <v>6.17</v>
      </c>
      <c r="I1485" s="52">
        <v>11.3</v>
      </c>
      <c r="J1485" s="7">
        <v>1</v>
      </c>
      <c r="K1485" s="10">
        <f t="shared" si="141"/>
        <v>6.9721000000000005E-2</v>
      </c>
      <c r="L1485" s="32"/>
      <c r="M1485" s="32">
        <v>1</v>
      </c>
      <c r="N1485" s="18">
        <f t="shared" si="142"/>
        <v>6.9721000000000005E-2</v>
      </c>
      <c r="O1485" s="19">
        <f t="shared" si="143"/>
        <v>0</v>
      </c>
      <c r="P1485" s="13">
        <f t="shared" si="144"/>
        <v>0</v>
      </c>
      <c r="Q1485" s="477">
        <v>10</v>
      </c>
      <c r="R1485" s="404">
        <v>1</v>
      </c>
      <c r="S1485" s="2" t="s">
        <v>705</v>
      </c>
    </row>
    <row r="1486" spans="1:22">
      <c r="A1486" s="42" t="s">
        <v>90</v>
      </c>
      <c r="B1486" s="48" t="s">
        <v>148</v>
      </c>
      <c r="C1486" s="32">
        <v>90</v>
      </c>
      <c r="D1486" s="32"/>
      <c r="E1486" s="48" t="s">
        <v>19</v>
      </c>
      <c r="F1486" s="48" t="s">
        <v>14</v>
      </c>
      <c r="G1486" s="48" t="s">
        <v>25</v>
      </c>
      <c r="H1486" s="11">
        <v>7.34</v>
      </c>
      <c r="I1486" s="8">
        <v>10</v>
      </c>
      <c r="J1486" s="7">
        <v>1</v>
      </c>
      <c r="K1486" s="10">
        <f t="shared" si="141"/>
        <v>7.3400000000000007E-2</v>
      </c>
      <c r="L1486" s="32"/>
      <c r="M1486" s="32">
        <v>1</v>
      </c>
      <c r="N1486" s="18">
        <f t="shared" si="142"/>
        <v>7.3400000000000007E-2</v>
      </c>
      <c r="O1486" s="19">
        <f t="shared" si="143"/>
        <v>0</v>
      </c>
      <c r="P1486" s="13">
        <f t="shared" si="144"/>
        <v>0</v>
      </c>
      <c r="Q1486" s="32">
        <v>7.55</v>
      </c>
      <c r="R1486" s="32">
        <v>1</v>
      </c>
      <c r="S1486" s="2" t="s">
        <v>335</v>
      </c>
    </row>
    <row r="1487" spans="1:22">
      <c r="A1487" s="42" t="s">
        <v>90</v>
      </c>
      <c r="B1487" s="48" t="s">
        <v>148</v>
      </c>
      <c r="C1487" s="32">
        <v>90</v>
      </c>
      <c r="D1487" s="32"/>
      <c r="E1487" s="48" t="s">
        <v>19</v>
      </c>
      <c r="F1487" s="48" t="s">
        <v>14</v>
      </c>
      <c r="G1487" s="48" t="s">
        <v>25</v>
      </c>
      <c r="H1487" s="11">
        <v>7.34</v>
      </c>
      <c r="I1487" s="8">
        <v>11.9</v>
      </c>
      <c r="J1487" s="7">
        <v>2</v>
      </c>
      <c r="K1487" s="10">
        <f t="shared" si="141"/>
        <v>0.17469200000000001</v>
      </c>
      <c r="L1487" s="32"/>
      <c r="M1487" s="32">
        <v>2</v>
      </c>
      <c r="N1487" s="18">
        <f t="shared" si="142"/>
        <v>0.17469200000000001</v>
      </c>
      <c r="O1487" s="19">
        <f t="shared" si="143"/>
        <v>0</v>
      </c>
      <c r="P1487" s="13">
        <f t="shared" si="144"/>
        <v>0</v>
      </c>
      <c r="Q1487" s="32">
        <v>10.15</v>
      </c>
      <c r="R1487" s="32">
        <v>2</v>
      </c>
      <c r="S1487" s="2" t="s">
        <v>335</v>
      </c>
    </row>
    <row r="1488" spans="1:22">
      <c r="A1488" s="42" t="s">
        <v>90</v>
      </c>
      <c r="B1488" s="48" t="s">
        <v>148</v>
      </c>
      <c r="C1488" s="32">
        <v>91</v>
      </c>
      <c r="D1488" s="32"/>
      <c r="E1488" s="48" t="s">
        <v>159</v>
      </c>
      <c r="F1488" s="48" t="s">
        <v>14</v>
      </c>
      <c r="G1488" s="48" t="s">
        <v>31</v>
      </c>
      <c r="H1488" s="11">
        <v>9.65</v>
      </c>
      <c r="I1488" s="8">
        <v>13.1</v>
      </c>
      <c r="J1488" s="7">
        <v>1</v>
      </c>
      <c r="K1488" s="10">
        <f t="shared" si="141"/>
        <v>0.126415</v>
      </c>
      <c r="L1488" s="32"/>
      <c r="M1488" s="32"/>
      <c r="N1488" s="18">
        <f t="shared" si="142"/>
        <v>0</v>
      </c>
      <c r="O1488" s="19">
        <f t="shared" si="143"/>
        <v>1</v>
      </c>
      <c r="P1488" s="13">
        <f t="shared" si="144"/>
        <v>0.126415</v>
      </c>
      <c r="Q1488" s="32"/>
      <c r="R1488" s="32"/>
      <c r="S1488" s="32"/>
    </row>
    <row r="1489" spans="1:19">
      <c r="A1489" s="42" t="s">
        <v>90</v>
      </c>
      <c r="B1489" s="48" t="s">
        <v>148</v>
      </c>
      <c r="C1489" s="32">
        <v>91</v>
      </c>
      <c r="D1489" s="32"/>
      <c r="E1489" s="48" t="s">
        <v>159</v>
      </c>
      <c r="F1489" s="48" t="s">
        <v>14</v>
      </c>
      <c r="G1489" s="48" t="s">
        <v>31</v>
      </c>
      <c r="H1489" s="11">
        <v>9.65</v>
      </c>
      <c r="I1489" s="8">
        <v>11.5</v>
      </c>
      <c r="J1489" s="7">
        <v>1</v>
      </c>
      <c r="K1489" s="10">
        <f t="shared" ref="K1489:K1539" si="145">(H1489*I1489*J1489/1000)</f>
        <v>0.110975</v>
      </c>
      <c r="L1489" s="32"/>
      <c r="M1489" s="32">
        <v>1</v>
      </c>
      <c r="N1489" s="18">
        <f t="shared" ref="N1489:N1539" si="146">I1489*M1489*H1489/1000</f>
        <v>0.110975</v>
      </c>
      <c r="O1489" s="19">
        <f t="shared" ref="O1489:O1539" si="147">J1489-M1489</f>
        <v>0</v>
      </c>
      <c r="P1489" s="13">
        <f t="shared" ref="P1489:P1539" si="148">I1489*O1489*H1489/1000</f>
        <v>0</v>
      </c>
      <c r="Q1489" s="32"/>
      <c r="R1489" s="32"/>
      <c r="S1489" s="32"/>
    </row>
    <row r="1490" spans="1:19">
      <c r="A1490" s="42" t="s">
        <v>90</v>
      </c>
      <c r="B1490" s="48" t="s">
        <v>148</v>
      </c>
      <c r="C1490" s="32">
        <v>91</v>
      </c>
      <c r="D1490" s="32"/>
      <c r="E1490" s="48" t="s">
        <v>159</v>
      </c>
      <c r="F1490" s="48" t="s">
        <v>14</v>
      </c>
      <c r="G1490" s="48" t="s">
        <v>31</v>
      </c>
      <c r="H1490" s="11">
        <v>9.65</v>
      </c>
      <c r="I1490" s="8">
        <v>10.5</v>
      </c>
      <c r="J1490" s="7">
        <v>2</v>
      </c>
      <c r="K1490" s="10">
        <f t="shared" si="145"/>
        <v>0.20265</v>
      </c>
      <c r="L1490" s="32"/>
      <c r="M1490" s="32"/>
      <c r="N1490" s="18">
        <f t="shared" si="146"/>
        <v>0</v>
      </c>
      <c r="O1490" s="19">
        <f t="shared" si="147"/>
        <v>2</v>
      </c>
      <c r="P1490" s="13">
        <f t="shared" si="148"/>
        <v>0.20265</v>
      </c>
      <c r="Q1490" s="32"/>
      <c r="R1490" s="32"/>
      <c r="S1490" s="32"/>
    </row>
    <row r="1491" spans="1:19">
      <c r="A1491" s="42" t="s">
        <v>90</v>
      </c>
      <c r="B1491" s="48" t="s">
        <v>148</v>
      </c>
      <c r="C1491" s="32">
        <v>92</v>
      </c>
      <c r="D1491" s="32"/>
      <c r="E1491" s="35"/>
      <c r="F1491" s="35" t="s">
        <v>14</v>
      </c>
      <c r="G1491" s="48" t="s">
        <v>42</v>
      </c>
      <c r="H1491" s="11">
        <v>19.72</v>
      </c>
      <c r="I1491" s="52">
        <v>11.5</v>
      </c>
      <c r="J1491" s="7">
        <v>1</v>
      </c>
      <c r="K1491" s="10">
        <f t="shared" si="145"/>
        <v>0.22677999999999998</v>
      </c>
      <c r="L1491" s="32"/>
      <c r="M1491" s="32">
        <v>1</v>
      </c>
      <c r="N1491" s="18">
        <f t="shared" si="146"/>
        <v>0.22677999999999998</v>
      </c>
      <c r="O1491" s="19">
        <f t="shared" si="147"/>
        <v>0</v>
      </c>
      <c r="P1491" s="13">
        <f t="shared" si="148"/>
        <v>0</v>
      </c>
      <c r="Q1491" s="32">
        <v>6.5</v>
      </c>
      <c r="R1491" s="32">
        <v>1</v>
      </c>
      <c r="S1491" s="32" t="s">
        <v>795</v>
      </c>
    </row>
    <row r="1492" spans="1:19">
      <c r="A1492" s="42" t="s">
        <v>90</v>
      </c>
      <c r="B1492" s="48" t="s">
        <v>148</v>
      </c>
      <c r="C1492" s="32">
        <v>92</v>
      </c>
      <c r="D1492" s="32"/>
      <c r="E1492" s="48" t="s">
        <v>152</v>
      </c>
      <c r="F1492" s="48" t="s">
        <v>15</v>
      </c>
      <c r="G1492" s="48" t="s">
        <v>43</v>
      </c>
      <c r="H1492" s="11">
        <v>15.04</v>
      </c>
      <c r="I1492" s="52">
        <v>8.5</v>
      </c>
      <c r="J1492" s="7">
        <v>1</v>
      </c>
      <c r="K1492" s="10">
        <f t="shared" si="145"/>
        <v>0.12783999999999998</v>
      </c>
      <c r="L1492" s="32"/>
      <c r="M1492" s="32">
        <v>1</v>
      </c>
      <c r="N1492" s="18">
        <f t="shared" si="146"/>
        <v>0.12783999999999998</v>
      </c>
      <c r="O1492" s="19">
        <f t="shared" si="147"/>
        <v>0</v>
      </c>
      <c r="P1492" s="13">
        <f t="shared" si="148"/>
        <v>0</v>
      </c>
      <c r="Q1492" s="32"/>
      <c r="R1492" s="32">
        <v>1</v>
      </c>
      <c r="S1492" s="32" t="s">
        <v>734</v>
      </c>
    </row>
    <row r="1493" spans="1:19">
      <c r="A1493" s="42" t="s">
        <v>90</v>
      </c>
      <c r="B1493" s="48" t="s">
        <v>148</v>
      </c>
      <c r="C1493" s="32">
        <v>93</v>
      </c>
      <c r="D1493" s="32"/>
      <c r="E1493" s="48" t="s">
        <v>19</v>
      </c>
      <c r="F1493" s="48" t="s">
        <v>14</v>
      </c>
      <c r="G1493" s="48" t="s">
        <v>34</v>
      </c>
      <c r="H1493" s="11">
        <v>9.61</v>
      </c>
      <c r="I1493" s="52">
        <v>8.3000000000000007</v>
      </c>
      <c r="J1493" s="7">
        <v>1</v>
      </c>
      <c r="K1493" s="10">
        <f t="shared" si="145"/>
        <v>7.9763000000000001E-2</v>
      </c>
      <c r="L1493" s="32"/>
      <c r="M1493" s="32">
        <v>1</v>
      </c>
      <c r="N1493" s="18">
        <f t="shared" si="146"/>
        <v>7.9763000000000001E-2</v>
      </c>
      <c r="O1493" s="19">
        <f t="shared" si="147"/>
        <v>0</v>
      </c>
      <c r="P1493" s="13">
        <f t="shared" si="148"/>
        <v>0</v>
      </c>
      <c r="Q1493" s="32"/>
      <c r="R1493" s="32">
        <v>1</v>
      </c>
      <c r="S1493" s="2" t="s">
        <v>278</v>
      </c>
    </row>
    <row r="1494" spans="1:19">
      <c r="A1494" s="42" t="s">
        <v>90</v>
      </c>
      <c r="B1494" s="48" t="s">
        <v>148</v>
      </c>
      <c r="C1494" s="32">
        <v>93</v>
      </c>
      <c r="D1494" s="32"/>
      <c r="E1494" s="48" t="s">
        <v>19</v>
      </c>
      <c r="F1494" s="48" t="s">
        <v>14</v>
      </c>
      <c r="G1494" s="48" t="s">
        <v>34</v>
      </c>
      <c r="H1494" s="11">
        <v>9.61</v>
      </c>
      <c r="I1494" s="52">
        <v>6.9</v>
      </c>
      <c r="J1494" s="7">
        <v>1</v>
      </c>
      <c r="K1494" s="10">
        <f t="shared" si="145"/>
        <v>6.6308999999999993E-2</v>
      </c>
      <c r="L1494" s="32"/>
      <c r="M1494" s="32">
        <v>1</v>
      </c>
      <c r="N1494" s="18">
        <f t="shared" si="146"/>
        <v>6.6308999999999993E-2</v>
      </c>
      <c r="O1494" s="19">
        <f t="shared" si="147"/>
        <v>0</v>
      </c>
      <c r="P1494" s="13">
        <f t="shared" si="148"/>
        <v>0</v>
      </c>
      <c r="Q1494" s="32"/>
      <c r="R1494" s="32">
        <v>1</v>
      </c>
      <c r="S1494" s="2" t="s">
        <v>278</v>
      </c>
    </row>
    <row r="1495" spans="1:19">
      <c r="A1495" s="42" t="s">
        <v>90</v>
      </c>
      <c r="B1495" s="48" t="s">
        <v>148</v>
      </c>
      <c r="C1495" s="32">
        <v>93</v>
      </c>
      <c r="D1495" s="32"/>
      <c r="E1495" s="48" t="s">
        <v>19</v>
      </c>
      <c r="F1495" s="48" t="s">
        <v>14</v>
      </c>
      <c r="G1495" s="48" t="s">
        <v>34</v>
      </c>
      <c r="H1495" s="11">
        <v>9.61</v>
      </c>
      <c r="I1495" s="52">
        <v>5.4</v>
      </c>
      <c r="J1495" s="7">
        <v>1</v>
      </c>
      <c r="K1495" s="10">
        <f t="shared" si="145"/>
        <v>5.1893999999999996E-2</v>
      </c>
      <c r="L1495" s="32"/>
      <c r="M1495" s="32"/>
      <c r="N1495" s="18">
        <f t="shared" si="146"/>
        <v>0</v>
      </c>
      <c r="O1495" s="19">
        <f t="shared" si="147"/>
        <v>1</v>
      </c>
      <c r="P1495" s="13">
        <f t="shared" si="148"/>
        <v>5.1893999999999996E-2</v>
      </c>
      <c r="Q1495" s="32"/>
      <c r="R1495" s="32"/>
      <c r="S1495" s="32"/>
    </row>
    <row r="1496" spans="1:19">
      <c r="A1496" s="42" t="s">
        <v>90</v>
      </c>
      <c r="B1496" s="48" t="s">
        <v>148</v>
      </c>
      <c r="C1496" s="32">
        <v>94</v>
      </c>
      <c r="D1496" s="32"/>
      <c r="E1496" s="48" t="s">
        <v>159</v>
      </c>
      <c r="F1496" s="48" t="s">
        <v>14</v>
      </c>
      <c r="G1496" s="48" t="s">
        <v>23</v>
      </c>
      <c r="H1496" s="11">
        <v>9</v>
      </c>
      <c r="I1496" s="52">
        <v>6</v>
      </c>
      <c r="J1496" s="7">
        <v>1</v>
      </c>
      <c r="K1496" s="10">
        <f t="shared" si="145"/>
        <v>5.3999999999999999E-2</v>
      </c>
      <c r="L1496" s="32"/>
      <c r="M1496" s="32"/>
      <c r="N1496" s="18">
        <f t="shared" si="146"/>
        <v>0</v>
      </c>
      <c r="O1496" s="19">
        <f t="shared" si="147"/>
        <v>1</v>
      </c>
      <c r="P1496" s="13">
        <f t="shared" si="148"/>
        <v>5.3999999999999999E-2</v>
      </c>
      <c r="Q1496" s="32"/>
      <c r="R1496" s="32"/>
      <c r="S1496" s="32"/>
    </row>
    <row r="1497" spans="1:19">
      <c r="A1497" s="42" t="s">
        <v>90</v>
      </c>
      <c r="B1497" s="48" t="s">
        <v>148</v>
      </c>
      <c r="C1497" s="32">
        <v>95</v>
      </c>
      <c r="D1497" s="32"/>
      <c r="E1497" s="69" t="s">
        <v>19</v>
      </c>
      <c r="F1497" s="69" t="s">
        <v>14</v>
      </c>
      <c r="G1497" s="69" t="s">
        <v>32</v>
      </c>
      <c r="H1497" s="61">
        <v>8.3000000000000007</v>
      </c>
      <c r="I1497" s="21">
        <v>11</v>
      </c>
      <c r="J1497" s="60">
        <v>2</v>
      </c>
      <c r="K1497" s="62">
        <f t="shared" si="145"/>
        <v>0.18260000000000001</v>
      </c>
      <c r="L1497" s="256" t="s">
        <v>158</v>
      </c>
      <c r="M1497" s="67"/>
      <c r="N1497" s="63">
        <f t="shared" si="146"/>
        <v>0</v>
      </c>
      <c r="O1497" s="64">
        <f t="shared" si="147"/>
        <v>2</v>
      </c>
      <c r="P1497" s="65">
        <f t="shared" si="148"/>
        <v>0.18260000000000001</v>
      </c>
      <c r="Q1497" s="32"/>
      <c r="R1497" s="32"/>
      <c r="S1497" s="32"/>
    </row>
    <row r="1498" spans="1:19">
      <c r="A1498" s="42" t="s">
        <v>90</v>
      </c>
      <c r="B1498" s="48" t="s">
        <v>148</v>
      </c>
      <c r="C1498" s="32">
        <v>96</v>
      </c>
      <c r="D1498" s="32"/>
      <c r="E1498" s="48" t="s">
        <v>152</v>
      </c>
      <c r="F1498" s="48" t="s">
        <v>15</v>
      </c>
      <c r="G1498" s="48" t="s">
        <v>21</v>
      </c>
      <c r="H1498" s="11">
        <v>6.97</v>
      </c>
      <c r="I1498" s="8">
        <v>11.4</v>
      </c>
      <c r="J1498" s="7">
        <v>1</v>
      </c>
      <c r="K1498" s="10">
        <f t="shared" si="145"/>
        <v>7.9458000000000001E-2</v>
      </c>
      <c r="L1498" s="32"/>
      <c r="M1498" s="32">
        <v>1</v>
      </c>
      <c r="N1498" s="18">
        <f t="shared" si="146"/>
        <v>7.9458000000000001E-2</v>
      </c>
      <c r="O1498" s="19">
        <f t="shared" si="147"/>
        <v>0</v>
      </c>
      <c r="P1498" s="13">
        <f t="shared" si="148"/>
        <v>0</v>
      </c>
      <c r="Q1498" s="155">
        <v>10</v>
      </c>
      <c r="R1498" s="45">
        <v>1</v>
      </c>
      <c r="S1498" s="32" t="s">
        <v>272</v>
      </c>
    </row>
    <row r="1499" spans="1:19">
      <c r="A1499" s="42" t="s">
        <v>90</v>
      </c>
      <c r="B1499" s="48" t="s">
        <v>148</v>
      </c>
      <c r="C1499" s="32">
        <v>96</v>
      </c>
      <c r="D1499" s="32"/>
      <c r="E1499" s="48" t="s">
        <v>152</v>
      </c>
      <c r="F1499" s="48" t="s">
        <v>15</v>
      </c>
      <c r="G1499" s="48" t="s">
        <v>21</v>
      </c>
      <c r="H1499" s="11">
        <v>6.97</v>
      </c>
      <c r="I1499" s="8">
        <v>9.4</v>
      </c>
      <c r="J1499" s="7">
        <v>1</v>
      </c>
      <c r="K1499" s="10">
        <f t="shared" si="145"/>
        <v>6.5518000000000007E-2</v>
      </c>
      <c r="L1499" s="32"/>
      <c r="M1499" s="32"/>
      <c r="N1499" s="18">
        <f t="shared" si="146"/>
        <v>0</v>
      </c>
      <c r="O1499" s="19">
        <f t="shared" si="147"/>
        <v>1</v>
      </c>
      <c r="P1499" s="13">
        <f t="shared" si="148"/>
        <v>6.5518000000000007E-2</v>
      </c>
      <c r="Q1499" s="33"/>
      <c r="R1499" s="32"/>
      <c r="S1499" s="32"/>
    </row>
    <row r="1500" spans="1:19">
      <c r="A1500" s="42" t="s">
        <v>90</v>
      </c>
      <c r="B1500" s="48" t="s">
        <v>148</v>
      </c>
      <c r="C1500" s="32">
        <v>96</v>
      </c>
      <c r="D1500" s="32"/>
      <c r="E1500" s="48" t="s">
        <v>152</v>
      </c>
      <c r="F1500" s="48" t="s">
        <v>15</v>
      </c>
      <c r="G1500" s="48" t="s">
        <v>21</v>
      </c>
      <c r="H1500" s="11">
        <v>6.97</v>
      </c>
      <c r="I1500" s="8">
        <v>10.199999999999999</v>
      </c>
      <c r="J1500" s="7">
        <v>1</v>
      </c>
      <c r="K1500" s="10">
        <f t="shared" si="145"/>
        <v>7.1093999999999991E-2</v>
      </c>
      <c r="L1500" s="32"/>
      <c r="M1500" s="32">
        <v>1</v>
      </c>
      <c r="N1500" s="18">
        <f t="shared" si="146"/>
        <v>7.1093999999999991E-2</v>
      </c>
      <c r="O1500" s="19">
        <f t="shared" si="147"/>
        <v>0</v>
      </c>
      <c r="P1500" s="13">
        <f t="shared" si="148"/>
        <v>0</v>
      </c>
      <c r="Q1500" s="155">
        <v>10</v>
      </c>
      <c r="R1500" s="45">
        <v>1</v>
      </c>
      <c r="S1500" s="32" t="s">
        <v>272</v>
      </c>
    </row>
    <row r="1501" spans="1:19">
      <c r="A1501" s="42" t="s">
        <v>90</v>
      </c>
      <c r="B1501" s="48" t="s">
        <v>148</v>
      </c>
      <c r="C1501" s="32">
        <v>96</v>
      </c>
      <c r="D1501" s="32"/>
      <c r="E1501" s="48" t="s">
        <v>152</v>
      </c>
      <c r="F1501" s="48" t="s">
        <v>15</v>
      </c>
      <c r="G1501" s="48" t="s">
        <v>21</v>
      </c>
      <c r="H1501" s="11">
        <v>6.97</v>
      </c>
      <c r="I1501" s="8">
        <v>12</v>
      </c>
      <c r="J1501" s="7">
        <v>1</v>
      </c>
      <c r="K1501" s="10">
        <f t="shared" si="145"/>
        <v>8.3640000000000006E-2</v>
      </c>
      <c r="L1501" s="32"/>
      <c r="M1501" s="32">
        <v>1</v>
      </c>
      <c r="N1501" s="18">
        <f t="shared" si="146"/>
        <v>8.3640000000000006E-2</v>
      </c>
      <c r="O1501" s="19">
        <f t="shared" si="147"/>
        <v>0</v>
      </c>
      <c r="P1501" s="13">
        <f t="shared" si="148"/>
        <v>0</v>
      </c>
      <c r="Q1501" s="155">
        <v>12</v>
      </c>
      <c r="R1501" s="45">
        <v>1</v>
      </c>
      <c r="S1501" s="32" t="s">
        <v>272</v>
      </c>
    </row>
    <row r="1502" spans="1:19">
      <c r="A1502" s="42" t="s">
        <v>90</v>
      </c>
      <c r="B1502" s="48" t="s">
        <v>148</v>
      </c>
      <c r="C1502" s="32">
        <v>97</v>
      </c>
      <c r="D1502" s="32"/>
      <c r="E1502" s="48" t="s">
        <v>159</v>
      </c>
      <c r="F1502" s="48" t="s">
        <v>14</v>
      </c>
      <c r="G1502" s="48" t="s">
        <v>29</v>
      </c>
      <c r="H1502" s="11">
        <v>10.92</v>
      </c>
      <c r="I1502" s="52">
        <v>12</v>
      </c>
      <c r="J1502" s="7">
        <v>5</v>
      </c>
      <c r="K1502" s="10">
        <f t="shared" si="145"/>
        <v>0.65519999999999989</v>
      </c>
      <c r="L1502" s="32"/>
      <c r="M1502" s="32">
        <f>1+4</f>
        <v>5</v>
      </c>
      <c r="N1502" s="18">
        <f t="shared" si="146"/>
        <v>0.6552</v>
      </c>
      <c r="O1502" s="19">
        <f t="shared" si="147"/>
        <v>0</v>
      </c>
      <c r="P1502" s="13">
        <f t="shared" si="148"/>
        <v>0</v>
      </c>
      <c r="Q1502" s="9">
        <v>12</v>
      </c>
      <c r="R1502" s="32">
        <v>4</v>
      </c>
      <c r="S1502" s="9" t="s">
        <v>376</v>
      </c>
    </row>
    <row r="1503" spans="1:19">
      <c r="A1503" s="42" t="s">
        <v>90</v>
      </c>
      <c r="B1503" s="48" t="s">
        <v>148</v>
      </c>
      <c r="C1503" s="32">
        <v>97</v>
      </c>
      <c r="D1503" s="32"/>
      <c r="E1503" s="48" t="s">
        <v>159</v>
      </c>
      <c r="F1503" s="48" t="s">
        <v>14</v>
      </c>
      <c r="G1503" s="48" t="s">
        <v>29</v>
      </c>
      <c r="H1503" s="11">
        <v>10.92</v>
      </c>
      <c r="I1503" s="52">
        <v>10.5</v>
      </c>
      <c r="J1503" s="7">
        <v>2</v>
      </c>
      <c r="K1503" s="10">
        <f t="shared" si="145"/>
        <v>0.22932</v>
      </c>
      <c r="L1503" s="32"/>
      <c r="M1503" s="32">
        <f>1+1</f>
        <v>2</v>
      </c>
      <c r="N1503" s="18">
        <f t="shared" si="146"/>
        <v>0.22932</v>
      </c>
      <c r="O1503" s="19">
        <f t="shared" si="147"/>
        <v>0</v>
      </c>
      <c r="P1503" s="13">
        <f t="shared" si="148"/>
        <v>0</v>
      </c>
      <c r="Q1503" s="9">
        <v>10.5</v>
      </c>
      <c r="R1503" s="32">
        <v>1</v>
      </c>
      <c r="S1503" s="9" t="s">
        <v>376</v>
      </c>
    </row>
    <row r="1504" spans="1:19">
      <c r="A1504" s="42" t="s">
        <v>90</v>
      </c>
      <c r="B1504" s="48" t="s">
        <v>148</v>
      </c>
      <c r="C1504" s="32">
        <v>97</v>
      </c>
      <c r="D1504" s="32"/>
      <c r="E1504" s="48" t="s">
        <v>159</v>
      </c>
      <c r="F1504" s="48" t="s">
        <v>14</v>
      </c>
      <c r="G1504" s="48" t="s">
        <v>29</v>
      </c>
      <c r="H1504" s="11">
        <v>10.92</v>
      </c>
      <c r="I1504" s="52">
        <v>10.4</v>
      </c>
      <c r="J1504" s="7">
        <v>1</v>
      </c>
      <c r="K1504" s="10">
        <f t="shared" si="145"/>
        <v>0.113568</v>
      </c>
      <c r="L1504" s="32"/>
      <c r="M1504" s="32">
        <v>1</v>
      </c>
      <c r="N1504" s="18">
        <f t="shared" si="146"/>
        <v>0.113568</v>
      </c>
      <c r="O1504" s="19">
        <f t="shared" si="147"/>
        <v>0</v>
      </c>
      <c r="P1504" s="13">
        <f t="shared" si="148"/>
        <v>0</v>
      </c>
      <c r="Q1504" s="9">
        <v>10.4</v>
      </c>
      <c r="R1504" s="32">
        <v>1</v>
      </c>
      <c r="S1504" s="9" t="s">
        <v>376</v>
      </c>
    </row>
    <row r="1505" spans="1:19">
      <c r="A1505" s="42" t="s">
        <v>90</v>
      </c>
      <c r="B1505" s="48" t="s">
        <v>148</v>
      </c>
      <c r="C1505" s="32">
        <v>98</v>
      </c>
      <c r="D1505" s="32"/>
      <c r="E1505" s="48" t="s">
        <v>152</v>
      </c>
      <c r="F1505" s="48" t="s">
        <v>15</v>
      </c>
      <c r="G1505" s="48" t="s">
        <v>21</v>
      </c>
      <c r="H1505" s="11">
        <v>6.97</v>
      </c>
      <c r="I1505" s="8">
        <v>12</v>
      </c>
      <c r="J1505" s="7">
        <v>1</v>
      </c>
      <c r="K1505" s="10">
        <f t="shared" si="145"/>
        <v>8.3640000000000006E-2</v>
      </c>
      <c r="L1505" s="32"/>
      <c r="M1505" s="32">
        <v>1</v>
      </c>
      <c r="N1505" s="18">
        <f t="shared" si="146"/>
        <v>8.3640000000000006E-2</v>
      </c>
      <c r="O1505" s="19">
        <f t="shared" si="147"/>
        <v>0</v>
      </c>
      <c r="P1505" s="13">
        <f t="shared" si="148"/>
        <v>0</v>
      </c>
      <c r="Q1505" s="155">
        <v>12</v>
      </c>
      <c r="R1505" s="45">
        <v>1</v>
      </c>
      <c r="S1505" s="32" t="s">
        <v>272</v>
      </c>
    </row>
    <row r="1506" spans="1:19">
      <c r="A1506" s="42" t="s">
        <v>90</v>
      </c>
      <c r="B1506" s="48" t="s">
        <v>148</v>
      </c>
      <c r="C1506" s="32">
        <v>99</v>
      </c>
      <c r="D1506" s="32"/>
      <c r="E1506" s="48" t="s">
        <v>19</v>
      </c>
      <c r="F1506" s="48" t="s">
        <v>14</v>
      </c>
      <c r="G1506" s="48" t="s">
        <v>32</v>
      </c>
      <c r="H1506" s="11">
        <v>8.3000000000000007</v>
      </c>
      <c r="I1506" s="8">
        <v>8</v>
      </c>
      <c r="J1506" s="7">
        <v>1</v>
      </c>
      <c r="K1506" s="10">
        <f t="shared" si="145"/>
        <v>6.6400000000000001E-2</v>
      </c>
      <c r="L1506" s="32"/>
      <c r="M1506" s="32">
        <v>1</v>
      </c>
      <c r="N1506" s="18">
        <f t="shared" si="146"/>
        <v>6.6400000000000001E-2</v>
      </c>
      <c r="O1506" s="19">
        <f t="shared" si="147"/>
        <v>0</v>
      </c>
      <c r="P1506" s="13">
        <f t="shared" si="148"/>
        <v>0</v>
      </c>
      <c r="Q1506" s="9">
        <v>7.15</v>
      </c>
      <c r="R1506" s="32">
        <v>1</v>
      </c>
      <c r="S1506" s="2" t="s">
        <v>732</v>
      </c>
    </row>
    <row r="1507" spans="1:19">
      <c r="A1507" s="42" t="s">
        <v>90</v>
      </c>
      <c r="B1507" s="48" t="s">
        <v>148</v>
      </c>
      <c r="C1507" s="32">
        <v>99</v>
      </c>
      <c r="D1507" s="32"/>
      <c r="E1507" s="48" t="s">
        <v>19</v>
      </c>
      <c r="F1507" s="48" t="s">
        <v>14</v>
      </c>
      <c r="G1507" s="48" t="s">
        <v>32</v>
      </c>
      <c r="H1507" s="11">
        <v>8.3000000000000007</v>
      </c>
      <c r="I1507" s="8">
        <v>5.7</v>
      </c>
      <c r="J1507" s="7">
        <v>1</v>
      </c>
      <c r="K1507" s="10">
        <f t="shared" si="145"/>
        <v>4.7310000000000005E-2</v>
      </c>
      <c r="L1507" s="32"/>
      <c r="M1507" s="32"/>
      <c r="N1507" s="18">
        <f t="shared" si="146"/>
        <v>0</v>
      </c>
      <c r="O1507" s="19">
        <f t="shared" si="147"/>
        <v>1</v>
      </c>
      <c r="P1507" s="13">
        <f t="shared" si="148"/>
        <v>4.7310000000000005E-2</v>
      </c>
      <c r="Q1507" s="32"/>
      <c r="R1507" s="32"/>
      <c r="S1507" s="32"/>
    </row>
    <row r="1508" spans="1:19">
      <c r="A1508" s="42" t="s">
        <v>90</v>
      </c>
      <c r="B1508" s="48" t="s">
        <v>148</v>
      </c>
      <c r="C1508" s="32">
        <v>99</v>
      </c>
      <c r="D1508" s="32"/>
      <c r="E1508" s="48" t="s">
        <v>19</v>
      </c>
      <c r="F1508" s="48" t="s">
        <v>14</v>
      </c>
      <c r="G1508" s="48" t="s">
        <v>32</v>
      </c>
      <c r="H1508" s="11">
        <v>8.3000000000000007</v>
      </c>
      <c r="I1508" s="8">
        <v>5.2</v>
      </c>
      <c r="J1508" s="7">
        <v>1</v>
      </c>
      <c r="K1508" s="10">
        <f t="shared" si="145"/>
        <v>4.3160000000000004E-2</v>
      </c>
      <c r="L1508" s="32"/>
      <c r="M1508" s="32"/>
      <c r="N1508" s="18">
        <f t="shared" si="146"/>
        <v>0</v>
      </c>
      <c r="O1508" s="19">
        <f t="shared" si="147"/>
        <v>1</v>
      </c>
      <c r="P1508" s="13">
        <f t="shared" si="148"/>
        <v>4.3160000000000004E-2</v>
      </c>
      <c r="Q1508" s="32"/>
      <c r="R1508" s="32"/>
      <c r="S1508" s="32"/>
    </row>
    <row r="1509" spans="1:19">
      <c r="A1509" s="42" t="s">
        <v>90</v>
      </c>
      <c r="B1509" s="48" t="s">
        <v>148</v>
      </c>
      <c r="C1509" s="32">
        <v>100</v>
      </c>
      <c r="D1509" s="32"/>
      <c r="E1509" s="48" t="s">
        <v>152</v>
      </c>
      <c r="F1509" s="48" t="s">
        <v>15</v>
      </c>
      <c r="G1509" s="48" t="s">
        <v>32</v>
      </c>
      <c r="H1509" s="11">
        <v>8.3000000000000007</v>
      </c>
      <c r="I1509" s="52">
        <v>10</v>
      </c>
      <c r="J1509" s="7">
        <v>1</v>
      </c>
      <c r="K1509" s="10">
        <f t="shared" si="145"/>
        <v>8.3000000000000004E-2</v>
      </c>
      <c r="L1509" s="32"/>
      <c r="M1509" s="32">
        <v>1</v>
      </c>
      <c r="N1509" s="18">
        <f t="shared" si="146"/>
        <v>8.3000000000000004E-2</v>
      </c>
      <c r="O1509" s="19">
        <f t="shared" si="147"/>
        <v>0</v>
      </c>
      <c r="P1509" s="13">
        <f t="shared" si="148"/>
        <v>0</v>
      </c>
      <c r="Q1509" s="32">
        <v>8.15</v>
      </c>
      <c r="R1509" s="32">
        <v>1</v>
      </c>
      <c r="S1509" s="32"/>
    </row>
    <row r="1510" spans="1:19">
      <c r="A1510" s="42" t="s">
        <v>90</v>
      </c>
      <c r="B1510" s="48" t="s">
        <v>148</v>
      </c>
      <c r="C1510" s="32">
        <v>100</v>
      </c>
      <c r="D1510" s="32"/>
      <c r="E1510" s="48" t="s">
        <v>152</v>
      </c>
      <c r="F1510" s="48" t="s">
        <v>15</v>
      </c>
      <c r="G1510" s="48" t="s">
        <v>32</v>
      </c>
      <c r="H1510" s="11">
        <v>8.3000000000000007</v>
      </c>
      <c r="I1510" s="52">
        <v>9</v>
      </c>
      <c r="J1510" s="7">
        <v>1</v>
      </c>
      <c r="K1510" s="10">
        <f t="shared" si="145"/>
        <v>7.4700000000000003E-2</v>
      </c>
      <c r="L1510" s="32"/>
      <c r="M1510" s="32">
        <v>1</v>
      </c>
      <c r="N1510" s="18">
        <f t="shared" si="146"/>
        <v>7.4700000000000003E-2</v>
      </c>
      <c r="O1510" s="19">
        <f t="shared" si="147"/>
        <v>0</v>
      </c>
      <c r="P1510" s="13">
        <f t="shared" si="148"/>
        <v>0</v>
      </c>
      <c r="Q1510" s="32">
        <v>8.15</v>
      </c>
      <c r="R1510" s="32">
        <v>1</v>
      </c>
      <c r="S1510" s="32"/>
    </row>
    <row r="1511" spans="1:19">
      <c r="A1511" s="42" t="s">
        <v>90</v>
      </c>
      <c r="B1511" s="48" t="s">
        <v>148</v>
      </c>
      <c r="C1511" s="32">
        <v>101</v>
      </c>
      <c r="D1511" s="32"/>
      <c r="E1511" s="69" t="s">
        <v>152</v>
      </c>
      <c r="F1511" s="69" t="s">
        <v>15</v>
      </c>
      <c r="G1511" s="69" t="s">
        <v>22</v>
      </c>
      <c r="H1511" s="61">
        <v>10.73</v>
      </c>
      <c r="I1511" s="70">
        <v>10.5</v>
      </c>
      <c r="J1511" s="60">
        <v>1</v>
      </c>
      <c r="K1511" s="62">
        <f t="shared" si="145"/>
        <v>0.112665</v>
      </c>
      <c r="L1511" s="256" t="s">
        <v>158</v>
      </c>
      <c r="M1511" s="67"/>
      <c r="N1511" s="63">
        <f t="shared" si="146"/>
        <v>0</v>
      </c>
      <c r="O1511" s="64">
        <f t="shared" si="147"/>
        <v>1</v>
      </c>
      <c r="P1511" s="65">
        <f t="shared" si="148"/>
        <v>0.112665</v>
      </c>
      <c r="Q1511" s="32"/>
      <c r="R1511" s="32"/>
      <c r="S1511" s="32"/>
    </row>
    <row r="1512" spans="1:19">
      <c r="A1512" s="42" t="s">
        <v>90</v>
      </c>
      <c r="B1512" s="3"/>
      <c r="C1512" s="3">
        <v>102</v>
      </c>
      <c r="D1512" s="1"/>
      <c r="E1512" s="12" t="s">
        <v>20</v>
      </c>
      <c r="F1512" s="7" t="s">
        <v>15</v>
      </c>
      <c r="G1512" s="7" t="s">
        <v>34</v>
      </c>
      <c r="H1512" s="11">
        <v>9.61</v>
      </c>
      <c r="I1512" s="8">
        <v>10.5</v>
      </c>
      <c r="J1512" s="26">
        <v>1</v>
      </c>
      <c r="K1512" s="10">
        <f t="shared" si="145"/>
        <v>0.10090499999999999</v>
      </c>
      <c r="L1512" s="4"/>
      <c r="M1512" s="17">
        <v>1</v>
      </c>
      <c r="N1512" s="18">
        <f t="shared" si="146"/>
        <v>0.10090499999999999</v>
      </c>
      <c r="O1512" s="19">
        <f t="shared" si="147"/>
        <v>0</v>
      </c>
      <c r="P1512" s="13">
        <f t="shared" si="148"/>
        <v>0</v>
      </c>
      <c r="Q1512" s="9"/>
      <c r="R1512" s="2">
        <v>1</v>
      </c>
      <c r="S1512" s="32" t="s">
        <v>259</v>
      </c>
    </row>
    <row r="1513" spans="1:19">
      <c r="A1513" s="42" t="s">
        <v>90</v>
      </c>
      <c r="B1513" s="3"/>
      <c r="C1513" s="3">
        <v>102</v>
      </c>
      <c r="D1513" s="1"/>
      <c r="E1513" s="12" t="s">
        <v>20</v>
      </c>
      <c r="F1513" s="7" t="s">
        <v>15</v>
      </c>
      <c r="G1513" s="7" t="s">
        <v>34</v>
      </c>
      <c r="H1513" s="11">
        <v>9.61</v>
      </c>
      <c r="I1513" s="8">
        <v>11.5</v>
      </c>
      <c r="J1513" s="26">
        <v>1</v>
      </c>
      <c r="K1513" s="10">
        <f t="shared" si="145"/>
        <v>0.11051499999999999</v>
      </c>
      <c r="L1513" s="4"/>
      <c r="M1513" s="17">
        <v>1</v>
      </c>
      <c r="N1513" s="18">
        <f t="shared" si="146"/>
        <v>0.11051499999999999</v>
      </c>
      <c r="O1513" s="19">
        <f t="shared" si="147"/>
        <v>0</v>
      </c>
      <c r="P1513" s="13">
        <f t="shared" si="148"/>
        <v>0</v>
      </c>
      <c r="Q1513" s="9"/>
      <c r="R1513" s="2">
        <v>1</v>
      </c>
      <c r="S1513" s="32" t="s">
        <v>259</v>
      </c>
    </row>
    <row r="1514" spans="1:19">
      <c r="A1514" s="42" t="s">
        <v>90</v>
      </c>
      <c r="B1514" s="3"/>
      <c r="C1514" s="3">
        <v>103</v>
      </c>
      <c r="D1514" s="1"/>
      <c r="E1514" s="12" t="s">
        <v>19</v>
      </c>
      <c r="F1514" s="7" t="s">
        <v>14</v>
      </c>
      <c r="G1514" s="7" t="s">
        <v>32</v>
      </c>
      <c r="H1514" s="11">
        <v>8.3000000000000007</v>
      </c>
      <c r="I1514" s="8">
        <v>7.4</v>
      </c>
      <c r="J1514" s="26">
        <v>1</v>
      </c>
      <c r="K1514" s="10">
        <f t="shared" si="145"/>
        <v>6.1420000000000009E-2</v>
      </c>
      <c r="L1514" s="4"/>
      <c r="M1514" s="17">
        <v>1</v>
      </c>
      <c r="N1514" s="18">
        <f t="shared" si="146"/>
        <v>6.1420000000000009E-2</v>
      </c>
      <c r="O1514" s="19">
        <f t="shared" si="147"/>
        <v>0</v>
      </c>
      <c r="P1514" s="13">
        <f t="shared" si="148"/>
        <v>0</v>
      </c>
      <c r="Q1514" s="9">
        <v>7.15</v>
      </c>
      <c r="R1514" s="2">
        <v>1</v>
      </c>
      <c r="S1514" s="2" t="s">
        <v>732</v>
      </c>
    </row>
    <row r="1515" spans="1:19">
      <c r="A1515" s="42" t="s">
        <v>90</v>
      </c>
      <c r="B1515" s="3"/>
      <c r="C1515" s="3">
        <v>103</v>
      </c>
      <c r="D1515" s="1"/>
      <c r="E1515" s="12" t="s">
        <v>19</v>
      </c>
      <c r="F1515" s="7" t="s">
        <v>14</v>
      </c>
      <c r="G1515" s="7" t="s">
        <v>32</v>
      </c>
      <c r="H1515" s="11">
        <v>8.3000000000000007</v>
      </c>
      <c r="I1515" s="8">
        <v>7.5</v>
      </c>
      <c r="J1515" s="26">
        <v>2</v>
      </c>
      <c r="K1515" s="10">
        <f t="shared" si="145"/>
        <v>0.12450000000000001</v>
      </c>
      <c r="L1515" s="4"/>
      <c r="M1515" s="17">
        <v>2</v>
      </c>
      <c r="N1515" s="18">
        <f t="shared" si="146"/>
        <v>0.12450000000000001</v>
      </c>
      <c r="O1515" s="19">
        <f t="shared" si="147"/>
        <v>0</v>
      </c>
      <c r="P1515" s="13">
        <f t="shared" si="148"/>
        <v>0</v>
      </c>
      <c r="Q1515" s="9">
        <v>7.15</v>
      </c>
      <c r="R1515" s="2">
        <v>2</v>
      </c>
      <c r="S1515" s="2" t="s">
        <v>732</v>
      </c>
    </row>
    <row r="1516" spans="1:19">
      <c r="A1516" s="42" t="s">
        <v>90</v>
      </c>
      <c r="B1516" s="3"/>
      <c r="C1516" s="3">
        <v>103</v>
      </c>
      <c r="D1516" s="1"/>
      <c r="E1516" s="12" t="s">
        <v>19</v>
      </c>
      <c r="F1516" s="7" t="s">
        <v>14</v>
      </c>
      <c r="G1516" s="7" t="s">
        <v>32</v>
      </c>
      <c r="H1516" s="11">
        <v>8.3000000000000007</v>
      </c>
      <c r="I1516" s="8">
        <v>7.1</v>
      </c>
      <c r="J1516" s="26">
        <v>2</v>
      </c>
      <c r="K1516" s="10">
        <f t="shared" si="145"/>
        <v>0.11785999999999999</v>
      </c>
      <c r="L1516" s="4"/>
      <c r="M1516" s="17">
        <v>2</v>
      </c>
      <c r="N1516" s="18">
        <f t="shared" si="146"/>
        <v>0.11785999999999999</v>
      </c>
      <c r="O1516" s="19">
        <f t="shared" si="147"/>
        <v>0</v>
      </c>
      <c r="P1516" s="13">
        <f t="shared" si="148"/>
        <v>0</v>
      </c>
      <c r="Q1516" s="9">
        <v>7.15</v>
      </c>
      <c r="R1516" s="2">
        <v>2</v>
      </c>
      <c r="S1516" s="2" t="s">
        <v>732</v>
      </c>
    </row>
    <row r="1517" spans="1:19">
      <c r="A1517" s="42" t="s">
        <v>90</v>
      </c>
      <c r="B1517" s="3"/>
      <c r="C1517" s="3">
        <v>104</v>
      </c>
      <c r="D1517" s="1" t="s">
        <v>92</v>
      </c>
      <c r="E1517" s="12" t="s">
        <v>184</v>
      </c>
      <c r="F1517" s="7" t="s">
        <v>15</v>
      </c>
      <c r="G1517" s="7" t="s">
        <v>36</v>
      </c>
      <c r="H1517" s="11">
        <v>10.199999999999999</v>
      </c>
      <c r="I1517" s="8">
        <v>10.5</v>
      </c>
      <c r="J1517" s="26">
        <v>2</v>
      </c>
      <c r="K1517" s="10">
        <f t="shared" si="145"/>
        <v>0.2142</v>
      </c>
      <c r="L1517" s="4"/>
      <c r="M1517" s="17">
        <v>2</v>
      </c>
      <c r="N1517" s="18">
        <f t="shared" si="146"/>
        <v>0.2142</v>
      </c>
      <c r="O1517" s="19">
        <f t="shared" si="147"/>
        <v>0</v>
      </c>
      <c r="P1517" s="13">
        <f t="shared" si="148"/>
        <v>0</v>
      </c>
      <c r="Q1517" s="9">
        <v>8</v>
      </c>
      <c r="R1517" s="2">
        <v>2</v>
      </c>
      <c r="S1517" s="2" t="s">
        <v>198</v>
      </c>
    </row>
    <row r="1518" spans="1:19">
      <c r="A1518" s="42" t="s">
        <v>90</v>
      </c>
      <c r="B1518" s="3"/>
      <c r="C1518" s="3">
        <v>104</v>
      </c>
      <c r="D1518" s="1" t="s">
        <v>92</v>
      </c>
      <c r="E1518" s="12" t="s">
        <v>184</v>
      </c>
      <c r="F1518" s="7" t="s">
        <v>15</v>
      </c>
      <c r="G1518" s="7" t="s">
        <v>36</v>
      </c>
      <c r="H1518" s="11">
        <v>10.199999999999999</v>
      </c>
      <c r="I1518" s="8">
        <v>11</v>
      </c>
      <c r="J1518" s="26">
        <v>1</v>
      </c>
      <c r="K1518" s="10">
        <f t="shared" si="145"/>
        <v>0.11219999999999999</v>
      </c>
      <c r="L1518" s="4"/>
      <c r="M1518" s="17">
        <v>1</v>
      </c>
      <c r="N1518" s="18">
        <f t="shared" si="146"/>
        <v>0.11219999999999999</v>
      </c>
      <c r="O1518" s="19">
        <f t="shared" si="147"/>
        <v>0</v>
      </c>
      <c r="P1518" s="13">
        <f t="shared" si="148"/>
        <v>0</v>
      </c>
      <c r="Q1518" s="9">
        <v>8</v>
      </c>
      <c r="R1518" s="2">
        <v>1</v>
      </c>
      <c r="S1518" s="2" t="s">
        <v>198</v>
      </c>
    </row>
    <row r="1519" spans="1:19">
      <c r="A1519" s="42" t="s">
        <v>90</v>
      </c>
      <c r="B1519" s="3"/>
      <c r="C1519" s="3">
        <v>105</v>
      </c>
      <c r="D1519" s="1" t="s">
        <v>93</v>
      </c>
      <c r="E1519" s="12" t="s">
        <v>20</v>
      </c>
      <c r="F1519" s="7" t="s">
        <v>15</v>
      </c>
      <c r="G1519" s="7" t="s">
        <v>36</v>
      </c>
      <c r="H1519" s="11">
        <v>10.199999999999999</v>
      </c>
      <c r="I1519" s="8">
        <v>6</v>
      </c>
      <c r="J1519" s="26">
        <v>1</v>
      </c>
      <c r="K1519" s="10">
        <f t="shared" si="145"/>
        <v>6.1199999999999997E-2</v>
      </c>
      <c r="L1519" s="4"/>
      <c r="M1519" s="17">
        <v>1</v>
      </c>
      <c r="N1519" s="18">
        <f t="shared" si="146"/>
        <v>6.1199999999999997E-2</v>
      </c>
      <c r="O1519" s="19">
        <f t="shared" si="147"/>
        <v>0</v>
      </c>
      <c r="P1519" s="13">
        <f t="shared" si="148"/>
        <v>0</v>
      </c>
      <c r="Q1519" s="9">
        <v>6</v>
      </c>
      <c r="R1519" s="2">
        <v>1</v>
      </c>
      <c r="S1519" s="2" t="s">
        <v>198</v>
      </c>
    </row>
    <row r="1520" spans="1:19">
      <c r="A1520" s="42" t="s">
        <v>90</v>
      </c>
      <c r="B1520" s="3"/>
      <c r="C1520" s="3">
        <v>105</v>
      </c>
      <c r="D1520" s="1" t="s">
        <v>93</v>
      </c>
      <c r="E1520" s="12" t="s">
        <v>20</v>
      </c>
      <c r="F1520" s="7" t="s">
        <v>15</v>
      </c>
      <c r="G1520" s="7" t="s">
        <v>36</v>
      </c>
      <c r="H1520" s="11">
        <v>10.199999999999999</v>
      </c>
      <c r="I1520" s="8">
        <v>9</v>
      </c>
      <c r="J1520" s="26">
        <v>1</v>
      </c>
      <c r="K1520" s="10">
        <f t="shared" si="145"/>
        <v>9.1799999999999993E-2</v>
      </c>
      <c r="L1520" s="4"/>
      <c r="M1520" s="17">
        <v>1</v>
      </c>
      <c r="N1520" s="18">
        <f t="shared" si="146"/>
        <v>9.1799999999999993E-2</v>
      </c>
      <c r="O1520" s="19">
        <f t="shared" si="147"/>
        <v>0</v>
      </c>
      <c r="P1520" s="13">
        <f t="shared" si="148"/>
        <v>0</v>
      </c>
      <c r="Q1520" s="9">
        <v>8</v>
      </c>
      <c r="R1520" s="2">
        <v>1</v>
      </c>
      <c r="S1520" s="2" t="s">
        <v>198</v>
      </c>
    </row>
    <row r="1521" spans="1:21">
      <c r="A1521" s="42" t="s">
        <v>90</v>
      </c>
      <c r="B1521" s="3"/>
      <c r="C1521" s="3">
        <v>105</v>
      </c>
      <c r="D1521" s="1" t="s">
        <v>93</v>
      </c>
      <c r="E1521" s="12" t="s">
        <v>20</v>
      </c>
      <c r="F1521" s="7" t="s">
        <v>15</v>
      </c>
      <c r="G1521" s="7" t="s">
        <v>36</v>
      </c>
      <c r="H1521" s="11">
        <v>10.199999999999999</v>
      </c>
      <c r="I1521" s="8">
        <v>10.3</v>
      </c>
      <c r="J1521" s="26">
        <v>1</v>
      </c>
      <c r="K1521" s="10">
        <f t="shared" si="145"/>
        <v>0.10506</v>
      </c>
      <c r="L1521" s="4"/>
      <c r="M1521" s="17">
        <v>1</v>
      </c>
      <c r="N1521" s="18">
        <f t="shared" si="146"/>
        <v>0.10506</v>
      </c>
      <c r="O1521" s="19">
        <f t="shared" si="147"/>
        <v>0</v>
      </c>
      <c r="P1521" s="13">
        <f t="shared" si="148"/>
        <v>0</v>
      </c>
      <c r="Q1521" s="9">
        <v>8</v>
      </c>
      <c r="R1521" s="2">
        <v>1</v>
      </c>
      <c r="S1521" s="2" t="s">
        <v>198</v>
      </c>
    </row>
    <row r="1522" spans="1:21">
      <c r="A1522" s="42" t="s">
        <v>90</v>
      </c>
      <c r="B1522" s="3"/>
      <c r="C1522" s="3">
        <v>106</v>
      </c>
      <c r="D1522" s="1"/>
      <c r="E1522" s="12" t="s">
        <v>94</v>
      </c>
      <c r="F1522" s="7" t="s">
        <v>15</v>
      </c>
      <c r="G1522" s="7" t="s">
        <v>22</v>
      </c>
      <c r="H1522" s="11">
        <v>10.73</v>
      </c>
      <c r="I1522" s="8">
        <v>6.9</v>
      </c>
      <c r="J1522" s="26">
        <v>1</v>
      </c>
      <c r="K1522" s="10">
        <f t="shared" si="145"/>
        <v>7.4037000000000006E-2</v>
      </c>
      <c r="L1522" s="4"/>
      <c r="M1522" s="17">
        <v>1</v>
      </c>
      <c r="N1522" s="18">
        <f t="shared" si="146"/>
        <v>7.4037000000000006E-2</v>
      </c>
      <c r="O1522" s="19">
        <f t="shared" si="147"/>
        <v>0</v>
      </c>
      <c r="P1522" s="13">
        <f t="shared" si="148"/>
        <v>0</v>
      </c>
      <c r="Q1522" s="9">
        <v>6.1</v>
      </c>
      <c r="R1522" s="2">
        <v>1</v>
      </c>
      <c r="S1522" s="2" t="s">
        <v>741</v>
      </c>
    </row>
    <row r="1523" spans="1:21">
      <c r="A1523" s="42" t="s">
        <v>90</v>
      </c>
      <c r="B1523" s="3"/>
      <c r="C1523" s="3">
        <v>106</v>
      </c>
      <c r="D1523" s="1"/>
      <c r="E1523" s="12" t="s">
        <v>94</v>
      </c>
      <c r="F1523" s="7" t="s">
        <v>15</v>
      </c>
      <c r="G1523" s="7" t="s">
        <v>22</v>
      </c>
      <c r="H1523" s="11">
        <v>10.73</v>
      </c>
      <c r="I1523" s="8">
        <v>9.1999999999999993</v>
      </c>
      <c r="J1523" s="26">
        <v>2</v>
      </c>
      <c r="K1523" s="10">
        <f t="shared" si="145"/>
        <v>0.197432</v>
      </c>
      <c r="L1523" s="4"/>
      <c r="M1523" s="17">
        <v>2</v>
      </c>
      <c r="N1523" s="18">
        <f t="shared" si="146"/>
        <v>0.197432</v>
      </c>
      <c r="O1523" s="19">
        <f t="shared" si="147"/>
        <v>0</v>
      </c>
      <c r="P1523" s="13">
        <f t="shared" si="148"/>
        <v>0</v>
      </c>
      <c r="Q1523" s="9">
        <v>7.8</v>
      </c>
      <c r="R1523" s="35">
        <v>2</v>
      </c>
      <c r="S1523" s="32" t="s">
        <v>279</v>
      </c>
    </row>
    <row r="1524" spans="1:21">
      <c r="A1524" s="42" t="s">
        <v>90</v>
      </c>
      <c r="B1524" s="3"/>
      <c r="C1524" s="3">
        <v>106</v>
      </c>
      <c r="D1524" s="1"/>
      <c r="E1524" s="12" t="s">
        <v>94</v>
      </c>
      <c r="F1524" s="7" t="s">
        <v>15</v>
      </c>
      <c r="G1524" s="7" t="s">
        <v>22</v>
      </c>
      <c r="H1524" s="11">
        <v>10.73</v>
      </c>
      <c r="I1524" s="8">
        <v>11.7</v>
      </c>
      <c r="J1524" s="26">
        <v>1</v>
      </c>
      <c r="K1524" s="10">
        <f t="shared" si="145"/>
        <v>0.12554099999999999</v>
      </c>
      <c r="L1524" s="4"/>
      <c r="M1524" s="17">
        <v>1</v>
      </c>
      <c r="N1524" s="18">
        <f t="shared" si="146"/>
        <v>0.12554099999999999</v>
      </c>
      <c r="O1524" s="19">
        <f t="shared" si="147"/>
        <v>0</v>
      </c>
      <c r="P1524" s="13">
        <f t="shared" si="148"/>
        <v>0</v>
      </c>
      <c r="Q1524" s="9">
        <v>11.6</v>
      </c>
      <c r="R1524" s="35">
        <v>1</v>
      </c>
      <c r="S1524" s="32" t="s">
        <v>279</v>
      </c>
    </row>
    <row r="1525" spans="1:21">
      <c r="A1525" s="42" t="s">
        <v>90</v>
      </c>
      <c r="B1525" s="3"/>
      <c r="C1525" s="3">
        <v>106</v>
      </c>
      <c r="D1525" s="1"/>
      <c r="E1525" s="12" t="s">
        <v>94</v>
      </c>
      <c r="F1525" s="7" t="s">
        <v>15</v>
      </c>
      <c r="G1525" s="7" t="s">
        <v>22</v>
      </c>
      <c r="H1525" s="11">
        <v>10.73</v>
      </c>
      <c r="I1525" s="8">
        <v>9.6999999999999993</v>
      </c>
      <c r="J1525" s="26">
        <v>1</v>
      </c>
      <c r="K1525" s="10">
        <f t="shared" si="145"/>
        <v>0.10408100000000001</v>
      </c>
      <c r="L1525" s="4"/>
      <c r="M1525" s="17">
        <v>1</v>
      </c>
      <c r="N1525" s="18">
        <f t="shared" si="146"/>
        <v>0.10408100000000001</v>
      </c>
      <c r="O1525" s="19">
        <f t="shared" si="147"/>
        <v>0</v>
      </c>
      <c r="P1525" s="13">
        <f t="shared" si="148"/>
        <v>0</v>
      </c>
      <c r="Q1525" s="9">
        <v>9.4</v>
      </c>
      <c r="R1525" s="35">
        <v>1</v>
      </c>
      <c r="S1525" s="32" t="s">
        <v>279</v>
      </c>
    </row>
    <row r="1526" spans="1:21">
      <c r="A1526" s="42" t="s">
        <v>90</v>
      </c>
      <c r="B1526" s="3"/>
      <c r="C1526" s="3">
        <v>107</v>
      </c>
      <c r="D1526" s="1"/>
      <c r="E1526" s="20" t="s">
        <v>20</v>
      </c>
      <c r="F1526" s="7" t="s">
        <v>15</v>
      </c>
      <c r="G1526" s="7" t="s">
        <v>40</v>
      </c>
      <c r="H1526" s="11">
        <v>16.5</v>
      </c>
      <c r="I1526" s="8">
        <v>8.6999999999999993</v>
      </c>
      <c r="J1526" s="26">
        <v>1</v>
      </c>
      <c r="K1526" s="10">
        <f t="shared" si="145"/>
        <v>0.14354999999999998</v>
      </c>
      <c r="L1526" s="4"/>
      <c r="M1526" s="17">
        <v>1</v>
      </c>
      <c r="N1526" s="18">
        <f t="shared" si="146"/>
        <v>0.14354999999999998</v>
      </c>
      <c r="O1526" s="19">
        <f t="shared" si="147"/>
        <v>0</v>
      </c>
      <c r="P1526" s="13">
        <f t="shared" si="148"/>
        <v>0</v>
      </c>
      <c r="Q1526" s="9"/>
      <c r="R1526" s="35">
        <v>1</v>
      </c>
      <c r="S1526" s="45" t="s">
        <v>222</v>
      </c>
    </row>
    <row r="1527" spans="1:21">
      <c r="A1527" s="42" t="s">
        <v>90</v>
      </c>
      <c r="B1527" s="3"/>
      <c r="C1527" s="3">
        <v>108</v>
      </c>
      <c r="D1527" s="1" t="s">
        <v>93</v>
      </c>
      <c r="E1527" s="20" t="s">
        <v>89</v>
      </c>
      <c r="F1527" s="7" t="s">
        <v>15</v>
      </c>
      <c r="G1527" s="7" t="s">
        <v>37</v>
      </c>
      <c r="H1527" s="11">
        <v>18.149999999999999</v>
      </c>
      <c r="I1527" s="8">
        <v>6.1</v>
      </c>
      <c r="J1527" s="26">
        <v>1</v>
      </c>
      <c r="K1527" s="10">
        <f t="shared" si="145"/>
        <v>0.11071499999999999</v>
      </c>
      <c r="L1527" s="4"/>
      <c r="M1527" s="17">
        <v>1</v>
      </c>
      <c r="N1527" s="18">
        <f t="shared" si="146"/>
        <v>0.11071499999999999</v>
      </c>
      <c r="O1527" s="19">
        <f t="shared" si="147"/>
        <v>0</v>
      </c>
      <c r="P1527" s="13">
        <f t="shared" si="148"/>
        <v>0</v>
      </c>
      <c r="Q1527" s="9"/>
      <c r="R1527" s="2">
        <v>1</v>
      </c>
      <c r="S1527" s="2" t="s">
        <v>278</v>
      </c>
    </row>
    <row r="1528" spans="1:21">
      <c r="A1528" s="42" t="s">
        <v>90</v>
      </c>
      <c r="B1528" s="3"/>
      <c r="C1528" s="3">
        <v>108</v>
      </c>
      <c r="D1528" s="1" t="s">
        <v>93</v>
      </c>
      <c r="E1528" s="20" t="s">
        <v>19</v>
      </c>
      <c r="F1528" s="7" t="s">
        <v>14</v>
      </c>
      <c r="G1528" s="7" t="s">
        <v>37</v>
      </c>
      <c r="H1528" s="11">
        <v>18.149999999999999</v>
      </c>
      <c r="I1528" s="8">
        <v>11.5</v>
      </c>
      <c r="J1528" s="26">
        <v>1</v>
      </c>
      <c r="K1528" s="10">
        <f t="shared" si="145"/>
        <v>0.20872499999999999</v>
      </c>
      <c r="L1528" s="4"/>
      <c r="M1528" s="17"/>
      <c r="N1528" s="18">
        <f t="shared" si="146"/>
        <v>0</v>
      </c>
      <c r="O1528" s="19">
        <f t="shared" si="147"/>
        <v>1</v>
      </c>
      <c r="P1528" s="13">
        <f t="shared" si="148"/>
        <v>0.20872499999999999</v>
      </c>
      <c r="Q1528" s="9"/>
      <c r="R1528" s="2"/>
      <c r="S1528" s="2"/>
    </row>
    <row r="1529" spans="1:21">
      <c r="A1529" s="42" t="s">
        <v>90</v>
      </c>
      <c r="B1529" s="3"/>
      <c r="C1529" s="3">
        <v>108</v>
      </c>
      <c r="D1529" s="1" t="s">
        <v>93</v>
      </c>
      <c r="E1529" s="20" t="s">
        <v>19</v>
      </c>
      <c r="F1529" s="7" t="s">
        <v>14</v>
      </c>
      <c r="G1529" s="7" t="s">
        <v>37</v>
      </c>
      <c r="H1529" s="11">
        <v>18.149999999999999</v>
      </c>
      <c r="I1529" s="8">
        <v>12</v>
      </c>
      <c r="J1529" s="26">
        <v>1</v>
      </c>
      <c r="K1529" s="10">
        <f t="shared" si="145"/>
        <v>0.21779999999999999</v>
      </c>
      <c r="L1529" s="4"/>
      <c r="M1529" s="17"/>
      <c r="N1529" s="18">
        <f t="shared" si="146"/>
        <v>0</v>
      </c>
      <c r="O1529" s="19">
        <f t="shared" si="147"/>
        <v>1</v>
      </c>
      <c r="P1529" s="13">
        <f t="shared" si="148"/>
        <v>0.21779999999999999</v>
      </c>
      <c r="Q1529" s="9"/>
      <c r="R1529" s="2"/>
      <c r="S1529" s="2"/>
    </row>
    <row r="1530" spans="1:21">
      <c r="A1530" s="42" t="s">
        <v>90</v>
      </c>
      <c r="B1530" s="3"/>
      <c r="C1530" s="3">
        <v>109</v>
      </c>
      <c r="D1530" s="1" t="s">
        <v>93</v>
      </c>
      <c r="E1530" s="20" t="s">
        <v>24</v>
      </c>
      <c r="F1530" s="7" t="s">
        <v>14</v>
      </c>
      <c r="G1530" s="7" t="s">
        <v>32</v>
      </c>
      <c r="H1530" s="11">
        <v>8.3000000000000007</v>
      </c>
      <c r="I1530" s="8">
        <v>7.5</v>
      </c>
      <c r="J1530" s="26">
        <v>1</v>
      </c>
      <c r="K1530" s="10">
        <f t="shared" si="145"/>
        <v>6.2250000000000007E-2</v>
      </c>
      <c r="L1530" s="4"/>
      <c r="M1530" s="17">
        <v>1</v>
      </c>
      <c r="N1530" s="18">
        <f t="shared" si="146"/>
        <v>6.2250000000000007E-2</v>
      </c>
      <c r="O1530" s="19">
        <f t="shared" si="147"/>
        <v>0</v>
      </c>
      <c r="P1530" s="13">
        <f t="shared" si="148"/>
        <v>0</v>
      </c>
      <c r="Q1530" s="9"/>
      <c r="R1530" s="2"/>
      <c r="S1530" s="50">
        <v>7</v>
      </c>
      <c r="T1530">
        <v>1</v>
      </c>
      <c r="U1530" t="s">
        <v>301</v>
      </c>
    </row>
    <row r="1531" spans="1:21">
      <c r="A1531" s="42" t="s">
        <v>90</v>
      </c>
      <c r="B1531" s="3"/>
      <c r="C1531" s="3">
        <v>109</v>
      </c>
      <c r="D1531" s="1" t="s">
        <v>93</v>
      </c>
      <c r="E1531" s="20" t="s">
        <v>24</v>
      </c>
      <c r="F1531" s="7" t="s">
        <v>14</v>
      </c>
      <c r="G1531" s="7" t="s">
        <v>32</v>
      </c>
      <c r="H1531" s="11">
        <v>8.3000000000000007</v>
      </c>
      <c r="I1531" s="8">
        <v>8</v>
      </c>
      <c r="J1531" s="26">
        <v>1</v>
      </c>
      <c r="K1531" s="10">
        <f t="shared" si="145"/>
        <v>6.6400000000000001E-2</v>
      </c>
      <c r="L1531" s="4"/>
      <c r="M1531" s="17">
        <v>1</v>
      </c>
      <c r="N1531" s="18">
        <f t="shared" si="146"/>
        <v>6.6400000000000001E-2</v>
      </c>
      <c r="O1531" s="19">
        <f t="shared" si="147"/>
        <v>0</v>
      </c>
      <c r="P1531" s="13">
        <f t="shared" si="148"/>
        <v>0</v>
      </c>
      <c r="Q1531" s="9"/>
      <c r="R1531" s="2"/>
      <c r="S1531" s="50">
        <v>7</v>
      </c>
      <c r="T1531">
        <v>1</v>
      </c>
      <c r="U1531" t="s">
        <v>301</v>
      </c>
    </row>
    <row r="1532" spans="1:21">
      <c r="A1532" s="42" t="s">
        <v>90</v>
      </c>
      <c r="B1532" s="3"/>
      <c r="C1532" s="3">
        <v>109</v>
      </c>
      <c r="D1532" s="1" t="s">
        <v>93</v>
      </c>
      <c r="E1532" s="20" t="s">
        <v>24</v>
      </c>
      <c r="F1532" s="7" t="s">
        <v>14</v>
      </c>
      <c r="G1532" s="7" t="s">
        <v>32</v>
      </c>
      <c r="H1532" s="11">
        <v>8.3000000000000007</v>
      </c>
      <c r="I1532" s="8">
        <v>7.7</v>
      </c>
      <c r="J1532" s="26">
        <v>1</v>
      </c>
      <c r="K1532" s="10">
        <f t="shared" si="145"/>
        <v>6.3910000000000008E-2</v>
      </c>
      <c r="L1532" s="4"/>
      <c r="M1532" s="17">
        <v>1</v>
      </c>
      <c r="N1532" s="18">
        <f t="shared" si="146"/>
        <v>6.3910000000000008E-2</v>
      </c>
      <c r="O1532" s="19">
        <f t="shared" si="147"/>
        <v>0</v>
      </c>
      <c r="P1532" s="13">
        <f t="shared" si="148"/>
        <v>0</v>
      </c>
      <c r="Q1532" s="9"/>
      <c r="R1532" s="2"/>
      <c r="S1532" s="50">
        <v>7</v>
      </c>
      <c r="T1532">
        <v>1</v>
      </c>
      <c r="U1532" t="s">
        <v>301</v>
      </c>
    </row>
    <row r="1533" spans="1:21">
      <c r="A1533" s="42" t="s">
        <v>90</v>
      </c>
      <c r="B1533" s="3"/>
      <c r="C1533" s="3">
        <v>110</v>
      </c>
      <c r="D1533" s="1"/>
      <c r="E1533" s="20" t="s">
        <v>24</v>
      </c>
      <c r="F1533" s="7" t="s">
        <v>14</v>
      </c>
      <c r="G1533" s="7" t="s">
        <v>21</v>
      </c>
      <c r="H1533" s="11">
        <v>6.97</v>
      </c>
      <c r="I1533" s="8">
        <v>6.7</v>
      </c>
      <c r="J1533" s="26">
        <v>1</v>
      </c>
      <c r="K1533" s="10">
        <f t="shared" si="145"/>
        <v>4.6698999999999997E-2</v>
      </c>
      <c r="L1533" s="4"/>
      <c r="M1533" s="17">
        <v>1</v>
      </c>
      <c r="N1533" s="18">
        <f t="shared" si="146"/>
        <v>4.6698999999999997E-2</v>
      </c>
      <c r="O1533" s="19">
        <f t="shared" si="147"/>
        <v>0</v>
      </c>
      <c r="P1533" s="13">
        <f t="shared" si="148"/>
        <v>0</v>
      </c>
      <c r="Q1533" s="9">
        <v>6.6</v>
      </c>
      <c r="R1533" s="2">
        <v>1</v>
      </c>
      <c r="S1533" s="2" t="s">
        <v>614</v>
      </c>
    </row>
    <row r="1534" spans="1:21">
      <c r="A1534" s="42" t="s">
        <v>90</v>
      </c>
      <c r="B1534" s="3"/>
      <c r="C1534" s="3"/>
      <c r="D1534" s="1"/>
      <c r="E1534" s="20" t="s">
        <v>24</v>
      </c>
      <c r="F1534" s="7" t="s">
        <v>14</v>
      </c>
      <c r="G1534" s="7" t="s">
        <v>21</v>
      </c>
      <c r="H1534" s="11">
        <v>6.97</v>
      </c>
      <c r="I1534" s="8">
        <v>8.5</v>
      </c>
      <c r="J1534" s="26">
        <v>1</v>
      </c>
      <c r="K1534" s="10">
        <f t="shared" si="145"/>
        <v>5.9244999999999999E-2</v>
      </c>
      <c r="L1534" s="4"/>
      <c r="M1534" s="17">
        <v>1</v>
      </c>
      <c r="N1534" s="18">
        <f t="shared" si="146"/>
        <v>5.9244999999999999E-2</v>
      </c>
      <c r="O1534" s="19">
        <f t="shared" si="147"/>
        <v>0</v>
      </c>
      <c r="P1534" s="13">
        <f t="shared" si="148"/>
        <v>0</v>
      </c>
      <c r="Q1534" s="9">
        <v>6.6</v>
      </c>
      <c r="R1534" s="2">
        <v>1</v>
      </c>
      <c r="S1534" s="2" t="s">
        <v>614</v>
      </c>
    </row>
    <row r="1535" spans="1:21">
      <c r="A1535" s="42" t="s">
        <v>90</v>
      </c>
      <c r="B1535" s="3"/>
      <c r="C1535" s="3"/>
      <c r="D1535" s="1"/>
      <c r="E1535" s="20" t="s">
        <v>24</v>
      </c>
      <c r="F1535" s="7" t="s">
        <v>14</v>
      </c>
      <c r="G1535" s="7" t="s">
        <v>21</v>
      </c>
      <c r="H1535" s="11">
        <v>6.97</v>
      </c>
      <c r="I1535" s="8">
        <v>9.5</v>
      </c>
      <c r="J1535" s="26">
        <v>1</v>
      </c>
      <c r="K1535" s="10">
        <f t="shared" si="145"/>
        <v>6.621500000000001E-2</v>
      </c>
      <c r="L1535" s="4"/>
      <c r="M1535" s="17">
        <v>1</v>
      </c>
      <c r="N1535" s="18">
        <f t="shared" si="146"/>
        <v>6.621500000000001E-2</v>
      </c>
      <c r="O1535" s="19">
        <f t="shared" si="147"/>
        <v>0</v>
      </c>
      <c r="P1535" s="13">
        <f t="shared" si="148"/>
        <v>0</v>
      </c>
      <c r="Q1535" s="9">
        <v>8.8000000000000007</v>
      </c>
      <c r="R1535" s="2">
        <v>1</v>
      </c>
      <c r="S1535" s="2" t="s">
        <v>614</v>
      </c>
    </row>
    <row r="1536" spans="1:21">
      <c r="A1536" s="42" t="s">
        <v>90</v>
      </c>
      <c r="B1536" s="3"/>
      <c r="C1536" s="3">
        <v>111</v>
      </c>
      <c r="D1536" s="1"/>
      <c r="E1536" s="20" t="s">
        <v>20</v>
      </c>
      <c r="F1536" s="7" t="s">
        <v>15</v>
      </c>
      <c r="G1536" s="7" t="s">
        <v>40</v>
      </c>
      <c r="H1536" s="11">
        <v>16.5</v>
      </c>
      <c r="I1536" s="8">
        <v>5.7</v>
      </c>
      <c r="J1536" s="26">
        <v>1</v>
      </c>
      <c r="K1536" s="10">
        <f t="shared" si="145"/>
        <v>9.4049999999999995E-2</v>
      </c>
      <c r="L1536" s="4"/>
      <c r="M1536" s="17">
        <v>1</v>
      </c>
      <c r="N1536" s="18">
        <f t="shared" si="146"/>
        <v>9.4049999999999995E-2</v>
      </c>
      <c r="O1536" s="19">
        <f t="shared" si="147"/>
        <v>0</v>
      </c>
      <c r="P1536" s="13">
        <f t="shared" si="148"/>
        <v>0</v>
      </c>
      <c r="Q1536" s="9"/>
      <c r="R1536" s="2">
        <v>1</v>
      </c>
      <c r="S1536" s="2" t="s">
        <v>278</v>
      </c>
    </row>
    <row r="1537" spans="1:19">
      <c r="A1537" s="42" t="s">
        <v>90</v>
      </c>
      <c r="B1537" s="3"/>
      <c r="C1537" s="3">
        <v>112</v>
      </c>
      <c r="D1537" s="1"/>
      <c r="E1537" s="20" t="s">
        <v>20</v>
      </c>
      <c r="F1537" s="7" t="s">
        <v>15</v>
      </c>
      <c r="G1537" s="7" t="s">
        <v>37</v>
      </c>
      <c r="H1537" s="11">
        <v>18.149999999999999</v>
      </c>
      <c r="I1537" s="8">
        <v>9.6</v>
      </c>
      <c r="J1537" s="26">
        <v>1</v>
      </c>
      <c r="K1537" s="10">
        <f t="shared" si="145"/>
        <v>0.17423999999999998</v>
      </c>
      <c r="L1537" s="4"/>
      <c r="M1537" s="17">
        <v>1</v>
      </c>
      <c r="N1537" s="18">
        <f t="shared" si="146"/>
        <v>0.17423999999999998</v>
      </c>
      <c r="O1537" s="19">
        <f t="shared" si="147"/>
        <v>0</v>
      </c>
      <c r="P1537" s="13">
        <f t="shared" si="148"/>
        <v>0</v>
      </c>
      <c r="Q1537" s="9"/>
      <c r="R1537" s="2">
        <v>1</v>
      </c>
      <c r="S1537" s="2" t="s">
        <v>643</v>
      </c>
    </row>
    <row r="1538" spans="1:19">
      <c r="A1538" s="42" t="s">
        <v>90</v>
      </c>
      <c r="B1538" s="3"/>
      <c r="C1538" s="3"/>
      <c r="D1538" s="1"/>
      <c r="E1538" s="20"/>
      <c r="F1538" s="7" t="s">
        <v>15</v>
      </c>
      <c r="G1538" s="7" t="s">
        <v>37</v>
      </c>
      <c r="H1538" s="11">
        <v>18.149999999999999</v>
      </c>
      <c r="I1538" s="8">
        <v>12</v>
      </c>
      <c r="J1538" s="26">
        <v>1</v>
      </c>
      <c r="K1538" s="10">
        <f t="shared" si="145"/>
        <v>0.21779999999999999</v>
      </c>
      <c r="L1538" s="4"/>
      <c r="M1538" s="17">
        <v>1</v>
      </c>
      <c r="N1538" s="18">
        <f t="shared" si="146"/>
        <v>0.21779999999999999</v>
      </c>
      <c r="O1538" s="19">
        <f t="shared" si="147"/>
        <v>0</v>
      </c>
      <c r="P1538" s="13">
        <f t="shared" si="148"/>
        <v>0</v>
      </c>
      <c r="Q1538" s="89">
        <v>12</v>
      </c>
      <c r="R1538" s="90">
        <v>1</v>
      </c>
      <c r="S1538" s="91" t="s">
        <v>279</v>
      </c>
    </row>
    <row r="1539" spans="1:19">
      <c r="A1539" s="42" t="s">
        <v>90</v>
      </c>
      <c r="B1539" s="3"/>
      <c r="C1539" s="3">
        <v>113</v>
      </c>
      <c r="D1539" s="1"/>
      <c r="E1539" s="20" t="s">
        <v>20</v>
      </c>
      <c r="F1539" s="7" t="s">
        <v>15</v>
      </c>
      <c r="G1539" s="7" t="s">
        <v>39</v>
      </c>
      <c r="H1539" s="11">
        <v>14.66</v>
      </c>
      <c r="I1539" s="8">
        <v>8.9</v>
      </c>
      <c r="J1539" s="26">
        <v>2</v>
      </c>
      <c r="K1539" s="10">
        <f t="shared" si="145"/>
        <v>0.26094800000000001</v>
      </c>
      <c r="L1539" s="4"/>
      <c r="M1539" s="17">
        <v>2</v>
      </c>
      <c r="N1539" s="18">
        <f t="shared" si="146"/>
        <v>0.26094800000000001</v>
      </c>
      <c r="O1539" s="19">
        <f t="shared" si="147"/>
        <v>0</v>
      </c>
      <c r="P1539" s="13">
        <f t="shared" si="148"/>
        <v>0</v>
      </c>
      <c r="Q1539" s="9">
        <v>8.6</v>
      </c>
      <c r="R1539" s="35">
        <v>2</v>
      </c>
      <c r="S1539" s="2" t="s">
        <v>359</v>
      </c>
    </row>
    <row r="1540" spans="1:19">
      <c r="A1540" s="42" t="s">
        <v>90</v>
      </c>
      <c r="B1540" s="3"/>
      <c r="C1540" s="3">
        <v>114</v>
      </c>
      <c r="D1540" s="1"/>
      <c r="E1540" s="20" t="s">
        <v>95</v>
      </c>
      <c r="F1540" s="7" t="s">
        <v>15</v>
      </c>
      <c r="G1540" s="7" t="s">
        <v>39</v>
      </c>
      <c r="H1540" s="11">
        <v>14.66</v>
      </c>
      <c r="I1540" s="8">
        <v>6.5</v>
      </c>
      <c r="J1540" s="26">
        <v>2</v>
      </c>
      <c r="K1540" s="10">
        <f t="shared" ref="K1540:K1585" si="149">(H1540*I1540*J1540/1000)</f>
        <v>0.19058</v>
      </c>
      <c r="L1540" s="4"/>
      <c r="M1540" s="17">
        <v>2</v>
      </c>
      <c r="N1540" s="18">
        <f t="shared" ref="N1540:N1585" si="150">I1540*M1540*H1540/1000</f>
        <v>0.19058</v>
      </c>
      <c r="O1540" s="106">
        <f t="shared" ref="O1540:O1585" si="151">J1540-M1540</f>
        <v>0</v>
      </c>
      <c r="P1540" s="53">
        <f t="shared" ref="P1540:P1585" si="152">I1540*O1540*H1540/1000</f>
        <v>0</v>
      </c>
      <c r="Q1540" s="9">
        <v>6.5</v>
      </c>
      <c r="R1540" s="2">
        <v>2</v>
      </c>
      <c r="S1540" s="2" t="s">
        <v>209</v>
      </c>
    </row>
    <row r="1541" spans="1:19">
      <c r="A1541" s="42" t="s">
        <v>90</v>
      </c>
      <c r="B1541" s="3"/>
      <c r="C1541" s="3">
        <v>115</v>
      </c>
      <c r="D1541" s="1"/>
      <c r="E1541" s="20" t="s">
        <v>96</v>
      </c>
      <c r="F1541" s="7" t="s">
        <v>15</v>
      </c>
      <c r="G1541" s="7" t="s">
        <v>25</v>
      </c>
      <c r="H1541" s="11">
        <v>7.34</v>
      </c>
      <c r="I1541" s="8">
        <v>10.5</v>
      </c>
      <c r="J1541" s="26">
        <v>1</v>
      </c>
      <c r="K1541" s="10">
        <f t="shared" si="149"/>
        <v>7.707E-2</v>
      </c>
      <c r="L1541" s="4"/>
      <c r="M1541" s="17">
        <v>1</v>
      </c>
      <c r="N1541" s="18">
        <f t="shared" si="150"/>
        <v>7.707E-2</v>
      </c>
      <c r="O1541" s="19">
        <f t="shared" si="151"/>
        <v>0</v>
      </c>
      <c r="P1541" s="13">
        <f t="shared" si="152"/>
        <v>0</v>
      </c>
      <c r="Q1541" s="50">
        <v>9.5500000000000007</v>
      </c>
      <c r="R1541" s="35">
        <v>1</v>
      </c>
      <c r="S1541" s="2" t="s">
        <v>701</v>
      </c>
    </row>
    <row r="1542" spans="1:19">
      <c r="A1542" s="42" t="s">
        <v>90</v>
      </c>
      <c r="B1542" s="3"/>
      <c r="C1542" s="3">
        <v>116</v>
      </c>
      <c r="D1542" s="1"/>
      <c r="E1542" s="20" t="s">
        <v>20</v>
      </c>
      <c r="F1542" s="7" t="s">
        <v>15</v>
      </c>
      <c r="G1542" s="7" t="s">
        <v>40</v>
      </c>
      <c r="H1542" s="11">
        <v>16.5</v>
      </c>
      <c r="I1542" s="8">
        <v>9.8000000000000007</v>
      </c>
      <c r="J1542" s="26">
        <v>1</v>
      </c>
      <c r="K1542" s="10">
        <f t="shared" si="149"/>
        <v>0.16170000000000001</v>
      </c>
      <c r="L1542" s="4" t="s">
        <v>26</v>
      </c>
      <c r="M1542" s="17">
        <v>1</v>
      </c>
      <c r="N1542" s="18">
        <f t="shared" si="150"/>
        <v>0.16170000000000001</v>
      </c>
      <c r="O1542" s="19">
        <f t="shared" si="151"/>
        <v>0</v>
      </c>
      <c r="P1542" s="13">
        <f t="shared" si="152"/>
        <v>0</v>
      </c>
      <c r="Q1542" s="9"/>
      <c r="R1542" s="2">
        <v>1</v>
      </c>
      <c r="S1542" s="2" t="s">
        <v>278</v>
      </c>
    </row>
    <row r="1543" spans="1:19">
      <c r="A1543" s="42" t="s">
        <v>90</v>
      </c>
      <c r="B1543" s="3"/>
      <c r="C1543" s="3">
        <v>116</v>
      </c>
      <c r="D1543" s="1"/>
      <c r="E1543" s="20" t="s">
        <v>20</v>
      </c>
      <c r="F1543" s="7" t="s">
        <v>15</v>
      </c>
      <c r="G1543" s="7" t="s">
        <v>40</v>
      </c>
      <c r="H1543" s="11">
        <v>16.5</v>
      </c>
      <c r="I1543" s="8">
        <v>8.1999999999999993</v>
      </c>
      <c r="J1543" s="26">
        <v>1</v>
      </c>
      <c r="K1543" s="10">
        <f t="shared" si="149"/>
        <v>0.13529999999999998</v>
      </c>
      <c r="L1543" s="4" t="s">
        <v>26</v>
      </c>
      <c r="M1543" s="17">
        <v>1</v>
      </c>
      <c r="N1543" s="18">
        <f t="shared" si="150"/>
        <v>0.13529999999999998</v>
      </c>
      <c r="O1543" s="19">
        <f t="shared" si="151"/>
        <v>0</v>
      </c>
      <c r="P1543" s="13">
        <f t="shared" si="152"/>
        <v>0</v>
      </c>
      <c r="Q1543" s="9"/>
      <c r="R1543" s="2">
        <v>1</v>
      </c>
      <c r="S1543" s="2" t="s">
        <v>278</v>
      </c>
    </row>
    <row r="1544" spans="1:19">
      <c r="A1544" s="42" t="s">
        <v>90</v>
      </c>
      <c r="B1544" s="3"/>
      <c r="C1544" s="3">
        <v>116</v>
      </c>
      <c r="D1544" s="1"/>
      <c r="E1544" s="20" t="s">
        <v>20</v>
      </c>
      <c r="F1544" s="7" t="s">
        <v>15</v>
      </c>
      <c r="G1544" s="7" t="s">
        <v>40</v>
      </c>
      <c r="H1544" s="11">
        <v>16.5</v>
      </c>
      <c r="I1544" s="8">
        <v>5.7</v>
      </c>
      <c r="J1544" s="26">
        <v>1</v>
      </c>
      <c r="K1544" s="10">
        <f t="shared" si="149"/>
        <v>9.4049999999999995E-2</v>
      </c>
      <c r="L1544" s="4" t="s">
        <v>26</v>
      </c>
      <c r="M1544" s="17">
        <v>1</v>
      </c>
      <c r="N1544" s="18">
        <f t="shared" si="150"/>
        <v>9.4049999999999995E-2</v>
      </c>
      <c r="O1544" s="19">
        <f t="shared" si="151"/>
        <v>0</v>
      </c>
      <c r="P1544" s="13">
        <f t="shared" si="152"/>
        <v>0</v>
      </c>
      <c r="Q1544" s="9"/>
      <c r="R1544" s="2">
        <v>1</v>
      </c>
      <c r="S1544" s="2" t="s">
        <v>278</v>
      </c>
    </row>
    <row r="1545" spans="1:19">
      <c r="A1545" s="42" t="s">
        <v>90</v>
      </c>
      <c r="B1545" s="3"/>
      <c r="C1545" s="3">
        <v>117</v>
      </c>
      <c r="D1545" s="1"/>
      <c r="E1545" s="20" t="s">
        <v>95</v>
      </c>
      <c r="F1545" s="7" t="s">
        <v>15</v>
      </c>
      <c r="G1545" s="7" t="s">
        <v>38</v>
      </c>
      <c r="H1545" s="11">
        <v>12.9</v>
      </c>
      <c r="I1545" s="8">
        <v>9.1999999999999993</v>
      </c>
      <c r="J1545" s="26">
        <v>2</v>
      </c>
      <c r="K1545" s="10">
        <f t="shared" si="149"/>
        <v>0.23735999999999999</v>
      </c>
      <c r="L1545" s="4"/>
      <c r="M1545" s="17"/>
      <c r="N1545" s="18">
        <f t="shared" si="150"/>
        <v>0</v>
      </c>
      <c r="O1545" s="19">
        <f t="shared" si="151"/>
        <v>2</v>
      </c>
      <c r="P1545" s="13">
        <f t="shared" si="152"/>
        <v>0.23735999999999999</v>
      </c>
      <c r="Q1545" s="9"/>
      <c r="R1545" s="2"/>
      <c r="S1545" s="2"/>
    </row>
    <row r="1546" spans="1:19">
      <c r="A1546" s="42" t="s">
        <v>90</v>
      </c>
      <c r="B1546" s="3"/>
      <c r="C1546" s="3">
        <v>117</v>
      </c>
      <c r="D1546" s="1"/>
      <c r="E1546" s="20" t="s">
        <v>95</v>
      </c>
      <c r="F1546" s="7" t="s">
        <v>15</v>
      </c>
      <c r="G1546" s="7" t="s">
        <v>38</v>
      </c>
      <c r="H1546" s="11">
        <v>12.9</v>
      </c>
      <c r="I1546" s="8">
        <v>9.9</v>
      </c>
      <c r="J1546" s="26">
        <v>1</v>
      </c>
      <c r="K1546" s="10">
        <f t="shared" si="149"/>
        <v>0.12771000000000002</v>
      </c>
      <c r="L1546" s="4"/>
      <c r="M1546" s="17"/>
      <c r="N1546" s="18">
        <f t="shared" si="150"/>
        <v>0</v>
      </c>
      <c r="O1546" s="19">
        <f t="shared" si="151"/>
        <v>1</v>
      </c>
      <c r="P1546" s="13">
        <f t="shared" si="152"/>
        <v>0.12771000000000002</v>
      </c>
      <c r="Q1546" s="9"/>
      <c r="R1546" s="2"/>
      <c r="S1546" s="2"/>
    </row>
    <row r="1547" spans="1:19">
      <c r="A1547" s="42" t="s">
        <v>90</v>
      </c>
      <c r="B1547" s="3"/>
      <c r="C1547" s="3">
        <v>117</v>
      </c>
      <c r="D1547" s="1"/>
      <c r="E1547" s="20" t="s">
        <v>95</v>
      </c>
      <c r="F1547" s="7" t="s">
        <v>15</v>
      </c>
      <c r="G1547" s="7" t="s">
        <v>38</v>
      </c>
      <c r="H1547" s="11">
        <v>12.9</v>
      </c>
      <c r="I1547" s="8">
        <v>9.6999999999999993</v>
      </c>
      <c r="J1547" s="26">
        <v>1</v>
      </c>
      <c r="K1547" s="10">
        <f t="shared" si="149"/>
        <v>0.12512999999999999</v>
      </c>
      <c r="L1547" s="4"/>
      <c r="M1547" s="17"/>
      <c r="N1547" s="18">
        <f t="shared" si="150"/>
        <v>0</v>
      </c>
      <c r="O1547" s="19">
        <f t="shared" si="151"/>
        <v>1</v>
      </c>
      <c r="P1547" s="13">
        <f t="shared" si="152"/>
        <v>0.12512999999999999</v>
      </c>
      <c r="Q1547" s="9"/>
      <c r="R1547" s="2"/>
      <c r="S1547" s="2"/>
    </row>
    <row r="1548" spans="1:19">
      <c r="A1548" s="42" t="s">
        <v>90</v>
      </c>
      <c r="B1548" s="3"/>
      <c r="C1548" s="3">
        <v>117</v>
      </c>
      <c r="D1548" s="1"/>
      <c r="E1548" s="20" t="s">
        <v>95</v>
      </c>
      <c r="F1548" s="7" t="s">
        <v>15</v>
      </c>
      <c r="G1548" s="7" t="s">
        <v>38</v>
      </c>
      <c r="H1548" s="11">
        <v>12.9</v>
      </c>
      <c r="I1548" s="8">
        <v>9.8000000000000007</v>
      </c>
      <c r="J1548" s="26">
        <v>1</v>
      </c>
      <c r="K1548" s="10">
        <f t="shared" si="149"/>
        <v>0.12642</v>
      </c>
      <c r="L1548" s="4"/>
      <c r="M1548" s="17"/>
      <c r="N1548" s="18">
        <f t="shared" si="150"/>
        <v>0</v>
      </c>
      <c r="O1548" s="19">
        <f t="shared" si="151"/>
        <v>1</v>
      </c>
      <c r="P1548" s="13">
        <f t="shared" si="152"/>
        <v>0.12642</v>
      </c>
      <c r="Q1548" s="9"/>
      <c r="R1548" s="2"/>
      <c r="S1548" s="2"/>
    </row>
    <row r="1549" spans="1:19">
      <c r="A1549" s="42" t="s">
        <v>90</v>
      </c>
      <c r="B1549" s="3"/>
      <c r="C1549" s="3">
        <v>117</v>
      </c>
      <c r="D1549" s="1"/>
      <c r="E1549" s="20" t="s">
        <v>95</v>
      </c>
      <c r="F1549" s="7" t="s">
        <v>15</v>
      </c>
      <c r="G1549" s="7" t="s">
        <v>38</v>
      </c>
      <c r="H1549" s="11">
        <v>12.9</v>
      </c>
      <c r="I1549" s="8">
        <v>11.3</v>
      </c>
      <c r="J1549" s="26">
        <v>1</v>
      </c>
      <c r="K1549" s="10">
        <f t="shared" si="149"/>
        <v>0.14577000000000001</v>
      </c>
      <c r="L1549" s="4"/>
      <c r="M1549" s="17"/>
      <c r="N1549" s="18">
        <f t="shared" si="150"/>
        <v>0</v>
      </c>
      <c r="O1549" s="19">
        <f t="shared" si="151"/>
        <v>1</v>
      </c>
      <c r="P1549" s="13">
        <f t="shared" si="152"/>
        <v>0.14577000000000001</v>
      </c>
      <c r="Q1549" s="9"/>
      <c r="R1549" s="2"/>
      <c r="S1549" s="2"/>
    </row>
    <row r="1550" spans="1:19">
      <c r="A1550" s="42" t="s">
        <v>90</v>
      </c>
      <c r="B1550" s="3"/>
      <c r="C1550" s="3">
        <v>117</v>
      </c>
      <c r="D1550" s="1"/>
      <c r="E1550" s="20" t="s">
        <v>95</v>
      </c>
      <c r="F1550" s="7" t="s">
        <v>15</v>
      </c>
      <c r="G1550" s="7" t="s">
        <v>38</v>
      </c>
      <c r="H1550" s="11">
        <v>12.9</v>
      </c>
      <c r="I1550" s="8">
        <v>7.2</v>
      </c>
      <c r="J1550" s="26">
        <v>1</v>
      </c>
      <c r="K1550" s="10">
        <f t="shared" si="149"/>
        <v>9.2880000000000004E-2</v>
      </c>
      <c r="L1550" s="4"/>
      <c r="M1550" s="22"/>
      <c r="N1550" s="18">
        <f t="shared" si="150"/>
        <v>0</v>
      </c>
      <c r="O1550" s="19">
        <f t="shared" si="151"/>
        <v>1</v>
      </c>
      <c r="P1550" s="13">
        <f t="shared" si="152"/>
        <v>9.2880000000000004E-2</v>
      </c>
      <c r="Q1550" s="9"/>
      <c r="R1550" s="2"/>
      <c r="S1550" s="2"/>
    </row>
    <row r="1551" spans="1:19">
      <c r="A1551" s="42" t="s">
        <v>90</v>
      </c>
      <c r="B1551" s="3"/>
      <c r="C1551" s="3">
        <v>117</v>
      </c>
      <c r="D1551" s="1"/>
      <c r="E1551" s="20" t="s">
        <v>95</v>
      </c>
      <c r="F1551" s="7" t="s">
        <v>15</v>
      </c>
      <c r="G1551" s="7" t="s">
        <v>38</v>
      </c>
      <c r="H1551" s="11">
        <v>12.9</v>
      </c>
      <c r="I1551" s="8">
        <v>10</v>
      </c>
      <c r="J1551" s="26">
        <v>1</v>
      </c>
      <c r="K1551" s="10">
        <f t="shared" si="149"/>
        <v>0.129</v>
      </c>
      <c r="L1551" s="4"/>
      <c r="M1551" s="22"/>
      <c r="N1551" s="18">
        <f t="shared" si="150"/>
        <v>0</v>
      </c>
      <c r="O1551" s="19">
        <f t="shared" si="151"/>
        <v>1</v>
      </c>
      <c r="P1551" s="13">
        <f t="shared" si="152"/>
        <v>0.129</v>
      </c>
      <c r="Q1551" s="9"/>
      <c r="R1551" s="2"/>
      <c r="S1551" s="2"/>
    </row>
    <row r="1552" spans="1:19">
      <c r="A1552" s="42" t="s">
        <v>90</v>
      </c>
      <c r="B1552" s="3"/>
      <c r="C1552" s="3">
        <v>117</v>
      </c>
      <c r="D1552" s="1"/>
      <c r="E1552" s="20" t="s">
        <v>95</v>
      </c>
      <c r="F1552" s="7" t="s">
        <v>15</v>
      </c>
      <c r="G1552" s="7" t="s">
        <v>38</v>
      </c>
      <c r="H1552" s="11">
        <v>12.9</v>
      </c>
      <c r="I1552" s="8">
        <v>7</v>
      </c>
      <c r="J1552" s="26">
        <v>2</v>
      </c>
      <c r="K1552" s="10">
        <f t="shared" si="149"/>
        <v>0.18059999999999998</v>
      </c>
      <c r="L1552" s="4"/>
      <c r="M1552" s="17"/>
      <c r="N1552" s="18">
        <f t="shared" si="150"/>
        <v>0</v>
      </c>
      <c r="O1552" s="19">
        <f t="shared" si="151"/>
        <v>2</v>
      </c>
      <c r="P1552" s="13">
        <f t="shared" si="152"/>
        <v>0.18059999999999998</v>
      </c>
      <c r="Q1552" s="9"/>
      <c r="R1552" s="2"/>
      <c r="S1552" s="2"/>
    </row>
    <row r="1553" spans="1:19">
      <c r="A1553" s="42" t="s">
        <v>90</v>
      </c>
      <c r="B1553" s="3"/>
      <c r="C1553" s="3">
        <v>118</v>
      </c>
      <c r="D1553" s="1"/>
      <c r="E1553" s="59" t="s">
        <v>19</v>
      </c>
      <c r="F1553" s="60" t="s">
        <v>14</v>
      </c>
      <c r="G1553" s="60" t="s">
        <v>32</v>
      </c>
      <c r="H1553" s="61">
        <v>8.3000000000000007</v>
      </c>
      <c r="I1553" s="21">
        <v>10.5</v>
      </c>
      <c r="J1553" s="22">
        <v>1</v>
      </c>
      <c r="K1553" s="62">
        <f t="shared" si="149"/>
        <v>8.7150000000000005E-2</v>
      </c>
      <c r="L1553" s="253" t="s">
        <v>97</v>
      </c>
      <c r="M1553" s="22"/>
      <c r="N1553" s="63">
        <f t="shared" si="150"/>
        <v>0</v>
      </c>
      <c r="O1553" s="64">
        <f t="shared" si="151"/>
        <v>1</v>
      </c>
      <c r="P1553" s="65">
        <f t="shared" si="152"/>
        <v>8.7150000000000005E-2</v>
      </c>
      <c r="Q1553" s="9"/>
      <c r="R1553" s="2"/>
      <c r="S1553" s="2"/>
    </row>
    <row r="1554" spans="1:19">
      <c r="A1554" s="42" t="s">
        <v>90</v>
      </c>
      <c r="B1554" s="3"/>
      <c r="C1554" s="3">
        <v>118</v>
      </c>
      <c r="D1554" s="1"/>
      <c r="E1554" s="59" t="s">
        <v>19</v>
      </c>
      <c r="F1554" s="60" t="s">
        <v>14</v>
      </c>
      <c r="G1554" s="60" t="s">
        <v>32</v>
      </c>
      <c r="H1554" s="61">
        <v>8.3000000000000007</v>
      </c>
      <c r="I1554" s="21">
        <v>11</v>
      </c>
      <c r="J1554" s="22">
        <v>1</v>
      </c>
      <c r="K1554" s="62">
        <f t="shared" si="149"/>
        <v>9.1300000000000006E-2</v>
      </c>
      <c r="L1554" s="253" t="s">
        <v>97</v>
      </c>
      <c r="M1554" s="22"/>
      <c r="N1554" s="63">
        <f t="shared" si="150"/>
        <v>0</v>
      </c>
      <c r="O1554" s="64">
        <f t="shared" si="151"/>
        <v>1</v>
      </c>
      <c r="P1554" s="65">
        <f t="shared" si="152"/>
        <v>9.1300000000000006E-2</v>
      </c>
      <c r="Q1554" s="9"/>
      <c r="R1554" s="2"/>
      <c r="S1554" s="2"/>
    </row>
    <row r="1555" spans="1:19">
      <c r="A1555" s="42" t="s">
        <v>90</v>
      </c>
      <c r="B1555" s="3"/>
      <c r="C1555" s="3">
        <v>119</v>
      </c>
      <c r="D1555" s="1"/>
      <c r="E1555" s="12" t="s">
        <v>19</v>
      </c>
      <c r="F1555" s="7" t="s">
        <v>14</v>
      </c>
      <c r="G1555" s="7" t="s">
        <v>32</v>
      </c>
      <c r="H1555" s="11">
        <v>8.3000000000000007</v>
      </c>
      <c r="I1555" s="8">
        <v>9</v>
      </c>
      <c r="J1555" s="26">
        <v>1</v>
      </c>
      <c r="K1555" s="10">
        <f t="shared" si="149"/>
        <v>7.4700000000000003E-2</v>
      </c>
      <c r="L1555" s="4"/>
      <c r="M1555" s="22">
        <v>1</v>
      </c>
      <c r="N1555" s="18">
        <f t="shared" si="150"/>
        <v>7.4700000000000003E-2</v>
      </c>
      <c r="O1555" s="19">
        <f t="shared" si="151"/>
        <v>0</v>
      </c>
      <c r="P1555" s="13">
        <f t="shared" si="152"/>
        <v>0</v>
      </c>
      <c r="Q1555" s="9">
        <v>7.15</v>
      </c>
      <c r="R1555" s="2">
        <v>1</v>
      </c>
      <c r="S1555" s="2" t="s">
        <v>732</v>
      </c>
    </row>
    <row r="1556" spans="1:19">
      <c r="A1556" s="42" t="s">
        <v>90</v>
      </c>
      <c r="B1556" s="3"/>
      <c r="C1556" s="3">
        <v>120</v>
      </c>
      <c r="D1556" s="1"/>
      <c r="E1556" s="12" t="s">
        <v>94</v>
      </c>
      <c r="F1556" s="7" t="s">
        <v>15</v>
      </c>
      <c r="G1556" s="7" t="s">
        <v>45</v>
      </c>
      <c r="H1556" s="11">
        <v>13.6</v>
      </c>
      <c r="I1556" s="8">
        <v>9.1999999999999993</v>
      </c>
      <c r="J1556" s="26">
        <v>1</v>
      </c>
      <c r="K1556" s="10">
        <f t="shared" si="149"/>
        <v>0.12511999999999998</v>
      </c>
      <c r="L1556" s="4"/>
      <c r="M1556" s="17">
        <v>1</v>
      </c>
      <c r="N1556" s="18">
        <f t="shared" si="150"/>
        <v>0.12511999999999998</v>
      </c>
      <c r="O1556" s="19">
        <f t="shared" si="151"/>
        <v>0</v>
      </c>
      <c r="P1556" s="13">
        <f t="shared" si="152"/>
        <v>0</v>
      </c>
      <c r="Q1556" s="9">
        <v>6.6</v>
      </c>
      <c r="R1556" s="2">
        <v>1</v>
      </c>
      <c r="S1556" s="2" t="s">
        <v>279</v>
      </c>
    </row>
    <row r="1557" spans="1:19">
      <c r="A1557" s="42" t="s">
        <v>90</v>
      </c>
      <c r="B1557" s="3"/>
      <c r="C1557" s="3">
        <v>121</v>
      </c>
      <c r="D1557" s="1"/>
      <c r="E1557" s="12" t="s">
        <v>20</v>
      </c>
      <c r="F1557" s="7" t="s">
        <v>15</v>
      </c>
      <c r="G1557" s="7" t="s">
        <v>35</v>
      </c>
      <c r="H1557" s="11">
        <v>16.579999999999998</v>
      </c>
      <c r="I1557" s="8">
        <v>12</v>
      </c>
      <c r="J1557" s="26">
        <v>4</v>
      </c>
      <c r="K1557" s="10">
        <f t="shared" si="149"/>
        <v>0.79583999999999988</v>
      </c>
      <c r="L1557" s="4"/>
      <c r="M1557" s="22">
        <v>4</v>
      </c>
      <c r="N1557" s="18">
        <f t="shared" si="150"/>
        <v>0.79583999999999988</v>
      </c>
      <c r="O1557" s="19">
        <f t="shared" si="151"/>
        <v>0</v>
      </c>
      <c r="P1557" s="13">
        <f t="shared" si="152"/>
        <v>0</v>
      </c>
      <c r="Q1557" s="32">
        <v>9.6</v>
      </c>
      <c r="R1557" s="2">
        <v>4</v>
      </c>
      <c r="S1557" s="2"/>
    </row>
    <row r="1558" spans="1:19">
      <c r="A1558" s="42" t="s">
        <v>90</v>
      </c>
      <c r="B1558" s="3"/>
      <c r="C1558" s="3">
        <v>121</v>
      </c>
      <c r="D1558" s="1"/>
      <c r="E1558" s="12" t="s">
        <v>20</v>
      </c>
      <c r="F1558" s="7" t="s">
        <v>15</v>
      </c>
      <c r="G1558" s="7" t="s">
        <v>35</v>
      </c>
      <c r="H1558" s="11">
        <v>16.579999999999998</v>
      </c>
      <c r="I1558" s="8">
        <v>11.3</v>
      </c>
      <c r="J1558" s="26">
        <v>1</v>
      </c>
      <c r="K1558" s="10">
        <f t="shared" si="149"/>
        <v>0.18735399999999999</v>
      </c>
      <c r="L1558" s="4"/>
      <c r="M1558" s="17">
        <v>1</v>
      </c>
      <c r="N1558" s="18">
        <f t="shared" si="150"/>
        <v>0.18735399999999999</v>
      </c>
      <c r="O1558" s="19">
        <f t="shared" si="151"/>
        <v>0</v>
      </c>
      <c r="P1558" s="13">
        <f t="shared" si="152"/>
        <v>0</v>
      </c>
      <c r="Q1558" s="32">
        <v>9.6</v>
      </c>
      <c r="R1558" s="2">
        <v>1</v>
      </c>
      <c r="S1558" s="2"/>
    </row>
    <row r="1559" spans="1:19">
      <c r="A1559" s="42" t="s">
        <v>90</v>
      </c>
      <c r="B1559" s="3"/>
      <c r="C1559" s="3">
        <v>121</v>
      </c>
      <c r="D1559" s="1"/>
      <c r="E1559" s="12" t="s">
        <v>20</v>
      </c>
      <c r="F1559" s="7" t="s">
        <v>15</v>
      </c>
      <c r="G1559" s="7" t="s">
        <v>35</v>
      </c>
      <c r="H1559" s="11">
        <v>16.579999999999998</v>
      </c>
      <c r="I1559" s="8">
        <v>10.5</v>
      </c>
      <c r="J1559" s="26">
        <v>1</v>
      </c>
      <c r="K1559" s="10">
        <f t="shared" si="149"/>
        <v>0.17408999999999997</v>
      </c>
      <c r="L1559" s="4"/>
      <c r="M1559" s="17">
        <v>1</v>
      </c>
      <c r="N1559" s="18">
        <f t="shared" si="150"/>
        <v>0.17408999999999997</v>
      </c>
      <c r="O1559" s="19">
        <f t="shared" si="151"/>
        <v>0</v>
      </c>
      <c r="P1559" s="13">
        <f t="shared" si="152"/>
        <v>0</v>
      </c>
      <c r="Q1559" s="32">
        <v>9.6</v>
      </c>
      <c r="R1559" s="2">
        <v>1</v>
      </c>
      <c r="S1559" s="2"/>
    </row>
    <row r="1560" spans="1:19">
      <c r="A1560" s="42" t="s">
        <v>90</v>
      </c>
      <c r="B1560" s="3"/>
      <c r="C1560" s="3">
        <v>122</v>
      </c>
      <c r="D1560" s="1"/>
      <c r="E1560" s="12" t="s">
        <v>20</v>
      </c>
      <c r="F1560" s="7" t="s">
        <v>15</v>
      </c>
      <c r="G1560" s="7" t="s">
        <v>30</v>
      </c>
      <c r="H1560" s="11">
        <v>9.26</v>
      </c>
      <c r="I1560" s="184">
        <v>9.1999999999999993</v>
      </c>
      <c r="J1560" s="26">
        <v>4</v>
      </c>
      <c r="K1560" s="10">
        <f t="shared" si="149"/>
        <v>0.34076799999999996</v>
      </c>
      <c r="L1560" s="4"/>
      <c r="M1560" s="17">
        <v>4</v>
      </c>
      <c r="N1560" s="18">
        <f t="shared" si="150"/>
        <v>0.34076799999999996</v>
      </c>
      <c r="O1560" s="19">
        <f t="shared" si="151"/>
        <v>0</v>
      </c>
      <c r="P1560" s="13">
        <f t="shared" si="152"/>
        <v>0</v>
      </c>
      <c r="Q1560" s="159">
        <v>6.4</v>
      </c>
      <c r="R1560" s="35">
        <v>4</v>
      </c>
      <c r="S1560" s="2" t="s">
        <v>739</v>
      </c>
    </row>
    <row r="1561" spans="1:19">
      <c r="A1561" s="42" t="s">
        <v>90</v>
      </c>
      <c r="B1561" s="3"/>
      <c r="C1561" s="3">
        <v>123</v>
      </c>
      <c r="D1561" s="1"/>
      <c r="E1561" s="20" t="s">
        <v>19</v>
      </c>
      <c r="F1561" s="7" t="s">
        <v>14</v>
      </c>
      <c r="G1561" s="7" t="s">
        <v>32</v>
      </c>
      <c r="H1561" s="11">
        <v>8.3000000000000007</v>
      </c>
      <c r="I1561" s="8">
        <v>5.5</v>
      </c>
      <c r="J1561" s="26">
        <v>1</v>
      </c>
      <c r="K1561" s="10">
        <f t="shared" si="149"/>
        <v>4.5650000000000003E-2</v>
      </c>
      <c r="L1561" s="4"/>
      <c r="M1561" s="17"/>
      <c r="N1561" s="18">
        <f t="shared" si="150"/>
        <v>0</v>
      </c>
      <c r="O1561" s="19">
        <f t="shared" si="151"/>
        <v>1</v>
      </c>
      <c r="P1561" s="13">
        <f t="shared" si="152"/>
        <v>4.5650000000000003E-2</v>
      </c>
      <c r="Q1561" s="9"/>
      <c r="R1561" s="2"/>
      <c r="S1561" s="2"/>
    </row>
    <row r="1562" spans="1:19">
      <c r="A1562" s="42" t="s">
        <v>90</v>
      </c>
      <c r="B1562" s="3"/>
      <c r="C1562" s="3">
        <v>123</v>
      </c>
      <c r="D1562" s="1"/>
      <c r="E1562" s="20" t="s">
        <v>19</v>
      </c>
      <c r="F1562" s="7" t="s">
        <v>14</v>
      </c>
      <c r="G1562" s="7" t="s">
        <v>32</v>
      </c>
      <c r="H1562" s="11">
        <v>8.3000000000000007</v>
      </c>
      <c r="I1562" s="8">
        <v>6.5</v>
      </c>
      <c r="J1562" s="26">
        <v>3</v>
      </c>
      <c r="K1562" s="10">
        <f t="shared" si="149"/>
        <v>0.16185000000000002</v>
      </c>
      <c r="L1562" s="4"/>
      <c r="M1562" s="17">
        <v>3</v>
      </c>
      <c r="N1562" s="18">
        <f t="shared" si="150"/>
        <v>0.16185000000000002</v>
      </c>
      <c r="O1562" s="19">
        <f t="shared" si="151"/>
        <v>0</v>
      </c>
      <c r="P1562" s="13">
        <f t="shared" si="152"/>
        <v>0</v>
      </c>
      <c r="Q1562" s="9"/>
      <c r="R1562" s="2">
        <v>3</v>
      </c>
      <c r="S1562" s="2" t="s">
        <v>278</v>
      </c>
    </row>
    <row r="1563" spans="1:19">
      <c r="A1563" s="42" t="s">
        <v>90</v>
      </c>
      <c r="B1563" s="3"/>
      <c r="C1563" s="3">
        <v>123</v>
      </c>
      <c r="D1563" s="1"/>
      <c r="E1563" s="20" t="s">
        <v>19</v>
      </c>
      <c r="F1563" s="7" t="s">
        <v>14</v>
      </c>
      <c r="G1563" s="7" t="s">
        <v>32</v>
      </c>
      <c r="H1563" s="11">
        <v>8.3000000000000007</v>
      </c>
      <c r="I1563" s="8">
        <v>7</v>
      </c>
      <c r="J1563" s="26">
        <v>5</v>
      </c>
      <c r="K1563" s="10">
        <f t="shared" si="149"/>
        <v>0.29050000000000004</v>
      </c>
      <c r="L1563" s="4"/>
      <c r="M1563" s="17">
        <v>5</v>
      </c>
      <c r="N1563" s="18">
        <f t="shared" si="150"/>
        <v>0.29049999999999998</v>
      </c>
      <c r="O1563" s="19">
        <f t="shared" si="151"/>
        <v>0</v>
      </c>
      <c r="P1563" s="13">
        <f t="shared" si="152"/>
        <v>0</v>
      </c>
      <c r="Q1563" s="9"/>
      <c r="R1563" s="2">
        <v>5</v>
      </c>
      <c r="S1563" s="2" t="s">
        <v>278</v>
      </c>
    </row>
    <row r="1564" spans="1:19">
      <c r="A1564" s="42" t="s">
        <v>90</v>
      </c>
      <c r="B1564" s="3"/>
      <c r="C1564" s="3">
        <v>124</v>
      </c>
      <c r="D1564" s="1"/>
      <c r="E1564" s="20" t="s">
        <v>19</v>
      </c>
      <c r="F1564" s="7" t="s">
        <v>14</v>
      </c>
      <c r="G1564" s="7" t="s">
        <v>39</v>
      </c>
      <c r="H1564" s="11">
        <v>14.66</v>
      </c>
      <c r="I1564" s="8">
        <v>6.5</v>
      </c>
      <c r="J1564" s="26">
        <v>2</v>
      </c>
      <c r="K1564" s="10">
        <f t="shared" si="149"/>
        <v>0.19058</v>
      </c>
      <c r="L1564" s="4"/>
      <c r="M1564" s="17">
        <v>2</v>
      </c>
      <c r="N1564" s="18">
        <f t="shared" si="150"/>
        <v>0.19058</v>
      </c>
      <c r="O1564" s="19">
        <f t="shared" si="151"/>
        <v>0</v>
      </c>
      <c r="P1564" s="13">
        <f t="shared" si="152"/>
        <v>0</v>
      </c>
      <c r="Q1564" s="9"/>
      <c r="R1564" s="35">
        <v>2</v>
      </c>
      <c r="S1564" s="2" t="s">
        <v>642</v>
      </c>
    </row>
    <row r="1565" spans="1:19">
      <c r="A1565" s="42" t="s">
        <v>90</v>
      </c>
      <c r="B1565" s="3"/>
      <c r="C1565" s="3">
        <v>124</v>
      </c>
      <c r="D1565" s="1"/>
      <c r="E1565" s="20" t="s">
        <v>19</v>
      </c>
      <c r="F1565" s="7" t="s">
        <v>14</v>
      </c>
      <c r="G1565" s="7" t="s">
        <v>39</v>
      </c>
      <c r="H1565" s="11">
        <v>14.66</v>
      </c>
      <c r="I1565" s="8">
        <v>7</v>
      </c>
      <c r="J1565" s="26">
        <v>1</v>
      </c>
      <c r="K1565" s="10">
        <f t="shared" si="149"/>
        <v>0.10262</v>
      </c>
      <c r="L1565" s="4"/>
      <c r="M1565" s="17">
        <v>1</v>
      </c>
      <c r="N1565" s="18">
        <f t="shared" si="150"/>
        <v>0.10262</v>
      </c>
      <c r="O1565" s="19">
        <f t="shared" si="151"/>
        <v>0</v>
      </c>
      <c r="P1565" s="13">
        <f t="shared" si="152"/>
        <v>0</v>
      </c>
      <c r="Q1565" s="9"/>
      <c r="R1565" s="35">
        <v>1</v>
      </c>
      <c r="S1565" s="2" t="s">
        <v>642</v>
      </c>
    </row>
    <row r="1566" spans="1:19">
      <c r="A1566" s="42" t="s">
        <v>90</v>
      </c>
      <c r="B1566" s="3"/>
      <c r="C1566" s="3">
        <v>124</v>
      </c>
      <c r="D1566" s="1"/>
      <c r="E1566" s="20" t="s">
        <v>19</v>
      </c>
      <c r="F1566" s="7" t="s">
        <v>14</v>
      </c>
      <c r="G1566" s="7" t="s">
        <v>39</v>
      </c>
      <c r="H1566" s="11">
        <v>14.66</v>
      </c>
      <c r="I1566" s="8">
        <v>6.6</v>
      </c>
      <c r="J1566" s="26">
        <v>1</v>
      </c>
      <c r="K1566" s="10">
        <f t="shared" si="149"/>
        <v>9.6755999999999995E-2</v>
      </c>
      <c r="L1566" s="4"/>
      <c r="M1566" s="17">
        <v>1</v>
      </c>
      <c r="N1566" s="18">
        <f t="shared" si="150"/>
        <v>9.6755999999999995E-2</v>
      </c>
      <c r="O1566" s="19">
        <f t="shared" si="151"/>
        <v>0</v>
      </c>
      <c r="P1566" s="13">
        <f t="shared" si="152"/>
        <v>0</v>
      </c>
      <c r="Q1566" s="9"/>
      <c r="R1566" s="35">
        <v>1</v>
      </c>
      <c r="S1566" s="2" t="s">
        <v>642</v>
      </c>
    </row>
    <row r="1567" spans="1:19">
      <c r="A1567" s="42" t="s">
        <v>90</v>
      </c>
      <c r="B1567" s="3"/>
      <c r="C1567" s="3">
        <v>124</v>
      </c>
      <c r="D1567" s="1"/>
      <c r="E1567" s="20" t="s">
        <v>19</v>
      </c>
      <c r="F1567" s="7" t="s">
        <v>14</v>
      </c>
      <c r="G1567" s="7" t="s">
        <v>39</v>
      </c>
      <c r="H1567" s="11">
        <v>14.66</v>
      </c>
      <c r="I1567" s="8">
        <v>8</v>
      </c>
      <c r="J1567" s="26">
        <v>3</v>
      </c>
      <c r="K1567" s="10">
        <f t="shared" si="149"/>
        <v>0.35184000000000004</v>
      </c>
      <c r="L1567" s="4"/>
      <c r="M1567" s="17">
        <v>3</v>
      </c>
      <c r="N1567" s="18">
        <f t="shared" si="150"/>
        <v>0.35184000000000004</v>
      </c>
      <c r="O1567" s="19">
        <f t="shared" si="151"/>
        <v>0</v>
      </c>
      <c r="P1567" s="13">
        <f t="shared" si="152"/>
        <v>0</v>
      </c>
      <c r="Q1567" s="9"/>
      <c r="R1567" s="35">
        <v>3</v>
      </c>
      <c r="S1567" s="2" t="s">
        <v>642</v>
      </c>
    </row>
    <row r="1568" spans="1:19">
      <c r="A1568" s="42" t="s">
        <v>90</v>
      </c>
      <c r="B1568" s="3"/>
      <c r="C1568" s="3">
        <v>125</v>
      </c>
      <c r="D1568" s="1"/>
      <c r="E1568" s="20" t="s">
        <v>19</v>
      </c>
      <c r="F1568" s="7" t="s">
        <v>14</v>
      </c>
      <c r="G1568" s="7" t="s">
        <v>39</v>
      </c>
      <c r="H1568" s="11">
        <v>14.66</v>
      </c>
      <c r="I1568" s="8">
        <v>9</v>
      </c>
      <c r="J1568" s="26">
        <v>1</v>
      </c>
      <c r="K1568" s="10">
        <f t="shared" si="149"/>
        <v>0.13194</v>
      </c>
      <c r="L1568" s="4"/>
      <c r="M1568" s="17">
        <v>1</v>
      </c>
      <c r="N1568" s="18">
        <f t="shared" si="150"/>
        <v>0.13194</v>
      </c>
      <c r="O1568" s="19">
        <f t="shared" si="151"/>
        <v>0</v>
      </c>
      <c r="P1568" s="13">
        <f t="shared" si="152"/>
        <v>0</v>
      </c>
      <c r="Q1568" s="9"/>
      <c r="R1568" s="2"/>
      <c r="S1568" s="2"/>
    </row>
    <row r="1569" spans="1:21">
      <c r="A1569" s="42" t="s">
        <v>90</v>
      </c>
      <c r="B1569" s="3"/>
      <c r="C1569" s="3">
        <v>125</v>
      </c>
      <c r="D1569" s="1"/>
      <c r="E1569" s="20" t="s">
        <v>19</v>
      </c>
      <c r="F1569" s="7" t="s">
        <v>14</v>
      </c>
      <c r="G1569" s="7" t="s">
        <v>39</v>
      </c>
      <c r="H1569" s="11">
        <v>14.66</v>
      </c>
      <c r="I1569" s="8">
        <v>11.1</v>
      </c>
      <c r="J1569" s="26">
        <v>1</v>
      </c>
      <c r="K1569" s="10">
        <f t="shared" si="149"/>
        <v>0.16272600000000001</v>
      </c>
      <c r="L1569" s="4"/>
      <c r="M1569" s="17">
        <v>1</v>
      </c>
      <c r="N1569" s="18">
        <f t="shared" si="150"/>
        <v>0.16272600000000001</v>
      </c>
      <c r="O1569" s="19">
        <f t="shared" si="151"/>
        <v>0</v>
      </c>
      <c r="P1569" s="13">
        <f t="shared" si="152"/>
        <v>0</v>
      </c>
      <c r="Q1569" s="9"/>
      <c r="R1569" s="2"/>
      <c r="S1569" s="2"/>
    </row>
    <row r="1570" spans="1:21">
      <c r="A1570" s="42" t="s">
        <v>90</v>
      </c>
      <c r="B1570" s="3"/>
      <c r="C1570" s="3">
        <v>126</v>
      </c>
      <c r="D1570" s="1" t="s">
        <v>93</v>
      </c>
      <c r="E1570" s="12" t="s">
        <v>20</v>
      </c>
      <c r="F1570" s="7" t="s">
        <v>15</v>
      </c>
      <c r="G1570" s="7" t="s">
        <v>27</v>
      </c>
      <c r="H1570" s="11">
        <v>6.17</v>
      </c>
      <c r="I1570" s="8">
        <v>9.8000000000000007</v>
      </c>
      <c r="J1570" s="26">
        <v>2</v>
      </c>
      <c r="K1570" s="10">
        <f t="shared" si="149"/>
        <v>0.120932</v>
      </c>
      <c r="L1570" s="4"/>
      <c r="M1570" s="22">
        <v>2</v>
      </c>
      <c r="N1570" s="18">
        <f t="shared" si="150"/>
        <v>0.120932</v>
      </c>
      <c r="O1570" s="19">
        <f t="shared" si="151"/>
        <v>0</v>
      </c>
      <c r="P1570" s="13">
        <f t="shared" si="152"/>
        <v>0</v>
      </c>
      <c r="Q1570" s="9">
        <v>9.85</v>
      </c>
      <c r="R1570" s="2">
        <v>2</v>
      </c>
      <c r="S1570" s="2"/>
    </row>
    <row r="1571" spans="1:21">
      <c r="A1571" s="42" t="s">
        <v>90</v>
      </c>
      <c r="B1571" s="3"/>
      <c r="C1571" s="3">
        <v>126</v>
      </c>
      <c r="D1571" s="1" t="s">
        <v>93</v>
      </c>
      <c r="E1571" s="12" t="s">
        <v>20</v>
      </c>
      <c r="F1571" s="7" t="s">
        <v>15</v>
      </c>
      <c r="G1571" s="7" t="s">
        <v>27</v>
      </c>
      <c r="H1571" s="11">
        <v>6.17</v>
      </c>
      <c r="I1571" s="8">
        <v>9</v>
      </c>
      <c r="J1571" s="26">
        <v>1</v>
      </c>
      <c r="K1571" s="10">
        <f t="shared" si="149"/>
        <v>5.5530000000000003E-2</v>
      </c>
      <c r="L1571" s="4"/>
      <c r="M1571" s="335">
        <v>1</v>
      </c>
      <c r="N1571" s="18">
        <f t="shared" si="150"/>
        <v>5.5530000000000003E-2</v>
      </c>
      <c r="O1571" s="19">
        <f t="shared" si="151"/>
        <v>0</v>
      </c>
      <c r="P1571" s="13">
        <f t="shared" si="152"/>
        <v>0</v>
      </c>
      <c r="Q1571" s="9"/>
      <c r="R1571" s="2"/>
      <c r="S1571" s="50">
        <v>8</v>
      </c>
      <c r="T1571">
        <v>1</v>
      </c>
      <c r="U1571" s="213" t="s">
        <v>272</v>
      </c>
    </row>
    <row r="1572" spans="1:21">
      <c r="A1572" s="42" t="s">
        <v>90</v>
      </c>
      <c r="B1572" s="3"/>
      <c r="C1572" s="3">
        <v>127</v>
      </c>
      <c r="D1572" s="1" t="s">
        <v>93</v>
      </c>
      <c r="E1572" s="12" t="s">
        <v>19</v>
      </c>
      <c r="F1572" s="7" t="s">
        <v>14</v>
      </c>
      <c r="G1572" s="7" t="s">
        <v>25</v>
      </c>
      <c r="H1572" s="11">
        <v>7.34</v>
      </c>
      <c r="I1572" s="8">
        <v>10</v>
      </c>
      <c r="J1572" s="26">
        <v>1</v>
      </c>
      <c r="K1572" s="10">
        <f t="shared" si="149"/>
        <v>7.3400000000000007E-2</v>
      </c>
      <c r="L1572" s="4"/>
      <c r="M1572" s="17">
        <v>1</v>
      </c>
      <c r="N1572" s="18">
        <f t="shared" si="150"/>
        <v>7.3400000000000007E-2</v>
      </c>
      <c r="O1572" s="19">
        <f t="shared" si="151"/>
        <v>0</v>
      </c>
      <c r="P1572" s="13">
        <f t="shared" si="152"/>
        <v>0</v>
      </c>
      <c r="Q1572" s="9">
        <v>7.55</v>
      </c>
      <c r="R1572" s="32">
        <v>1</v>
      </c>
      <c r="S1572" s="2" t="s">
        <v>335</v>
      </c>
    </row>
    <row r="1573" spans="1:21">
      <c r="A1573" s="42" t="s">
        <v>90</v>
      </c>
      <c r="B1573" s="3"/>
      <c r="C1573" s="3">
        <v>127</v>
      </c>
      <c r="D1573" s="1" t="s">
        <v>93</v>
      </c>
      <c r="E1573" s="12" t="s">
        <v>19</v>
      </c>
      <c r="F1573" s="7" t="s">
        <v>14</v>
      </c>
      <c r="G1573" s="7" t="s">
        <v>25</v>
      </c>
      <c r="H1573" s="11">
        <v>7.34</v>
      </c>
      <c r="I1573" s="8">
        <v>11.6</v>
      </c>
      <c r="J1573" s="26">
        <v>1</v>
      </c>
      <c r="K1573" s="10">
        <f t="shared" si="149"/>
        <v>8.5143999999999997E-2</v>
      </c>
      <c r="L1573" s="4"/>
      <c r="M1573" s="17">
        <v>1</v>
      </c>
      <c r="N1573" s="18">
        <f t="shared" si="150"/>
        <v>8.5143999999999997E-2</v>
      </c>
      <c r="O1573" s="19">
        <f t="shared" si="151"/>
        <v>0</v>
      </c>
      <c r="P1573" s="13">
        <f t="shared" si="152"/>
        <v>0</v>
      </c>
      <c r="Q1573" s="32">
        <v>10.15</v>
      </c>
      <c r="R1573" s="32">
        <v>1</v>
      </c>
      <c r="S1573" s="2" t="s">
        <v>335</v>
      </c>
    </row>
    <row r="1574" spans="1:21">
      <c r="A1574" s="42" t="s">
        <v>90</v>
      </c>
      <c r="B1574" s="3"/>
      <c r="C1574" s="3">
        <v>128</v>
      </c>
      <c r="D1574" s="1"/>
      <c r="E1574" s="20" t="s">
        <v>17</v>
      </c>
      <c r="F1574" s="7" t="s">
        <v>15</v>
      </c>
      <c r="G1574" s="7" t="s">
        <v>38</v>
      </c>
      <c r="H1574" s="11">
        <v>12.9</v>
      </c>
      <c r="I1574" s="8">
        <v>9.5</v>
      </c>
      <c r="J1574" s="26">
        <v>3</v>
      </c>
      <c r="K1574" s="10">
        <f t="shared" si="149"/>
        <v>0.36764999999999998</v>
      </c>
      <c r="L1574" s="4"/>
      <c r="M1574" s="17">
        <v>3</v>
      </c>
      <c r="N1574" s="18">
        <f t="shared" si="150"/>
        <v>0.36765000000000003</v>
      </c>
      <c r="O1574" s="19">
        <f t="shared" si="151"/>
        <v>0</v>
      </c>
      <c r="P1574" s="13">
        <f t="shared" si="152"/>
        <v>0</v>
      </c>
      <c r="Q1574" s="9"/>
      <c r="R1574" s="35">
        <v>3</v>
      </c>
      <c r="S1574" s="35" t="s">
        <v>222</v>
      </c>
    </row>
    <row r="1575" spans="1:21">
      <c r="A1575" s="42" t="s">
        <v>90</v>
      </c>
      <c r="B1575" s="3"/>
      <c r="C1575" s="3">
        <v>128</v>
      </c>
      <c r="D1575" s="1"/>
      <c r="E1575" s="20" t="s">
        <v>17</v>
      </c>
      <c r="F1575" s="7" t="s">
        <v>15</v>
      </c>
      <c r="G1575" s="7" t="s">
        <v>38</v>
      </c>
      <c r="H1575" s="11">
        <v>12.9</v>
      </c>
      <c r="I1575" s="8">
        <v>7.4</v>
      </c>
      <c r="J1575" s="26">
        <v>1</v>
      </c>
      <c r="K1575" s="10">
        <f t="shared" si="149"/>
        <v>9.5460000000000003E-2</v>
      </c>
      <c r="L1575" s="4"/>
      <c r="M1575" s="22">
        <v>1</v>
      </c>
      <c r="N1575" s="18">
        <f t="shared" si="150"/>
        <v>9.5460000000000003E-2</v>
      </c>
      <c r="O1575" s="19">
        <f t="shared" si="151"/>
        <v>0</v>
      </c>
      <c r="P1575" s="13">
        <f t="shared" si="152"/>
        <v>0</v>
      </c>
      <c r="Q1575" s="9"/>
      <c r="R1575" s="2"/>
      <c r="S1575" s="35" t="s">
        <v>222</v>
      </c>
    </row>
    <row r="1576" spans="1:21">
      <c r="A1576" s="42" t="s">
        <v>90</v>
      </c>
      <c r="B1576" s="3"/>
      <c r="C1576" s="3">
        <v>128</v>
      </c>
      <c r="D1576" s="1"/>
      <c r="E1576" s="20" t="s">
        <v>17</v>
      </c>
      <c r="F1576" s="7" t="s">
        <v>15</v>
      </c>
      <c r="G1576" s="7" t="s">
        <v>38</v>
      </c>
      <c r="H1576" s="11">
        <v>12.9</v>
      </c>
      <c r="I1576" s="8">
        <v>7</v>
      </c>
      <c r="J1576" s="26">
        <v>1</v>
      </c>
      <c r="K1576" s="10">
        <f t="shared" si="149"/>
        <v>9.0299999999999991E-2</v>
      </c>
      <c r="L1576" s="4"/>
      <c r="M1576" s="17">
        <v>1</v>
      </c>
      <c r="N1576" s="18">
        <f t="shared" si="150"/>
        <v>9.0299999999999991E-2</v>
      </c>
      <c r="O1576" s="19">
        <f t="shared" si="151"/>
        <v>0</v>
      </c>
      <c r="P1576" s="13">
        <f t="shared" si="152"/>
        <v>0</v>
      </c>
      <c r="Q1576" s="9"/>
      <c r="R1576" s="2"/>
      <c r="S1576" s="35" t="s">
        <v>222</v>
      </c>
    </row>
    <row r="1577" spans="1:21">
      <c r="A1577" s="42" t="s">
        <v>90</v>
      </c>
      <c r="B1577" s="3"/>
      <c r="C1577" s="3">
        <v>128</v>
      </c>
      <c r="D1577" s="1"/>
      <c r="E1577" s="20" t="s">
        <v>17</v>
      </c>
      <c r="F1577" s="7" t="s">
        <v>15</v>
      </c>
      <c r="G1577" s="7" t="s">
        <v>38</v>
      </c>
      <c r="H1577" s="11">
        <v>12.9</v>
      </c>
      <c r="I1577" s="8">
        <v>6.3</v>
      </c>
      <c r="J1577" s="26">
        <v>1</v>
      </c>
      <c r="K1577" s="10">
        <f t="shared" si="149"/>
        <v>8.1269999999999995E-2</v>
      </c>
      <c r="L1577" s="4"/>
      <c r="M1577" s="17">
        <v>1</v>
      </c>
      <c r="N1577" s="18">
        <f t="shared" si="150"/>
        <v>8.1269999999999995E-2</v>
      </c>
      <c r="O1577" s="19">
        <f t="shared" si="151"/>
        <v>0</v>
      </c>
      <c r="P1577" s="13">
        <f t="shared" si="152"/>
        <v>0</v>
      </c>
      <c r="Q1577" s="9"/>
      <c r="R1577" s="2"/>
      <c r="S1577" s="35" t="s">
        <v>222</v>
      </c>
    </row>
    <row r="1578" spans="1:21">
      <c r="A1578" s="42" t="s">
        <v>90</v>
      </c>
      <c r="B1578" s="3"/>
      <c r="C1578" s="3">
        <v>129</v>
      </c>
      <c r="D1578" s="1"/>
      <c r="E1578" s="20" t="s">
        <v>17</v>
      </c>
      <c r="F1578" s="7" t="s">
        <v>15</v>
      </c>
      <c r="G1578" s="7" t="s">
        <v>38</v>
      </c>
      <c r="H1578" s="11">
        <v>12.9</v>
      </c>
      <c r="I1578" s="8">
        <v>10.6</v>
      </c>
      <c r="J1578" s="26">
        <v>2</v>
      </c>
      <c r="K1578" s="10">
        <f t="shared" si="149"/>
        <v>0.27348</v>
      </c>
      <c r="L1578" s="4"/>
      <c r="M1578" s="17">
        <v>2</v>
      </c>
      <c r="N1578" s="18">
        <f t="shared" si="150"/>
        <v>0.27348</v>
      </c>
      <c r="O1578" s="19">
        <f t="shared" si="151"/>
        <v>0</v>
      </c>
      <c r="P1578" s="13">
        <f t="shared" si="152"/>
        <v>0</v>
      </c>
      <c r="Q1578" s="9"/>
      <c r="R1578" s="2"/>
      <c r="S1578" s="35" t="s">
        <v>222</v>
      </c>
    </row>
    <row r="1579" spans="1:21">
      <c r="A1579" s="42" t="s">
        <v>90</v>
      </c>
      <c r="B1579" s="3"/>
      <c r="C1579" s="3">
        <v>130</v>
      </c>
      <c r="D1579" s="1"/>
      <c r="E1579" s="20" t="s">
        <v>17</v>
      </c>
      <c r="F1579" s="7" t="s">
        <v>15</v>
      </c>
      <c r="G1579" s="7" t="s">
        <v>40</v>
      </c>
      <c r="H1579" s="11">
        <v>16.5</v>
      </c>
      <c r="I1579" s="8">
        <v>8.5</v>
      </c>
      <c r="J1579" s="26">
        <v>2</v>
      </c>
      <c r="K1579" s="10">
        <f t="shared" si="149"/>
        <v>0.28050000000000003</v>
      </c>
      <c r="L1579" s="4"/>
      <c r="M1579" s="17">
        <v>2</v>
      </c>
      <c r="N1579" s="18">
        <f t="shared" si="150"/>
        <v>0.28050000000000003</v>
      </c>
      <c r="O1579" s="19">
        <f t="shared" si="151"/>
        <v>0</v>
      </c>
      <c r="P1579" s="13">
        <f t="shared" si="152"/>
        <v>0</v>
      </c>
      <c r="Q1579" s="9"/>
      <c r="R1579" s="2">
        <v>2</v>
      </c>
      <c r="S1579" s="2" t="s">
        <v>278</v>
      </c>
    </row>
    <row r="1580" spans="1:21">
      <c r="A1580" s="42" t="s">
        <v>90</v>
      </c>
      <c r="B1580" s="3"/>
      <c r="C1580" s="3">
        <v>130</v>
      </c>
      <c r="D1580" s="1"/>
      <c r="E1580" s="20" t="s">
        <v>17</v>
      </c>
      <c r="F1580" s="7" t="s">
        <v>15</v>
      </c>
      <c r="G1580" s="7" t="s">
        <v>40</v>
      </c>
      <c r="H1580" s="11">
        <v>16.5</v>
      </c>
      <c r="I1580" s="8">
        <v>8.3000000000000007</v>
      </c>
      <c r="J1580" s="26">
        <v>1</v>
      </c>
      <c r="K1580" s="10">
        <f t="shared" si="149"/>
        <v>0.13695000000000002</v>
      </c>
      <c r="L1580" s="4"/>
      <c r="M1580" s="17">
        <v>1</v>
      </c>
      <c r="N1580" s="18">
        <f t="shared" si="150"/>
        <v>0.13695000000000002</v>
      </c>
      <c r="O1580" s="19">
        <f t="shared" si="151"/>
        <v>0</v>
      </c>
      <c r="P1580" s="13">
        <f t="shared" si="152"/>
        <v>0</v>
      </c>
      <c r="Q1580" s="9"/>
      <c r="R1580" s="2">
        <v>1</v>
      </c>
      <c r="S1580" s="2" t="s">
        <v>278</v>
      </c>
    </row>
    <row r="1581" spans="1:21">
      <c r="A1581" s="42" t="s">
        <v>90</v>
      </c>
      <c r="B1581" s="3"/>
      <c r="C1581" s="3">
        <v>130</v>
      </c>
      <c r="D1581" s="1"/>
      <c r="E1581" s="20" t="s">
        <v>17</v>
      </c>
      <c r="F1581" s="7" t="s">
        <v>15</v>
      </c>
      <c r="G1581" s="7" t="s">
        <v>40</v>
      </c>
      <c r="H1581" s="11">
        <v>16.5</v>
      </c>
      <c r="I1581" s="8">
        <v>8</v>
      </c>
      <c r="J1581" s="26">
        <v>2</v>
      </c>
      <c r="K1581" s="10">
        <f t="shared" si="149"/>
        <v>0.26400000000000001</v>
      </c>
      <c r="L1581" s="4"/>
      <c r="M1581" s="17">
        <v>2</v>
      </c>
      <c r="N1581" s="18">
        <f t="shared" si="150"/>
        <v>0.26400000000000001</v>
      </c>
      <c r="O1581" s="19">
        <f t="shared" si="151"/>
        <v>0</v>
      </c>
      <c r="P1581" s="13">
        <f t="shared" si="152"/>
        <v>0</v>
      </c>
      <c r="Q1581" s="9"/>
      <c r="R1581" s="2">
        <v>2</v>
      </c>
      <c r="S1581" s="2" t="s">
        <v>278</v>
      </c>
    </row>
    <row r="1582" spans="1:21">
      <c r="A1582" s="42" t="s">
        <v>90</v>
      </c>
      <c r="B1582" s="3"/>
      <c r="C1582" s="3">
        <v>130</v>
      </c>
      <c r="D1582" s="1"/>
      <c r="E1582" s="20" t="s">
        <v>17</v>
      </c>
      <c r="F1582" s="7" t="s">
        <v>15</v>
      </c>
      <c r="G1582" s="7" t="s">
        <v>40</v>
      </c>
      <c r="H1582" s="11">
        <v>16.5</v>
      </c>
      <c r="I1582" s="8">
        <v>7.5</v>
      </c>
      <c r="J1582" s="26">
        <v>1</v>
      </c>
      <c r="K1582" s="10">
        <f t="shared" si="149"/>
        <v>0.12375</v>
      </c>
      <c r="L1582" s="4"/>
      <c r="M1582" s="17">
        <v>1</v>
      </c>
      <c r="N1582" s="18">
        <f t="shared" si="150"/>
        <v>0.12375</v>
      </c>
      <c r="O1582" s="19">
        <f t="shared" si="151"/>
        <v>0</v>
      </c>
      <c r="P1582" s="13">
        <f t="shared" si="152"/>
        <v>0</v>
      </c>
      <c r="Q1582" s="9"/>
      <c r="R1582" s="2">
        <v>1</v>
      </c>
      <c r="S1582" s="2" t="s">
        <v>278</v>
      </c>
    </row>
    <row r="1583" spans="1:21">
      <c r="A1583" s="42" t="s">
        <v>90</v>
      </c>
      <c r="B1583" s="3"/>
      <c r="C1583" s="3">
        <v>131</v>
      </c>
      <c r="D1583" s="1"/>
      <c r="E1583" s="20" t="s">
        <v>19</v>
      </c>
      <c r="F1583" s="7" t="s">
        <v>14</v>
      </c>
      <c r="G1583" s="7" t="s">
        <v>22</v>
      </c>
      <c r="H1583" s="11">
        <v>10.73</v>
      </c>
      <c r="I1583" s="8">
        <v>7.5</v>
      </c>
      <c r="J1583" s="26">
        <v>1</v>
      </c>
      <c r="K1583" s="10">
        <f t="shared" si="149"/>
        <v>8.0475000000000005E-2</v>
      </c>
      <c r="L1583" s="4"/>
      <c r="M1583" s="17">
        <v>1</v>
      </c>
      <c r="N1583" s="18">
        <f t="shared" si="150"/>
        <v>8.0475000000000005E-2</v>
      </c>
      <c r="O1583" s="19">
        <f t="shared" si="151"/>
        <v>0</v>
      </c>
      <c r="P1583" s="13">
        <f t="shared" si="152"/>
        <v>0</v>
      </c>
      <c r="Q1583" s="32">
        <v>6.5</v>
      </c>
      <c r="R1583" s="35">
        <v>1</v>
      </c>
      <c r="S1583" s="32" t="s">
        <v>279</v>
      </c>
    </row>
    <row r="1584" spans="1:21">
      <c r="A1584" s="42" t="s">
        <v>90</v>
      </c>
      <c r="B1584" s="3"/>
      <c r="C1584" s="3">
        <v>132</v>
      </c>
      <c r="D1584" s="1"/>
      <c r="E1584" s="20" t="s">
        <v>17</v>
      </c>
      <c r="F1584" s="7" t="s">
        <v>15</v>
      </c>
      <c r="G1584" s="7" t="s">
        <v>39</v>
      </c>
      <c r="H1584" s="11">
        <v>14.66</v>
      </c>
      <c r="I1584" s="8">
        <v>6.4</v>
      </c>
      <c r="J1584" s="26">
        <v>2</v>
      </c>
      <c r="K1584" s="10">
        <f t="shared" si="149"/>
        <v>0.18764800000000004</v>
      </c>
      <c r="L1584" s="4"/>
      <c r="M1584" s="17"/>
      <c r="N1584" s="18">
        <f t="shared" si="150"/>
        <v>0</v>
      </c>
      <c r="O1584" s="19">
        <f t="shared" si="151"/>
        <v>2</v>
      </c>
      <c r="P1584" s="13">
        <f t="shared" si="152"/>
        <v>0.18764800000000004</v>
      </c>
      <c r="Q1584" s="9"/>
      <c r="R1584" s="2"/>
      <c r="S1584" s="2"/>
    </row>
    <row r="1585" spans="1:21">
      <c r="A1585" s="42" t="s">
        <v>90</v>
      </c>
      <c r="B1585" s="3"/>
      <c r="C1585" s="3"/>
      <c r="D1585" s="1"/>
      <c r="E1585" s="20"/>
      <c r="F1585" s="7" t="s">
        <v>15</v>
      </c>
      <c r="G1585" s="7" t="s">
        <v>39</v>
      </c>
      <c r="H1585" s="11">
        <v>14.66</v>
      </c>
      <c r="I1585" s="8">
        <v>6.3</v>
      </c>
      <c r="J1585" s="26">
        <v>1</v>
      </c>
      <c r="K1585" s="10">
        <f t="shared" si="149"/>
        <v>9.235800000000001E-2</v>
      </c>
      <c r="L1585" s="4"/>
      <c r="M1585" s="17"/>
      <c r="N1585" s="18">
        <f t="shared" si="150"/>
        <v>0</v>
      </c>
      <c r="O1585" s="19">
        <f t="shared" si="151"/>
        <v>1</v>
      </c>
      <c r="P1585" s="13">
        <f t="shared" si="152"/>
        <v>9.235800000000001E-2</v>
      </c>
      <c r="Q1585" s="9"/>
      <c r="R1585" s="2"/>
      <c r="S1585" s="2"/>
    </row>
    <row r="1586" spans="1:21">
      <c r="A1586" s="42" t="s">
        <v>90</v>
      </c>
      <c r="B1586" s="3"/>
      <c r="C1586" s="3"/>
      <c r="D1586" s="1"/>
      <c r="E1586" s="20"/>
      <c r="F1586" s="7" t="s">
        <v>15</v>
      </c>
      <c r="G1586" s="7" t="s">
        <v>39</v>
      </c>
      <c r="H1586" s="11">
        <v>14.66</v>
      </c>
      <c r="I1586" s="8">
        <v>7</v>
      </c>
      <c r="J1586" s="26">
        <v>1</v>
      </c>
      <c r="K1586" s="10">
        <f t="shared" ref="K1586:K1631" si="153">(H1586*I1586*J1586/1000)</f>
        <v>0.10262</v>
      </c>
      <c r="L1586" s="4"/>
      <c r="M1586" s="17">
        <v>1</v>
      </c>
      <c r="N1586" s="18">
        <f t="shared" ref="N1586:N1631" si="154">I1586*M1586*H1586/1000</f>
        <v>0.10262</v>
      </c>
      <c r="O1586" s="19">
        <f t="shared" ref="O1586:O1631" si="155">J1586-M1586</f>
        <v>0</v>
      </c>
      <c r="P1586" s="13">
        <f t="shared" ref="P1586:P1631" si="156">I1586*O1586*H1586/1000</f>
        <v>0</v>
      </c>
      <c r="Q1586" s="9">
        <v>6.5</v>
      </c>
      <c r="R1586" s="35">
        <v>1</v>
      </c>
      <c r="S1586" s="2" t="s">
        <v>444</v>
      </c>
    </row>
    <row r="1587" spans="1:21">
      <c r="A1587" s="42" t="s">
        <v>90</v>
      </c>
      <c r="B1587" s="3"/>
      <c r="C1587" s="3">
        <v>133</v>
      </c>
      <c r="D1587" s="1"/>
      <c r="E1587" s="12" t="s">
        <v>94</v>
      </c>
      <c r="F1587" s="7" t="s">
        <v>15</v>
      </c>
      <c r="G1587" s="7" t="s">
        <v>22</v>
      </c>
      <c r="H1587" s="11">
        <v>10.73</v>
      </c>
      <c r="I1587" s="8">
        <v>7.5</v>
      </c>
      <c r="J1587" s="26">
        <v>3</v>
      </c>
      <c r="K1587" s="10">
        <f t="shared" si="153"/>
        <v>0.241425</v>
      </c>
      <c r="L1587" s="4"/>
      <c r="M1587" s="17">
        <v>3</v>
      </c>
      <c r="N1587" s="18">
        <f t="shared" si="154"/>
        <v>0.241425</v>
      </c>
      <c r="O1587" s="19">
        <f t="shared" si="155"/>
        <v>0</v>
      </c>
      <c r="P1587" s="13">
        <f t="shared" si="156"/>
        <v>0</v>
      </c>
      <c r="Q1587" s="9">
        <v>6.1</v>
      </c>
      <c r="R1587" s="2">
        <v>3</v>
      </c>
      <c r="S1587" s="2" t="s">
        <v>741</v>
      </c>
    </row>
    <row r="1588" spans="1:21">
      <c r="A1588" s="42" t="s">
        <v>90</v>
      </c>
      <c r="B1588" s="3"/>
      <c r="C1588" s="3">
        <v>134</v>
      </c>
      <c r="D1588" s="1"/>
      <c r="E1588" s="12" t="s">
        <v>19</v>
      </c>
      <c r="F1588" s="7" t="s">
        <v>14</v>
      </c>
      <c r="G1588" s="7" t="s">
        <v>21</v>
      </c>
      <c r="H1588" s="11">
        <v>6.97</v>
      </c>
      <c r="I1588" s="8">
        <v>5.7</v>
      </c>
      <c r="J1588" s="26">
        <v>1</v>
      </c>
      <c r="K1588" s="10">
        <f t="shared" si="153"/>
        <v>3.9729E-2</v>
      </c>
      <c r="L1588" s="4"/>
      <c r="M1588" s="17"/>
      <c r="N1588" s="18">
        <f t="shared" si="154"/>
        <v>0</v>
      </c>
      <c r="O1588" s="19">
        <f t="shared" si="155"/>
        <v>1</v>
      </c>
      <c r="P1588" s="13">
        <f t="shared" si="156"/>
        <v>3.9729E-2</v>
      </c>
      <c r="Q1588" s="9"/>
      <c r="R1588" s="2"/>
      <c r="S1588" s="2"/>
    </row>
    <row r="1589" spans="1:21">
      <c r="A1589" s="42" t="s">
        <v>90</v>
      </c>
      <c r="B1589" s="3"/>
      <c r="C1589" s="3">
        <v>134</v>
      </c>
      <c r="D1589" s="1"/>
      <c r="E1589" s="12" t="s">
        <v>19</v>
      </c>
      <c r="F1589" s="7" t="s">
        <v>14</v>
      </c>
      <c r="G1589" s="7" t="s">
        <v>21</v>
      </c>
      <c r="H1589" s="11">
        <v>6.97</v>
      </c>
      <c r="I1589" s="8">
        <v>5.25</v>
      </c>
      <c r="J1589" s="26">
        <v>1</v>
      </c>
      <c r="K1589" s="10">
        <f t="shared" si="153"/>
        <v>3.65925E-2</v>
      </c>
      <c r="L1589" s="4"/>
      <c r="M1589" s="17"/>
      <c r="N1589" s="18">
        <f t="shared" si="154"/>
        <v>0</v>
      </c>
      <c r="O1589" s="19">
        <f t="shared" si="155"/>
        <v>1</v>
      </c>
      <c r="P1589" s="13">
        <f t="shared" si="156"/>
        <v>3.65925E-2</v>
      </c>
      <c r="Q1589" s="9"/>
      <c r="R1589" s="2"/>
      <c r="S1589" s="2"/>
    </row>
    <row r="1590" spans="1:21">
      <c r="A1590" s="42" t="s">
        <v>90</v>
      </c>
      <c r="B1590" s="3"/>
      <c r="C1590" s="3">
        <v>135</v>
      </c>
      <c r="D1590" s="1"/>
      <c r="E1590" s="12" t="s">
        <v>20</v>
      </c>
      <c r="F1590" s="7" t="s">
        <v>15</v>
      </c>
      <c r="G1590" s="7" t="s">
        <v>25</v>
      </c>
      <c r="H1590" s="11">
        <v>7.34</v>
      </c>
      <c r="I1590" s="8">
        <v>8.4</v>
      </c>
      <c r="J1590" s="26">
        <v>1</v>
      </c>
      <c r="K1590" s="10">
        <f t="shared" si="153"/>
        <v>6.1655999999999996E-2</v>
      </c>
      <c r="L1590" s="4"/>
      <c r="M1590" s="17">
        <v>1</v>
      </c>
      <c r="N1590" s="18">
        <f t="shared" si="154"/>
        <v>6.1655999999999996E-2</v>
      </c>
      <c r="O1590" s="19">
        <f t="shared" si="155"/>
        <v>0</v>
      </c>
      <c r="P1590" s="13">
        <f t="shared" si="156"/>
        <v>0</v>
      </c>
      <c r="Q1590" s="33">
        <v>7.4</v>
      </c>
      <c r="R1590" s="35">
        <v>1</v>
      </c>
      <c r="S1590" s="2" t="s">
        <v>701</v>
      </c>
    </row>
    <row r="1591" spans="1:21">
      <c r="A1591" s="42" t="s">
        <v>90</v>
      </c>
      <c r="B1591" s="3"/>
      <c r="C1591" s="3">
        <v>135</v>
      </c>
      <c r="D1591" s="1"/>
      <c r="E1591" s="12" t="s">
        <v>20</v>
      </c>
      <c r="F1591" s="7" t="s">
        <v>15</v>
      </c>
      <c r="G1591" s="7" t="s">
        <v>25</v>
      </c>
      <c r="H1591" s="11">
        <v>7.34</v>
      </c>
      <c r="I1591" s="8">
        <v>8</v>
      </c>
      <c r="J1591" s="26">
        <v>2</v>
      </c>
      <c r="K1591" s="10">
        <f t="shared" si="153"/>
        <v>0.11744</v>
      </c>
      <c r="L1591" s="4"/>
      <c r="M1591" s="17">
        <v>2</v>
      </c>
      <c r="N1591" s="18">
        <f t="shared" si="154"/>
        <v>0.11744</v>
      </c>
      <c r="O1591" s="19">
        <f t="shared" si="155"/>
        <v>0</v>
      </c>
      <c r="P1591" s="13">
        <f t="shared" si="156"/>
        <v>0</v>
      </c>
      <c r="Q1591" s="33">
        <v>7.4</v>
      </c>
      <c r="R1591" s="35">
        <v>2</v>
      </c>
      <c r="S1591" s="2" t="s">
        <v>701</v>
      </c>
    </row>
    <row r="1592" spans="1:21">
      <c r="A1592" s="42" t="s">
        <v>90</v>
      </c>
      <c r="B1592" s="3"/>
      <c r="C1592" s="3">
        <v>135</v>
      </c>
      <c r="D1592" s="1"/>
      <c r="E1592" s="12" t="s">
        <v>20</v>
      </c>
      <c r="F1592" s="7" t="s">
        <v>15</v>
      </c>
      <c r="G1592" s="7" t="s">
        <v>25</v>
      </c>
      <c r="H1592" s="11">
        <v>7.34</v>
      </c>
      <c r="I1592" s="8">
        <v>8.5</v>
      </c>
      <c r="J1592" s="26">
        <v>1</v>
      </c>
      <c r="K1592" s="10">
        <f t="shared" si="153"/>
        <v>6.2390000000000001E-2</v>
      </c>
      <c r="L1592" s="4"/>
      <c r="M1592" s="17">
        <v>1</v>
      </c>
      <c r="N1592" s="18">
        <f t="shared" si="154"/>
        <v>6.2390000000000001E-2</v>
      </c>
      <c r="O1592" s="19">
        <f t="shared" si="155"/>
        <v>0</v>
      </c>
      <c r="P1592" s="13">
        <f t="shared" si="156"/>
        <v>0</v>
      </c>
      <c r="Q1592" s="33">
        <v>7.4</v>
      </c>
      <c r="R1592" s="35">
        <v>1</v>
      </c>
      <c r="S1592" s="2" t="s">
        <v>701</v>
      </c>
    </row>
    <row r="1593" spans="1:21">
      <c r="A1593" s="42" t="s">
        <v>90</v>
      </c>
      <c r="B1593" s="3"/>
      <c r="C1593" s="3">
        <v>136</v>
      </c>
      <c r="D1593" s="1"/>
      <c r="E1593" s="20" t="s">
        <v>17</v>
      </c>
      <c r="F1593" s="7" t="s">
        <v>15</v>
      </c>
      <c r="G1593" s="7" t="s">
        <v>33</v>
      </c>
      <c r="H1593" s="11">
        <v>15.92</v>
      </c>
      <c r="I1593" s="8">
        <v>5.5</v>
      </c>
      <c r="J1593" s="26">
        <v>1</v>
      </c>
      <c r="K1593" s="10">
        <f t="shared" si="153"/>
        <v>8.7559999999999999E-2</v>
      </c>
      <c r="L1593" s="4"/>
      <c r="M1593" s="17"/>
      <c r="N1593" s="18">
        <f t="shared" si="154"/>
        <v>0</v>
      </c>
      <c r="O1593" s="19">
        <f t="shared" si="155"/>
        <v>1</v>
      </c>
      <c r="P1593" s="13">
        <f t="shared" si="156"/>
        <v>8.7559999999999999E-2</v>
      </c>
      <c r="Q1593" s="9"/>
      <c r="R1593" s="2"/>
      <c r="S1593" s="2"/>
    </row>
    <row r="1594" spans="1:21">
      <c r="A1594" s="42" t="s">
        <v>90</v>
      </c>
      <c r="B1594" s="3"/>
      <c r="C1594" s="3">
        <v>136</v>
      </c>
      <c r="D1594" s="1"/>
      <c r="E1594" s="20" t="s">
        <v>17</v>
      </c>
      <c r="F1594" s="7" t="s">
        <v>15</v>
      </c>
      <c r="G1594" s="7" t="s">
        <v>33</v>
      </c>
      <c r="H1594" s="11">
        <v>15.92</v>
      </c>
      <c r="I1594" s="8">
        <v>6</v>
      </c>
      <c r="J1594" s="26">
        <v>3</v>
      </c>
      <c r="K1594" s="10">
        <f t="shared" si="153"/>
        <v>0.28655999999999998</v>
      </c>
      <c r="L1594" s="4"/>
      <c r="M1594" s="17">
        <v>3</v>
      </c>
      <c r="N1594" s="18">
        <f t="shared" si="154"/>
        <v>0.28655999999999998</v>
      </c>
      <c r="O1594" s="19">
        <f t="shared" si="155"/>
        <v>0</v>
      </c>
      <c r="P1594" s="13">
        <f t="shared" si="156"/>
        <v>0</v>
      </c>
      <c r="Q1594" s="9">
        <v>6</v>
      </c>
      <c r="R1594" s="2">
        <v>3</v>
      </c>
      <c r="S1594" s="2" t="s">
        <v>323</v>
      </c>
    </row>
    <row r="1595" spans="1:21">
      <c r="A1595" s="42" t="s">
        <v>90</v>
      </c>
      <c r="B1595" s="3"/>
      <c r="C1595" s="3">
        <v>137</v>
      </c>
      <c r="D1595" s="1"/>
      <c r="E1595" s="12" t="s">
        <v>19</v>
      </c>
      <c r="F1595" s="7" t="s">
        <v>14</v>
      </c>
      <c r="G1595" s="7" t="s">
        <v>30</v>
      </c>
      <c r="H1595" s="11">
        <v>9.26</v>
      </c>
      <c r="I1595" s="8">
        <v>6.5</v>
      </c>
      <c r="J1595" s="26">
        <v>2</v>
      </c>
      <c r="K1595" s="10">
        <f t="shared" si="153"/>
        <v>0.12038</v>
      </c>
      <c r="L1595" s="4"/>
      <c r="M1595" s="17">
        <v>2</v>
      </c>
      <c r="N1595" s="18">
        <f t="shared" si="154"/>
        <v>0.12038</v>
      </c>
      <c r="O1595" s="19">
        <f t="shared" si="155"/>
        <v>0</v>
      </c>
      <c r="P1595" s="13">
        <f t="shared" si="156"/>
        <v>0</v>
      </c>
      <c r="Q1595" s="9">
        <v>6.5</v>
      </c>
      <c r="R1595" s="35">
        <v>2</v>
      </c>
      <c r="S1595" s="2" t="s">
        <v>279</v>
      </c>
    </row>
    <row r="1596" spans="1:21">
      <c r="A1596" s="42" t="s">
        <v>90</v>
      </c>
      <c r="B1596" s="3"/>
      <c r="C1596" s="3">
        <v>138</v>
      </c>
      <c r="D1596" s="1"/>
      <c r="E1596" s="12" t="s">
        <v>19</v>
      </c>
      <c r="F1596" s="7" t="s">
        <v>14</v>
      </c>
      <c r="G1596" s="7" t="s">
        <v>49</v>
      </c>
      <c r="H1596" s="11">
        <v>17.82</v>
      </c>
      <c r="I1596" s="8">
        <v>6</v>
      </c>
      <c r="J1596" s="26">
        <v>1</v>
      </c>
      <c r="K1596" s="10">
        <f t="shared" si="153"/>
        <v>0.10692</v>
      </c>
      <c r="L1596" s="4"/>
      <c r="M1596" s="17"/>
      <c r="N1596" s="18">
        <f t="shared" si="154"/>
        <v>0</v>
      </c>
      <c r="O1596" s="19">
        <f t="shared" si="155"/>
        <v>1</v>
      </c>
      <c r="P1596" s="13">
        <f t="shared" si="156"/>
        <v>0.10692</v>
      </c>
      <c r="Q1596" s="9"/>
      <c r="R1596" s="2"/>
      <c r="S1596" s="2"/>
    </row>
    <row r="1597" spans="1:21">
      <c r="A1597" s="42" t="s">
        <v>90</v>
      </c>
      <c r="B1597" s="3"/>
      <c r="C1597" s="3">
        <v>138</v>
      </c>
      <c r="D1597" s="1"/>
      <c r="E1597" s="12" t="s">
        <v>19</v>
      </c>
      <c r="F1597" s="7" t="s">
        <v>14</v>
      </c>
      <c r="G1597" s="7" t="s">
        <v>49</v>
      </c>
      <c r="H1597" s="11">
        <v>17.82</v>
      </c>
      <c r="I1597" s="8">
        <v>7.5</v>
      </c>
      <c r="J1597" s="26">
        <v>1</v>
      </c>
      <c r="K1597" s="10">
        <f t="shared" si="153"/>
        <v>0.13365000000000002</v>
      </c>
      <c r="L1597" s="4"/>
      <c r="M1597" s="17"/>
      <c r="N1597" s="18">
        <f t="shared" si="154"/>
        <v>0</v>
      </c>
      <c r="O1597" s="19">
        <f t="shared" si="155"/>
        <v>1</v>
      </c>
      <c r="P1597" s="13">
        <f t="shared" si="156"/>
        <v>0.13365000000000002</v>
      </c>
      <c r="Q1597" s="9"/>
      <c r="R1597" s="2"/>
      <c r="S1597" s="2"/>
    </row>
    <row r="1598" spans="1:21">
      <c r="A1598" s="42" t="s">
        <v>90</v>
      </c>
      <c r="B1598" s="3"/>
      <c r="C1598" s="3">
        <v>138</v>
      </c>
      <c r="D1598" s="1"/>
      <c r="E1598" s="12" t="s">
        <v>19</v>
      </c>
      <c r="F1598" s="7" t="s">
        <v>14</v>
      </c>
      <c r="G1598" s="7" t="s">
        <v>49</v>
      </c>
      <c r="H1598" s="11">
        <v>17.82</v>
      </c>
      <c r="I1598" s="8">
        <v>8.1</v>
      </c>
      <c r="J1598" s="26">
        <v>5</v>
      </c>
      <c r="K1598" s="10">
        <f t="shared" si="153"/>
        <v>0.72170999999999996</v>
      </c>
      <c r="L1598" s="4"/>
      <c r="M1598" s="17"/>
      <c r="N1598" s="18">
        <f t="shared" si="154"/>
        <v>0</v>
      </c>
      <c r="O1598" s="106">
        <f t="shared" si="155"/>
        <v>5</v>
      </c>
      <c r="P1598" s="13">
        <f t="shared" si="156"/>
        <v>0.72171000000000007</v>
      </c>
      <c r="Q1598" s="9" t="s">
        <v>461</v>
      </c>
      <c r="R1598" s="2"/>
      <c r="S1598" s="2"/>
    </row>
    <row r="1599" spans="1:21">
      <c r="A1599" s="42" t="s">
        <v>90</v>
      </c>
      <c r="B1599" s="3"/>
      <c r="C1599" s="3">
        <v>138</v>
      </c>
      <c r="D1599" s="1"/>
      <c r="E1599" s="12" t="s">
        <v>19</v>
      </c>
      <c r="F1599" s="7" t="s">
        <v>14</v>
      </c>
      <c r="G1599" s="7" t="s">
        <v>49</v>
      </c>
      <c r="H1599" s="11">
        <v>17.82</v>
      </c>
      <c r="I1599" s="8">
        <v>10.9</v>
      </c>
      <c r="J1599" s="26">
        <v>3</v>
      </c>
      <c r="K1599" s="10">
        <f t="shared" si="153"/>
        <v>0.58271399999999995</v>
      </c>
      <c r="L1599" s="4"/>
      <c r="M1599" s="17"/>
      <c r="N1599" s="18">
        <f t="shared" si="154"/>
        <v>0</v>
      </c>
      <c r="O1599" s="106">
        <f t="shared" si="155"/>
        <v>3</v>
      </c>
      <c r="P1599" s="13">
        <f t="shared" si="156"/>
        <v>0.58271400000000007</v>
      </c>
      <c r="Q1599" s="9" t="s">
        <v>461</v>
      </c>
      <c r="R1599" s="2"/>
      <c r="S1599" s="2"/>
    </row>
    <row r="1600" spans="1:21">
      <c r="A1600" s="42" t="s">
        <v>90</v>
      </c>
      <c r="B1600" s="3"/>
      <c r="C1600" s="3">
        <v>139</v>
      </c>
      <c r="D1600" s="1"/>
      <c r="E1600" s="20" t="s">
        <v>24</v>
      </c>
      <c r="F1600" s="7" t="s">
        <v>14</v>
      </c>
      <c r="G1600" s="7" t="s">
        <v>42</v>
      </c>
      <c r="H1600" s="11">
        <v>19.72</v>
      </c>
      <c r="I1600" s="8">
        <v>12</v>
      </c>
      <c r="J1600" s="26">
        <v>1</v>
      </c>
      <c r="K1600" s="10">
        <f t="shared" si="153"/>
        <v>0.23663999999999999</v>
      </c>
      <c r="L1600" s="4"/>
      <c r="M1600" s="17">
        <v>1</v>
      </c>
      <c r="N1600" s="18">
        <f t="shared" si="154"/>
        <v>0.23663999999999999</v>
      </c>
      <c r="O1600" s="19">
        <f t="shared" si="155"/>
        <v>0</v>
      </c>
      <c r="P1600" s="13">
        <f t="shared" si="156"/>
        <v>0</v>
      </c>
      <c r="Q1600" s="9"/>
      <c r="R1600" s="2"/>
      <c r="S1600" s="50">
        <v>12</v>
      </c>
      <c r="T1600" s="354">
        <v>1</v>
      </c>
      <c r="U1600" s="213" t="s">
        <v>713</v>
      </c>
    </row>
    <row r="1601" spans="1:22">
      <c r="A1601" s="42" t="s">
        <v>90</v>
      </c>
      <c r="B1601" s="3"/>
      <c r="C1601" s="3">
        <v>139</v>
      </c>
      <c r="D1601" s="1"/>
      <c r="E1601" s="20" t="s">
        <v>24</v>
      </c>
      <c r="F1601" s="7" t="s">
        <v>14</v>
      </c>
      <c r="G1601" s="7" t="s">
        <v>42</v>
      </c>
      <c r="H1601" s="11">
        <v>19.72</v>
      </c>
      <c r="I1601" s="8">
        <v>6</v>
      </c>
      <c r="J1601" s="26">
        <v>2</v>
      </c>
      <c r="K1601" s="10">
        <f t="shared" si="153"/>
        <v>0.23663999999999999</v>
      </c>
      <c r="L1601" s="4"/>
      <c r="M1601" s="17">
        <f>1+1</f>
        <v>2</v>
      </c>
      <c r="N1601" s="18">
        <f t="shared" si="154"/>
        <v>0.23663999999999999</v>
      </c>
      <c r="O1601" s="19">
        <f t="shared" si="155"/>
        <v>0</v>
      </c>
      <c r="P1601" s="13">
        <f t="shared" si="156"/>
        <v>0</v>
      </c>
      <c r="Q1601" s="9">
        <v>6</v>
      </c>
      <c r="R1601" s="2">
        <v>1</v>
      </c>
      <c r="S1601" s="50">
        <v>6</v>
      </c>
      <c r="T1601" s="354">
        <v>1</v>
      </c>
      <c r="U1601" s="213" t="s">
        <v>713</v>
      </c>
      <c r="V1601" s="9" t="s">
        <v>372</v>
      </c>
    </row>
    <row r="1602" spans="1:22">
      <c r="A1602" s="42" t="s">
        <v>90</v>
      </c>
      <c r="B1602" s="3"/>
      <c r="C1602" s="3">
        <v>140</v>
      </c>
      <c r="D1602" s="1"/>
      <c r="E1602" s="12" t="s">
        <v>19</v>
      </c>
      <c r="F1602" s="7" t="s">
        <v>14</v>
      </c>
      <c r="G1602" s="7" t="s">
        <v>49</v>
      </c>
      <c r="H1602" s="11">
        <v>17.82</v>
      </c>
      <c r="I1602" s="8">
        <v>9</v>
      </c>
      <c r="J1602" s="26">
        <v>1</v>
      </c>
      <c r="K1602" s="10">
        <f t="shared" si="153"/>
        <v>0.16037999999999999</v>
      </c>
      <c r="L1602" s="4" t="s">
        <v>26</v>
      </c>
      <c r="M1602" s="17"/>
      <c r="N1602" s="18">
        <f t="shared" si="154"/>
        <v>0</v>
      </c>
      <c r="O1602" s="19">
        <f t="shared" si="155"/>
        <v>1</v>
      </c>
      <c r="P1602" s="13">
        <f t="shared" si="156"/>
        <v>0.16037999999999999</v>
      </c>
      <c r="Q1602" s="9"/>
      <c r="R1602" s="2"/>
      <c r="S1602" s="2"/>
    </row>
    <row r="1603" spans="1:22">
      <c r="A1603" s="42" t="s">
        <v>90</v>
      </c>
      <c r="B1603" s="3"/>
      <c r="C1603" s="3">
        <v>141</v>
      </c>
      <c r="D1603" s="1"/>
      <c r="E1603" s="20" t="s">
        <v>88</v>
      </c>
      <c r="F1603" s="7" t="s">
        <v>15</v>
      </c>
      <c r="G1603" s="7" t="s">
        <v>33</v>
      </c>
      <c r="H1603" s="11">
        <v>15.92</v>
      </c>
      <c r="I1603" s="8">
        <v>6.75</v>
      </c>
      <c r="J1603" s="26">
        <v>1</v>
      </c>
      <c r="K1603" s="10">
        <f t="shared" si="153"/>
        <v>0.10746</v>
      </c>
      <c r="L1603" s="4"/>
      <c r="M1603" s="17">
        <v>1</v>
      </c>
      <c r="N1603" s="18">
        <f t="shared" si="154"/>
        <v>0.10746</v>
      </c>
      <c r="O1603" s="19">
        <f t="shared" si="155"/>
        <v>0</v>
      </c>
      <c r="P1603" s="13">
        <f t="shared" si="156"/>
        <v>0</v>
      </c>
      <c r="Q1603" s="9">
        <v>6.1</v>
      </c>
      <c r="R1603" s="2">
        <v>1</v>
      </c>
      <c r="S1603" s="2" t="s">
        <v>209</v>
      </c>
    </row>
    <row r="1604" spans="1:22">
      <c r="A1604" s="42" t="s">
        <v>90</v>
      </c>
      <c r="B1604" s="3"/>
      <c r="C1604" s="3">
        <v>141</v>
      </c>
      <c r="D1604" s="1"/>
      <c r="E1604" s="20" t="s">
        <v>88</v>
      </c>
      <c r="F1604" s="7" t="s">
        <v>15</v>
      </c>
      <c r="G1604" s="7" t="s">
        <v>33</v>
      </c>
      <c r="H1604" s="11">
        <v>15.92</v>
      </c>
      <c r="I1604" s="8">
        <v>10</v>
      </c>
      <c r="J1604" s="26">
        <v>1</v>
      </c>
      <c r="K1604" s="10">
        <f t="shared" si="153"/>
        <v>0.15919999999999998</v>
      </c>
      <c r="L1604" s="4"/>
      <c r="M1604" s="17">
        <v>1</v>
      </c>
      <c r="N1604" s="18">
        <f t="shared" si="154"/>
        <v>0.15919999999999998</v>
      </c>
      <c r="O1604" s="19">
        <f t="shared" si="155"/>
        <v>0</v>
      </c>
      <c r="P1604" s="13">
        <f t="shared" si="156"/>
        <v>0</v>
      </c>
      <c r="Q1604" s="9">
        <v>10</v>
      </c>
      <c r="R1604" s="2">
        <v>1</v>
      </c>
      <c r="S1604" s="2" t="s">
        <v>209</v>
      </c>
    </row>
    <row r="1605" spans="1:22">
      <c r="A1605" s="42" t="s">
        <v>90</v>
      </c>
      <c r="B1605" s="3"/>
      <c r="C1605" s="3">
        <v>141</v>
      </c>
      <c r="D1605" s="1"/>
      <c r="E1605" s="20" t="s">
        <v>88</v>
      </c>
      <c r="F1605" s="7" t="s">
        <v>15</v>
      </c>
      <c r="G1605" s="7" t="s">
        <v>33</v>
      </c>
      <c r="H1605" s="11">
        <v>15.92</v>
      </c>
      <c r="I1605" s="8">
        <v>6.8</v>
      </c>
      <c r="J1605" s="26">
        <v>1</v>
      </c>
      <c r="K1605" s="10">
        <f t="shared" si="153"/>
        <v>0.10825600000000001</v>
      </c>
      <c r="L1605" s="4"/>
      <c r="M1605" s="17">
        <v>1</v>
      </c>
      <c r="N1605" s="18">
        <f t="shared" si="154"/>
        <v>0.10825600000000001</v>
      </c>
      <c r="O1605" s="19">
        <f t="shared" si="155"/>
        <v>0</v>
      </c>
      <c r="P1605" s="13">
        <f t="shared" si="156"/>
        <v>0</v>
      </c>
      <c r="Q1605" s="9">
        <v>6.1</v>
      </c>
      <c r="R1605" s="2">
        <v>1</v>
      </c>
      <c r="S1605" s="2" t="s">
        <v>209</v>
      </c>
    </row>
    <row r="1606" spans="1:22">
      <c r="A1606" s="42" t="s">
        <v>90</v>
      </c>
      <c r="B1606" s="3"/>
      <c r="C1606" s="3">
        <v>141</v>
      </c>
      <c r="D1606" s="1"/>
      <c r="E1606" s="20" t="s">
        <v>88</v>
      </c>
      <c r="F1606" s="7" t="s">
        <v>15</v>
      </c>
      <c r="G1606" s="7" t="s">
        <v>33</v>
      </c>
      <c r="H1606" s="11">
        <v>15.92</v>
      </c>
      <c r="I1606" s="8">
        <v>7.1</v>
      </c>
      <c r="J1606" s="26">
        <v>1</v>
      </c>
      <c r="K1606" s="10">
        <f t="shared" si="153"/>
        <v>0.11303199999999999</v>
      </c>
      <c r="L1606" s="4"/>
      <c r="M1606" s="17">
        <v>1</v>
      </c>
      <c r="N1606" s="18">
        <f t="shared" si="154"/>
        <v>0.11303199999999999</v>
      </c>
      <c r="O1606" s="19">
        <f t="shared" si="155"/>
        <v>0</v>
      </c>
      <c r="P1606" s="13">
        <f t="shared" si="156"/>
        <v>0</v>
      </c>
      <c r="Q1606" s="9">
        <v>6.1</v>
      </c>
      <c r="R1606" s="2">
        <v>1</v>
      </c>
      <c r="S1606" s="2" t="s">
        <v>209</v>
      </c>
    </row>
    <row r="1607" spans="1:22">
      <c r="A1607" s="42" t="s">
        <v>90</v>
      </c>
      <c r="B1607" s="3"/>
      <c r="C1607" s="3">
        <v>141</v>
      </c>
      <c r="D1607" s="1"/>
      <c r="E1607" s="20" t="s">
        <v>88</v>
      </c>
      <c r="F1607" s="7" t="s">
        <v>15</v>
      </c>
      <c r="G1607" s="7" t="s">
        <v>33</v>
      </c>
      <c r="H1607" s="11">
        <v>15.92</v>
      </c>
      <c r="I1607" s="8">
        <v>7.2</v>
      </c>
      <c r="J1607" s="26">
        <v>1</v>
      </c>
      <c r="K1607" s="10">
        <f t="shared" si="153"/>
        <v>0.11462399999999999</v>
      </c>
      <c r="L1607" s="4"/>
      <c r="M1607" s="17">
        <v>1</v>
      </c>
      <c r="N1607" s="18">
        <f t="shared" si="154"/>
        <v>0.11462399999999999</v>
      </c>
      <c r="O1607" s="19">
        <f t="shared" si="155"/>
        <v>0</v>
      </c>
      <c r="P1607" s="13">
        <f t="shared" si="156"/>
        <v>0</v>
      </c>
      <c r="Q1607" s="9">
        <v>7.2</v>
      </c>
      <c r="R1607" s="2">
        <v>1</v>
      </c>
      <c r="S1607" s="2" t="s">
        <v>209</v>
      </c>
    </row>
    <row r="1608" spans="1:22">
      <c r="A1608" s="42" t="s">
        <v>90</v>
      </c>
      <c r="B1608" s="3"/>
      <c r="C1608" s="3">
        <v>141</v>
      </c>
      <c r="D1608" s="1"/>
      <c r="E1608" s="20" t="s">
        <v>88</v>
      </c>
      <c r="F1608" s="7" t="s">
        <v>15</v>
      </c>
      <c r="G1608" s="7" t="s">
        <v>33</v>
      </c>
      <c r="H1608" s="11">
        <v>15.92</v>
      </c>
      <c r="I1608" s="8">
        <v>9.6</v>
      </c>
      <c r="J1608" s="26">
        <v>1</v>
      </c>
      <c r="K1608" s="10">
        <f t="shared" si="153"/>
        <v>0.152832</v>
      </c>
      <c r="L1608" s="4"/>
      <c r="M1608" s="17">
        <v>1</v>
      </c>
      <c r="N1608" s="18">
        <f t="shared" si="154"/>
        <v>0.152832</v>
      </c>
      <c r="O1608" s="19">
        <f t="shared" si="155"/>
        <v>0</v>
      </c>
      <c r="P1608" s="13">
        <f t="shared" si="156"/>
        <v>0</v>
      </c>
      <c r="Q1608" s="9">
        <v>7.5</v>
      </c>
      <c r="R1608" s="2">
        <v>1</v>
      </c>
      <c r="S1608" s="2" t="s">
        <v>209</v>
      </c>
    </row>
    <row r="1609" spans="1:22">
      <c r="A1609" s="42" t="s">
        <v>90</v>
      </c>
      <c r="B1609" s="3"/>
      <c r="C1609" s="3">
        <v>142</v>
      </c>
      <c r="D1609" s="1" t="s">
        <v>93</v>
      </c>
      <c r="E1609" s="12" t="s">
        <v>20</v>
      </c>
      <c r="F1609" s="7" t="s">
        <v>15</v>
      </c>
      <c r="G1609" s="7" t="s">
        <v>49</v>
      </c>
      <c r="H1609" s="11">
        <v>17.82</v>
      </c>
      <c r="I1609" s="8">
        <v>6</v>
      </c>
      <c r="J1609" s="26">
        <v>1</v>
      </c>
      <c r="K1609" s="10">
        <f t="shared" si="153"/>
        <v>0.10692</v>
      </c>
      <c r="L1609" s="4"/>
      <c r="M1609" s="17">
        <v>1</v>
      </c>
      <c r="N1609" s="18">
        <f t="shared" si="154"/>
        <v>0.10692</v>
      </c>
      <c r="O1609" s="19">
        <f t="shared" si="155"/>
        <v>0</v>
      </c>
      <c r="P1609" s="13">
        <f t="shared" si="156"/>
        <v>0</v>
      </c>
      <c r="Q1609" s="9"/>
      <c r="R1609" s="2">
        <v>1</v>
      </c>
      <c r="S1609" s="2" t="s">
        <v>442</v>
      </c>
    </row>
    <row r="1610" spans="1:22">
      <c r="A1610" s="42" t="s">
        <v>90</v>
      </c>
      <c r="B1610" s="3"/>
      <c r="C1610" s="3">
        <v>142</v>
      </c>
      <c r="D1610" s="1" t="s">
        <v>93</v>
      </c>
      <c r="E1610" s="12" t="s">
        <v>20</v>
      </c>
      <c r="F1610" s="7" t="s">
        <v>15</v>
      </c>
      <c r="G1610" s="7" t="s">
        <v>49</v>
      </c>
      <c r="H1610" s="11">
        <v>17.82</v>
      </c>
      <c r="I1610" s="8">
        <v>8.6</v>
      </c>
      <c r="J1610" s="26">
        <v>1</v>
      </c>
      <c r="K1610" s="10">
        <f t="shared" si="153"/>
        <v>0.153252</v>
      </c>
      <c r="L1610" s="4"/>
      <c r="M1610" s="17">
        <v>1</v>
      </c>
      <c r="N1610" s="18">
        <f t="shared" si="154"/>
        <v>0.153252</v>
      </c>
      <c r="O1610" s="19">
        <f t="shared" si="155"/>
        <v>0</v>
      </c>
      <c r="P1610" s="13">
        <f t="shared" si="156"/>
        <v>0</v>
      </c>
      <c r="Q1610" s="9"/>
      <c r="R1610" s="2">
        <v>1</v>
      </c>
      <c r="S1610" s="2" t="s">
        <v>442</v>
      </c>
    </row>
    <row r="1611" spans="1:22">
      <c r="A1611" s="42" t="s">
        <v>90</v>
      </c>
      <c r="B1611" s="3"/>
      <c r="C1611" s="3">
        <v>143</v>
      </c>
      <c r="D1611" s="1"/>
      <c r="E1611" s="20" t="s">
        <v>17</v>
      </c>
      <c r="F1611" s="7" t="s">
        <v>15</v>
      </c>
      <c r="G1611" s="7" t="s">
        <v>33</v>
      </c>
      <c r="H1611" s="11">
        <v>15.92</v>
      </c>
      <c r="I1611" s="8">
        <v>10</v>
      </c>
      <c r="J1611" s="26">
        <v>1</v>
      </c>
      <c r="K1611" s="10">
        <f t="shared" si="153"/>
        <v>0.15919999999999998</v>
      </c>
      <c r="L1611" s="4"/>
      <c r="M1611" s="22">
        <v>1</v>
      </c>
      <c r="N1611" s="18">
        <f t="shared" si="154"/>
        <v>0.15919999999999998</v>
      </c>
      <c r="O1611" s="19">
        <f t="shared" si="155"/>
        <v>0</v>
      </c>
      <c r="P1611" s="13">
        <f t="shared" si="156"/>
        <v>0</v>
      </c>
      <c r="Q1611" s="9">
        <v>10</v>
      </c>
      <c r="R1611" s="2">
        <v>1</v>
      </c>
      <c r="S1611" s="2" t="s">
        <v>323</v>
      </c>
    </row>
    <row r="1612" spans="1:22">
      <c r="A1612" s="42" t="s">
        <v>90</v>
      </c>
      <c r="B1612" s="3"/>
      <c r="C1612" s="3">
        <v>143</v>
      </c>
      <c r="D1612" s="1"/>
      <c r="E1612" s="20" t="s">
        <v>17</v>
      </c>
      <c r="F1612" s="7" t="s">
        <v>15</v>
      </c>
      <c r="G1612" s="7" t="s">
        <v>33</v>
      </c>
      <c r="H1612" s="11">
        <v>15.92</v>
      </c>
      <c r="I1612" s="8">
        <v>12</v>
      </c>
      <c r="J1612" s="26">
        <v>4</v>
      </c>
      <c r="K1612" s="10">
        <f t="shared" si="153"/>
        <v>0.76415999999999995</v>
      </c>
      <c r="L1612" s="4"/>
      <c r="M1612" s="17">
        <v>4</v>
      </c>
      <c r="N1612" s="18">
        <f t="shared" si="154"/>
        <v>0.76415999999999995</v>
      </c>
      <c r="O1612" s="19">
        <f t="shared" si="155"/>
        <v>0</v>
      </c>
      <c r="P1612" s="13">
        <f t="shared" si="156"/>
        <v>0</v>
      </c>
      <c r="Q1612" s="9">
        <v>12</v>
      </c>
      <c r="R1612" s="2">
        <v>4</v>
      </c>
      <c r="S1612" s="2" t="s">
        <v>323</v>
      </c>
    </row>
    <row r="1613" spans="1:22">
      <c r="A1613" s="42" t="s">
        <v>90</v>
      </c>
      <c r="B1613" s="3"/>
      <c r="C1613" s="3">
        <v>144</v>
      </c>
      <c r="D1613" s="1"/>
      <c r="E1613" s="20" t="s">
        <v>17</v>
      </c>
      <c r="F1613" s="7" t="s">
        <v>15</v>
      </c>
      <c r="G1613" s="7" t="s">
        <v>44</v>
      </c>
      <c r="H1613" s="11">
        <v>13.4</v>
      </c>
      <c r="I1613" s="8">
        <v>8.25</v>
      </c>
      <c r="J1613" s="26">
        <v>1</v>
      </c>
      <c r="K1613" s="10">
        <f t="shared" si="153"/>
        <v>0.11055</v>
      </c>
      <c r="L1613" s="4"/>
      <c r="M1613" s="17">
        <v>1</v>
      </c>
      <c r="N1613" s="18">
        <f t="shared" si="154"/>
        <v>0.11055</v>
      </c>
      <c r="O1613" s="19">
        <f t="shared" si="155"/>
        <v>0</v>
      </c>
      <c r="P1613" s="13">
        <f t="shared" si="156"/>
        <v>0</v>
      </c>
      <c r="Q1613" s="9">
        <v>7.8</v>
      </c>
      <c r="R1613" s="2">
        <v>1</v>
      </c>
      <c r="S1613" s="2" t="s">
        <v>197</v>
      </c>
    </row>
    <row r="1614" spans="1:22">
      <c r="A1614" s="42" t="s">
        <v>90</v>
      </c>
      <c r="B1614" s="3"/>
      <c r="C1614" s="3"/>
      <c r="D1614" s="1"/>
      <c r="E1614" s="20" t="s">
        <v>17</v>
      </c>
      <c r="F1614" s="7" t="s">
        <v>15</v>
      </c>
      <c r="G1614" s="7" t="s">
        <v>44</v>
      </c>
      <c r="H1614" s="11">
        <v>13.4</v>
      </c>
      <c r="I1614" s="8">
        <v>6.3</v>
      </c>
      <c r="J1614" s="26">
        <v>1</v>
      </c>
      <c r="K1614" s="10">
        <f t="shared" si="153"/>
        <v>8.4419999999999995E-2</v>
      </c>
      <c r="L1614" s="4"/>
      <c r="M1614" s="17">
        <v>1</v>
      </c>
      <c r="N1614" s="18">
        <f t="shared" si="154"/>
        <v>8.4419999999999995E-2</v>
      </c>
      <c r="O1614" s="19">
        <f t="shared" si="155"/>
        <v>0</v>
      </c>
      <c r="P1614" s="13">
        <f t="shared" si="156"/>
        <v>0</v>
      </c>
      <c r="Q1614" s="9"/>
      <c r="R1614" s="90">
        <v>1</v>
      </c>
      <c r="S1614" s="90" t="s">
        <v>240</v>
      </c>
      <c r="T1614" s="156"/>
    </row>
    <row r="1615" spans="1:22">
      <c r="A1615" s="42" t="s">
        <v>90</v>
      </c>
      <c r="B1615" s="3"/>
      <c r="C1615" s="3">
        <v>145</v>
      </c>
      <c r="D1615" s="1"/>
      <c r="E1615" s="12" t="s">
        <v>19</v>
      </c>
      <c r="F1615" s="7" t="s">
        <v>14</v>
      </c>
      <c r="G1615" s="7" t="s">
        <v>30</v>
      </c>
      <c r="H1615" s="11">
        <v>9.26</v>
      </c>
      <c r="I1615" s="8">
        <v>6.9</v>
      </c>
      <c r="J1615" s="26">
        <v>1</v>
      </c>
      <c r="K1615" s="10">
        <f t="shared" si="153"/>
        <v>6.3893999999999992E-2</v>
      </c>
      <c r="L1615" s="4"/>
      <c r="M1615" s="17">
        <v>1</v>
      </c>
      <c r="N1615" s="18">
        <f t="shared" si="154"/>
        <v>6.3893999999999992E-2</v>
      </c>
      <c r="O1615" s="19">
        <f t="shared" si="155"/>
        <v>0</v>
      </c>
      <c r="P1615" s="13">
        <f t="shared" si="156"/>
        <v>0</v>
      </c>
      <c r="Q1615" s="9">
        <v>6.5</v>
      </c>
      <c r="R1615" s="35">
        <v>1</v>
      </c>
      <c r="S1615" s="2" t="s">
        <v>279</v>
      </c>
    </row>
    <row r="1616" spans="1:22">
      <c r="A1616" s="42" t="s">
        <v>90</v>
      </c>
      <c r="B1616" s="3"/>
      <c r="C1616" s="3">
        <v>145</v>
      </c>
      <c r="D1616" s="1"/>
      <c r="E1616" s="12" t="s">
        <v>19</v>
      </c>
      <c r="F1616" s="7" t="s">
        <v>14</v>
      </c>
      <c r="G1616" s="7" t="s">
        <v>30</v>
      </c>
      <c r="H1616" s="11">
        <v>9.26</v>
      </c>
      <c r="I1616" s="8">
        <v>8</v>
      </c>
      <c r="J1616" s="26">
        <v>4</v>
      </c>
      <c r="K1616" s="10">
        <f t="shared" si="153"/>
        <v>0.29631999999999997</v>
      </c>
      <c r="L1616" s="4"/>
      <c r="M1616" s="17">
        <v>4</v>
      </c>
      <c r="N1616" s="18">
        <f t="shared" si="154"/>
        <v>0.29631999999999997</v>
      </c>
      <c r="O1616" s="19">
        <f t="shared" si="155"/>
        <v>0</v>
      </c>
      <c r="P1616" s="13">
        <f t="shared" si="156"/>
        <v>0</v>
      </c>
      <c r="Q1616" s="9">
        <v>7.6</v>
      </c>
      <c r="R1616" s="2">
        <v>4</v>
      </c>
      <c r="S1616" s="2" t="s">
        <v>212</v>
      </c>
    </row>
    <row r="1617" spans="1:19">
      <c r="A1617" s="42" t="s">
        <v>90</v>
      </c>
      <c r="B1617" s="3"/>
      <c r="C1617" s="3">
        <v>145</v>
      </c>
      <c r="D1617" s="1"/>
      <c r="E1617" s="12" t="s">
        <v>19</v>
      </c>
      <c r="F1617" s="7" t="s">
        <v>14</v>
      </c>
      <c r="G1617" s="7" t="s">
        <v>30</v>
      </c>
      <c r="H1617" s="11">
        <v>9.26</v>
      </c>
      <c r="I1617" s="8">
        <v>10.25</v>
      </c>
      <c r="J1617" s="26">
        <v>2</v>
      </c>
      <c r="K1617" s="10">
        <f t="shared" si="153"/>
        <v>0.18982999999999997</v>
      </c>
      <c r="L1617" s="4"/>
      <c r="M1617" s="17">
        <v>2</v>
      </c>
      <c r="N1617" s="18">
        <f t="shared" si="154"/>
        <v>0.18982999999999997</v>
      </c>
      <c r="O1617" s="19">
        <f t="shared" si="155"/>
        <v>0</v>
      </c>
      <c r="P1617" s="13">
        <f t="shared" si="156"/>
        <v>0</v>
      </c>
      <c r="Q1617" s="9">
        <v>7.6</v>
      </c>
      <c r="R1617" s="2">
        <v>2</v>
      </c>
      <c r="S1617" s="2" t="s">
        <v>212</v>
      </c>
    </row>
    <row r="1618" spans="1:19">
      <c r="A1618" s="42" t="s">
        <v>90</v>
      </c>
      <c r="B1618" s="3"/>
      <c r="C1618" s="3">
        <v>145</v>
      </c>
      <c r="D1618" s="1"/>
      <c r="E1618" s="12" t="s">
        <v>19</v>
      </c>
      <c r="F1618" s="7" t="s">
        <v>14</v>
      </c>
      <c r="G1618" s="7" t="s">
        <v>30</v>
      </c>
      <c r="H1618" s="11">
        <v>9.26</v>
      </c>
      <c r="I1618" s="8">
        <v>8.6999999999999993</v>
      </c>
      <c r="J1618" s="26">
        <v>1</v>
      </c>
      <c r="K1618" s="10">
        <f t="shared" si="153"/>
        <v>8.0561999999999995E-2</v>
      </c>
      <c r="L1618" s="4"/>
      <c r="M1618" s="17">
        <v>1</v>
      </c>
      <c r="N1618" s="18">
        <f t="shared" si="154"/>
        <v>8.0561999999999995E-2</v>
      </c>
      <c r="O1618" s="19">
        <f t="shared" si="155"/>
        <v>0</v>
      </c>
      <c r="P1618" s="13">
        <f t="shared" si="156"/>
        <v>0</v>
      </c>
      <c r="Q1618" s="9">
        <v>7.6</v>
      </c>
      <c r="R1618" s="2">
        <v>1</v>
      </c>
      <c r="S1618" s="2" t="s">
        <v>212</v>
      </c>
    </row>
    <row r="1619" spans="1:19">
      <c r="A1619" s="42" t="s">
        <v>90</v>
      </c>
      <c r="B1619" s="3"/>
      <c r="C1619" s="3">
        <v>145</v>
      </c>
      <c r="D1619" s="1"/>
      <c r="E1619" s="12" t="s">
        <v>19</v>
      </c>
      <c r="F1619" s="7" t="s">
        <v>14</v>
      </c>
      <c r="G1619" s="7" t="s">
        <v>30</v>
      </c>
      <c r="H1619" s="11">
        <v>9.26</v>
      </c>
      <c r="I1619" s="8">
        <v>9.8000000000000007</v>
      </c>
      <c r="J1619" s="26">
        <v>1</v>
      </c>
      <c r="K1619" s="10">
        <f t="shared" si="153"/>
        <v>9.0748000000000009E-2</v>
      </c>
      <c r="L1619" s="4"/>
      <c r="M1619" s="17">
        <v>1</v>
      </c>
      <c r="N1619" s="18">
        <f t="shared" si="154"/>
        <v>9.0748000000000009E-2</v>
      </c>
      <c r="O1619" s="19">
        <f t="shared" si="155"/>
        <v>0</v>
      </c>
      <c r="P1619" s="13">
        <f t="shared" si="156"/>
        <v>0</v>
      </c>
      <c r="Q1619" s="9">
        <v>7.6</v>
      </c>
      <c r="R1619" s="2">
        <v>1</v>
      </c>
      <c r="S1619" s="2" t="s">
        <v>212</v>
      </c>
    </row>
    <row r="1620" spans="1:19">
      <c r="A1620" s="42" t="s">
        <v>90</v>
      </c>
      <c r="B1620" s="3"/>
      <c r="C1620" s="3">
        <v>146</v>
      </c>
      <c r="D1620" s="1"/>
      <c r="E1620" s="20" t="s">
        <v>24</v>
      </c>
      <c r="F1620" s="7" t="s">
        <v>14</v>
      </c>
      <c r="G1620" s="7" t="s">
        <v>33</v>
      </c>
      <c r="H1620" s="11">
        <v>15.92</v>
      </c>
      <c r="I1620" s="8">
        <v>6.25</v>
      </c>
      <c r="J1620" s="26">
        <v>5</v>
      </c>
      <c r="K1620" s="10">
        <f t="shared" si="153"/>
        <v>0.4975</v>
      </c>
      <c r="L1620" s="4"/>
      <c r="M1620" s="17">
        <v>5</v>
      </c>
      <c r="N1620" s="18">
        <f t="shared" si="154"/>
        <v>0.4975</v>
      </c>
      <c r="O1620" s="19">
        <f t="shared" si="155"/>
        <v>0</v>
      </c>
      <c r="P1620" s="13">
        <f t="shared" si="156"/>
        <v>0</v>
      </c>
      <c r="Q1620" s="9">
        <v>6.15</v>
      </c>
      <c r="R1620" s="2">
        <v>5</v>
      </c>
      <c r="S1620" s="2" t="s">
        <v>546</v>
      </c>
    </row>
    <row r="1621" spans="1:19">
      <c r="A1621" s="42" t="s">
        <v>90</v>
      </c>
      <c r="B1621" s="3"/>
      <c r="C1621" s="3">
        <v>146</v>
      </c>
      <c r="D1621" s="1"/>
      <c r="E1621" s="20" t="s">
        <v>24</v>
      </c>
      <c r="F1621" s="7" t="s">
        <v>14</v>
      </c>
      <c r="G1621" s="7" t="s">
        <v>33</v>
      </c>
      <c r="H1621" s="11">
        <v>15.92</v>
      </c>
      <c r="I1621" s="8">
        <v>6.5</v>
      </c>
      <c r="J1621" s="26">
        <v>1</v>
      </c>
      <c r="K1621" s="10">
        <f t="shared" si="153"/>
        <v>0.10348</v>
      </c>
      <c r="L1621" s="4"/>
      <c r="M1621" s="17">
        <v>1</v>
      </c>
      <c r="N1621" s="18">
        <f t="shared" si="154"/>
        <v>0.10348</v>
      </c>
      <c r="O1621" s="19">
        <f t="shared" si="155"/>
        <v>0</v>
      </c>
      <c r="P1621" s="13">
        <f t="shared" si="156"/>
        <v>0</v>
      </c>
      <c r="Q1621" s="9">
        <v>6.15</v>
      </c>
      <c r="R1621" s="2">
        <v>1</v>
      </c>
      <c r="S1621" s="2" t="s">
        <v>546</v>
      </c>
    </row>
    <row r="1622" spans="1:19">
      <c r="A1622" s="42" t="s">
        <v>90</v>
      </c>
      <c r="B1622" s="3"/>
      <c r="C1622" s="3">
        <v>146</v>
      </c>
      <c r="D1622" s="1"/>
      <c r="E1622" s="20" t="s">
        <v>24</v>
      </c>
      <c r="F1622" s="7" t="s">
        <v>14</v>
      </c>
      <c r="G1622" s="7" t="s">
        <v>33</v>
      </c>
      <c r="H1622" s="11">
        <v>15.92</v>
      </c>
      <c r="I1622" s="8">
        <v>8</v>
      </c>
      <c r="J1622" s="26">
        <v>1</v>
      </c>
      <c r="K1622" s="10">
        <f t="shared" si="153"/>
        <v>0.12736</v>
      </c>
      <c r="L1622" s="4"/>
      <c r="M1622" s="17">
        <v>1</v>
      </c>
      <c r="N1622" s="18">
        <f t="shared" si="154"/>
        <v>0.12736</v>
      </c>
      <c r="O1622" s="19">
        <f t="shared" si="155"/>
        <v>0</v>
      </c>
      <c r="P1622" s="13">
        <f t="shared" si="156"/>
        <v>0</v>
      </c>
      <c r="Q1622" s="9">
        <v>6.15</v>
      </c>
      <c r="R1622" s="2">
        <v>1</v>
      </c>
      <c r="S1622" s="2" t="s">
        <v>546</v>
      </c>
    </row>
    <row r="1623" spans="1:19">
      <c r="A1623" s="42" t="s">
        <v>90</v>
      </c>
      <c r="B1623" s="3"/>
      <c r="C1623" s="3">
        <v>146</v>
      </c>
      <c r="D1623" s="1"/>
      <c r="E1623" s="20" t="s">
        <v>24</v>
      </c>
      <c r="F1623" s="7" t="s">
        <v>14</v>
      </c>
      <c r="G1623" s="7" t="s">
        <v>33</v>
      </c>
      <c r="H1623" s="11">
        <v>15.92</v>
      </c>
      <c r="I1623" s="8">
        <v>11.1</v>
      </c>
      <c r="J1623" s="26">
        <v>1</v>
      </c>
      <c r="K1623" s="10">
        <f t="shared" si="153"/>
        <v>0.17671199999999998</v>
      </c>
      <c r="L1623" s="4"/>
      <c r="M1623" s="17">
        <v>1</v>
      </c>
      <c r="N1623" s="18">
        <f t="shared" si="154"/>
        <v>0.17671199999999998</v>
      </c>
      <c r="O1623" s="19">
        <f t="shared" si="155"/>
        <v>0</v>
      </c>
      <c r="P1623" s="13">
        <f t="shared" si="156"/>
        <v>0</v>
      </c>
      <c r="Q1623" s="9">
        <v>6.15</v>
      </c>
      <c r="R1623" s="2">
        <v>1</v>
      </c>
      <c r="S1623" s="2" t="s">
        <v>546</v>
      </c>
    </row>
    <row r="1624" spans="1:19">
      <c r="A1624" s="42" t="s">
        <v>90</v>
      </c>
      <c r="B1624" s="3"/>
      <c r="C1624" s="3">
        <v>146</v>
      </c>
      <c r="D1624" s="1"/>
      <c r="E1624" s="20" t="s">
        <v>24</v>
      </c>
      <c r="F1624" s="7" t="s">
        <v>14</v>
      </c>
      <c r="G1624" s="7" t="s">
        <v>33</v>
      </c>
      <c r="H1624" s="11">
        <v>15.92</v>
      </c>
      <c r="I1624" s="8">
        <v>11.5</v>
      </c>
      <c r="J1624" s="26">
        <v>2</v>
      </c>
      <c r="K1624" s="10">
        <f t="shared" si="153"/>
        <v>0.36616000000000004</v>
      </c>
      <c r="L1624" s="4"/>
      <c r="M1624" s="17">
        <v>2</v>
      </c>
      <c r="N1624" s="18">
        <f t="shared" si="154"/>
        <v>0.36616000000000004</v>
      </c>
      <c r="O1624" s="19">
        <f t="shared" si="155"/>
        <v>0</v>
      </c>
      <c r="P1624" s="13">
        <f t="shared" si="156"/>
        <v>0</v>
      </c>
      <c r="Q1624" s="9">
        <v>6.15</v>
      </c>
      <c r="R1624" s="2">
        <v>2</v>
      </c>
      <c r="S1624" s="2" t="s">
        <v>546</v>
      </c>
    </row>
    <row r="1625" spans="1:19">
      <c r="A1625" s="42" t="s">
        <v>90</v>
      </c>
      <c r="B1625" s="3"/>
      <c r="C1625" s="3">
        <v>147</v>
      </c>
      <c r="D1625" s="1"/>
      <c r="E1625" s="59" t="s">
        <v>20</v>
      </c>
      <c r="F1625" s="60" t="s">
        <v>15</v>
      </c>
      <c r="G1625" s="60" t="s">
        <v>39</v>
      </c>
      <c r="H1625" s="61">
        <v>14.66</v>
      </c>
      <c r="I1625" s="21">
        <v>12.45</v>
      </c>
      <c r="J1625" s="22">
        <v>1</v>
      </c>
      <c r="K1625" s="62">
        <f t="shared" si="153"/>
        <v>0.18251699999999998</v>
      </c>
      <c r="L1625" s="253" t="s">
        <v>46</v>
      </c>
      <c r="M1625" s="22"/>
      <c r="N1625" s="63">
        <f t="shared" si="154"/>
        <v>0</v>
      </c>
      <c r="O1625" s="64">
        <f t="shared" si="155"/>
        <v>1</v>
      </c>
      <c r="P1625" s="65">
        <f t="shared" si="156"/>
        <v>0.18251699999999998</v>
      </c>
      <c r="Q1625" s="9"/>
      <c r="R1625" s="2"/>
      <c r="S1625" s="2"/>
    </row>
    <row r="1626" spans="1:19">
      <c r="A1626" s="42" t="s">
        <v>90</v>
      </c>
      <c r="B1626" s="3"/>
      <c r="C1626" s="3">
        <v>148</v>
      </c>
      <c r="D1626" s="1"/>
      <c r="E1626" s="12" t="s">
        <v>96</v>
      </c>
      <c r="F1626" s="7" t="s">
        <v>15</v>
      </c>
      <c r="G1626" s="7" t="s">
        <v>49</v>
      </c>
      <c r="H1626" s="11">
        <v>17.82</v>
      </c>
      <c r="I1626" s="8">
        <v>6.1</v>
      </c>
      <c r="J1626" s="26">
        <v>1</v>
      </c>
      <c r="K1626" s="10">
        <f t="shared" si="153"/>
        <v>0.10870199999999999</v>
      </c>
      <c r="L1626" s="4"/>
      <c r="M1626" s="17">
        <v>1</v>
      </c>
      <c r="N1626" s="18">
        <f t="shared" si="154"/>
        <v>0.10870199999999999</v>
      </c>
      <c r="O1626" s="19">
        <f t="shared" si="155"/>
        <v>0</v>
      </c>
      <c r="P1626" s="13">
        <f t="shared" si="156"/>
        <v>0</v>
      </c>
      <c r="Q1626" s="9"/>
      <c r="R1626" s="2">
        <v>1</v>
      </c>
      <c r="S1626" s="2" t="s">
        <v>442</v>
      </c>
    </row>
    <row r="1627" spans="1:19">
      <c r="A1627" s="42" t="s">
        <v>90</v>
      </c>
      <c r="B1627" s="3"/>
      <c r="C1627" s="3">
        <v>148</v>
      </c>
      <c r="D1627" s="1"/>
      <c r="E1627" s="12" t="s">
        <v>96</v>
      </c>
      <c r="F1627" s="7" t="s">
        <v>15</v>
      </c>
      <c r="G1627" s="7" t="s">
        <v>49</v>
      </c>
      <c r="H1627" s="11">
        <v>17.82</v>
      </c>
      <c r="I1627" s="8">
        <v>6</v>
      </c>
      <c r="J1627" s="26">
        <v>1</v>
      </c>
      <c r="K1627" s="10">
        <f t="shared" si="153"/>
        <v>0.10692</v>
      </c>
      <c r="L1627" s="4"/>
      <c r="M1627" s="17">
        <v>1</v>
      </c>
      <c r="N1627" s="18">
        <f t="shared" si="154"/>
        <v>0.10692</v>
      </c>
      <c r="O1627" s="19">
        <f t="shared" si="155"/>
        <v>0</v>
      </c>
      <c r="P1627" s="13">
        <f t="shared" si="156"/>
        <v>0</v>
      </c>
      <c r="Q1627" s="9"/>
      <c r="R1627" s="2">
        <v>1</v>
      </c>
      <c r="S1627" s="2" t="s">
        <v>442</v>
      </c>
    </row>
    <row r="1628" spans="1:19">
      <c r="A1628" s="42" t="s">
        <v>90</v>
      </c>
      <c r="B1628" s="3"/>
      <c r="C1628" s="3">
        <v>148</v>
      </c>
      <c r="D1628" s="1"/>
      <c r="E1628" s="12" t="s">
        <v>96</v>
      </c>
      <c r="F1628" s="7" t="s">
        <v>15</v>
      </c>
      <c r="G1628" s="7" t="s">
        <v>49</v>
      </c>
      <c r="H1628" s="11">
        <v>17.82</v>
      </c>
      <c r="I1628" s="8">
        <v>9</v>
      </c>
      <c r="J1628" s="26">
        <v>2</v>
      </c>
      <c r="K1628" s="10">
        <f t="shared" si="153"/>
        <v>0.32075999999999999</v>
      </c>
      <c r="L1628" s="4"/>
      <c r="M1628" s="17">
        <v>2</v>
      </c>
      <c r="N1628" s="18">
        <f t="shared" si="154"/>
        <v>0.32075999999999999</v>
      </c>
      <c r="O1628" s="19">
        <f t="shared" si="155"/>
        <v>0</v>
      </c>
      <c r="P1628" s="13">
        <f t="shared" si="156"/>
        <v>0</v>
      </c>
      <c r="Q1628" s="9"/>
      <c r="R1628" s="2">
        <v>2</v>
      </c>
      <c r="S1628" s="2" t="s">
        <v>442</v>
      </c>
    </row>
    <row r="1629" spans="1:19">
      <c r="A1629" s="42" t="s">
        <v>90</v>
      </c>
      <c r="B1629" s="3"/>
      <c r="C1629" s="3">
        <v>148</v>
      </c>
      <c r="D1629" s="1"/>
      <c r="E1629" s="12" t="s">
        <v>96</v>
      </c>
      <c r="F1629" s="7" t="s">
        <v>15</v>
      </c>
      <c r="G1629" s="7" t="s">
        <v>49</v>
      </c>
      <c r="H1629" s="11">
        <v>17.82</v>
      </c>
      <c r="I1629" s="8">
        <v>7.7</v>
      </c>
      <c r="J1629" s="26">
        <v>1</v>
      </c>
      <c r="K1629" s="10">
        <f t="shared" si="153"/>
        <v>0.137214</v>
      </c>
      <c r="L1629" s="4"/>
      <c r="M1629" s="17">
        <v>1</v>
      </c>
      <c r="N1629" s="18">
        <f t="shared" si="154"/>
        <v>0.137214</v>
      </c>
      <c r="O1629" s="19">
        <f t="shared" si="155"/>
        <v>0</v>
      </c>
      <c r="P1629" s="13">
        <f t="shared" si="156"/>
        <v>0</v>
      </c>
      <c r="Q1629" s="9"/>
      <c r="R1629" s="2">
        <v>1</v>
      </c>
      <c r="S1629" s="2" t="s">
        <v>442</v>
      </c>
    </row>
    <row r="1630" spans="1:19">
      <c r="A1630" s="42" t="s">
        <v>90</v>
      </c>
      <c r="B1630" s="3"/>
      <c r="C1630" s="3">
        <v>149</v>
      </c>
      <c r="D1630" s="1"/>
      <c r="E1630" s="12" t="s">
        <v>20</v>
      </c>
      <c r="F1630" s="7" t="s">
        <v>15</v>
      </c>
      <c r="G1630" s="7" t="s">
        <v>33</v>
      </c>
      <c r="H1630" s="11">
        <v>15.92</v>
      </c>
      <c r="I1630" s="8">
        <v>10.8</v>
      </c>
      <c r="J1630" s="26">
        <v>1</v>
      </c>
      <c r="K1630" s="10">
        <f t="shared" si="153"/>
        <v>0.17193600000000001</v>
      </c>
      <c r="L1630" s="4"/>
      <c r="M1630" s="17">
        <v>1</v>
      </c>
      <c r="N1630" s="18">
        <f t="shared" si="154"/>
        <v>0.17193600000000001</v>
      </c>
      <c r="O1630" s="19">
        <f t="shared" si="155"/>
        <v>0</v>
      </c>
      <c r="P1630" s="53">
        <f t="shared" si="156"/>
        <v>0</v>
      </c>
      <c r="Q1630" s="32"/>
      <c r="R1630" s="35">
        <v>1</v>
      </c>
      <c r="S1630" s="32" t="s">
        <v>371</v>
      </c>
    </row>
    <row r="1631" spans="1:19">
      <c r="A1631" s="42" t="s">
        <v>90</v>
      </c>
      <c r="B1631" s="3"/>
      <c r="C1631" s="3">
        <v>149</v>
      </c>
      <c r="D1631" s="1"/>
      <c r="E1631" s="12" t="s">
        <v>20</v>
      </c>
      <c r="F1631" s="7" t="s">
        <v>15</v>
      </c>
      <c r="G1631" s="7" t="s">
        <v>33</v>
      </c>
      <c r="H1631" s="11">
        <v>15.92</v>
      </c>
      <c r="I1631" s="8">
        <v>9.1</v>
      </c>
      <c r="J1631" s="26">
        <v>1</v>
      </c>
      <c r="K1631" s="10">
        <f t="shared" si="153"/>
        <v>0.14487199999999997</v>
      </c>
      <c r="L1631" s="4"/>
      <c r="M1631" s="17">
        <v>1</v>
      </c>
      <c r="N1631" s="18">
        <f t="shared" si="154"/>
        <v>0.14487199999999997</v>
      </c>
      <c r="O1631" s="19">
        <f t="shared" si="155"/>
        <v>0</v>
      </c>
      <c r="P1631" s="53">
        <f t="shared" si="156"/>
        <v>0</v>
      </c>
      <c r="Q1631" s="32"/>
      <c r="R1631" s="35">
        <v>1</v>
      </c>
      <c r="S1631" s="32" t="s">
        <v>371</v>
      </c>
    </row>
    <row r="1632" spans="1:19">
      <c r="A1632" s="42" t="s">
        <v>90</v>
      </c>
      <c r="B1632" s="3"/>
      <c r="C1632" s="3">
        <v>150</v>
      </c>
      <c r="D1632" s="1"/>
      <c r="E1632" s="12" t="s">
        <v>94</v>
      </c>
      <c r="F1632" s="7" t="s">
        <v>15</v>
      </c>
      <c r="G1632" s="7" t="s">
        <v>22</v>
      </c>
      <c r="H1632" s="11">
        <v>10.73</v>
      </c>
      <c r="I1632" s="8">
        <v>10.5</v>
      </c>
      <c r="J1632" s="26">
        <v>1</v>
      </c>
      <c r="K1632" s="10">
        <f t="shared" ref="K1632:K1671" si="157">(H1632*I1632*J1632/1000)</f>
        <v>0.112665</v>
      </c>
      <c r="L1632" s="4"/>
      <c r="M1632" s="17">
        <v>1</v>
      </c>
      <c r="N1632" s="18">
        <f t="shared" ref="N1632:N1671" si="158">I1632*M1632*H1632/1000</f>
        <v>0.112665</v>
      </c>
      <c r="O1632" s="19">
        <f t="shared" ref="O1632:O1671" si="159">J1632-M1632</f>
        <v>0</v>
      </c>
      <c r="P1632" s="13">
        <f t="shared" ref="P1632:P1671" si="160">I1632*O1632*H1632/1000</f>
        <v>0</v>
      </c>
      <c r="Q1632" s="9">
        <v>10.5</v>
      </c>
      <c r="R1632" s="2">
        <v>1</v>
      </c>
      <c r="S1632" s="2" t="s">
        <v>264</v>
      </c>
    </row>
    <row r="1633" spans="1:19">
      <c r="A1633" s="42" t="s">
        <v>90</v>
      </c>
      <c r="B1633" s="3"/>
      <c r="C1633" s="3">
        <v>150</v>
      </c>
      <c r="D1633" s="1"/>
      <c r="E1633" s="12" t="s">
        <v>94</v>
      </c>
      <c r="F1633" s="7" t="s">
        <v>15</v>
      </c>
      <c r="G1633" s="7" t="s">
        <v>22</v>
      </c>
      <c r="H1633" s="11">
        <v>10.73</v>
      </c>
      <c r="I1633" s="8">
        <v>11.9</v>
      </c>
      <c r="J1633" s="26">
        <v>1</v>
      </c>
      <c r="K1633" s="10">
        <f t="shared" si="157"/>
        <v>0.12768700000000002</v>
      </c>
      <c r="L1633" s="4"/>
      <c r="M1633" s="17">
        <v>1</v>
      </c>
      <c r="N1633" s="18">
        <f t="shared" si="158"/>
        <v>0.12768700000000002</v>
      </c>
      <c r="O1633" s="19">
        <f t="shared" si="159"/>
        <v>0</v>
      </c>
      <c r="P1633" s="13">
        <f t="shared" si="160"/>
        <v>0</v>
      </c>
      <c r="Q1633" s="9">
        <v>10.5</v>
      </c>
      <c r="R1633" s="2">
        <v>1</v>
      </c>
      <c r="S1633" s="2" t="s">
        <v>264</v>
      </c>
    </row>
    <row r="1634" spans="1:19">
      <c r="A1634" s="42" t="s">
        <v>90</v>
      </c>
      <c r="B1634" s="3"/>
      <c r="C1634" s="3">
        <v>150</v>
      </c>
      <c r="D1634" s="1"/>
      <c r="E1634" s="12" t="s">
        <v>94</v>
      </c>
      <c r="F1634" s="7" t="s">
        <v>15</v>
      </c>
      <c r="G1634" s="7" t="s">
        <v>22</v>
      </c>
      <c r="H1634" s="11">
        <v>10.73</v>
      </c>
      <c r="I1634" s="8">
        <v>11.7</v>
      </c>
      <c r="J1634" s="26">
        <v>3</v>
      </c>
      <c r="K1634" s="10">
        <f t="shared" si="157"/>
        <v>0.37662299999999999</v>
      </c>
      <c r="L1634" s="4"/>
      <c r="M1634" s="17">
        <v>3</v>
      </c>
      <c r="N1634" s="18">
        <f t="shared" si="158"/>
        <v>0.37662299999999993</v>
      </c>
      <c r="O1634" s="19">
        <f t="shared" si="159"/>
        <v>0</v>
      </c>
      <c r="P1634" s="13">
        <f t="shared" si="160"/>
        <v>0</v>
      </c>
      <c r="Q1634" s="9">
        <v>10.5</v>
      </c>
      <c r="R1634" s="2">
        <v>3</v>
      </c>
      <c r="S1634" s="2" t="s">
        <v>264</v>
      </c>
    </row>
    <row r="1635" spans="1:19">
      <c r="A1635" s="42" t="s">
        <v>90</v>
      </c>
      <c r="B1635" s="3"/>
      <c r="C1635" s="3">
        <v>151</v>
      </c>
      <c r="D1635" s="1"/>
      <c r="E1635" s="20" t="s">
        <v>24</v>
      </c>
      <c r="F1635" s="7" t="s">
        <v>14</v>
      </c>
      <c r="G1635" s="7" t="s">
        <v>30</v>
      </c>
      <c r="H1635" s="11">
        <v>9.26</v>
      </c>
      <c r="I1635" s="8">
        <v>6.3</v>
      </c>
      <c r="J1635" s="26">
        <v>1</v>
      </c>
      <c r="K1635" s="10">
        <f t="shared" si="157"/>
        <v>5.8337999999999994E-2</v>
      </c>
      <c r="L1635" s="4"/>
      <c r="M1635" s="17">
        <v>1</v>
      </c>
      <c r="N1635" s="18">
        <f t="shared" si="158"/>
        <v>5.8337999999999994E-2</v>
      </c>
      <c r="O1635" s="106">
        <f t="shared" si="159"/>
        <v>0</v>
      </c>
      <c r="P1635" s="13">
        <f t="shared" si="160"/>
        <v>0</v>
      </c>
      <c r="Q1635" s="9"/>
      <c r="R1635" s="2">
        <v>1</v>
      </c>
      <c r="S1635" s="2" t="s">
        <v>222</v>
      </c>
    </row>
    <row r="1636" spans="1:19">
      <c r="A1636" s="42" t="s">
        <v>90</v>
      </c>
      <c r="B1636" s="3"/>
      <c r="C1636" s="3">
        <v>151</v>
      </c>
      <c r="D1636" s="1"/>
      <c r="E1636" s="20" t="s">
        <v>24</v>
      </c>
      <c r="F1636" s="7" t="s">
        <v>14</v>
      </c>
      <c r="G1636" s="7" t="s">
        <v>30</v>
      </c>
      <c r="H1636" s="11">
        <v>9.26</v>
      </c>
      <c r="I1636" s="8">
        <v>6</v>
      </c>
      <c r="J1636" s="26">
        <v>1</v>
      </c>
      <c r="K1636" s="10">
        <f t="shared" si="157"/>
        <v>5.5560000000000005E-2</v>
      </c>
      <c r="L1636" s="4"/>
      <c r="M1636" s="17">
        <v>1</v>
      </c>
      <c r="N1636" s="18">
        <f t="shared" si="158"/>
        <v>5.5560000000000005E-2</v>
      </c>
      <c r="O1636" s="106">
        <f t="shared" si="159"/>
        <v>0</v>
      </c>
      <c r="P1636" s="13">
        <f t="shared" si="160"/>
        <v>0</v>
      </c>
      <c r="Q1636" s="9"/>
      <c r="R1636" s="2">
        <v>1</v>
      </c>
      <c r="S1636" s="2" t="s">
        <v>222</v>
      </c>
    </row>
    <row r="1637" spans="1:19">
      <c r="A1637" s="42" t="s">
        <v>90</v>
      </c>
      <c r="B1637" s="3"/>
      <c r="C1637" s="3">
        <v>152</v>
      </c>
      <c r="D1637" s="1"/>
      <c r="E1637" s="20" t="s">
        <v>17</v>
      </c>
      <c r="F1637" s="7" t="s">
        <v>15</v>
      </c>
      <c r="G1637" s="7" t="s">
        <v>22</v>
      </c>
      <c r="H1637" s="11">
        <v>10.73</v>
      </c>
      <c r="I1637" s="8">
        <v>11</v>
      </c>
      <c r="J1637" s="26">
        <v>1</v>
      </c>
      <c r="K1637" s="10">
        <f t="shared" si="157"/>
        <v>0.11803</v>
      </c>
      <c r="L1637" s="4"/>
      <c r="M1637" s="17">
        <v>1</v>
      </c>
      <c r="N1637" s="18">
        <f t="shared" si="158"/>
        <v>0.11803</v>
      </c>
      <c r="O1637" s="19">
        <f t="shared" si="159"/>
        <v>0</v>
      </c>
      <c r="P1637" s="13">
        <f t="shared" si="160"/>
        <v>0</v>
      </c>
      <c r="Q1637" s="9">
        <v>11</v>
      </c>
      <c r="R1637" s="2">
        <v>1</v>
      </c>
      <c r="S1637" s="2" t="s">
        <v>203</v>
      </c>
    </row>
    <row r="1638" spans="1:19">
      <c r="A1638" s="42" t="s">
        <v>90</v>
      </c>
      <c r="B1638" s="3"/>
      <c r="C1638" s="3">
        <v>152</v>
      </c>
      <c r="D1638" s="1"/>
      <c r="E1638" s="20" t="s">
        <v>17</v>
      </c>
      <c r="F1638" s="7" t="s">
        <v>15</v>
      </c>
      <c r="G1638" s="7" t="s">
        <v>22</v>
      </c>
      <c r="H1638" s="11">
        <v>10.73</v>
      </c>
      <c r="I1638" s="8">
        <v>11.6</v>
      </c>
      <c r="J1638" s="26">
        <v>1</v>
      </c>
      <c r="K1638" s="10">
        <f t="shared" si="157"/>
        <v>0.12446800000000001</v>
      </c>
      <c r="L1638" s="4"/>
      <c r="M1638" s="17">
        <v>1</v>
      </c>
      <c r="N1638" s="18">
        <f t="shared" si="158"/>
        <v>0.12446800000000001</v>
      </c>
      <c r="O1638" s="19">
        <f t="shared" si="159"/>
        <v>0</v>
      </c>
      <c r="P1638" s="13">
        <f t="shared" si="160"/>
        <v>0</v>
      </c>
      <c r="Q1638" s="9"/>
      <c r="R1638" s="2">
        <v>1</v>
      </c>
      <c r="S1638" s="2" t="s">
        <v>203</v>
      </c>
    </row>
    <row r="1639" spans="1:19">
      <c r="A1639" s="42" t="s">
        <v>90</v>
      </c>
      <c r="B1639" s="3"/>
      <c r="C1639" s="3">
        <v>152</v>
      </c>
      <c r="D1639" s="1"/>
      <c r="E1639" s="20" t="s">
        <v>17</v>
      </c>
      <c r="F1639" s="7" t="s">
        <v>15</v>
      </c>
      <c r="G1639" s="7" t="s">
        <v>22</v>
      </c>
      <c r="H1639" s="11">
        <v>10.73</v>
      </c>
      <c r="I1639" s="8">
        <v>9.8000000000000007</v>
      </c>
      <c r="J1639" s="26">
        <v>1</v>
      </c>
      <c r="K1639" s="10">
        <f t="shared" si="157"/>
        <v>0.10515400000000001</v>
      </c>
      <c r="L1639" s="4"/>
      <c r="M1639" s="17">
        <v>1</v>
      </c>
      <c r="N1639" s="18">
        <f t="shared" si="158"/>
        <v>0.10515400000000001</v>
      </c>
      <c r="O1639" s="19">
        <f t="shared" si="159"/>
        <v>0</v>
      </c>
      <c r="P1639" s="13">
        <f t="shared" si="160"/>
        <v>0</v>
      </c>
      <c r="Q1639" s="9">
        <v>9.25</v>
      </c>
      <c r="R1639" s="2">
        <v>1</v>
      </c>
      <c r="S1639" s="2" t="s">
        <v>203</v>
      </c>
    </row>
    <row r="1640" spans="1:19">
      <c r="A1640" s="42" t="s">
        <v>90</v>
      </c>
      <c r="B1640" s="3"/>
      <c r="C1640" s="3">
        <v>153</v>
      </c>
      <c r="D1640" s="1"/>
      <c r="E1640" s="20" t="s">
        <v>17</v>
      </c>
      <c r="F1640" s="7" t="s">
        <v>15</v>
      </c>
      <c r="G1640" s="7" t="s">
        <v>22</v>
      </c>
      <c r="H1640" s="11">
        <v>10.73</v>
      </c>
      <c r="I1640" s="8">
        <v>11.3</v>
      </c>
      <c r="J1640" s="26">
        <v>8</v>
      </c>
      <c r="K1640" s="10">
        <f t="shared" si="157"/>
        <v>0.96999200000000008</v>
      </c>
      <c r="L1640" s="4"/>
      <c r="M1640" s="17">
        <v>8</v>
      </c>
      <c r="N1640" s="18">
        <f t="shared" si="158"/>
        <v>0.96999200000000008</v>
      </c>
      <c r="O1640" s="19">
        <f t="shared" si="159"/>
        <v>0</v>
      </c>
      <c r="P1640" s="13">
        <f t="shared" si="160"/>
        <v>0</v>
      </c>
      <c r="Q1640" s="34">
        <v>11.3</v>
      </c>
      <c r="R1640" s="35">
        <v>8</v>
      </c>
      <c r="S1640" s="35" t="s">
        <v>224</v>
      </c>
    </row>
    <row r="1641" spans="1:19">
      <c r="A1641" s="42" t="s">
        <v>90</v>
      </c>
      <c r="B1641" s="3"/>
      <c r="C1641" s="3">
        <v>154</v>
      </c>
      <c r="D1641" s="1"/>
      <c r="E1641" s="12" t="s">
        <v>20</v>
      </c>
      <c r="F1641" s="7" t="s">
        <v>15</v>
      </c>
      <c r="G1641" s="7" t="s">
        <v>30</v>
      </c>
      <c r="H1641" s="11">
        <v>9.26</v>
      </c>
      <c r="I1641" s="184">
        <v>8.6999999999999993</v>
      </c>
      <c r="J1641" s="56">
        <v>1</v>
      </c>
      <c r="K1641" s="10">
        <f t="shared" si="157"/>
        <v>8.0561999999999995E-2</v>
      </c>
      <c r="L1641" s="4"/>
      <c r="M1641" s="17">
        <v>1</v>
      </c>
      <c r="N1641" s="18">
        <f t="shared" si="158"/>
        <v>8.0561999999999995E-2</v>
      </c>
      <c r="O1641" s="19">
        <f t="shared" si="159"/>
        <v>0</v>
      </c>
      <c r="P1641" s="13">
        <f t="shared" si="160"/>
        <v>0</v>
      </c>
      <c r="Q1641" s="159">
        <v>6</v>
      </c>
      <c r="R1641" s="35">
        <v>1</v>
      </c>
      <c r="S1641" s="2" t="s">
        <v>758</v>
      </c>
    </row>
    <row r="1642" spans="1:19">
      <c r="A1642" s="42" t="s">
        <v>90</v>
      </c>
      <c r="B1642" s="3"/>
      <c r="C1642" s="3">
        <v>154</v>
      </c>
      <c r="D1642" s="1"/>
      <c r="E1642" s="12" t="s">
        <v>20</v>
      </c>
      <c r="F1642" s="7" t="s">
        <v>15</v>
      </c>
      <c r="G1642" s="7" t="s">
        <v>30</v>
      </c>
      <c r="H1642" s="11">
        <v>9.26</v>
      </c>
      <c r="I1642" s="184">
        <v>8</v>
      </c>
      <c r="J1642" s="26">
        <v>1</v>
      </c>
      <c r="K1642" s="10">
        <f t="shared" si="157"/>
        <v>7.4079999999999993E-2</v>
      </c>
      <c r="L1642" s="4"/>
      <c r="M1642" s="17">
        <v>1</v>
      </c>
      <c r="N1642" s="18">
        <f t="shared" si="158"/>
        <v>7.4079999999999993E-2</v>
      </c>
      <c r="O1642" s="19">
        <f t="shared" si="159"/>
        <v>0</v>
      </c>
      <c r="P1642" s="13">
        <f t="shared" si="160"/>
        <v>0</v>
      </c>
      <c r="Q1642" s="159">
        <v>6</v>
      </c>
      <c r="R1642" s="35">
        <v>1</v>
      </c>
      <c r="S1642" s="2" t="s">
        <v>758</v>
      </c>
    </row>
    <row r="1643" spans="1:19">
      <c r="A1643" s="42" t="s">
        <v>90</v>
      </c>
      <c r="B1643" s="3"/>
      <c r="C1643" s="3">
        <v>155</v>
      </c>
      <c r="D1643" s="1"/>
      <c r="E1643" s="12" t="s">
        <v>19</v>
      </c>
      <c r="F1643" s="7" t="s">
        <v>14</v>
      </c>
      <c r="G1643" s="7" t="s">
        <v>30</v>
      </c>
      <c r="H1643" s="11">
        <v>9.26</v>
      </c>
      <c r="I1643" s="8">
        <v>9</v>
      </c>
      <c r="J1643" s="26">
        <v>1</v>
      </c>
      <c r="K1643" s="10">
        <f t="shared" si="157"/>
        <v>8.3339999999999997E-2</v>
      </c>
      <c r="L1643" s="4"/>
      <c r="M1643" s="17">
        <v>1</v>
      </c>
      <c r="N1643" s="18">
        <f t="shared" si="158"/>
        <v>8.3339999999999997E-2</v>
      </c>
      <c r="O1643" s="19">
        <f t="shared" si="159"/>
        <v>0</v>
      </c>
      <c r="P1643" s="13">
        <f t="shared" si="160"/>
        <v>0</v>
      </c>
      <c r="Q1643" s="9">
        <v>7.6</v>
      </c>
      <c r="R1643" s="2">
        <v>1</v>
      </c>
      <c r="S1643" s="2" t="s">
        <v>212</v>
      </c>
    </row>
    <row r="1644" spans="1:19">
      <c r="A1644" s="42" t="s">
        <v>90</v>
      </c>
      <c r="B1644" s="3"/>
      <c r="C1644" s="3">
        <v>155</v>
      </c>
      <c r="D1644" s="1"/>
      <c r="E1644" s="12" t="s">
        <v>19</v>
      </c>
      <c r="F1644" s="7" t="s">
        <v>14</v>
      </c>
      <c r="G1644" s="7" t="s">
        <v>30</v>
      </c>
      <c r="H1644" s="11">
        <v>9.26</v>
      </c>
      <c r="I1644" s="8">
        <v>9.5</v>
      </c>
      <c r="J1644" s="26">
        <v>1</v>
      </c>
      <c r="K1644" s="10">
        <f t="shared" si="157"/>
        <v>8.7969999999999993E-2</v>
      </c>
      <c r="L1644" s="4"/>
      <c r="M1644" s="17">
        <v>1</v>
      </c>
      <c r="N1644" s="18">
        <f t="shared" si="158"/>
        <v>8.7969999999999993E-2</v>
      </c>
      <c r="O1644" s="19">
        <f t="shared" si="159"/>
        <v>0</v>
      </c>
      <c r="P1644" s="13">
        <f t="shared" si="160"/>
        <v>0</v>
      </c>
      <c r="Q1644" s="9">
        <v>7.6</v>
      </c>
      <c r="R1644" s="2">
        <v>1</v>
      </c>
      <c r="S1644" s="2" t="s">
        <v>212</v>
      </c>
    </row>
    <row r="1645" spans="1:19">
      <c r="A1645" s="42" t="s">
        <v>90</v>
      </c>
      <c r="B1645" s="3"/>
      <c r="C1645" s="3">
        <v>155</v>
      </c>
      <c r="D1645" s="1"/>
      <c r="E1645" s="12" t="s">
        <v>19</v>
      </c>
      <c r="F1645" s="7" t="s">
        <v>14</v>
      </c>
      <c r="G1645" s="7" t="s">
        <v>30</v>
      </c>
      <c r="H1645" s="11">
        <v>9.26</v>
      </c>
      <c r="I1645" s="8">
        <v>10</v>
      </c>
      <c r="J1645" s="26">
        <v>1</v>
      </c>
      <c r="K1645" s="10">
        <f t="shared" si="157"/>
        <v>9.2599999999999988E-2</v>
      </c>
      <c r="L1645" s="4"/>
      <c r="M1645" s="17">
        <v>1</v>
      </c>
      <c r="N1645" s="18">
        <f t="shared" si="158"/>
        <v>9.2599999999999988E-2</v>
      </c>
      <c r="O1645" s="19">
        <f t="shared" si="159"/>
        <v>0</v>
      </c>
      <c r="P1645" s="13">
        <f t="shared" si="160"/>
        <v>0</v>
      </c>
      <c r="Q1645" s="9">
        <v>7.6</v>
      </c>
      <c r="R1645" s="2">
        <v>1</v>
      </c>
      <c r="S1645" s="2" t="s">
        <v>212</v>
      </c>
    </row>
    <row r="1646" spans="1:19">
      <c r="A1646" s="42" t="s">
        <v>90</v>
      </c>
      <c r="B1646" s="3"/>
      <c r="C1646" s="3">
        <v>156</v>
      </c>
      <c r="D1646" s="1"/>
      <c r="E1646" s="59" t="s">
        <v>19</v>
      </c>
      <c r="F1646" s="60" t="s">
        <v>14</v>
      </c>
      <c r="G1646" s="60" t="s">
        <v>30</v>
      </c>
      <c r="H1646" s="61">
        <v>9.26</v>
      </c>
      <c r="I1646" s="21">
        <v>6.5</v>
      </c>
      <c r="J1646" s="22">
        <v>1</v>
      </c>
      <c r="K1646" s="62">
        <f t="shared" si="157"/>
        <v>6.019E-2</v>
      </c>
      <c r="L1646" s="253" t="s">
        <v>97</v>
      </c>
      <c r="M1646" s="22"/>
      <c r="N1646" s="63">
        <f t="shared" si="158"/>
        <v>0</v>
      </c>
      <c r="O1646" s="64">
        <f t="shared" si="159"/>
        <v>1</v>
      </c>
      <c r="P1646" s="65">
        <f t="shared" si="160"/>
        <v>6.019E-2</v>
      </c>
      <c r="Q1646" s="9"/>
      <c r="R1646" s="2"/>
      <c r="S1646" s="2"/>
    </row>
    <row r="1647" spans="1:19">
      <c r="A1647" s="42" t="s">
        <v>90</v>
      </c>
      <c r="B1647" s="3"/>
      <c r="C1647" s="3">
        <v>156</v>
      </c>
      <c r="D1647" s="1"/>
      <c r="E1647" s="59" t="s">
        <v>19</v>
      </c>
      <c r="F1647" s="60" t="s">
        <v>14</v>
      </c>
      <c r="G1647" s="60" t="s">
        <v>30</v>
      </c>
      <c r="H1647" s="61">
        <v>9.26</v>
      </c>
      <c r="I1647" s="21">
        <v>7</v>
      </c>
      <c r="J1647" s="22">
        <v>1</v>
      </c>
      <c r="K1647" s="62">
        <f t="shared" si="157"/>
        <v>6.4819999999999989E-2</v>
      </c>
      <c r="L1647" s="253" t="s">
        <v>97</v>
      </c>
      <c r="M1647" s="22"/>
      <c r="N1647" s="63">
        <f t="shared" si="158"/>
        <v>0</v>
      </c>
      <c r="O1647" s="64">
        <f t="shared" si="159"/>
        <v>1</v>
      </c>
      <c r="P1647" s="13">
        <f t="shared" si="160"/>
        <v>6.4819999999999989E-2</v>
      </c>
      <c r="Q1647" s="9"/>
      <c r="R1647" s="2"/>
      <c r="S1647" s="2"/>
    </row>
    <row r="1648" spans="1:19">
      <c r="A1648" s="42" t="s">
        <v>90</v>
      </c>
      <c r="B1648" s="3"/>
      <c r="C1648" s="3">
        <v>157</v>
      </c>
      <c r="D1648" s="1" t="s">
        <v>93</v>
      </c>
      <c r="E1648" s="12" t="s">
        <v>76</v>
      </c>
      <c r="F1648" s="7" t="s">
        <v>15</v>
      </c>
      <c r="G1648" s="7" t="s">
        <v>40</v>
      </c>
      <c r="H1648" s="11">
        <v>16.5</v>
      </c>
      <c r="I1648" s="8">
        <v>8.3000000000000007</v>
      </c>
      <c r="J1648" s="26">
        <v>1</v>
      </c>
      <c r="K1648" s="10">
        <f t="shared" si="157"/>
        <v>0.13695000000000002</v>
      </c>
      <c r="L1648" s="4"/>
      <c r="M1648" s="17">
        <v>1</v>
      </c>
      <c r="N1648" s="18">
        <f t="shared" si="158"/>
        <v>0.13695000000000002</v>
      </c>
      <c r="O1648" s="19">
        <f t="shared" si="159"/>
        <v>0</v>
      </c>
      <c r="P1648" s="13">
        <f t="shared" si="160"/>
        <v>0</v>
      </c>
      <c r="Q1648" s="9"/>
      <c r="R1648" s="35">
        <v>1</v>
      </c>
      <c r="S1648" s="45" t="s">
        <v>222</v>
      </c>
    </row>
    <row r="1649" spans="1:20">
      <c r="A1649" s="42" t="s">
        <v>90</v>
      </c>
      <c r="B1649" s="3"/>
      <c r="C1649" s="3">
        <v>157</v>
      </c>
      <c r="D1649" s="1" t="s">
        <v>93</v>
      </c>
      <c r="E1649" s="12" t="s">
        <v>76</v>
      </c>
      <c r="F1649" s="7" t="s">
        <v>15</v>
      </c>
      <c r="G1649" s="7" t="s">
        <v>40</v>
      </c>
      <c r="H1649" s="11">
        <v>16.5</v>
      </c>
      <c r="I1649" s="8">
        <v>9.8000000000000007</v>
      </c>
      <c r="J1649" s="26">
        <v>1</v>
      </c>
      <c r="K1649" s="10">
        <f t="shared" si="157"/>
        <v>0.16170000000000001</v>
      </c>
      <c r="L1649" s="4"/>
      <c r="M1649" s="17">
        <v>1</v>
      </c>
      <c r="N1649" s="18">
        <f t="shared" si="158"/>
        <v>0.16170000000000001</v>
      </c>
      <c r="O1649" s="19">
        <f t="shared" si="159"/>
        <v>0</v>
      </c>
      <c r="P1649" s="13">
        <f t="shared" si="160"/>
        <v>0</v>
      </c>
      <c r="Q1649" s="9"/>
      <c r="R1649" s="35">
        <v>1</v>
      </c>
      <c r="S1649" s="45" t="s">
        <v>222</v>
      </c>
    </row>
    <row r="1650" spans="1:20">
      <c r="A1650" s="42" t="s">
        <v>90</v>
      </c>
      <c r="B1650" s="3"/>
      <c r="C1650" s="3">
        <v>158</v>
      </c>
      <c r="D1650" s="1"/>
      <c r="E1650" s="12" t="s">
        <v>20</v>
      </c>
      <c r="F1650" s="7" t="s">
        <v>15</v>
      </c>
      <c r="G1650" s="7" t="s">
        <v>40</v>
      </c>
      <c r="H1650" s="11">
        <v>16.5</v>
      </c>
      <c r="I1650" s="8">
        <v>6</v>
      </c>
      <c r="J1650" s="26">
        <v>1</v>
      </c>
      <c r="K1650" s="10">
        <f t="shared" si="157"/>
        <v>9.9000000000000005E-2</v>
      </c>
      <c r="L1650" s="4" t="s">
        <v>26</v>
      </c>
      <c r="M1650" s="17">
        <v>1</v>
      </c>
      <c r="N1650" s="18">
        <f t="shared" si="158"/>
        <v>9.9000000000000005E-2</v>
      </c>
      <c r="O1650" s="19">
        <f t="shared" si="159"/>
        <v>0</v>
      </c>
      <c r="P1650" s="13">
        <f t="shared" si="160"/>
        <v>0</v>
      </c>
      <c r="Q1650" s="9"/>
      <c r="R1650" s="2">
        <v>1</v>
      </c>
      <c r="S1650" s="2" t="s">
        <v>278</v>
      </c>
    </row>
    <row r="1651" spans="1:20">
      <c r="A1651" s="42" t="s">
        <v>90</v>
      </c>
      <c r="B1651" s="3"/>
      <c r="C1651" s="3">
        <v>158</v>
      </c>
      <c r="D1651" s="1"/>
      <c r="E1651" s="12" t="s">
        <v>20</v>
      </c>
      <c r="F1651" s="7" t="s">
        <v>15</v>
      </c>
      <c r="G1651" s="7" t="s">
        <v>40</v>
      </c>
      <c r="H1651" s="11">
        <v>16.5</v>
      </c>
      <c r="I1651" s="8">
        <v>10</v>
      </c>
      <c r="J1651" s="26">
        <v>1</v>
      </c>
      <c r="K1651" s="10">
        <f t="shared" si="157"/>
        <v>0.16500000000000001</v>
      </c>
      <c r="L1651" s="4" t="s">
        <v>26</v>
      </c>
      <c r="M1651" s="17">
        <v>1</v>
      </c>
      <c r="N1651" s="18">
        <f t="shared" si="158"/>
        <v>0.16500000000000001</v>
      </c>
      <c r="O1651" s="19">
        <f t="shared" si="159"/>
        <v>0</v>
      </c>
      <c r="P1651" s="13">
        <f t="shared" si="160"/>
        <v>0</v>
      </c>
      <c r="Q1651" s="9"/>
      <c r="R1651" s="2">
        <v>1</v>
      </c>
      <c r="S1651" s="2" t="s">
        <v>278</v>
      </c>
    </row>
    <row r="1652" spans="1:20">
      <c r="A1652" s="42" t="s">
        <v>90</v>
      </c>
      <c r="B1652" s="3"/>
      <c r="C1652" s="3">
        <v>159</v>
      </c>
      <c r="D1652" s="1" t="s">
        <v>386</v>
      </c>
      <c r="E1652" s="12" t="s">
        <v>114</v>
      </c>
      <c r="F1652" s="7" t="s">
        <v>15</v>
      </c>
      <c r="G1652" s="7" t="s">
        <v>43</v>
      </c>
      <c r="H1652" s="11">
        <v>15.04</v>
      </c>
      <c r="I1652" s="8">
        <v>11.3</v>
      </c>
      <c r="J1652" s="26">
        <v>3</v>
      </c>
      <c r="K1652" s="10">
        <f t="shared" si="157"/>
        <v>0.50985599999999998</v>
      </c>
      <c r="L1652" s="4"/>
      <c r="M1652" s="17">
        <v>3</v>
      </c>
      <c r="N1652" s="18">
        <f t="shared" si="158"/>
        <v>0.50985600000000009</v>
      </c>
      <c r="O1652" s="106">
        <f t="shared" si="159"/>
        <v>0</v>
      </c>
      <c r="P1652" s="13">
        <f t="shared" si="160"/>
        <v>0</v>
      </c>
      <c r="Q1652" s="111" t="s">
        <v>367</v>
      </c>
      <c r="R1652" s="2"/>
      <c r="S1652" s="18">
        <v>11</v>
      </c>
      <c r="T1652">
        <v>3</v>
      </c>
    </row>
    <row r="1653" spans="1:20">
      <c r="A1653" s="42" t="s">
        <v>90</v>
      </c>
      <c r="B1653" s="3"/>
      <c r="C1653" s="3">
        <v>160</v>
      </c>
      <c r="D1653" s="1"/>
      <c r="E1653" s="12" t="s">
        <v>20</v>
      </c>
      <c r="F1653" s="7" t="s">
        <v>15</v>
      </c>
      <c r="G1653" s="7" t="s">
        <v>44</v>
      </c>
      <c r="H1653" s="11">
        <v>13.4</v>
      </c>
      <c r="I1653" s="8">
        <v>10.3</v>
      </c>
      <c r="J1653" s="26">
        <v>1</v>
      </c>
      <c r="K1653" s="10">
        <f t="shared" si="157"/>
        <v>0.13802</v>
      </c>
      <c r="L1653" s="4"/>
      <c r="M1653" s="17">
        <v>1</v>
      </c>
      <c r="N1653" s="18">
        <f t="shared" si="158"/>
        <v>0.13802</v>
      </c>
      <c r="O1653" s="19">
        <f t="shared" si="159"/>
        <v>0</v>
      </c>
      <c r="P1653" s="13">
        <f t="shared" si="160"/>
        <v>0</v>
      </c>
      <c r="Q1653" s="9"/>
      <c r="R1653" s="2">
        <v>1</v>
      </c>
      <c r="S1653" s="2" t="s">
        <v>485</v>
      </c>
    </row>
    <row r="1654" spans="1:20">
      <c r="A1654" s="42" t="s">
        <v>90</v>
      </c>
      <c r="B1654" s="3"/>
      <c r="C1654" s="3">
        <v>161</v>
      </c>
      <c r="D1654" s="1"/>
      <c r="E1654" s="12" t="s">
        <v>20</v>
      </c>
      <c r="F1654" s="7" t="s">
        <v>15</v>
      </c>
      <c r="G1654" s="7" t="s">
        <v>30</v>
      </c>
      <c r="H1654" s="11">
        <v>9.26</v>
      </c>
      <c r="I1654" s="184">
        <v>11.9</v>
      </c>
      <c r="J1654" s="56">
        <v>1</v>
      </c>
      <c r="K1654" s="10">
        <f t="shared" si="157"/>
        <v>0.110194</v>
      </c>
      <c r="L1654" s="4"/>
      <c r="M1654" s="22">
        <v>1</v>
      </c>
      <c r="N1654" s="18">
        <f t="shared" si="158"/>
        <v>0.110194</v>
      </c>
      <c r="O1654" s="19">
        <f t="shared" si="159"/>
        <v>0</v>
      </c>
      <c r="P1654" s="13">
        <f t="shared" si="160"/>
        <v>0</v>
      </c>
      <c r="Q1654" s="9">
        <v>11.9</v>
      </c>
      <c r="R1654" s="35">
        <v>1</v>
      </c>
      <c r="S1654" s="2" t="s">
        <v>739</v>
      </c>
    </row>
    <row r="1655" spans="1:20">
      <c r="A1655" s="42" t="s">
        <v>90</v>
      </c>
      <c r="B1655" s="3"/>
      <c r="C1655" s="3">
        <v>162</v>
      </c>
      <c r="D1655" s="1"/>
      <c r="E1655" s="12" t="s">
        <v>114</v>
      </c>
      <c r="F1655" s="7" t="s">
        <v>15</v>
      </c>
      <c r="G1655" s="7" t="s">
        <v>52</v>
      </c>
      <c r="H1655" s="11">
        <v>17.829999999999998</v>
      </c>
      <c r="I1655" s="8">
        <v>9.6999999999999993</v>
      </c>
      <c r="J1655" s="26">
        <v>1</v>
      </c>
      <c r="K1655" s="10">
        <f t="shared" si="157"/>
        <v>0.17295099999999997</v>
      </c>
      <c r="L1655" s="4" t="s">
        <v>26</v>
      </c>
      <c r="M1655" s="22"/>
      <c r="N1655" s="18">
        <f t="shared" si="158"/>
        <v>0</v>
      </c>
      <c r="O1655" s="19">
        <f t="shared" si="159"/>
        <v>1</v>
      </c>
      <c r="P1655" s="13">
        <f t="shared" si="160"/>
        <v>0.17295099999999997</v>
      </c>
      <c r="Q1655" s="9"/>
      <c r="R1655" s="2"/>
      <c r="S1655" s="2"/>
    </row>
    <row r="1656" spans="1:20">
      <c r="A1656" s="42" t="s">
        <v>90</v>
      </c>
      <c r="B1656" s="3"/>
      <c r="C1656" s="3">
        <v>163</v>
      </c>
      <c r="D1656" s="1"/>
      <c r="E1656" s="12" t="s">
        <v>114</v>
      </c>
      <c r="F1656" s="7" t="s">
        <v>15</v>
      </c>
      <c r="G1656" s="7" t="s">
        <v>41</v>
      </c>
      <c r="H1656" s="11">
        <v>11.8</v>
      </c>
      <c r="I1656" s="8">
        <v>12</v>
      </c>
      <c r="J1656" s="26">
        <v>3</v>
      </c>
      <c r="K1656" s="10">
        <f t="shared" si="157"/>
        <v>0.42480000000000007</v>
      </c>
      <c r="L1656" s="4"/>
      <c r="M1656" s="22">
        <v>3</v>
      </c>
      <c r="N1656" s="18">
        <f t="shared" si="158"/>
        <v>0.42480000000000001</v>
      </c>
      <c r="O1656" s="19">
        <f t="shared" si="159"/>
        <v>0</v>
      </c>
      <c r="P1656" s="13">
        <f t="shared" si="160"/>
        <v>0</v>
      </c>
      <c r="Q1656" s="50">
        <v>11.5</v>
      </c>
      <c r="R1656" s="2">
        <v>3</v>
      </c>
      <c r="S1656" s="32" t="s">
        <v>198</v>
      </c>
    </row>
    <row r="1657" spans="1:20">
      <c r="A1657" s="42" t="s">
        <v>90</v>
      </c>
      <c r="B1657" s="3"/>
      <c r="C1657" s="3">
        <v>164</v>
      </c>
      <c r="D1657" s="1"/>
      <c r="E1657" s="12" t="s">
        <v>114</v>
      </c>
      <c r="F1657" s="7" t="s">
        <v>15</v>
      </c>
      <c r="G1657" s="7" t="s">
        <v>28</v>
      </c>
      <c r="H1657" s="11">
        <v>12.18</v>
      </c>
      <c r="I1657" s="8">
        <v>11.7</v>
      </c>
      <c r="J1657" s="26">
        <v>2</v>
      </c>
      <c r="K1657" s="10">
        <f t="shared" si="157"/>
        <v>0.28501199999999999</v>
      </c>
      <c r="L1657" s="4"/>
      <c r="M1657" s="22">
        <v>2</v>
      </c>
      <c r="N1657" s="18">
        <f t="shared" si="158"/>
        <v>0.28501199999999999</v>
      </c>
      <c r="O1657" s="106">
        <f t="shared" si="159"/>
        <v>0</v>
      </c>
      <c r="P1657" s="13">
        <f t="shared" si="160"/>
        <v>0</v>
      </c>
      <c r="Q1657" s="9">
        <v>10.5</v>
      </c>
      <c r="R1657" s="90">
        <v>2</v>
      </c>
      <c r="S1657" s="2" t="s">
        <v>466</v>
      </c>
    </row>
    <row r="1658" spans="1:20">
      <c r="A1658" s="42" t="s">
        <v>90</v>
      </c>
      <c r="B1658" s="3"/>
      <c r="C1658" s="3">
        <v>164</v>
      </c>
      <c r="D1658" s="1"/>
      <c r="E1658" s="12" t="s">
        <v>114</v>
      </c>
      <c r="F1658" s="7" t="s">
        <v>15</v>
      </c>
      <c r="G1658" s="7" t="s">
        <v>28</v>
      </c>
      <c r="H1658" s="11">
        <v>12.18</v>
      </c>
      <c r="I1658" s="8">
        <v>11</v>
      </c>
      <c r="J1658" s="26">
        <v>1</v>
      </c>
      <c r="K1658" s="10">
        <f t="shared" si="157"/>
        <v>0.13397999999999999</v>
      </c>
      <c r="L1658" s="4"/>
      <c r="M1658" s="22">
        <v>1</v>
      </c>
      <c r="N1658" s="18">
        <f t="shared" si="158"/>
        <v>0.13397999999999999</v>
      </c>
      <c r="O1658" s="106">
        <f t="shared" si="159"/>
        <v>0</v>
      </c>
      <c r="P1658" s="13">
        <f t="shared" si="160"/>
        <v>0</v>
      </c>
      <c r="Q1658" s="9">
        <v>10.5</v>
      </c>
      <c r="R1658" s="90">
        <v>1</v>
      </c>
      <c r="S1658" s="2" t="s">
        <v>466</v>
      </c>
    </row>
    <row r="1659" spans="1:20">
      <c r="A1659" s="42" t="s">
        <v>90</v>
      </c>
      <c r="B1659" s="3"/>
      <c r="C1659" s="3">
        <v>165</v>
      </c>
      <c r="D1659" s="1"/>
      <c r="E1659" s="12" t="s">
        <v>88</v>
      </c>
      <c r="F1659" s="7" t="s">
        <v>15</v>
      </c>
      <c r="G1659" s="7" t="s">
        <v>44</v>
      </c>
      <c r="H1659" s="11">
        <v>13.4</v>
      </c>
      <c r="I1659" s="8">
        <v>8.6999999999999993</v>
      </c>
      <c r="J1659" s="26">
        <v>2</v>
      </c>
      <c r="K1659" s="10">
        <f t="shared" si="157"/>
        <v>0.23316000000000001</v>
      </c>
      <c r="L1659" s="4"/>
      <c r="M1659" s="17">
        <v>2</v>
      </c>
      <c r="N1659" s="18">
        <f t="shared" si="158"/>
        <v>0.23316000000000001</v>
      </c>
      <c r="O1659" s="19">
        <f t="shared" si="159"/>
        <v>0</v>
      </c>
      <c r="P1659" s="13">
        <f t="shared" si="160"/>
        <v>0</v>
      </c>
      <c r="Q1659" s="9">
        <v>7.5</v>
      </c>
      <c r="R1659" s="2">
        <v>2</v>
      </c>
      <c r="S1659" s="2" t="s">
        <v>735</v>
      </c>
    </row>
    <row r="1660" spans="1:20">
      <c r="A1660" s="42" t="s">
        <v>90</v>
      </c>
      <c r="B1660" s="3"/>
      <c r="C1660" s="3">
        <v>165</v>
      </c>
      <c r="D1660" s="1"/>
      <c r="E1660" s="12" t="s">
        <v>88</v>
      </c>
      <c r="F1660" s="7" t="s">
        <v>15</v>
      </c>
      <c r="G1660" s="7" t="s">
        <v>44</v>
      </c>
      <c r="H1660" s="11">
        <v>13.4</v>
      </c>
      <c r="I1660" s="8">
        <v>10.5</v>
      </c>
      <c r="J1660" s="26">
        <v>1</v>
      </c>
      <c r="K1660" s="10">
        <f t="shared" si="157"/>
        <v>0.14070000000000002</v>
      </c>
      <c r="L1660" s="4"/>
      <c r="M1660" s="17"/>
      <c r="N1660" s="18">
        <f t="shared" si="158"/>
        <v>0</v>
      </c>
      <c r="O1660" s="19">
        <f t="shared" si="159"/>
        <v>1</v>
      </c>
      <c r="P1660" s="13">
        <f t="shared" si="160"/>
        <v>0.14070000000000002</v>
      </c>
      <c r="Q1660" s="9"/>
      <c r="R1660" s="2"/>
      <c r="S1660" s="2"/>
    </row>
    <row r="1661" spans="1:20">
      <c r="A1661" s="42" t="s">
        <v>90</v>
      </c>
      <c r="B1661" s="3"/>
      <c r="C1661" s="3">
        <v>166</v>
      </c>
      <c r="D1661" s="1"/>
      <c r="E1661" s="12" t="s">
        <v>20</v>
      </c>
      <c r="F1661" s="7" t="s">
        <v>15</v>
      </c>
      <c r="G1661" s="7" t="s">
        <v>47</v>
      </c>
      <c r="H1661" s="11">
        <v>15</v>
      </c>
      <c r="I1661" s="8">
        <v>8.3000000000000007</v>
      </c>
      <c r="J1661" s="26">
        <v>1</v>
      </c>
      <c r="K1661" s="10">
        <f t="shared" si="157"/>
        <v>0.12450000000000001</v>
      </c>
      <c r="L1661" s="4"/>
      <c r="M1661" s="17"/>
      <c r="N1661" s="18">
        <f t="shared" si="158"/>
        <v>0</v>
      </c>
      <c r="O1661" s="19">
        <f t="shared" si="159"/>
        <v>1</v>
      </c>
      <c r="P1661" s="13">
        <f t="shared" si="160"/>
        <v>0.12450000000000001</v>
      </c>
      <c r="Q1661" s="9"/>
      <c r="R1661" s="2"/>
      <c r="S1661" s="2"/>
    </row>
    <row r="1662" spans="1:20">
      <c r="A1662" s="42" t="s">
        <v>90</v>
      </c>
      <c r="B1662" s="3"/>
      <c r="C1662" s="3">
        <v>166</v>
      </c>
      <c r="D1662" s="1"/>
      <c r="E1662" s="12" t="s">
        <v>20</v>
      </c>
      <c r="F1662" s="7" t="s">
        <v>15</v>
      </c>
      <c r="G1662" s="7" t="s">
        <v>47</v>
      </c>
      <c r="H1662" s="11">
        <v>15</v>
      </c>
      <c r="I1662" s="8">
        <v>8.6999999999999993</v>
      </c>
      <c r="J1662" s="26">
        <v>1</v>
      </c>
      <c r="K1662" s="10">
        <f t="shared" si="157"/>
        <v>0.1305</v>
      </c>
      <c r="L1662" s="4"/>
      <c r="M1662" s="17"/>
      <c r="N1662" s="18">
        <f t="shared" si="158"/>
        <v>0</v>
      </c>
      <c r="O1662" s="19">
        <f t="shared" si="159"/>
        <v>1</v>
      </c>
      <c r="P1662" s="13">
        <f t="shared" si="160"/>
        <v>0.1305</v>
      </c>
      <c r="Q1662" s="9"/>
      <c r="R1662" s="2"/>
      <c r="S1662" s="2"/>
    </row>
    <row r="1663" spans="1:20">
      <c r="A1663" s="42" t="s">
        <v>90</v>
      </c>
      <c r="B1663" s="3"/>
      <c r="C1663" s="3">
        <v>166</v>
      </c>
      <c r="D1663" s="1"/>
      <c r="E1663" s="12" t="s">
        <v>20</v>
      </c>
      <c r="F1663" s="7" t="s">
        <v>15</v>
      </c>
      <c r="G1663" s="7" t="s">
        <v>47</v>
      </c>
      <c r="H1663" s="11">
        <v>15</v>
      </c>
      <c r="I1663" s="8">
        <v>11</v>
      </c>
      <c r="J1663" s="26">
        <v>1</v>
      </c>
      <c r="K1663" s="10">
        <f t="shared" si="157"/>
        <v>0.16500000000000001</v>
      </c>
      <c r="L1663" s="4"/>
      <c r="M1663" s="17"/>
      <c r="N1663" s="18">
        <f t="shared" si="158"/>
        <v>0</v>
      </c>
      <c r="O1663" s="19">
        <f t="shared" si="159"/>
        <v>1</v>
      </c>
      <c r="P1663" s="13">
        <f t="shared" si="160"/>
        <v>0.16500000000000001</v>
      </c>
      <c r="Q1663" s="9"/>
      <c r="R1663" s="2"/>
      <c r="S1663" s="2"/>
    </row>
    <row r="1664" spans="1:20">
      <c r="A1664" s="42" t="s">
        <v>90</v>
      </c>
      <c r="B1664" s="3"/>
      <c r="C1664" s="3">
        <v>167</v>
      </c>
      <c r="D1664" s="1"/>
      <c r="E1664" s="12" t="s">
        <v>20</v>
      </c>
      <c r="F1664" s="7" t="s">
        <v>15</v>
      </c>
      <c r="G1664" s="7" t="s">
        <v>36</v>
      </c>
      <c r="H1664" s="11">
        <v>10.199999999999999</v>
      </c>
      <c r="I1664" s="8">
        <v>5.5</v>
      </c>
      <c r="J1664" s="26">
        <v>1</v>
      </c>
      <c r="K1664" s="10">
        <f t="shared" si="157"/>
        <v>5.6099999999999997E-2</v>
      </c>
      <c r="L1664" s="4"/>
      <c r="M1664" s="17"/>
      <c r="N1664" s="18">
        <f t="shared" si="158"/>
        <v>0</v>
      </c>
      <c r="O1664" s="19">
        <f t="shared" si="159"/>
        <v>1</v>
      </c>
      <c r="P1664" s="13">
        <f t="shared" si="160"/>
        <v>5.6099999999999997E-2</v>
      </c>
      <c r="Q1664" s="9"/>
      <c r="R1664" s="2"/>
      <c r="S1664" s="2"/>
    </row>
    <row r="1665" spans="1:19">
      <c r="A1665" s="42" t="s">
        <v>90</v>
      </c>
      <c r="B1665" s="3"/>
      <c r="C1665" s="3">
        <v>168</v>
      </c>
      <c r="D1665" s="1" t="s">
        <v>98</v>
      </c>
      <c r="E1665" s="12" t="s">
        <v>20</v>
      </c>
      <c r="F1665" s="7" t="s">
        <v>15</v>
      </c>
      <c r="G1665" s="7" t="s">
        <v>36</v>
      </c>
      <c r="H1665" s="11">
        <v>10.199999999999999</v>
      </c>
      <c r="I1665" s="8">
        <v>10.4</v>
      </c>
      <c r="J1665" s="26">
        <v>1</v>
      </c>
      <c r="K1665" s="10">
        <f t="shared" si="157"/>
        <v>0.10607999999999999</v>
      </c>
      <c r="L1665" s="257" t="s">
        <v>135</v>
      </c>
      <c r="M1665" s="17"/>
      <c r="N1665" s="18">
        <f t="shared" si="158"/>
        <v>0</v>
      </c>
      <c r="O1665" s="19">
        <f t="shared" si="159"/>
        <v>1</v>
      </c>
      <c r="P1665" s="13">
        <f t="shared" si="160"/>
        <v>0.10607999999999999</v>
      </c>
      <c r="Q1665" s="9"/>
      <c r="R1665" s="2"/>
      <c r="S1665" s="2"/>
    </row>
    <row r="1666" spans="1:19">
      <c r="A1666" s="42" t="s">
        <v>90</v>
      </c>
      <c r="B1666" s="3"/>
      <c r="C1666" s="3">
        <v>169</v>
      </c>
      <c r="D1666" s="1"/>
      <c r="E1666" s="12" t="s">
        <v>20</v>
      </c>
      <c r="F1666" s="7" t="s">
        <v>15</v>
      </c>
      <c r="G1666" s="7" t="s">
        <v>47</v>
      </c>
      <c r="H1666" s="11">
        <v>15</v>
      </c>
      <c r="I1666" s="8">
        <v>9.5</v>
      </c>
      <c r="J1666" s="26">
        <v>2</v>
      </c>
      <c r="K1666" s="10">
        <f t="shared" si="157"/>
        <v>0.28499999999999998</v>
      </c>
      <c r="L1666" s="4"/>
      <c r="M1666" s="17">
        <v>2</v>
      </c>
      <c r="N1666" s="18">
        <f t="shared" si="158"/>
        <v>0.28499999999999998</v>
      </c>
      <c r="O1666" s="106">
        <f t="shared" si="159"/>
        <v>0</v>
      </c>
      <c r="P1666" s="13">
        <f t="shared" si="160"/>
        <v>0</v>
      </c>
      <c r="Q1666" s="9">
        <v>7</v>
      </c>
      <c r="R1666" s="2">
        <v>2</v>
      </c>
      <c r="S1666" s="9" t="s">
        <v>369</v>
      </c>
    </row>
    <row r="1667" spans="1:19">
      <c r="A1667" s="42" t="s">
        <v>90</v>
      </c>
      <c r="B1667" s="3"/>
      <c r="C1667" s="3">
        <v>170</v>
      </c>
      <c r="D1667" s="1"/>
      <c r="E1667" s="12" t="s">
        <v>20</v>
      </c>
      <c r="F1667" s="7" t="s">
        <v>15</v>
      </c>
      <c r="G1667" s="7" t="s">
        <v>44</v>
      </c>
      <c r="H1667" s="11">
        <v>13.4</v>
      </c>
      <c r="I1667" s="8">
        <v>10.5</v>
      </c>
      <c r="J1667" s="26">
        <v>2</v>
      </c>
      <c r="K1667" s="10">
        <f t="shared" si="157"/>
        <v>0.28140000000000004</v>
      </c>
      <c r="L1667" s="4"/>
      <c r="M1667" s="17">
        <v>2</v>
      </c>
      <c r="N1667" s="18">
        <f t="shared" si="158"/>
        <v>0.28140000000000004</v>
      </c>
      <c r="O1667" s="19">
        <f t="shared" si="159"/>
        <v>0</v>
      </c>
      <c r="P1667" s="13">
        <f t="shared" si="160"/>
        <v>0</v>
      </c>
      <c r="Q1667" s="9"/>
      <c r="R1667" s="2">
        <v>2</v>
      </c>
      <c r="S1667" s="2" t="s">
        <v>485</v>
      </c>
    </row>
    <row r="1668" spans="1:19">
      <c r="A1668" s="42" t="s">
        <v>90</v>
      </c>
      <c r="B1668" s="3"/>
      <c r="C1668" s="3">
        <v>170</v>
      </c>
      <c r="D1668" s="1"/>
      <c r="E1668" s="12" t="s">
        <v>20</v>
      </c>
      <c r="F1668" s="7" t="s">
        <v>15</v>
      </c>
      <c r="G1668" s="7" t="s">
        <v>44</v>
      </c>
      <c r="H1668" s="11">
        <v>13.4</v>
      </c>
      <c r="I1668" s="8">
        <v>12</v>
      </c>
      <c r="J1668" s="26">
        <v>1</v>
      </c>
      <c r="K1668" s="10">
        <f t="shared" si="157"/>
        <v>0.1608</v>
      </c>
      <c r="L1668" s="4"/>
      <c r="M1668" s="22">
        <v>1</v>
      </c>
      <c r="N1668" s="18">
        <f t="shared" si="158"/>
        <v>0.1608</v>
      </c>
      <c r="O1668" s="19">
        <f t="shared" si="159"/>
        <v>0</v>
      </c>
      <c r="P1668" s="13">
        <f t="shared" si="160"/>
        <v>0</v>
      </c>
      <c r="Q1668" s="9">
        <v>11</v>
      </c>
      <c r="R1668" s="2">
        <v>1</v>
      </c>
      <c r="S1668" s="2" t="s">
        <v>485</v>
      </c>
    </row>
    <row r="1669" spans="1:19">
      <c r="A1669" s="42" t="s">
        <v>90</v>
      </c>
      <c r="B1669" s="3"/>
      <c r="C1669" s="3">
        <v>171</v>
      </c>
      <c r="D1669" s="1"/>
      <c r="E1669" s="12" t="s">
        <v>88</v>
      </c>
      <c r="F1669" s="7" t="s">
        <v>15</v>
      </c>
      <c r="G1669" s="7" t="s">
        <v>44</v>
      </c>
      <c r="H1669" s="11">
        <v>13.4</v>
      </c>
      <c r="I1669" s="8">
        <v>7.4</v>
      </c>
      <c r="J1669" s="26">
        <v>1</v>
      </c>
      <c r="K1669" s="10">
        <f t="shared" si="157"/>
        <v>9.9160000000000012E-2</v>
      </c>
      <c r="L1669" s="4"/>
      <c r="M1669" s="17"/>
      <c r="N1669" s="18">
        <f t="shared" si="158"/>
        <v>0</v>
      </c>
      <c r="O1669" s="19">
        <f t="shared" si="159"/>
        <v>1</v>
      </c>
      <c r="P1669" s="13">
        <f t="shared" si="160"/>
        <v>9.9160000000000012E-2</v>
      </c>
      <c r="Q1669" s="9"/>
      <c r="R1669" s="2"/>
      <c r="S1669" s="2"/>
    </row>
    <row r="1670" spans="1:19">
      <c r="A1670" s="42" t="s">
        <v>90</v>
      </c>
      <c r="B1670" s="3"/>
      <c r="C1670" s="3">
        <v>171</v>
      </c>
      <c r="D1670" s="1"/>
      <c r="E1670" s="12" t="s">
        <v>88</v>
      </c>
      <c r="F1670" s="7" t="s">
        <v>15</v>
      </c>
      <c r="G1670" s="7" t="s">
        <v>44</v>
      </c>
      <c r="H1670" s="11">
        <v>13.4</v>
      </c>
      <c r="I1670" s="8">
        <v>6.8</v>
      </c>
      <c r="J1670" s="26">
        <v>1</v>
      </c>
      <c r="K1670" s="10">
        <f t="shared" si="157"/>
        <v>9.1120000000000007E-2</v>
      </c>
      <c r="L1670" s="4"/>
      <c r="M1670" s="17"/>
      <c r="N1670" s="18">
        <f t="shared" si="158"/>
        <v>0</v>
      </c>
      <c r="O1670" s="19">
        <f t="shared" si="159"/>
        <v>1</v>
      </c>
      <c r="P1670" s="13">
        <f t="shared" si="160"/>
        <v>9.1120000000000007E-2</v>
      </c>
      <c r="Q1670" s="9"/>
      <c r="R1670" s="2"/>
      <c r="S1670" s="2"/>
    </row>
    <row r="1671" spans="1:19">
      <c r="A1671" s="42" t="s">
        <v>90</v>
      </c>
      <c r="B1671" s="3"/>
      <c r="C1671" s="3">
        <v>171</v>
      </c>
      <c r="D1671" s="1"/>
      <c r="E1671" s="12" t="s">
        <v>88</v>
      </c>
      <c r="F1671" s="7" t="s">
        <v>15</v>
      </c>
      <c r="G1671" s="7" t="s">
        <v>44</v>
      </c>
      <c r="H1671" s="11">
        <v>13.4</v>
      </c>
      <c r="I1671" s="8">
        <v>6.4</v>
      </c>
      <c r="J1671" s="26">
        <v>1</v>
      </c>
      <c r="K1671" s="10">
        <f t="shared" si="157"/>
        <v>8.5760000000000003E-2</v>
      </c>
      <c r="L1671" s="4"/>
      <c r="M1671" s="17"/>
      <c r="N1671" s="18">
        <f t="shared" si="158"/>
        <v>0</v>
      </c>
      <c r="O1671" s="19">
        <f t="shared" si="159"/>
        <v>1</v>
      </c>
      <c r="P1671" s="13">
        <f t="shared" si="160"/>
        <v>8.5760000000000003E-2</v>
      </c>
      <c r="Q1671" s="9"/>
      <c r="R1671" s="2"/>
      <c r="S1671" s="2"/>
    </row>
    <row r="1672" spans="1:19">
      <c r="A1672" s="42" t="s">
        <v>90</v>
      </c>
      <c r="B1672" s="3"/>
      <c r="C1672" s="3">
        <v>172</v>
      </c>
      <c r="D1672" s="1"/>
      <c r="E1672" s="20" t="s">
        <v>20</v>
      </c>
      <c r="F1672" s="7" t="s">
        <v>15</v>
      </c>
      <c r="G1672" s="7" t="s">
        <v>99</v>
      </c>
      <c r="H1672" s="11">
        <v>18.2</v>
      </c>
      <c r="I1672" s="8">
        <v>8.5</v>
      </c>
      <c r="J1672" s="26">
        <v>1</v>
      </c>
      <c r="K1672" s="10">
        <f t="shared" ref="K1672:K1716" si="161">(H1672*I1672*J1672/1000)</f>
        <v>0.15469999999999998</v>
      </c>
      <c r="L1672" s="4"/>
      <c r="M1672" s="17"/>
      <c r="N1672" s="18">
        <f t="shared" ref="N1672:N1716" si="162">I1672*M1672*H1672/1000</f>
        <v>0</v>
      </c>
      <c r="O1672" s="19">
        <f t="shared" ref="O1672:O1716" si="163">J1672-M1672</f>
        <v>1</v>
      </c>
      <c r="P1672" s="13">
        <f t="shared" ref="P1672:P1716" si="164">I1672*O1672*H1672/1000</f>
        <v>0.15469999999999998</v>
      </c>
      <c r="Q1672" s="9"/>
      <c r="R1672" s="2"/>
      <c r="S1672" s="2"/>
    </row>
    <row r="1673" spans="1:19">
      <c r="A1673" s="42" t="s">
        <v>90</v>
      </c>
      <c r="B1673" s="3"/>
      <c r="C1673" s="3">
        <v>172</v>
      </c>
      <c r="D1673" s="1"/>
      <c r="E1673" s="20" t="s">
        <v>20</v>
      </c>
      <c r="F1673" s="7" t="s">
        <v>15</v>
      </c>
      <c r="G1673" s="7" t="s">
        <v>99</v>
      </c>
      <c r="H1673" s="11">
        <v>18.2</v>
      </c>
      <c r="I1673" s="8">
        <v>7.9</v>
      </c>
      <c r="J1673" s="26">
        <v>1</v>
      </c>
      <c r="K1673" s="10">
        <f t="shared" si="161"/>
        <v>0.14377999999999999</v>
      </c>
      <c r="L1673" s="4"/>
      <c r="M1673" s="17"/>
      <c r="N1673" s="18">
        <f t="shared" si="162"/>
        <v>0</v>
      </c>
      <c r="O1673" s="19">
        <f t="shared" si="163"/>
        <v>1</v>
      </c>
      <c r="P1673" s="13">
        <f t="shared" si="164"/>
        <v>0.14377999999999999</v>
      </c>
      <c r="Q1673" s="9"/>
      <c r="R1673" s="2"/>
      <c r="S1673" s="2"/>
    </row>
    <row r="1674" spans="1:19">
      <c r="A1674" s="42" t="s">
        <v>90</v>
      </c>
      <c r="B1674" s="3"/>
      <c r="C1674" s="3">
        <v>172</v>
      </c>
      <c r="D1674" s="1"/>
      <c r="E1674" s="20" t="s">
        <v>20</v>
      </c>
      <c r="F1674" s="7" t="s">
        <v>15</v>
      </c>
      <c r="G1674" s="7" t="s">
        <v>99</v>
      </c>
      <c r="H1674" s="11">
        <v>18.2</v>
      </c>
      <c r="I1674" s="8">
        <v>8.1</v>
      </c>
      <c r="J1674" s="26">
        <v>1</v>
      </c>
      <c r="K1674" s="10">
        <f t="shared" si="161"/>
        <v>0.14742</v>
      </c>
      <c r="L1674" s="4"/>
      <c r="M1674" s="17"/>
      <c r="N1674" s="18">
        <f t="shared" si="162"/>
        <v>0</v>
      </c>
      <c r="O1674" s="19">
        <f t="shared" si="163"/>
        <v>1</v>
      </c>
      <c r="P1674" s="13">
        <f t="shared" si="164"/>
        <v>0.14742</v>
      </c>
      <c r="Q1674" s="9"/>
      <c r="R1674" s="2"/>
      <c r="S1674" s="2"/>
    </row>
    <row r="1675" spans="1:19">
      <c r="A1675" s="42" t="s">
        <v>90</v>
      </c>
      <c r="B1675" s="3"/>
      <c r="C1675" s="3">
        <v>173</v>
      </c>
      <c r="D1675" s="1"/>
      <c r="E1675" s="12" t="s">
        <v>88</v>
      </c>
      <c r="F1675" s="7" t="s">
        <v>15</v>
      </c>
      <c r="G1675" s="7" t="s">
        <v>41</v>
      </c>
      <c r="H1675" s="11">
        <v>11.8</v>
      </c>
      <c r="I1675" s="8">
        <v>12</v>
      </c>
      <c r="J1675" s="26">
        <v>8</v>
      </c>
      <c r="K1675" s="10">
        <f t="shared" si="161"/>
        <v>1.1328000000000003</v>
      </c>
      <c r="L1675" s="4"/>
      <c r="M1675" s="17"/>
      <c r="N1675" s="18">
        <f t="shared" si="162"/>
        <v>0</v>
      </c>
      <c r="O1675" s="19">
        <f t="shared" si="163"/>
        <v>8</v>
      </c>
      <c r="P1675" s="13">
        <f t="shared" si="164"/>
        <v>1.1328000000000003</v>
      </c>
      <c r="Q1675" s="9"/>
      <c r="R1675" s="2"/>
      <c r="S1675" s="2"/>
    </row>
    <row r="1676" spans="1:19">
      <c r="A1676" s="42" t="s">
        <v>90</v>
      </c>
      <c r="B1676" s="3"/>
      <c r="C1676" s="3">
        <v>174</v>
      </c>
      <c r="D1676" s="1"/>
      <c r="E1676" s="20" t="s">
        <v>17</v>
      </c>
      <c r="F1676" s="7" t="s">
        <v>15</v>
      </c>
      <c r="G1676" s="7" t="s">
        <v>41</v>
      </c>
      <c r="H1676" s="11">
        <v>11.8</v>
      </c>
      <c r="I1676" s="8">
        <v>9</v>
      </c>
      <c r="J1676" s="26">
        <v>1</v>
      </c>
      <c r="K1676" s="10">
        <f t="shared" si="161"/>
        <v>0.1062</v>
      </c>
      <c r="L1676" s="4"/>
      <c r="M1676" s="17">
        <v>1</v>
      </c>
      <c r="N1676" s="18">
        <f t="shared" si="162"/>
        <v>0.1062</v>
      </c>
      <c r="O1676" s="19">
        <f t="shared" si="163"/>
        <v>0</v>
      </c>
      <c r="P1676" s="13">
        <f t="shared" si="164"/>
        <v>0</v>
      </c>
      <c r="Q1676" s="9">
        <v>7.5</v>
      </c>
      <c r="R1676" s="2">
        <v>1</v>
      </c>
      <c r="S1676" s="2" t="s">
        <v>202</v>
      </c>
    </row>
    <row r="1677" spans="1:19">
      <c r="A1677" s="42" t="s">
        <v>90</v>
      </c>
      <c r="B1677" s="3"/>
      <c r="C1677" s="3">
        <v>174</v>
      </c>
      <c r="D1677" s="1"/>
      <c r="E1677" s="20" t="s">
        <v>17</v>
      </c>
      <c r="F1677" s="7" t="s">
        <v>15</v>
      </c>
      <c r="G1677" s="7" t="s">
        <v>41</v>
      </c>
      <c r="H1677" s="11">
        <v>11.8</v>
      </c>
      <c r="I1677" s="8">
        <v>10.5</v>
      </c>
      <c r="J1677" s="26">
        <v>1</v>
      </c>
      <c r="K1677" s="10">
        <f t="shared" si="161"/>
        <v>0.12390000000000001</v>
      </c>
      <c r="L1677" s="4"/>
      <c r="M1677" s="17">
        <v>1</v>
      </c>
      <c r="N1677" s="18">
        <f t="shared" si="162"/>
        <v>0.12390000000000001</v>
      </c>
      <c r="O1677" s="19">
        <f t="shared" si="163"/>
        <v>0</v>
      </c>
      <c r="P1677" s="13">
        <f t="shared" si="164"/>
        <v>0</v>
      </c>
      <c r="Q1677" s="9">
        <v>7.5</v>
      </c>
      <c r="R1677" s="2">
        <v>1</v>
      </c>
      <c r="S1677" s="2" t="s">
        <v>202</v>
      </c>
    </row>
    <row r="1678" spans="1:19">
      <c r="A1678" s="42" t="s">
        <v>90</v>
      </c>
      <c r="B1678" s="3"/>
      <c r="C1678" s="3">
        <v>175</v>
      </c>
      <c r="D1678" s="1"/>
      <c r="E1678" s="20" t="s">
        <v>20</v>
      </c>
      <c r="F1678" s="7" t="s">
        <v>15</v>
      </c>
      <c r="G1678" s="7" t="s">
        <v>22</v>
      </c>
      <c r="H1678" s="11">
        <v>10.73</v>
      </c>
      <c r="I1678" s="8">
        <v>5.4</v>
      </c>
      <c r="J1678" s="26">
        <v>1</v>
      </c>
      <c r="K1678" s="10">
        <f t="shared" si="161"/>
        <v>5.7942000000000007E-2</v>
      </c>
      <c r="L1678" s="4"/>
      <c r="M1678" s="17"/>
      <c r="N1678" s="18">
        <f t="shared" si="162"/>
        <v>0</v>
      </c>
      <c r="O1678" s="19">
        <f t="shared" si="163"/>
        <v>1</v>
      </c>
      <c r="P1678" s="13">
        <f t="shared" si="164"/>
        <v>5.7942000000000007E-2</v>
      </c>
      <c r="Q1678" s="9"/>
      <c r="R1678" s="2"/>
      <c r="S1678" s="2"/>
    </row>
    <row r="1679" spans="1:19">
      <c r="A1679" s="42" t="s">
        <v>90</v>
      </c>
      <c r="B1679" s="3"/>
      <c r="C1679" s="3">
        <v>175</v>
      </c>
      <c r="D1679" s="1"/>
      <c r="E1679" s="20" t="s">
        <v>20</v>
      </c>
      <c r="F1679" s="7" t="s">
        <v>15</v>
      </c>
      <c r="G1679" s="7" t="s">
        <v>22</v>
      </c>
      <c r="H1679" s="11">
        <v>10.73</v>
      </c>
      <c r="I1679" s="8">
        <v>5.3</v>
      </c>
      <c r="J1679" s="26">
        <v>1</v>
      </c>
      <c r="K1679" s="10">
        <f t="shared" si="161"/>
        <v>5.6869000000000003E-2</v>
      </c>
      <c r="L1679" s="4"/>
      <c r="M1679" s="17"/>
      <c r="N1679" s="18">
        <f t="shared" si="162"/>
        <v>0</v>
      </c>
      <c r="O1679" s="19">
        <f t="shared" si="163"/>
        <v>1</v>
      </c>
      <c r="P1679" s="13">
        <f t="shared" si="164"/>
        <v>5.6869000000000003E-2</v>
      </c>
      <c r="Q1679" s="9"/>
      <c r="R1679" s="2"/>
      <c r="S1679" s="2"/>
    </row>
    <row r="1680" spans="1:19">
      <c r="A1680" s="42" t="s">
        <v>90</v>
      </c>
      <c r="B1680" s="3"/>
      <c r="C1680" s="3">
        <v>176</v>
      </c>
      <c r="D1680" s="1"/>
      <c r="E1680" s="20" t="s">
        <v>20</v>
      </c>
      <c r="F1680" s="7" t="s">
        <v>15</v>
      </c>
      <c r="G1680" s="7" t="s">
        <v>44</v>
      </c>
      <c r="H1680" s="11">
        <v>13.4</v>
      </c>
      <c r="I1680" s="8">
        <v>9</v>
      </c>
      <c r="J1680" s="26">
        <v>2</v>
      </c>
      <c r="K1680" s="10">
        <f t="shared" si="161"/>
        <v>0.24120000000000003</v>
      </c>
      <c r="L1680" s="4"/>
      <c r="M1680" s="17">
        <v>2</v>
      </c>
      <c r="N1680" s="18">
        <f t="shared" si="162"/>
        <v>0.24120000000000003</v>
      </c>
      <c r="O1680" s="19">
        <f t="shared" si="163"/>
        <v>0</v>
      </c>
      <c r="P1680" s="13">
        <f t="shared" si="164"/>
        <v>0</v>
      </c>
      <c r="Q1680" s="9">
        <v>8.1</v>
      </c>
      <c r="R1680" s="2">
        <v>2</v>
      </c>
      <c r="S1680" s="2" t="s">
        <v>485</v>
      </c>
    </row>
    <row r="1681" spans="1:19">
      <c r="A1681" s="42" t="s">
        <v>90</v>
      </c>
      <c r="B1681" s="3"/>
      <c r="C1681" s="3">
        <v>177</v>
      </c>
      <c r="D1681" s="1"/>
      <c r="E1681" s="20" t="s">
        <v>20</v>
      </c>
      <c r="F1681" s="7" t="s">
        <v>15</v>
      </c>
      <c r="G1681" s="7" t="s">
        <v>44</v>
      </c>
      <c r="H1681" s="11">
        <v>13.4</v>
      </c>
      <c r="I1681" s="8">
        <v>6.5</v>
      </c>
      <c r="J1681" s="26">
        <v>3</v>
      </c>
      <c r="K1681" s="10">
        <f t="shared" si="161"/>
        <v>0.26130000000000003</v>
      </c>
      <c r="L1681" s="4"/>
      <c r="M1681" s="17">
        <v>3</v>
      </c>
      <c r="N1681" s="18">
        <f t="shared" si="162"/>
        <v>0.26130000000000003</v>
      </c>
      <c r="O1681" s="19">
        <f t="shared" si="163"/>
        <v>0</v>
      </c>
      <c r="P1681" s="13">
        <f t="shared" si="164"/>
        <v>0</v>
      </c>
      <c r="Q1681" s="9">
        <v>6.5</v>
      </c>
      <c r="R1681" s="2">
        <v>3</v>
      </c>
      <c r="S1681" s="2" t="s">
        <v>734</v>
      </c>
    </row>
    <row r="1682" spans="1:19">
      <c r="A1682" s="42" t="s">
        <v>90</v>
      </c>
      <c r="B1682" s="3"/>
      <c r="C1682" s="3">
        <v>177</v>
      </c>
      <c r="D1682" s="1"/>
      <c r="E1682" s="20" t="s">
        <v>20</v>
      </c>
      <c r="F1682" s="7" t="s">
        <v>15</v>
      </c>
      <c r="G1682" s="7" t="s">
        <v>44</v>
      </c>
      <c r="H1682" s="11">
        <v>13.4</v>
      </c>
      <c r="I1682" s="8">
        <v>6.4</v>
      </c>
      <c r="J1682" s="26">
        <v>2</v>
      </c>
      <c r="K1682" s="10">
        <f t="shared" si="161"/>
        <v>0.17152000000000001</v>
      </c>
      <c r="L1682" s="4"/>
      <c r="M1682" s="17">
        <v>1</v>
      </c>
      <c r="N1682" s="18">
        <f t="shared" si="162"/>
        <v>8.5760000000000003E-2</v>
      </c>
      <c r="O1682" s="19">
        <f t="shared" si="163"/>
        <v>1</v>
      </c>
      <c r="P1682" s="13">
        <f t="shared" si="164"/>
        <v>8.5760000000000003E-2</v>
      </c>
      <c r="Q1682" s="9">
        <v>6.4</v>
      </c>
      <c r="R1682" s="2">
        <v>1</v>
      </c>
      <c r="S1682" s="2" t="s">
        <v>734</v>
      </c>
    </row>
    <row r="1683" spans="1:19">
      <c r="A1683" s="42" t="s">
        <v>90</v>
      </c>
      <c r="B1683" s="3"/>
      <c r="C1683" s="3">
        <v>178</v>
      </c>
      <c r="D1683" s="1"/>
      <c r="E1683" s="20" t="s">
        <v>17</v>
      </c>
      <c r="F1683" s="7" t="s">
        <v>15</v>
      </c>
      <c r="G1683" s="7" t="s">
        <v>45</v>
      </c>
      <c r="H1683" s="11">
        <v>13.6</v>
      </c>
      <c r="I1683" s="8">
        <v>12</v>
      </c>
      <c r="J1683" s="26">
        <v>3</v>
      </c>
      <c r="K1683" s="10">
        <f t="shared" si="161"/>
        <v>0.48959999999999998</v>
      </c>
      <c r="L1683" s="4" t="s">
        <v>26</v>
      </c>
      <c r="M1683" s="17"/>
      <c r="N1683" s="18">
        <f t="shared" si="162"/>
        <v>0</v>
      </c>
      <c r="O1683" s="19">
        <f t="shared" si="163"/>
        <v>3</v>
      </c>
      <c r="P1683" s="13">
        <f t="shared" si="164"/>
        <v>0.48959999999999998</v>
      </c>
      <c r="Q1683" s="9"/>
      <c r="R1683" s="2"/>
      <c r="S1683" s="2"/>
    </row>
    <row r="1684" spans="1:19">
      <c r="A1684" s="42" t="s">
        <v>90</v>
      </c>
      <c r="B1684" s="3"/>
      <c r="C1684" s="3">
        <v>179</v>
      </c>
      <c r="D1684" s="1"/>
      <c r="E1684" s="20" t="s">
        <v>17</v>
      </c>
      <c r="F1684" s="7" t="s">
        <v>15</v>
      </c>
      <c r="G1684" s="7" t="s">
        <v>33</v>
      </c>
      <c r="H1684" s="11">
        <v>15.92</v>
      </c>
      <c r="I1684" s="8">
        <v>12</v>
      </c>
      <c r="J1684" s="26">
        <v>3</v>
      </c>
      <c r="K1684" s="10">
        <f t="shared" si="161"/>
        <v>0.57311999999999996</v>
      </c>
      <c r="L1684" s="4"/>
      <c r="M1684" s="17">
        <v>3</v>
      </c>
      <c r="N1684" s="18">
        <f t="shared" si="162"/>
        <v>0.57311999999999996</v>
      </c>
      <c r="O1684" s="19">
        <f t="shared" si="163"/>
        <v>0</v>
      </c>
      <c r="P1684" s="13">
        <f t="shared" si="164"/>
        <v>0</v>
      </c>
      <c r="Q1684" s="9">
        <v>12</v>
      </c>
      <c r="R1684" s="2">
        <v>3</v>
      </c>
      <c r="S1684" s="2" t="s">
        <v>323</v>
      </c>
    </row>
    <row r="1685" spans="1:19">
      <c r="A1685" s="42" t="s">
        <v>90</v>
      </c>
      <c r="B1685" s="3"/>
      <c r="C1685" s="3">
        <v>179</v>
      </c>
      <c r="D1685" s="1"/>
      <c r="E1685" s="20" t="s">
        <v>17</v>
      </c>
      <c r="F1685" s="7" t="s">
        <v>15</v>
      </c>
      <c r="G1685" s="7" t="s">
        <v>33</v>
      </c>
      <c r="H1685" s="11">
        <v>15.92</v>
      </c>
      <c r="I1685" s="8">
        <v>10.9</v>
      </c>
      <c r="J1685" s="26">
        <v>1</v>
      </c>
      <c r="K1685" s="10">
        <f t="shared" si="161"/>
        <v>0.17352799999999999</v>
      </c>
      <c r="L1685" s="4"/>
      <c r="M1685" s="17">
        <v>1</v>
      </c>
      <c r="N1685" s="18">
        <f t="shared" si="162"/>
        <v>0.17352799999999999</v>
      </c>
      <c r="O1685" s="19">
        <f t="shared" si="163"/>
        <v>0</v>
      </c>
      <c r="P1685" s="13">
        <f t="shared" si="164"/>
        <v>0</v>
      </c>
      <c r="Q1685" s="9">
        <v>10</v>
      </c>
      <c r="R1685" s="2">
        <v>1</v>
      </c>
      <c r="S1685" s="2" t="s">
        <v>323</v>
      </c>
    </row>
    <row r="1686" spans="1:19">
      <c r="A1686" s="42" t="s">
        <v>90</v>
      </c>
      <c r="B1686" s="3"/>
      <c r="C1686" s="3">
        <v>179</v>
      </c>
      <c r="D1686" s="1"/>
      <c r="E1686" s="20" t="s">
        <v>17</v>
      </c>
      <c r="F1686" s="7" t="s">
        <v>15</v>
      </c>
      <c r="G1686" s="7" t="s">
        <v>33</v>
      </c>
      <c r="H1686" s="11">
        <v>15.92</v>
      </c>
      <c r="I1686" s="8">
        <v>10</v>
      </c>
      <c r="J1686" s="26">
        <v>1</v>
      </c>
      <c r="K1686" s="10">
        <f t="shared" si="161"/>
        <v>0.15919999999999998</v>
      </c>
      <c r="L1686" s="4"/>
      <c r="M1686" s="17">
        <v>1</v>
      </c>
      <c r="N1686" s="18">
        <f t="shared" si="162"/>
        <v>0.15919999999999998</v>
      </c>
      <c r="O1686" s="19">
        <f t="shared" si="163"/>
        <v>0</v>
      </c>
      <c r="P1686" s="13">
        <f t="shared" si="164"/>
        <v>0</v>
      </c>
      <c r="Q1686" s="9">
        <v>10</v>
      </c>
      <c r="R1686" s="2">
        <v>1</v>
      </c>
      <c r="S1686" s="2" t="s">
        <v>323</v>
      </c>
    </row>
    <row r="1687" spans="1:19">
      <c r="A1687" s="42" t="s">
        <v>90</v>
      </c>
      <c r="B1687" s="3"/>
      <c r="C1687" s="3">
        <v>179</v>
      </c>
      <c r="D1687" s="1"/>
      <c r="E1687" s="20" t="s">
        <v>17</v>
      </c>
      <c r="F1687" s="7" t="s">
        <v>15</v>
      </c>
      <c r="G1687" s="7" t="s">
        <v>33</v>
      </c>
      <c r="H1687" s="11">
        <v>15.92</v>
      </c>
      <c r="I1687" s="8">
        <v>9.5</v>
      </c>
      <c r="J1687" s="26">
        <v>1</v>
      </c>
      <c r="K1687" s="10">
        <f t="shared" si="161"/>
        <v>0.15124000000000001</v>
      </c>
      <c r="L1687" s="4"/>
      <c r="M1687" s="17">
        <v>1</v>
      </c>
      <c r="N1687" s="18">
        <f t="shared" si="162"/>
        <v>0.15124000000000001</v>
      </c>
      <c r="O1687" s="19">
        <f t="shared" si="163"/>
        <v>0</v>
      </c>
      <c r="P1687" s="13">
        <f t="shared" si="164"/>
        <v>0</v>
      </c>
      <c r="Q1687" s="9">
        <v>8.6999999999999993</v>
      </c>
      <c r="R1687" s="2">
        <v>1</v>
      </c>
      <c r="S1687" s="2" t="s">
        <v>323</v>
      </c>
    </row>
    <row r="1688" spans="1:19">
      <c r="A1688" s="42" t="s">
        <v>90</v>
      </c>
      <c r="B1688" s="3"/>
      <c r="C1688" s="3">
        <v>180</v>
      </c>
      <c r="D1688" s="1" t="s">
        <v>93</v>
      </c>
      <c r="E1688" s="20" t="s">
        <v>17</v>
      </c>
      <c r="F1688" s="7" t="s">
        <v>15</v>
      </c>
      <c r="G1688" s="7" t="s">
        <v>36</v>
      </c>
      <c r="H1688" s="11">
        <v>10.199999999999999</v>
      </c>
      <c r="I1688" s="8">
        <v>6</v>
      </c>
      <c r="J1688" s="26">
        <v>7</v>
      </c>
      <c r="K1688" s="10">
        <f t="shared" si="161"/>
        <v>0.4284</v>
      </c>
      <c r="L1688" s="4"/>
      <c r="M1688" s="17">
        <v>7</v>
      </c>
      <c r="N1688" s="18">
        <f t="shared" si="162"/>
        <v>0.4284</v>
      </c>
      <c r="O1688" s="19">
        <f t="shared" si="163"/>
        <v>0</v>
      </c>
      <c r="P1688" s="13">
        <f t="shared" si="164"/>
        <v>0</v>
      </c>
      <c r="Q1688" s="9">
        <v>6</v>
      </c>
      <c r="R1688" s="2">
        <v>7</v>
      </c>
      <c r="S1688" s="2" t="s">
        <v>196</v>
      </c>
    </row>
    <row r="1689" spans="1:19">
      <c r="A1689" s="42" t="s">
        <v>90</v>
      </c>
      <c r="B1689" s="3"/>
      <c r="C1689" s="3">
        <v>180</v>
      </c>
      <c r="D1689" s="1" t="s">
        <v>93</v>
      </c>
      <c r="E1689" s="20" t="s">
        <v>17</v>
      </c>
      <c r="F1689" s="7" t="s">
        <v>15</v>
      </c>
      <c r="G1689" s="7" t="s">
        <v>36</v>
      </c>
      <c r="H1689" s="11">
        <v>10.199999999999999</v>
      </c>
      <c r="I1689" s="8">
        <v>6.25</v>
      </c>
      <c r="J1689" s="26">
        <v>1</v>
      </c>
      <c r="K1689" s="10">
        <f t="shared" si="161"/>
        <v>6.3749999999999987E-2</v>
      </c>
      <c r="L1689" s="4"/>
      <c r="M1689" s="17">
        <v>1</v>
      </c>
      <c r="N1689" s="18">
        <f t="shared" si="162"/>
        <v>6.3749999999999987E-2</v>
      </c>
      <c r="O1689" s="19">
        <f t="shared" si="163"/>
        <v>0</v>
      </c>
      <c r="P1689" s="13">
        <f t="shared" si="164"/>
        <v>0</v>
      </c>
      <c r="Q1689" s="9">
        <v>6</v>
      </c>
      <c r="R1689" s="2">
        <v>1</v>
      </c>
      <c r="S1689" s="2" t="s">
        <v>196</v>
      </c>
    </row>
    <row r="1690" spans="1:19">
      <c r="A1690" s="42" t="s">
        <v>90</v>
      </c>
      <c r="B1690" s="3"/>
      <c r="C1690" s="3">
        <v>181</v>
      </c>
      <c r="D1690" s="1"/>
      <c r="E1690" s="12" t="s">
        <v>100</v>
      </c>
      <c r="F1690" s="7" t="s">
        <v>15</v>
      </c>
      <c r="G1690" s="7" t="s">
        <v>30</v>
      </c>
      <c r="H1690" s="11">
        <v>9.26</v>
      </c>
      <c r="I1690" s="184">
        <v>5.8</v>
      </c>
      <c r="J1690" s="26">
        <v>9</v>
      </c>
      <c r="K1690" s="10">
        <f t="shared" si="161"/>
        <v>0.48337199999999997</v>
      </c>
      <c r="L1690" s="4"/>
      <c r="M1690" s="17"/>
      <c r="N1690" s="18">
        <f t="shared" si="162"/>
        <v>0</v>
      </c>
      <c r="O1690" s="19">
        <f t="shared" si="163"/>
        <v>9</v>
      </c>
      <c r="P1690" s="13">
        <f t="shared" si="164"/>
        <v>0.48337199999999997</v>
      </c>
      <c r="Q1690" s="9"/>
      <c r="R1690" s="2"/>
      <c r="S1690" s="2"/>
    </row>
    <row r="1691" spans="1:19">
      <c r="A1691" s="42" t="s">
        <v>90</v>
      </c>
      <c r="B1691" s="3"/>
      <c r="C1691" s="3">
        <v>181</v>
      </c>
      <c r="D1691" s="1"/>
      <c r="E1691" s="12" t="s">
        <v>100</v>
      </c>
      <c r="F1691" s="7" t="s">
        <v>15</v>
      </c>
      <c r="G1691" s="7" t="s">
        <v>30</v>
      </c>
      <c r="H1691" s="11">
        <v>9.26</v>
      </c>
      <c r="I1691" s="184">
        <v>5.5</v>
      </c>
      <c r="J1691" s="26">
        <v>5</v>
      </c>
      <c r="K1691" s="10">
        <f t="shared" si="161"/>
        <v>0.25464999999999999</v>
      </c>
      <c r="L1691" s="4"/>
      <c r="M1691" s="17"/>
      <c r="N1691" s="18">
        <f t="shared" si="162"/>
        <v>0</v>
      </c>
      <c r="O1691" s="19">
        <f t="shared" si="163"/>
        <v>5</v>
      </c>
      <c r="P1691" s="13">
        <f t="shared" si="164"/>
        <v>0.25464999999999999</v>
      </c>
      <c r="Q1691" s="9"/>
      <c r="R1691" s="2"/>
      <c r="S1691" s="2"/>
    </row>
    <row r="1692" spans="1:19">
      <c r="A1692" s="42" t="s">
        <v>90</v>
      </c>
      <c r="B1692" s="3"/>
      <c r="C1692" s="3">
        <v>181</v>
      </c>
      <c r="D1692" s="1"/>
      <c r="E1692" s="12" t="s">
        <v>100</v>
      </c>
      <c r="F1692" s="7" t="s">
        <v>15</v>
      </c>
      <c r="G1692" s="7" t="s">
        <v>30</v>
      </c>
      <c r="H1692" s="11">
        <v>9.26</v>
      </c>
      <c r="I1692" s="184">
        <v>5.0999999999999996</v>
      </c>
      <c r="J1692" s="26">
        <v>1</v>
      </c>
      <c r="K1692" s="10">
        <f t="shared" si="161"/>
        <v>4.7225999999999997E-2</v>
      </c>
      <c r="L1692" s="4"/>
      <c r="M1692" s="17"/>
      <c r="N1692" s="18">
        <f t="shared" si="162"/>
        <v>0</v>
      </c>
      <c r="O1692" s="19">
        <f t="shared" si="163"/>
        <v>1</v>
      </c>
      <c r="P1692" s="13">
        <f t="shared" si="164"/>
        <v>4.7225999999999997E-2</v>
      </c>
      <c r="Q1692" s="9"/>
      <c r="R1692" s="2"/>
      <c r="S1692" s="2"/>
    </row>
    <row r="1693" spans="1:19">
      <c r="A1693" s="42" t="s">
        <v>90</v>
      </c>
      <c r="B1693" s="3"/>
      <c r="C1693" s="3">
        <v>181</v>
      </c>
      <c r="D1693" s="1"/>
      <c r="E1693" s="12" t="s">
        <v>100</v>
      </c>
      <c r="F1693" s="7" t="s">
        <v>15</v>
      </c>
      <c r="G1693" s="7" t="s">
        <v>30</v>
      </c>
      <c r="H1693" s="11">
        <v>9.26</v>
      </c>
      <c r="I1693" s="184">
        <v>4.5999999999999996</v>
      </c>
      <c r="J1693" s="26">
        <v>1</v>
      </c>
      <c r="K1693" s="10">
        <f t="shared" si="161"/>
        <v>4.2595999999999995E-2</v>
      </c>
      <c r="L1693" s="4"/>
      <c r="M1693" s="17"/>
      <c r="N1693" s="18">
        <f t="shared" si="162"/>
        <v>0</v>
      </c>
      <c r="O1693" s="19">
        <f t="shared" si="163"/>
        <v>1</v>
      </c>
      <c r="P1693" s="13">
        <f t="shared" si="164"/>
        <v>4.2595999999999995E-2</v>
      </c>
      <c r="Q1693" s="9"/>
      <c r="R1693" s="2"/>
      <c r="S1693" s="2"/>
    </row>
    <row r="1694" spans="1:19">
      <c r="A1694" s="42" t="s">
        <v>90</v>
      </c>
      <c r="B1694" s="3"/>
      <c r="C1694" s="3">
        <v>182</v>
      </c>
      <c r="D1694" s="1"/>
      <c r="E1694" s="12" t="s">
        <v>20</v>
      </c>
      <c r="F1694" s="7" t="s">
        <v>15</v>
      </c>
      <c r="G1694" s="7" t="s">
        <v>47</v>
      </c>
      <c r="H1694" s="11">
        <v>15</v>
      </c>
      <c r="I1694" s="8">
        <v>7.5</v>
      </c>
      <c r="J1694" s="26">
        <v>1</v>
      </c>
      <c r="K1694" s="10">
        <f t="shared" si="161"/>
        <v>0.1125</v>
      </c>
      <c r="L1694" s="4"/>
      <c r="M1694" s="17"/>
      <c r="N1694" s="18">
        <f t="shared" si="162"/>
        <v>0</v>
      </c>
      <c r="O1694" s="19">
        <f t="shared" si="163"/>
        <v>1</v>
      </c>
      <c r="P1694" s="13">
        <f t="shared" si="164"/>
        <v>0.1125</v>
      </c>
      <c r="Q1694" s="9"/>
      <c r="R1694" s="2"/>
      <c r="S1694" s="2"/>
    </row>
    <row r="1695" spans="1:19">
      <c r="A1695" s="42" t="s">
        <v>90</v>
      </c>
      <c r="B1695" s="3"/>
      <c r="C1695" s="3">
        <v>182</v>
      </c>
      <c r="D1695" s="1"/>
      <c r="E1695" s="12" t="s">
        <v>20</v>
      </c>
      <c r="F1695" s="7" t="s">
        <v>15</v>
      </c>
      <c r="G1695" s="7" t="s">
        <v>47</v>
      </c>
      <c r="H1695" s="11">
        <v>15</v>
      </c>
      <c r="I1695" s="8">
        <v>9.5</v>
      </c>
      <c r="J1695" s="26">
        <v>2</v>
      </c>
      <c r="K1695" s="10">
        <f t="shared" si="161"/>
        <v>0.28499999999999998</v>
      </c>
      <c r="L1695" s="4"/>
      <c r="M1695" s="17"/>
      <c r="N1695" s="18">
        <f t="shared" si="162"/>
        <v>0</v>
      </c>
      <c r="O1695" s="19">
        <f t="shared" si="163"/>
        <v>2</v>
      </c>
      <c r="P1695" s="13">
        <f t="shared" si="164"/>
        <v>0.28499999999999998</v>
      </c>
      <c r="Q1695" s="9"/>
      <c r="R1695" s="2"/>
      <c r="S1695" s="2"/>
    </row>
    <row r="1696" spans="1:19">
      <c r="A1696" s="42" t="s">
        <v>90</v>
      </c>
      <c r="B1696" s="3"/>
      <c r="C1696" s="3">
        <v>182</v>
      </c>
      <c r="D1696" s="1"/>
      <c r="E1696" s="12" t="s">
        <v>20</v>
      </c>
      <c r="F1696" s="7" t="s">
        <v>15</v>
      </c>
      <c r="G1696" s="7" t="s">
        <v>47</v>
      </c>
      <c r="H1696" s="11">
        <v>15</v>
      </c>
      <c r="I1696" s="8">
        <v>13.1</v>
      </c>
      <c r="J1696" s="26">
        <v>1</v>
      </c>
      <c r="K1696" s="10">
        <f t="shared" si="161"/>
        <v>0.19650000000000001</v>
      </c>
      <c r="L1696" s="4"/>
      <c r="M1696" s="17"/>
      <c r="N1696" s="18">
        <f t="shared" si="162"/>
        <v>0</v>
      </c>
      <c r="O1696" s="19">
        <f t="shared" si="163"/>
        <v>1</v>
      </c>
      <c r="P1696" s="13">
        <f t="shared" si="164"/>
        <v>0.19650000000000001</v>
      </c>
      <c r="Q1696" s="9"/>
      <c r="R1696" s="2"/>
      <c r="S1696" s="2"/>
    </row>
    <row r="1697" spans="1:20">
      <c r="A1697" s="42" t="s">
        <v>90</v>
      </c>
      <c r="B1697" s="3"/>
      <c r="C1697" s="3">
        <v>183</v>
      </c>
      <c r="D1697" s="1"/>
      <c r="E1697" s="12" t="s">
        <v>20</v>
      </c>
      <c r="F1697" s="7" t="s">
        <v>15</v>
      </c>
      <c r="G1697" s="7" t="s">
        <v>44</v>
      </c>
      <c r="H1697" s="11">
        <v>13.4</v>
      </c>
      <c r="I1697" s="8">
        <v>11</v>
      </c>
      <c r="J1697" s="26">
        <v>1</v>
      </c>
      <c r="K1697" s="10">
        <f t="shared" si="161"/>
        <v>0.1474</v>
      </c>
      <c r="L1697" s="4"/>
      <c r="M1697" s="17">
        <v>1</v>
      </c>
      <c r="N1697" s="18">
        <f t="shared" si="162"/>
        <v>0.1474</v>
      </c>
      <c r="O1697" s="19">
        <f t="shared" si="163"/>
        <v>0</v>
      </c>
      <c r="P1697" s="13">
        <f t="shared" si="164"/>
        <v>0</v>
      </c>
      <c r="Q1697" s="9">
        <v>10.6</v>
      </c>
      <c r="R1697" s="2">
        <v>1</v>
      </c>
      <c r="S1697" s="32" t="s">
        <v>195</v>
      </c>
    </row>
    <row r="1698" spans="1:20">
      <c r="A1698" s="42" t="s">
        <v>90</v>
      </c>
      <c r="B1698" s="3"/>
      <c r="C1698" s="3">
        <v>183</v>
      </c>
      <c r="D1698" s="1"/>
      <c r="E1698" s="12" t="s">
        <v>20</v>
      </c>
      <c r="F1698" s="7" t="s">
        <v>15</v>
      </c>
      <c r="G1698" s="7" t="s">
        <v>44</v>
      </c>
      <c r="H1698" s="11">
        <v>13.4</v>
      </c>
      <c r="I1698" s="8">
        <v>11.7</v>
      </c>
      <c r="J1698" s="26">
        <v>1</v>
      </c>
      <c r="K1698" s="10">
        <f t="shared" si="161"/>
        <v>0.15678</v>
      </c>
      <c r="L1698" s="4"/>
      <c r="M1698" s="17">
        <v>1</v>
      </c>
      <c r="N1698" s="18">
        <f t="shared" si="162"/>
        <v>0.15678</v>
      </c>
      <c r="O1698" s="19">
        <f t="shared" si="163"/>
        <v>0</v>
      </c>
      <c r="P1698" s="13">
        <f t="shared" si="164"/>
        <v>0</v>
      </c>
      <c r="Q1698" s="9">
        <v>11</v>
      </c>
      <c r="R1698" s="2">
        <v>1</v>
      </c>
      <c r="S1698" s="2" t="s">
        <v>485</v>
      </c>
    </row>
    <row r="1699" spans="1:20">
      <c r="A1699" s="42" t="s">
        <v>90</v>
      </c>
      <c r="B1699" s="3"/>
      <c r="C1699" s="3">
        <v>184</v>
      </c>
      <c r="D1699" s="1"/>
      <c r="E1699" s="12" t="s">
        <v>20</v>
      </c>
      <c r="F1699" s="7" t="s">
        <v>15</v>
      </c>
      <c r="G1699" s="7" t="s">
        <v>44</v>
      </c>
      <c r="H1699" s="11">
        <v>13.4</v>
      </c>
      <c r="I1699" s="8">
        <v>12</v>
      </c>
      <c r="J1699" s="26">
        <v>3</v>
      </c>
      <c r="K1699" s="10">
        <f t="shared" si="161"/>
        <v>0.48240000000000005</v>
      </c>
      <c r="L1699" s="4"/>
      <c r="M1699" s="17">
        <v>3</v>
      </c>
      <c r="N1699" s="18">
        <f t="shared" si="162"/>
        <v>0.48240000000000005</v>
      </c>
      <c r="O1699" s="19">
        <f t="shared" si="163"/>
        <v>0</v>
      </c>
      <c r="P1699" s="13">
        <f t="shared" si="164"/>
        <v>0</v>
      </c>
      <c r="Q1699" s="9">
        <v>10.6</v>
      </c>
      <c r="R1699" s="2">
        <v>3</v>
      </c>
      <c r="S1699" s="32" t="s">
        <v>195</v>
      </c>
    </row>
    <row r="1700" spans="1:20">
      <c r="A1700" s="42" t="s">
        <v>90</v>
      </c>
      <c r="B1700" s="3"/>
      <c r="C1700" s="3">
        <v>185</v>
      </c>
      <c r="D1700" s="1"/>
      <c r="E1700" s="12" t="s">
        <v>94</v>
      </c>
      <c r="F1700" s="7" t="s">
        <v>15</v>
      </c>
      <c r="G1700" s="7" t="s">
        <v>30</v>
      </c>
      <c r="H1700" s="11">
        <v>9.26</v>
      </c>
      <c r="I1700" s="184">
        <v>10.5</v>
      </c>
      <c r="J1700" s="56">
        <v>1</v>
      </c>
      <c r="K1700" s="10">
        <f t="shared" si="161"/>
        <v>9.7230000000000011E-2</v>
      </c>
      <c r="L1700" s="4"/>
      <c r="M1700" s="17">
        <v>1</v>
      </c>
      <c r="N1700" s="18">
        <f t="shared" si="162"/>
        <v>9.7230000000000011E-2</v>
      </c>
      <c r="O1700" s="19">
        <f t="shared" si="163"/>
        <v>0</v>
      </c>
      <c r="P1700" s="13">
        <f t="shared" si="164"/>
        <v>0</v>
      </c>
      <c r="Q1700" s="9">
        <v>9</v>
      </c>
      <c r="R1700" s="35">
        <v>1</v>
      </c>
      <c r="S1700" s="2" t="s">
        <v>739</v>
      </c>
    </row>
    <row r="1701" spans="1:20">
      <c r="A1701" s="42" t="s">
        <v>90</v>
      </c>
      <c r="B1701" s="3"/>
      <c r="C1701" s="3">
        <v>185</v>
      </c>
      <c r="D1701" s="1"/>
      <c r="E1701" s="12" t="s">
        <v>94</v>
      </c>
      <c r="F1701" s="7" t="s">
        <v>15</v>
      </c>
      <c r="G1701" s="7" t="s">
        <v>30</v>
      </c>
      <c r="H1701" s="11">
        <v>9.26</v>
      </c>
      <c r="I1701" s="184">
        <v>11.5</v>
      </c>
      <c r="J1701" s="56">
        <v>1</v>
      </c>
      <c r="K1701" s="10">
        <f t="shared" si="161"/>
        <v>0.10649</v>
      </c>
      <c r="L1701" s="4"/>
      <c r="M1701" s="17">
        <v>1</v>
      </c>
      <c r="N1701" s="18">
        <f t="shared" si="162"/>
        <v>0.10649</v>
      </c>
      <c r="O1701" s="19">
        <f t="shared" si="163"/>
        <v>0</v>
      </c>
      <c r="P1701" s="13">
        <f t="shared" si="164"/>
        <v>0</v>
      </c>
      <c r="Q1701" s="9">
        <v>9</v>
      </c>
      <c r="R1701" s="35">
        <v>1</v>
      </c>
      <c r="S1701" s="2" t="s">
        <v>739</v>
      </c>
    </row>
    <row r="1702" spans="1:20">
      <c r="A1702" s="42" t="s">
        <v>90</v>
      </c>
      <c r="B1702" s="3"/>
      <c r="C1702" s="3">
        <v>186</v>
      </c>
      <c r="D1702" s="1"/>
      <c r="E1702" s="12" t="s">
        <v>19</v>
      </c>
      <c r="F1702" s="7" t="s">
        <v>14</v>
      </c>
      <c r="G1702" s="7" t="s">
        <v>22</v>
      </c>
      <c r="H1702" s="11">
        <v>10.73</v>
      </c>
      <c r="I1702" s="8">
        <v>10.1</v>
      </c>
      <c r="J1702" s="26">
        <v>2</v>
      </c>
      <c r="K1702" s="10">
        <f t="shared" si="161"/>
        <v>0.21674600000000002</v>
      </c>
      <c r="L1702" s="4"/>
      <c r="M1702" s="17">
        <v>2</v>
      </c>
      <c r="N1702" s="18">
        <f t="shared" si="162"/>
        <v>0.21674600000000002</v>
      </c>
      <c r="O1702" s="19">
        <f t="shared" si="163"/>
        <v>0</v>
      </c>
      <c r="P1702" s="13">
        <f t="shared" si="164"/>
        <v>0</v>
      </c>
      <c r="Q1702" s="9">
        <v>6.5</v>
      </c>
      <c r="R1702" s="2">
        <v>2</v>
      </c>
      <c r="S1702" s="32" t="s">
        <v>279</v>
      </c>
    </row>
    <row r="1703" spans="1:20">
      <c r="A1703" s="42" t="s">
        <v>90</v>
      </c>
      <c r="B1703" s="3"/>
      <c r="C1703" s="3">
        <v>186</v>
      </c>
      <c r="D1703" s="1"/>
      <c r="E1703" s="12" t="s">
        <v>19</v>
      </c>
      <c r="F1703" s="7" t="s">
        <v>14</v>
      </c>
      <c r="G1703" s="7" t="s">
        <v>22</v>
      </c>
      <c r="H1703" s="11">
        <v>10.73</v>
      </c>
      <c r="I1703" s="8">
        <v>8.5</v>
      </c>
      <c r="J1703" s="26">
        <v>1</v>
      </c>
      <c r="K1703" s="10">
        <f t="shared" si="161"/>
        <v>9.1204999999999994E-2</v>
      </c>
      <c r="L1703" s="4"/>
      <c r="M1703" s="17">
        <v>1</v>
      </c>
      <c r="N1703" s="18">
        <f t="shared" si="162"/>
        <v>9.1204999999999994E-2</v>
      </c>
      <c r="O1703" s="19">
        <f t="shared" si="163"/>
        <v>0</v>
      </c>
      <c r="P1703" s="13">
        <f t="shared" si="164"/>
        <v>0</v>
      </c>
      <c r="Q1703" s="9">
        <v>6.5</v>
      </c>
      <c r="R1703" s="35">
        <v>1</v>
      </c>
      <c r="S1703" s="32" t="s">
        <v>279</v>
      </c>
    </row>
    <row r="1704" spans="1:20">
      <c r="A1704" s="42" t="s">
        <v>90</v>
      </c>
      <c r="B1704" s="3"/>
      <c r="C1704" s="3">
        <v>187</v>
      </c>
      <c r="D1704" s="1" t="s">
        <v>93</v>
      </c>
      <c r="E1704" s="12" t="s">
        <v>20</v>
      </c>
      <c r="F1704" s="7" t="s">
        <v>15</v>
      </c>
      <c r="G1704" s="7" t="s">
        <v>30</v>
      </c>
      <c r="H1704" s="11">
        <v>9.26</v>
      </c>
      <c r="I1704" s="184">
        <v>12</v>
      </c>
      <c r="J1704" s="26">
        <v>2</v>
      </c>
      <c r="K1704" s="10">
        <f t="shared" si="161"/>
        <v>0.22224000000000002</v>
      </c>
      <c r="L1704" s="4"/>
      <c r="M1704" s="17">
        <v>2</v>
      </c>
      <c r="N1704" s="18">
        <f t="shared" si="162"/>
        <v>0.22224000000000002</v>
      </c>
      <c r="O1704" s="19">
        <f t="shared" si="163"/>
        <v>0</v>
      </c>
      <c r="P1704" s="13">
        <f t="shared" si="164"/>
        <v>0</v>
      </c>
      <c r="Q1704" s="111" t="s">
        <v>367</v>
      </c>
      <c r="R1704" s="2"/>
      <c r="S1704" s="50">
        <v>12</v>
      </c>
      <c r="T1704">
        <v>2</v>
      </c>
    </row>
    <row r="1705" spans="1:20">
      <c r="A1705" s="42" t="s">
        <v>90</v>
      </c>
      <c r="B1705" s="3"/>
      <c r="C1705" s="3">
        <v>188</v>
      </c>
      <c r="D1705" s="1" t="s">
        <v>93</v>
      </c>
      <c r="E1705" s="12" t="s">
        <v>20</v>
      </c>
      <c r="F1705" s="7" t="s">
        <v>15</v>
      </c>
      <c r="G1705" s="7" t="s">
        <v>101</v>
      </c>
      <c r="H1705" s="11">
        <v>12.2</v>
      </c>
      <c r="I1705" s="8">
        <v>10.5</v>
      </c>
      <c r="J1705" s="26">
        <v>1</v>
      </c>
      <c r="K1705" s="10">
        <f t="shared" si="161"/>
        <v>0.12809999999999999</v>
      </c>
      <c r="L1705" s="4"/>
      <c r="M1705" s="17"/>
      <c r="N1705" s="18">
        <f t="shared" si="162"/>
        <v>0</v>
      </c>
      <c r="O1705" s="19">
        <f t="shared" si="163"/>
        <v>1</v>
      </c>
      <c r="P1705" s="13">
        <f t="shared" si="164"/>
        <v>0.12809999999999999</v>
      </c>
      <c r="Q1705" s="9"/>
      <c r="R1705" s="2"/>
      <c r="S1705" s="2"/>
    </row>
    <row r="1706" spans="1:20">
      <c r="A1706" s="42" t="s">
        <v>90</v>
      </c>
      <c r="B1706" s="3"/>
      <c r="C1706" s="3">
        <v>188</v>
      </c>
      <c r="D1706" s="1" t="s">
        <v>93</v>
      </c>
      <c r="E1706" s="12" t="s">
        <v>20</v>
      </c>
      <c r="F1706" s="7" t="s">
        <v>15</v>
      </c>
      <c r="G1706" s="7" t="s">
        <v>101</v>
      </c>
      <c r="H1706" s="11">
        <v>12.2</v>
      </c>
      <c r="I1706" s="8">
        <v>11.5</v>
      </c>
      <c r="J1706" s="26">
        <v>4</v>
      </c>
      <c r="K1706" s="10">
        <f t="shared" si="161"/>
        <v>0.56119999999999992</v>
      </c>
      <c r="L1706" s="4"/>
      <c r="M1706" s="17"/>
      <c r="N1706" s="18">
        <f t="shared" si="162"/>
        <v>0</v>
      </c>
      <c r="O1706" s="19">
        <f t="shared" si="163"/>
        <v>4</v>
      </c>
      <c r="P1706" s="13">
        <f t="shared" si="164"/>
        <v>0.56119999999999992</v>
      </c>
      <c r="Q1706" s="9"/>
      <c r="R1706" s="2"/>
      <c r="S1706" s="2"/>
    </row>
    <row r="1707" spans="1:20">
      <c r="A1707" s="42" t="s">
        <v>90</v>
      </c>
      <c r="B1707" s="3"/>
      <c r="C1707" s="3">
        <v>189</v>
      </c>
      <c r="D1707" s="1" t="s">
        <v>93</v>
      </c>
      <c r="E1707" s="12" t="s">
        <v>89</v>
      </c>
      <c r="F1707" s="7" t="s">
        <v>15</v>
      </c>
      <c r="G1707" s="7" t="s">
        <v>30</v>
      </c>
      <c r="H1707" s="11">
        <v>9.26</v>
      </c>
      <c r="I1707" s="184">
        <v>9.6999999999999993</v>
      </c>
      <c r="J1707" s="26">
        <v>2</v>
      </c>
      <c r="K1707" s="10">
        <f t="shared" si="161"/>
        <v>0.17964399999999997</v>
      </c>
      <c r="L1707" s="4"/>
      <c r="M1707" s="17">
        <v>2</v>
      </c>
      <c r="N1707" s="18">
        <f t="shared" si="162"/>
        <v>0.17964399999999997</v>
      </c>
      <c r="O1707" s="19">
        <f t="shared" si="163"/>
        <v>0</v>
      </c>
      <c r="P1707" s="13">
        <f t="shared" si="164"/>
        <v>0</v>
      </c>
      <c r="Q1707" s="9">
        <v>9.5</v>
      </c>
      <c r="R1707" s="35">
        <v>2</v>
      </c>
      <c r="S1707" s="2" t="s">
        <v>212</v>
      </c>
    </row>
    <row r="1708" spans="1:20">
      <c r="A1708" s="42" t="s">
        <v>90</v>
      </c>
      <c r="B1708" s="3"/>
      <c r="C1708" s="3">
        <v>189</v>
      </c>
      <c r="D1708" s="1" t="s">
        <v>93</v>
      </c>
      <c r="E1708" s="12" t="s">
        <v>89</v>
      </c>
      <c r="F1708" s="7" t="s">
        <v>15</v>
      </c>
      <c r="G1708" s="7" t="s">
        <v>30</v>
      </c>
      <c r="H1708" s="11">
        <v>9.26</v>
      </c>
      <c r="I1708" s="184">
        <v>9.5</v>
      </c>
      <c r="J1708" s="26">
        <v>1</v>
      </c>
      <c r="K1708" s="10">
        <f t="shared" si="161"/>
        <v>8.7969999999999993E-2</v>
      </c>
      <c r="L1708" s="4"/>
      <c r="M1708" s="17">
        <v>1</v>
      </c>
      <c r="N1708" s="18">
        <f t="shared" si="162"/>
        <v>8.7969999999999993E-2</v>
      </c>
      <c r="O1708" s="19">
        <f t="shared" si="163"/>
        <v>0</v>
      </c>
      <c r="P1708" s="13">
        <f t="shared" si="164"/>
        <v>0</v>
      </c>
      <c r="Q1708" s="9">
        <v>9.5</v>
      </c>
      <c r="R1708" s="35">
        <v>1</v>
      </c>
      <c r="S1708" s="2" t="s">
        <v>212</v>
      </c>
    </row>
    <row r="1709" spans="1:20">
      <c r="A1709" s="42" t="s">
        <v>90</v>
      </c>
      <c r="B1709" s="3"/>
      <c r="C1709" s="3">
        <v>189</v>
      </c>
      <c r="D1709" s="1" t="s">
        <v>93</v>
      </c>
      <c r="E1709" s="12" t="s">
        <v>89</v>
      </c>
      <c r="F1709" s="7" t="s">
        <v>15</v>
      </c>
      <c r="G1709" s="7" t="s">
        <v>30</v>
      </c>
      <c r="H1709" s="11">
        <v>9.26</v>
      </c>
      <c r="I1709" s="184">
        <v>9</v>
      </c>
      <c r="J1709" s="26">
        <v>1</v>
      </c>
      <c r="K1709" s="10">
        <f t="shared" si="161"/>
        <v>8.3339999999999997E-2</v>
      </c>
      <c r="L1709" s="4"/>
      <c r="M1709" s="17">
        <v>1</v>
      </c>
      <c r="N1709" s="18">
        <f t="shared" si="162"/>
        <v>8.3339999999999997E-2</v>
      </c>
      <c r="O1709" s="19">
        <f t="shared" si="163"/>
        <v>0</v>
      </c>
      <c r="P1709" s="13">
        <f t="shared" si="164"/>
        <v>0</v>
      </c>
      <c r="Q1709" s="111" t="s">
        <v>367</v>
      </c>
      <c r="R1709" s="2"/>
      <c r="S1709" s="50">
        <v>8</v>
      </c>
      <c r="T1709">
        <v>1</v>
      </c>
    </row>
    <row r="1710" spans="1:20">
      <c r="A1710" s="42" t="s">
        <v>90</v>
      </c>
      <c r="B1710" s="3"/>
      <c r="C1710" s="3">
        <v>189</v>
      </c>
      <c r="D1710" s="1" t="s">
        <v>93</v>
      </c>
      <c r="E1710" s="12" t="s">
        <v>89</v>
      </c>
      <c r="F1710" s="7" t="s">
        <v>15</v>
      </c>
      <c r="G1710" s="7" t="s">
        <v>30</v>
      </c>
      <c r="H1710" s="11">
        <v>9.26</v>
      </c>
      <c r="I1710" s="184">
        <v>8.3000000000000007</v>
      </c>
      <c r="J1710" s="26">
        <v>1</v>
      </c>
      <c r="K1710" s="10">
        <f t="shared" si="161"/>
        <v>7.685800000000001E-2</v>
      </c>
      <c r="L1710" s="4"/>
      <c r="M1710" s="17">
        <v>1</v>
      </c>
      <c r="N1710" s="18">
        <f t="shared" si="162"/>
        <v>7.685800000000001E-2</v>
      </c>
      <c r="O1710" s="19">
        <f t="shared" si="163"/>
        <v>0</v>
      </c>
      <c r="P1710" s="13">
        <f t="shared" si="164"/>
        <v>0</v>
      </c>
      <c r="Q1710" s="111" t="s">
        <v>367</v>
      </c>
      <c r="R1710" s="2"/>
      <c r="S1710" s="50">
        <v>8</v>
      </c>
      <c r="T1710">
        <v>1</v>
      </c>
    </row>
    <row r="1711" spans="1:20">
      <c r="A1711" s="42" t="s">
        <v>90</v>
      </c>
      <c r="B1711" s="3"/>
      <c r="C1711" s="3">
        <v>189</v>
      </c>
      <c r="D1711" s="1" t="s">
        <v>93</v>
      </c>
      <c r="E1711" s="12" t="s">
        <v>89</v>
      </c>
      <c r="F1711" s="7" t="s">
        <v>15</v>
      </c>
      <c r="G1711" s="7" t="s">
        <v>30</v>
      </c>
      <c r="H1711" s="11">
        <v>9.26</v>
      </c>
      <c r="I1711" s="184">
        <v>8</v>
      </c>
      <c r="J1711" s="26">
        <v>1</v>
      </c>
      <c r="K1711" s="10">
        <f t="shared" si="161"/>
        <v>7.4079999999999993E-2</v>
      </c>
      <c r="L1711" s="4"/>
      <c r="M1711" s="17">
        <v>1</v>
      </c>
      <c r="N1711" s="18">
        <f t="shared" si="162"/>
        <v>7.4079999999999993E-2</v>
      </c>
      <c r="O1711" s="19">
        <f t="shared" si="163"/>
        <v>0</v>
      </c>
      <c r="P1711" s="13">
        <f t="shared" si="164"/>
        <v>0</v>
      </c>
      <c r="Q1711" s="111" t="s">
        <v>367</v>
      </c>
      <c r="R1711" s="2"/>
      <c r="S1711" s="50">
        <v>8</v>
      </c>
      <c r="T1711">
        <v>1</v>
      </c>
    </row>
    <row r="1712" spans="1:20">
      <c r="A1712" s="42" t="s">
        <v>90</v>
      </c>
      <c r="B1712" s="3"/>
      <c r="C1712" s="3">
        <v>189</v>
      </c>
      <c r="D1712" s="1" t="s">
        <v>93</v>
      </c>
      <c r="E1712" s="12" t="s">
        <v>89</v>
      </c>
      <c r="F1712" s="7" t="s">
        <v>15</v>
      </c>
      <c r="G1712" s="7" t="s">
        <v>30</v>
      </c>
      <c r="H1712" s="11">
        <v>9.26</v>
      </c>
      <c r="I1712" s="184">
        <v>6.7</v>
      </c>
      <c r="J1712" s="26">
        <v>1</v>
      </c>
      <c r="K1712" s="10">
        <f t="shared" si="161"/>
        <v>6.2042E-2</v>
      </c>
      <c r="L1712" s="4"/>
      <c r="M1712" s="17">
        <v>1</v>
      </c>
      <c r="N1712" s="18">
        <f t="shared" si="162"/>
        <v>6.2042E-2</v>
      </c>
      <c r="O1712" s="19">
        <f t="shared" si="163"/>
        <v>0</v>
      </c>
      <c r="P1712" s="13">
        <f t="shared" si="164"/>
        <v>0</v>
      </c>
      <c r="Q1712" s="159">
        <v>6</v>
      </c>
      <c r="R1712" s="35">
        <v>1</v>
      </c>
      <c r="S1712" s="2" t="s">
        <v>758</v>
      </c>
    </row>
    <row r="1713" spans="1:19">
      <c r="A1713" s="42" t="s">
        <v>90</v>
      </c>
      <c r="B1713" s="3"/>
      <c r="C1713" s="3">
        <v>189</v>
      </c>
      <c r="D1713" s="1" t="s">
        <v>93</v>
      </c>
      <c r="E1713" s="12" t="s">
        <v>89</v>
      </c>
      <c r="F1713" s="7" t="s">
        <v>15</v>
      </c>
      <c r="G1713" s="7" t="s">
        <v>30</v>
      </c>
      <c r="H1713" s="11">
        <v>9.26</v>
      </c>
      <c r="I1713" s="184">
        <v>10.9</v>
      </c>
      <c r="J1713" s="26">
        <v>2</v>
      </c>
      <c r="K1713" s="10">
        <f t="shared" si="161"/>
        <v>0.20186799999999999</v>
      </c>
      <c r="L1713" s="4"/>
      <c r="M1713" s="17">
        <v>2</v>
      </c>
      <c r="N1713" s="18">
        <f t="shared" si="162"/>
        <v>0.20186799999999999</v>
      </c>
      <c r="O1713" s="19">
        <f t="shared" si="163"/>
        <v>0</v>
      </c>
      <c r="P1713" s="13">
        <f t="shared" si="164"/>
        <v>0</v>
      </c>
      <c r="Q1713" s="9">
        <v>10.5</v>
      </c>
      <c r="R1713" s="2">
        <v>2</v>
      </c>
      <c r="S1713" s="2" t="s">
        <v>212</v>
      </c>
    </row>
    <row r="1714" spans="1:19">
      <c r="A1714" s="42" t="s">
        <v>90</v>
      </c>
      <c r="B1714" s="3"/>
      <c r="C1714" s="3">
        <v>190</v>
      </c>
      <c r="D1714" s="1"/>
      <c r="E1714" s="12" t="s">
        <v>19</v>
      </c>
      <c r="F1714" s="7" t="s">
        <v>14</v>
      </c>
      <c r="G1714" s="7" t="s">
        <v>41</v>
      </c>
      <c r="H1714" s="11">
        <v>11.8</v>
      </c>
      <c r="I1714" s="8">
        <v>12</v>
      </c>
      <c r="J1714" s="26">
        <v>3</v>
      </c>
      <c r="K1714" s="10">
        <f t="shared" si="161"/>
        <v>0.42480000000000007</v>
      </c>
      <c r="L1714" s="4"/>
      <c r="M1714" s="17">
        <v>3</v>
      </c>
      <c r="N1714" s="18">
        <f t="shared" si="162"/>
        <v>0.42480000000000001</v>
      </c>
      <c r="O1714" s="19">
        <f t="shared" si="163"/>
        <v>0</v>
      </c>
      <c r="P1714" s="13">
        <f t="shared" si="164"/>
        <v>0</v>
      </c>
      <c r="Q1714" s="9">
        <v>12</v>
      </c>
      <c r="R1714" s="2">
        <v>3</v>
      </c>
      <c r="S1714" s="2" t="s">
        <v>192</v>
      </c>
    </row>
    <row r="1715" spans="1:19">
      <c r="A1715" s="42" t="s">
        <v>90</v>
      </c>
      <c r="B1715" s="3"/>
      <c r="C1715" s="3">
        <v>190</v>
      </c>
      <c r="D1715" s="1"/>
      <c r="E1715" s="12" t="s">
        <v>19</v>
      </c>
      <c r="F1715" s="7" t="s">
        <v>14</v>
      </c>
      <c r="G1715" s="7" t="s">
        <v>41</v>
      </c>
      <c r="H1715" s="11">
        <v>11.8</v>
      </c>
      <c r="I1715" s="8">
        <v>9.6999999999999993</v>
      </c>
      <c r="J1715" s="26">
        <v>1</v>
      </c>
      <c r="K1715" s="10">
        <f t="shared" si="161"/>
        <v>0.11445999999999999</v>
      </c>
      <c r="L1715" s="4"/>
      <c r="M1715" s="17">
        <v>1</v>
      </c>
      <c r="N1715" s="18">
        <f t="shared" si="162"/>
        <v>0.11445999999999999</v>
      </c>
      <c r="O1715" s="19">
        <f t="shared" si="163"/>
        <v>0</v>
      </c>
      <c r="P1715" s="13">
        <f t="shared" si="164"/>
        <v>0</v>
      </c>
      <c r="Q1715" s="9">
        <v>8.25</v>
      </c>
      <c r="R1715" s="2">
        <v>1</v>
      </c>
      <c r="S1715" s="2" t="s">
        <v>192</v>
      </c>
    </row>
    <row r="1716" spans="1:19">
      <c r="A1716" s="42" t="s">
        <v>90</v>
      </c>
      <c r="B1716" s="3"/>
      <c r="C1716" s="3">
        <v>190</v>
      </c>
      <c r="D1716" s="1"/>
      <c r="E1716" s="12" t="s">
        <v>19</v>
      </c>
      <c r="F1716" s="7" t="s">
        <v>14</v>
      </c>
      <c r="G1716" s="7" t="s">
        <v>41</v>
      </c>
      <c r="H1716" s="11">
        <v>11.8</v>
      </c>
      <c r="I1716" s="8">
        <v>10</v>
      </c>
      <c r="J1716" s="26">
        <v>1</v>
      </c>
      <c r="K1716" s="10">
        <f t="shared" si="161"/>
        <v>0.11799999999999999</v>
      </c>
      <c r="L1716" s="4"/>
      <c r="M1716" s="17">
        <v>1</v>
      </c>
      <c r="N1716" s="18">
        <f t="shared" si="162"/>
        <v>0.11799999999999999</v>
      </c>
      <c r="O1716" s="19">
        <f t="shared" si="163"/>
        <v>0</v>
      </c>
      <c r="P1716" s="13">
        <f t="shared" si="164"/>
        <v>0</v>
      </c>
      <c r="Q1716" s="9">
        <v>10</v>
      </c>
      <c r="R1716" s="2">
        <v>1</v>
      </c>
      <c r="S1716" s="2" t="s">
        <v>192</v>
      </c>
    </row>
    <row r="1717" spans="1:19">
      <c r="A1717" s="42" t="s">
        <v>90</v>
      </c>
      <c r="B1717" s="3"/>
      <c r="C1717" s="3">
        <v>191</v>
      </c>
      <c r="D1717" s="1" t="s">
        <v>102</v>
      </c>
      <c r="E1717" s="12" t="s">
        <v>76</v>
      </c>
      <c r="F1717" s="7" t="s">
        <v>15</v>
      </c>
      <c r="G1717" s="7" t="s">
        <v>44</v>
      </c>
      <c r="H1717" s="11">
        <v>13.4</v>
      </c>
      <c r="I1717" s="8">
        <v>9.9</v>
      </c>
      <c r="J1717" s="26">
        <v>1</v>
      </c>
      <c r="K1717" s="10">
        <f t="shared" ref="K1717:K1756" si="165">(H1717*I1717*J1717/1000)</f>
        <v>0.13266</v>
      </c>
      <c r="L1717" s="4"/>
      <c r="M1717" s="17">
        <v>1</v>
      </c>
      <c r="N1717" s="18">
        <f t="shared" ref="N1717:N1756" si="166">I1717*M1717*H1717/1000</f>
        <v>0.13266</v>
      </c>
      <c r="O1717" s="19">
        <f t="shared" ref="O1717:O1756" si="167">J1717-M1717</f>
        <v>0</v>
      </c>
      <c r="P1717" s="13">
        <f t="shared" ref="P1717:P1756" si="168">I1717*O1717*H1717/1000</f>
        <v>0</v>
      </c>
      <c r="Q1717" s="9">
        <v>8.1</v>
      </c>
      <c r="R1717" s="2">
        <v>1</v>
      </c>
      <c r="S1717" s="2" t="s">
        <v>485</v>
      </c>
    </row>
    <row r="1718" spans="1:19">
      <c r="A1718" s="42" t="s">
        <v>90</v>
      </c>
      <c r="B1718" s="3"/>
      <c r="C1718" s="3">
        <v>191</v>
      </c>
      <c r="D1718" s="1" t="s">
        <v>102</v>
      </c>
      <c r="E1718" s="12" t="s">
        <v>76</v>
      </c>
      <c r="F1718" s="7" t="s">
        <v>15</v>
      </c>
      <c r="G1718" s="7" t="s">
        <v>44</v>
      </c>
      <c r="H1718" s="11">
        <v>13.4</v>
      </c>
      <c r="I1718" s="8">
        <v>9.5</v>
      </c>
      <c r="J1718" s="26">
        <v>1</v>
      </c>
      <c r="K1718" s="10">
        <f t="shared" si="165"/>
        <v>0.1273</v>
      </c>
      <c r="L1718" s="4"/>
      <c r="M1718" s="17">
        <v>1</v>
      </c>
      <c r="N1718" s="18">
        <f t="shared" si="166"/>
        <v>0.1273</v>
      </c>
      <c r="O1718" s="19">
        <f t="shared" si="167"/>
        <v>0</v>
      </c>
      <c r="P1718" s="13">
        <f t="shared" si="168"/>
        <v>0</v>
      </c>
      <c r="Q1718" s="9">
        <v>8.1</v>
      </c>
      <c r="R1718" s="2">
        <v>1</v>
      </c>
      <c r="S1718" s="2" t="s">
        <v>485</v>
      </c>
    </row>
    <row r="1719" spans="1:19">
      <c r="A1719" s="42" t="s">
        <v>90</v>
      </c>
      <c r="B1719" s="3"/>
      <c r="C1719" s="3">
        <v>192</v>
      </c>
      <c r="D1719" s="1"/>
      <c r="E1719" s="20" t="s">
        <v>17</v>
      </c>
      <c r="F1719" s="7" t="s">
        <v>15</v>
      </c>
      <c r="G1719" s="7" t="s">
        <v>44</v>
      </c>
      <c r="H1719" s="11">
        <v>13.4</v>
      </c>
      <c r="I1719" s="8">
        <v>10</v>
      </c>
      <c r="J1719" s="26">
        <v>3</v>
      </c>
      <c r="K1719" s="10">
        <f t="shared" si="165"/>
        <v>0.40200000000000002</v>
      </c>
      <c r="L1719" s="4"/>
      <c r="M1719" s="17">
        <v>3</v>
      </c>
      <c r="N1719" s="18">
        <f t="shared" si="166"/>
        <v>0.40200000000000002</v>
      </c>
      <c r="O1719" s="19">
        <f t="shared" si="167"/>
        <v>0</v>
      </c>
      <c r="P1719" s="13">
        <f t="shared" si="168"/>
        <v>0</v>
      </c>
      <c r="Q1719" s="9">
        <v>8.6</v>
      </c>
      <c r="R1719" s="2">
        <v>3</v>
      </c>
      <c r="S1719" s="2" t="s">
        <v>197</v>
      </c>
    </row>
    <row r="1720" spans="1:19">
      <c r="A1720" s="42" t="s">
        <v>90</v>
      </c>
      <c r="B1720" s="3"/>
      <c r="C1720" s="3">
        <v>192</v>
      </c>
      <c r="D1720" s="1"/>
      <c r="E1720" s="20" t="s">
        <v>17</v>
      </c>
      <c r="F1720" s="7" t="s">
        <v>15</v>
      </c>
      <c r="G1720" s="7" t="s">
        <v>44</v>
      </c>
      <c r="H1720" s="11">
        <v>13.4</v>
      </c>
      <c r="I1720" s="8">
        <v>8.8000000000000007</v>
      </c>
      <c r="J1720" s="26">
        <v>1</v>
      </c>
      <c r="K1720" s="10">
        <f t="shared" si="165"/>
        <v>0.11792000000000001</v>
      </c>
      <c r="L1720" s="4"/>
      <c r="M1720" s="17">
        <v>1</v>
      </c>
      <c r="N1720" s="18">
        <f t="shared" si="166"/>
        <v>0.11792000000000001</v>
      </c>
      <c r="O1720" s="19">
        <f t="shared" si="167"/>
        <v>0</v>
      </c>
      <c r="P1720" s="13">
        <f t="shared" si="168"/>
        <v>0</v>
      </c>
      <c r="Q1720" s="9">
        <v>8.6</v>
      </c>
      <c r="R1720" s="2">
        <v>1</v>
      </c>
      <c r="S1720" s="2" t="s">
        <v>197</v>
      </c>
    </row>
    <row r="1721" spans="1:19">
      <c r="A1721" s="42" t="s">
        <v>90</v>
      </c>
      <c r="B1721" s="3"/>
      <c r="C1721" s="3">
        <v>193</v>
      </c>
      <c r="D1721" s="1"/>
      <c r="E1721" s="20" t="s">
        <v>94</v>
      </c>
      <c r="F1721" s="7" t="s">
        <v>15</v>
      </c>
      <c r="G1721" s="7" t="s">
        <v>99</v>
      </c>
      <c r="H1721" s="11">
        <v>18.2</v>
      </c>
      <c r="I1721" s="8">
        <v>8</v>
      </c>
      <c r="J1721" s="26">
        <v>2</v>
      </c>
      <c r="K1721" s="10">
        <f t="shared" si="165"/>
        <v>0.29120000000000001</v>
      </c>
      <c r="L1721" s="4"/>
      <c r="M1721" s="17"/>
      <c r="N1721" s="18">
        <f t="shared" si="166"/>
        <v>0</v>
      </c>
      <c r="O1721" s="19">
        <f t="shared" si="167"/>
        <v>2</v>
      </c>
      <c r="P1721" s="13">
        <f t="shared" si="168"/>
        <v>0.29120000000000001</v>
      </c>
      <c r="Q1721" s="9"/>
      <c r="R1721" s="2"/>
      <c r="S1721" s="2"/>
    </row>
    <row r="1722" spans="1:19">
      <c r="A1722" s="42" t="s">
        <v>90</v>
      </c>
      <c r="B1722" s="3"/>
      <c r="C1722" s="3">
        <v>193</v>
      </c>
      <c r="D1722" s="1"/>
      <c r="E1722" s="20" t="s">
        <v>94</v>
      </c>
      <c r="F1722" s="7" t="s">
        <v>15</v>
      </c>
      <c r="G1722" s="7" t="s">
        <v>99</v>
      </c>
      <c r="H1722" s="11">
        <v>18.2</v>
      </c>
      <c r="I1722" s="8">
        <v>8.3000000000000007</v>
      </c>
      <c r="J1722" s="26">
        <v>7</v>
      </c>
      <c r="K1722" s="10">
        <f t="shared" si="165"/>
        <v>1.05742</v>
      </c>
      <c r="L1722" s="4"/>
      <c r="M1722" s="17"/>
      <c r="N1722" s="18">
        <f t="shared" si="166"/>
        <v>0</v>
      </c>
      <c r="O1722" s="19">
        <f t="shared" si="167"/>
        <v>7</v>
      </c>
      <c r="P1722" s="13">
        <f t="shared" si="168"/>
        <v>1.05742</v>
      </c>
      <c r="Q1722" s="9"/>
      <c r="R1722" s="2"/>
      <c r="S1722" s="2"/>
    </row>
    <row r="1723" spans="1:19">
      <c r="A1723" s="42" t="s">
        <v>90</v>
      </c>
      <c r="B1723" s="3"/>
      <c r="C1723" s="3">
        <v>194</v>
      </c>
      <c r="D1723" s="1"/>
      <c r="E1723" s="12" t="s">
        <v>19</v>
      </c>
      <c r="F1723" s="7" t="s">
        <v>14</v>
      </c>
      <c r="G1723" s="7" t="s">
        <v>37</v>
      </c>
      <c r="H1723" s="11">
        <v>18.149999999999999</v>
      </c>
      <c r="I1723" s="8">
        <v>12</v>
      </c>
      <c r="J1723" s="26">
        <v>1</v>
      </c>
      <c r="K1723" s="10">
        <f t="shared" si="165"/>
        <v>0.21779999999999999</v>
      </c>
      <c r="L1723" s="4"/>
      <c r="M1723" s="17"/>
      <c r="N1723" s="18">
        <f t="shared" si="166"/>
        <v>0</v>
      </c>
      <c r="O1723" s="19">
        <f t="shared" si="167"/>
        <v>1</v>
      </c>
      <c r="P1723" s="13">
        <f t="shared" si="168"/>
        <v>0.21779999999999999</v>
      </c>
      <c r="Q1723" s="9"/>
      <c r="R1723" s="2"/>
      <c r="S1723" s="2"/>
    </row>
    <row r="1724" spans="1:19">
      <c r="A1724" s="42" t="s">
        <v>90</v>
      </c>
      <c r="B1724" s="3"/>
      <c r="C1724" s="3"/>
      <c r="D1724" s="1"/>
      <c r="E1724" s="12"/>
      <c r="F1724" s="7" t="s">
        <v>14</v>
      </c>
      <c r="G1724" s="7" t="s">
        <v>37</v>
      </c>
      <c r="H1724" s="11">
        <v>18.149999999999999</v>
      </c>
      <c r="I1724" s="8">
        <v>11.7</v>
      </c>
      <c r="J1724" s="17">
        <v>1</v>
      </c>
      <c r="K1724" s="10">
        <f t="shared" si="165"/>
        <v>0.21235499999999996</v>
      </c>
      <c r="L1724" s="4"/>
      <c r="M1724" s="17"/>
      <c r="N1724" s="18">
        <f t="shared" si="166"/>
        <v>0</v>
      </c>
      <c r="O1724" s="19">
        <f t="shared" si="167"/>
        <v>1</v>
      </c>
      <c r="P1724" s="13">
        <f t="shared" si="168"/>
        <v>0.21235499999999996</v>
      </c>
      <c r="Q1724" s="9"/>
      <c r="R1724" s="2"/>
      <c r="S1724" s="2"/>
    </row>
    <row r="1725" spans="1:19">
      <c r="A1725" s="42" t="s">
        <v>90</v>
      </c>
      <c r="B1725" s="3"/>
      <c r="C1725" s="3">
        <v>195</v>
      </c>
      <c r="D1725" s="1" t="s">
        <v>103</v>
      </c>
      <c r="E1725" s="12" t="s">
        <v>89</v>
      </c>
      <c r="F1725" s="7" t="s">
        <v>15</v>
      </c>
      <c r="G1725" s="7" t="s">
        <v>39</v>
      </c>
      <c r="H1725" s="11">
        <v>14.66</v>
      </c>
      <c r="I1725" s="8">
        <v>9.1999999999999993</v>
      </c>
      <c r="J1725" s="17">
        <v>1</v>
      </c>
      <c r="K1725" s="10">
        <f t="shared" si="165"/>
        <v>0.13487199999999999</v>
      </c>
      <c r="L1725" s="4"/>
      <c r="M1725" s="17">
        <v>1</v>
      </c>
      <c r="N1725" s="18">
        <f t="shared" si="166"/>
        <v>0.13487199999999999</v>
      </c>
      <c r="O1725" s="19">
        <f t="shared" si="167"/>
        <v>0</v>
      </c>
      <c r="P1725" s="13">
        <f t="shared" si="168"/>
        <v>0</v>
      </c>
      <c r="Q1725" s="9">
        <v>8.6</v>
      </c>
      <c r="R1725" s="35">
        <v>1</v>
      </c>
      <c r="S1725" s="2" t="s">
        <v>444</v>
      </c>
    </row>
    <row r="1726" spans="1:19">
      <c r="A1726" s="42" t="s">
        <v>90</v>
      </c>
      <c r="B1726" s="3"/>
      <c r="C1726" s="3">
        <v>195</v>
      </c>
      <c r="D1726" s="1" t="s">
        <v>103</v>
      </c>
      <c r="E1726" s="12" t="s">
        <v>89</v>
      </c>
      <c r="F1726" s="7" t="s">
        <v>15</v>
      </c>
      <c r="G1726" s="7" t="s">
        <v>39</v>
      </c>
      <c r="H1726" s="11">
        <v>14.66</v>
      </c>
      <c r="I1726" s="8">
        <v>8</v>
      </c>
      <c r="J1726" s="17">
        <v>1</v>
      </c>
      <c r="K1726" s="10">
        <f t="shared" si="165"/>
        <v>0.11728</v>
      </c>
      <c r="L1726" s="4"/>
      <c r="M1726" s="17">
        <v>1</v>
      </c>
      <c r="N1726" s="18">
        <f t="shared" si="166"/>
        <v>0.11728</v>
      </c>
      <c r="O1726" s="19">
        <f t="shared" si="167"/>
        <v>0</v>
      </c>
      <c r="P1726" s="13">
        <f t="shared" si="168"/>
        <v>0</v>
      </c>
      <c r="Q1726" s="9">
        <v>6.5</v>
      </c>
      <c r="R1726" s="35">
        <v>1</v>
      </c>
      <c r="S1726" s="2" t="s">
        <v>444</v>
      </c>
    </row>
    <row r="1727" spans="1:19">
      <c r="A1727" s="42" t="s">
        <v>90</v>
      </c>
      <c r="B1727" s="3"/>
      <c r="C1727" s="3">
        <v>196</v>
      </c>
      <c r="D1727" s="1"/>
      <c r="E1727" s="30" t="s">
        <v>88</v>
      </c>
      <c r="F1727" s="7" t="s">
        <v>15</v>
      </c>
      <c r="G1727" s="7" t="s">
        <v>38</v>
      </c>
      <c r="H1727" s="11">
        <v>12.9</v>
      </c>
      <c r="I1727" s="8">
        <v>9.6999999999999993</v>
      </c>
      <c r="J1727" s="17">
        <v>4</v>
      </c>
      <c r="K1727" s="10">
        <f t="shared" si="165"/>
        <v>0.50051999999999996</v>
      </c>
      <c r="L1727" s="4" t="s">
        <v>26</v>
      </c>
      <c r="M1727" s="17"/>
      <c r="N1727" s="18">
        <f t="shared" si="166"/>
        <v>0</v>
      </c>
      <c r="O1727" s="19">
        <f t="shared" si="167"/>
        <v>4</v>
      </c>
      <c r="P1727" s="13">
        <f t="shared" si="168"/>
        <v>0.50051999999999996</v>
      </c>
      <c r="Q1727" s="9"/>
      <c r="R1727" s="2"/>
      <c r="S1727" s="2"/>
    </row>
    <row r="1728" spans="1:19">
      <c r="A1728" s="42" t="s">
        <v>90</v>
      </c>
      <c r="B1728" s="3"/>
      <c r="C1728" s="3">
        <v>196</v>
      </c>
      <c r="D1728" s="1"/>
      <c r="E1728" s="30" t="s">
        <v>88</v>
      </c>
      <c r="F1728" s="7" t="s">
        <v>15</v>
      </c>
      <c r="G1728" s="7" t="s">
        <v>38</v>
      </c>
      <c r="H1728" s="11">
        <v>12.9</v>
      </c>
      <c r="I1728" s="8">
        <v>8.1</v>
      </c>
      <c r="J1728" s="17">
        <v>1</v>
      </c>
      <c r="K1728" s="10">
        <f t="shared" si="165"/>
        <v>0.10449</v>
      </c>
      <c r="L1728" s="4" t="s">
        <v>26</v>
      </c>
      <c r="M1728" s="17"/>
      <c r="N1728" s="18">
        <f t="shared" si="166"/>
        <v>0</v>
      </c>
      <c r="O1728" s="19">
        <f t="shared" si="167"/>
        <v>1</v>
      </c>
      <c r="P1728" s="13">
        <f t="shared" si="168"/>
        <v>0.10449</v>
      </c>
      <c r="Q1728" s="9"/>
      <c r="R1728" s="2"/>
      <c r="S1728" s="2"/>
    </row>
    <row r="1729" spans="1:21">
      <c r="A1729" s="42" t="s">
        <v>90</v>
      </c>
      <c r="B1729" s="3"/>
      <c r="C1729" s="3">
        <v>196</v>
      </c>
      <c r="D1729" s="1"/>
      <c r="E1729" s="30" t="s">
        <v>88</v>
      </c>
      <c r="F1729" s="7" t="s">
        <v>15</v>
      </c>
      <c r="G1729" s="7" t="s">
        <v>38</v>
      </c>
      <c r="H1729" s="11">
        <v>12.9</v>
      </c>
      <c r="I1729" s="8">
        <v>12</v>
      </c>
      <c r="J1729" s="17">
        <v>1</v>
      </c>
      <c r="K1729" s="10">
        <f t="shared" si="165"/>
        <v>0.15480000000000002</v>
      </c>
      <c r="L1729" s="4" t="s">
        <v>26</v>
      </c>
      <c r="M1729" s="17"/>
      <c r="N1729" s="18">
        <f t="shared" si="166"/>
        <v>0</v>
      </c>
      <c r="O1729" s="19">
        <f t="shared" si="167"/>
        <v>1</v>
      </c>
      <c r="P1729" s="13">
        <f t="shared" si="168"/>
        <v>0.15480000000000002</v>
      </c>
      <c r="Q1729" s="9"/>
      <c r="R1729" s="2"/>
      <c r="S1729" s="2"/>
    </row>
    <row r="1730" spans="1:21">
      <c r="A1730" s="42" t="s">
        <v>90</v>
      </c>
      <c r="B1730" s="3"/>
      <c r="C1730" s="3">
        <v>196</v>
      </c>
      <c r="D1730" s="1"/>
      <c r="E1730" s="30" t="s">
        <v>88</v>
      </c>
      <c r="F1730" s="7" t="s">
        <v>15</v>
      </c>
      <c r="G1730" s="7" t="s">
        <v>38</v>
      </c>
      <c r="H1730" s="11">
        <v>12.9</v>
      </c>
      <c r="I1730" s="8">
        <v>6</v>
      </c>
      <c r="J1730" s="17">
        <v>1</v>
      </c>
      <c r="K1730" s="10">
        <f t="shared" si="165"/>
        <v>7.740000000000001E-2</v>
      </c>
      <c r="L1730" s="4"/>
      <c r="M1730" s="17"/>
      <c r="N1730" s="18">
        <f t="shared" si="166"/>
        <v>0</v>
      </c>
      <c r="O1730" s="19">
        <f t="shared" si="167"/>
        <v>1</v>
      </c>
      <c r="P1730" s="13">
        <f t="shared" si="168"/>
        <v>7.740000000000001E-2</v>
      </c>
      <c r="Q1730" s="9"/>
      <c r="R1730" s="2"/>
      <c r="S1730" s="2"/>
    </row>
    <row r="1731" spans="1:21">
      <c r="A1731" s="42" t="s">
        <v>90</v>
      </c>
      <c r="B1731" s="3"/>
      <c r="C1731" s="3">
        <v>197</v>
      </c>
      <c r="D1731" s="1"/>
      <c r="E1731" s="20" t="s">
        <v>17</v>
      </c>
      <c r="F1731" s="7" t="s">
        <v>15</v>
      </c>
      <c r="G1731" s="7" t="s">
        <v>49</v>
      </c>
      <c r="H1731" s="11">
        <v>17.82</v>
      </c>
      <c r="I1731" s="8">
        <v>12</v>
      </c>
      <c r="J1731" s="17">
        <v>3</v>
      </c>
      <c r="K1731" s="10">
        <f t="shared" si="165"/>
        <v>0.64151999999999998</v>
      </c>
      <c r="L1731" s="4"/>
      <c r="M1731" s="17">
        <v>3</v>
      </c>
      <c r="N1731" s="18">
        <f t="shared" si="166"/>
        <v>0.64151999999999998</v>
      </c>
      <c r="O1731" s="19">
        <f t="shared" si="167"/>
        <v>0</v>
      </c>
      <c r="P1731" s="13">
        <f t="shared" si="168"/>
        <v>0</v>
      </c>
      <c r="Q1731" s="50">
        <v>12</v>
      </c>
      <c r="R1731" s="2">
        <v>3</v>
      </c>
      <c r="S1731" s="2" t="s">
        <v>442</v>
      </c>
    </row>
    <row r="1732" spans="1:21">
      <c r="A1732" s="42" t="s">
        <v>90</v>
      </c>
      <c r="B1732" s="3"/>
      <c r="C1732" s="3">
        <v>198</v>
      </c>
      <c r="D1732" s="1"/>
      <c r="E1732" s="20" t="s">
        <v>17</v>
      </c>
      <c r="F1732" s="7" t="s">
        <v>15</v>
      </c>
      <c r="G1732" s="7" t="s">
        <v>49</v>
      </c>
      <c r="H1732" s="11">
        <v>17.82</v>
      </c>
      <c r="I1732" s="8">
        <v>5.4</v>
      </c>
      <c r="J1732" s="17">
        <v>1</v>
      </c>
      <c r="K1732" s="10">
        <f t="shared" si="165"/>
        <v>9.6228000000000008E-2</v>
      </c>
      <c r="L1732" s="4"/>
      <c r="M1732" s="17"/>
      <c r="N1732" s="18">
        <f t="shared" si="166"/>
        <v>0</v>
      </c>
      <c r="O1732" s="19">
        <f t="shared" si="167"/>
        <v>1</v>
      </c>
      <c r="P1732" s="13">
        <f t="shared" si="168"/>
        <v>9.6228000000000008E-2</v>
      </c>
      <c r="Q1732" s="50"/>
      <c r="R1732" s="35">
        <v>1</v>
      </c>
      <c r="S1732" s="2" t="s">
        <v>714</v>
      </c>
    </row>
    <row r="1733" spans="1:21">
      <c r="A1733" s="42" t="s">
        <v>90</v>
      </c>
      <c r="B1733" s="3"/>
      <c r="C1733" s="3">
        <v>198</v>
      </c>
      <c r="D1733" s="1"/>
      <c r="E1733" s="20" t="s">
        <v>17</v>
      </c>
      <c r="F1733" s="7" t="s">
        <v>15</v>
      </c>
      <c r="G1733" s="7" t="s">
        <v>49</v>
      </c>
      <c r="H1733" s="11">
        <v>17.82</v>
      </c>
      <c r="I1733" s="8">
        <v>5.5</v>
      </c>
      <c r="J1733" s="17">
        <v>1</v>
      </c>
      <c r="K1733" s="10">
        <f t="shared" si="165"/>
        <v>9.801E-2</v>
      </c>
      <c r="L1733" s="4"/>
      <c r="M1733" s="17"/>
      <c r="N1733" s="18">
        <f t="shared" si="166"/>
        <v>0</v>
      </c>
      <c r="O1733" s="19">
        <f t="shared" si="167"/>
        <v>1</v>
      </c>
      <c r="P1733" s="13">
        <f t="shared" si="168"/>
        <v>9.801E-2</v>
      </c>
      <c r="Q1733" s="50"/>
      <c r="R1733" s="35">
        <v>1</v>
      </c>
      <c r="S1733" s="2" t="s">
        <v>714</v>
      </c>
    </row>
    <row r="1734" spans="1:21">
      <c r="A1734" s="42" t="s">
        <v>90</v>
      </c>
      <c r="B1734" s="3"/>
      <c r="C1734" s="3">
        <v>198</v>
      </c>
      <c r="D1734" s="1"/>
      <c r="E1734" s="20" t="s">
        <v>17</v>
      </c>
      <c r="F1734" s="7" t="s">
        <v>15</v>
      </c>
      <c r="G1734" s="7" t="s">
        <v>49</v>
      </c>
      <c r="H1734" s="11">
        <v>17.82</v>
      </c>
      <c r="I1734" s="8">
        <v>5.7</v>
      </c>
      <c r="J1734" s="17">
        <v>1</v>
      </c>
      <c r="K1734" s="10">
        <f t="shared" si="165"/>
        <v>0.101574</v>
      </c>
      <c r="L1734" s="4"/>
      <c r="M1734" s="17"/>
      <c r="N1734" s="18">
        <f t="shared" si="166"/>
        <v>0</v>
      </c>
      <c r="O1734" s="19">
        <f t="shared" si="167"/>
        <v>1</v>
      </c>
      <c r="P1734" s="13">
        <f t="shared" si="168"/>
        <v>0.101574</v>
      </c>
      <c r="Q1734" s="50"/>
      <c r="R1734" s="35">
        <v>1</v>
      </c>
      <c r="S1734" s="2" t="s">
        <v>714</v>
      </c>
    </row>
    <row r="1735" spans="1:21">
      <c r="A1735" s="42" t="s">
        <v>90</v>
      </c>
      <c r="B1735" s="3"/>
      <c r="C1735" s="3">
        <v>198</v>
      </c>
      <c r="D1735" s="1"/>
      <c r="E1735" s="20" t="s">
        <v>17</v>
      </c>
      <c r="F1735" s="7" t="s">
        <v>15</v>
      </c>
      <c r="G1735" s="7" t="s">
        <v>49</v>
      </c>
      <c r="H1735" s="11">
        <v>17.82</v>
      </c>
      <c r="I1735" s="8">
        <v>5.8</v>
      </c>
      <c r="J1735" s="17">
        <v>1</v>
      </c>
      <c r="K1735" s="10">
        <f t="shared" si="165"/>
        <v>0.10335599999999999</v>
      </c>
      <c r="L1735" s="4"/>
      <c r="M1735" s="17"/>
      <c r="N1735" s="18">
        <f t="shared" si="166"/>
        <v>0</v>
      </c>
      <c r="O1735" s="19">
        <f t="shared" si="167"/>
        <v>1</v>
      </c>
      <c r="P1735" s="13">
        <f t="shared" si="168"/>
        <v>0.10335599999999999</v>
      </c>
      <c r="Q1735" s="50"/>
      <c r="R1735" s="35">
        <v>1</v>
      </c>
      <c r="S1735" s="2" t="s">
        <v>714</v>
      </c>
    </row>
    <row r="1736" spans="1:21">
      <c r="A1736" s="42" t="s">
        <v>90</v>
      </c>
      <c r="B1736" s="3"/>
      <c r="C1736" s="3">
        <v>198</v>
      </c>
      <c r="D1736" s="1"/>
      <c r="E1736" s="20" t="s">
        <v>17</v>
      </c>
      <c r="F1736" s="7" t="s">
        <v>15</v>
      </c>
      <c r="G1736" s="7" t="s">
        <v>49</v>
      </c>
      <c r="H1736" s="11">
        <v>17.82</v>
      </c>
      <c r="I1736" s="8">
        <v>6.1</v>
      </c>
      <c r="J1736" s="17">
        <v>1</v>
      </c>
      <c r="K1736" s="10">
        <f t="shared" si="165"/>
        <v>0.10870199999999999</v>
      </c>
      <c r="L1736" s="4"/>
      <c r="M1736" s="17"/>
      <c r="N1736" s="18">
        <f t="shared" si="166"/>
        <v>0</v>
      </c>
      <c r="O1736" s="19">
        <f t="shared" si="167"/>
        <v>1</v>
      </c>
      <c r="P1736" s="13">
        <f t="shared" si="168"/>
        <v>0.10870199999999999</v>
      </c>
      <c r="Q1736" s="50"/>
      <c r="R1736" s="35">
        <v>1</v>
      </c>
      <c r="S1736" s="2" t="s">
        <v>714</v>
      </c>
    </row>
    <row r="1737" spans="1:21">
      <c r="A1737" s="42" t="s">
        <v>90</v>
      </c>
      <c r="B1737" s="3"/>
      <c r="C1737" s="3">
        <v>199</v>
      </c>
      <c r="D1737" s="1"/>
      <c r="E1737" s="30" t="s">
        <v>89</v>
      </c>
      <c r="F1737" s="7" t="s">
        <v>15</v>
      </c>
      <c r="G1737" s="7" t="s">
        <v>35</v>
      </c>
      <c r="H1737" s="11">
        <v>16.579999999999998</v>
      </c>
      <c r="I1737" s="8">
        <v>10.6</v>
      </c>
      <c r="J1737" s="17">
        <v>1</v>
      </c>
      <c r="K1737" s="10">
        <f t="shared" si="165"/>
        <v>0.17574799999999996</v>
      </c>
      <c r="L1737" s="4"/>
      <c r="M1737" s="17">
        <v>1</v>
      </c>
      <c r="N1737" s="18">
        <f t="shared" si="166"/>
        <v>0.17574799999999996</v>
      </c>
      <c r="O1737" s="19">
        <f t="shared" si="167"/>
        <v>0</v>
      </c>
      <c r="P1737" s="13">
        <f t="shared" si="168"/>
        <v>0</v>
      </c>
      <c r="Q1737" s="32">
        <v>9.6</v>
      </c>
      <c r="R1737" s="2">
        <v>1</v>
      </c>
      <c r="S1737" s="2"/>
    </row>
    <row r="1738" spans="1:21">
      <c r="A1738" s="42" t="s">
        <v>90</v>
      </c>
      <c r="B1738" s="3"/>
      <c r="C1738" s="3">
        <v>200</v>
      </c>
      <c r="D1738" s="1"/>
      <c r="E1738" s="30" t="s">
        <v>20</v>
      </c>
      <c r="F1738" s="7" t="s">
        <v>15</v>
      </c>
      <c r="G1738" s="7" t="s">
        <v>50</v>
      </c>
      <c r="H1738" s="11">
        <v>21.7</v>
      </c>
      <c r="I1738" s="8">
        <v>6.9</v>
      </c>
      <c r="J1738" s="17">
        <v>1</v>
      </c>
      <c r="K1738" s="10">
        <f t="shared" si="165"/>
        <v>0.14973</v>
      </c>
      <c r="L1738" s="253" t="s">
        <v>97</v>
      </c>
      <c r="M1738" s="22"/>
      <c r="N1738" s="63">
        <f t="shared" si="166"/>
        <v>0</v>
      </c>
      <c r="O1738" s="64">
        <f t="shared" si="167"/>
        <v>1</v>
      </c>
      <c r="P1738" s="65">
        <f t="shared" si="168"/>
        <v>0.14973</v>
      </c>
      <c r="Q1738" s="2"/>
      <c r="R1738" s="2"/>
      <c r="S1738" s="2"/>
    </row>
    <row r="1739" spans="1:21">
      <c r="A1739" s="42" t="s">
        <v>90</v>
      </c>
      <c r="B1739" s="3"/>
      <c r="C1739" s="3">
        <v>200</v>
      </c>
      <c r="D1739" s="1"/>
      <c r="E1739" s="30" t="s">
        <v>20</v>
      </c>
      <c r="F1739" s="7" t="s">
        <v>15</v>
      </c>
      <c r="G1739" s="7" t="s">
        <v>50</v>
      </c>
      <c r="H1739" s="11">
        <v>21.7</v>
      </c>
      <c r="I1739" s="8">
        <v>7</v>
      </c>
      <c r="J1739" s="17">
        <v>1</v>
      </c>
      <c r="K1739" s="10">
        <f t="shared" si="165"/>
        <v>0.15190000000000001</v>
      </c>
      <c r="L1739" s="253" t="s">
        <v>97</v>
      </c>
      <c r="M1739" s="22"/>
      <c r="N1739" s="63">
        <f t="shared" si="166"/>
        <v>0</v>
      </c>
      <c r="O1739" s="64">
        <f t="shared" si="167"/>
        <v>1</v>
      </c>
      <c r="P1739" s="65">
        <f t="shared" si="168"/>
        <v>0.15190000000000001</v>
      </c>
      <c r="Q1739" s="2"/>
      <c r="R1739" s="2"/>
      <c r="S1739" s="2"/>
    </row>
    <row r="1740" spans="1:21">
      <c r="A1740" s="42" t="s">
        <v>90</v>
      </c>
      <c r="B1740" s="3"/>
      <c r="C1740" s="3">
        <v>201</v>
      </c>
      <c r="D1740" s="1"/>
      <c r="E1740" s="20" t="s">
        <v>17</v>
      </c>
      <c r="F1740" s="7" t="s">
        <v>15</v>
      </c>
      <c r="G1740" s="7" t="s">
        <v>33</v>
      </c>
      <c r="H1740" s="11">
        <v>15.92</v>
      </c>
      <c r="I1740" s="8">
        <v>8.6999999999999993</v>
      </c>
      <c r="J1740" s="17">
        <v>1</v>
      </c>
      <c r="K1740" s="10">
        <f t="shared" si="165"/>
        <v>0.13850399999999999</v>
      </c>
      <c r="L1740" s="32"/>
      <c r="M1740" s="32">
        <v>1</v>
      </c>
      <c r="N1740" s="18">
        <f t="shared" si="166"/>
        <v>0.13850399999999999</v>
      </c>
      <c r="O1740" s="19">
        <f t="shared" si="167"/>
        <v>0</v>
      </c>
      <c r="P1740" s="13">
        <f t="shared" si="168"/>
        <v>0</v>
      </c>
      <c r="Q1740" s="9">
        <v>8.6999999999999993</v>
      </c>
      <c r="R1740" s="32">
        <v>1</v>
      </c>
      <c r="S1740" s="2" t="s">
        <v>323</v>
      </c>
    </row>
    <row r="1741" spans="1:21">
      <c r="A1741" s="42" t="s">
        <v>90</v>
      </c>
      <c r="B1741" s="3"/>
      <c r="C1741" s="3">
        <v>202</v>
      </c>
      <c r="D1741" s="1"/>
      <c r="E1741" s="30" t="s">
        <v>20</v>
      </c>
      <c r="F1741" s="7" t="s">
        <v>15</v>
      </c>
      <c r="G1741" s="7" t="s">
        <v>39</v>
      </c>
      <c r="H1741" s="11">
        <v>14.66</v>
      </c>
      <c r="I1741" s="8">
        <v>10.7</v>
      </c>
      <c r="J1741" s="17">
        <v>1</v>
      </c>
      <c r="K1741" s="10">
        <f t="shared" si="165"/>
        <v>0.156862</v>
      </c>
      <c r="L1741" s="32"/>
      <c r="M1741" s="32">
        <v>1</v>
      </c>
      <c r="N1741" s="18">
        <f t="shared" si="166"/>
        <v>0.156862</v>
      </c>
      <c r="O1741" s="19">
        <f t="shared" si="167"/>
        <v>0</v>
      </c>
      <c r="P1741" s="13">
        <f t="shared" si="168"/>
        <v>0</v>
      </c>
      <c r="Q1741" s="33">
        <v>10.5</v>
      </c>
      <c r="R1741" s="45">
        <v>1</v>
      </c>
      <c r="S1741" s="2" t="s">
        <v>444</v>
      </c>
    </row>
    <row r="1742" spans="1:21">
      <c r="A1742" s="42" t="s">
        <v>90</v>
      </c>
      <c r="B1742" s="3"/>
      <c r="C1742" s="3">
        <v>202</v>
      </c>
      <c r="D1742" s="1"/>
      <c r="E1742" s="30" t="s">
        <v>20</v>
      </c>
      <c r="F1742" s="7" t="s">
        <v>15</v>
      </c>
      <c r="G1742" s="7" t="s">
        <v>39</v>
      </c>
      <c r="H1742" s="11">
        <v>14.66</v>
      </c>
      <c r="I1742" s="31">
        <v>10</v>
      </c>
      <c r="J1742" s="17">
        <v>1</v>
      </c>
      <c r="K1742" s="10">
        <f t="shared" si="165"/>
        <v>0.14660000000000001</v>
      </c>
      <c r="L1742" s="32"/>
      <c r="M1742" s="32">
        <v>1</v>
      </c>
      <c r="N1742" s="18">
        <f t="shared" si="166"/>
        <v>0.14660000000000001</v>
      </c>
      <c r="O1742" s="19">
        <f t="shared" si="167"/>
        <v>0</v>
      </c>
      <c r="P1742" s="13">
        <f t="shared" si="168"/>
        <v>0</v>
      </c>
      <c r="Q1742" s="33"/>
      <c r="R1742" s="32"/>
      <c r="S1742" s="32"/>
      <c r="T1742" s="32">
        <v>1</v>
      </c>
      <c r="U1742" s="32" t="s">
        <v>278</v>
      </c>
    </row>
    <row r="1743" spans="1:21">
      <c r="A1743" s="42" t="s">
        <v>90</v>
      </c>
      <c r="B1743" s="3"/>
      <c r="C1743" s="3">
        <v>202</v>
      </c>
      <c r="D1743" s="1"/>
      <c r="E1743" s="30" t="s">
        <v>20</v>
      </c>
      <c r="F1743" s="7" t="s">
        <v>15</v>
      </c>
      <c r="G1743" s="7" t="s">
        <v>39</v>
      </c>
      <c r="H1743" s="11">
        <v>14.66</v>
      </c>
      <c r="I1743" s="31">
        <v>6.5</v>
      </c>
      <c r="J1743" s="17">
        <v>1</v>
      </c>
      <c r="K1743" s="10">
        <f t="shared" si="165"/>
        <v>9.529E-2</v>
      </c>
      <c r="L1743" s="32"/>
      <c r="M1743" s="32">
        <v>1</v>
      </c>
      <c r="N1743" s="18">
        <f t="shared" si="166"/>
        <v>9.529E-2</v>
      </c>
      <c r="O1743" s="19">
        <f t="shared" si="167"/>
        <v>0</v>
      </c>
      <c r="P1743" s="13">
        <f t="shared" si="168"/>
        <v>0</v>
      </c>
      <c r="Q1743" s="33">
        <v>6.5</v>
      </c>
      <c r="R1743" s="45">
        <v>1</v>
      </c>
      <c r="S1743" s="2" t="s">
        <v>444</v>
      </c>
    </row>
    <row r="1744" spans="1:21">
      <c r="A1744" s="42" t="s">
        <v>90</v>
      </c>
      <c r="B1744" s="3"/>
      <c r="C1744" s="3">
        <v>203</v>
      </c>
      <c r="D1744" s="1" t="s">
        <v>98</v>
      </c>
      <c r="E1744" s="30" t="s">
        <v>20</v>
      </c>
      <c r="F1744" s="7" t="s">
        <v>15</v>
      </c>
      <c r="G1744" s="7" t="s">
        <v>41</v>
      </c>
      <c r="H1744" s="11">
        <v>11.8</v>
      </c>
      <c r="I1744" s="31">
        <v>10.5</v>
      </c>
      <c r="J1744" s="32">
        <v>1</v>
      </c>
      <c r="K1744" s="10">
        <f t="shared" si="165"/>
        <v>0.12390000000000001</v>
      </c>
      <c r="L1744" s="32"/>
      <c r="M1744" s="32">
        <v>1</v>
      </c>
      <c r="N1744" s="18">
        <f t="shared" si="166"/>
        <v>0.12390000000000001</v>
      </c>
      <c r="O1744" s="19">
        <f t="shared" si="167"/>
        <v>0</v>
      </c>
      <c r="P1744" s="13">
        <f t="shared" si="168"/>
        <v>0</v>
      </c>
      <c r="Q1744" s="33">
        <v>7.5</v>
      </c>
      <c r="R1744" s="32">
        <v>1</v>
      </c>
      <c r="S1744" s="32" t="s">
        <v>198</v>
      </c>
    </row>
    <row r="1745" spans="1:20">
      <c r="A1745" s="42" t="s">
        <v>90</v>
      </c>
      <c r="B1745" s="3"/>
      <c r="C1745" s="3">
        <v>204</v>
      </c>
      <c r="D1745" s="1"/>
      <c r="E1745" s="66" t="s">
        <v>20</v>
      </c>
      <c r="F1745" s="60" t="s">
        <v>15</v>
      </c>
      <c r="G1745" s="60" t="s">
        <v>35</v>
      </c>
      <c r="H1745" s="61">
        <v>16.579999999999998</v>
      </c>
      <c r="I1745" s="446">
        <v>11.4</v>
      </c>
      <c r="J1745" s="22">
        <v>2</v>
      </c>
      <c r="K1745" s="62">
        <f t="shared" si="165"/>
        <v>0.37802400000000003</v>
      </c>
      <c r="L1745" s="256" t="s">
        <v>97</v>
      </c>
      <c r="M1745" s="67"/>
      <c r="N1745" s="63">
        <f t="shared" si="166"/>
        <v>0</v>
      </c>
      <c r="O1745" s="64">
        <f t="shared" si="167"/>
        <v>2</v>
      </c>
      <c r="P1745" s="65">
        <f t="shared" si="168"/>
        <v>0.37802400000000003</v>
      </c>
      <c r="Q1745" s="32"/>
      <c r="R1745" s="32"/>
      <c r="S1745" s="32"/>
    </row>
    <row r="1746" spans="1:20">
      <c r="A1746" s="42" t="s">
        <v>90</v>
      </c>
      <c r="B1746" s="3"/>
      <c r="C1746" s="3">
        <v>204</v>
      </c>
      <c r="D1746" s="1"/>
      <c r="E1746" s="66" t="s">
        <v>20</v>
      </c>
      <c r="F1746" s="60" t="s">
        <v>15</v>
      </c>
      <c r="G1746" s="60" t="s">
        <v>35</v>
      </c>
      <c r="H1746" s="61">
        <v>16.579999999999998</v>
      </c>
      <c r="I1746" s="68">
        <v>11.9</v>
      </c>
      <c r="J1746" s="22">
        <v>1</v>
      </c>
      <c r="K1746" s="62">
        <f t="shared" si="165"/>
        <v>0.19730200000000001</v>
      </c>
      <c r="L1746" s="256" t="s">
        <v>97</v>
      </c>
      <c r="M1746" s="67"/>
      <c r="N1746" s="63">
        <f t="shared" si="166"/>
        <v>0</v>
      </c>
      <c r="O1746" s="64">
        <f t="shared" si="167"/>
        <v>1</v>
      </c>
      <c r="P1746" s="65">
        <f t="shared" si="168"/>
        <v>0.19730200000000001</v>
      </c>
      <c r="Q1746" s="32"/>
      <c r="R1746" s="32"/>
      <c r="S1746" s="32"/>
    </row>
    <row r="1747" spans="1:20">
      <c r="A1747" s="42" t="s">
        <v>90</v>
      </c>
      <c r="B1747" s="3"/>
      <c r="C1747" s="3">
        <v>205</v>
      </c>
      <c r="D1747" s="1"/>
      <c r="E1747" s="30" t="s">
        <v>19</v>
      </c>
      <c r="F1747" s="7" t="s">
        <v>14</v>
      </c>
      <c r="G1747" s="7" t="s">
        <v>41</v>
      </c>
      <c r="H1747" s="11">
        <v>11.8</v>
      </c>
      <c r="I1747" s="31">
        <v>11</v>
      </c>
      <c r="J1747" s="17">
        <v>1</v>
      </c>
      <c r="K1747" s="10">
        <f t="shared" si="165"/>
        <v>0.1298</v>
      </c>
      <c r="L1747" s="32"/>
      <c r="M1747" s="32">
        <v>1</v>
      </c>
      <c r="N1747" s="18">
        <f t="shared" si="166"/>
        <v>0.1298</v>
      </c>
      <c r="O1747" s="19">
        <f t="shared" si="167"/>
        <v>0</v>
      </c>
      <c r="P1747" s="13">
        <f t="shared" si="168"/>
        <v>0</v>
      </c>
      <c r="Q1747" s="33">
        <v>10</v>
      </c>
      <c r="R1747" s="32">
        <v>1</v>
      </c>
      <c r="S1747" s="2" t="s">
        <v>192</v>
      </c>
    </row>
    <row r="1748" spans="1:20">
      <c r="A1748" s="42" t="s">
        <v>90</v>
      </c>
      <c r="B1748" s="3"/>
      <c r="C1748" s="3">
        <v>206</v>
      </c>
      <c r="D1748" s="1"/>
      <c r="E1748" s="20" t="s">
        <v>17</v>
      </c>
      <c r="F1748" s="7" t="s">
        <v>15</v>
      </c>
      <c r="G1748" s="7" t="s">
        <v>36</v>
      </c>
      <c r="H1748" s="11">
        <v>10.199999999999999</v>
      </c>
      <c r="I1748" s="31">
        <v>10.5</v>
      </c>
      <c r="J1748" s="17">
        <v>4</v>
      </c>
      <c r="K1748" s="10">
        <f t="shared" si="165"/>
        <v>0.4284</v>
      </c>
      <c r="L1748" s="32"/>
      <c r="M1748" s="32">
        <v>4</v>
      </c>
      <c r="N1748" s="18">
        <f t="shared" si="166"/>
        <v>0.4284</v>
      </c>
      <c r="O1748" s="19">
        <f t="shared" si="167"/>
        <v>0</v>
      </c>
      <c r="P1748" s="13">
        <f t="shared" si="168"/>
        <v>0</v>
      </c>
      <c r="Q1748" s="55">
        <v>10.3</v>
      </c>
      <c r="R1748" s="32">
        <v>4</v>
      </c>
      <c r="S1748" s="2" t="s">
        <v>200</v>
      </c>
    </row>
    <row r="1749" spans="1:20">
      <c r="A1749" s="42" t="s">
        <v>90</v>
      </c>
      <c r="B1749" s="3"/>
      <c r="C1749" s="3">
        <v>207</v>
      </c>
      <c r="D1749" s="1"/>
      <c r="E1749" s="20" t="s">
        <v>17</v>
      </c>
      <c r="F1749" s="7" t="s">
        <v>15</v>
      </c>
      <c r="G1749" s="7" t="s">
        <v>35</v>
      </c>
      <c r="H1749" s="11">
        <v>16.579999999999998</v>
      </c>
      <c r="I1749" s="31">
        <v>10</v>
      </c>
      <c r="J1749" s="17">
        <v>1</v>
      </c>
      <c r="K1749" s="10">
        <f t="shared" si="165"/>
        <v>0.16579999999999998</v>
      </c>
      <c r="L1749" s="32"/>
      <c r="M1749" s="32">
        <v>1</v>
      </c>
      <c r="N1749" s="18">
        <f t="shared" si="166"/>
        <v>0.16579999999999998</v>
      </c>
      <c r="O1749" s="19">
        <f t="shared" si="167"/>
        <v>0</v>
      </c>
      <c r="P1749" s="13">
        <f t="shared" si="168"/>
        <v>0</v>
      </c>
      <c r="Q1749" s="32">
        <v>8.75</v>
      </c>
      <c r="R1749" s="32">
        <v>1</v>
      </c>
      <c r="S1749" s="2" t="s">
        <v>189</v>
      </c>
    </row>
    <row r="1750" spans="1:20">
      <c r="A1750" s="42" t="s">
        <v>90</v>
      </c>
      <c r="B1750" s="3"/>
      <c r="C1750" s="3"/>
      <c r="D1750" s="1"/>
      <c r="E1750" s="30"/>
      <c r="F1750" s="7" t="s">
        <v>15</v>
      </c>
      <c r="G1750" s="7" t="s">
        <v>35</v>
      </c>
      <c r="H1750" s="11">
        <v>16.579999999999998</v>
      </c>
      <c r="I1750" s="31">
        <v>10.050000000000001</v>
      </c>
      <c r="J1750" s="17">
        <v>1</v>
      </c>
      <c r="K1750" s="10">
        <f t="shared" si="165"/>
        <v>0.166629</v>
      </c>
      <c r="L1750" s="32"/>
      <c r="M1750" s="32"/>
      <c r="N1750" s="18">
        <f t="shared" si="166"/>
        <v>0</v>
      </c>
      <c r="O1750" s="19">
        <f t="shared" si="167"/>
        <v>1</v>
      </c>
      <c r="P1750" s="13">
        <f t="shared" si="168"/>
        <v>0.166629</v>
      </c>
      <c r="Q1750" s="32"/>
      <c r="R1750" s="32"/>
      <c r="S1750" s="32"/>
    </row>
    <row r="1751" spans="1:20">
      <c r="A1751" s="42" t="s">
        <v>90</v>
      </c>
      <c r="B1751" s="3"/>
      <c r="C1751" s="3">
        <v>208</v>
      </c>
      <c r="D1751" s="1"/>
      <c r="E1751" s="30" t="s">
        <v>20</v>
      </c>
      <c r="F1751" s="7" t="s">
        <v>15</v>
      </c>
      <c r="G1751" s="7" t="s">
        <v>47</v>
      </c>
      <c r="H1751" s="11">
        <v>15</v>
      </c>
      <c r="I1751" s="31">
        <v>11</v>
      </c>
      <c r="J1751" s="17">
        <v>1</v>
      </c>
      <c r="K1751" s="10">
        <f t="shared" si="165"/>
        <v>0.16500000000000001</v>
      </c>
      <c r="L1751" s="32"/>
      <c r="M1751" s="32"/>
      <c r="N1751" s="18">
        <f t="shared" si="166"/>
        <v>0</v>
      </c>
      <c r="O1751" s="19">
        <f t="shared" si="167"/>
        <v>1</v>
      </c>
      <c r="P1751" s="13">
        <f t="shared" si="168"/>
        <v>0.16500000000000001</v>
      </c>
      <c r="Q1751" s="32"/>
      <c r="R1751" s="32"/>
      <c r="S1751" s="32"/>
    </row>
    <row r="1752" spans="1:20">
      <c r="A1752" s="42" t="s">
        <v>90</v>
      </c>
      <c r="B1752" s="3"/>
      <c r="C1752" s="3">
        <v>208</v>
      </c>
      <c r="D1752" s="1"/>
      <c r="E1752" s="30" t="s">
        <v>20</v>
      </c>
      <c r="F1752" s="7" t="s">
        <v>15</v>
      </c>
      <c r="G1752" s="7" t="s">
        <v>41</v>
      </c>
      <c r="H1752" s="11">
        <v>11.8</v>
      </c>
      <c r="I1752" s="31">
        <v>10.1</v>
      </c>
      <c r="J1752" s="17">
        <v>1</v>
      </c>
      <c r="K1752" s="10">
        <f t="shared" si="165"/>
        <v>0.11918000000000001</v>
      </c>
      <c r="L1752" s="32"/>
      <c r="M1752" s="32">
        <v>1</v>
      </c>
      <c r="N1752" s="18">
        <f t="shared" si="166"/>
        <v>0.11918000000000001</v>
      </c>
      <c r="O1752" s="19">
        <f t="shared" si="167"/>
        <v>0</v>
      </c>
      <c r="P1752" s="13">
        <f t="shared" si="168"/>
        <v>0</v>
      </c>
      <c r="Q1752" s="33">
        <v>7.5</v>
      </c>
      <c r="R1752" s="32">
        <v>1</v>
      </c>
      <c r="S1752" s="32" t="s">
        <v>198</v>
      </c>
    </row>
    <row r="1753" spans="1:20">
      <c r="A1753" s="42" t="s">
        <v>90</v>
      </c>
      <c r="B1753" s="32"/>
      <c r="C1753" s="3">
        <v>208</v>
      </c>
      <c r="D1753" s="1"/>
      <c r="E1753" s="30" t="s">
        <v>20</v>
      </c>
      <c r="F1753" s="7" t="s">
        <v>15</v>
      </c>
      <c r="G1753" s="7" t="s">
        <v>99</v>
      </c>
      <c r="H1753" s="11">
        <v>18.2</v>
      </c>
      <c r="I1753" s="31">
        <v>7</v>
      </c>
      <c r="J1753" s="17">
        <v>1</v>
      </c>
      <c r="K1753" s="10">
        <f t="shared" si="165"/>
        <v>0.12739999999999999</v>
      </c>
      <c r="L1753" s="32"/>
      <c r="M1753" s="32"/>
      <c r="N1753" s="18">
        <f t="shared" si="166"/>
        <v>0</v>
      </c>
      <c r="O1753" s="19">
        <f t="shared" si="167"/>
        <v>1</v>
      </c>
      <c r="P1753" s="13">
        <f t="shared" si="168"/>
        <v>0.12739999999999999</v>
      </c>
      <c r="Q1753" s="32"/>
      <c r="R1753" s="32"/>
      <c r="S1753" s="32"/>
    </row>
    <row r="1754" spans="1:20">
      <c r="A1754" s="42" t="s">
        <v>90</v>
      </c>
      <c r="B1754" s="3"/>
      <c r="C1754" s="3">
        <v>209</v>
      </c>
      <c r="D1754" s="1"/>
      <c r="E1754" s="30" t="s">
        <v>20</v>
      </c>
      <c r="F1754" s="7" t="s">
        <v>15</v>
      </c>
      <c r="G1754" s="7" t="s">
        <v>41</v>
      </c>
      <c r="H1754" s="11">
        <v>11.8</v>
      </c>
      <c r="I1754" s="33">
        <v>12</v>
      </c>
      <c r="J1754" s="32">
        <v>1</v>
      </c>
      <c r="K1754" s="10">
        <f t="shared" si="165"/>
        <v>0.14160000000000003</v>
      </c>
      <c r="L1754" s="256" t="s">
        <v>288</v>
      </c>
      <c r="M1754" s="32"/>
      <c r="N1754" s="18">
        <f t="shared" si="166"/>
        <v>0</v>
      </c>
      <c r="O1754" s="19">
        <f t="shared" si="167"/>
        <v>1</v>
      </c>
      <c r="P1754" s="13">
        <f t="shared" si="168"/>
        <v>0.14160000000000003</v>
      </c>
      <c r="Q1754" s="9"/>
      <c r="R1754" s="32"/>
      <c r="S1754" s="32"/>
    </row>
    <row r="1755" spans="1:20">
      <c r="A1755" s="42" t="s">
        <v>90</v>
      </c>
      <c r="B1755" s="3"/>
      <c r="C1755" s="3">
        <v>210</v>
      </c>
      <c r="D1755" s="1"/>
      <c r="E1755" s="20" t="s">
        <v>24</v>
      </c>
      <c r="F1755" s="7" t="s">
        <v>14</v>
      </c>
      <c r="G1755" s="7" t="s">
        <v>36</v>
      </c>
      <c r="H1755" s="11">
        <v>10.199999999999999</v>
      </c>
      <c r="I1755" s="55">
        <v>7</v>
      </c>
      <c r="J1755" s="17">
        <v>1</v>
      </c>
      <c r="K1755" s="10">
        <f t="shared" si="165"/>
        <v>7.1399999999999991E-2</v>
      </c>
      <c r="L1755" s="32"/>
      <c r="M1755" s="32">
        <v>1</v>
      </c>
      <c r="N1755" s="18">
        <f t="shared" si="166"/>
        <v>7.1399999999999991E-2</v>
      </c>
      <c r="O1755" s="19">
        <f t="shared" si="167"/>
        <v>0</v>
      </c>
      <c r="P1755" s="13">
        <f t="shared" si="168"/>
        <v>0</v>
      </c>
      <c r="Q1755" s="33">
        <v>7</v>
      </c>
      <c r="R1755" s="32">
        <v>1</v>
      </c>
      <c r="S1755" s="32"/>
    </row>
    <row r="1756" spans="1:20">
      <c r="A1756" s="42" t="s">
        <v>90</v>
      </c>
      <c r="B1756" s="32"/>
      <c r="C1756" s="3">
        <v>210</v>
      </c>
      <c r="D1756" s="1"/>
      <c r="E1756" s="20" t="s">
        <v>24</v>
      </c>
      <c r="F1756" s="7" t="s">
        <v>14</v>
      </c>
      <c r="G1756" s="7" t="s">
        <v>36</v>
      </c>
      <c r="H1756" s="11">
        <v>10.199999999999999</v>
      </c>
      <c r="I1756" s="55">
        <v>7.5</v>
      </c>
      <c r="J1756" s="17">
        <v>1</v>
      </c>
      <c r="K1756" s="10">
        <f t="shared" si="165"/>
        <v>7.6499999999999999E-2</v>
      </c>
      <c r="L1756" s="32"/>
      <c r="M1756" s="32">
        <v>1</v>
      </c>
      <c r="N1756" s="18">
        <f t="shared" si="166"/>
        <v>7.6499999999999999E-2</v>
      </c>
      <c r="O1756" s="19">
        <f t="shared" si="167"/>
        <v>0</v>
      </c>
      <c r="P1756" s="13">
        <f t="shared" si="168"/>
        <v>0</v>
      </c>
      <c r="Q1756" s="33">
        <v>7</v>
      </c>
      <c r="R1756" s="32">
        <v>1</v>
      </c>
      <c r="S1756" s="32"/>
    </row>
    <row r="1757" spans="1:20">
      <c r="A1757" s="42" t="s">
        <v>90</v>
      </c>
      <c r="B1757" s="3"/>
      <c r="C1757" s="3">
        <v>210</v>
      </c>
      <c r="D1757" s="1"/>
      <c r="E1757" s="20" t="s">
        <v>24</v>
      </c>
      <c r="F1757" s="7" t="s">
        <v>14</v>
      </c>
      <c r="G1757" s="7" t="s">
        <v>36</v>
      </c>
      <c r="H1757" s="11">
        <v>10.199999999999999</v>
      </c>
      <c r="I1757" s="55">
        <v>7.9</v>
      </c>
      <c r="J1757" s="17">
        <v>2</v>
      </c>
      <c r="K1757" s="10">
        <f t="shared" ref="K1757:K1798" si="169">(H1757*I1757*J1757/1000)</f>
        <v>0.16116</v>
      </c>
      <c r="L1757" s="32"/>
      <c r="M1757" s="32">
        <v>2</v>
      </c>
      <c r="N1757" s="18">
        <f t="shared" ref="N1757:N1798" si="170">I1757*M1757*H1757/1000</f>
        <v>0.16116</v>
      </c>
      <c r="O1757" s="19">
        <f t="shared" ref="O1757:O1798" si="171">J1757-M1757</f>
        <v>0</v>
      </c>
      <c r="P1757" s="13">
        <f t="shared" ref="P1757:P1798" si="172">I1757*O1757*H1757/1000</f>
        <v>0</v>
      </c>
      <c r="Q1757" s="33">
        <v>7</v>
      </c>
      <c r="R1757" s="32">
        <v>2</v>
      </c>
      <c r="S1757" s="32"/>
    </row>
    <row r="1758" spans="1:20">
      <c r="A1758" s="42" t="s">
        <v>90</v>
      </c>
      <c r="B1758" s="3"/>
      <c r="C1758" s="3">
        <v>210</v>
      </c>
      <c r="D1758" s="1"/>
      <c r="E1758" s="20" t="s">
        <v>24</v>
      </c>
      <c r="F1758" s="7" t="s">
        <v>14</v>
      </c>
      <c r="G1758" s="7" t="s">
        <v>36</v>
      </c>
      <c r="H1758" s="11">
        <v>10.199999999999999</v>
      </c>
      <c r="I1758" s="55">
        <v>12</v>
      </c>
      <c r="J1758" s="17">
        <v>1</v>
      </c>
      <c r="K1758" s="10">
        <f t="shared" si="169"/>
        <v>0.12239999999999999</v>
      </c>
      <c r="L1758" s="32"/>
      <c r="M1758" s="32">
        <v>1</v>
      </c>
      <c r="N1758" s="18">
        <f t="shared" si="170"/>
        <v>0.12239999999999999</v>
      </c>
      <c r="O1758" s="19">
        <f t="shared" si="171"/>
        <v>0</v>
      </c>
      <c r="P1758" s="13">
        <f t="shared" si="172"/>
        <v>0</v>
      </c>
      <c r="Q1758" s="33">
        <v>7</v>
      </c>
      <c r="R1758" s="32">
        <v>1</v>
      </c>
      <c r="S1758" s="32"/>
    </row>
    <row r="1759" spans="1:20">
      <c r="A1759" s="42" t="s">
        <v>90</v>
      </c>
      <c r="B1759" s="3"/>
      <c r="C1759" s="3">
        <v>211</v>
      </c>
      <c r="D1759" s="1"/>
      <c r="E1759" s="20" t="s">
        <v>20</v>
      </c>
      <c r="F1759" s="7" t="s">
        <v>15</v>
      </c>
      <c r="G1759" s="7" t="s">
        <v>35</v>
      </c>
      <c r="H1759" s="11">
        <v>16.579999999999998</v>
      </c>
      <c r="I1759" s="8">
        <v>8.3000000000000007</v>
      </c>
      <c r="J1759" s="26">
        <v>4</v>
      </c>
      <c r="K1759" s="10">
        <f t="shared" si="169"/>
        <v>0.55045600000000006</v>
      </c>
      <c r="L1759" s="4"/>
      <c r="M1759" s="17"/>
      <c r="N1759" s="18">
        <f t="shared" si="170"/>
        <v>0</v>
      </c>
      <c r="O1759" s="19">
        <f t="shared" si="171"/>
        <v>4</v>
      </c>
      <c r="P1759" s="13">
        <f t="shared" si="172"/>
        <v>0.55045600000000006</v>
      </c>
      <c r="Q1759" s="9"/>
      <c r="R1759" s="32"/>
      <c r="S1759" s="32"/>
    </row>
    <row r="1760" spans="1:20">
      <c r="A1760" s="42" t="s">
        <v>90</v>
      </c>
      <c r="B1760" s="3"/>
      <c r="C1760" s="3">
        <v>212</v>
      </c>
      <c r="D1760" s="1" t="s">
        <v>384</v>
      </c>
      <c r="E1760" s="20" t="s">
        <v>20</v>
      </c>
      <c r="F1760" s="7" t="s">
        <v>15</v>
      </c>
      <c r="G1760" s="7" t="s">
        <v>43</v>
      </c>
      <c r="H1760" s="11">
        <v>15.04</v>
      </c>
      <c r="I1760" s="8">
        <v>11.7</v>
      </c>
      <c r="J1760" s="26">
        <v>3</v>
      </c>
      <c r="K1760" s="10">
        <f t="shared" si="169"/>
        <v>0.52790400000000004</v>
      </c>
      <c r="L1760" s="4"/>
      <c r="M1760" s="17">
        <v>3</v>
      </c>
      <c r="N1760" s="18">
        <f t="shared" si="170"/>
        <v>0.52790399999999993</v>
      </c>
      <c r="O1760" s="106">
        <f t="shared" si="171"/>
        <v>0</v>
      </c>
      <c r="P1760" s="13">
        <f t="shared" si="172"/>
        <v>0</v>
      </c>
      <c r="Q1760" s="111" t="s">
        <v>367</v>
      </c>
      <c r="R1760" s="32"/>
      <c r="S1760" s="162">
        <v>11</v>
      </c>
      <c r="T1760">
        <v>3</v>
      </c>
    </row>
    <row r="1761" spans="1:21">
      <c r="A1761" s="42" t="s">
        <v>90</v>
      </c>
      <c r="B1761" s="3"/>
      <c r="C1761" s="3">
        <v>213</v>
      </c>
      <c r="D1761" s="1" t="s">
        <v>384</v>
      </c>
      <c r="E1761" s="20" t="s">
        <v>89</v>
      </c>
      <c r="F1761" s="7" t="s">
        <v>15</v>
      </c>
      <c r="G1761" s="7" t="s">
        <v>43</v>
      </c>
      <c r="H1761" s="11">
        <v>15.04</v>
      </c>
      <c r="I1761" s="8">
        <v>6.1</v>
      </c>
      <c r="J1761" s="26">
        <v>1</v>
      </c>
      <c r="K1761" s="10">
        <f t="shared" si="169"/>
        <v>9.1743999999999992E-2</v>
      </c>
      <c r="L1761" s="4"/>
      <c r="M1761" s="17">
        <v>1</v>
      </c>
      <c r="N1761" s="18">
        <f t="shared" si="170"/>
        <v>9.1743999999999992E-2</v>
      </c>
      <c r="O1761" s="106">
        <f t="shared" si="171"/>
        <v>0</v>
      </c>
      <c r="P1761" s="13">
        <f t="shared" si="172"/>
        <v>0</v>
      </c>
      <c r="Q1761" s="111" t="s">
        <v>367</v>
      </c>
      <c r="R1761" s="32"/>
      <c r="S1761" s="162">
        <v>6</v>
      </c>
      <c r="T1761">
        <v>1</v>
      </c>
    </row>
    <row r="1762" spans="1:21">
      <c r="A1762" s="42" t="s">
        <v>90</v>
      </c>
      <c r="B1762" s="3"/>
      <c r="C1762" s="3">
        <v>213</v>
      </c>
      <c r="D1762" s="1" t="s">
        <v>384</v>
      </c>
      <c r="E1762" s="20" t="s">
        <v>89</v>
      </c>
      <c r="F1762" s="7" t="s">
        <v>15</v>
      </c>
      <c r="G1762" s="7" t="s">
        <v>43</v>
      </c>
      <c r="H1762" s="11">
        <v>15.04</v>
      </c>
      <c r="I1762" s="8">
        <v>11</v>
      </c>
      <c r="J1762" s="26">
        <v>1</v>
      </c>
      <c r="K1762" s="10">
        <f t="shared" si="169"/>
        <v>0.16544</v>
      </c>
      <c r="L1762" s="4"/>
      <c r="M1762" s="17">
        <v>1</v>
      </c>
      <c r="N1762" s="18">
        <f t="shared" si="170"/>
        <v>0.16544</v>
      </c>
      <c r="O1762" s="106">
        <f t="shared" si="171"/>
        <v>0</v>
      </c>
      <c r="P1762" s="13">
        <f t="shared" si="172"/>
        <v>0</v>
      </c>
      <c r="Q1762" s="111" t="s">
        <v>367</v>
      </c>
      <c r="R1762" s="32"/>
      <c r="S1762" s="162">
        <v>11</v>
      </c>
      <c r="T1762">
        <v>1</v>
      </c>
    </row>
    <row r="1763" spans="1:21">
      <c r="A1763" s="42" t="s">
        <v>90</v>
      </c>
      <c r="B1763" s="3"/>
      <c r="C1763" s="3">
        <v>214</v>
      </c>
      <c r="D1763" s="1"/>
      <c r="E1763" s="20" t="s">
        <v>20</v>
      </c>
      <c r="F1763" s="7" t="s">
        <v>15</v>
      </c>
      <c r="G1763" s="7" t="s">
        <v>22</v>
      </c>
      <c r="H1763" s="11">
        <v>10.73</v>
      </c>
      <c r="I1763" s="8">
        <v>11.9</v>
      </c>
      <c r="J1763" s="26">
        <v>1</v>
      </c>
      <c r="K1763" s="10">
        <f t="shared" si="169"/>
        <v>0.12768700000000002</v>
      </c>
      <c r="L1763" s="4"/>
      <c r="M1763" s="17">
        <v>1</v>
      </c>
      <c r="N1763" s="18">
        <f t="shared" si="170"/>
        <v>0.12768700000000002</v>
      </c>
      <c r="O1763" s="19">
        <f t="shared" si="171"/>
        <v>0</v>
      </c>
      <c r="P1763" s="13">
        <f t="shared" si="172"/>
        <v>0</v>
      </c>
      <c r="Q1763" s="9">
        <v>11.6</v>
      </c>
      <c r="R1763" s="45">
        <v>1</v>
      </c>
      <c r="S1763" s="32" t="s">
        <v>279</v>
      </c>
    </row>
    <row r="1764" spans="1:21">
      <c r="A1764" s="42" t="s">
        <v>90</v>
      </c>
      <c r="B1764" s="3"/>
      <c r="C1764" s="3">
        <v>215</v>
      </c>
      <c r="D1764" s="1"/>
      <c r="E1764" s="20" t="s">
        <v>20</v>
      </c>
      <c r="F1764" s="7" t="s">
        <v>15</v>
      </c>
      <c r="G1764" s="7" t="s">
        <v>43</v>
      </c>
      <c r="H1764" s="11">
        <v>15.04</v>
      </c>
      <c r="I1764" s="8">
        <v>5.7</v>
      </c>
      <c r="J1764" s="26">
        <v>1</v>
      </c>
      <c r="K1764" s="10">
        <f t="shared" si="169"/>
        <v>8.5727999999999999E-2</v>
      </c>
      <c r="L1764" s="4"/>
      <c r="M1764" s="17"/>
      <c r="N1764" s="18">
        <f t="shared" si="170"/>
        <v>0</v>
      </c>
      <c r="O1764" s="19">
        <f t="shared" si="171"/>
        <v>1</v>
      </c>
      <c r="P1764" s="13">
        <f t="shared" si="172"/>
        <v>8.5727999999999999E-2</v>
      </c>
      <c r="Q1764" s="9"/>
      <c r="R1764" s="32"/>
      <c r="S1764" s="162"/>
    </row>
    <row r="1765" spans="1:21">
      <c r="A1765" s="42" t="s">
        <v>90</v>
      </c>
      <c r="B1765" s="3"/>
      <c r="C1765" s="3">
        <v>216</v>
      </c>
      <c r="D1765" s="1"/>
      <c r="E1765" s="20" t="s">
        <v>20</v>
      </c>
      <c r="F1765" s="7" t="s">
        <v>15</v>
      </c>
      <c r="G1765" s="7" t="s">
        <v>47</v>
      </c>
      <c r="H1765" s="11">
        <v>15</v>
      </c>
      <c r="I1765" s="8">
        <v>11.3</v>
      </c>
      <c r="J1765" s="26">
        <v>1</v>
      </c>
      <c r="K1765" s="10">
        <f t="shared" si="169"/>
        <v>0.16950000000000001</v>
      </c>
      <c r="L1765" s="4"/>
      <c r="M1765" s="17"/>
      <c r="N1765" s="18">
        <f t="shared" si="170"/>
        <v>0</v>
      </c>
      <c r="O1765" s="19">
        <f t="shared" si="171"/>
        <v>1</v>
      </c>
      <c r="P1765" s="13">
        <f t="shared" si="172"/>
        <v>0.16950000000000001</v>
      </c>
      <c r="Q1765" s="9"/>
      <c r="R1765" s="32"/>
      <c r="S1765" s="32"/>
    </row>
    <row r="1766" spans="1:21">
      <c r="A1766" s="42" t="s">
        <v>90</v>
      </c>
      <c r="B1766" s="3"/>
      <c r="C1766" s="3">
        <v>216</v>
      </c>
      <c r="D1766" s="1"/>
      <c r="E1766" s="20" t="s">
        <v>20</v>
      </c>
      <c r="F1766" s="7" t="s">
        <v>15</v>
      </c>
      <c r="G1766" s="7" t="s">
        <v>47</v>
      </c>
      <c r="H1766" s="11">
        <v>15</v>
      </c>
      <c r="I1766" s="8">
        <v>8.3000000000000007</v>
      </c>
      <c r="J1766" s="26">
        <v>1</v>
      </c>
      <c r="K1766" s="10">
        <f t="shared" si="169"/>
        <v>0.12450000000000001</v>
      </c>
      <c r="L1766" s="4"/>
      <c r="M1766" s="17"/>
      <c r="N1766" s="18">
        <f t="shared" si="170"/>
        <v>0</v>
      </c>
      <c r="O1766" s="19">
        <f t="shared" si="171"/>
        <v>1</v>
      </c>
      <c r="P1766" s="13">
        <f t="shared" si="172"/>
        <v>0.12450000000000001</v>
      </c>
      <c r="Q1766" s="9"/>
      <c r="R1766" s="32"/>
      <c r="S1766" s="32"/>
    </row>
    <row r="1767" spans="1:21">
      <c r="A1767" s="42" t="s">
        <v>90</v>
      </c>
      <c r="B1767" s="3"/>
      <c r="C1767" s="3">
        <v>216</v>
      </c>
      <c r="D1767" s="1"/>
      <c r="E1767" s="20" t="s">
        <v>20</v>
      </c>
      <c r="F1767" s="7" t="s">
        <v>15</v>
      </c>
      <c r="G1767" s="7" t="s">
        <v>47</v>
      </c>
      <c r="H1767" s="11">
        <v>15</v>
      </c>
      <c r="I1767" s="8">
        <v>9.8000000000000007</v>
      </c>
      <c r="J1767" s="26">
        <v>1</v>
      </c>
      <c r="K1767" s="10">
        <f t="shared" si="169"/>
        <v>0.14699999999999999</v>
      </c>
      <c r="L1767" s="4"/>
      <c r="M1767" s="17"/>
      <c r="N1767" s="18">
        <f t="shared" si="170"/>
        <v>0</v>
      </c>
      <c r="O1767" s="19">
        <f t="shared" si="171"/>
        <v>1</v>
      </c>
      <c r="P1767" s="13">
        <f t="shared" si="172"/>
        <v>0.14699999999999999</v>
      </c>
      <c r="Q1767" s="9"/>
      <c r="R1767" s="32"/>
      <c r="S1767" s="32"/>
    </row>
    <row r="1768" spans="1:21">
      <c r="A1768" s="42" t="s">
        <v>90</v>
      </c>
      <c r="B1768" s="3"/>
      <c r="C1768" s="3">
        <v>216</v>
      </c>
      <c r="D1768" s="1"/>
      <c r="E1768" s="20" t="s">
        <v>20</v>
      </c>
      <c r="F1768" s="7" t="s">
        <v>15</v>
      </c>
      <c r="G1768" s="7" t="s">
        <v>47</v>
      </c>
      <c r="H1768" s="11">
        <v>15</v>
      </c>
      <c r="I1768" s="8">
        <v>8</v>
      </c>
      <c r="J1768" s="26">
        <v>1</v>
      </c>
      <c r="K1768" s="10">
        <f t="shared" si="169"/>
        <v>0.12</v>
      </c>
      <c r="L1768" s="4"/>
      <c r="M1768" s="17"/>
      <c r="N1768" s="18">
        <f t="shared" si="170"/>
        <v>0</v>
      </c>
      <c r="O1768" s="19">
        <f t="shared" si="171"/>
        <v>1</v>
      </c>
      <c r="P1768" s="13">
        <f t="shared" si="172"/>
        <v>0.12</v>
      </c>
      <c r="Q1768" s="9"/>
      <c r="R1768" s="32"/>
      <c r="S1768" s="32"/>
    </row>
    <row r="1769" spans="1:21">
      <c r="A1769" s="42" t="s">
        <v>90</v>
      </c>
      <c r="B1769" s="3"/>
      <c r="C1769" s="3">
        <v>217</v>
      </c>
      <c r="D1769" s="1"/>
      <c r="E1769" s="20" t="s">
        <v>20</v>
      </c>
      <c r="F1769" s="7" t="s">
        <v>15</v>
      </c>
      <c r="G1769" s="7" t="s">
        <v>22</v>
      </c>
      <c r="H1769" s="11">
        <v>10.73</v>
      </c>
      <c r="I1769" s="8">
        <v>7.4</v>
      </c>
      <c r="J1769" s="26">
        <v>1</v>
      </c>
      <c r="K1769" s="10">
        <f t="shared" si="169"/>
        <v>7.9402E-2</v>
      </c>
      <c r="L1769" s="4"/>
      <c r="M1769" s="17">
        <v>1</v>
      </c>
      <c r="N1769" s="18">
        <f t="shared" si="170"/>
        <v>7.9402E-2</v>
      </c>
      <c r="O1769" s="19">
        <f t="shared" si="171"/>
        <v>0</v>
      </c>
      <c r="P1769" s="13">
        <f t="shared" si="172"/>
        <v>0</v>
      </c>
      <c r="Q1769" s="9">
        <v>6.1</v>
      </c>
      <c r="R1769" s="32">
        <v>1</v>
      </c>
      <c r="S1769" s="2" t="s">
        <v>741</v>
      </c>
    </row>
    <row r="1770" spans="1:21">
      <c r="A1770" s="42" t="s">
        <v>90</v>
      </c>
      <c r="B1770" s="3"/>
      <c r="C1770" s="3">
        <v>218</v>
      </c>
      <c r="D1770" s="1"/>
      <c r="E1770" s="20" t="s">
        <v>20</v>
      </c>
      <c r="F1770" s="7" t="s">
        <v>15</v>
      </c>
      <c r="G1770" s="7" t="s">
        <v>35</v>
      </c>
      <c r="H1770" s="11">
        <v>16.579999999999998</v>
      </c>
      <c r="I1770" s="8">
        <v>12</v>
      </c>
      <c r="J1770" s="26">
        <v>2</v>
      </c>
      <c r="K1770" s="10">
        <f t="shared" si="169"/>
        <v>0.39791999999999994</v>
      </c>
      <c r="L1770" s="4"/>
      <c r="M1770" s="17">
        <v>2</v>
      </c>
      <c r="N1770" s="18">
        <f t="shared" si="170"/>
        <v>0.39791999999999994</v>
      </c>
      <c r="O1770" s="19">
        <f t="shared" si="171"/>
        <v>0</v>
      </c>
      <c r="P1770" s="53">
        <f t="shared" si="172"/>
        <v>0</v>
      </c>
      <c r="Q1770" s="9">
        <v>12</v>
      </c>
      <c r="R1770" s="32">
        <v>2</v>
      </c>
      <c r="S1770" s="9" t="s">
        <v>370</v>
      </c>
    </row>
    <row r="1771" spans="1:21">
      <c r="A1771" s="42" t="s">
        <v>90</v>
      </c>
      <c r="B1771" s="3"/>
      <c r="C1771" s="3">
        <v>218</v>
      </c>
      <c r="D1771" s="1"/>
      <c r="E1771" s="20" t="s">
        <v>20</v>
      </c>
      <c r="F1771" s="7" t="s">
        <v>15</v>
      </c>
      <c r="G1771" s="7" t="s">
        <v>35</v>
      </c>
      <c r="H1771" s="11">
        <v>16.579999999999998</v>
      </c>
      <c r="I1771" s="8">
        <v>6.2</v>
      </c>
      <c r="J1771" s="26">
        <v>1</v>
      </c>
      <c r="K1771" s="10">
        <f t="shared" si="169"/>
        <v>0.102796</v>
      </c>
      <c r="L1771" s="4"/>
      <c r="M1771" s="17"/>
      <c r="N1771" s="18">
        <f t="shared" si="170"/>
        <v>0</v>
      </c>
      <c r="O1771" s="19">
        <f t="shared" si="171"/>
        <v>1</v>
      </c>
      <c r="P1771" s="13">
        <f t="shared" si="172"/>
        <v>0.102796</v>
      </c>
      <c r="Q1771" s="9"/>
      <c r="R1771" s="32"/>
      <c r="S1771" s="32"/>
    </row>
    <row r="1772" spans="1:21">
      <c r="A1772" s="42" t="s">
        <v>90</v>
      </c>
      <c r="B1772" s="3"/>
      <c r="C1772" s="3">
        <v>219</v>
      </c>
      <c r="D1772" s="1"/>
      <c r="E1772" s="20" t="s">
        <v>20</v>
      </c>
      <c r="F1772" s="7" t="s">
        <v>15</v>
      </c>
      <c r="G1772" s="7" t="s">
        <v>28</v>
      </c>
      <c r="H1772" s="11">
        <v>12.18</v>
      </c>
      <c r="I1772" s="8">
        <v>7.6</v>
      </c>
      <c r="J1772" s="26">
        <v>1</v>
      </c>
      <c r="K1772" s="10">
        <f t="shared" si="169"/>
        <v>9.2567999999999998E-2</v>
      </c>
      <c r="L1772" s="4"/>
      <c r="M1772" s="17">
        <v>1</v>
      </c>
      <c r="N1772" s="18">
        <f t="shared" si="170"/>
        <v>9.2567999999999998E-2</v>
      </c>
      <c r="O1772" s="106">
        <f t="shared" si="171"/>
        <v>0</v>
      </c>
      <c r="P1772" s="13">
        <f t="shared" si="172"/>
        <v>0</v>
      </c>
      <c r="Q1772" s="9">
        <v>7.13</v>
      </c>
      <c r="R1772" s="91">
        <v>1</v>
      </c>
      <c r="S1772" s="2" t="s">
        <v>467</v>
      </c>
    </row>
    <row r="1773" spans="1:21">
      <c r="A1773" s="42" t="s">
        <v>90</v>
      </c>
      <c r="B1773" s="3"/>
      <c r="C1773" s="3">
        <v>220</v>
      </c>
      <c r="D1773" s="1"/>
      <c r="E1773" s="20" t="s">
        <v>17</v>
      </c>
      <c r="F1773" s="7" t="s">
        <v>15</v>
      </c>
      <c r="G1773" s="7" t="s">
        <v>32</v>
      </c>
      <c r="H1773" s="11">
        <v>8.32</v>
      </c>
      <c r="I1773" s="8">
        <v>10.199999999999999</v>
      </c>
      <c r="J1773" s="26">
        <v>2</v>
      </c>
      <c r="K1773" s="10">
        <f t="shared" si="169"/>
        <v>0.16972799999999999</v>
      </c>
      <c r="L1773" s="4"/>
      <c r="M1773" s="17">
        <v>2</v>
      </c>
      <c r="N1773" s="18">
        <f t="shared" si="170"/>
        <v>0.16972799999999999</v>
      </c>
      <c r="O1773" s="19">
        <f t="shared" si="171"/>
        <v>0</v>
      </c>
      <c r="P1773" s="13">
        <f t="shared" si="172"/>
        <v>0</v>
      </c>
      <c r="Q1773" s="9">
        <v>10.199999999999999</v>
      </c>
      <c r="R1773" s="32">
        <v>1</v>
      </c>
      <c r="S1773" s="2" t="s">
        <v>213</v>
      </c>
      <c r="T1773" s="9">
        <v>10.1</v>
      </c>
      <c r="U1773" s="32">
        <v>1</v>
      </c>
    </row>
    <row r="1774" spans="1:21">
      <c r="A1774" s="42" t="s">
        <v>90</v>
      </c>
      <c r="B1774" s="3"/>
      <c r="C1774" s="3">
        <v>221</v>
      </c>
      <c r="D1774" s="1"/>
      <c r="E1774" s="20" t="s">
        <v>20</v>
      </c>
      <c r="F1774" s="60" t="s">
        <v>15</v>
      </c>
      <c r="G1774" s="60" t="s">
        <v>626</v>
      </c>
      <c r="H1774" s="61">
        <v>15.04</v>
      </c>
      <c r="I1774" s="21">
        <v>12.7</v>
      </c>
      <c r="J1774" s="22">
        <v>1</v>
      </c>
      <c r="K1774" s="62">
        <f t="shared" si="169"/>
        <v>0.19100799999999998</v>
      </c>
      <c r="L1774" s="4" t="s">
        <v>26</v>
      </c>
      <c r="M1774" s="22">
        <v>1</v>
      </c>
      <c r="N1774" s="63">
        <f t="shared" si="170"/>
        <v>0.19100799999999998</v>
      </c>
      <c r="O1774" s="64">
        <f t="shared" si="171"/>
        <v>0</v>
      </c>
      <c r="P1774" s="65">
        <f t="shared" si="172"/>
        <v>0</v>
      </c>
      <c r="Q1774" s="9">
        <v>6.55</v>
      </c>
      <c r="R1774" s="45">
        <v>1</v>
      </c>
      <c r="S1774" s="2" t="s">
        <v>740</v>
      </c>
    </row>
    <row r="1775" spans="1:21">
      <c r="A1775" s="42" t="s">
        <v>90</v>
      </c>
      <c r="B1775" s="3"/>
      <c r="C1775" s="3">
        <v>221</v>
      </c>
      <c r="D1775" s="1"/>
      <c r="E1775" s="20" t="s">
        <v>20</v>
      </c>
      <c r="F1775" s="60" t="s">
        <v>15</v>
      </c>
      <c r="G1775" s="60" t="s">
        <v>626</v>
      </c>
      <c r="H1775" s="61">
        <v>15.04</v>
      </c>
      <c r="I1775" s="21">
        <v>12</v>
      </c>
      <c r="J1775" s="22">
        <v>1</v>
      </c>
      <c r="K1775" s="62">
        <f t="shared" si="169"/>
        <v>0.18048</v>
      </c>
      <c r="L1775" s="4" t="s">
        <v>26</v>
      </c>
      <c r="M1775" s="22">
        <v>1</v>
      </c>
      <c r="N1775" s="63">
        <f t="shared" si="170"/>
        <v>0.18048</v>
      </c>
      <c r="O1775" s="64">
        <f t="shared" si="171"/>
        <v>0</v>
      </c>
      <c r="P1775" s="65">
        <f t="shared" si="172"/>
        <v>0</v>
      </c>
      <c r="Q1775" s="9">
        <v>6.55</v>
      </c>
      <c r="R1775" s="45">
        <v>1</v>
      </c>
      <c r="S1775" s="2" t="s">
        <v>740</v>
      </c>
    </row>
    <row r="1776" spans="1:21">
      <c r="A1776" s="42" t="s">
        <v>90</v>
      </c>
      <c r="B1776" s="3"/>
      <c r="C1776" s="3">
        <v>222</v>
      </c>
      <c r="D1776" s="1"/>
      <c r="E1776" s="20" t="s">
        <v>96</v>
      </c>
      <c r="F1776" s="7" t="s">
        <v>15</v>
      </c>
      <c r="G1776" s="7" t="s">
        <v>22</v>
      </c>
      <c r="H1776" s="11">
        <v>10.73</v>
      </c>
      <c r="I1776" s="8">
        <v>7.8</v>
      </c>
      <c r="J1776" s="26">
        <v>1</v>
      </c>
      <c r="K1776" s="10">
        <f t="shared" si="169"/>
        <v>8.3694000000000005E-2</v>
      </c>
      <c r="L1776" s="4"/>
      <c r="M1776" s="17">
        <v>1</v>
      </c>
      <c r="N1776" s="18">
        <f t="shared" si="170"/>
        <v>8.3694000000000005E-2</v>
      </c>
      <c r="O1776" s="19">
        <f t="shared" si="171"/>
        <v>0</v>
      </c>
      <c r="P1776" s="13">
        <f t="shared" si="172"/>
        <v>0</v>
      </c>
      <c r="Q1776" s="9">
        <v>7.8</v>
      </c>
      <c r="R1776" s="45">
        <v>1</v>
      </c>
      <c r="S1776" s="32" t="s">
        <v>279</v>
      </c>
    </row>
    <row r="1777" spans="1:19">
      <c r="A1777" s="42" t="s">
        <v>90</v>
      </c>
      <c r="B1777" s="3"/>
      <c r="C1777" s="3">
        <v>222</v>
      </c>
      <c r="D1777" s="1"/>
      <c r="E1777" s="20" t="s">
        <v>96</v>
      </c>
      <c r="F1777" s="7" t="s">
        <v>15</v>
      </c>
      <c r="G1777" s="7" t="s">
        <v>22</v>
      </c>
      <c r="H1777" s="11">
        <v>10.73</v>
      </c>
      <c r="I1777" s="8">
        <v>9.5</v>
      </c>
      <c r="J1777" s="26">
        <v>1</v>
      </c>
      <c r="K1777" s="10">
        <f t="shared" si="169"/>
        <v>0.101935</v>
      </c>
      <c r="L1777" s="4"/>
      <c r="M1777" s="17">
        <v>1</v>
      </c>
      <c r="N1777" s="18">
        <f t="shared" si="170"/>
        <v>0.101935</v>
      </c>
      <c r="O1777" s="19">
        <f t="shared" si="171"/>
        <v>0</v>
      </c>
      <c r="P1777" s="13">
        <f t="shared" si="172"/>
        <v>0</v>
      </c>
      <c r="Q1777" s="9">
        <v>9.4</v>
      </c>
      <c r="R1777" s="45">
        <v>1</v>
      </c>
      <c r="S1777" s="32" t="s">
        <v>279</v>
      </c>
    </row>
    <row r="1778" spans="1:19">
      <c r="A1778" s="42" t="s">
        <v>90</v>
      </c>
      <c r="B1778" s="3"/>
      <c r="C1778" s="3">
        <v>223</v>
      </c>
      <c r="D1778" s="1"/>
      <c r="E1778" s="20" t="s">
        <v>20</v>
      </c>
      <c r="F1778" s="7" t="s">
        <v>15</v>
      </c>
      <c r="G1778" s="7" t="s">
        <v>45</v>
      </c>
      <c r="H1778" s="11">
        <v>13.6</v>
      </c>
      <c r="I1778" s="8">
        <v>6.8</v>
      </c>
      <c r="J1778" s="26">
        <v>2</v>
      </c>
      <c r="K1778" s="10">
        <f t="shared" si="169"/>
        <v>0.18495999999999999</v>
      </c>
      <c r="L1778" s="4"/>
      <c r="M1778" s="17">
        <v>2</v>
      </c>
      <c r="N1778" s="18">
        <f t="shared" si="170"/>
        <v>0.18495999999999999</v>
      </c>
      <c r="O1778" s="19">
        <f t="shared" si="171"/>
        <v>0</v>
      </c>
      <c r="P1778" s="13">
        <f t="shared" si="172"/>
        <v>0</v>
      </c>
      <c r="Q1778" s="9">
        <v>6.6</v>
      </c>
      <c r="R1778" s="32">
        <v>2</v>
      </c>
      <c r="S1778" s="2" t="s">
        <v>279</v>
      </c>
    </row>
    <row r="1779" spans="1:19">
      <c r="A1779" s="42" t="s">
        <v>90</v>
      </c>
      <c r="B1779" s="3"/>
      <c r="C1779" s="3">
        <v>223</v>
      </c>
      <c r="D1779" s="1"/>
      <c r="E1779" s="20" t="s">
        <v>20</v>
      </c>
      <c r="F1779" s="7" t="s">
        <v>15</v>
      </c>
      <c r="G1779" s="7" t="s">
        <v>45</v>
      </c>
      <c r="H1779" s="11">
        <v>13.6</v>
      </c>
      <c r="I1779" s="8">
        <v>10</v>
      </c>
      <c r="J1779" s="26">
        <v>1</v>
      </c>
      <c r="K1779" s="10">
        <f t="shared" si="169"/>
        <v>0.13600000000000001</v>
      </c>
      <c r="L1779" s="4"/>
      <c r="M1779" s="17">
        <v>1</v>
      </c>
      <c r="N1779" s="18">
        <f t="shared" si="170"/>
        <v>0.13600000000000001</v>
      </c>
      <c r="O1779" s="19">
        <f t="shared" si="171"/>
        <v>0</v>
      </c>
      <c r="P1779" s="13">
        <f t="shared" si="172"/>
        <v>0</v>
      </c>
      <c r="Q1779" s="9">
        <v>6.6</v>
      </c>
      <c r="R1779" s="32">
        <v>1</v>
      </c>
      <c r="S1779" s="2" t="s">
        <v>279</v>
      </c>
    </row>
    <row r="1780" spans="1:19">
      <c r="A1780" s="42" t="s">
        <v>90</v>
      </c>
      <c r="B1780" s="32"/>
      <c r="C1780" s="3">
        <v>223</v>
      </c>
      <c r="D1780" s="1"/>
      <c r="E1780" s="20" t="s">
        <v>20</v>
      </c>
      <c r="F1780" s="7" t="s">
        <v>15</v>
      </c>
      <c r="G1780" s="7" t="s">
        <v>45</v>
      </c>
      <c r="H1780" s="11">
        <v>13.6</v>
      </c>
      <c r="I1780" s="8">
        <v>8.6</v>
      </c>
      <c r="J1780" s="26">
        <v>1</v>
      </c>
      <c r="K1780" s="10">
        <f t="shared" si="169"/>
        <v>0.11695999999999999</v>
      </c>
      <c r="L1780" s="4"/>
      <c r="M1780" s="17">
        <v>1</v>
      </c>
      <c r="N1780" s="18">
        <f t="shared" si="170"/>
        <v>0.11695999999999999</v>
      </c>
      <c r="O1780" s="19">
        <f t="shared" si="171"/>
        <v>0</v>
      </c>
      <c r="P1780" s="13">
        <f t="shared" si="172"/>
        <v>0</v>
      </c>
      <c r="Q1780" s="9">
        <v>6.6</v>
      </c>
      <c r="R1780" s="32">
        <v>1</v>
      </c>
      <c r="S1780" s="2" t="s">
        <v>279</v>
      </c>
    </row>
    <row r="1781" spans="1:19">
      <c r="A1781" s="42" t="s">
        <v>90</v>
      </c>
      <c r="B1781" s="3"/>
      <c r="C1781" s="3">
        <v>224</v>
      </c>
      <c r="D1781" s="1"/>
      <c r="E1781" s="20" t="s">
        <v>96</v>
      </c>
      <c r="F1781" s="7" t="s">
        <v>15</v>
      </c>
      <c r="G1781" s="7" t="s">
        <v>25</v>
      </c>
      <c r="H1781" s="11">
        <v>7.34</v>
      </c>
      <c r="I1781" s="8">
        <v>12</v>
      </c>
      <c r="J1781" s="26">
        <v>2</v>
      </c>
      <c r="K1781" s="10">
        <f t="shared" si="169"/>
        <v>0.17615999999999998</v>
      </c>
      <c r="L1781" s="4"/>
      <c r="M1781" s="17">
        <v>2</v>
      </c>
      <c r="N1781" s="18">
        <f t="shared" si="170"/>
        <v>0.17615999999999998</v>
      </c>
      <c r="O1781" s="19">
        <f t="shared" si="171"/>
        <v>0</v>
      </c>
      <c r="P1781" s="13">
        <f t="shared" si="172"/>
        <v>0</v>
      </c>
      <c r="Q1781" s="9"/>
      <c r="R1781" s="32"/>
      <c r="S1781" s="32"/>
    </row>
    <row r="1782" spans="1:19">
      <c r="A1782" s="42" t="s">
        <v>90</v>
      </c>
      <c r="B1782" s="3"/>
      <c r="C1782" s="3">
        <v>224</v>
      </c>
      <c r="D1782" s="1"/>
      <c r="E1782" s="20" t="s">
        <v>105</v>
      </c>
      <c r="F1782" s="7" t="s">
        <v>15</v>
      </c>
      <c r="G1782" s="7" t="s">
        <v>32</v>
      </c>
      <c r="H1782" s="11">
        <v>8.3000000000000007</v>
      </c>
      <c r="I1782" s="8">
        <v>9.1</v>
      </c>
      <c r="J1782" s="26">
        <v>1</v>
      </c>
      <c r="K1782" s="10">
        <f t="shared" si="169"/>
        <v>7.553E-2</v>
      </c>
      <c r="L1782" s="4"/>
      <c r="M1782" s="17">
        <v>1</v>
      </c>
      <c r="N1782" s="18">
        <f t="shared" si="170"/>
        <v>7.553E-2</v>
      </c>
      <c r="O1782" s="19">
        <f t="shared" si="171"/>
        <v>0</v>
      </c>
      <c r="P1782" s="13">
        <f t="shared" si="172"/>
        <v>0</v>
      </c>
      <c r="Q1782" s="32">
        <v>8.15</v>
      </c>
      <c r="R1782" s="32">
        <v>1</v>
      </c>
      <c r="S1782" s="32"/>
    </row>
    <row r="1783" spans="1:19">
      <c r="A1783" s="42" t="s">
        <v>90</v>
      </c>
      <c r="B1783" s="3"/>
      <c r="C1783" s="3">
        <v>225</v>
      </c>
      <c r="D1783" s="1"/>
      <c r="E1783" s="20" t="s">
        <v>19</v>
      </c>
      <c r="F1783" s="7" t="s">
        <v>14</v>
      </c>
      <c r="G1783" s="7" t="s">
        <v>22</v>
      </c>
      <c r="H1783" s="11">
        <v>10.73</v>
      </c>
      <c r="I1783" s="8">
        <v>8.6</v>
      </c>
      <c r="J1783" s="26">
        <v>1</v>
      </c>
      <c r="K1783" s="10">
        <f t="shared" si="169"/>
        <v>9.2277999999999999E-2</v>
      </c>
      <c r="L1783" s="4"/>
      <c r="M1783" s="17">
        <v>1</v>
      </c>
      <c r="N1783" s="18">
        <f t="shared" si="170"/>
        <v>9.2277999999999999E-2</v>
      </c>
      <c r="O1783" s="19">
        <f t="shared" si="171"/>
        <v>0</v>
      </c>
      <c r="P1783" s="13">
        <f t="shared" si="172"/>
        <v>0</v>
      </c>
      <c r="Q1783" s="9">
        <v>6.5</v>
      </c>
      <c r="R1783" s="45">
        <v>1</v>
      </c>
      <c r="S1783" s="32" t="s">
        <v>279</v>
      </c>
    </row>
    <row r="1784" spans="1:19">
      <c r="A1784" s="42" t="s">
        <v>90</v>
      </c>
      <c r="B1784" s="3"/>
      <c r="C1784" s="3">
        <v>225</v>
      </c>
      <c r="D1784" s="1"/>
      <c r="E1784" s="20" t="s">
        <v>19</v>
      </c>
      <c r="F1784" s="7" t="s">
        <v>14</v>
      </c>
      <c r="G1784" s="7" t="s">
        <v>22</v>
      </c>
      <c r="H1784" s="11">
        <v>10.73</v>
      </c>
      <c r="I1784" s="8">
        <v>11.5</v>
      </c>
      <c r="J1784" s="26">
        <v>1</v>
      </c>
      <c r="K1784" s="10">
        <f t="shared" si="169"/>
        <v>0.123395</v>
      </c>
      <c r="L1784" s="4"/>
      <c r="M1784" s="17">
        <v>1</v>
      </c>
      <c r="N1784" s="18">
        <f t="shared" si="170"/>
        <v>0.123395</v>
      </c>
      <c r="O1784" s="19">
        <f t="shared" si="171"/>
        <v>0</v>
      </c>
      <c r="P1784" s="13">
        <f t="shared" si="172"/>
        <v>0</v>
      </c>
      <c r="Q1784" s="9">
        <v>8.75</v>
      </c>
      <c r="R1784" s="32">
        <v>1</v>
      </c>
      <c r="S1784" s="2" t="s">
        <v>450</v>
      </c>
    </row>
    <row r="1785" spans="1:19">
      <c r="A1785" s="42" t="s">
        <v>90</v>
      </c>
      <c r="B1785" s="3"/>
      <c r="C1785" s="3">
        <v>226</v>
      </c>
      <c r="D1785" s="1"/>
      <c r="E1785" s="20" t="s">
        <v>96</v>
      </c>
      <c r="F1785" s="7" t="s">
        <v>15</v>
      </c>
      <c r="G1785" s="7" t="s">
        <v>28</v>
      </c>
      <c r="H1785" s="11">
        <v>12.18</v>
      </c>
      <c r="I1785" s="8">
        <v>9</v>
      </c>
      <c r="J1785" s="26">
        <v>1</v>
      </c>
      <c r="K1785" s="10">
        <f t="shared" si="169"/>
        <v>0.10962000000000001</v>
      </c>
      <c r="L1785" s="4"/>
      <c r="M1785" s="17">
        <v>1</v>
      </c>
      <c r="N1785" s="18">
        <f t="shared" si="170"/>
        <v>0.10962000000000001</v>
      </c>
      <c r="O1785" s="106">
        <f t="shared" si="171"/>
        <v>0</v>
      </c>
      <c r="P1785" s="13">
        <f t="shared" si="172"/>
        <v>0</v>
      </c>
      <c r="Q1785" s="9">
        <v>7.13</v>
      </c>
      <c r="R1785" s="91">
        <v>1</v>
      </c>
      <c r="S1785" s="2" t="s">
        <v>467</v>
      </c>
    </row>
    <row r="1786" spans="1:19">
      <c r="A1786" s="42" t="s">
        <v>90</v>
      </c>
      <c r="B1786" s="3"/>
      <c r="C1786" s="3">
        <v>226</v>
      </c>
      <c r="D1786" s="1"/>
      <c r="E1786" s="20" t="s">
        <v>96</v>
      </c>
      <c r="F1786" s="7" t="s">
        <v>15</v>
      </c>
      <c r="G1786" s="7" t="s">
        <v>28</v>
      </c>
      <c r="H1786" s="11">
        <v>12.18</v>
      </c>
      <c r="I1786" s="8">
        <v>8</v>
      </c>
      <c r="J1786" s="26">
        <v>1</v>
      </c>
      <c r="K1786" s="10">
        <f t="shared" si="169"/>
        <v>9.7439999999999999E-2</v>
      </c>
      <c r="L1786" s="4"/>
      <c r="M1786" s="17">
        <v>1</v>
      </c>
      <c r="N1786" s="18">
        <f t="shared" si="170"/>
        <v>9.7439999999999999E-2</v>
      </c>
      <c r="O1786" s="106">
        <f t="shared" si="171"/>
        <v>0</v>
      </c>
      <c r="P1786" s="13">
        <f t="shared" si="172"/>
        <v>0</v>
      </c>
      <c r="Q1786" s="9">
        <v>7.13</v>
      </c>
      <c r="R1786" s="91">
        <v>1</v>
      </c>
      <c r="S1786" s="2" t="s">
        <v>467</v>
      </c>
    </row>
    <row r="1787" spans="1:19">
      <c r="A1787" s="42" t="s">
        <v>90</v>
      </c>
      <c r="B1787" s="3"/>
      <c r="C1787" s="3">
        <v>226</v>
      </c>
      <c r="D1787" s="1"/>
      <c r="E1787" s="20" t="s">
        <v>96</v>
      </c>
      <c r="F1787" s="7" t="s">
        <v>15</v>
      </c>
      <c r="G1787" s="7" t="s">
        <v>28</v>
      </c>
      <c r="H1787" s="11">
        <v>12.18</v>
      </c>
      <c r="I1787" s="8">
        <v>9.5</v>
      </c>
      <c r="J1787" s="26">
        <v>1</v>
      </c>
      <c r="K1787" s="10">
        <f t="shared" si="169"/>
        <v>0.11570999999999999</v>
      </c>
      <c r="L1787" s="4"/>
      <c r="M1787" s="17">
        <v>1</v>
      </c>
      <c r="N1787" s="18">
        <f t="shared" si="170"/>
        <v>0.11570999999999999</v>
      </c>
      <c r="O1787" s="106">
        <f t="shared" si="171"/>
        <v>0</v>
      </c>
      <c r="P1787" s="13">
        <f t="shared" si="172"/>
        <v>0</v>
      </c>
      <c r="Q1787" s="9">
        <v>7.13</v>
      </c>
      <c r="R1787" s="91">
        <v>1</v>
      </c>
      <c r="S1787" s="2" t="s">
        <v>467</v>
      </c>
    </row>
    <row r="1788" spans="1:19">
      <c r="A1788" s="42" t="s">
        <v>90</v>
      </c>
      <c r="B1788" s="3"/>
      <c r="C1788" s="3">
        <v>227</v>
      </c>
      <c r="D1788" s="1"/>
      <c r="E1788" s="20" t="s">
        <v>106</v>
      </c>
      <c r="F1788" s="7" t="s">
        <v>15</v>
      </c>
      <c r="G1788" s="7" t="s">
        <v>30</v>
      </c>
      <c r="H1788" s="11">
        <v>9.26</v>
      </c>
      <c r="I1788" s="184">
        <v>10.75</v>
      </c>
      <c r="J1788" s="26">
        <v>3</v>
      </c>
      <c r="K1788" s="10">
        <f t="shared" si="169"/>
        <v>0.29863499999999998</v>
      </c>
      <c r="L1788" s="4"/>
      <c r="M1788" s="17"/>
      <c r="N1788" s="18">
        <f t="shared" si="170"/>
        <v>0</v>
      </c>
      <c r="O1788" s="19">
        <f t="shared" si="171"/>
        <v>3</v>
      </c>
      <c r="P1788" s="13">
        <f t="shared" si="172"/>
        <v>0.29863499999999998</v>
      </c>
      <c r="Q1788" s="9"/>
      <c r="R1788" s="32"/>
      <c r="S1788" s="32"/>
    </row>
    <row r="1789" spans="1:19">
      <c r="A1789" s="42" t="s">
        <v>90</v>
      </c>
      <c r="B1789" s="3"/>
      <c r="C1789" s="3">
        <v>228</v>
      </c>
      <c r="D1789" s="1" t="s">
        <v>98</v>
      </c>
      <c r="E1789" s="20" t="s">
        <v>107</v>
      </c>
      <c r="F1789" s="7" t="s">
        <v>15</v>
      </c>
      <c r="G1789" s="7" t="s">
        <v>43</v>
      </c>
      <c r="H1789" s="11">
        <v>15.04</v>
      </c>
      <c r="I1789" s="8">
        <v>10</v>
      </c>
      <c r="J1789" s="26">
        <v>1</v>
      </c>
      <c r="K1789" s="10">
        <f t="shared" si="169"/>
        <v>0.15039999999999998</v>
      </c>
      <c r="L1789" s="4"/>
      <c r="M1789" s="17">
        <v>1</v>
      </c>
      <c r="N1789" s="18">
        <f t="shared" si="170"/>
        <v>0.15039999999999998</v>
      </c>
      <c r="O1789" s="19">
        <f t="shared" si="171"/>
        <v>0</v>
      </c>
      <c r="P1789" s="13">
        <f t="shared" si="172"/>
        <v>0</v>
      </c>
      <c r="Q1789" s="9"/>
      <c r="R1789" s="32">
        <v>1</v>
      </c>
      <c r="S1789" s="32" t="s">
        <v>734</v>
      </c>
    </row>
    <row r="1790" spans="1:19">
      <c r="A1790" s="42" t="s">
        <v>90</v>
      </c>
      <c r="B1790" s="3"/>
      <c r="C1790" s="3">
        <v>228</v>
      </c>
      <c r="D1790" s="1" t="s">
        <v>98</v>
      </c>
      <c r="E1790" s="20" t="s">
        <v>107</v>
      </c>
      <c r="F1790" s="7" t="s">
        <v>15</v>
      </c>
      <c r="G1790" s="7" t="s">
        <v>43</v>
      </c>
      <c r="H1790" s="11">
        <v>15.04</v>
      </c>
      <c r="I1790" s="8">
        <v>11.9</v>
      </c>
      <c r="J1790" s="26">
        <v>1</v>
      </c>
      <c r="K1790" s="10">
        <f t="shared" si="169"/>
        <v>0.178976</v>
      </c>
      <c r="L1790" s="4"/>
      <c r="M1790" s="17">
        <v>1</v>
      </c>
      <c r="N1790" s="18">
        <f t="shared" si="170"/>
        <v>0.178976</v>
      </c>
      <c r="O1790" s="19">
        <f t="shared" si="171"/>
        <v>0</v>
      </c>
      <c r="P1790" s="13">
        <f t="shared" si="172"/>
        <v>0</v>
      </c>
      <c r="Q1790" s="9"/>
      <c r="R1790" s="32">
        <v>1</v>
      </c>
      <c r="S1790" s="32" t="s">
        <v>734</v>
      </c>
    </row>
    <row r="1791" spans="1:19">
      <c r="A1791" s="42" t="s">
        <v>90</v>
      </c>
      <c r="B1791" s="3"/>
      <c r="C1791" s="3">
        <v>229</v>
      </c>
      <c r="D1791" s="1"/>
      <c r="E1791" s="20" t="s">
        <v>19</v>
      </c>
      <c r="F1791" s="7" t="s">
        <v>14</v>
      </c>
      <c r="G1791" s="7" t="s">
        <v>22</v>
      </c>
      <c r="H1791" s="11">
        <v>10.73</v>
      </c>
      <c r="I1791" s="8">
        <v>5.3</v>
      </c>
      <c r="J1791" s="26">
        <v>1</v>
      </c>
      <c r="K1791" s="10">
        <f t="shared" si="169"/>
        <v>5.6869000000000003E-2</v>
      </c>
      <c r="L1791" s="4"/>
      <c r="M1791" s="17"/>
      <c r="N1791" s="18">
        <f t="shared" si="170"/>
        <v>0</v>
      </c>
      <c r="O1791" s="19">
        <f t="shared" si="171"/>
        <v>1</v>
      </c>
      <c r="P1791" s="13">
        <f t="shared" si="172"/>
        <v>5.6869000000000003E-2</v>
      </c>
      <c r="Q1791" s="9"/>
      <c r="R1791" s="32"/>
      <c r="S1791" s="32"/>
    </row>
    <row r="1792" spans="1:19">
      <c r="A1792" s="42" t="s">
        <v>90</v>
      </c>
      <c r="B1792" s="3"/>
      <c r="C1792" s="3">
        <v>229</v>
      </c>
      <c r="D1792" s="1"/>
      <c r="E1792" s="20" t="s">
        <v>19</v>
      </c>
      <c r="F1792" s="7" t="s">
        <v>14</v>
      </c>
      <c r="G1792" s="7" t="s">
        <v>22</v>
      </c>
      <c r="H1792" s="11">
        <v>10.73</v>
      </c>
      <c r="I1792" s="8">
        <v>5</v>
      </c>
      <c r="J1792" s="26">
        <v>1</v>
      </c>
      <c r="K1792" s="10">
        <f t="shared" si="169"/>
        <v>5.3650000000000003E-2</v>
      </c>
      <c r="L1792" s="4"/>
      <c r="M1792" s="17"/>
      <c r="N1792" s="18">
        <f t="shared" si="170"/>
        <v>0</v>
      </c>
      <c r="O1792" s="19">
        <f t="shared" si="171"/>
        <v>1</v>
      </c>
      <c r="P1792" s="13">
        <f t="shared" si="172"/>
        <v>5.3650000000000003E-2</v>
      </c>
      <c r="Q1792" s="9"/>
      <c r="R1792" s="32"/>
      <c r="S1792" s="32"/>
    </row>
    <row r="1793" spans="1:19">
      <c r="A1793" s="42" t="s">
        <v>90</v>
      </c>
      <c r="B1793" s="3"/>
      <c r="C1793" s="3">
        <v>230</v>
      </c>
      <c r="D1793" s="1"/>
      <c r="E1793" s="20" t="s">
        <v>19</v>
      </c>
      <c r="F1793" s="7" t="s">
        <v>14</v>
      </c>
      <c r="G1793" s="7" t="s">
        <v>45</v>
      </c>
      <c r="H1793" s="11">
        <v>13.6</v>
      </c>
      <c r="I1793" s="8">
        <v>7.8</v>
      </c>
      <c r="J1793" s="26">
        <v>9</v>
      </c>
      <c r="K1793" s="10">
        <f t="shared" si="169"/>
        <v>0.95472000000000001</v>
      </c>
      <c r="L1793" s="4"/>
      <c r="M1793" s="17"/>
      <c r="N1793" s="18">
        <f t="shared" si="170"/>
        <v>0</v>
      </c>
      <c r="O1793" s="19">
        <f t="shared" si="171"/>
        <v>9</v>
      </c>
      <c r="P1793" s="13">
        <f t="shared" si="172"/>
        <v>0.95472000000000001</v>
      </c>
      <c r="Q1793" s="9"/>
      <c r="R1793" s="32"/>
      <c r="S1793" s="32"/>
    </row>
    <row r="1794" spans="1:19">
      <c r="A1794" s="42" t="s">
        <v>90</v>
      </c>
      <c r="B1794" s="3"/>
      <c r="C1794" s="3">
        <v>230</v>
      </c>
      <c r="D1794" s="1"/>
      <c r="E1794" s="20" t="s">
        <v>19</v>
      </c>
      <c r="F1794" s="7" t="s">
        <v>14</v>
      </c>
      <c r="G1794" s="7" t="s">
        <v>45</v>
      </c>
      <c r="H1794" s="11">
        <v>13.6</v>
      </c>
      <c r="I1794" s="8">
        <v>6.5</v>
      </c>
      <c r="J1794" s="26">
        <v>1</v>
      </c>
      <c r="K1794" s="10">
        <f t="shared" si="169"/>
        <v>8.8399999999999992E-2</v>
      </c>
      <c r="L1794" s="4"/>
      <c r="M1794" s="17"/>
      <c r="N1794" s="18">
        <f t="shared" si="170"/>
        <v>0</v>
      </c>
      <c r="O1794" s="19">
        <f t="shared" si="171"/>
        <v>1</v>
      </c>
      <c r="P1794" s="13">
        <f t="shared" si="172"/>
        <v>8.8399999999999992E-2</v>
      </c>
      <c r="Q1794" s="9"/>
      <c r="R1794" s="32"/>
      <c r="S1794" s="32"/>
    </row>
    <row r="1795" spans="1:19">
      <c r="A1795" s="42" t="s">
        <v>90</v>
      </c>
      <c r="B1795" s="3"/>
      <c r="C1795" s="3">
        <v>230</v>
      </c>
      <c r="D1795" s="1"/>
      <c r="E1795" s="20" t="s">
        <v>19</v>
      </c>
      <c r="F1795" s="7" t="s">
        <v>14</v>
      </c>
      <c r="G1795" s="7" t="s">
        <v>45</v>
      </c>
      <c r="H1795" s="11">
        <v>13.6</v>
      </c>
      <c r="I1795" s="8">
        <v>7.4</v>
      </c>
      <c r="J1795" s="26">
        <v>1</v>
      </c>
      <c r="K1795" s="10">
        <f t="shared" si="169"/>
        <v>0.10064000000000001</v>
      </c>
      <c r="L1795" s="4"/>
      <c r="M1795" s="17"/>
      <c r="N1795" s="18">
        <f t="shared" si="170"/>
        <v>0</v>
      </c>
      <c r="O1795" s="19">
        <f t="shared" si="171"/>
        <v>1</v>
      </c>
      <c r="P1795" s="13">
        <f t="shared" si="172"/>
        <v>0.10064000000000001</v>
      </c>
      <c r="Q1795" s="9"/>
      <c r="R1795" s="32"/>
      <c r="S1795" s="32"/>
    </row>
    <row r="1796" spans="1:19">
      <c r="A1796" s="42" t="s">
        <v>90</v>
      </c>
      <c r="B1796" s="3"/>
      <c r="C1796" s="3">
        <v>230</v>
      </c>
      <c r="D1796" s="1"/>
      <c r="E1796" s="20" t="s">
        <v>19</v>
      </c>
      <c r="F1796" s="7" t="s">
        <v>14</v>
      </c>
      <c r="G1796" s="7" t="s">
        <v>45</v>
      </c>
      <c r="H1796" s="11">
        <v>13.6</v>
      </c>
      <c r="I1796" s="8">
        <v>9</v>
      </c>
      <c r="J1796" s="26">
        <v>1</v>
      </c>
      <c r="K1796" s="10">
        <f t="shared" si="169"/>
        <v>0.12239999999999999</v>
      </c>
      <c r="L1796" s="4"/>
      <c r="M1796" s="17"/>
      <c r="N1796" s="18">
        <f t="shared" si="170"/>
        <v>0</v>
      </c>
      <c r="O1796" s="19">
        <f t="shared" si="171"/>
        <v>1</v>
      </c>
      <c r="P1796" s="13">
        <f t="shared" si="172"/>
        <v>0.12239999999999999</v>
      </c>
      <c r="Q1796" s="9"/>
      <c r="R1796" s="32"/>
      <c r="S1796" s="32"/>
    </row>
    <row r="1797" spans="1:19">
      <c r="A1797" s="42" t="s">
        <v>90</v>
      </c>
      <c r="B1797" s="3"/>
      <c r="C1797" s="3">
        <v>230</v>
      </c>
      <c r="D1797" s="1"/>
      <c r="E1797" s="20" t="s">
        <v>19</v>
      </c>
      <c r="F1797" s="7" t="s">
        <v>14</v>
      </c>
      <c r="G1797" s="7" t="s">
        <v>45</v>
      </c>
      <c r="H1797" s="11">
        <v>13.6</v>
      </c>
      <c r="I1797" s="8">
        <v>6.4</v>
      </c>
      <c r="J1797" s="26">
        <v>1</v>
      </c>
      <c r="K1797" s="10">
        <f t="shared" si="169"/>
        <v>8.7040000000000006E-2</v>
      </c>
      <c r="L1797" s="4"/>
      <c r="M1797" s="17"/>
      <c r="N1797" s="18">
        <f t="shared" si="170"/>
        <v>0</v>
      </c>
      <c r="O1797" s="19">
        <f t="shared" si="171"/>
        <v>1</v>
      </c>
      <c r="P1797" s="13">
        <f t="shared" si="172"/>
        <v>8.7040000000000006E-2</v>
      </c>
      <c r="Q1797" s="9"/>
      <c r="R1797" s="32"/>
      <c r="S1797" s="32"/>
    </row>
    <row r="1798" spans="1:19">
      <c r="A1798" s="42" t="s">
        <v>90</v>
      </c>
      <c r="B1798" s="3"/>
      <c r="C1798" s="3">
        <v>231</v>
      </c>
      <c r="D1798" s="1"/>
      <c r="E1798" s="20" t="s">
        <v>19</v>
      </c>
      <c r="F1798" s="7" t="s">
        <v>14</v>
      </c>
      <c r="G1798" s="7" t="s">
        <v>30</v>
      </c>
      <c r="H1798" s="11">
        <v>9.26</v>
      </c>
      <c r="I1798" s="8">
        <v>10.25</v>
      </c>
      <c r="J1798" s="26">
        <v>2</v>
      </c>
      <c r="K1798" s="10">
        <f t="shared" si="169"/>
        <v>0.18982999999999997</v>
      </c>
      <c r="L1798" s="4"/>
      <c r="M1798" s="17">
        <v>2</v>
      </c>
      <c r="N1798" s="18">
        <f t="shared" si="170"/>
        <v>0.18982999999999997</v>
      </c>
      <c r="O1798" s="19">
        <f t="shared" si="171"/>
        <v>0</v>
      </c>
      <c r="P1798" s="13">
        <f t="shared" si="172"/>
        <v>0</v>
      </c>
      <c r="Q1798" s="9">
        <v>7.6</v>
      </c>
      <c r="R1798" s="32">
        <v>2</v>
      </c>
      <c r="S1798" s="2" t="s">
        <v>212</v>
      </c>
    </row>
    <row r="1799" spans="1:19">
      <c r="A1799" s="42" t="s">
        <v>90</v>
      </c>
      <c r="B1799" s="3"/>
      <c r="C1799" s="3">
        <v>232</v>
      </c>
      <c r="D1799" s="1"/>
      <c r="E1799" s="20" t="s">
        <v>20</v>
      </c>
      <c r="F1799" s="7" t="s">
        <v>15</v>
      </c>
      <c r="G1799" s="7" t="s">
        <v>45</v>
      </c>
      <c r="H1799" s="11">
        <v>13.6</v>
      </c>
      <c r="I1799" s="8">
        <v>6.5</v>
      </c>
      <c r="J1799" s="26">
        <v>1</v>
      </c>
      <c r="K1799" s="10">
        <f t="shared" ref="K1799:K1847" si="173">(H1799*I1799*J1799/1000)</f>
        <v>8.8399999999999992E-2</v>
      </c>
      <c r="L1799" s="4"/>
      <c r="M1799" s="17"/>
      <c r="N1799" s="18">
        <f t="shared" ref="N1799:N1847" si="174">I1799*M1799*H1799/1000</f>
        <v>0</v>
      </c>
      <c r="O1799" s="19">
        <f t="shared" ref="O1799:O1847" si="175">J1799-M1799</f>
        <v>1</v>
      </c>
      <c r="P1799" s="13">
        <f t="shared" ref="P1799:P1847" si="176">I1799*O1799*H1799/1000</f>
        <v>8.8399999999999992E-2</v>
      </c>
      <c r="Q1799" s="9">
        <v>6.55</v>
      </c>
      <c r="R1799" s="45">
        <v>1</v>
      </c>
      <c r="S1799" s="2" t="s">
        <v>740</v>
      </c>
    </row>
    <row r="1800" spans="1:19">
      <c r="A1800" s="42" t="s">
        <v>90</v>
      </c>
      <c r="B1800" s="3"/>
      <c r="C1800" s="3">
        <v>232</v>
      </c>
      <c r="D1800" s="1"/>
      <c r="E1800" s="20" t="s">
        <v>19</v>
      </c>
      <c r="F1800" s="7" t="s">
        <v>14</v>
      </c>
      <c r="G1800" s="7" t="s">
        <v>25</v>
      </c>
      <c r="H1800" s="11">
        <v>7.34</v>
      </c>
      <c r="I1800" s="8">
        <v>8.4</v>
      </c>
      <c r="J1800" s="26">
        <v>1</v>
      </c>
      <c r="K1800" s="10">
        <f t="shared" si="173"/>
        <v>6.1655999999999996E-2</v>
      </c>
      <c r="L1800" s="4"/>
      <c r="M1800" s="17">
        <v>1</v>
      </c>
      <c r="N1800" s="18">
        <f t="shared" si="174"/>
        <v>6.1655999999999996E-2</v>
      </c>
      <c r="O1800" s="19">
        <f t="shared" si="175"/>
        <v>0</v>
      </c>
      <c r="P1800" s="13">
        <f t="shared" si="176"/>
        <v>0</v>
      </c>
      <c r="Q1800" s="9">
        <v>7.55</v>
      </c>
      <c r="R1800" s="32">
        <v>1</v>
      </c>
      <c r="S1800" s="2" t="s">
        <v>335</v>
      </c>
    </row>
    <row r="1801" spans="1:19">
      <c r="A1801" s="42" t="s">
        <v>90</v>
      </c>
      <c r="B1801" s="3"/>
      <c r="C1801" s="3">
        <v>233</v>
      </c>
      <c r="D1801" s="1"/>
      <c r="E1801" s="20" t="s">
        <v>20</v>
      </c>
      <c r="F1801" s="7" t="s">
        <v>15</v>
      </c>
      <c r="G1801" s="7" t="s">
        <v>31</v>
      </c>
      <c r="H1801" s="11">
        <v>9.65</v>
      </c>
      <c r="I1801" s="8">
        <v>6.5</v>
      </c>
      <c r="J1801" s="26">
        <v>1</v>
      </c>
      <c r="K1801" s="10">
        <f t="shared" si="173"/>
        <v>6.2725000000000003E-2</v>
      </c>
      <c r="L1801" s="4"/>
      <c r="M1801" s="17"/>
      <c r="N1801" s="18">
        <f t="shared" si="174"/>
        <v>0</v>
      </c>
      <c r="O1801" s="19">
        <f t="shared" si="175"/>
        <v>1</v>
      </c>
      <c r="P1801" s="13">
        <f t="shared" si="176"/>
        <v>6.2725000000000003E-2</v>
      </c>
      <c r="Q1801" s="9"/>
      <c r="R1801" s="32"/>
      <c r="S1801" s="32"/>
    </row>
    <row r="1802" spans="1:19">
      <c r="A1802" s="42" t="s">
        <v>90</v>
      </c>
      <c r="B1802" s="3"/>
      <c r="C1802" s="3">
        <v>234</v>
      </c>
      <c r="D1802" s="1"/>
      <c r="E1802" s="20" t="s">
        <v>19</v>
      </c>
      <c r="F1802" s="7" t="s">
        <v>14</v>
      </c>
      <c r="G1802" s="7" t="s">
        <v>45</v>
      </c>
      <c r="H1802" s="11">
        <v>13.6</v>
      </c>
      <c r="I1802" s="8">
        <v>6.3</v>
      </c>
      <c r="J1802" s="26">
        <v>1</v>
      </c>
      <c r="K1802" s="10">
        <f t="shared" si="173"/>
        <v>8.5679999999999992E-2</v>
      </c>
      <c r="L1802" s="4"/>
      <c r="M1802" s="17"/>
      <c r="N1802" s="18">
        <f t="shared" si="174"/>
        <v>0</v>
      </c>
      <c r="O1802" s="19">
        <f t="shared" si="175"/>
        <v>1</v>
      </c>
      <c r="P1802" s="13">
        <f t="shared" si="176"/>
        <v>8.5679999999999992E-2</v>
      </c>
      <c r="Q1802" s="9"/>
      <c r="R1802" s="32"/>
      <c r="S1802" s="32"/>
    </row>
    <row r="1803" spans="1:19">
      <c r="A1803" s="42" t="s">
        <v>90</v>
      </c>
      <c r="B1803" s="3"/>
      <c r="C1803" s="3">
        <v>234</v>
      </c>
      <c r="D1803" s="1"/>
      <c r="E1803" s="20" t="s">
        <v>19</v>
      </c>
      <c r="F1803" s="7" t="s">
        <v>14</v>
      </c>
      <c r="G1803" s="7" t="s">
        <v>45</v>
      </c>
      <c r="H1803" s="11">
        <v>13.6</v>
      </c>
      <c r="I1803" s="8">
        <v>8.6999999999999993</v>
      </c>
      <c r="J1803" s="26">
        <v>1</v>
      </c>
      <c r="K1803" s="10">
        <f t="shared" si="173"/>
        <v>0.11831999999999999</v>
      </c>
      <c r="L1803" s="4"/>
      <c r="M1803" s="17"/>
      <c r="N1803" s="18">
        <f t="shared" si="174"/>
        <v>0</v>
      </c>
      <c r="O1803" s="19">
        <f t="shared" si="175"/>
        <v>1</v>
      </c>
      <c r="P1803" s="13">
        <f t="shared" si="176"/>
        <v>0.11831999999999999</v>
      </c>
      <c r="Q1803" s="9"/>
      <c r="R1803" s="32"/>
      <c r="S1803" s="32"/>
    </row>
    <row r="1804" spans="1:19">
      <c r="A1804" s="42" t="s">
        <v>90</v>
      </c>
      <c r="B1804" s="3"/>
      <c r="C1804" s="3">
        <v>234</v>
      </c>
      <c r="D1804" s="1"/>
      <c r="E1804" s="20" t="s">
        <v>19</v>
      </c>
      <c r="F1804" s="7" t="s">
        <v>14</v>
      </c>
      <c r="G1804" s="7" t="s">
        <v>45</v>
      </c>
      <c r="H1804" s="11">
        <v>13.6</v>
      </c>
      <c r="I1804" s="8">
        <v>7</v>
      </c>
      <c r="J1804" s="26">
        <v>2</v>
      </c>
      <c r="K1804" s="10">
        <f t="shared" si="173"/>
        <v>0.19040000000000001</v>
      </c>
      <c r="L1804" s="4"/>
      <c r="M1804" s="17"/>
      <c r="N1804" s="18">
        <f t="shared" si="174"/>
        <v>0</v>
      </c>
      <c r="O1804" s="19">
        <f t="shared" si="175"/>
        <v>2</v>
      </c>
      <c r="P1804" s="13">
        <f t="shared" si="176"/>
        <v>0.19040000000000001</v>
      </c>
      <c r="Q1804" s="9"/>
      <c r="R1804" s="32"/>
      <c r="S1804" s="32"/>
    </row>
    <row r="1805" spans="1:19">
      <c r="A1805" s="42" t="s">
        <v>90</v>
      </c>
      <c r="B1805" s="3"/>
      <c r="C1805" s="3">
        <v>234</v>
      </c>
      <c r="D1805" s="1"/>
      <c r="E1805" s="20" t="s">
        <v>19</v>
      </c>
      <c r="F1805" s="7" t="s">
        <v>14</v>
      </c>
      <c r="G1805" s="7" t="s">
        <v>45</v>
      </c>
      <c r="H1805" s="11">
        <v>13.6</v>
      </c>
      <c r="I1805" s="8">
        <v>7.2</v>
      </c>
      <c r="J1805" s="26">
        <v>1</v>
      </c>
      <c r="K1805" s="10">
        <f t="shared" si="173"/>
        <v>9.7920000000000007E-2</v>
      </c>
      <c r="L1805" s="4"/>
      <c r="M1805" s="17"/>
      <c r="N1805" s="18">
        <f t="shared" si="174"/>
        <v>0</v>
      </c>
      <c r="O1805" s="19">
        <f t="shared" si="175"/>
        <v>1</v>
      </c>
      <c r="P1805" s="13">
        <f t="shared" si="176"/>
        <v>9.7920000000000007E-2</v>
      </c>
      <c r="Q1805" s="9"/>
      <c r="R1805" s="32"/>
      <c r="S1805" s="32"/>
    </row>
    <row r="1806" spans="1:19">
      <c r="A1806" s="42" t="s">
        <v>90</v>
      </c>
      <c r="B1806" s="3"/>
      <c r="C1806" s="3">
        <v>234</v>
      </c>
      <c r="D1806" s="1"/>
      <c r="E1806" s="20" t="s">
        <v>19</v>
      </c>
      <c r="F1806" s="7" t="s">
        <v>14</v>
      </c>
      <c r="G1806" s="7" t="s">
        <v>45</v>
      </c>
      <c r="H1806" s="11">
        <v>13.6</v>
      </c>
      <c r="I1806" s="8">
        <v>7.5</v>
      </c>
      <c r="J1806" s="26">
        <v>1</v>
      </c>
      <c r="K1806" s="10">
        <f t="shared" si="173"/>
        <v>0.10199999999999999</v>
      </c>
      <c r="L1806" s="4"/>
      <c r="M1806" s="17"/>
      <c r="N1806" s="18">
        <f t="shared" si="174"/>
        <v>0</v>
      </c>
      <c r="O1806" s="19">
        <f t="shared" si="175"/>
        <v>1</v>
      </c>
      <c r="P1806" s="13">
        <f t="shared" si="176"/>
        <v>0.10199999999999999</v>
      </c>
      <c r="Q1806" s="9"/>
      <c r="R1806" s="32"/>
      <c r="S1806" s="32"/>
    </row>
    <row r="1807" spans="1:19">
      <c r="A1807" s="42" t="s">
        <v>90</v>
      </c>
      <c r="B1807" s="3"/>
      <c r="C1807" s="3">
        <v>234</v>
      </c>
      <c r="D1807" s="1"/>
      <c r="E1807" s="20" t="s">
        <v>19</v>
      </c>
      <c r="F1807" s="7" t="s">
        <v>14</v>
      </c>
      <c r="G1807" s="7" t="s">
        <v>45</v>
      </c>
      <c r="H1807" s="11">
        <v>13.6</v>
      </c>
      <c r="I1807" s="8">
        <v>6</v>
      </c>
      <c r="J1807" s="26">
        <v>1</v>
      </c>
      <c r="K1807" s="10">
        <f t="shared" si="173"/>
        <v>8.1599999999999992E-2</v>
      </c>
      <c r="L1807" s="4"/>
      <c r="M1807" s="17"/>
      <c r="N1807" s="18">
        <f t="shared" si="174"/>
        <v>0</v>
      </c>
      <c r="O1807" s="19">
        <f t="shared" si="175"/>
        <v>1</v>
      </c>
      <c r="P1807" s="13">
        <f t="shared" si="176"/>
        <v>8.1599999999999992E-2</v>
      </c>
      <c r="Q1807" s="9"/>
      <c r="R1807" s="32"/>
      <c r="S1807" s="32"/>
    </row>
    <row r="1808" spans="1:19">
      <c r="A1808" s="42" t="s">
        <v>90</v>
      </c>
      <c r="B1808" s="3"/>
      <c r="C1808" s="3">
        <v>235</v>
      </c>
      <c r="D1808" s="1"/>
      <c r="E1808" s="20" t="s">
        <v>20</v>
      </c>
      <c r="F1808" s="7" t="s">
        <v>15</v>
      </c>
      <c r="G1808" s="7" t="s">
        <v>37</v>
      </c>
      <c r="H1808" s="11">
        <v>18.149999999999999</v>
      </c>
      <c r="I1808" s="8">
        <v>11.5</v>
      </c>
      <c r="J1808" s="26">
        <v>2</v>
      </c>
      <c r="K1808" s="10">
        <f t="shared" si="173"/>
        <v>0.41744999999999999</v>
      </c>
      <c r="L1808" s="4"/>
      <c r="M1808" s="17">
        <v>2</v>
      </c>
      <c r="N1808" s="18">
        <f t="shared" si="174"/>
        <v>0.41744999999999999</v>
      </c>
      <c r="O1808" s="19">
        <f t="shared" si="175"/>
        <v>0</v>
      </c>
      <c r="P1808" s="13">
        <f t="shared" si="176"/>
        <v>0</v>
      </c>
      <c r="Q1808" s="9"/>
      <c r="R1808" s="32">
        <v>2</v>
      </c>
      <c r="S1808" s="2" t="s">
        <v>278</v>
      </c>
    </row>
    <row r="1809" spans="1:19">
      <c r="A1809" s="42" t="s">
        <v>90</v>
      </c>
      <c r="B1809" s="3"/>
      <c r="C1809" s="3">
        <v>236</v>
      </c>
      <c r="D1809" s="1"/>
      <c r="E1809" s="20" t="s">
        <v>17</v>
      </c>
      <c r="F1809" s="7" t="s">
        <v>15</v>
      </c>
      <c r="G1809" s="7" t="s">
        <v>50</v>
      </c>
      <c r="H1809" s="11">
        <v>21.7</v>
      </c>
      <c r="I1809" s="8">
        <v>7.2</v>
      </c>
      <c r="J1809" s="26">
        <v>1</v>
      </c>
      <c r="K1809" s="10">
        <f t="shared" si="173"/>
        <v>0.15624000000000002</v>
      </c>
      <c r="L1809" s="4"/>
      <c r="M1809" s="17">
        <v>1</v>
      </c>
      <c r="N1809" s="18">
        <f t="shared" si="174"/>
        <v>0.15624000000000002</v>
      </c>
      <c r="O1809" s="19">
        <f t="shared" si="175"/>
        <v>0</v>
      </c>
      <c r="P1809" s="13">
        <f t="shared" si="176"/>
        <v>0</v>
      </c>
      <c r="Q1809" s="9">
        <v>6.8</v>
      </c>
      <c r="R1809" s="32">
        <v>1</v>
      </c>
      <c r="S1809" s="32" t="s">
        <v>213</v>
      </c>
    </row>
    <row r="1810" spans="1:19">
      <c r="A1810" s="42" t="s">
        <v>90</v>
      </c>
      <c r="B1810" s="3"/>
      <c r="C1810" s="3">
        <v>236</v>
      </c>
      <c r="D1810" s="1"/>
      <c r="E1810" s="20" t="s">
        <v>17</v>
      </c>
      <c r="F1810" s="7" t="s">
        <v>15</v>
      </c>
      <c r="G1810" s="7" t="s">
        <v>50</v>
      </c>
      <c r="H1810" s="11">
        <v>21.7</v>
      </c>
      <c r="I1810" s="8">
        <v>7.8</v>
      </c>
      <c r="J1810" s="26">
        <v>1</v>
      </c>
      <c r="K1810" s="10">
        <f t="shared" si="173"/>
        <v>0.16925999999999999</v>
      </c>
      <c r="L1810" s="4"/>
      <c r="M1810" s="17">
        <v>1</v>
      </c>
      <c r="N1810" s="18">
        <f t="shared" si="174"/>
        <v>0.16925999999999999</v>
      </c>
      <c r="O1810" s="19">
        <f t="shared" si="175"/>
        <v>0</v>
      </c>
      <c r="P1810" s="13">
        <f t="shared" si="176"/>
        <v>0</v>
      </c>
      <c r="Q1810" s="9">
        <v>6.8</v>
      </c>
      <c r="R1810" s="32">
        <v>1</v>
      </c>
      <c r="S1810" s="32" t="s">
        <v>213</v>
      </c>
    </row>
    <row r="1811" spans="1:19">
      <c r="A1811" s="42" t="s">
        <v>90</v>
      </c>
      <c r="B1811" s="3"/>
      <c r="C1811" s="3">
        <v>236</v>
      </c>
      <c r="D1811" s="1"/>
      <c r="E1811" s="20" t="s">
        <v>17</v>
      </c>
      <c r="F1811" s="7" t="s">
        <v>15</v>
      </c>
      <c r="G1811" s="7" t="s">
        <v>50</v>
      </c>
      <c r="H1811" s="11">
        <v>21.7</v>
      </c>
      <c r="I1811" s="8">
        <v>8.75</v>
      </c>
      <c r="J1811" s="26">
        <v>1</v>
      </c>
      <c r="K1811" s="10">
        <f t="shared" si="173"/>
        <v>0.18987499999999999</v>
      </c>
      <c r="L1811" s="4"/>
      <c r="M1811" s="17">
        <v>1</v>
      </c>
      <c r="N1811" s="18">
        <f t="shared" si="174"/>
        <v>0.18987499999999999</v>
      </c>
      <c r="O1811" s="19">
        <f t="shared" si="175"/>
        <v>0</v>
      </c>
      <c r="P1811" s="13">
        <f t="shared" si="176"/>
        <v>0</v>
      </c>
      <c r="Q1811" s="9">
        <v>8.3000000000000007</v>
      </c>
      <c r="R1811" s="32">
        <v>1</v>
      </c>
      <c r="S1811" s="32" t="s">
        <v>213</v>
      </c>
    </row>
    <row r="1812" spans="1:19">
      <c r="A1812" s="42" t="s">
        <v>90</v>
      </c>
      <c r="B1812" s="3"/>
      <c r="C1812" s="3">
        <v>237</v>
      </c>
      <c r="D1812" s="1" t="s">
        <v>98</v>
      </c>
      <c r="E1812" s="20" t="s">
        <v>20</v>
      </c>
      <c r="F1812" s="7" t="s">
        <v>15</v>
      </c>
      <c r="G1812" s="7" t="s">
        <v>33</v>
      </c>
      <c r="H1812" s="11">
        <v>15.92</v>
      </c>
      <c r="I1812" s="8">
        <v>9.1</v>
      </c>
      <c r="J1812" s="26">
        <v>1</v>
      </c>
      <c r="K1812" s="10">
        <f t="shared" si="173"/>
        <v>0.14487199999999997</v>
      </c>
      <c r="L1812" s="4"/>
      <c r="M1812" s="17"/>
      <c r="N1812" s="18">
        <f t="shared" si="174"/>
        <v>0</v>
      </c>
      <c r="O1812" s="19">
        <f t="shared" si="175"/>
        <v>1</v>
      </c>
      <c r="P1812" s="13">
        <f t="shared" si="176"/>
        <v>0.14487199999999997</v>
      </c>
      <c r="Q1812" s="9"/>
      <c r="R1812" s="32"/>
      <c r="S1812" s="32"/>
    </row>
    <row r="1813" spans="1:19">
      <c r="A1813" s="42" t="s">
        <v>90</v>
      </c>
      <c r="B1813" s="3"/>
      <c r="C1813" s="3">
        <v>237</v>
      </c>
      <c r="D1813" s="1" t="s">
        <v>98</v>
      </c>
      <c r="E1813" s="20" t="s">
        <v>20</v>
      </c>
      <c r="F1813" s="7" t="s">
        <v>15</v>
      </c>
      <c r="G1813" s="7" t="s">
        <v>33</v>
      </c>
      <c r="H1813" s="11">
        <v>15.92</v>
      </c>
      <c r="I1813" s="8">
        <v>8.58</v>
      </c>
      <c r="J1813" s="26">
        <v>1</v>
      </c>
      <c r="K1813" s="10">
        <f t="shared" si="173"/>
        <v>0.13659360000000001</v>
      </c>
      <c r="L1813" s="4"/>
      <c r="M1813" s="17"/>
      <c r="N1813" s="18">
        <f t="shared" si="174"/>
        <v>0</v>
      </c>
      <c r="O1813" s="19">
        <f t="shared" si="175"/>
        <v>1</v>
      </c>
      <c r="P1813" s="13">
        <f t="shared" si="176"/>
        <v>0.13659360000000001</v>
      </c>
      <c r="Q1813" s="9"/>
      <c r="R1813" s="32"/>
      <c r="S1813" s="32"/>
    </row>
    <row r="1814" spans="1:19">
      <c r="A1814" s="42" t="s">
        <v>90</v>
      </c>
      <c r="B1814" s="3"/>
      <c r="C1814" s="3">
        <v>238</v>
      </c>
      <c r="D1814" s="1" t="s">
        <v>93</v>
      </c>
      <c r="E1814" s="20" t="s">
        <v>89</v>
      </c>
      <c r="F1814" s="7" t="s">
        <v>15</v>
      </c>
      <c r="G1814" s="7" t="s">
        <v>49</v>
      </c>
      <c r="H1814" s="11">
        <v>17.82</v>
      </c>
      <c r="I1814" s="8">
        <v>9</v>
      </c>
      <c r="J1814" s="26">
        <v>1</v>
      </c>
      <c r="K1814" s="10">
        <f t="shared" si="173"/>
        <v>0.16037999999999999</v>
      </c>
      <c r="L1814" s="4"/>
      <c r="M1814" s="17">
        <v>1</v>
      </c>
      <c r="N1814" s="18">
        <f t="shared" si="174"/>
        <v>0.16037999999999999</v>
      </c>
      <c r="O1814" s="19">
        <f t="shared" si="175"/>
        <v>0</v>
      </c>
      <c r="P1814" s="13">
        <f t="shared" si="176"/>
        <v>0</v>
      </c>
      <c r="Q1814" s="50">
        <v>9</v>
      </c>
      <c r="R1814" s="32">
        <v>1</v>
      </c>
      <c r="S1814" s="2" t="s">
        <v>442</v>
      </c>
    </row>
    <row r="1815" spans="1:19">
      <c r="A1815" s="42" t="s">
        <v>90</v>
      </c>
      <c r="B1815" s="3"/>
      <c r="C1815" s="3">
        <v>238</v>
      </c>
      <c r="D1815" s="1" t="s">
        <v>93</v>
      </c>
      <c r="E1815" s="20" t="s">
        <v>89</v>
      </c>
      <c r="F1815" s="7" t="s">
        <v>15</v>
      </c>
      <c r="G1815" s="7" t="s">
        <v>49</v>
      </c>
      <c r="H1815" s="11">
        <v>17.82</v>
      </c>
      <c r="I1815" s="8">
        <v>11.7</v>
      </c>
      <c r="J1815" s="26">
        <v>1</v>
      </c>
      <c r="K1815" s="10">
        <f t="shared" si="173"/>
        <v>0.20849400000000001</v>
      </c>
      <c r="L1815" s="4"/>
      <c r="M1815" s="17">
        <v>1</v>
      </c>
      <c r="N1815" s="18">
        <f t="shared" si="174"/>
        <v>0.20849400000000001</v>
      </c>
      <c r="O1815" s="19">
        <f t="shared" si="175"/>
        <v>0</v>
      </c>
      <c r="P1815" s="13">
        <f t="shared" si="176"/>
        <v>0</v>
      </c>
      <c r="Q1815" s="50">
        <v>11.5</v>
      </c>
      <c r="R1815" s="2">
        <v>1</v>
      </c>
      <c r="S1815" s="2" t="s">
        <v>442</v>
      </c>
    </row>
    <row r="1816" spans="1:19">
      <c r="A1816" s="42" t="s">
        <v>90</v>
      </c>
      <c r="B1816" s="32"/>
      <c r="C1816" s="3">
        <v>238</v>
      </c>
      <c r="D1816" s="1" t="s">
        <v>93</v>
      </c>
      <c r="E1816" s="20" t="s">
        <v>89</v>
      </c>
      <c r="F1816" s="7" t="s">
        <v>15</v>
      </c>
      <c r="G1816" s="7" t="s">
        <v>49</v>
      </c>
      <c r="H1816" s="11">
        <v>17.82</v>
      </c>
      <c r="I1816" s="8">
        <v>12</v>
      </c>
      <c r="J1816" s="26">
        <v>1</v>
      </c>
      <c r="K1816" s="10">
        <f t="shared" si="173"/>
        <v>0.21384</v>
      </c>
      <c r="L1816" s="4"/>
      <c r="M1816" s="17">
        <v>1</v>
      </c>
      <c r="N1816" s="18">
        <f t="shared" si="174"/>
        <v>0.21384</v>
      </c>
      <c r="O1816" s="19">
        <f t="shared" si="175"/>
        <v>0</v>
      </c>
      <c r="P1816" s="13">
        <f t="shared" si="176"/>
        <v>0</v>
      </c>
      <c r="Q1816" s="50">
        <v>12</v>
      </c>
      <c r="R1816" s="2">
        <v>1</v>
      </c>
      <c r="S1816" s="2" t="s">
        <v>442</v>
      </c>
    </row>
    <row r="1817" spans="1:19">
      <c r="A1817" s="42" t="s">
        <v>90</v>
      </c>
      <c r="B1817" s="3"/>
      <c r="C1817" s="3">
        <v>239</v>
      </c>
      <c r="D1817" s="1"/>
      <c r="E1817" s="20" t="s">
        <v>63</v>
      </c>
      <c r="F1817" s="7" t="s">
        <v>15</v>
      </c>
      <c r="G1817" s="7" t="s">
        <v>33</v>
      </c>
      <c r="H1817" s="11">
        <v>15.92</v>
      </c>
      <c r="I1817" s="8">
        <v>7.5</v>
      </c>
      <c r="J1817" s="26">
        <v>1</v>
      </c>
      <c r="K1817" s="10">
        <f t="shared" si="173"/>
        <v>0.11940000000000001</v>
      </c>
      <c r="L1817" s="4"/>
      <c r="M1817" s="17">
        <v>1</v>
      </c>
      <c r="N1817" s="18">
        <f t="shared" si="174"/>
        <v>0.11940000000000001</v>
      </c>
      <c r="O1817" s="19">
        <f t="shared" si="175"/>
        <v>0</v>
      </c>
      <c r="P1817" s="13">
        <f t="shared" si="176"/>
        <v>0</v>
      </c>
      <c r="Q1817" s="9">
        <v>7.5</v>
      </c>
      <c r="R1817" s="32">
        <v>1</v>
      </c>
      <c r="S1817" s="2" t="s">
        <v>209</v>
      </c>
    </row>
    <row r="1818" spans="1:19">
      <c r="A1818" s="42" t="s">
        <v>90</v>
      </c>
      <c r="B1818" s="3"/>
      <c r="C1818" s="3">
        <v>239</v>
      </c>
      <c r="D1818" s="1"/>
      <c r="E1818" s="20" t="s">
        <v>63</v>
      </c>
      <c r="F1818" s="7" t="s">
        <v>15</v>
      </c>
      <c r="G1818" s="7" t="s">
        <v>33</v>
      </c>
      <c r="H1818" s="11">
        <v>15.92</v>
      </c>
      <c r="I1818" s="8">
        <v>11</v>
      </c>
      <c r="J1818" s="26">
        <v>1</v>
      </c>
      <c r="K1818" s="10">
        <f t="shared" si="173"/>
        <v>0.17512</v>
      </c>
      <c r="L1818" s="4"/>
      <c r="M1818" s="17">
        <v>1</v>
      </c>
      <c r="N1818" s="18">
        <f t="shared" si="174"/>
        <v>0.17512</v>
      </c>
      <c r="O1818" s="19">
        <f t="shared" si="175"/>
        <v>0</v>
      </c>
      <c r="P1818" s="13">
        <f t="shared" si="176"/>
        <v>0</v>
      </c>
      <c r="Q1818" s="9">
        <v>10</v>
      </c>
      <c r="R1818" s="32">
        <v>1</v>
      </c>
      <c r="S1818" s="2" t="s">
        <v>209</v>
      </c>
    </row>
    <row r="1819" spans="1:19">
      <c r="A1819" s="42" t="s">
        <v>90</v>
      </c>
      <c r="B1819" s="3"/>
      <c r="C1819" s="3">
        <v>239</v>
      </c>
      <c r="D1819" s="1"/>
      <c r="E1819" s="20" t="s">
        <v>63</v>
      </c>
      <c r="F1819" s="7" t="s">
        <v>15</v>
      </c>
      <c r="G1819" s="7" t="s">
        <v>33</v>
      </c>
      <c r="H1819" s="11">
        <v>15.92</v>
      </c>
      <c r="I1819" s="8">
        <v>11.1</v>
      </c>
      <c r="J1819" s="26">
        <v>1</v>
      </c>
      <c r="K1819" s="10">
        <f t="shared" si="173"/>
        <v>0.17671199999999998</v>
      </c>
      <c r="L1819" s="4"/>
      <c r="M1819" s="17">
        <v>1</v>
      </c>
      <c r="N1819" s="18">
        <f t="shared" si="174"/>
        <v>0.17671199999999998</v>
      </c>
      <c r="O1819" s="19">
        <f t="shared" si="175"/>
        <v>0</v>
      </c>
      <c r="P1819" s="13">
        <f t="shared" si="176"/>
        <v>0</v>
      </c>
      <c r="Q1819" s="9">
        <v>10</v>
      </c>
      <c r="R1819" s="32">
        <v>1</v>
      </c>
      <c r="S1819" s="2" t="s">
        <v>209</v>
      </c>
    </row>
    <row r="1820" spans="1:19">
      <c r="A1820" s="42" t="s">
        <v>90</v>
      </c>
      <c r="B1820" s="3"/>
      <c r="C1820" s="3">
        <v>240</v>
      </c>
      <c r="D1820" s="1" t="s">
        <v>93</v>
      </c>
      <c r="E1820" s="20" t="s">
        <v>89</v>
      </c>
      <c r="F1820" s="7" t="s">
        <v>15</v>
      </c>
      <c r="G1820" s="7" t="s">
        <v>49</v>
      </c>
      <c r="H1820" s="11">
        <v>17.82</v>
      </c>
      <c r="I1820" s="8">
        <v>7.8</v>
      </c>
      <c r="J1820" s="26">
        <v>1</v>
      </c>
      <c r="K1820" s="10">
        <f t="shared" si="173"/>
        <v>0.13899600000000001</v>
      </c>
      <c r="L1820" s="4"/>
      <c r="M1820" s="17">
        <v>1</v>
      </c>
      <c r="N1820" s="18">
        <f t="shared" si="174"/>
        <v>0.13899600000000001</v>
      </c>
      <c r="O1820" s="19">
        <f t="shared" si="175"/>
        <v>0</v>
      </c>
      <c r="P1820" s="13">
        <f t="shared" si="176"/>
        <v>0</v>
      </c>
      <c r="Q1820" s="9">
        <v>7.2</v>
      </c>
      <c r="R1820" s="32">
        <v>1</v>
      </c>
      <c r="S1820" s="32" t="s">
        <v>305</v>
      </c>
    </row>
    <row r="1821" spans="1:19">
      <c r="A1821" s="42" t="s">
        <v>90</v>
      </c>
      <c r="B1821" s="3"/>
      <c r="C1821" s="3">
        <v>240</v>
      </c>
      <c r="D1821" s="1" t="s">
        <v>93</v>
      </c>
      <c r="E1821" s="20" t="s">
        <v>89</v>
      </c>
      <c r="F1821" s="7" t="s">
        <v>15</v>
      </c>
      <c r="G1821" s="7" t="s">
        <v>49</v>
      </c>
      <c r="H1821" s="11">
        <v>17.82</v>
      </c>
      <c r="I1821" s="8">
        <v>10.5</v>
      </c>
      <c r="J1821" s="26">
        <v>1</v>
      </c>
      <c r="K1821" s="10">
        <f t="shared" si="173"/>
        <v>0.18711000000000003</v>
      </c>
      <c r="L1821" s="4"/>
      <c r="M1821" s="17">
        <v>1</v>
      </c>
      <c r="N1821" s="18">
        <f t="shared" si="174"/>
        <v>0.18711000000000003</v>
      </c>
      <c r="O1821" s="19">
        <f t="shared" si="175"/>
        <v>0</v>
      </c>
      <c r="P1821" s="13">
        <f t="shared" si="176"/>
        <v>0</v>
      </c>
      <c r="Q1821" s="9">
        <v>9.6</v>
      </c>
      <c r="R1821" s="32">
        <v>1</v>
      </c>
      <c r="S1821" s="32"/>
    </row>
    <row r="1822" spans="1:19">
      <c r="A1822" s="42" t="s">
        <v>90</v>
      </c>
      <c r="B1822" s="3"/>
      <c r="C1822" s="3">
        <v>241</v>
      </c>
      <c r="D1822" s="1"/>
      <c r="E1822" s="20" t="s">
        <v>17</v>
      </c>
      <c r="F1822" s="7" t="s">
        <v>15</v>
      </c>
      <c r="G1822" s="7" t="s">
        <v>48</v>
      </c>
      <c r="H1822" s="11">
        <v>23.6</v>
      </c>
      <c r="I1822" s="8">
        <v>12</v>
      </c>
      <c r="J1822" s="26">
        <v>6</v>
      </c>
      <c r="K1822" s="10">
        <f t="shared" si="173"/>
        <v>1.6992000000000003</v>
      </c>
      <c r="L1822" s="4"/>
      <c r="M1822" s="17">
        <f>4+2</f>
        <v>6</v>
      </c>
      <c r="N1822" s="18">
        <f t="shared" si="174"/>
        <v>1.6992</v>
      </c>
      <c r="O1822" s="19">
        <f t="shared" si="175"/>
        <v>0</v>
      </c>
      <c r="P1822" s="13">
        <f t="shared" si="176"/>
        <v>0</v>
      </c>
      <c r="Q1822" s="9" t="s">
        <v>316</v>
      </c>
      <c r="R1822" s="32">
        <v>6</v>
      </c>
      <c r="S1822" s="32" t="s">
        <v>317</v>
      </c>
    </row>
    <row r="1823" spans="1:19">
      <c r="A1823" s="42" t="s">
        <v>90</v>
      </c>
      <c r="B1823" s="3"/>
      <c r="C1823" s="3">
        <v>241</v>
      </c>
      <c r="D1823" s="1"/>
      <c r="E1823" s="20" t="s">
        <v>17</v>
      </c>
      <c r="F1823" s="7" t="s">
        <v>15</v>
      </c>
      <c r="G1823" s="7" t="s">
        <v>48</v>
      </c>
      <c r="H1823" s="11">
        <v>23.6</v>
      </c>
      <c r="I1823" s="8">
        <v>11.1</v>
      </c>
      <c r="J1823" s="26">
        <v>3</v>
      </c>
      <c r="K1823" s="10">
        <f t="shared" si="173"/>
        <v>0.78587999999999991</v>
      </c>
      <c r="L1823" s="4"/>
      <c r="M1823" s="17">
        <v>3</v>
      </c>
      <c r="N1823" s="18">
        <f t="shared" si="174"/>
        <v>0.78588000000000002</v>
      </c>
      <c r="O1823" s="19">
        <f t="shared" si="175"/>
        <v>0</v>
      </c>
      <c r="P1823" s="13">
        <f t="shared" si="176"/>
        <v>0</v>
      </c>
      <c r="Q1823" s="9">
        <v>10.4</v>
      </c>
      <c r="R1823" s="32">
        <v>3</v>
      </c>
      <c r="S1823" s="32" t="s">
        <v>317</v>
      </c>
    </row>
    <row r="1824" spans="1:19">
      <c r="A1824" s="42" t="s">
        <v>90</v>
      </c>
      <c r="B1824" s="3"/>
      <c r="C1824" s="3">
        <v>241</v>
      </c>
      <c r="D1824" s="1"/>
      <c r="E1824" s="20" t="s">
        <v>17</v>
      </c>
      <c r="F1824" s="7" t="s">
        <v>15</v>
      </c>
      <c r="G1824" s="7" t="s">
        <v>48</v>
      </c>
      <c r="H1824" s="11">
        <v>23.6</v>
      </c>
      <c r="I1824" s="8">
        <v>9.4</v>
      </c>
      <c r="J1824" s="26">
        <v>3</v>
      </c>
      <c r="K1824" s="10">
        <f t="shared" si="173"/>
        <v>0.66552000000000011</v>
      </c>
      <c r="L1824" s="4"/>
      <c r="M1824" s="17">
        <v>3</v>
      </c>
      <c r="N1824" s="18">
        <f t="shared" si="174"/>
        <v>0.66552000000000011</v>
      </c>
      <c r="O1824" s="19">
        <f t="shared" si="175"/>
        <v>0</v>
      </c>
      <c r="P1824" s="13">
        <f t="shared" si="176"/>
        <v>0</v>
      </c>
      <c r="Q1824" s="33"/>
      <c r="R1824" s="32"/>
      <c r="S1824" s="32"/>
    </row>
    <row r="1825" spans="1:22">
      <c r="A1825" s="42" t="s">
        <v>90</v>
      </c>
      <c r="B1825" s="3"/>
      <c r="C1825" s="3">
        <v>242</v>
      </c>
      <c r="D1825" s="1"/>
      <c r="E1825" s="20" t="s">
        <v>17</v>
      </c>
      <c r="F1825" s="7" t="s">
        <v>15</v>
      </c>
      <c r="G1825" s="7" t="s">
        <v>50</v>
      </c>
      <c r="H1825" s="11">
        <v>21.7</v>
      </c>
      <c r="I1825" s="8">
        <v>12</v>
      </c>
      <c r="J1825" s="26">
        <v>3</v>
      </c>
      <c r="K1825" s="10">
        <f t="shared" si="173"/>
        <v>0.78119999999999989</v>
      </c>
      <c r="L1825" s="4"/>
      <c r="M1825" s="17">
        <v>3</v>
      </c>
      <c r="N1825" s="18">
        <f t="shared" si="174"/>
        <v>0.78119999999999989</v>
      </c>
      <c r="O1825" s="19">
        <f t="shared" si="175"/>
        <v>0</v>
      </c>
      <c r="P1825" s="13">
        <f t="shared" si="176"/>
        <v>0</v>
      </c>
      <c r="Q1825" s="9">
        <v>11.8</v>
      </c>
      <c r="R1825" s="32">
        <v>3</v>
      </c>
      <c r="S1825" s="32" t="s">
        <v>213</v>
      </c>
    </row>
    <row r="1826" spans="1:22">
      <c r="A1826" s="42" t="s">
        <v>90</v>
      </c>
      <c r="B1826" s="3"/>
      <c r="C1826" s="3">
        <v>242</v>
      </c>
      <c r="D1826" s="1"/>
      <c r="E1826" s="20" t="s">
        <v>17</v>
      </c>
      <c r="F1826" s="7" t="s">
        <v>15</v>
      </c>
      <c r="G1826" s="7" t="s">
        <v>50</v>
      </c>
      <c r="H1826" s="11">
        <v>21.7</v>
      </c>
      <c r="I1826" s="8">
        <v>11.3</v>
      </c>
      <c r="J1826" s="26">
        <v>1</v>
      </c>
      <c r="K1826" s="10">
        <f t="shared" si="173"/>
        <v>0.24521000000000001</v>
      </c>
      <c r="L1826" s="4"/>
      <c r="M1826" s="17">
        <v>1</v>
      </c>
      <c r="N1826" s="18">
        <f t="shared" si="174"/>
        <v>0.24521000000000001</v>
      </c>
      <c r="O1826" s="19">
        <f t="shared" si="175"/>
        <v>0</v>
      </c>
      <c r="P1826" s="13">
        <f t="shared" si="176"/>
        <v>0</v>
      </c>
      <c r="Q1826" s="9">
        <v>10.8</v>
      </c>
      <c r="R1826" s="32">
        <v>1</v>
      </c>
      <c r="S1826" s="32" t="s">
        <v>213</v>
      </c>
    </row>
    <row r="1827" spans="1:22">
      <c r="A1827" s="42" t="s">
        <v>90</v>
      </c>
      <c r="B1827" s="3"/>
      <c r="C1827" s="3">
        <v>243</v>
      </c>
      <c r="D1827" s="1"/>
      <c r="E1827" s="20" t="s">
        <v>17</v>
      </c>
      <c r="F1827" s="7" t="s">
        <v>15</v>
      </c>
      <c r="G1827" s="7" t="s">
        <v>30</v>
      </c>
      <c r="H1827" s="11">
        <v>9.26</v>
      </c>
      <c r="I1827" s="184">
        <v>12</v>
      </c>
      <c r="J1827" s="26">
        <v>14</v>
      </c>
      <c r="K1827" s="10">
        <f t="shared" si="173"/>
        <v>1.5556800000000002</v>
      </c>
      <c r="L1827" s="4"/>
      <c r="M1827" s="17">
        <f>5+9</f>
        <v>14</v>
      </c>
      <c r="N1827" s="18">
        <f t="shared" si="174"/>
        <v>1.5556800000000002</v>
      </c>
      <c r="O1827" s="19">
        <f t="shared" si="175"/>
        <v>0</v>
      </c>
      <c r="P1827" s="13">
        <f t="shared" si="176"/>
        <v>0</v>
      </c>
      <c r="Q1827" s="9">
        <v>12</v>
      </c>
      <c r="R1827" s="45">
        <v>9</v>
      </c>
      <c r="S1827" s="2" t="s">
        <v>267</v>
      </c>
      <c r="T1827" s="9">
        <v>12</v>
      </c>
      <c r="U1827" s="32">
        <v>5</v>
      </c>
      <c r="V1827" s="32" t="s">
        <v>207</v>
      </c>
    </row>
    <row r="1828" spans="1:22">
      <c r="A1828" s="42" t="s">
        <v>90</v>
      </c>
      <c r="B1828" s="3"/>
      <c r="C1828" s="3">
        <v>244</v>
      </c>
      <c r="D1828" s="1"/>
      <c r="E1828" s="20" t="s">
        <v>88</v>
      </c>
      <c r="F1828" s="7" t="s">
        <v>15</v>
      </c>
      <c r="G1828" s="7" t="s">
        <v>49</v>
      </c>
      <c r="H1828" s="11">
        <v>17.82</v>
      </c>
      <c r="I1828" s="8">
        <v>6.6</v>
      </c>
      <c r="J1828" s="26">
        <v>15</v>
      </c>
      <c r="K1828" s="10">
        <f t="shared" si="173"/>
        <v>1.7641799999999999</v>
      </c>
      <c r="L1828" s="4"/>
      <c r="M1828" s="17">
        <v>6</v>
      </c>
      <c r="N1828" s="18">
        <f t="shared" si="174"/>
        <v>0.70567199999999997</v>
      </c>
      <c r="O1828" s="19">
        <f t="shared" si="175"/>
        <v>9</v>
      </c>
      <c r="P1828" s="13">
        <f t="shared" si="176"/>
        <v>1.058508</v>
      </c>
      <c r="Q1828" s="9">
        <v>6.1</v>
      </c>
      <c r="R1828" s="32">
        <v>6</v>
      </c>
      <c r="S1828" s="2" t="s">
        <v>602</v>
      </c>
    </row>
    <row r="1829" spans="1:22">
      <c r="A1829" s="47" t="s">
        <v>147</v>
      </c>
      <c r="B1829" s="48" t="s">
        <v>148</v>
      </c>
      <c r="C1829" s="32">
        <v>256</v>
      </c>
      <c r="D1829" s="32"/>
      <c r="E1829" s="48" t="s">
        <v>19</v>
      </c>
      <c r="F1829" s="48" t="s">
        <v>14</v>
      </c>
      <c r="G1829" s="48" t="s">
        <v>30</v>
      </c>
      <c r="H1829" s="53">
        <v>9.26</v>
      </c>
      <c r="I1829" s="8">
        <v>7.2</v>
      </c>
      <c r="J1829" s="7">
        <v>1</v>
      </c>
      <c r="K1829" s="10">
        <f t="shared" si="173"/>
        <v>6.6671999999999995E-2</v>
      </c>
      <c r="L1829" s="32"/>
      <c r="M1829" s="32">
        <v>1</v>
      </c>
      <c r="N1829" s="18">
        <f t="shared" si="174"/>
        <v>6.6671999999999995E-2</v>
      </c>
      <c r="O1829" s="19">
        <f t="shared" si="175"/>
        <v>0</v>
      </c>
      <c r="P1829" s="13">
        <f t="shared" si="176"/>
        <v>0</v>
      </c>
      <c r="Q1829" s="32">
        <v>6.5</v>
      </c>
      <c r="R1829" s="45">
        <v>1</v>
      </c>
      <c r="S1829" s="2" t="s">
        <v>279</v>
      </c>
    </row>
    <row r="1830" spans="1:22">
      <c r="A1830" s="47" t="s">
        <v>147</v>
      </c>
      <c r="B1830" s="48" t="s">
        <v>148</v>
      </c>
      <c r="C1830" s="32">
        <v>256</v>
      </c>
      <c r="D1830" s="32"/>
      <c r="E1830" s="48" t="s">
        <v>19</v>
      </c>
      <c r="F1830" s="48" t="s">
        <v>14</v>
      </c>
      <c r="G1830" s="48" t="s">
        <v>30</v>
      </c>
      <c r="H1830" s="53">
        <v>9.26</v>
      </c>
      <c r="I1830" s="8">
        <v>7.75</v>
      </c>
      <c r="J1830" s="7">
        <v>1</v>
      </c>
      <c r="K1830" s="10">
        <f t="shared" si="173"/>
        <v>7.1764999999999995E-2</v>
      </c>
      <c r="L1830" s="32"/>
      <c r="M1830" s="32">
        <v>1</v>
      </c>
      <c r="N1830" s="18">
        <f t="shared" si="174"/>
        <v>7.1764999999999995E-2</v>
      </c>
      <c r="O1830" s="19">
        <f t="shared" si="175"/>
        <v>0</v>
      </c>
      <c r="P1830" s="13">
        <f t="shared" si="176"/>
        <v>0</v>
      </c>
      <c r="Q1830" s="55">
        <v>7.6</v>
      </c>
      <c r="R1830" s="45">
        <v>1</v>
      </c>
      <c r="S1830" s="2" t="s">
        <v>212</v>
      </c>
    </row>
    <row r="1831" spans="1:22">
      <c r="A1831" s="47" t="s">
        <v>147</v>
      </c>
      <c r="B1831" s="48" t="s">
        <v>148</v>
      </c>
      <c r="C1831" s="32">
        <v>256</v>
      </c>
      <c r="D1831" s="32"/>
      <c r="E1831" s="48" t="s">
        <v>19</v>
      </c>
      <c r="F1831" s="48" t="s">
        <v>14</v>
      </c>
      <c r="G1831" s="48" t="s">
        <v>30</v>
      </c>
      <c r="H1831" s="53">
        <v>9.26</v>
      </c>
      <c r="I1831" s="8">
        <v>6.8</v>
      </c>
      <c r="J1831" s="7">
        <v>1</v>
      </c>
      <c r="K1831" s="10">
        <f t="shared" si="173"/>
        <v>6.2967999999999996E-2</v>
      </c>
      <c r="L1831" s="32"/>
      <c r="M1831" s="32">
        <v>1</v>
      </c>
      <c r="N1831" s="18">
        <f t="shared" si="174"/>
        <v>6.2967999999999996E-2</v>
      </c>
      <c r="O1831" s="19">
        <f t="shared" si="175"/>
        <v>0</v>
      </c>
      <c r="P1831" s="13">
        <f t="shared" si="176"/>
        <v>0</v>
      </c>
      <c r="Q1831" s="32">
        <v>6.5</v>
      </c>
      <c r="R1831" s="32">
        <v>1</v>
      </c>
      <c r="S1831" s="2" t="s">
        <v>279</v>
      </c>
    </row>
    <row r="1832" spans="1:22">
      <c r="A1832" s="47" t="s">
        <v>147</v>
      </c>
      <c r="B1832" s="48" t="s">
        <v>148</v>
      </c>
      <c r="C1832" s="32">
        <v>257</v>
      </c>
      <c r="D1832" s="32"/>
      <c r="E1832" s="48" t="s">
        <v>89</v>
      </c>
      <c r="F1832" s="48" t="s">
        <v>160</v>
      </c>
      <c r="G1832" s="48" t="s">
        <v>29</v>
      </c>
      <c r="H1832" s="11">
        <v>10.92</v>
      </c>
      <c r="I1832" s="52">
        <v>11.3</v>
      </c>
      <c r="J1832" s="7">
        <v>2</v>
      </c>
      <c r="K1832" s="10">
        <f t="shared" si="173"/>
        <v>0.24679200000000001</v>
      </c>
      <c r="L1832" s="32"/>
      <c r="M1832" s="32">
        <v>2</v>
      </c>
      <c r="N1832" s="18">
        <f t="shared" si="174"/>
        <v>0.24679200000000001</v>
      </c>
      <c r="O1832" s="19">
        <f t="shared" si="175"/>
        <v>0</v>
      </c>
      <c r="P1832" s="13">
        <f t="shared" si="176"/>
        <v>0</v>
      </c>
      <c r="Q1832" s="32"/>
      <c r="R1832" s="32"/>
      <c r="S1832" s="32"/>
    </row>
    <row r="1833" spans="1:22">
      <c r="A1833" s="47" t="s">
        <v>147</v>
      </c>
      <c r="B1833" s="48" t="s">
        <v>148</v>
      </c>
      <c r="C1833" s="32">
        <v>257</v>
      </c>
      <c r="D1833" s="32"/>
      <c r="E1833" s="48" t="s">
        <v>89</v>
      </c>
      <c r="F1833" s="48" t="s">
        <v>160</v>
      </c>
      <c r="G1833" s="48" t="s">
        <v>29</v>
      </c>
      <c r="H1833" s="11">
        <v>10.92</v>
      </c>
      <c r="I1833" s="52">
        <v>11.7</v>
      </c>
      <c r="J1833" s="7">
        <v>2</v>
      </c>
      <c r="K1833" s="10">
        <f t="shared" si="173"/>
        <v>0.25552799999999998</v>
      </c>
      <c r="L1833" s="32"/>
      <c r="M1833" s="32">
        <v>2</v>
      </c>
      <c r="N1833" s="18">
        <f t="shared" si="174"/>
        <v>0.25552799999999998</v>
      </c>
      <c r="O1833" s="19">
        <f t="shared" si="175"/>
        <v>0</v>
      </c>
      <c r="P1833" s="13">
        <f t="shared" si="176"/>
        <v>0</v>
      </c>
      <c r="Q1833" s="55">
        <v>7.5</v>
      </c>
      <c r="R1833" s="32">
        <v>2</v>
      </c>
      <c r="S1833" s="32" t="s">
        <v>540</v>
      </c>
    </row>
    <row r="1834" spans="1:22">
      <c r="A1834" s="47" t="s">
        <v>147</v>
      </c>
      <c r="B1834" s="48" t="s">
        <v>148</v>
      </c>
      <c r="C1834" s="32">
        <v>257</v>
      </c>
      <c r="D1834" s="32"/>
      <c r="E1834" s="48" t="s">
        <v>89</v>
      </c>
      <c r="F1834" s="48" t="s">
        <v>160</v>
      </c>
      <c r="G1834" s="48" t="s">
        <v>29</v>
      </c>
      <c r="H1834" s="11">
        <v>10.92</v>
      </c>
      <c r="I1834" s="52">
        <v>12</v>
      </c>
      <c r="J1834" s="7">
        <v>13</v>
      </c>
      <c r="K1834" s="10">
        <f t="shared" si="173"/>
        <v>1.7035199999999999</v>
      </c>
      <c r="L1834" s="32"/>
      <c r="M1834" s="32">
        <v>13</v>
      </c>
      <c r="N1834" s="18">
        <f t="shared" si="174"/>
        <v>1.7035199999999999</v>
      </c>
      <c r="O1834" s="19">
        <f t="shared" si="175"/>
        <v>0</v>
      </c>
      <c r="P1834" s="13">
        <f t="shared" si="176"/>
        <v>0</v>
      </c>
      <c r="Q1834" s="32"/>
      <c r="R1834" s="32"/>
      <c r="S1834" s="32"/>
    </row>
    <row r="1835" spans="1:22">
      <c r="A1835" s="47" t="s">
        <v>147</v>
      </c>
      <c r="B1835" s="48" t="s">
        <v>148</v>
      </c>
      <c r="C1835" s="32">
        <v>258</v>
      </c>
      <c r="D1835" s="32"/>
      <c r="E1835" s="48" t="s">
        <v>89</v>
      </c>
      <c r="F1835" s="48" t="s">
        <v>160</v>
      </c>
      <c r="G1835" s="48" t="s">
        <v>29</v>
      </c>
      <c r="H1835" s="11">
        <v>10.92</v>
      </c>
      <c r="I1835" s="52">
        <v>10.5</v>
      </c>
      <c r="J1835" s="7">
        <v>21</v>
      </c>
      <c r="K1835" s="10">
        <f t="shared" si="173"/>
        <v>2.4078600000000003</v>
      </c>
      <c r="L1835" s="32"/>
      <c r="M1835" s="32">
        <v>21</v>
      </c>
      <c r="N1835" s="18">
        <f t="shared" si="174"/>
        <v>2.4078600000000003</v>
      </c>
      <c r="O1835" s="19">
        <f t="shared" si="175"/>
        <v>0</v>
      </c>
      <c r="P1835" s="13">
        <f t="shared" si="176"/>
        <v>0</v>
      </c>
      <c r="Q1835" s="32"/>
      <c r="R1835" s="32"/>
      <c r="S1835" s="32"/>
    </row>
    <row r="1836" spans="1:22">
      <c r="A1836" s="47" t="s">
        <v>147</v>
      </c>
      <c r="B1836" s="48" t="s">
        <v>148</v>
      </c>
      <c r="C1836" s="32">
        <v>259</v>
      </c>
      <c r="D1836" s="32"/>
      <c r="E1836" s="48" t="s">
        <v>89</v>
      </c>
      <c r="F1836" s="48" t="s">
        <v>160</v>
      </c>
      <c r="G1836" s="48" t="s">
        <v>29</v>
      </c>
      <c r="H1836" s="11">
        <v>10.92</v>
      </c>
      <c r="I1836" s="52">
        <v>10.5</v>
      </c>
      <c r="J1836" s="7">
        <v>23</v>
      </c>
      <c r="K1836" s="10">
        <f t="shared" si="173"/>
        <v>2.6371799999999999</v>
      </c>
      <c r="L1836" s="32"/>
      <c r="M1836" s="32">
        <v>23</v>
      </c>
      <c r="N1836" s="18">
        <f t="shared" si="174"/>
        <v>2.6371799999999999</v>
      </c>
      <c r="O1836" s="19">
        <f t="shared" si="175"/>
        <v>0</v>
      </c>
      <c r="P1836" s="13">
        <f t="shared" si="176"/>
        <v>0</v>
      </c>
      <c r="Q1836" s="32"/>
      <c r="R1836" s="32"/>
      <c r="S1836" s="32"/>
    </row>
    <row r="1837" spans="1:22">
      <c r="A1837" s="47" t="s">
        <v>147</v>
      </c>
      <c r="B1837" s="48" t="s">
        <v>148</v>
      </c>
      <c r="C1837" s="32">
        <v>260</v>
      </c>
      <c r="D1837" s="32"/>
      <c r="E1837" s="48" t="s">
        <v>89</v>
      </c>
      <c r="F1837" s="48" t="s">
        <v>160</v>
      </c>
      <c r="G1837" s="48" t="s">
        <v>29</v>
      </c>
      <c r="H1837" s="11">
        <v>10.92</v>
      </c>
      <c r="I1837" s="52">
        <v>11.4</v>
      </c>
      <c r="J1837" s="7">
        <v>22</v>
      </c>
      <c r="K1837" s="10">
        <f t="shared" si="173"/>
        <v>2.7387359999999998</v>
      </c>
      <c r="L1837" s="32"/>
      <c r="M1837" s="32">
        <v>22</v>
      </c>
      <c r="N1837" s="18">
        <f t="shared" si="174"/>
        <v>2.7387360000000003</v>
      </c>
      <c r="O1837" s="19">
        <f t="shared" si="175"/>
        <v>0</v>
      </c>
      <c r="P1837" s="13">
        <f t="shared" si="176"/>
        <v>0</v>
      </c>
      <c r="Q1837" s="32"/>
      <c r="R1837" s="32"/>
      <c r="S1837" s="32"/>
    </row>
    <row r="1838" spans="1:22">
      <c r="A1838" s="47" t="s">
        <v>147</v>
      </c>
      <c r="B1838" s="48" t="s">
        <v>148</v>
      </c>
      <c r="C1838" s="32">
        <v>261</v>
      </c>
      <c r="D1838" s="32"/>
      <c r="E1838" s="48" t="s">
        <v>89</v>
      </c>
      <c r="F1838" s="48" t="s">
        <v>160</v>
      </c>
      <c r="G1838" s="48" t="s">
        <v>29</v>
      </c>
      <c r="H1838" s="11">
        <v>10.92</v>
      </c>
      <c r="I1838" s="52">
        <v>11.4</v>
      </c>
      <c r="J1838" s="7">
        <v>21</v>
      </c>
      <c r="K1838" s="10">
        <f t="shared" si="173"/>
        <v>2.6142479999999999</v>
      </c>
      <c r="L1838" s="32"/>
      <c r="M1838" s="32">
        <v>21</v>
      </c>
      <c r="N1838" s="18">
        <f t="shared" si="174"/>
        <v>2.6142479999999999</v>
      </c>
      <c r="O1838" s="19">
        <f t="shared" si="175"/>
        <v>0</v>
      </c>
      <c r="P1838" s="13">
        <f t="shared" si="176"/>
        <v>0</v>
      </c>
      <c r="Q1838" s="32"/>
      <c r="R1838" s="32"/>
      <c r="S1838" s="32"/>
    </row>
    <row r="1839" spans="1:22">
      <c r="A1839" s="47" t="s">
        <v>147</v>
      </c>
      <c r="B1839" s="48" t="s">
        <v>148</v>
      </c>
      <c r="C1839" s="32">
        <v>262</v>
      </c>
      <c r="D1839" s="32"/>
      <c r="E1839" s="48" t="s">
        <v>89</v>
      </c>
      <c r="F1839" s="48" t="s">
        <v>160</v>
      </c>
      <c r="G1839" s="48" t="s">
        <v>29</v>
      </c>
      <c r="H1839" s="11">
        <v>10.92</v>
      </c>
      <c r="I1839" s="52">
        <v>11.7</v>
      </c>
      <c r="J1839" s="7">
        <v>21</v>
      </c>
      <c r="K1839" s="10">
        <f t="shared" si="173"/>
        <v>2.6830439999999998</v>
      </c>
      <c r="L1839" s="32"/>
      <c r="M1839" s="32">
        <v>21</v>
      </c>
      <c r="N1839" s="18">
        <f t="shared" si="174"/>
        <v>2.6830439999999998</v>
      </c>
      <c r="O1839" s="19">
        <f t="shared" si="175"/>
        <v>0</v>
      </c>
      <c r="P1839" s="13">
        <f t="shared" si="176"/>
        <v>0</v>
      </c>
      <c r="Q1839" s="32"/>
      <c r="R1839" s="32"/>
      <c r="S1839" s="32"/>
    </row>
    <row r="1840" spans="1:22">
      <c r="A1840" s="47" t="s">
        <v>147</v>
      </c>
      <c r="B1840" s="48" t="s">
        <v>148</v>
      </c>
      <c r="C1840" s="32">
        <v>263</v>
      </c>
      <c r="D1840" s="32"/>
      <c r="E1840" s="48" t="s">
        <v>89</v>
      </c>
      <c r="F1840" s="48" t="s">
        <v>160</v>
      </c>
      <c r="G1840" s="48" t="s">
        <v>29</v>
      </c>
      <c r="H1840" s="11">
        <v>10.92</v>
      </c>
      <c r="I1840" s="52">
        <v>11.5</v>
      </c>
      <c r="J1840" s="7">
        <v>18</v>
      </c>
      <c r="K1840" s="10">
        <f t="shared" si="173"/>
        <v>2.26044</v>
      </c>
      <c r="L1840" s="32"/>
      <c r="M1840" s="32">
        <v>18</v>
      </c>
      <c r="N1840" s="18">
        <f t="shared" si="174"/>
        <v>2.26044</v>
      </c>
      <c r="O1840" s="19">
        <f t="shared" si="175"/>
        <v>0</v>
      </c>
      <c r="P1840" s="13">
        <f t="shared" si="176"/>
        <v>0</v>
      </c>
      <c r="Q1840" s="32"/>
      <c r="R1840" s="32"/>
      <c r="S1840" s="32"/>
    </row>
    <row r="1841" spans="1:21">
      <c r="A1841" s="47" t="s">
        <v>147</v>
      </c>
      <c r="B1841" s="48" t="s">
        <v>148</v>
      </c>
      <c r="C1841" s="32">
        <v>264</v>
      </c>
      <c r="D1841" s="32"/>
      <c r="E1841" s="48" t="s">
        <v>89</v>
      </c>
      <c r="F1841" s="48" t="s">
        <v>160</v>
      </c>
      <c r="G1841" s="48" t="s">
        <v>29</v>
      </c>
      <c r="H1841" s="11">
        <v>10.92</v>
      </c>
      <c r="I1841" s="8">
        <v>9.1999999999999993</v>
      </c>
      <c r="J1841" s="7">
        <v>23</v>
      </c>
      <c r="K1841" s="10">
        <f t="shared" si="173"/>
        <v>2.3106719999999998</v>
      </c>
      <c r="L1841" s="32"/>
      <c r="M1841" s="32">
        <f>23+18-18</f>
        <v>23</v>
      </c>
      <c r="N1841" s="18">
        <f t="shared" si="174"/>
        <v>2.3106719999999998</v>
      </c>
      <c r="O1841" s="19">
        <f t="shared" si="175"/>
        <v>0</v>
      </c>
      <c r="P1841" s="13">
        <f t="shared" si="176"/>
        <v>0</v>
      </c>
      <c r="Q1841" s="32"/>
      <c r="R1841" s="32"/>
      <c r="S1841" s="32"/>
    </row>
    <row r="1842" spans="1:21">
      <c r="A1842" s="47" t="s">
        <v>147</v>
      </c>
      <c r="B1842" s="48" t="s">
        <v>148</v>
      </c>
      <c r="C1842" s="32">
        <v>265</v>
      </c>
      <c r="D1842" s="32"/>
      <c r="E1842" s="48" t="s">
        <v>89</v>
      </c>
      <c r="F1842" s="48" t="s">
        <v>160</v>
      </c>
      <c r="G1842" s="48" t="s">
        <v>29</v>
      </c>
      <c r="H1842" s="11">
        <v>10.92</v>
      </c>
      <c r="I1842" s="52">
        <v>10.5</v>
      </c>
      <c r="J1842" s="7">
        <v>10</v>
      </c>
      <c r="K1842" s="10">
        <f t="shared" si="173"/>
        <v>1.1465999999999998</v>
      </c>
      <c r="L1842" s="32"/>
      <c r="M1842" s="32">
        <v>10</v>
      </c>
      <c r="N1842" s="18">
        <f t="shared" si="174"/>
        <v>1.1465999999999998</v>
      </c>
      <c r="O1842" s="19">
        <f t="shared" si="175"/>
        <v>0</v>
      </c>
      <c r="P1842" s="13">
        <f t="shared" si="176"/>
        <v>0</v>
      </c>
      <c r="Q1842" s="32"/>
      <c r="R1842" s="32"/>
      <c r="S1842" s="32"/>
    </row>
    <row r="1843" spans="1:21">
      <c r="A1843" s="47" t="s">
        <v>147</v>
      </c>
      <c r="B1843" s="48" t="s">
        <v>148</v>
      </c>
      <c r="C1843" s="32">
        <v>265</v>
      </c>
      <c r="D1843" s="32"/>
      <c r="E1843" s="48" t="s">
        <v>89</v>
      </c>
      <c r="F1843" s="48" t="s">
        <v>160</v>
      </c>
      <c r="G1843" s="48" t="s">
        <v>29</v>
      </c>
      <c r="H1843" s="11">
        <v>10.92</v>
      </c>
      <c r="I1843" s="52">
        <v>10.199999999999999</v>
      </c>
      <c r="J1843" s="7">
        <v>5</v>
      </c>
      <c r="K1843" s="10">
        <f t="shared" si="173"/>
        <v>0.55691999999999997</v>
      </c>
      <c r="L1843" s="32"/>
      <c r="M1843" s="32">
        <v>5</v>
      </c>
      <c r="N1843" s="18">
        <f t="shared" si="174"/>
        <v>0.55691999999999997</v>
      </c>
      <c r="O1843" s="19">
        <f t="shared" si="175"/>
        <v>0</v>
      </c>
      <c r="P1843" s="13">
        <f t="shared" si="176"/>
        <v>0</v>
      </c>
      <c r="Q1843" s="32"/>
      <c r="R1843" s="32"/>
      <c r="S1843" s="32"/>
    </row>
    <row r="1844" spans="1:21">
      <c r="A1844" s="47" t="s">
        <v>147</v>
      </c>
      <c r="B1844" s="48" t="s">
        <v>148</v>
      </c>
      <c r="C1844" s="32">
        <v>266</v>
      </c>
      <c r="D1844" s="32"/>
      <c r="E1844" s="48" t="s">
        <v>89</v>
      </c>
      <c r="F1844" s="48" t="s">
        <v>160</v>
      </c>
      <c r="G1844" s="48" t="s">
        <v>29</v>
      </c>
      <c r="H1844" s="11">
        <v>10.92</v>
      </c>
      <c r="I1844" s="52">
        <v>12</v>
      </c>
      <c r="J1844" s="7">
        <v>21</v>
      </c>
      <c r="K1844" s="10">
        <f t="shared" si="173"/>
        <v>2.7518399999999996</v>
      </c>
      <c r="L1844" s="32"/>
      <c r="M1844" s="32">
        <v>21</v>
      </c>
      <c r="N1844" s="18">
        <f t="shared" si="174"/>
        <v>2.7518400000000001</v>
      </c>
      <c r="O1844" s="19">
        <f t="shared" si="175"/>
        <v>0</v>
      </c>
      <c r="P1844" s="13">
        <f t="shared" si="176"/>
        <v>0</v>
      </c>
      <c r="Q1844" s="32"/>
      <c r="R1844" s="32"/>
      <c r="S1844" s="32"/>
    </row>
    <row r="1845" spans="1:21">
      <c r="A1845" s="47" t="s">
        <v>147</v>
      </c>
      <c r="B1845" s="48" t="s">
        <v>148</v>
      </c>
      <c r="C1845" s="32">
        <v>267</v>
      </c>
      <c r="D1845" s="32"/>
      <c r="E1845" s="48" t="s">
        <v>89</v>
      </c>
      <c r="F1845" s="48" t="s">
        <v>160</v>
      </c>
      <c r="G1845" s="48" t="s">
        <v>29</v>
      </c>
      <c r="H1845" s="11">
        <v>10.92</v>
      </c>
      <c r="I1845" s="52">
        <v>12</v>
      </c>
      <c r="J1845" s="7">
        <v>32</v>
      </c>
      <c r="K1845" s="10">
        <f t="shared" si="173"/>
        <v>4.1932799999999997</v>
      </c>
      <c r="L1845" s="32"/>
      <c r="M1845" s="32">
        <v>32</v>
      </c>
      <c r="N1845" s="18">
        <f t="shared" si="174"/>
        <v>4.1932799999999997</v>
      </c>
      <c r="O1845" s="19">
        <f t="shared" si="175"/>
        <v>0</v>
      </c>
      <c r="P1845" s="13">
        <f t="shared" si="176"/>
        <v>0</v>
      </c>
      <c r="Q1845" s="32"/>
      <c r="R1845" s="32"/>
      <c r="S1845" s="32"/>
    </row>
    <row r="1846" spans="1:21">
      <c r="A1846" s="47" t="s">
        <v>147</v>
      </c>
      <c r="B1846" s="48" t="s">
        <v>148</v>
      </c>
      <c r="C1846" s="32">
        <v>268</v>
      </c>
      <c r="D1846" s="32"/>
      <c r="E1846" s="48" t="s">
        <v>89</v>
      </c>
      <c r="F1846" s="48" t="s">
        <v>160</v>
      </c>
      <c r="G1846" s="48" t="s">
        <v>29</v>
      </c>
      <c r="H1846" s="11">
        <v>10.92</v>
      </c>
      <c r="I1846" s="52">
        <v>11.4</v>
      </c>
      <c r="J1846" s="7">
        <v>21</v>
      </c>
      <c r="K1846" s="10">
        <f t="shared" si="173"/>
        <v>2.6142479999999999</v>
      </c>
      <c r="L1846" s="32"/>
      <c r="M1846" s="32">
        <f>21+28-10-1-17</f>
        <v>21</v>
      </c>
      <c r="N1846" s="18">
        <f t="shared" si="174"/>
        <v>2.6142479999999999</v>
      </c>
      <c r="O1846" s="19">
        <f t="shared" si="175"/>
        <v>0</v>
      </c>
      <c r="P1846" s="13">
        <f t="shared" si="176"/>
        <v>0</v>
      </c>
      <c r="Q1846" s="32"/>
      <c r="R1846" s="32"/>
      <c r="S1846" s="32"/>
    </row>
    <row r="1847" spans="1:21">
      <c r="A1847" s="47" t="s">
        <v>147</v>
      </c>
      <c r="B1847" s="48" t="s">
        <v>148</v>
      </c>
      <c r="C1847" s="32">
        <v>269</v>
      </c>
      <c r="D1847" s="32"/>
      <c r="E1847" s="48" t="s">
        <v>19</v>
      </c>
      <c r="F1847" s="48" t="s">
        <v>14</v>
      </c>
      <c r="G1847" s="48" t="s">
        <v>22</v>
      </c>
      <c r="H1847" s="11">
        <v>10.73</v>
      </c>
      <c r="I1847" s="8">
        <v>6.3</v>
      </c>
      <c r="J1847" s="7">
        <v>9</v>
      </c>
      <c r="K1847" s="10">
        <f t="shared" si="173"/>
        <v>0.60839100000000013</v>
      </c>
      <c r="L1847" s="32"/>
      <c r="M1847" s="32"/>
      <c r="N1847" s="18">
        <f t="shared" si="174"/>
        <v>0</v>
      </c>
      <c r="O1847" s="19">
        <f t="shared" si="175"/>
        <v>9</v>
      </c>
      <c r="P1847" s="13">
        <f t="shared" si="176"/>
        <v>0.60839100000000002</v>
      </c>
      <c r="Q1847" s="32"/>
      <c r="R1847" s="32"/>
      <c r="S1847" s="32"/>
    </row>
    <row r="1848" spans="1:21">
      <c r="A1848" s="47" t="s">
        <v>147</v>
      </c>
      <c r="B1848" s="48" t="s">
        <v>148</v>
      </c>
      <c r="C1848" s="32">
        <v>270</v>
      </c>
      <c r="D1848" s="32" t="s">
        <v>93</v>
      </c>
      <c r="E1848" s="48" t="s">
        <v>89</v>
      </c>
      <c r="F1848" s="48" t="s">
        <v>160</v>
      </c>
      <c r="G1848" s="48" t="s">
        <v>47</v>
      </c>
      <c r="H1848" s="11">
        <v>15</v>
      </c>
      <c r="I1848" s="52">
        <v>8.1999999999999993</v>
      </c>
      <c r="J1848" s="7">
        <v>13</v>
      </c>
      <c r="K1848" s="10">
        <f t="shared" ref="K1848:K1911" si="177">(H1848*I1848*J1848/1000)</f>
        <v>1.5989999999999998</v>
      </c>
      <c r="L1848" s="32"/>
      <c r="M1848" s="32"/>
      <c r="N1848" s="18">
        <f t="shared" ref="N1848:N1911" si="178">I1848*M1848*H1848/1000</f>
        <v>0</v>
      </c>
      <c r="O1848" s="19">
        <f t="shared" ref="O1848:O1911" si="179">J1848-M1848</f>
        <v>13</v>
      </c>
      <c r="P1848" s="13">
        <f t="shared" ref="P1848:P1911" si="180">I1848*O1848*H1848/1000</f>
        <v>1.599</v>
      </c>
      <c r="Q1848" s="32"/>
      <c r="R1848" s="32"/>
      <c r="S1848" s="32"/>
    </row>
    <row r="1849" spans="1:21">
      <c r="A1849" s="47" t="s">
        <v>147</v>
      </c>
      <c r="B1849" s="48" t="s">
        <v>148</v>
      </c>
      <c r="C1849" s="32">
        <v>270</v>
      </c>
      <c r="D1849" s="32" t="s">
        <v>93</v>
      </c>
      <c r="E1849" s="48" t="s">
        <v>89</v>
      </c>
      <c r="F1849" s="48" t="s">
        <v>160</v>
      </c>
      <c r="G1849" s="48" t="s">
        <v>47</v>
      </c>
      <c r="H1849" s="11">
        <v>15</v>
      </c>
      <c r="I1849" s="52">
        <v>6.9</v>
      </c>
      <c r="J1849" s="7">
        <v>6</v>
      </c>
      <c r="K1849" s="10">
        <f t="shared" si="177"/>
        <v>0.621</v>
      </c>
      <c r="L1849" s="32"/>
      <c r="M1849" s="32"/>
      <c r="N1849" s="18">
        <f t="shared" si="178"/>
        <v>0</v>
      </c>
      <c r="O1849" s="19">
        <f t="shared" si="179"/>
        <v>6</v>
      </c>
      <c r="P1849" s="13">
        <f t="shared" si="180"/>
        <v>0.62100000000000011</v>
      </c>
      <c r="Q1849" s="32"/>
      <c r="R1849" s="32"/>
      <c r="S1849" s="32"/>
    </row>
    <row r="1850" spans="1:21">
      <c r="A1850" s="47" t="s">
        <v>147</v>
      </c>
      <c r="B1850" s="48" t="s">
        <v>148</v>
      </c>
      <c r="C1850" s="32">
        <v>270</v>
      </c>
      <c r="D1850" s="32" t="s">
        <v>93</v>
      </c>
      <c r="E1850" s="48" t="s">
        <v>89</v>
      </c>
      <c r="F1850" s="48" t="s">
        <v>160</v>
      </c>
      <c r="G1850" s="48" t="s">
        <v>47</v>
      </c>
      <c r="H1850" s="11">
        <v>15</v>
      </c>
      <c r="I1850" s="52">
        <v>12</v>
      </c>
      <c r="J1850" s="7">
        <v>7</v>
      </c>
      <c r="K1850" s="10">
        <f t="shared" si="177"/>
        <v>1.26</v>
      </c>
      <c r="L1850" s="32"/>
      <c r="M1850" s="32"/>
      <c r="N1850" s="18">
        <f t="shared" si="178"/>
        <v>0</v>
      </c>
      <c r="O1850" s="19">
        <f t="shared" si="179"/>
        <v>7</v>
      </c>
      <c r="P1850" s="13">
        <f t="shared" si="180"/>
        <v>1.26</v>
      </c>
      <c r="Q1850" s="32"/>
      <c r="R1850" s="32"/>
      <c r="S1850" s="32"/>
    </row>
    <row r="1851" spans="1:21">
      <c r="A1851" s="47" t="s">
        <v>147</v>
      </c>
      <c r="B1851" s="48" t="s">
        <v>148</v>
      </c>
      <c r="C1851" s="32">
        <v>271</v>
      </c>
      <c r="D1851" s="32"/>
      <c r="E1851" s="48" t="s">
        <v>19</v>
      </c>
      <c r="F1851" s="48" t="s">
        <v>14</v>
      </c>
      <c r="G1851" s="48" t="s">
        <v>44</v>
      </c>
      <c r="H1851" s="11">
        <v>13.4</v>
      </c>
      <c r="I1851" s="52">
        <v>12</v>
      </c>
      <c r="J1851" s="7">
        <v>4</v>
      </c>
      <c r="K1851" s="10">
        <f t="shared" si="177"/>
        <v>0.64319999999999999</v>
      </c>
      <c r="L1851" s="32"/>
      <c r="M1851" s="32">
        <v>4</v>
      </c>
      <c r="N1851" s="18">
        <f t="shared" si="178"/>
        <v>0.64319999999999999</v>
      </c>
      <c r="O1851" s="19">
        <f t="shared" si="179"/>
        <v>0</v>
      </c>
      <c r="P1851" s="13">
        <f t="shared" si="180"/>
        <v>0</v>
      </c>
      <c r="Q1851" s="32">
        <v>12</v>
      </c>
      <c r="R1851" s="32">
        <v>4</v>
      </c>
      <c r="S1851" s="32" t="s">
        <v>279</v>
      </c>
    </row>
    <row r="1852" spans="1:21">
      <c r="A1852" s="47" t="s">
        <v>147</v>
      </c>
      <c r="B1852" s="48" t="s">
        <v>148</v>
      </c>
      <c r="C1852" s="32">
        <v>271</v>
      </c>
      <c r="D1852" s="32"/>
      <c r="E1852" s="48" t="s">
        <v>19</v>
      </c>
      <c r="F1852" s="48" t="s">
        <v>14</v>
      </c>
      <c r="G1852" s="48" t="s">
        <v>44</v>
      </c>
      <c r="H1852" s="11">
        <v>13.4</v>
      </c>
      <c r="I1852" s="52">
        <v>11.5</v>
      </c>
      <c r="J1852" s="7">
        <v>2</v>
      </c>
      <c r="K1852" s="10">
        <f t="shared" si="177"/>
        <v>0.30819999999999997</v>
      </c>
      <c r="L1852" s="32"/>
      <c r="M1852" s="32">
        <v>2</v>
      </c>
      <c r="N1852" s="18">
        <f t="shared" si="178"/>
        <v>0.30819999999999997</v>
      </c>
      <c r="O1852" s="19">
        <f t="shared" si="179"/>
        <v>0</v>
      </c>
      <c r="P1852" s="13">
        <f t="shared" si="180"/>
        <v>0</v>
      </c>
      <c r="Q1852" s="32"/>
      <c r="R1852" s="45">
        <v>2</v>
      </c>
      <c r="S1852" s="2" t="s">
        <v>539</v>
      </c>
    </row>
    <row r="1853" spans="1:21">
      <c r="A1853" s="47" t="s">
        <v>147</v>
      </c>
      <c r="B1853" s="48" t="s">
        <v>148</v>
      </c>
      <c r="C1853" s="32">
        <v>271</v>
      </c>
      <c r="D1853" s="32"/>
      <c r="E1853" s="48" t="s">
        <v>19</v>
      </c>
      <c r="F1853" s="48" t="s">
        <v>14</v>
      </c>
      <c r="G1853" s="48" t="s">
        <v>44</v>
      </c>
      <c r="H1853" s="11">
        <v>13.4</v>
      </c>
      <c r="I1853" s="52">
        <v>11</v>
      </c>
      <c r="J1853" s="7">
        <v>3</v>
      </c>
      <c r="K1853" s="10">
        <f t="shared" si="177"/>
        <v>0.44220000000000004</v>
      </c>
      <c r="L1853" s="32"/>
      <c r="M1853" s="32">
        <f>2+1</f>
        <v>3</v>
      </c>
      <c r="N1853" s="18">
        <f t="shared" si="178"/>
        <v>0.44219999999999998</v>
      </c>
      <c r="O1853" s="19">
        <f t="shared" si="179"/>
        <v>0</v>
      </c>
      <c r="P1853" s="13">
        <f t="shared" si="180"/>
        <v>0</v>
      </c>
      <c r="Q1853" s="32"/>
      <c r="R1853" s="45">
        <v>1</v>
      </c>
      <c r="S1853" s="2" t="s">
        <v>539</v>
      </c>
      <c r="T1853" s="32">
        <v>2</v>
      </c>
      <c r="U1853" s="32" t="s">
        <v>278</v>
      </c>
    </row>
    <row r="1854" spans="1:21">
      <c r="A1854" s="47" t="s">
        <v>147</v>
      </c>
      <c r="B1854" s="48" t="s">
        <v>148</v>
      </c>
      <c r="C1854" s="32">
        <v>272</v>
      </c>
      <c r="D1854" s="32"/>
      <c r="E1854" s="48" t="s">
        <v>89</v>
      </c>
      <c r="F1854" s="48" t="s">
        <v>160</v>
      </c>
      <c r="G1854" s="48" t="s">
        <v>34</v>
      </c>
      <c r="H1854" s="11">
        <v>9.61</v>
      </c>
      <c r="I1854" s="52">
        <v>12</v>
      </c>
      <c r="J1854" s="7">
        <v>13</v>
      </c>
      <c r="K1854" s="10">
        <f t="shared" si="177"/>
        <v>1.4991599999999998</v>
      </c>
      <c r="L1854" s="32"/>
      <c r="M1854" s="32">
        <v>13</v>
      </c>
      <c r="N1854" s="18">
        <f t="shared" si="178"/>
        <v>1.4991599999999998</v>
      </c>
      <c r="O1854" s="19">
        <f t="shared" si="179"/>
        <v>0</v>
      </c>
      <c r="P1854" s="13">
        <f t="shared" si="180"/>
        <v>0</v>
      </c>
      <c r="Q1854" s="32"/>
      <c r="R1854" s="32"/>
      <c r="S1854" s="32"/>
    </row>
    <row r="1855" spans="1:21">
      <c r="A1855" s="47" t="s">
        <v>147</v>
      </c>
      <c r="B1855" s="48" t="s">
        <v>148</v>
      </c>
      <c r="C1855" s="32">
        <v>273</v>
      </c>
      <c r="D1855" s="32"/>
      <c r="E1855" s="48" t="s">
        <v>89</v>
      </c>
      <c r="F1855" s="48" t="s">
        <v>160</v>
      </c>
      <c r="G1855" s="48" t="s">
        <v>34</v>
      </c>
      <c r="H1855" s="11">
        <v>9.61</v>
      </c>
      <c r="I1855" s="52">
        <v>11.5</v>
      </c>
      <c r="J1855" s="7">
        <v>28</v>
      </c>
      <c r="K1855" s="10">
        <f t="shared" si="177"/>
        <v>3.0944199999999995</v>
      </c>
      <c r="L1855" s="32"/>
      <c r="M1855" s="32">
        <v>28</v>
      </c>
      <c r="N1855" s="18">
        <f t="shared" si="178"/>
        <v>3.0944199999999995</v>
      </c>
      <c r="O1855" s="19">
        <f t="shared" si="179"/>
        <v>0</v>
      </c>
      <c r="P1855" s="13">
        <f t="shared" si="180"/>
        <v>0</v>
      </c>
      <c r="Q1855" s="32"/>
      <c r="R1855" s="32"/>
      <c r="S1855" s="32"/>
    </row>
    <row r="1856" spans="1:21">
      <c r="A1856" s="47" t="s">
        <v>147</v>
      </c>
      <c r="B1856" s="48" t="s">
        <v>148</v>
      </c>
      <c r="C1856" s="32">
        <v>274</v>
      </c>
      <c r="D1856" s="32"/>
      <c r="E1856" s="48" t="s">
        <v>89</v>
      </c>
      <c r="F1856" s="48" t="s">
        <v>160</v>
      </c>
      <c r="G1856" s="48" t="s">
        <v>34</v>
      </c>
      <c r="H1856" s="11">
        <v>9.61</v>
      </c>
      <c r="I1856" s="52">
        <v>11</v>
      </c>
      <c r="J1856" s="7">
        <v>17</v>
      </c>
      <c r="K1856" s="10">
        <f t="shared" si="177"/>
        <v>1.7970699999999999</v>
      </c>
      <c r="L1856" s="32"/>
      <c r="M1856" s="32">
        <v>17</v>
      </c>
      <c r="N1856" s="18">
        <f t="shared" si="178"/>
        <v>1.7970699999999999</v>
      </c>
      <c r="O1856" s="19">
        <f t="shared" si="179"/>
        <v>0</v>
      </c>
      <c r="P1856" s="13">
        <f t="shared" si="180"/>
        <v>0</v>
      </c>
      <c r="Q1856" s="32"/>
      <c r="R1856" s="32"/>
      <c r="S1856" s="32"/>
    </row>
    <row r="1857" spans="1:21">
      <c r="A1857" s="47" t="s">
        <v>147</v>
      </c>
      <c r="B1857" s="48" t="s">
        <v>148</v>
      </c>
      <c r="C1857" s="32">
        <v>275</v>
      </c>
      <c r="D1857" s="32"/>
      <c r="E1857" s="48" t="s">
        <v>89</v>
      </c>
      <c r="F1857" s="48" t="s">
        <v>160</v>
      </c>
      <c r="G1857" s="48" t="s">
        <v>34</v>
      </c>
      <c r="H1857" s="11">
        <v>9.61</v>
      </c>
      <c r="I1857" s="52">
        <v>11</v>
      </c>
      <c r="J1857" s="7">
        <v>1</v>
      </c>
      <c r="K1857" s="10">
        <f t="shared" si="177"/>
        <v>0.10571</v>
      </c>
      <c r="L1857" s="32"/>
      <c r="M1857" s="32">
        <v>1</v>
      </c>
      <c r="N1857" s="18">
        <f t="shared" si="178"/>
        <v>0.10571</v>
      </c>
      <c r="O1857" s="19">
        <f t="shared" si="179"/>
        <v>0</v>
      </c>
      <c r="P1857" s="13">
        <f t="shared" si="180"/>
        <v>0</v>
      </c>
      <c r="Q1857" s="32"/>
      <c r="R1857" s="32">
        <v>1</v>
      </c>
      <c r="S1857" s="32" t="s">
        <v>259</v>
      </c>
    </row>
    <row r="1858" spans="1:21">
      <c r="A1858" s="47" t="s">
        <v>147</v>
      </c>
      <c r="B1858" s="48" t="s">
        <v>148</v>
      </c>
      <c r="C1858" s="32">
        <v>275</v>
      </c>
      <c r="D1858" s="32"/>
      <c r="E1858" s="48" t="s">
        <v>89</v>
      </c>
      <c r="F1858" s="48" t="s">
        <v>160</v>
      </c>
      <c r="G1858" s="48" t="s">
        <v>34</v>
      </c>
      <c r="H1858" s="11">
        <v>9.61</v>
      </c>
      <c r="I1858" s="52">
        <v>11.5</v>
      </c>
      <c r="J1858" s="7">
        <v>2</v>
      </c>
      <c r="K1858" s="10">
        <f t="shared" si="177"/>
        <v>0.22102999999999998</v>
      </c>
      <c r="L1858" s="32"/>
      <c r="M1858" s="32">
        <v>2</v>
      </c>
      <c r="N1858" s="18">
        <f t="shared" si="178"/>
        <v>0.22102999999999998</v>
      </c>
      <c r="O1858" s="19">
        <f t="shared" si="179"/>
        <v>0</v>
      </c>
      <c r="P1858" s="13">
        <f t="shared" si="180"/>
        <v>0</v>
      </c>
      <c r="Q1858" s="32"/>
      <c r="R1858" s="32">
        <v>2</v>
      </c>
      <c r="S1858" s="32" t="s">
        <v>259</v>
      </c>
    </row>
    <row r="1859" spans="1:21">
      <c r="A1859" s="47" t="s">
        <v>147</v>
      </c>
      <c r="B1859" s="48" t="s">
        <v>148</v>
      </c>
      <c r="C1859" s="32">
        <v>275</v>
      </c>
      <c r="D1859" s="32"/>
      <c r="E1859" s="48" t="s">
        <v>89</v>
      </c>
      <c r="F1859" s="48" t="s">
        <v>160</v>
      </c>
      <c r="G1859" s="48" t="s">
        <v>34</v>
      </c>
      <c r="H1859" s="11">
        <v>9.61</v>
      </c>
      <c r="I1859" s="52">
        <v>12</v>
      </c>
      <c r="J1859" s="7">
        <v>2</v>
      </c>
      <c r="K1859" s="10">
        <f t="shared" si="177"/>
        <v>0.23063999999999998</v>
      </c>
      <c r="L1859" s="32"/>
      <c r="M1859" s="32">
        <v>2</v>
      </c>
      <c r="N1859" s="18">
        <f t="shared" si="178"/>
        <v>0.23063999999999998</v>
      </c>
      <c r="O1859" s="19">
        <f t="shared" si="179"/>
        <v>0</v>
      </c>
      <c r="P1859" s="13">
        <f t="shared" si="180"/>
        <v>0</v>
      </c>
      <c r="Q1859" s="32"/>
      <c r="R1859" s="32">
        <v>2</v>
      </c>
      <c r="S1859" s="32" t="s">
        <v>259</v>
      </c>
    </row>
    <row r="1860" spans="1:21">
      <c r="A1860" s="47" t="s">
        <v>147</v>
      </c>
      <c r="B1860" s="48" t="s">
        <v>148</v>
      </c>
      <c r="C1860" s="32">
        <v>276</v>
      </c>
      <c r="D1860" s="32"/>
      <c r="E1860" s="48" t="s">
        <v>24</v>
      </c>
      <c r="F1860" s="48" t="s">
        <v>14</v>
      </c>
      <c r="G1860" s="48" t="s">
        <v>32</v>
      </c>
      <c r="H1860" s="11">
        <v>8.3000000000000007</v>
      </c>
      <c r="I1860" s="52">
        <v>11.5</v>
      </c>
      <c r="J1860" s="7">
        <v>2</v>
      </c>
      <c r="K1860" s="10">
        <f t="shared" si="177"/>
        <v>0.19090000000000001</v>
      </c>
      <c r="L1860" s="32"/>
      <c r="M1860" s="32">
        <v>2</v>
      </c>
      <c r="N1860" s="18">
        <f t="shared" si="178"/>
        <v>0.19090000000000001</v>
      </c>
      <c r="O1860" s="19">
        <f t="shared" si="179"/>
        <v>0</v>
      </c>
      <c r="P1860" s="13">
        <f t="shared" si="180"/>
        <v>0</v>
      </c>
      <c r="Q1860" s="32"/>
      <c r="R1860" s="32"/>
      <c r="S1860" s="33">
        <v>11</v>
      </c>
      <c r="T1860">
        <v>2</v>
      </c>
      <c r="U1860" t="s">
        <v>302</v>
      </c>
    </row>
    <row r="1861" spans="1:21">
      <c r="A1861" s="47" t="s">
        <v>147</v>
      </c>
      <c r="B1861" s="48" t="s">
        <v>148</v>
      </c>
      <c r="C1861" s="32">
        <v>276</v>
      </c>
      <c r="D1861" s="32"/>
      <c r="E1861" s="48" t="s">
        <v>24</v>
      </c>
      <c r="F1861" s="48" t="s">
        <v>14</v>
      </c>
      <c r="G1861" s="48" t="s">
        <v>32</v>
      </c>
      <c r="H1861" s="11">
        <v>8.3000000000000007</v>
      </c>
      <c r="I1861" s="52">
        <v>9</v>
      </c>
      <c r="J1861" s="7">
        <v>1</v>
      </c>
      <c r="K1861" s="10">
        <f t="shared" si="177"/>
        <v>7.4700000000000003E-2</v>
      </c>
      <c r="L1861" s="32"/>
      <c r="M1861" s="32">
        <v>1</v>
      </c>
      <c r="N1861" s="18">
        <f t="shared" si="178"/>
        <v>7.4700000000000003E-2</v>
      </c>
      <c r="O1861" s="19">
        <f t="shared" si="179"/>
        <v>0</v>
      </c>
      <c r="P1861" s="13">
        <f t="shared" si="180"/>
        <v>0</v>
      </c>
      <c r="Q1861" s="32"/>
      <c r="R1861" s="32"/>
      <c r="S1861" s="33">
        <v>9</v>
      </c>
      <c r="T1861">
        <v>1</v>
      </c>
      <c r="U1861" t="s">
        <v>302</v>
      </c>
    </row>
    <row r="1862" spans="1:21">
      <c r="A1862" s="47" t="s">
        <v>147</v>
      </c>
      <c r="B1862" s="48" t="s">
        <v>148</v>
      </c>
      <c r="C1862" s="32">
        <v>276</v>
      </c>
      <c r="D1862" s="32"/>
      <c r="E1862" s="48" t="s">
        <v>24</v>
      </c>
      <c r="F1862" s="48" t="s">
        <v>14</v>
      </c>
      <c r="G1862" s="48" t="s">
        <v>32</v>
      </c>
      <c r="H1862" s="11">
        <v>8.3000000000000007</v>
      </c>
      <c r="I1862" s="52">
        <v>7.15</v>
      </c>
      <c r="J1862" s="7">
        <v>5</v>
      </c>
      <c r="K1862" s="10">
        <f t="shared" si="177"/>
        <v>0.29672500000000002</v>
      </c>
      <c r="L1862" s="32"/>
      <c r="M1862" s="32">
        <f>2+3</f>
        <v>5</v>
      </c>
      <c r="N1862" s="18">
        <f t="shared" si="178"/>
        <v>0.29672500000000002</v>
      </c>
      <c r="O1862" s="19">
        <f t="shared" si="179"/>
        <v>0</v>
      </c>
      <c r="P1862" s="13">
        <f t="shared" si="180"/>
        <v>0</v>
      </c>
      <c r="Q1862" s="32">
        <v>7.05</v>
      </c>
      <c r="R1862" s="32">
        <v>2</v>
      </c>
      <c r="S1862" s="33">
        <v>7</v>
      </c>
      <c r="T1862" s="188">
        <v>3</v>
      </c>
      <c r="U1862" t="s">
        <v>302</v>
      </c>
    </row>
    <row r="1863" spans="1:21">
      <c r="A1863" s="47" t="s">
        <v>147</v>
      </c>
      <c r="B1863" s="48" t="s">
        <v>148</v>
      </c>
      <c r="C1863" s="32">
        <v>276</v>
      </c>
      <c r="D1863" s="32"/>
      <c r="E1863" s="48" t="s">
        <v>24</v>
      </c>
      <c r="F1863" s="48" t="s">
        <v>14</v>
      </c>
      <c r="G1863" s="48" t="s">
        <v>32</v>
      </c>
      <c r="H1863" s="11">
        <v>8.3000000000000007</v>
      </c>
      <c r="I1863" s="8">
        <v>6.1</v>
      </c>
      <c r="J1863" s="7">
        <v>2</v>
      </c>
      <c r="K1863" s="10">
        <f t="shared" si="177"/>
        <v>0.10126</v>
      </c>
      <c r="L1863" s="32"/>
      <c r="M1863" s="32">
        <v>2</v>
      </c>
      <c r="N1863" s="18">
        <f t="shared" si="178"/>
        <v>0.10126</v>
      </c>
      <c r="O1863" s="19">
        <f t="shared" si="179"/>
        <v>0</v>
      </c>
      <c r="P1863" s="13">
        <f t="shared" si="180"/>
        <v>0</v>
      </c>
      <c r="Q1863" s="32"/>
      <c r="R1863" s="45">
        <v>2</v>
      </c>
      <c r="S1863" s="2" t="s">
        <v>663</v>
      </c>
    </row>
    <row r="1864" spans="1:21">
      <c r="A1864" s="47" t="s">
        <v>147</v>
      </c>
      <c r="B1864" s="48" t="s">
        <v>148</v>
      </c>
      <c r="C1864" s="32">
        <v>277</v>
      </c>
      <c r="D1864" s="32"/>
      <c r="E1864" s="48" t="s">
        <v>17</v>
      </c>
      <c r="F1864" s="48" t="s">
        <v>160</v>
      </c>
      <c r="G1864" s="48" t="s">
        <v>30</v>
      </c>
      <c r="H1864" s="11">
        <v>9.26</v>
      </c>
      <c r="I1864" s="184">
        <v>7.25</v>
      </c>
      <c r="J1864" s="7">
        <v>4</v>
      </c>
      <c r="K1864" s="10">
        <f t="shared" si="177"/>
        <v>0.26854</v>
      </c>
      <c r="L1864" s="32"/>
      <c r="M1864" s="32">
        <v>4</v>
      </c>
      <c r="N1864" s="18">
        <f t="shared" si="178"/>
        <v>0.26854</v>
      </c>
      <c r="O1864" s="19">
        <f t="shared" si="179"/>
        <v>0</v>
      </c>
      <c r="P1864" s="13">
        <f t="shared" si="180"/>
        <v>0</v>
      </c>
      <c r="Q1864" s="32">
        <v>7.25</v>
      </c>
      <c r="R1864" s="45">
        <v>4</v>
      </c>
      <c r="S1864" s="2" t="s">
        <v>267</v>
      </c>
    </row>
    <row r="1865" spans="1:21">
      <c r="A1865" s="47" t="s">
        <v>147</v>
      </c>
      <c r="B1865" s="48" t="s">
        <v>148</v>
      </c>
      <c r="C1865" s="32">
        <v>277</v>
      </c>
      <c r="D1865" s="32"/>
      <c r="E1865" s="48" t="s">
        <v>17</v>
      </c>
      <c r="F1865" s="48" t="s">
        <v>160</v>
      </c>
      <c r="G1865" s="48" t="s">
        <v>30</v>
      </c>
      <c r="H1865" s="11">
        <v>9.26</v>
      </c>
      <c r="I1865" s="184">
        <v>7.55</v>
      </c>
      <c r="J1865" s="7">
        <v>6</v>
      </c>
      <c r="K1865" s="10">
        <f t="shared" si="177"/>
        <v>0.41947799999999996</v>
      </c>
      <c r="L1865" s="32"/>
      <c r="M1865" s="32">
        <v>6</v>
      </c>
      <c r="N1865" s="18">
        <f t="shared" si="178"/>
        <v>0.41947799999999996</v>
      </c>
      <c r="O1865" s="19">
        <f t="shared" si="179"/>
        <v>0</v>
      </c>
      <c r="P1865" s="13">
        <f t="shared" si="180"/>
        <v>0</v>
      </c>
      <c r="Q1865" s="32">
        <v>7.25</v>
      </c>
      <c r="R1865" s="45">
        <v>6</v>
      </c>
      <c r="S1865" s="2" t="s">
        <v>267</v>
      </c>
    </row>
    <row r="1866" spans="1:21">
      <c r="A1866" s="47" t="s">
        <v>147</v>
      </c>
      <c r="B1866" s="48" t="s">
        <v>148</v>
      </c>
      <c r="C1866" s="32">
        <v>277</v>
      </c>
      <c r="D1866" s="32"/>
      <c r="E1866" s="48" t="s">
        <v>17</v>
      </c>
      <c r="F1866" s="48" t="s">
        <v>160</v>
      </c>
      <c r="G1866" s="48" t="s">
        <v>30</v>
      </c>
      <c r="H1866" s="11">
        <v>9.26</v>
      </c>
      <c r="I1866" s="184">
        <v>8</v>
      </c>
      <c r="J1866" s="7">
        <v>3</v>
      </c>
      <c r="K1866" s="10">
        <f t="shared" si="177"/>
        <v>0.22224000000000002</v>
      </c>
      <c r="L1866" s="32"/>
      <c r="M1866" s="32">
        <v>3</v>
      </c>
      <c r="N1866" s="18">
        <f t="shared" si="178"/>
        <v>0.22224000000000002</v>
      </c>
      <c r="O1866" s="19">
        <f t="shared" si="179"/>
        <v>0</v>
      </c>
      <c r="P1866" s="13">
        <f t="shared" si="180"/>
        <v>0</v>
      </c>
      <c r="Q1866" s="32">
        <v>8</v>
      </c>
      <c r="R1866" s="45">
        <v>3</v>
      </c>
      <c r="S1866" s="2" t="s">
        <v>267</v>
      </c>
    </row>
    <row r="1867" spans="1:21">
      <c r="A1867" s="47" t="s">
        <v>147</v>
      </c>
      <c r="B1867" s="48" t="s">
        <v>148</v>
      </c>
      <c r="C1867" s="32">
        <v>278</v>
      </c>
      <c r="D1867" s="32"/>
      <c r="E1867" s="48" t="s">
        <v>19</v>
      </c>
      <c r="F1867" s="48" t="s">
        <v>14</v>
      </c>
      <c r="G1867" s="48" t="s">
        <v>44</v>
      </c>
      <c r="H1867" s="11">
        <v>13.4</v>
      </c>
      <c r="I1867" s="52">
        <v>10.4</v>
      </c>
      <c r="J1867" s="7">
        <v>2</v>
      </c>
      <c r="K1867" s="10">
        <f t="shared" si="177"/>
        <v>0.27872000000000002</v>
      </c>
      <c r="L1867" s="32"/>
      <c r="M1867" s="32">
        <v>2</v>
      </c>
      <c r="N1867" s="18">
        <f t="shared" si="178"/>
        <v>0.27872000000000002</v>
      </c>
      <c r="O1867" s="19">
        <f t="shared" si="179"/>
        <v>0</v>
      </c>
      <c r="P1867" s="13">
        <f t="shared" si="180"/>
        <v>0</v>
      </c>
      <c r="Q1867" s="32"/>
      <c r="R1867" s="32">
        <v>2</v>
      </c>
      <c r="S1867" s="32" t="s">
        <v>278</v>
      </c>
    </row>
    <row r="1868" spans="1:21">
      <c r="A1868" s="47" t="s">
        <v>147</v>
      </c>
      <c r="B1868" s="48" t="s">
        <v>148</v>
      </c>
      <c r="C1868" s="32">
        <v>279</v>
      </c>
      <c r="D1868" s="32"/>
      <c r="E1868" s="48" t="s">
        <v>24</v>
      </c>
      <c r="F1868" s="48" t="s">
        <v>14</v>
      </c>
      <c r="G1868" s="48" t="s">
        <v>35</v>
      </c>
      <c r="H1868" s="11">
        <v>16.579999999999998</v>
      </c>
      <c r="I1868" s="52">
        <v>11.7</v>
      </c>
      <c r="J1868" s="7">
        <v>1</v>
      </c>
      <c r="K1868" s="10">
        <f t="shared" si="177"/>
        <v>0.19398599999999996</v>
      </c>
      <c r="L1868" s="32"/>
      <c r="M1868" s="32">
        <v>1</v>
      </c>
      <c r="N1868" s="18">
        <f t="shared" si="178"/>
        <v>0.19398599999999996</v>
      </c>
      <c r="O1868" s="19">
        <f t="shared" si="179"/>
        <v>0</v>
      </c>
      <c r="P1868" s="13">
        <f t="shared" si="180"/>
        <v>0</v>
      </c>
      <c r="Q1868" s="32"/>
      <c r="R1868" s="32">
        <v>1</v>
      </c>
      <c r="S1868" s="32" t="s">
        <v>203</v>
      </c>
    </row>
    <row r="1869" spans="1:21">
      <c r="A1869" s="47" t="s">
        <v>147</v>
      </c>
      <c r="B1869" s="48" t="s">
        <v>148</v>
      </c>
      <c r="C1869" s="32">
        <v>279</v>
      </c>
      <c r="D1869" s="32"/>
      <c r="E1869" s="48" t="s">
        <v>24</v>
      </c>
      <c r="F1869" s="48" t="s">
        <v>14</v>
      </c>
      <c r="G1869" s="48" t="s">
        <v>35</v>
      </c>
      <c r="H1869" s="11">
        <v>16.579999999999998</v>
      </c>
      <c r="I1869" s="52">
        <v>11.6</v>
      </c>
      <c r="J1869" s="7">
        <v>1</v>
      </c>
      <c r="K1869" s="10">
        <f t="shared" si="177"/>
        <v>0.19232799999999997</v>
      </c>
      <c r="L1869" s="32"/>
      <c r="M1869" s="32">
        <v>1</v>
      </c>
      <c r="N1869" s="18">
        <f t="shared" si="178"/>
        <v>0.19232799999999997</v>
      </c>
      <c r="O1869" s="19">
        <f t="shared" si="179"/>
        <v>0</v>
      </c>
      <c r="P1869" s="13">
        <f t="shared" si="180"/>
        <v>0</v>
      </c>
      <c r="Q1869" s="32"/>
      <c r="R1869" s="32">
        <v>1</v>
      </c>
      <c r="S1869" s="32" t="s">
        <v>203</v>
      </c>
    </row>
    <row r="1870" spans="1:21">
      <c r="A1870" s="47" t="s">
        <v>147</v>
      </c>
      <c r="B1870" s="48" t="s">
        <v>148</v>
      </c>
      <c r="C1870" s="32">
        <v>279</v>
      </c>
      <c r="D1870" s="32"/>
      <c r="E1870" s="48" t="s">
        <v>24</v>
      </c>
      <c r="F1870" s="48" t="s">
        <v>14</v>
      </c>
      <c r="G1870" s="48" t="s">
        <v>35</v>
      </c>
      <c r="H1870" s="11">
        <v>16.579999999999998</v>
      </c>
      <c r="I1870" s="52">
        <v>12</v>
      </c>
      <c r="J1870" s="7">
        <v>1</v>
      </c>
      <c r="K1870" s="10">
        <f t="shared" si="177"/>
        <v>0.19895999999999997</v>
      </c>
      <c r="L1870" s="32"/>
      <c r="M1870" s="32">
        <v>1</v>
      </c>
      <c r="N1870" s="18">
        <f t="shared" si="178"/>
        <v>0.19895999999999997</v>
      </c>
      <c r="O1870" s="19">
        <f t="shared" si="179"/>
        <v>0</v>
      </c>
      <c r="P1870" s="13">
        <f t="shared" si="180"/>
        <v>0</v>
      </c>
      <c r="Q1870" s="32"/>
      <c r="R1870" s="32">
        <v>1</v>
      </c>
      <c r="S1870" s="32" t="s">
        <v>203</v>
      </c>
    </row>
    <row r="1871" spans="1:21">
      <c r="A1871" s="47" t="s">
        <v>147</v>
      </c>
      <c r="B1871" s="48" t="s">
        <v>148</v>
      </c>
      <c r="C1871" s="32">
        <v>279</v>
      </c>
      <c r="D1871" s="32"/>
      <c r="E1871" s="48" t="s">
        <v>24</v>
      </c>
      <c r="F1871" s="48" t="s">
        <v>14</v>
      </c>
      <c r="G1871" s="48" t="s">
        <v>35</v>
      </c>
      <c r="H1871" s="11">
        <v>16.579999999999998</v>
      </c>
      <c r="I1871" s="52">
        <v>11.3</v>
      </c>
      <c r="J1871" s="7">
        <v>1</v>
      </c>
      <c r="K1871" s="10">
        <f t="shared" si="177"/>
        <v>0.18735399999999999</v>
      </c>
      <c r="L1871" s="32"/>
      <c r="M1871" s="32">
        <v>1</v>
      </c>
      <c r="N1871" s="18">
        <f t="shared" si="178"/>
        <v>0.18735399999999999</v>
      </c>
      <c r="O1871" s="19">
        <f t="shared" si="179"/>
        <v>0</v>
      </c>
      <c r="P1871" s="13">
        <f t="shared" si="180"/>
        <v>0</v>
      </c>
      <c r="Q1871" s="32"/>
      <c r="R1871" s="32">
        <v>1</v>
      </c>
      <c r="S1871" s="32" t="s">
        <v>203</v>
      </c>
    </row>
    <row r="1872" spans="1:21">
      <c r="A1872" s="47" t="s">
        <v>147</v>
      </c>
      <c r="B1872" s="48" t="s">
        <v>148</v>
      </c>
      <c r="C1872" s="32">
        <v>280</v>
      </c>
      <c r="D1872" s="32"/>
      <c r="E1872" s="48" t="s">
        <v>24</v>
      </c>
      <c r="F1872" s="48" t="s">
        <v>14</v>
      </c>
      <c r="G1872" s="48" t="s">
        <v>41</v>
      </c>
      <c r="H1872" s="11">
        <v>11.8</v>
      </c>
      <c r="I1872" s="52">
        <v>12</v>
      </c>
      <c r="J1872" s="7">
        <v>13</v>
      </c>
      <c r="K1872" s="10">
        <f t="shared" si="177"/>
        <v>1.8408000000000002</v>
      </c>
      <c r="L1872" s="32"/>
      <c r="M1872" s="32">
        <f>3+10</f>
        <v>13</v>
      </c>
      <c r="N1872" s="18">
        <f t="shared" si="178"/>
        <v>1.8408000000000002</v>
      </c>
      <c r="O1872" s="19">
        <f t="shared" si="179"/>
        <v>0</v>
      </c>
      <c r="P1872" s="13">
        <f t="shared" si="180"/>
        <v>0</v>
      </c>
      <c r="Q1872" s="33">
        <v>12</v>
      </c>
      <c r="R1872" s="32">
        <v>10</v>
      </c>
      <c r="S1872" s="2" t="s">
        <v>192</v>
      </c>
      <c r="T1872" s="32">
        <v>7.6</v>
      </c>
      <c r="U1872" s="32">
        <v>3</v>
      </c>
    </row>
    <row r="1873" spans="1:19">
      <c r="A1873" s="47" t="s">
        <v>147</v>
      </c>
      <c r="B1873" s="48" t="s">
        <v>148</v>
      </c>
      <c r="C1873" s="32">
        <v>281</v>
      </c>
      <c r="D1873" s="32"/>
      <c r="E1873" s="48" t="s">
        <v>20</v>
      </c>
      <c r="F1873" s="48" t="s">
        <v>160</v>
      </c>
      <c r="G1873" s="48" t="s">
        <v>32</v>
      </c>
      <c r="H1873" s="11">
        <v>8.3000000000000007</v>
      </c>
      <c r="I1873" s="52">
        <v>8</v>
      </c>
      <c r="J1873" s="7">
        <v>1</v>
      </c>
      <c r="K1873" s="10">
        <f t="shared" si="177"/>
        <v>6.6400000000000001E-2</v>
      </c>
      <c r="L1873" s="32"/>
      <c r="M1873" s="32">
        <v>1</v>
      </c>
      <c r="N1873" s="18">
        <f t="shared" si="178"/>
        <v>6.6400000000000001E-2</v>
      </c>
      <c r="O1873" s="19">
        <f t="shared" si="179"/>
        <v>0</v>
      </c>
      <c r="P1873" s="13">
        <f t="shared" si="180"/>
        <v>0</v>
      </c>
      <c r="Q1873" s="32">
        <v>8.15</v>
      </c>
      <c r="R1873" s="32">
        <v>1</v>
      </c>
      <c r="S1873" s="32"/>
    </row>
    <row r="1874" spans="1:19">
      <c r="A1874" s="47" t="s">
        <v>147</v>
      </c>
      <c r="B1874" s="48" t="s">
        <v>148</v>
      </c>
      <c r="C1874" s="32">
        <v>281</v>
      </c>
      <c r="D1874" s="32"/>
      <c r="E1874" s="48" t="s">
        <v>20</v>
      </c>
      <c r="F1874" s="48" t="s">
        <v>160</v>
      </c>
      <c r="G1874" s="48" t="s">
        <v>32</v>
      </c>
      <c r="H1874" s="11">
        <v>8.3000000000000007</v>
      </c>
      <c r="I1874" s="52">
        <v>8.4</v>
      </c>
      <c r="J1874" s="7">
        <v>1</v>
      </c>
      <c r="K1874" s="10">
        <f t="shared" si="177"/>
        <v>6.9720000000000018E-2</v>
      </c>
      <c r="L1874" s="32"/>
      <c r="M1874" s="32">
        <v>1</v>
      </c>
      <c r="N1874" s="18">
        <f t="shared" si="178"/>
        <v>6.9720000000000018E-2</v>
      </c>
      <c r="O1874" s="19">
        <f t="shared" si="179"/>
        <v>0</v>
      </c>
      <c r="P1874" s="13">
        <f t="shared" si="180"/>
        <v>0</v>
      </c>
      <c r="Q1874" s="32">
        <v>8.15</v>
      </c>
      <c r="R1874" s="32">
        <v>1</v>
      </c>
      <c r="S1874" s="32"/>
    </row>
    <row r="1875" spans="1:19">
      <c r="A1875" s="47" t="s">
        <v>147</v>
      </c>
      <c r="B1875" s="48" t="s">
        <v>148</v>
      </c>
      <c r="C1875" s="32">
        <v>281</v>
      </c>
      <c r="D1875" s="32"/>
      <c r="E1875" s="48" t="s">
        <v>20</v>
      </c>
      <c r="F1875" s="48" t="s">
        <v>160</v>
      </c>
      <c r="G1875" s="48" t="s">
        <v>32</v>
      </c>
      <c r="H1875" s="11">
        <v>8.3000000000000007</v>
      </c>
      <c r="I1875" s="52">
        <v>10.5</v>
      </c>
      <c r="J1875" s="7">
        <v>3</v>
      </c>
      <c r="K1875" s="10">
        <f t="shared" si="177"/>
        <v>0.26145000000000007</v>
      </c>
      <c r="L1875" s="32"/>
      <c r="M1875" s="32">
        <v>3</v>
      </c>
      <c r="N1875" s="18">
        <f t="shared" si="178"/>
        <v>0.26145000000000007</v>
      </c>
      <c r="O1875" s="19">
        <f t="shared" si="179"/>
        <v>0</v>
      </c>
      <c r="P1875" s="13">
        <f t="shared" si="180"/>
        <v>0</v>
      </c>
      <c r="Q1875" s="32">
        <v>8.15</v>
      </c>
      <c r="R1875" s="32">
        <v>3</v>
      </c>
      <c r="S1875" s="32"/>
    </row>
    <row r="1876" spans="1:19">
      <c r="A1876" s="47" t="s">
        <v>147</v>
      </c>
      <c r="B1876" s="48" t="s">
        <v>148</v>
      </c>
      <c r="C1876" s="32">
        <v>292</v>
      </c>
      <c r="D1876" s="32"/>
      <c r="E1876" s="48" t="s">
        <v>24</v>
      </c>
      <c r="F1876" s="48" t="s">
        <v>14</v>
      </c>
      <c r="G1876" s="48" t="s">
        <v>32</v>
      </c>
      <c r="H1876" s="11">
        <v>8.3000000000000007</v>
      </c>
      <c r="I1876" s="52">
        <v>12</v>
      </c>
      <c r="J1876" s="7">
        <v>18</v>
      </c>
      <c r="K1876" s="10">
        <f t="shared" si="177"/>
        <v>1.7928000000000002</v>
      </c>
      <c r="L1876" s="32"/>
      <c r="M1876" s="32">
        <v>18</v>
      </c>
      <c r="N1876" s="18">
        <f t="shared" si="178"/>
        <v>1.7928000000000002</v>
      </c>
      <c r="O1876" s="19">
        <f t="shared" si="179"/>
        <v>0</v>
      </c>
      <c r="P1876" s="13">
        <f t="shared" si="180"/>
        <v>0</v>
      </c>
      <c r="Q1876" s="32"/>
      <c r="R1876" s="32"/>
      <c r="S1876" s="32"/>
    </row>
    <row r="1877" spans="1:19">
      <c r="A1877" s="47" t="s">
        <v>147</v>
      </c>
      <c r="B1877" s="48" t="s">
        <v>148</v>
      </c>
      <c r="C1877" s="32">
        <v>292</v>
      </c>
      <c r="D1877" s="32" t="s">
        <v>142</v>
      </c>
      <c r="E1877" s="20" t="s">
        <v>75</v>
      </c>
      <c r="F1877" s="48" t="s">
        <v>15</v>
      </c>
      <c r="G1877" s="48" t="s">
        <v>32</v>
      </c>
      <c r="H1877" s="11">
        <v>8.3000000000000007</v>
      </c>
      <c r="I1877" s="52">
        <v>9</v>
      </c>
      <c r="J1877" s="7">
        <v>20</v>
      </c>
      <c r="K1877" s="10">
        <f t="shared" si="177"/>
        <v>1.494</v>
      </c>
      <c r="L1877" s="32"/>
      <c r="M1877" s="32">
        <v>20</v>
      </c>
      <c r="N1877" s="18">
        <f t="shared" si="178"/>
        <v>1.4940000000000002</v>
      </c>
      <c r="O1877" s="19">
        <f t="shared" si="179"/>
        <v>0</v>
      </c>
      <c r="P1877" s="13">
        <f t="shared" si="180"/>
        <v>0</v>
      </c>
      <c r="Q1877" s="32"/>
      <c r="R1877" s="32"/>
      <c r="S1877" s="32"/>
    </row>
    <row r="1878" spans="1:19">
      <c r="A1878" s="47" t="s">
        <v>147</v>
      </c>
      <c r="B1878" s="48" t="s">
        <v>148</v>
      </c>
      <c r="C1878" s="32">
        <v>292</v>
      </c>
      <c r="D1878" s="32" t="s">
        <v>142</v>
      </c>
      <c r="E1878" s="20" t="s">
        <v>75</v>
      </c>
      <c r="F1878" s="48" t="s">
        <v>15</v>
      </c>
      <c r="G1878" s="48" t="s">
        <v>32</v>
      </c>
      <c r="H1878" s="11">
        <v>8.3000000000000007</v>
      </c>
      <c r="I1878" s="52">
        <v>11.1</v>
      </c>
      <c r="J1878" s="7">
        <v>17</v>
      </c>
      <c r="K1878" s="10">
        <f t="shared" si="177"/>
        <v>1.5662100000000003</v>
      </c>
      <c r="L1878" s="32"/>
      <c r="M1878" s="32">
        <v>17</v>
      </c>
      <c r="N1878" s="18">
        <f t="shared" si="178"/>
        <v>1.5662100000000001</v>
      </c>
      <c r="O1878" s="19">
        <f t="shared" si="179"/>
        <v>0</v>
      </c>
      <c r="P1878" s="13">
        <f t="shared" si="180"/>
        <v>0</v>
      </c>
      <c r="Q1878" s="32"/>
      <c r="R1878" s="32"/>
      <c r="S1878" s="32"/>
    </row>
    <row r="1879" spans="1:19">
      <c r="A1879" s="47" t="s">
        <v>147</v>
      </c>
      <c r="B1879" s="48" t="s">
        <v>148</v>
      </c>
      <c r="C1879" s="32">
        <v>292</v>
      </c>
      <c r="D1879" s="32" t="s">
        <v>142</v>
      </c>
      <c r="E1879" s="20" t="s">
        <v>75</v>
      </c>
      <c r="F1879" s="48" t="s">
        <v>15</v>
      </c>
      <c r="G1879" s="48" t="s">
        <v>32</v>
      </c>
      <c r="H1879" s="11">
        <v>8.3000000000000007</v>
      </c>
      <c r="I1879" s="52">
        <v>10.8</v>
      </c>
      <c r="J1879" s="7">
        <v>2</v>
      </c>
      <c r="K1879" s="10">
        <f t="shared" si="177"/>
        <v>0.17928000000000002</v>
      </c>
      <c r="L1879" s="32"/>
      <c r="M1879" s="32"/>
      <c r="N1879" s="18">
        <f t="shared" si="178"/>
        <v>0</v>
      </c>
      <c r="O1879" s="19">
        <f t="shared" si="179"/>
        <v>2</v>
      </c>
      <c r="P1879" s="13">
        <f t="shared" si="180"/>
        <v>0.17928000000000002</v>
      </c>
      <c r="Q1879" s="32"/>
      <c r="R1879" s="32"/>
      <c r="S1879" s="32"/>
    </row>
    <row r="1880" spans="1:19">
      <c r="A1880" s="47" t="s">
        <v>147</v>
      </c>
      <c r="B1880" s="48" t="s">
        <v>148</v>
      </c>
      <c r="C1880" s="32">
        <v>293</v>
      </c>
      <c r="D1880" s="32"/>
      <c r="E1880" s="20" t="s">
        <v>75</v>
      </c>
      <c r="F1880" s="48" t="s">
        <v>160</v>
      </c>
      <c r="G1880" s="48" t="s">
        <v>25</v>
      </c>
      <c r="H1880" s="11">
        <v>7.34</v>
      </c>
      <c r="I1880" s="52">
        <v>10</v>
      </c>
      <c r="J1880" s="7">
        <v>39</v>
      </c>
      <c r="K1880" s="10">
        <f t="shared" si="177"/>
        <v>2.8626000000000005</v>
      </c>
      <c r="L1880" s="32"/>
      <c r="M1880" s="32">
        <v>39</v>
      </c>
      <c r="N1880" s="18">
        <f t="shared" si="178"/>
        <v>2.8626</v>
      </c>
      <c r="O1880" s="19">
        <f t="shared" si="179"/>
        <v>0</v>
      </c>
      <c r="P1880" s="13">
        <f t="shared" si="180"/>
        <v>0</v>
      </c>
      <c r="Q1880" s="32"/>
      <c r="R1880" s="32"/>
      <c r="S1880" s="32"/>
    </row>
    <row r="1881" spans="1:19">
      <c r="A1881" s="47" t="s">
        <v>147</v>
      </c>
      <c r="B1881" s="48" t="s">
        <v>148</v>
      </c>
      <c r="C1881" s="32">
        <v>294</v>
      </c>
      <c r="D1881" s="32"/>
      <c r="E1881" s="20" t="s">
        <v>75</v>
      </c>
      <c r="F1881" s="48" t="s">
        <v>160</v>
      </c>
      <c r="G1881" s="48" t="s">
        <v>25</v>
      </c>
      <c r="H1881" s="11">
        <v>7.34</v>
      </c>
      <c r="I1881" s="52">
        <v>10.5</v>
      </c>
      <c r="J1881" s="7">
        <v>35</v>
      </c>
      <c r="K1881" s="10">
        <f t="shared" si="177"/>
        <v>2.6974499999999999</v>
      </c>
      <c r="L1881" s="32"/>
      <c r="M1881" s="32">
        <v>35</v>
      </c>
      <c r="N1881" s="18">
        <f t="shared" si="178"/>
        <v>2.6974499999999999</v>
      </c>
      <c r="O1881" s="19">
        <f t="shared" si="179"/>
        <v>0</v>
      </c>
      <c r="P1881" s="13">
        <f t="shared" si="180"/>
        <v>0</v>
      </c>
      <c r="Q1881" s="32"/>
      <c r="R1881" s="32"/>
      <c r="S1881" s="32"/>
    </row>
    <row r="1882" spans="1:19">
      <c r="A1882" s="47" t="s">
        <v>147</v>
      </c>
      <c r="B1882" s="48" t="s">
        <v>148</v>
      </c>
      <c r="C1882" s="32">
        <v>295</v>
      </c>
      <c r="D1882" s="32"/>
      <c r="E1882" s="20" t="s">
        <v>75</v>
      </c>
      <c r="F1882" s="48" t="s">
        <v>160</v>
      </c>
      <c r="G1882" s="48" t="s">
        <v>25</v>
      </c>
      <c r="H1882" s="11">
        <v>7.34</v>
      </c>
      <c r="I1882" s="52">
        <v>10.5</v>
      </c>
      <c r="J1882" s="7">
        <v>36</v>
      </c>
      <c r="K1882" s="10">
        <f t="shared" si="177"/>
        <v>2.7745199999999994</v>
      </c>
      <c r="L1882" s="32"/>
      <c r="M1882" s="32">
        <v>36</v>
      </c>
      <c r="N1882" s="18">
        <f t="shared" si="178"/>
        <v>2.7745199999999999</v>
      </c>
      <c r="O1882" s="19">
        <f t="shared" si="179"/>
        <v>0</v>
      </c>
      <c r="P1882" s="13">
        <f t="shared" si="180"/>
        <v>0</v>
      </c>
      <c r="Q1882" s="32"/>
      <c r="R1882" s="32"/>
      <c r="S1882" s="32"/>
    </row>
    <row r="1883" spans="1:19">
      <c r="A1883" s="47" t="s">
        <v>147</v>
      </c>
      <c r="B1883" s="48" t="s">
        <v>148</v>
      </c>
      <c r="C1883" s="32">
        <v>296</v>
      </c>
      <c r="D1883" s="32"/>
      <c r="E1883" s="48" t="s">
        <v>89</v>
      </c>
      <c r="F1883" s="48" t="s">
        <v>160</v>
      </c>
      <c r="G1883" s="48" t="s">
        <v>25</v>
      </c>
      <c r="H1883" s="11">
        <v>7.34</v>
      </c>
      <c r="I1883" s="184">
        <v>12</v>
      </c>
      <c r="J1883" s="7">
        <v>32</v>
      </c>
      <c r="K1883" s="10">
        <f t="shared" si="177"/>
        <v>2.8185599999999997</v>
      </c>
      <c r="L1883" s="32"/>
      <c r="M1883" s="32">
        <v>32</v>
      </c>
      <c r="N1883" s="18">
        <f t="shared" si="178"/>
        <v>2.8185599999999997</v>
      </c>
      <c r="O1883" s="196">
        <f t="shared" si="179"/>
        <v>0</v>
      </c>
      <c r="P1883" s="197">
        <f t="shared" si="180"/>
        <v>0</v>
      </c>
      <c r="Q1883" s="32"/>
      <c r="R1883" s="32"/>
      <c r="S1883" s="32"/>
    </row>
    <row r="1884" spans="1:19">
      <c r="A1884" s="47" t="s">
        <v>147</v>
      </c>
      <c r="B1884" s="48" t="s">
        <v>148</v>
      </c>
      <c r="C1884" s="32">
        <v>297</v>
      </c>
      <c r="D1884" s="32"/>
      <c r="E1884" s="20" t="s">
        <v>75</v>
      </c>
      <c r="F1884" s="48" t="s">
        <v>160</v>
      </c>
      <c r="G1884" s="48" t="s">
        <v>25</v>
      </c>
      <c r="H1884" s="11">
        <v>7.34</v>
      </c>
      <c r="I1884" s="52">
        <v>11.5</v>
      </c>
      <c r="J1884" s="7">
        <v>30</v>
      </c>
      <c r="K1884" s="10">
        <f t="shared" si="177"/>
        <v>2.5322999999999998</v>
      </c>
      <c r="L1884" s="32"/>
      <c r="M1884" s="32">
        <v>30</v>
      </c>
      <c r="N1884" s="18">
        <f t="shared" si="178"/>
        <v>2.5322999999999998</v>
      </c>
      <c r="O1884" s="19">
        <f t="shared" si="179"/>
        <v>0</v>
      </c>
      <c r="P1884" s="13">
        <f t="shared" si="180"/>
        <v>0</v>
      </c>
      <c r="Q1884" s="32"/>
      <c r="R1884" s="32"/>
      <c r="S1884" s="32"/>
    </row>
    <row r="1885" spans="1:19">
      <c r="A1885" s="47" t="s">
        <v>147</v>
      </c>
      <c r="B1885" s="48" t="s">
        <v>148</v>
      </c>
      <c r="C1885" s="32">
        <v>298</v>
      </c>
      <c r="D1885" s="32"/>
      <c r="E1885" s="20" t="s">
        <v>75</v>
      </c>
      <c r="F1885" s="48" t="s">
        <v>160</v>
      </c>
      <c r="G1885" s="48" t="s">
        <v>25</v>
      </c>
      <c r="H1885" s="11">
        <v>7.34</v>
      </c>
      <c r="I1885" s="52">
        <v>10.5</v>
      </c>
      <c r="J1885" s="7">
        <v>35</v>
      </c>
      <c r="K1885" s="10">
        <f t="shared" si="177"/>
        <v>2.6974499999999999</v>
      </c>
      <c r="L1885" s="32"/>
      <c r="M1885" s="32">
        <v>35</v>
      </c>
      <c r="N1885" s="18">
        <f t="shared" si="178"/>
        <v>2.6974499999999999</v>
      </c>
      <c r="O1885" s="19">
        <f t="shared" si="179"/>
        <v>0</v>
      </c>
      <c r="P1885" s="13">
        <f t="shared" si="180"/>
        <v>0</v>
      </c>
      <c r="Q1885" s="32"/>
      <c r="R1885" s="32"/>
      <c r="S1885" s="32"/>
    </row>
    <row r="1886" spans="1:19">
      <c r="A1886" s="47" t="s">
        <v>147</v>
      </c>
      <c r="B1886" s="48" t="s">
        <v>148</v>
      </c>
      <c r="C1886" s="32">
        <v>289</v>
      </c>
      <c r="D1886" s="32"/>
      <c r="E1886" s="20" t="s">
        <v>75</v>
      </c>
      <c r="F1886" s="48" t="s">
        <v>160</v>
      </c>
      <c r="G1886" s="48" t="s">
        <v>25</v>
      </c>
      <c r="H1886" s="11">
        <v>7.34</v>
      </c>
      <c r="I1886" s="52">
        <v>10.5</v>
      </c>
      <c r="J1886" s="7">
        <v>32</v>
      </c>
      <c r="K1886" s="10">
        <f t="shared" si="177"/>
        <v>2.46624</v>
      </c>
      <c r="L1886" s="32"/>
      <c r="M1886" s="32">
        <v>32</v>
      </c>
      <c r="N1886" s="18">
        <f t="shared" si="178"/>
        <v>2.46624</v>
      </c>
      <c r="O1886" s="19">
        <f t="shared" si="179"/>
        <v>0</v>
      </c>
      <c r="P1886" s="13">
        <f t="shared" si="180"/>
        <v>0</v>
      </c>
      <c r="Q1886" s="32"/>
      <c r="R1886" s="32"/>
      <c r="S1886" s="32"/>
    </row>
    <row r="1887" spans="1:19">
      <c r="A1887" s="47" t="s">
        <v>147</v>
      </c>
      <c r="B1887" s="48" t="s">
        <v>148</v>
      </c>
      <c r="C1887" s="32">
        <v>290</v>
      </c>
      <c r="D1887" s="32"/>
      <c r="E1887" s="20" t="s">
        <v>75</v>
      </c>
      <c r="F1887" s="48" t="s">
        <v>160</v>
      </c>
      <c r="G1887" s="48" t="s">
        <v>25</v>
      </c>
      <c r="H1887" s="11">
        <v>7.34</v>
      </c>
      <c r="I1887" s="52">
        <v>10</v>
      </c>
      <c r="J1887" s="7">
        <v>39</v>
      </c>
      <c r="K1887" s="10">
        <f t="shared" si="177"/>
        <v>2.8626000000000005</v>
      </c>
      <c r="L1887" s="32"/>
      <c r="M1887" s="32">
        <v>39</v>
      </c>
      <c r="N1887" s="18">
        <f t="shared" si="178"/>
        <v>2.8626</v>
      </c>
      <c r="O1887" s="19">
        <f t="shared" si="179"/>
        <v>0</v>
      </c>
      <c r="P1887" s="13">
        <f t="shared" si="180"/>
        <v>0</v>
      </c>
      <c r="Q1887" s="32"/>
      <c r="R1887" s="32"/>
      <c r="S1887" s="32"/>
    </row>
    <row r="1888" spans="1:19">
      <c r="A1888" s="47" t="s">
        <v>147</v>
      </c>
      <c r="B1888" s="48" t="s">
        <v>148</v>
      </c>
      <c r="C1888" s="32">
        <v>291</v>
      </c>
      <c r="D1888" s="32"/>
      <c r="E1888" s="20" t="s">
        <v>75</v>
      </c>
      <c r="F1888" s="48" t="s">
        <v>160</v>
      </c>
      <c r="G1888" s="48" t="s">
        <v>25</v>
      </c>
      <c r="H1888" s="11">
        <v>7.34</v>
      </c>
      <c r="I1888" s="184">
        <v>12</v>
      </c>
      <c r="J1888" s="224">
        <v>36</v>
      </c>
      <c r="K1888" s="10">
        <f t="shared" si="177"/>
        <v>3.1708799999999999</v>
      </c>
      <c r="L1888" s="32"/>
      <c r="M1888" s="32">
        <v>36</v>
      </c>
      <c r="N1888" s="18">
        <f t="shared" si="178"/>
        <v>3.1708799999999999</v>
      </c>
      <c r="O1888" s="19">
        <f t="shared" si="179"/>
        <v>0</v>
      </c>
      <c r="P1888" s="13">
        <f t="shared" si="180"/>
        <v>0</v>
      </c>
      <c r="Q1888" s="32" t="s">
        <v>319</v>
      </c>
      <c r="R1888" s="32">
        <f>8+7+21</f>
        <v>36</v>
      </c>
      <c r="S1888" s="32"/>
    </row>
    <row r="1889" spans="1:19">
      <c r="A1889" s="47" t="s">
        <v>147</v>
      </c>
      <c r="B1889" s="48" t="s">
        <v>148</v>
      </c>
      <c r="C1889" s="32">
        <v>292</v>
      </c>
      <c r="D1889" s="32"/>
      <c r="E1889" s="20" t="s">
        <v>75</v>
      </c>
      <c r="F1889" s="48" t="s">
        <v>160</v>
      </c>
      <c r="G1889" s="48" t="s">
        <v>25</v>
      </c>
      <c r="H1889" s="11">
        <v>7.34</v>
      </c>
      <c r="I1889" s="52">
        <v>10.5</v>
      </c>
      <c r="J1889" s="7">
        <v>33</v>
      </c>
      <c r="K1889" s="10">
        <f t="shared" si="177"/>
        <v>2.54331</v>
      </c>
      <c r="L1889" s="32"/>
      <c r="M1889" s="32">
        <v>33</v>
      </c>
      <c r="N1889" s="18">
        <f t="shared" si="178"/>
        <v>2.54331</v>
      </c>
      <c r="O1889" s="19">
        <f t="shared" si="179"/>
        <v>0</v>
      </c>
      <c r="P1889" s="13">
        <f t="shared" si="180"/>
        <v>0</v>
      </c>
      <c r="Q1889" s="32"/>
      <c r="R1889" s="32"/>
      <c r="S1889" s="32"/>
    </row>
    <row r="1890" spans="1:19">
      <c r="A1890" s="47" t="s">
        <v>147</v>
      </c>
      <c r="B1890" s="48" t="s">
        <v>148</v>
      </c>
      <c r="C1890" s="32">
        <v>293</v>
      </c>
      <c r="D1890" s="32"/>
      <c r="E1890" s="20" t="s">
        <v>75</v>
      </c>
      <c r="F1890" s="48" t="s">
        <v>160</v>
      </c>
      <c r="G1890" s="48" t="s">
        <v>25</v>
      </c>
      <c r="H1890" s="11">
        <v>7.34</v>
      </c>
      <c r="I1890" s="52">
        <v>11</v>
      </c>
      <c r="J1890" s="7">
        <v>34</v>
      </c>
      <c r="K1890" s="10">
        <f t="shared" si="177"/>
        <v>2.7451599999999998</v>
      </c>
      <c r="L1890" s="32"/>
      <c r="M1890" s="32">
        <v>34</v>
      </c>
      <c r="N1890" s="18">
        <f t="shared" si="178"/>
        <v>2.7451599999999998</v>
      </c>
      <c r="O1890" s="19">
        <f t="shared" si="179"/>
        <v>0</v>
      </c>
      <c r="P1890" s="13">
        <f t="shared" si="180"/>
        <v>0</v>
      </c>
      <c r="Q1890" s="32"/>
      <c r="R1890" s="32"/>
      <c r="S1890" s="32"/>
    </row>
    <row r="1891" spans="1:19">
      <c r="A1891" s="47" t="s">
        <v>147</v>
      </c>
      <c r="B1891" s="48" t="s">
        <v>148</v>
      </c>
      <c r="C1891" s="32">
        <v>294</v>
      </c>
      <c r="D1891" s="32"/>
      <c r="E1891" s="20" t="s">
        <v>75</v>
      </c>
      <c r="F1891" s="48" t="s">
        <v>160</v>
      </c>
      <c r="G1891" s="48" t="s">
        <v>25</v>
      </c>
      <c r="H1891" s="11">
        <v>7.34</v>
      </c>
      <c r="I1891" s="52">
        <v>11.5</v>
      </c>
      <c r="J1891" s="7">
        <v>30</v>
      </c>
      <c r="K1891" s="10">
        <f t="shared" si="177"/>
        <v>2.5322999999999998</v>
      </c>
      <c r="L1891" s="32"/>
      <c r="M1891" s="32">
        <v>30</v>
      </c>
      <c r="N1891" s="18">
        <f t="shared" si="178"/>
        <v>2.5322999999999998</v>
      </c>
      <c r="O1891" s="19">
        <f t="shared" si="179"/>
        <v>0</v>
      </c>
      <c r="P1891" s="13">
        <f t="shared" si="180"/>
        <v>0</v>
      </c>
      <c r="Q1891" s="32"/>
      <c r="R1891" s="32"/>
      <c r="S1891" s="32"/>
    </row>
    <row r="1892" spans="1:19">
      <c r="A1892" s="47" t="s">
        <v>147</v>
      </c>
      <c r="B1892" s="48" t="s">
        <v>148</v>
      </c>
      <c r="C1892" s="32">
        <v>297</v>
      </c>
      <c r="D1892" s="32"/>
      <c r="E1892" s="48" t="s">
        <v>17</v>
      </c>
      <c r="F1892" s="48" t="s">
        <v>160</v>
      </c>
      <c r="G1892" s="48" t="s">
        <v>30</v>
      </c>
      <c r="H1892" s="11">
        <v>9.26</v>
      </c>
      <c r="I1892" s="184">
        <v>11.4</v>
      </c>
      <c r="J1892" s="7">
        <v>2</v>
      </c>
      <c r="K1892" s="10">
        <f t="shared" si="177"/>
        <v>0.21112800000000001</v>
      </c>
      <c r="L1892" s="32"/>
      <c r="M1892" s="32">
        <v>2</v>
      </c>
      <c r="N1892" s="18">
        <f t="shared" si="178"/>
        <v>0.21112800000000001</v>
      </c>
      <c r="O1892" s="19">
        <f t="shared" si="179"/>
        <v>0</v>
      </c>
      <c r="P1892" s="13">
        <f t="shared" si="180"/>
        <v>0</v>
      </c>
      <c r="Q1892" s="32">
        <v>11.1</v>
      </c>
      <c r="R1892" s="45">
        <v>2</v>
      </c>
      <c r="S1892" s="2" t="s">
        <v>267</v>
      </c>
    </row>
    <row r="1893" spans="1:19">
      <c r="A1893" s="47" t="s">
        <v>147</v>
      </c>
      <c r="B1893" s="48" t="s">
        <v>148</v>
      </c>
      <c r="C1893" s="32">
        <v>301</v>
      </c>
      <c r="D1893" s="32"/>
      <c r="E1893" s="48" t="s">
        <v>17</v>
      </c>
      <c r="F1893" s="48" t="s">
        <v>160</v>
      </c>
      <c r="G1893" s="48" t="s">
        <v>36</v>
      </c>
      <c r="H1893" s="11">
        <v>10.199999999999999</v>
      </c>
      <c r="I1893" s="8">
        <v>12</v>
      </c>
      <c r="J1893" s="7">
        <v>3</v>
      </c>
      <c r="K1893" s="10">
        <f t="shared" si="177"/>
        <v>0.36719999999999997</v>
      </c>
      <c r="L1893" s="32"/>
      <c r="M1893" s="32">
        <v>3</v>
      </c>
      <c r="N1893" s="18">
        <f t="shared" si="178"/>
        <v>0.36719999999999997</v>
      </c>
      <c r="O1893" s="19">
        <f t="shared" si="179"/>
        <v>0</v>
      </c>
      <c r="P1893" s="13">
        <f t="shared" si="180"/>
        <v>0</v>
      </c>
      <c r="Q1893" s="55">
        <v>12</v>
      </c>
      <c r="R1893" s="32">
        <v>3</v>
      </c>
      <c r="S1893" s="2" t="s">
        <v>196</v>
      </c>
    </row>
    <row r="1894" spans="1:19">
      <c r="A1894" s="47" t="s">
        <v>147</v>
      </c>
      <c r="B1894" s="48" t="s">
        <v>148</v>
      </c>
      <c r="C1894" s="32">
        <v>302</v>
      </c>
      <c r="D1894" s="32"/>
      <c r="E1894" s="48" t="s">
        <v>17</v>
      </c>
      <c r="F1894" s="48" t="s">
        <v>160</v>
      </c>
      <c r="G1894" s="48" t="s">
        <v>32</v>
      </c>
      <c r="H1894" s="11">
        <v>8.32</v>
      </c>
      <c r="I1894" s="52">
        <v>11</v>
      </c>
      <c r="J1894" s="7">
        <v>4</v>
      </c>
      <c r="K1894" s="10">
        <f t="shared" si="177"/>
        <v>0.36608000000000002</v>
      </c>
      <c r="L1894" s="32"/>
      <c r="M1894" s="32">
        <v>4</v>
      </c>
      <c r="N1894" s="18">
        <f t="shared" si="178"/>
        <v>0.36608000000000002</v>
      </c>
      <c r="O1894" s="19">
        <f t="shared" si="179"/>
        <v>0</v>
      </c>
      <c r="P1894" s="13">
        <f t="shared" si="180"/>
        <v>0</v>
      </c>
      <c r="Q1894" s="32"/>
      <c r="R1894" s="32"/>
      <c r="S1894" s="32"/>
    </row>
    <row r="1895" spans="1:19">
      <c r="A1895" s="47" t="s">
        <v>147</v>
      </c>
      <c r="B1895" s="48" t="s">
        <v>148</v>
      </c>
      <c r="C1895" s="32">
        <v>303</v>
      </c>
      <c r="D1895" s="32"/>
      <c r="E1895" s="48" t="s">
        <v>17</v>
      </c>
      <c r="F1895" s="48" t="s">
        <v>160</v>
      </c>
      <c r="G1895" s="48" t="s">
        <v>32</v>
      </c>
      <c r="H1895" s="11">
        <v>8.32</v>
      </c>
      <c r="I1895" s="52">
        <v>12</v>
      </c>
      <c r="J1895" s="7">
        <v>29</v>
      </c>
      <c r="K1895" s="10">
        <f t="shared" si="177"/>
        <v>2.8953600000000002</v>
      </c>
      <c r="L1895" s="32"/>
      <c r="M1895" s="32">
        <v>29</v>
      </c>
      <c r="N1895" s="18">
        <f t="shared" si="178"/>
        <v>2.8953600000000002</v>
      </c>
      <c r="O1895" s="19">
        <f t="shared" si="179"/>
        <v>0</v>
      </c>
      <c r="P1895" s="13">
        <f t="shared" si="180"/>
        <v>0</v>
      </c>
      <c r="Q1895" s="32"/>
      <c r="R1895" s="32"/>
      <c r="S1895" s="32"/>
    </row>
    <row r="1896" spans="1:19">
      <c r="A1896" s="47" t="s">
        <v>147</v>
      </c>
      <c r="B1896" s="48" t="s">
        <v>148</v>
      </c>
      <c r="C1896" s="32">
        <v>304</v>
      </c>
      <c r="D1896" s="32"/>
      <c r="E1896" s="48" t="s">
        <v>17</v>
      </c>
      <c r="F1896" s="48" t="s">
        <v>160</v>
      </c>
      <c r="G1896" s="48" t="s">
        <v>30</v>
      </c>
      <c r="H1896" s="11">
        <v>9.26</v>
      </c>
      <c r="I1896" s="184">
        <v>6.8</v>
      </c>
      <c r="J1896" s="7">
        <v>3</v>
      </c>
      <c r="K1896" s="10">
        <f t="shared" si="177"/>
        <v>0.18890399999999999</v>
      </c>
      <c r="L1896" s="32"/>
      <c r="M1896" s="32">
        <v>3</v>
      </c>
      <c r="N1896" s="18">
        <f t="shared" si="178"/>
        <v>0.18890399999999999</v>
      </c>
      <c r="O1896" s="87">
        <f t="shared" si="179"/>
        <v>0</v>
      </c>
      <c r="P1896" s="13">
        <f t="shared" si="180"/>
        <v>0</v>
      </c>
      <c r="Q1896" s="9">
        <v>6.25</v>
      </c>
      <c r="R1896" s="32">
        <v>3</v>
      </c>
      <c r="S1896" s="2" t="s">
        <v>516</v>
      </c>
    </row>
    <row r="1897" spans="1:19">
      <c r="A1897" s="47" t="s">
        <v>147</v>
      </c>
      <c r="B1897" s="48" t="s">
        <v>148</v>
      </c>
      <c r="C1897" s="32">
        <v>304</v>
      </c>
      <c r="D1897" s="32"/>
      <c r="E1897" s="48" t="s">
        <v>17</v>
      </c>
      <c r="F1897" s="48" t="s">
        <v>160</v>
      </c>
      <c r="G1897" s="48" t="s">
        <v>30</v>
      </c>
      <c r="H1897" s="11">
        <v>9.26</v>
      </c>
      <c r="I1897" s="184">
        <v>9.5</v>
      </c>
      <c r="J1897" s="7">
        <v>1</v>
      </c>
      <c r="K1897" s="10">
        <f t="shared" si="177"/>
        <v>8.7969999999999993E-2</v>
      </c>
      <c r="L1897" s="32"/>
      <c r="M1897" s="32">
        <v>1</v>
      </c>
      <c r="N1897" s="18">
        <f t="shared" si="178"/>
        <v>8.7969999999999993E-2</v>
      </c>
      <c r="O1897" s="19">
        <f t="shared" si="179"/>
        <v>0</v>
      </c>
      <c r="P1897" s="13">
        <f t="shared" si="180"/>
        <v>0</v>
      </c>
      <c r="Q1897" s="32">
        <v>9</v>
      </c>
      <c r="R1897" s="45">
        <v>1</v>
      </c>
      <c r="S1897" s="2" t="s">
        <v>267</v>
      </c>
    </row>
    <row r="1898" spans="1:19">
      <c r="A1898" s="47" t="s">
        <v>147</v>
      </c>
      <c r="B1898" s="48" t="s">
        <v>148</v>
      </c>
      <c r="C1898" s="32">
        <v>310</v>
      </c>
      <c r="D1898" s="32"/>
      <c r="E1898" s="48" t="s">
        <v>17</v>
      </c>
      <c r="F1898" s="48" t="s">
        <v>160</v>
      </c>
      <c r="G1898" s="48" t="s">
        <v>36</v>
      </c>
      <c r="H1898" s="11">
        <v>10.199999999999999</v>
      </c>
      <c r="I1898" s="8">
        <v>12</v>
      </c>
      <c r="J1898" s="7">
        <v>4</v>
      </c>
      <c r="K1898" s="10">
        <f t="shared" si="177"/>
        <v>0.48959999999999998</v>
      </c>
      <c r="L1898" s="32"/>
      <c r="M1898" s="32">
        <v>4</v>
      </c>
      <c r="N1898" s="18">
        <f t="shared" si="178"/>
        <v>0.48959999999999998</v>
      </c>
      <c r="O1898" s="19">
        <f t="shared" si="179"/>
        <v>0</v>
      </c>
      <c r="P1898" s="13">
        <f t="shared" si="180"/>
        <v>0</v>
      </c>
      <c r="Q1898" s="55">
        <v>12</v>
      </c>
      <c r="R1898" s="32">
        <v>4</v>
      </c>
      <c r="S1898" s="2" t="s">
        <v>196</v>
      </c>
    </row>
    <row r="1899" spans="1:19">
      <c r="A1899" s="47" t="s">
        <v>147</v>
      </c>
      <c r="B1899" s="48" t="s">
        <v>148</v>
      </c>
      <c r="C1899" s="32">
        <v>311</v>
      </c>
      <c r="D1899" s="32"/>
      <c r="E1899" s="48" t="s">
        <v>17</v>
      </c>
      <c r="F1899" s="48" t="s">
        <v>160</v>
      </c>
      <c r="G1899" s="48" t="s">
        <v>36</v>
      </c>
      <c r="H1899" s="11">
        <v>10.199999999999999</v>
      </c>
      <c r="I1899" s="8">
        <v>11.9</v>
      </c>
      <c r="J1899" s="7">
        <v>1</v>
      </c>
      <c r="K1899" s="10">
        <f t="shared" si="177"/>
        <v>0.12138</v>
      </c>
      <c r="L1899" s="32"/>
      <c r="M1899" s="32">
        <v>1</v>
      </c>
      <c r="N1899" s="18">
        <f t="shared" si="178"/>
        <v>0.12138</v>
      </c>
      <c r="O1899" s="19">
        <f t="shared" si="179"/>
        <v>0</v>
      </c>
      <c r="P1899" s="13">
        <f t="shared" si="180"/>
        <v>0</v>
      </c>
      <c r="Q1899" s="55">
        <v>12</v>
      </c>
      <c r="R1899" s="32">
        <v>1</v>
      </c>
      <c r="S1899" s="2" t="s">
        <v>196</v>
      </c>
    </row>
    <row r="1900" spans="1:19">
      <c r="A1900" s="47" t="s">
        <v>147</v>
      </c>
      <c r="B1900" s="48" t="s">
        <v>148</v>
      </c>
      <c r="C1900" s="32">
        <v>311</v>
      </c>
      <c r="D1900" s="32"/>
      <c r="E1900" s="48" t="s">
        <v>17</v>
      </c>
      <c r="F1900" s="48" t="s">
        <v>160</v>
      </c>
      <c r="G1900" s="48" t="s">
        <v>36</v>
      </c>
      <c r="H1900" s="11">
        <v>10.199999999999999</v>
      </c>
      <c r="I1900" s="52">
        <v>9.1999999999999993</v>
      </c>
      <c r="J1900" s="7">
        <v>4</v>
      </c>
      <c r="K1900" s="10">
        <f t="shared" si="177"/>
        <v>0.37535999999999997</v>
      </c>
      <c r="L1900" s="32"/>
      <c r="M1900" s="32">
        <v>4</v>
      </c>
      <c r="N1900" s="18">
        <f t="shared" si="178"/>
        <v>0.37535999999999997</v>
      </c>
      <c r="O1900" s="19">
        <f t="shared" si="179"/>
        <v>0</v>
      </c>
      <c r="P1900" s="13">
        <f t="shared" si="180"/>
        <v>0</v>
      </c>
      <c r="Q1900" s="55">
        <v>8.25</v>
      </c>
      <c r="R1900" s="32">
        <v>4</v>
      </c>
      <c r="S1900" s="2" t="s">
        <v>196</v>
      </c>
    </row>
    <row r="1901" spans="1:19">
      <c r="A1901" s="47" t="s">
        <v>147</v>
      </c>
      <c r="B1901" s="48" t="s">
        <v>148</v>
      </c>
      <c r="C1901" s="32">
        <v>315</v>
      </c>
      <c r="D1901" s="32"/>
      <c r="E1901" s="48" t="s">
        <v>161</v>
      </c>
      <c r="F1901" s="48" t="s">
        <v>14</v>
      </c>
      <c r="G1901" s="48" t="s">
        <v>23</v>
      </c>
      <c r="H1901" s="11">
        <v>9</v>
      </c>
      <c r="I1901" s="8">
        <v>11.55</v>
      </c>
      <c r="J1901" s="7">
        <v>1</v>
      </c>
      <c r="K1901" s="10">
        <f t="shared" si="177"/>
        <v>0.10395</v>
      </c>
      <c r="L1901" s="32"/>
      <c r="M1901" s="32"/>
      <c r="N1901" s="18">
        <f t="shared" si="178"/>
        <v>0</v>
      </c>
      <c r="O1901" s="19">
        <f t="shared" si="179"/>
        <v>1</v>
      </c>
      <c r="P1901" s="13">
        <f t="shared" si="180"/>
        <v>0.10395</v>
      </c>
      <c r="Q1901" s="32"/>
      <c r="R1901" s="32"/>
      <c r="S1901" s="32"/>
    </row>
    <row r="1902" spans="1:19">
      <c r="A1902" s="47" t="s">
        <v>147</v>
      </c>
      <c r="B1902" s="48" t="s">
        <v>148</v>
      </c>
      <c r="C1902" s="32">
        <v>315</v>
      </c>
      <c r="D1902" s="32"/>
      <c r="E1902" s="48" t="s">
        <v>161</v>
      </c>
      <c r="F1902" s="48" t="s">
        <v>14</v>
      </c>
      <c r="G1902" s="48" t="s">
        <v>23</v>
      </c>
      <c r="H1902" s="11">
        <v>9</v>
      </c>
      <c r="I1902" s="8">
        <v>10.75</v>
      </c>
      <c r="J1902" s="7">
        <v>1</v>
      </c>
      <c r="K1902" s="10">
        <f t="shared" si="177"/>
        <v>9.6750000000000003E-2</v>
      </c>
      <c r="L1902" s="32"/>
      <c r="M1902" s="32"/>
      <c r="N1902" s="18">
        <f t="shared" si="178"/>
        <v>0</v>
      </c>
      <c r="O1902" s="19">
        <f t="shared" si="179"/>
        <v>1</v>
      </c>
      <c r="P1902" s="13">
        <f t="shared" si="180"/>
        <v>9.6750000000000003E-2</v>
      </c>
      <c r="Q1902" s="32"/>
      <c r="R1902" s="32"/>
      <c r="S1902" s="32"/>
    </row>
    <row r="1903" spans="1:19">
      <c r="A1903" s="47" t="s">
        <v>147</v>
      </c>
      <c r="B1903" s="48" t="s">
        <v>148</v>
      </c>
      <c r="C1903" s="32">
        <v>315</v>
      </c>
      <c r="D1903" s="32"/>
      <c r="E1903" s="48" t="s">
        <v>161</v>
      </c>
      <c r="F1903" s="48" t="s">
        <v>14</v>
      </c>
      <c r="G1903" s="48" t="s">
        <v>23</v>
      </c>
      <c r="H1903" s="11">
        <v>9</v>
      </c>
      <c r="I1903" s="52">
        <v>9.5</v>
      </c>
      <c r="J1903" s="7">
        <v>3</v>
      </c>
      <c r="K1903" s="10">
        <f t="shared" si="177"/>
        <v>0.25650000000000001</v>
      </c>
      <c r="L1903" s="32"/>
      <c r="M1903" s="32"/>
      <c r="N1903" s="18">
        <f t="shared" si="178"/>
        <v>0</v>
      </c>
      <c r="O1903" s="19">
        <f t="shared" si="179"/>
        <v>3</v>
      </c>
      <c r="P1903" s="13">
        <f t="shared" si="180"/>
        <v>0.25650000000000001</v>
      </c>
      <c r="Q1903" s="32"/>
      <c r="R1903" s="32"/>
      <c r="S1903" s="32"/>
    </row>
    <row r="1904" spans="1:19">
      <c r="A1904" s="47" t="s">
        <v>147</v>
      </c>
      <c r="B1904" s="48" t="s">
        <v>148</v>
      </c>
      <c r="C1904" s="32">
        <v>315</v>
      </c>
      <c r="D1904" s="32"/>
      <c r="E1904" s="48" t="s">
        <v>161</v>
      </c>
      <c r="F1904" s="48" t="s">
        <v>14</v>
      </c>
      <c r="G1904" s="48" t="s">
        <v>23</v>
      </c>
      <c r="H1904" s="11">
        <v>9</v>
      </c>
      <c r="I1904" s="52">
        <v>9</v>
      </c>
      <c r="J1904" s="7">
        <v>1</v>
      </c>
      <c r="K1904" s="10">
        <f t="shared" si="177"/>
        <v>8.1000000000000003E-2</v>
      </c>
      <c r="L1904" s="32"/>
      <c r="M1904" s="32"/>
      <c r="N1904" s="18">
        <f t="shared" si="178"/>
        <v>0</v>
      </c>
      <c r="O1904" s="19">
        <f t="shared" si="179"/>
        <v>1</v>
      </c>
      <c r="P1904" s="13">
        <f t="shared" si="180"/>
        <v>8.1000000000000003E-2</v>
      </c>
      <c r="Q1904" s="32"/>
      <c r="R1904" s="32"/>
      <c r="S1904" s="32"/>
    </row>
    <row r="1905" spans="1:19">
      <c r="A1905" s="47" t="s">
        <v>147</v>
      </c>
      <c r="B1905" s="48" t="s">
        <v>148</v>
      </c>
      <c r="C1905" s="32">
        <v>315</v>
      </c>
      <c r="D1905" s="32"/>
      <c r="E1905" s="48" t="s">
        <v>161</v>
      </c>
      <c r="F1905" s="48" t="s">
        <v>14</v>
      </c>
      <c r="G1905" s="48" t="s">
        <v>23</v>
      </c>
      <c r="H1905" s="11">
        <v>9</v>
      </c>
      <c r="I1905" s="52">
        <v>8.1</v>
      </c>
      <c r="J1905" s="7">
        <v>1</v>
      </c>
      <c r="K1905" s="10">
        <f t="shared" si="177"/>
        <v>7.2899999999999993E-2</v>
      </c>
      <c r="L1905" s="32"/>
      <c r="M1905" s="32"/>
      <c r="N1905" s="18">
        <f t="shared" si="178"/>
        <v>0</v>
      </c>
      <c r="O1905" s="19">
        <f t="shared" si="179"/>
        <v>1</v>
      </c>
      <c r="P1905" s="13">
        <f t="shared" si="180"/>
        <v>7.2899999999999993E-2</v>
      </c>
      <c r="Q1905" s="32"/>
      <c r="R1905" s="32"/>
      <c r="S1905" s="32"/>
    </row>
    <row r="1906" spans="1:19">
      <c r="A1906" s="47" t="s">
        <v>147</v>
      </c>
      <c r="B1906" s="48" t="s">
        <v>148</v>
      </c>
      <c r="C1906" s="32">
        <v>316</v>
      </c>
      <c r="D1906" s="32"/>
      <c r="E1906" s="48" t="s">
        <v>161</v>
      </c>
      <c r="F1906" s="48" t="s">
        <v>14</v>
      </c>
      <c r="G1906" s="48" t="s">
        <v>23</v>
      </c>
      <c r="H1906" s="11">
        <v>9</v>
      </c>
      <c r="I1906" s="52">
        <v>12</v>
      </c>
      <c r="J1906" s="7">
        <v>7</v>
      </c>
      <c r="K1906" s="10">
        <f t="shared" si="177"/>
        <v>0.75600000000000001</v>
      </c>
      <c r="L1906" s="32"/>
      <c r="M1906" s="32">
        <v>7</v>
      </c>
      <c r="N1906" s="18">
        <f t="shared" si="178"/>
        <v>0.75600000000000001</v>
      </c>
      <c r="O1906" s="19">
        <f t="shared" si="179"/>
        <v>0</v>
      </c>
      <c r="P1906" s="13">
        <f t="shared" si="180"/>
        <v>0</v>
      </c>
      <c r="Q1906" s="32"/>
      <c r="R1906" s="32"/>
      <c r="S1906" s="32"/>
    </row>
    <row r="1907" spans="1:19">
      <c r="A1907" s="47" t="s">
        <v>147</v>
      </c>
      <c r="B1907" s="48" t="s">
        <v>148</v>
      </c>
      <c r="C1907" s="32">
        <v>316</v>
      </c>
      <c r="D1907" s="32"/>
      <c r="E1907" s="48" t="s">
        <v>161</v>
      </c>
      <c r="F1907" s="48" t="s">
        <v>14</v>
      </c>
      <c r="G1907" s="48" t="s">
        <v>18</v>
      </c>
      <c r="H1907" s="11">
        <v>6.86</v>
      </c>
      <c r="I1907" s="52">
        <v>7.5</v>
      </c>
      <c r="J1907" s="7">
        <v>1</v>
      </c>
      <c r="K1907" s="10">
        <f t="shared" si="177"/>
        <v>5.1450000000000003E-2</v>
      </c>
      <c r="L1907" s="32"/>
      <c r="M1907" s="32"/>
      <c r="N1907" s="18">
        <f t="shared" si="178"/>
        <v>0</v>
      </c>
      <c r="O1907" s="19">
        <f t="shared" si="179"/>
        <v>1</v>
      </c>
      <c r="P1907" s="13">
        <f t="shared" si="180"/>
        <v>5.1450000000000003E-2</v>
      </c>
      <c r="Q1907" s="111"/>
      <c r="R1907" s="32"/>
      <c r="S1907" s="32"/>
    </row>
    <row r="1908" spans="1:19">
      <c r="A1908" s="47" t="s">
        <v>147</v>
      </c>
      <c r="B1908" s="48" t="s">
        <v>148</v>
      </c>
      <c r="C1908" s="32">
        <v>317</v>
      </c>
      <c r="D1908" s="32"/>
      <c r="E1908" s="48" t="s">
        <v>161</v>
      </c>
      <c r="F1908" s="48" t="s">
        <v>14</v>
      </c>
      <c r="G1908" s="48" t="s">
        <v>23</v>
      </c>
      <c r="H1908" s="11">
        <v>9</v>
      </c>
      <c r="I1908" s="52">
        <v>12</v>
      </c>
      <c r="J1908" s="7">
        <v>25</v>
      </c>
      <c r="K1908" s="10">
        <f t="shared" si="177"/>
        <v>2.7</v>
      </c>
      <c r="L1908" s="32"/>
      <c r="M1908" s="32">
        <f>11+10+4</f>
        <v>25</v>
      </c>
      <c r="N1908" s="18">
        <f t="shared" si="178"/>
        <v>2.7</v>
      </c>
      <c r="O1908" s="19">
        <f t="shared" si="179"/>
        <v>0</v>
      </c>
      <c r="P1908" s="13">
        <f t="shared" si="180"/>
        <v>0</v>
      </c>
      <c r="Q1908" s="33">
        <v>11</v>
      </c>
      <c r="R1908" s="32">
        <v>4</v>
      </c>
      <c r="S1908" s="32"/>
    </row>
    <row r="1909" spans="1:19">
      <c r="A1909" s="47" t="s">
        <v>147</v>
      </c>
      <c r="B1909" s="48" t="s">
        <v>148</v>
      </c>
      <c r="C1909" s="32">
        <v>317</v>
      </c>
      <c r="D1909" s="32"/>
      <c r="E1909" s="48" t="s">
        <v>161</v>
      </c>
      <c r="F1909" s="48" t="s">
        <v>14</v>
      </c>
      <c r="G1909" s="48" t="s">
        <v>23</v>
      </c>
      <c r="H1909" s="11">
        <v>9</v>
      </c>
      <c r="I1909" s="52">
        <v>11.7</v>
      </c>
      <c r="J1909" s="7">
        <v>3</v>
      </c>
      <c r="K1909" s="10">
        <f t="shared" si="177"/>
        <v>0.31589999999999996</v>
      </c>
      <c r="L1909" s="32"/>
      <c r="M1909" s="32">
        <v>3</v>
      </c>
      <c r="N1909" s="18">
        <f t="shared" si="178"/>
        <v>0.31589999999999996</v>
      </c>
      <c r="O1909" s="19">
        <f t="shared" si="179"/>
        <v>0</v>
      </c>
      <c r="P1909" s="13">
        <f t="shared" si="180"/>
        <v>0</v>
      </c>
      <c r="Q1909" s="33">
        <v>11</v>
      </c>
      <c r="R1909" s="32">
        <v>3</v>
      </c>
      <c r="S1909" s="32"/>
    </row>
    <row r="1910" spans="1:19">
      <c r="A1910" s="47" t="s">
        <v>147</v>
      </c>
      <c r="B1910" s="48" t="s">
        <v>148</v>
      </c>
      <c r="C1910" s="32">
        <v>318</v>
      </c>
      <c r="D1910" s="32"/>
      <c r="E1910" s="48" t="s">
        <v>161</v>
      </c>
      <c r="F1910" s="48" t="s">
        <v>14</v>
      </c>
      <c r="G1910" s="48" t="s">
        <v>23</v>
      </c>
      <c r="H1910" s="11">
        <v>9</v>
      </c>
      <c r="I1910" s="52">
        <v>6.52</v>
      </c>
      <c r="J1910" s="7">
        <v>28</v>
      </c>
      <c r="K1910" s="10">
        <f t="shared" si="177"/>
        <v>1.6430399999999998</v>
      </c>
      <c r="L1910" s="32"/>
      <c r="M1910" s="32"/>
      <c r="N1910" s="18">
        <f t="shared" si="178"/>
        <v>0</v>
      </c>
      <c r="O1910" s="19">
        <f t="shared" si="179"/>
        <v>28</v>
      </c>
      <c r="P1910" s="13">
        <f t="shared" si="180"/>
        <v>1.6430400000000001</v>
      </c>
      <c r="Q1910" s="32"/>
      <c r="R1910" s="32"/>
      <c r="S1910" s="32"/>
    </row>
    <row r="1911" spans="1:19">
      <c r="A1911" s="47" t="s">
        <v>147</v>
      </c>
      <c r="B1911" s="48" t="s">
        <v>148</v>
      </c>
      <c r="C1911" s="32">
        <v>319</v>
      </c>
      <c r="D1911" s="32"/>
      <c r="E1911" s="48" t="s">
        <v>161</v>
      </c>
      <c r="F1911" s="48" t="s">
        <v>14</v>
      </c>
      <c r="G1911" s="48" t="s">
        <v>23</v>
      </c>
      <c r="H1911" s="11">
        <v>9</v>
      </c>
      <c r="I1911" s="52">
        <v>8</v>
      </c>
      <c r="J1911" s="7">
        <v>2</v>
      </c>
      <c r="K1911" s="10">
        <f t="shared" si="177"/>
        <v>0.14399999999999999</v>
      </c>
      <c r="L1911" s="32"/>
      <c r="M1911" s="32"/>
      <c r="N1911" s="18">
        <f t="shared" si="178"/>
        <v>0</v>
      </c>
      <c r="O1911" s="19">
        <f t="shared" si="179"/>
        <v>2</v>
      </c>
      <c r="P1911" s="13">
        <f t="shared" si="180"/>
        <v>0.14399999999999999</v>
      </c>
      <c r="Q1911" s="32"/>
      <c r="R1911" s="32"/>
      <c r="S1911" s="32"/>
    </row>
    <row r="1912" spans="1:19">
      <c r="A1912" s="47" t="s">
        <v>147</v>
      </c>
      <c r="B1912" s="48" t="s">
        <v>148</v>
      </c>
      <c r="C1912" s="32">
        <v>319</v>
      </c>
      <c r="D1912" s="32"/>
      <c r="E1912" s="48" t="s">
        <v>161</v>
      </c>
      <c r="F1912" s="48" t="s">
        <v>14</v>
      </c>
      <c r="G1912" s="48" t="s">
        <v>23</v>
      </c>
      <c r="H1912" s="11">
        <v>9</v>
      </c>
      <c r="I1912" s="52">
        <v>8.5</v>
      </c>
      <c r="J1912" s="7">
        <v>4</v>
      </c>
      <c r="K1912" s="10">
        <f t="shared" ref="K1912:K1974" si="181">(H1912*I1912*J1912/1000)</f>
        <v>0.30599999999999999</v>
      </c>
      <c r="L1912" s="32"/>
      <c r="M1912" s="32"/>
      <c r="N1912" s="18">
        <f t="shared" ref="N1912:N1974" si="182">I1912*M1912*H1912/1000</f>
        <v>0</v>
      </c>
      <c r="O1912" s="19">
        <f t="shared" ref="O1912:O1974" si="183">J1912-M1912</f>
        <v>4</v>
      </c>
      <c r="P1912" s="13">
        <f t="shared" ref="P1912:P1974" si="184">I1912*O1912*H1912/1000</f>
        <v>0.30599999999999999</v>
      </c>
      <c r="Q1912" s="32"/>
      <c r="R1912" s="32"/>
      <c r="S1912" s="32"/>
    </row>
    <row r="1913" spans="1:19">
      <c r="A1913" s="47" t="s">
        <v>147</v>
      </c>
      <c r="B1913" s="48" t="s">
        <v>148</v>
      </c>
      <c r="C1913" s="32">
        <v>319</v>
      </c>
      <c r="D1913" s="32"/>
      <c r="E1913" s="48" t="s">
        <v>161</v>
      </c>
      <c r="F1913" s="48" t="s">
        <v>14</v>
      </c>
      <c r="G1913" s="48" t="s">
        <v>23</v>
      </c>
      <c r="H1913" s="11">
        <v>9</v>
      </c>
      <c r="I1913" s="52">
        <v>9</v>
      </c>
      <c r="J1913" s="7">
        <v>2</v>
      </c>
      <c r="K1913" s="10">
        <f t="shared" si="181"/>
        <v>0.16200000000000001</v>
      </c>
      <c r="L1913" s="32"/>
      <c r="M1913" s="32"/>
      <c r="N1913" s="18">
        <f t="shared" si="182"/>
        <v>0</v>
      </c>
      <c r="O1913" s="19">
        <f t="shared" si="183"/>
        <v>2</v>
      </c>
      <c r="P1913" s="13">
        <f t="shared" si="184"/>
        <v>0.16200000000000001</v>
      </c>
      <c r="Q1913" s="32"/>
      <c r="R1913" s="32"/>
      <c r="S1913" s="32"/>
    </row>
    <row r="1914" spans="1:19">
      <c r="A1914" s="47" t="s">
        <v>147</v>
      </c>
      <c r="B1914" s="48" t="s">
        <v>148</v>
      </c>
      <c r="C1914" s="32" t="s">
        <v>162</v>
      </c>
      <c r="D1914" s="32"/>
      <c r="E1914" s="48" t="s">
        <v>17</v>
      </c>
      <c r="F1914" s="48" t="s">
        <v>160</v>
      </c>
      <c r="G1914" s="48" t="s">
        <v>30</v>
      </c>
      <c r="H1914" s="11">
        <v>9.26</v>
      </c>
      <c r="I1914" s="184">
        <v>6.95</v>
      </c>
      <c r="J1914" s="7">
        <v>3</v>
      </c>
      <c r="K1914" s="10">
        <f t="shared" si="181"/>
        <v>0.19307099999999999</v>
      </c>
      <c r="L1914" s="32"/>
      <c r="M1914" s="32">
        <v>3</v>
      </c>
      <c r="N1914" s="18">
        <f t="shared" si="182"/>
        <v>0.19307099999999999</v>
      </c>
      <c r="O1914" s="87">
        <f t="shared" si="183"/>
        <v>0</v>
      </c>
      <c r="P1914" s="13">
        <f t="shared" si="184"/>
        <v>0</v>
      </c>
      <c r="Q1914" s="9">
        <v>6.25</v>
      </c>
      <c r="R1914" s="32">
        <v>3</v>
      </c>
      <c r="S1914" s="2" t="s">
        <v>516</v>
      </c>
    </row>
    <row r="1915" spans="1:19">
      <c r="A1915" s="47" t="s">
        <v>147</v>
      </c>
      <c r="B1915" s="48" t="s">
        <v>148</v>
      </c>
      <c r="C1915" s="32">
        <v>336</v>
      </c>
      <c r="D1915" s="32"/>
      <c r="E1915" s="20" t="s">
        <v>75</v>
      </c>
      <c r="F1915" s="48" t="s">
        <v>160</v>
      </c>
      <c r="G1915" s="48" t="s">
        <v>27</v>
      </c>
      <c r="H1915" s="11">
        <v>6.17</v>
      </c>
      <c r="I1915" s="52">
        <v>7</v>
      </c>
      <c r="J1915" s="7">
        <v>13</v>
      </c>
      <c r="K1915" s="10">
        <f t="shared" si="181"/>
        <v>0.56147000000000002</v>
      </c>
      <c r="L1915" s="32"/>
      <c r="M1915" s="32">
        <v>13</v>
      </c>
      <c r="N1915" s="18">
        <f t="shared" si="182"/>
        <v>0.56147000000000002</v>
      </c>
      <c r="O1915" s="19">
        <f t="shared" si="183"/>
        <v>0</v>
      </c>
      <c r="P1915" s="13">
        <f t="shared" si="184"/>
        <v>0</v>
      </c>
      <c r="Q1915" s="32"/>
      <c r="R1915" s="32"/>
      <c r="S1915" s="32"/>
    </row>
    <row r="1916" spans="1:19">
      <c r="A1916" s="47" t="s">
        <v>147</v>
      </c>
      <c r="B1916" s="48" t="s">
        <v>148</v>
      </c>
      <c r="C1916" s="32">
        <v>337</v>
      </c>
      <c r="D1916" s="32"/>
      <c r="E1916" s="20" t="s">
        <v>75</v>
      </c>
      <c r="F1916" s="48" t="s">
        <v>160</v>
      </c>
      <c r="G1916" s="48" t="s">
        <v>27</v>
      </c>
      <c r="H1916" s="11">
        <v>6.17</v>
      </c>
      <c r="I1916" s="52">
        <v>11.7</v>
      </c>
      <c r="J1916" s="7">
        <v>8</v>
      </c>
      <c r="K1916" s="10">
        <f t="shared" si="181"/>
        <v>0.57751199999999991</v>
      </c>
      <c r="L1916" s="32"/>
      <c r="M1916" s="32">
        <v>8</v>
      </c>
      <c r="N1916" s="18">
        <f t="shared" si="182"/>
        <v>0.57751199999999991</v>
      </c>
      <c r="O1916" s="19">
        <f t="shared" si="183"/>
        <v>0</v>
      </c>
      <c r="P1916" s="13">
        <f t="shared" si="184"/>
        <v>0</v>
      </c>
      <c r="Q1916" s="32"/>
      <c r="R1916" s="32"/>
      <c r="S1916" s="32"/>
    </row>
    <row r="1917" spans="1:19">
      <c r="A1917" s="47" t="s">
        <v>147</v>
      </c>
      <c r="B1917" s="48" t="s">
        <v>148</v>
      </c>
      <c r="C1917" s="32">
        <v>337</v>
      </c>
      <c r="D1917" s="32"/>
      <c r="E1917" s="20" t="s">
        <v>75</v>
      </c>
      <c r="F1917" s="48" t="s">
        <v>160</v>
      </c>
      <c r="G1917" s="48" t="s">
        <v>27</v>
      </c>
      <c r="H1917" s="11">
        <v>6.17</v>
      </c>
      <c r="I1917" s="52">
        <v>12</v>
      </c>
      <c r="J1917" s="7">
        <v>15</v>
      </c>
      <c r="K1917" s="10">
        <f t="shared" si="181"/>
        <v>1.1105999999999998</v>
      </c>
      <c r="L1917" s="32"/>
      <c r="M1917" s="32">
        <v>15</v>
      </c>
      <c r="N1917" s="18">
        <f t="shared" si="182"/>
        <v>1.1105999999999998</v>
      </c>
      <c r="O1917" s="19">
        <f t="shared" si="183"/>
        <v>0</v>
      </c>
      <c r="P1917" s="13">
        <f t="shared" si="184"/>
        <v>0</v>
      </c>
      <c r="Q1917" s="32"/>
      <c r="R1917" s="32"/>
      <c r="S1917" s="32"/>
    </row>
    <row r="1918" spans="1:19">
      <c r="A1918" s="47" t="s">
        <v>147</v>
      </c>
      <c r="B1918" s="48" t="s">
        <v>148</v>
      </c>
      <c r="C1918" s="32">
        <v>339</v>
      </c>
      <c r="D1918" s="32"/>
      <c r="E1918" s="48" t="s">
        <v>163</v>
      </c>
      <c r="F1918" s="48" t="s">
        <v>160</v>
      </c>
      <c r="G1918" s="48" t="s">
        <v>44</v>
      </c>
      <c r="H1918" s="11">
        <v>13.4</v>
      </c>
      <c r="I1918" s="52">
        <v>9.1999999999999993</v>
      </c>
      <c r="J1918" s="7">
        <v>14</v>
      </c>
      <c r="K1918" s="10">
        <f t="shared" si="181"/>
        <v>1.7259199999999999</v>
      </c>
      <c r="L1918" s="32"/>
      <c r="M1918" s="32">
        <v>14</v>
      </c>
      <c r="N1918" s="18">
        <f t="shared" si="182"/>
        <v>1.7259199999999999</v>
      </c>
      <c r="O1918" s="19">
        <f t="shared" si="183"/>
        <v>0</v>
      </c>
      <c r="P1918" s="13">
        <f t="shared" si="184"/>
        <v>0</v>
      </c>
      <c r="Q1918" s="32"/>
      <c r="R1918" s="32"/>
      <c r="S1918" s="32"/>
    </row>
    <row r="1919" spans="1:19">
      <c r="A1919" s="47" t="s">
        <v>147</v>
      </c>
      <c r="B1919" s="48" t="s">
        <v>148</v>
      </c>
      <c r="C1919" s="32">
        <v>340</v>
      </c>
      <c r="D1919" s="32"/>
      <c r="E1919" s="20" t="s">
        <v>75</v>
      </c>
      <c r="F1919" s="48" t="s">
        <v>160</v>
      </c>
      <c r="G1919" s="48" t="s">
        <v>27</v>
      </c>
      <c r="H1919" s="11">
        <v>6.17</v>
      </c>
      <c r="I1919" s="52">
        <v>7</v>
      </c>
      <c r="J1919" s="7">
        <v>33</v>
      </c>
      <c r="K1919" s="10">
        <f t="shared" si="181"/>
        <v>1.42527</v>
      </c>
      <c r="L1919" s="32"/>
      <c r="M1919" s="32">
        <v>33</v>
      </c>
      <c r="N1919" s="18">
        <f t="shared" si="182"/>
        <v>1.42527</v>
      </c>
      <c r="O1919" s="19">
        <f t="shared" si="183"/>
        <v>0</v>
      </c>
      <c r="P1919" s="13">
        <f t="shared" si="184"/>
        <v>0</v>
      </c>
      <c r="Q1919" s="32"/>
      <c r="R1919" s="32"/>
      <c r="S1919" s="32"/>
    </row>
    <row r="1920" spans="1:19">
      <c r="A1920" s="47" t="s">
        <v>147</v>
      </c>
      <c r="B1920" s="48" t="s">
        <v>148</v>
      </c>
      <c r="C1920" s="32">
        <v>341</v>
      </c>
      <c r="D1920" s="32"/>
      <c r="E1920" s="20" t="s">
        <v>75</v>
      </c>
      <c r="F1920" s="48" t="s">
        <v>160</v>
      </c>
      <c r="G1920" s="48" t="s">
        <v>27</v>
      </c>
      <c r="H1920" s="11">
        <v>6.17</v>
      </c>
      <c r="I1920" s="8">
        <v>6.15</v>
      </c>
      <c r="J1920" s="7">
        <v>31</v>
      </c>
      <c r="K1920" s="10">
        <f t="shared" si="181"/>
        <v>1.1763105</v>
      </c>
      <c r="L1920" s="32"/>
      <c r="M1920" s="32">
        <v>31</v>
      </c>
      <c r="N1920" s="18">
        <f t="shared" si="182"/>
        <v>1.1763105</v>
      </c>
      <c r="O1920" s="19">
        <f t="shared" si="183"/>
        <v>0</v>
      </c>
      <c r="P1920" s="13">
        <f t="shared" si="184"/>
        <v>0</v>
      </c>
      <c r="Q1920" s="32"/>
      <c r="R1920" s="32"/>
      <c r="S1920" s="32"/>
    </row>
    <row r="1921" spans="1:19">
      <c r="A1921" s="47" t="s">
        <v>147</v>
      </c>
      <c r="B1921" s="48" t="s">
        <v>148</v>
      </c>
      <c r="C1921" s="32">
        <v>342</v>
      </c>
      <c r="D1921" s="32"/>
      <c r="E1921" s="20" t="s">
        <v>75</v>
      </c>
      <c r="F1921" s="48" t="s">
        <v>160</v>
      </c>
      <c r="G1921" s="48" t="s">
        <v>27</v>
      </c>
      <c r="H1921" s="11">
        <v>6.17</v>
      </c>
      <c r="I1921" s="52">
        <v>10.5</v>
      </c>
      <c r="J1921" s="7">
        <v>16</v>
      </c>
      <c r="K1921" s="10">
        <f t="shared" si="181"/>
        <v>1.0365599999999999</v>
      </c>
      <c r="L1921" s="32"/>
      <c r="M1921" s="32">
        <v>16</v>
      </c>
      <c r="N1921" s="18">
        <f t="shared" si="182"/>
        <v>1.0365599999999999</v>
      </c>
      <c r="O1921" s="19">
        <f t="shared" si="183"/>
        <v>0</v>
      </c>
      <c r="P1921" s="13">
        <f t="shared" si="184"/>
        <v>0</v>
      </c>
      <c r="Q1921" s="32"/>
      <c r="R1921" s="32"/>
      <c r="S1921" s="32"/>
    </row>
    <row r="1922" spans="1:19">
      <c r="A1922" s="47" t="s">
        <v>147</v>
      </c>
      <c r="B1922" s="48" t="s">
        <v>148</v>
      </c>
      <c r="C1922" s="32">
        <v>343</v>
      </c>
      <c r="D1922" s="32"/>
      <c r="E1922" s="20" t="s">
        <v>75</v>
      </c>
      <c r="F1922" s="48" t="s">
        <v>160</v>
      </c>
      <c r="G1922" s="48" t="s">
        <v>27</v>
      </c>
      <c r="H1922" s="11">
        <v>6.17</v>
      </c>
      <c r="I1922" s="52">
        <v>11</v>
      </c>
      <c r="J1922" s="7">
        <v>4</v>
      </c>
      <c r="K1922" s="10">
        <f t="shared" si="181"/>
        <v>0.27148</v>
      </c>
      <c r="L1922" s="32"/>
      <c r="M1922" s="32">
        <v>4</v>
      </c>
      <c r="N1922" s="18">
        <f t="shared" si="182"/>
        <v>0.27148</v>
      </c>
      <c r="O1922" s="19">
        <f t="shared" si="183"/>
        <v>0</v>
      </c>
      <c r="P1922" s="13">
        <f t="shared" si="184"/>
        <v>0</v>
      </c>
      <c r="Q1922" s="32"/>
      <c r="R1922" s="32"/>
      <c r="S1922" s="32"/>
    </row>
    <row r="1923" spans="1:19">
      <c r="A1923" s="47" t="s">
        <v>147</v>
      </c>
      <c r="B1923" s="48" t="s">
        <v>148</v>
      </c>
      <c r="C1923" s="32">
        <v>343</v>
      </c>
      <c r="D1923" s="32"/>
      <c r="E1923" s="20" t="s">
        <v>75</v>
      </c>
      <c r="F1923" s="48" t="s">
        <v>160</v>
      </c>
      <c r="G1923" s="48" t="s">
        <v>27</v>
      </c>
      <c r="H1923" s="11">
        <v>6.17</v>
      </c>
      <c r="I1923" s="52">
        <v>11.2</v>
      </c>
      <c r="J1923" s="7">
        <v>1</v>
      </c>
      <c r="K1923" s="10">
        <f t="shared" si="181"/>
        <v>6.9103999999999999E-2</v>
      </c>
      <c r="L1923" s="32"/>
      <c r="M1923" s="32">
        <v>1</v>
      </c>
      <c r="N1923" s="18">
        <f t="shared" si="182"/>
        <v>6.9103999999999999E-2</v>
      </c>
      <c r="O1923" s="19">
        <f t="shared" si="183"/>
        <v>0</v>
      </c>
      <c r="P1923" s="13">
        <f t="shared" si="184"/>
        <v>0</v>
      </c>
      <c r="Q1923" s="32"/>
      <c r="R1923" s="32"/>
      <c r="S1923" s="32"/>
    </row>
    <row r="1924" spans="1:19">
      <c r="A1924" s="47" t="s">
        <v>147</v>
      </c>
      <c r="B1924" s="48" t="s">
        <v>148</v>
      </c>
      <c r="C1924" s="32">
        <v>343</v>
      </c>
      <c r="D1924" s="32"/>
      <c r="E1924" s="20" t="s">
        <v>75</v>
      </c>
      <c r="F1924" s="48" t="s">
        <v>160</v>
      </c>
      <c r="G1924" s="48" t="s">
        <v>27</v>
      </c>
      <c r="H1924" s="11">
        <v>6.17</v>
      </c>
      <c r="I1924" s="52">
        <v>11.5</v>
      </c>
      <c r="J1924" s="7">
        <v>23</v>
      </c>
      <c r="K1924" s="10">
        <f t="shared" si="181"/>
        <v>1.6319649999999999</v>
      </c>
      <c r="L1924" s="32"/>
      <c r="M1924" s="32">
        <v>23</v>
      </c>
      <c r="N1924" s="18">
        <f t="shared" si="182"/>
        <v>1.6319649999999999</v>
      </c>
      <c r="O1924" s="19">
        <f t="shared" si="183"/>
        <v>0</v>
      </c>
      <c r="P1924" s="13">
        <f t="shared" si="184"/>
        <v>0</v>
      </c>
      <c r="Q1924" s="32"/>
      <c r="R1924" s="32"/>
      <c r="S1924" s="32"/>
    </row>
    <row r="1925" spans="1:19">
      <c r="A1925" s="47" t="s">
        <v>147</v>
      </c>
      <c r="B1925" s="48" t="s">
        <v>148</v>
      </c>
      <c r="C1925" s="32">
        <v>344</v>
      </c>
      <c r="D1925" s="32"/>
      <c r="E1925" s="48" t="s">
        <v>19</v>
      </c>
      <c r="F1925" s="48" t="s">
        <v>14</v>
      </c>
      <c r="G1925" s="48" t="s">
        <v>16</v>
      </c>
      <c r="H1925" s="11">
        <v>5.77</v>
      </c>
      <c r="I1925" s="52">
        <v>6</v>
      </c>
      <c r="J1925" s="7">
        <v>2</v>
      </c>
      <c r="K1925" s="10">
        <f t="shared" si="181"/>
        <v>6.9239999999999996E-2</v>
      </c>
      <c r="L1925" s="32"/>
      <c r="M1925" s="32"/>
      <c r="N1925" s="18">
        <f t="shared" si="182"/>
        <v>0</v>
      </c>
      <c r="O1925" s="19">
        <f t="shared" si="183"/>
        <v>2</v>
      </c>
      <c r="P1925" s="13">
        <f t="shared" si="184"/>
        <v>6.9239999999999996E-2</v>
      </c>
      <c r="Q1925" s="55"/>
      <c r="R1925" s="32"/>
      <c r="S1925" s="32"/>
    </row>
    <row r="1926" spans="1:19">
      <c r="A1926" s="47" t="s">
        <v>147</v>
      </c>
      <c r="B1926" s="48" t="s">
        <v>148</v>
      </c>
      <c r="C1926" s="32">
        <v>344</v>
      </c>
      <c r="D1926" s="32"/>
      <c r="E1926" s="48" t="s">
        <v>19</v>
      </c>
      <c r="F1926" s="48" t="s">
        <v>14</v>
      </c>
      <c r="G1926" s="48" t="s">
        <v>16</v>
      </c>
      <c r="H1926" s="11">
        <v>5.77</v>
      </c>
      <c r="I1926" s="52">
        <v>6.5</v>
      </c>
      <c r="J1926" s="7">
        <v>1</v>
      </c>
      <c r="K1926" s="10">
        <f t="shared" si="181"/>
        <v>3.7504999999999997E-2</v>
      </c>
      <c r="L1926" s="32"/>
      <c r="M1926" s="32">
        <v>1</v>
      </c>
      <c r="N1926" s="18">
        <f t="shared" si="182"/>
        <v>3.7504999999999997E-2</v>
      </c>
      <c r="O1926" s="19">
        <f t="shared" si="183"/>
        <v>0</v>
      </c>
      <c r="P1926" s="13">
        <f t="shared" si="184"/>
        <v>0</v>
      </c>
      <c r="Q1926" s="32">
        <v>6.5</v>
      </c>
      <c r="R1926" s="32">
        <v>1</v>
      </c>
      <c r="S1926" s="32" t="s">
        <v>374</v>
      </c>
    </row>
    <row r="1927" spans="1:19">
      <c r="A1927" s="47" t="s">
        <v>147</v>
      </c>
      <c r="B1927" s="48" t="s">
        <v>148</v>
      </c>
      <c r="C1927" s="32">
        <v>344</v>
      </c>
      <c r="D1927" s="32"/>
      <c r="E1927" s="48" t="s">
        <v>19</v>
      </c>
      <c r="F1927" s="48" t="s">
        <v>14</v>
      </c>
      <c r="G1927" s="48" t="s">
        <v>16</v>
      </c>
      <c r="H1927" s="11">
        <v>5.77</v>
      </c>
      <c r="I1927" s="52">
        <v>7.75</v>
      </c>
      <c r="J1927" s="7">
        <v>1</v>
      </c>
      <c r="K1927" s="10">
        <f t="shared" si="181"/>
        <v>4.4717499999999993E-2</v>
      </c>
      <c r="L1927" s="32"/>
      <c r="M1927" s="32">
        <v>1</v>
      </c>
      <c r="N1927" s="18">
        <f t="shared" si="182"/>
        <v>4.4717499999999993E-2</v>
      </c>
      <c r="O1927" s="19">
        <f t="shared" si="183"/>
        <v>0</v>
      </c>
      <c r="P1927" s="13">
        <f t="shared" si="184"/>
        <v>0</v>
      </c>
      <c r="Q1927" s="55">
        <v>7.1</v>
      </c>
      <c r="R1927" s="32">
        <v>1</v>
      </c>
      <c r="S1927" s="2" t="s">
        <v>279</v>
      </c>
    </row>
    <row r="1928" spans="1:19">
      <c r="A1928" s="47" t="s">
        <v>147</v>
      </c>
      <c r="B1928" s="48" t="s">
        <v>148</v>
      </c>
      <c r="C1928" s="32">
        <v>344</v>
      </c>
      <c r="D1928" s="32"/>
      <c r="E1928" s="48" t="s">
        <v>19</v>
      </c>
      <c r="F1928" s="48" t="s">
        <v>14</v>
      </c>
      <c r="G1928" s="48" t="s">
        <v>16</v>
      </c>
      <c r="H1928" s="11">
        <v>5.77</v>
      </c>
      <c r="I1928" s="52">
        <v>9</v>
      </c>
      <c r="J1928" s="7">
        <v>1</v>
      </c>
      <c r="K1928" s="10">
        <f t="shared" si="181"/>
        <v>5.192999999999999E-2</v>
      </c>
      <c r="L1928" s="32"/>
      <c r="M1928" s="32">
        <v>1</v>
      </c>
      <c r="N1928" s="18">
        <f t="shared" si="182"/>
        <v>5.192999999999999E-2</v>
      </c>
      <c r="O1928" s="19">
        <f t="shared" si="183"/>
        <v>0</v>
      </c>
      <c r="P1928" s="13">
        <f t="shared" si="184"/>
        <v>0</v>
      </c>
      <c r="Q1928" s="55">
        <v>7.1</v>
      </c>
      <c r="R1928" s="32">
        <v>1</v>
      </c>
      <c r="S1928" s="2" t="s">
        <v>279</v>
      </c>
    </row>
    <row r="1929" spans="1:19">
      <c r="A1929" s="47" t="s">
        <v>147</v>
      </c>
      <c r="B1929" s="48" t="s">
        <v>148</v>
      </c>
      <c r="C1929" s="32">
        <v>344</v>
      </c>
      <c r="D1929" s="32"/>
      <c r="E1929" s="48" t="s">
        <v>19</v>
      </c>
      <c r="F1929" s="48" t="s">
        <v>14</v>
      </c>
      <c r="G1929" s="48" t="s">
        <v>16</v>
      </c>
      <c r="H1929" s="11">
        <v>5.77</v>
      </c>
      <c r="I1929" s="52">
        <v>9.5</v>
      </c>
      <c r="J1929" s="7">
        <v>1</v>
      </c>
      <c r="K1929" s="10">
        <f t="shared" si="181"/>
        <v>5.4814999999999996E-2</v>
      </c>
      <c r="L1929" s="32"/>
      <c r="M1929" s="32">
        <v>1</v>
      </c>
      <c r="N1929" s="18">
        <f t="shared" si="182"/>
        <v>5.4814999999999996E-2</v>
      </c>
      <c r="O1929" s="19">
        <f t="shared" si="183"/>
        <v>0</v>
      </c>
      <c r="P1929" s="13">
        <f t="shared" si="184"/>
        <v>0</v>
      </c>
      <c r="Q1929" s="55">
        <v>7.1</v>
      </c>
      <c r="R1929" s="32">
        <v>1</v>
      </c>
      <c r="S1929" s="2" t="s">
        <v>279</v>
      </c>
    </row>
    <row r="1930" spans="1:19">
      <c r="A1930" s="47" t="s">
        <v>147</v>
      </c>
      <c r="B1930" s="48" t="s">
        <v>148</v>
      </c>
      <c r="C1930" s="32">
        <v>345</v>
      </c>
      <c r="D1930" s="32"/>
      <c r="E1930" s="48" t="s">
        <v>164</v>
      </c>
      <c r="F1930" s="48" t="s">
        <v>160</v>
      </c>
      <c r="G1930" s="48" t="s">
        <v>35</v>
      </c>
      <c r="H1930" s="11">
        <v>16.579999999999998</v>
      </c>
      <c r="I1930" s="8">
        <v>11.15</v>
      </c>
      <c r="J1930" s="7">
        <v>8</v>
      </c>
      <c r="K1930" s="10">
        <f t="shared" si="181"/>
        <v>1.478936</v>
      </c>
      <c r="L1930" s="32"/>
      <c r="M1930" s="32">
        <v>8</v>
      </c>
      <c r="N1930" s="18">
        <f t="shared" si="182"/>
        <v>1.478936</v>
      </c>
      <c r="O1930" s="19">
        <f t="shared" si="183"/>
        <v>0</v>
      </c>
      <c r="P1930" s="13">
        <f t="shared" si="184"/>
        <v>0</v>
      </c>
      <c r="Q1930" s="32">
        <v>9.6</v>
      </c>
      <c r="R1930" s="32">
        <v>6</v>
      </c>
      <c r="S1930" s="32"/>
    </row>
    <row r="1931" spans="1:19">
      <c r="A1931" s="47" t="s">
        <v>147</v>
      </c>
      <c r="B1931" s="48" t="s">
        <v>148</v>
      </c>
      <c r="C1931" s="32">
        <v>346</v>
      </c>
      <c r="D1931" s="32"/>
      <c r="E1931" s="20" t="s">
        <v>85</v>
      </c>
      <c r="F1931" s="48" t="s">
        <v>160</v>
      </c>
      <c r="G1931" s="48" t="s">
        <v>35</v>
      </c>
      <c r="H1931" s="11">
        <v>16.579999999999998</v>
      </c>
      <c r="I1931" s="8">
        <v>9.6</v>
      </c>
      <c r="J1931" s="7">
        <v>17</v>
      </c>
      <c r="K1931" s="10">
        <f t="shared" si="181"/>
        <v>2.7058559999999998</v>
      </c>
      <c r="L1931" s="32"/>
      <c r="M1931" s="32">
        <v>17</v>
      </c>
      <c r="N1931" s="18">
        <f t="shared" si="182"/>
        <v>2.7058559999999994</v>
      </c>
      <c r="O1931" s="19">
        <f t="shared" si="183"/>
        <v>0</v>
      </c>
      <c r="P1931" s="13">
        <f t="shared" si="184"/>
        <v>0</v>
      </c>
      <c r="Q1931" s="32"/>
      <c r="R1931" s="32"/>
      <c r="S1931" s="32"/>
    </row>
    <row r="1932" spans="1:19">
      <c r="A1932" s="47" t="s">
        <v>147</v>
      </c>
      <c r="B1932" s="48" t="s">
        <v>148</v>
      </c>
      <c r="C1932" s="32">
        <v>347</v>
      </c>
      <c r="D1932" s="32"/>
      <c r="E1932" s="20" t="s">
        <v>85</v>
      </c>
      <c r="F1932" s="48" t="s">
        <v>160</v>
      </c>
      <c r="G1932" s="48" t="s">
        <v>35</v>
      </c>
      <c r="H1932" s="11">
        <v>16.579999999999998</v>
      </c>
      <c r="I1932" s="8">
        <v>9.6</v>
      </c>
      <c r="J1932" s="7">
        <v>18</v>
      </c>
      <c r="K1932" s="10">
        <f t="shared" si="181"/>
        <v>2.8650239999999996</v>
      </c>
      <c r="L1932" s="32"/>
      <c r="M1932" s="32">
        <v>18</v>
      </c>
      <c r="N1932" s="18">
        <f t="shared" si="182"/>
        <v>2.8650239999999996</v>
      </c>
      <c r="O1932" s="19">
        <f t="shared" si="183"/>
        <v>0</v>
      </c>
      <c r="P1932" s="13">
        <f t="shared" si="184"/>
        <v>0</v>
      </c>
      <c r="Q1932" s="32"/>
      <c r="R1932" s="32"/>
      <c r="S1932" s="32"/>
    </row>
    <row r="1933" spans="1:19">
      <c r="A1933" s="47" t="s">
        <v>147</v>
      </c>
      <c r="B1933" s="48" t="s">
        <v>148</v>
      </c>
      <c r="C1933" s="32">
        <v>348</v>
      </c>
      <c r="D1933" s="32"/>
      <c r="E1933" s="20" t="s">
        <v>85</v>
      </c>
      <c r="F1933" s="48" t="s">
        <v>160</v>
      </c>
      <c r="G1933" s="48" t="s">
        <v>35</v>
      </c>
      <c r="H1933" s="11">
        <v>16.579999999999998</v>
      </c>
      <c r="I1933" s="8">
        <v>9.6</v>
      </c>
      <c r="J1933" s="7">
        <v>18</v>
      </c>
      <c r="K1933" s="10">
        <f t="shared" si="181"/>
        <v>2.8650239999999996</v>
      </c>
      <c r="L1933" s="32"/>
      <c r="M1933" s="32">
        <v>18</v>
      </c>
      <c r="N1933" s="18">
        <f t="shared" si="182"/>
        <v>2.8650239999999996</v>
      </c>
      <c r="O1933" s="19">
        <f t="shared" si="183"/>
        <v>0</v>
      </c>
      <c r="P1933" s="13">
        <f t="shared" si="184"/>
        <v>0</v>
      </c>
      <c r="Q1933" s="32"/>
      <c r="R1933" s="32"/>
      <c r="S1933" s="32"/>
    </row>
    <row r="1934" spans="1:19">
      <c r="A1934" s="47" t="s">
        <v>147</v>
      </c>
      <c r="B1934" s="48" t="s">
        <v>148</v>
      </c>
      <c r="C1934" s="32">
        <v>349</v>
      </c>
      <c r="D1934" s="32"/>
      <c r="E1934" s="20" t="s">
        <v>85</v>
      </c>
      <c r="F1934" s="48" t="s">
        <v>160</v>
      </c>
      <c r="G1934" s="48" t="s">
        <v>35</v>
      </c>
      <c r="H1934" s="11">
        <v>16.579999999999998</v>
      </c>
      <c r="I1934" s="8">
        <v>7.3</v>
      </c>
      <c r="J1934" s="7">
        <v>18</v>
      </c>
      <c r="K1934" s="10">
        <f t="shared" si="181"/>
        <v>2.1786119999999998</v>
      </c>
      <c r="L1934" s="32"/>
      <c r="M1934" s="32">
        <v>18</v>
      </c>
      <c r="N1934" s="18">
        <f t="shared" si="182"/>
        <v>2.1786120000000002</v>
      </c>
      <c r="O1934" s="19">
        <f t="shared" si="183"/>
        <v>0</v>
      </c>
      <c r="P1934" s="13">
        <f t="shared" si="184"/>
        <v>0</v>
      </c>
      <c r="Q1934" s="32"/>
      <c r="R1934" s="32"/>
      <c r="S1934" s="32"/>
    </row>
    <row r="1935" spans="1:19">
      <c r="A1935" s="47" t="s">
        <v>147</v>
      </c>
      <c r="B1935" s="48" t="s">
        <v>148</v>
      </c>
      <c r="C1935" s="32">
        <v>350</v>
      </c>
      <c r="D1935" s="32"/>
      <c r="E1935" s="48" t="s">
        <v>20</v>
      </c>
      <c r="F1935" s="48" t="s">
        <v>160</v>
      </c>
      <c r="G1935" s="48" t="s">
        <v>35</v>
      </c>
      <c r="H1935" s="11">
        <v>16.579999999999998</v>
      </c>
      <c r="I1935" s="8">
        <v>8.15</v>
      </c>
      <c r="J1935" s="7">
        <v>17</v>
      </c>
      <c r="K1935" s="10">
        <f t="shared" si="181"/>
        <v>2.2971589999999997</v>
      </c>
      <c r="L1935" s="32"/>
      <c r="M1935" s="32"/>
      <c r="N1935" s="18">
        <f t="shared" si="182"/>
        <v>0</v>
      </c>
      <c r="O1935" s="19">
        <f t="shared" si="183"/>
        <v>17</v>
      </c>
      <c r="P1935" s="13">
        <f t="shared" si="184"/>
        <v>2.2971590000000002</v>
      </c>
      <c r="Q1935" s="32"/>
      <c r="R1935" s="32"/>
      <c r="S1935" s="32"/>
    </row>
    <row r="1936" spans="1:19">
      <c r="A1936" s="47" t="s">
        <v>147</v>
      </c>
      <c r="B1936" s="48" t="s">
        <v>148</v>
      </c>
      <c r="C1936" s="32">
        <v>351</v>
      </c>
      <c r="D1936" s="32"/>
      <c r="E1936" s="20" t="s">
        <v>75</v>
      </c>
      <c r="F1936" s="48" t="s">
        <v>160</v>
      </c>
      <c r="G1936" s="48" t="s">
        <v>25</v>
      </c>
      <c r="H1936" s="11">
        <v>7.34</v>
      </c>
      <c r="I1936" s="52">
        <v>10</v>
      </c>
      <c r="J1936" s="7">
        <v>6</v>
      </c>
      <c r="K1936" s="10">
        <f t="shared" si="181"/>
        <v>0.44040000000000001</v>
      </c>
      <c r="L1936" s="32"/>
      <c r="M1936" s="32">
        <v>6</v>
      </c>
      <c r="N1936" s="18">
        <f t="shared" si="182"/>
        <v>0.44039999999999996</v>
      </c>
      <c r="O1936" s="19">
        <f t="shared" si="183"/>
        <v>0</v>
      </c>
      <c r="P1936" s="13">
        <f t="shared" si="184"/>
        <v>0</v>
      </c>
      <c r="Q1936" s="32"/>
      <c r="R1936" s="32"/>
      <c r="S1936" s="32"/>
    </row>
    <row r="1937" spans="1:20">
      <c r="A1937" s="47" t="s">
        <v>147</v>
      </c>
      <c r="B1937" s="48" t="s">
        <v>148</v>
      </c>
      <c r="C1937" s="32">
        <v>351</v>
      </c>
      <c r="D1937" s="32"/>
      <c r="E1937" s="20" t="s">
        <v>75</v>
      </c>
      <c r="F1937" s="48" t="s">
        <v>160</v>
      </c>
      <c r="G1937" s="48" t="s">
        <v>25</v>
      </c>
      <c r="H1937" s="11">
        <v>7.34</v>
      </c>
      <c r="I1937" s="52">
        <v>10.5</v>
      </c>
      <c r="J1937" s="7">
        <v>13</v>
      </c>
      <c r="K1937" s="10">
        <f t="shared" si="181"/>
        <v>1.0019099999999999</v>
      </c>
      <c r="L1937" s="32"/>
      <c r="M1937" s="32">
        <v>13</v>
      </c>
      <c r="N1937" s="18">
        <f t="shared" si="182"/>
        <v>1.0019100000000001</v>
      </c>
      <c r="O1937" s="19">
        <f t="shared" si="183"/>
        <v>0</v>
      </c>
      <c r="P1937" s="13">
        <f t="shared" si="184"/>
        <v>0</v>
      </c>
      <c r="Q1937" s="32"/>
      <c r="R1937" s="32"/>
      <c r="S1937" s="32"/>
    </row>
    <row r="1938" spans="1:20">
      <c r="A1938" s="47" t="s">
        <v>147</v>
      </c>
      <c r="B1938" s="48" t="s">
        <v>148</v>
      </c>
      <c r="C1938" s="32">
        <v>352</v>
      </c>
      <c r="D1938" s="32"/>
      <c r="E1938" s="20" t="s">
        <v>75</v>
      </c>
      <c r="F1938" s="48" t="s">
        <v>160</v>
      </c>
      <c r="G1938" s="48" t="s">
        <v>25</v>
      </c>
      <c r="H1938" s="11">
        <v>7.34</v>
      </c>
      <c r="I1938" s="52">
        <v>9.5</v>
      </c>
      <c r="J1938" s="224">
        <v>1</v>
      </c>
      <c r="K1938" s="10">
        <f t="shared" si="181"/>
        <v>6.973E-2</v>
      </c>
      <c r="L1938" s="32"/>
      <c r="M1938" s="32"/>
      <c r="N1938" s="18">
        <f t="shared" si="182"/>
        <v>0</v>
      </c>
      <c r="O1938" s="19">
        <f t="shared" si="183"/>
        <v>1</v>
      </c>
      <c r="P1938" s="13">
        <f t="shared" si="184"/>
        <v>6.973E-2</v>
      </c>
      <c r="Q1938" s="32"/>
      <c r="R1938" s="32"/>
      <c r="S1938" s="32"/>
    </row>
    <row r="1939" spans="1:20">
      <c r="A1939" s="47" t="s">
        <v>147</v>
      </c>
      <c r="B1939" s="48" t="s">
        <v>148</v>
      </c>
      <c r="C1939" s="32">
        <v>352</v>
      </c>
      <c r="D1939" s="32"/>
      <c r="E1939" s="20" t="s">
        <v>75</v>
      </c>
      <c r="F1939" s="48" t="s">
        <v>160</v>
      </c>
      <c r="G1939" s="48" t="s">
        <v>25</v>
      </c>
      <c r="H1939" s="11">
        <v>7.34</v>
      </c>
      <c r="I1939" s="52">
        <v>9.8000000000000007</v>
      </c>
      <c r="J1939" s="224">
        <v>1</v>
      </c>
      <c r="K1939" s="10">
        <f t="shared" si="181"/>
        <v>7.1931999999999996E-2</v>
      </c>
      <c r="L1939" s="32"/>
      <c r="M1939" s="32"/>
      <c r="N1939" s="18">
        <f t="shared" si="182"/>
        <v>0</v>
      </c>
      <c r="O1939" s="19">
        <f t="shared" si="183"/>
        <v>1</v>
      </c>
      <c r="P1939" s="13">
        <f t="shared" si="184"/>
        <v>7.1931999999999996E-2</v>
      </c>
      <c r="Q1939" s="32"/>
      <c r="R1939" s="32"/>
      <c r="S1939" s="32"/>
    </row>
    <row r="1940" spans="1:20">
      <c r="A1940" s="47" t="s">
        <v>147</v>
      </c>
      <c r="B1940" s="48" t="s">
        <v>148</v>
      </c>
      <c r="C1940" s="32">
        <v>353</v>
      </c>
      <c r="D1940" s="32"/>
      <c r="E1940" s="20" t="s">
        <v>75</v>
      </c>
      <c r="F1940" s="48" t="s">
        <v>160</v>
      </c>
      <c r="G1940" s="48" t="s">
        <v>25</v>
      </c>
      <c r="H1940" s="11">
        <v>7.34</v>
      </c>
      <c r="I1940" s="52">
        <v>11.5</v>
      </c>
      <c r="J1940" s="7">
        <v>21</v>
      </c>
      <c r="K1940" s="10">
        <f t="shared" si="181"/>
        <v>1.7726099999999998</v>
      </c>
      <c r="L1940" s="32"/>
      <c r="M1940" s="32">
        <v>21</v>
      </c>
      <c r="N1940" s="18">
        <f t="shared" si="182"/>
        <v>1.7726099999999998</v>
      </c>
      <c r="O1940" s="19">
        <f t="shared" si="183"/>
        <v>0</v>
      </c>
      <c r="P1940" s="13">
        <f t="shared" si="184"/>
        <v>0</v>
      </c>
      <c r="Q1940" s="32"/>
      <c r="R1940" s="32"/>
      <c r="S1940" s="32"/>
    </row>
    <row r="1941" spans="1:20">
      <c r="A1941" s="47" t="s">
        <v>147</v>
      </c>
      <c r="B1941" s="48" t="s">
        <v>148</v>
      </c>
      <c r="C1941" s="32">
        <v>354</v>
      </c>
      <c r="D1941" s="32"/>
      <c r="E1941" s="48" t="s">
        <v>163</v>
      </c>
      <c r="F1941" s="48" t="s">
        <v>160</v>
      </c>
      <c r="G1941" s="48" t="s">
        <v>25</v>
      </c>
      <c r="H1941" s="11">
        <v>7.34</v>
      </c>
      <c r="I1941" s="8">
        <v>10.9</v>
      </c>
      <c r="J1941" s="7">
        <v>1</v>
      </c>
      <c r="K1941" s="10">
        <f t="shared" si="181"/>
        <v>8.0005999999999994E-2</v>
      </c>
      <c r="L1941" s="32"/>
      <c r="M1941" s="32"/>
      <c r="N1941" s="18">
        <f t="shared" si="182"/>
        <v>0</v>
      </c>
      <c r="O1941" s="19">
        <f t="shared" si="183"/>
        <v>1</v>
      </c>
      <c r="P1941" s="13">
        <f t="shared" si="184"/>
        <v>8.0005999999999994E-2</v>
      </c>
      <c r="Q1941" s="9"/>
      <c r="R1941" s="2"/>
      <c r="S1941" s="2"/>
    </row>
    <row r="1942" spans="1:20">
      <c r="A1942" s="47" t="s">
        <v>147</v>
      </c>
      <c r="B1942" s="48" t="s">
        <v>148</v>
      </c>
      <c r="C1942" s="32">
        <v>354</v>
      </c>
      <c r="D1942" s="32"/>
      <c r="E1942" s="20" t="s">
        <v>75</v>
      </c>
      <c r="F1942" s="48" t="s">
        <v>160</v>
      </c>
      <c r="G1942" s="48" t="s">
        <v>25</v>
      </c>
      <c r="H1942" s="11">
        <v>7.34</v>
      </c>
      <c r="I1942" s="52">
        <v>11</v>
      </c>
      <c r="J1942" s="7">
        <v>29</v>
      </c>
      <c r="K1942" s="10">
        <f t="shared" si="181"/>
        <v>2.3414600000000001</v>
      </c>
      <c r="L1942" s="32"/>
      <c r="M1942" s="32">
        <v>29</v>
      </c>
      <c r="N1942" s="18">
        <f t="shared" si="182"/>
        <v>2.3414600000000001</v>
      </c>
      <c r="O1942" s="19">
        <f t="shared" si="183"/>
        <v>0</v>
      </c>
      <c r="P1942" s="13">
        <f t="shared" si="184"/>
        <v>0</v>
      </c>
      <c r="Q1942" s="32"/>
      <c r="R1942" s="32"/>
      <c r="S1942" s="32"/>
    </row>
    <row r="1943" spans="1:20">
      <c r="A1943" s="47" t="s">
        <v>147</v>
      </c>
      <c r="B1943" s="48" t="s">
        <v>148</v>
      </c>
      <c r="C1943" s="32">
        <v>355</v>
      </c>
      <c r="D1943" s="32"/>
      <c r="E1943" s="48" t="s">
        <v>163</v>
      </c>
      <c r="F1943" s="48" t="s">
        <v>160</v>
      </c>
      <c r="G1943" s="48" t="s">
        <v>25</v>
      </c>
      <c r="H1943" s="11">
        <v>7.34</v>
      </c>
      <c r="I1943" s="8">
        <v>11.7</v>
      </c>
      <c r="J1943" s="7">
        <v>7</v>
      </c>
      <c r="K1943" s="10">
        <f t="shared" si="181"/>
        <v>0.60114599999999996</v>
      </c>
      <c r="L1943" s="32"/>
      <c r="M1943" s="32">
        <v>7</v>
      </c>
      <c r="N1943" s="18">
        <f t="shared" si="182"/>
        <v>0.60114599999999996</v>
      </c>
      <c r="O1943" s="19">
        <f t="shared" si="183"/>
        <v>0</v>
      </c>
      <c r="P1943" s="13">
        <f t="shared" si="184"/>
        <v>0</v>
      </c>
      <c r="Q1943" s="32"/>
      <c r="R1943" s="32"/>
      <c r="S1943" s="32"/>
    </row>
    <row r="1944" spans="1:20">
      <c r="A1944" s="47" t="s">
        <v>147</v>
      </c>
      <c r="B1944" s="48" t="s">
        <v>148</v>
      </c>
      <c r="C1944" s="32">
        <v>355</v>
      </c>
      <c r="D1944" s="32"/>
      <c r="E1944" s="48" t="s">
        <v>163</v>
      </c>
      <c r="F1944" s="48" t="s">
        <v>160</v>
      </c>
      <c r="G1944" s="48" t="s">
        <v>25</v>
      </c>
      <c r="H1944" s="11">
        <v>7.34</v>
      </c>
      <c r="I1944" s="184">
        <v>12</v>
      </c>
      <c r="J1944" s="7">
        <v>26</v>
      </c>
      <c r="K1944" s="10">
        <f t="shared" si="181"/>
        <v>2.2900800000000001</v>
      </c>
      <c r="L1944" s="32"/>
      <c r="M1944" s="32">
        <v>26</v>
      </c>
      <c r="N1944" s="18">
        <f t="shared" si="182"/>
        <v>2.2900800000000001</v>
      </c>
      <c r="O1944" s="19">
        <f t="shared" si="183"/>
        <v>0</v>
      </c>
      <c r="P1944" s="13">
        <f t="shared" si="184"/>
        <v>0</v>
      </c>
      <c r="Q1944" s="32"/>
      <c r="R1944" s="32"/>
      <c r="S1944" s="32"/>
    </row>
    <row r="1945" spans="1:20">
      <c r="A1945" s="47" t="s">
        <v>147</v>
      </c>
      <c r="B1945" s="48" t="s">
        <v>148</v>
      </c>
      <c r="C1945" s="32">
        <v>356</v>
      </c>
      <c r="D1945" s="32"/>
      <c r="E1945" s="20" t="s">
        <v>75</v>
      </c>
      <c r="F1945" s="48" t="s">
        <v>160</v>
      </c>
      <c r="G1945" s="48" t="s">
        <v>25</v>
      </c>
      <c r="H1945" s="11">
        <v>7.34</v>
      </c>
      <c r="I1945" s="52">
        <v>11.5</v>
      </c>
      <c r="J1945" s="7">
        <v>32</v>
      </c>
      <c r="K1945" s="10">
        <f t="shared" si="181"/>
        <v>2.70112</v>
      </c>
      <c r="L1945" s="32"/>
      <c r="M1945" s="32">
        <v>32</v>
      </c>
      <c r="N1945" s="18">
        <f t="shared" si="182"/>
        <v>2.70112</v>
      </c>
      <c r="O1945" s="19">
        <f t="shared" si="183"/>
        <v>0</v>
      </c>
      <c r="P1945" s="13">
        <f t="shared" si="184"/>
        <v>0</v>
      </c>
      <c r="Q1945" s="32"/>
      <c r="R1945" s="32"/>
      <c r="S1945" s="32"/>
    </row>
    <row r="1946" spans="1:20">
      <c r="A1946" s="47" t="s">
        <v>147</v>
      </c>
      <c r="B1946" s="48" t="s">
        <v>148</v>
      </c>
      <c r="C1946" s="32">
        <v>357</v>
      </c>
      <c r="D1946" s="32"/>
      <c r="E1946" s="20" t="s">
        <v>75</v>
      </c>
      <c r="F1946" s="48" t="s">
        <v>160</v>
      </c>
      <c r="G1946" s="48" t="s">
        <v>25</v>
      </c>
      <c r="H1946" s="11">
        <v>7.34</v>
      </c>
      <c r="I1946" s="52">
        <v>11.5</v>
      </c>
      <c r="J1946" s="7">
        <v>32</v>
      </c>
      <c r="K1946" s="10">
        <f t="shared" si="181"/>
        <v>2.70112</v>
      </c>
      <c r="L1946" s="32"/>
      <c r="M1946" s="32">
        <v>32</v>
      </c>
      <c r="N1946" s="18">
        <f t="shared" si="182"/>
        <v>2.70112</v>
      </c>
      <c r="O1946" s="64">
        <f t="shared" si="183"/>
        <v>0</v>
      </c>
      <c r="P1946" s="65">
        <f t="shared" si="184"/>
        <v>0</v>
      </c>
      <c r="Q1946" s="32"/>
      <c r="R1946" s="32"/>
      <c r="S1946" s="32"/>
    </row>
    <row r="1947" spans="1:20">
      <c r="A1947" s="47" t="s">
        <v>147</v>
      </c>
      <c r="B1947" s="48" t="s">
        <v>148</v>
      </c>
      <c r="C1947" s="32">
        <v>358</v>
      </c>
      <c r="D1947" s="32"/>
      <c r="E1947" s="20" t="s">
        <v>75</v>
      </c>
      <c r="F1947" s="48" t="s">
        <v>160</v>
      </c>
      <c r="G1947" s="48" t="s">
        <v>25</v>
      </c>
      <c r="H1947" s="11">
        <v>7.34</v>
      </c>
      <c r="I1947" s="52">
        <v>10</v>
      </c>
      <c r="J1947" s="7">
        <v>35</v>
      </c>
      <c r="K1947" s="10">
        <f t="shared" si="181"/>
        <v>2.569</v>
      </c>
      <c r="L1947" s="32"/>
      <c r="M1947" s="32">
        <v>35</v>
      </c>
      <c r="N1947" s="18">
        <f t="shared" si="182"/>
        <v>2.569</v>
      </c>
      <c r="O1947" s="19">
        <f t="shared" si="183"/>
        <v>0</v>
      </c>
      <c r="P1947" s="13">
        <f t="shared" si="184"/>
        <v>0</v>
      </c>
      <c r="Q1947" s="32"/>
      <c r="R1947" s="32"/>
      <c r="S1947" s="32"/>
    </row>
    <row r="1948" spans="1:20">
      <c r="A1948" s="47" t="s">
        <v>147</v>
      </c>
      <c r="B1948" s="48" t="s">
        <v>148</v>
      </c>
      <c r="C1948" s="32">
        <v>359</v>
      </c>
      <c r="D1948" s="32"/>
      <c r="E1948" s="20" t="s">
        <v>75</v>
      </c>
      <c r="F1948" s="48" t="s">
        <v>160</v>
      </c>
      <c r="G1948" s="48" t="s">
        <v>25</v>
      </c>
      <c r="H1948" s="11">
        <v>7.34</v>
      </c>
      <c r="I1948" s="52">
        <v>10.5</v>
      </c>
      <c r="J1948" s="7">
        <v>32</v>
      </c>
      <c r="K1948" s="10">
        <f t="shared" si="181"/>
        <v>2.46624</v>
      </c>
      <c r="L1948" s="32"/>
      <c r="M1948" s="32">
        <v>32</v>
      </c>
      <c r="N1948" s="18">
        <f t="shared" si="182"/>
        <v>2.46624</v>
      </c>
      <c r="O1948" s="19">
        <f t="shared" si="183"/>
        <v>0</v>
      </c>
      <c r="P1948" s="13">
        <f t="shared" si="184"/>
        <v>0</v>
      </c>
      <c r="Q1948" s="32"/>
      <c r="R1948" s="32"/>
      <c r="S1948" s="32"/>
    </row>
    <row r="1949" spans="1:20">
      <c r="A1949" s="47" t="s">
        <v>147</v>
      </c>
      <c r="B1949" s="48" t="s">
        <v>148</v>
      </c>
      <c r="C1949" s="32">
        <v>360</v>
      </c>
      <c r="D1949" s="32"/>
      <c r="E1949" s="20" t="s">
        <v>75</v>
      </c>
      <c r="F1949" s="48" t="s">
        <v>160</v>
      </c>
      <c r="G1949" s="48" t="s">
        <v>25</v>
      </c>
      <c r="H1949" s="11">
        <v>7.34</v>
      </c>
      <c r="I1949" s="52">
        <v>10</v>
      </c>
      <c r="J1949" s="7">
        <v>32</v>
      </c>
      <c r="K1949" s="10">
        <f t="shared" si="181"/>
        <v>2.3488000000000002</v>
      </c>
      <c r="L1949" s="32"/>
      <c r="M1949" s="32">
        <v>32</v>
      </c>
      <c r="N1949" s="18">
        <f t="shared" si="182"/>
        <v>2.3488000000000002</v>
      </c>
      <c r="O1949" s="19">
        <f t="shared" si="183"/>
        <v>0</v>
      </c>
      <c r="P1949" s="13">
        <f t="shared" si="184"/>
        <v>0</v>
      </c>
      <c r="Q1949" s="32"/>
      <c r="R1949" s="32"/>
      <c r="S1949" s="32"/>
    </row>
    <row r="1950" spans="1:20">
      <c r="A1950" s="47" t="s">
        <v>147</v>
      </c>
      <c r="B1950" s="48" t="s">
        <v>148</v>
      </c>
      <c r="C1950" s="32">
        <v>361</v>
      </c>
      <c r="D1950" s="32"/>
      <c r="E1950" s="48" t="s">
        <v>20</v>
      </c>
      <c r="F1950" s="48" t="s">
        <v>160</v>
      </c>
      <c r="G1950" s="48" t="s">
        <v>30</v>
      </c>
      <c r="H1950" s="11">
        <v>9.26</v>
      </c>
      <c r="I1950" s="184">
        <v>9.6</v>
      </c>
      <c r="J1950" s="7">
        <v>2</v>
      </c>
      <c r="K1950" s="10">
        <f t="shared" si="181"/>
        <v>0.17779200000000001</v>
      </c>
      <c r="L1950" s="32"/>
      <c r="M1950" s="17">
        <v>2</v>
      </c>
      <c r="N1950" s="18">
        <f t="shared" si="182"/>
        <v>0.17779200000000001</v>
      </c>
      <c r="O1950" s="19">
        <f t="shared" si="183"/>
        <v>0</v>
      </c>
      <c r="P1950" s="13">
        <f t="shared" si="184"/>
        <v>0</v>
      </c>
      <c r="Q1950" s="111" t="s">
        <v>367</v>
      </c>
      <c r="R1950" s="2"/>
      <c r="S1950" s="50">
        <v>8</v>
      </c>
      <c r="T1950">
        <v>2</v>
      </c>
    </row>
    <row r="1951" spans="1:20">
      <c r="A1951" s="47" t="s">
        <v>147</v>
      </c>
      <c r="B1951" s="48" t="s">
        <v>148</v>
      </c>
      <c r="C1951" s="32">
        <v>361</v>
      </c>
      <c r="D1951" s="32"/>
      <c r="E1951" s="48" t="s">
        <v>20</v>
      </c>
      <c r="F1951" s="48" t="s">
        <v>160</v>
      </c>
      <c r="G1951" s="48" t="s">
        <v>30</v>
      </c>
      <c r="H1951" s="11">
        <v>9.26</v>
      </c>
      <c r="I1951" s="184">
        <v>9.3000000000000007</v>
      </c>
      <c r="J1951" s="7">
        <v>1</v>
      </c>
      <c r="K1951" s="10">
        <f t="shared" si="181"/>
        <v>8.6118000000000014E-2</v>
      </c>
      <c r="L1951" s="32"/>
      <c r="M1951" s="32">
        <v>1</v>
      </c>
      <c r="N1951" s="18">
        <f t="shared" si="182"/>
        <v>8.6118000000000014E-2</v>
      </c>
      <c r="O1951" s="19">
        <f t="shared" si="183"/>
        <v>0</v>
      </c>
      <c r="P1951" s="13">
        <f t="shared" si="184"/>
        <v>0</v>
      </c>
      <c r="Q1951" s="55" t="s">
        <v>368</v>
      </c>
      <c r="R1951" s="32"/>
      <c r="S1951" s="33">
        <v>8</v>
      </c>
      <c r="T1951">
        <v>1</v>
      </c>
    </row>
    <row r="1952" spans="1:20">
      <c r="A1952" s="47" t="s">
        <v>147</v>
      </c>
      <c r="B1952" s="48" t="s">
        <v>148</v>
      </c>
      <c r="C1952" s="32">
        <v>362</v>
      </c>
      <c r="D1952" s="32"/>
      <c r="E1952" s="363" t="s">
        <v>163</v>
      </c>
      <c r="F1952" s="48" t="s">
        <v>160</v>
      </c>
      <c r="G1952" s="48" t="s">
        <v>149</v>
      </c>
      <c r="H1952" s="49">
        <v>6.39</v>
      </c>
      <c r="I1952" s="52">
        <v>6.5</v>
      </c>
      <c r="J1952" s="7">
        <v>1</v>
      </c>
      <c r="K1952" s="10">
        <f t="shared" si="181"/>
        <v>4.1534999999999996E-2</v>
      </c>
      <c r="L1952" s="32" t="s">
        <v>26</v>
      </c>
      <c r="M1952" s="32">
        <v>1</v>
      </c>
      <c r="N1952" s="18">
        <f t="shared" si="182"/>
        <v>4.1534999999999996E-2</v>
      </c>
      <c r="O1952" s="19">
        <f t="shared" si="183"/>
        <v>0</v>
      </c>
      <c r="P1952" s="13">
        <f t="shared" si="184"/>
        <v>0</v>
      </c>
      <c r="Q1952" s="32">
        <v>6.5</v>
      </c>
      <c r="R1952" s="32">
        <v>1</v>
      </c>
      <c r="S1952" s="32" t="s">
        <v>208</v>
      </c>
    </row>
    <row r="1953" spans="1:19">
      <c r="A1953" s="540" t="s">
        <v>147</v>
      </c>
      <c r="B1953" s="69" t="s">
        <v>148</v>
      </c>
      <c r="C1953" s="67">
        <v>362</v>
      </c>
      <c r="D1953" s="32"/>
      <c r="E1953" s="541" t="s">
        <v>163</v>
      </c>
      <c r="F1953" s="69" t="s">
        <v>160</v>
      </c>
      <c r="G1953" s="69" t="s">
        <v>149</v>
      </c>
      <c r="H1953" s="542">
        <v>6.39</v>
      </c>
      <c r="I1953" s="70">
        <v>8</v>
      </c>
      <c r="J1953" s="60">
        <v>1</v>
      </c>
      <c r="K1953" s="62">
        <f t="shared" si="181"/>
        <v>5.1119999999999999E-2</v>
      </c>
      <c r="L1953" s="32" t="s">
        <v>26</v>
      </c>
      <c r="M1953" s="67"/>
      <c r="N1953" s="63">
        <f t="shared" si="182"/>
        <v>0</v>
      </c>
      <c r="O1953" s="64">
        <f t="shared" si="183"/>
        <v>1</v>
      </c>
      <c r="P1953" s="65">
        <f t="shared" si="184"/>
        <v>5.1119999999999999E-2</v>
      </c>
      <c r="Q1953" s="32" t="s">
        <v>46</v>
      </c>
      <c r="R1953" s="32"/>
      <c r="S1953" s="32"/>
    </row>
    <row r="1954" spans="1:19">
      <c r="A1954" s="540" t="s">
        <v>147</v>
      </c>
      <c r="B1954" s="69" t="s">
        <v>148</v>
      </c>
      <c r="C1954" s="67">
        <v>362</v>
      </c>
      <c r="D1954" s="32"/>
      <c r="E1954" s="541" t="s">
        <v>163</v>
      </c>
      <c r="F1954" s="69" t="s">
        <v>160</v>
      </c>
      <c r="G1954" s="69" t="s">
        <v>149</v>
      </c>
      <c r="H1954" s="542">
        <v>6.39</v>
      </c>
      <c r="I1954" s="70">
        <v>9</v>
      </c>
      <c r="J1954" s="60">
        <v>1</v>
      </c>
      <c r="K1954" s="62">
        <f t="shared" si="181"/>
        <v>5.7509999999999999E-2</v>
      </c>
      <c r="L1954" s="32" t="s">
        <v>26</v>
      </c>
      <c r="M1954" s="67"/>
      <c r="N1954" s="63">
        <f t="shared" si="182"/>
        <v>0</v>
      </c>
      <c r="O1954" s="64">
        <f t="shared" si="183"/>
        <v>1</v>
      </c>
      <c r="P1954" s="65">
        <f t="shared" si="184"/>
        <v>5.7509999999999999E-2</v>
      </c>
      <c r="Q1954" s="32" t="s">
        <v>46</v>
      </c>
      <c r="R1954" s="32"/>
      <c r="S1954" s="32"/>
    </row>
    <row r="1955" spans="1:19">
      <c r="A1955" s="47" t="s">
        <v>147</v>
      </c>
      <c r="B1955" s="48" t="s">
        <v>148</v>
      </c>
      <c r="C1955" s="32">
        <v>362</v>
      </c>
      <c r="D1955" s="32"/>
      <c r="E1955" s="363" t="s">
        <v>163</v>
      </c>
      <c r="F1955" s="48" t="s">
        <v>160</v>
      </c>
      <c r="G1955" s="48" t="s">
        <v>149</v>
      </c>
      <c r="H1955" s="49">
        <v>6.39</v>
      </c>
      <c r="I1955" s="52">
        <v>10.5</v>
      </c>
      <c r="J1955" s="7">
        <v>2</v>
      </c>
      <c r="K1955" s="10">
        <f t="shared" si="181"/>
        <v>0.13419</v>
      </c>
      <c r="L1955" s="32" t="s">
        <v>26</v>
      </c>
      <c r="M1955" s="32">
        <v>2</v>
      </c>
      <c r="N1955" s="18">
        <f t="shared" si="182"/>
        <v>0.13419</v>
      </c>
      <c r="O1955" s="19">
        <f t="shared" si="183"/>
        <v>0</v>
      </c>
      <c r="P1955" s="13">
        <f t="shared" si="184"/>
        <v>0</v>
      </c>
      <c r="Q1955" s="32"/>
      <c r="R1955" s="32">
        <v>2</v>
      </c>
      <c r="S1955" s="32" t="s">
        <v>208</v>
      </c>
    </row>
    <row r="1956" spans="1:19">
      <c r="A1956" s="47" t="s">
        <v>147</v>
      </c>
      <c r="B1956" s="48" t="s">
        <v>148</v>
      </c>
      <c r="C1956" s="32">
        <v>362</v>
      </c>
      <c r="D1956" s="32"/>
      <c r="E1956" s="363" t="s">
        <v>163</v>
      </c>
      <c r="F1956" s="48" t="s">
        <v>160</v>
      </c>
      <c r="G1956" s="48" t="s">
        <v>149</v>
      </c>
      <c r="H1956" s="49">
        <v>6.39</v>
      </c>
      <c r="I1956" s="52">
        <v>12</v>
      </c>
      <c r="J1956" s="7">
        <v>2</v>
      </c>
      <c r="K1956" s="10">
        <f t="shared" si="181"/>
        <v>0.15336</v>
      </c>
      <c r="L1956" s="32" t="s">
        <v>26</v>
      </c>
      <c r="M1956" s="32">
        <v>2</v>
      </c>
      <c r="N1956" s="18">
        <f t="shared" si="182"/>
        <v>0.15336</v>
      </c>
      <c r="O1956" s="19">
        <f t="shared" si="183"/>
        <v>0</v>
      </c>
      <c r="P1956" s="13">
        <f t="shared" si="184"/>
        <v>0</v>
      </c>
      <c r="Q1956" s="32"/>
      <c r="R1956" s="32">
        <v>2</v>
      </c>
      <c r="S1956" s="32" t="s">
        <v>208</v>
      </c>
    </row>
    <row r="1957" spans="1:19">
      <c r="A1957" s="47" t="s">
        <v>147</v>
      </c>
      <c r="B1957" s="48" t="s">
        <v>148</v>
      </c>
      <c r="C1957" s="32">
        <v>363</v>
      </c>
      <c r="D1957" s="32"/>
      <c r="E1957" s="48" t="s">
        <v>19</v>
      </c>
      <c r="F1957" s="48" t="s">
        <v>14</v>
      </c>
      <c r="G1957" s="48" t="s">
        <v>154</v>
      </c>
      <c r="H1957" s="49">
        <v>4.9800000000000004</v>
      </c>
      <c r="I1957" s="52">
        <v>11.5</v>
      </c>
      <c r="J1957" s="7">
        <v>9</v>
      </c>
      <c r="K1957" s="10">
        <f t="shared" si="181"/>
        <v>0.51543000000000005</v>
      </c>
      <c r="L1957" s="32"/>
      <c r="M1957" s="32">
        <v>9</v>
      </c>
      <c r="N1957" s="18">
        <f t="shared" si="182"/>
        <v>0.51543000000000005</v>
      </c>
      <c r="O1957" s="19">
        <f t="shared" si="183"/>
        <v>0</v>
      </c>
      <c r="P1957" s="13">
        <f t="shared" si="184"/>
        <v>0</v>
      </c>
      <c r="Q1957" s="32"/>
      <c r="R1957" s="32">
        <v>9</v>
      </c>
      <c r="S1957" s="32" t="s">
        <v>223</v>
      </c>
    </row>
    <row r="1958" spans="1:19">
      <c r="A1958" s="47" t="s">
        <v>147</v>
      </c>
      <c r="B1958" s="48" t="s">
        <v>148</v>
      </c>
      <c r="C1958" s="32">
        <v>363</v>
      </c>
      <c r="D1958" s="32"/>
      <c r="E1958" s="48" t="s">
        <v>19</v>
      </c>
      <c r="F1958" s="48" t="s">
        <v>14</v>
      </c>
      <c r="G1958" s="48" t="s">
        <v>154</v>
      </c>
      <c r="H1958" s="49">
        <v>4.9800000000000004</v>
      </c>
      <c r="I1958" s="52">
        <v>11</v>
      </c>
      <c r="J1958" s="7">
        <v>11</v>
      </c>
      <c r="K1958" s="10">
        <f t="shared" si="181"/>
        <v>0.60258</v>
      </c>
      <c r="L1958" s="32"/>
      <c r="M1958" s="32">
        <v>11</v>
      </c>
      <c r="N1958" s="18">
        <f t="shared" si="182"/>
        <v>0.60258</v>
      </c>
      <c r="O1958" s="19">
        <f t="shared" si="183"/>
        <v>0</v>
      </c>
      <c r="P1958" s="13">
        <f t="shared" si="184"/>
        <v>0</v>
      </c>
      <c r="Q1958" s="32"/>
      <c r="R1958" s="32">
        <v>11</v>
      </c>
      <c r="S1958" s="32" t="s">
        <v>223</v>
      </c>
    </row>
    <row r="1959" spans="1:19">
      <c r="A1959" s="47" t="s">
        <v>147</v>
      </c>
      <c r="B1959" s="48" t="s">
        <v>148</v>
      </c>
      <c r="C1959" s="32">
        <v>363</v>
      </c>
      <c r="D1959" s="32"/>
      <c r="E1959" s="48" t="s">
        <v>19</v>
      </c>
      <c r="F1959" s="48" t="s">
        <v>14</v>
      </c>
      <c r="G1959" s="48" t="s">
        <v>154</v>
      </c>
      <c r="H1959" s="49">
        <v>4.9800000000000004</v>
      </c>
      <c r="I1959" s="52">
        <v>10.5</v>
      </c>
      <c r="J1959" s="7">
        <v>5</v>
      </c>
      <c r="K1959" s="10">
        <f t="shared" si="181"/>
        <v>0.26145000000000007</v>
      </c>
      <c r="L1959" s="32"/>
      <c r="M1959" s="32">
        <v>5</v>
      </c>
      <c r="N1959" s="18">
        <f t="shared" si="182"/>
        <v>0.26145000000000007</v>
      </c>
      <c r="O1959" s="19">
        <f t="shared" si="183"/>
        <v>0</v>
      </c>
      <c r="P1959" s="13">
        <f t="shared" si="184"/>
        <v>0</v>
      </c>
      <c r="Q1959" s="32"/>
      <c r="R1959" s="32">
        <v>5</v>
      </c>
      <c r="S1959" s="32" t="s">
        <v>223</v>
      </c>
    </row>
    <row r="1960" spans="1:19">
      <c r="A1960" s="47" t="s">
        <v>147</v>
      </c>
      <c r="B1960" s="48" t="s">
        <v>148</v>
      </c>
      <c r="C1960" s="32">
        <v>364</v>
      </c>
      <c r="D1960" s="32"/>
      <c r="E1960" s="48" t="s">
        <v>19</v>
      </c>
      <c r="F1960" s="48" t="s">
        <v>14</v>
      </c>
      <c r="G1960" s="48" t="s">
        <v>154</v>
      </c>
      <c r="H1960" s="49">
        <v>4.9800000000000004</v>
      </c>
      <c r="I1960" s="52">
        <v>8.5</v>
      </c>
      <c r="J1960" s="7">
        <v>1</v>
      </c>
      <c r="K1960" s="10">
        <f t="shared" si="181"/>
        <v>4.2330000000000007E-2</v>
      </c>
      <c r="L1960" s="32"/>
      <c r="M1960" s="32">
        <v>1</v>
      </c>
      <c r="N1960" s="18">
        <f t="shared" si="182"/>
        <v>4.2330000000000007E-2</v>
      </c>
      <c r="O1960" s="19">
        <f t="shared" si="183"/>
        <v>0</v>
      </c>
      <c r="P1960" s="13">
        <f t="shared" si="184"/>
        <v>0</v>
      </c>
      <c r="Q1960" s="32"/>
      <c r="R1960" s="32">
        <v>1</v>
      </c>
      <c r="S1960" s="32" t="s">
        <v>223</v>
      </c>
    </row>
    <row r="1961" spans="1:19">
      <c r="A1961" s="47" t="s">
        <v>147</v>
      </c>
      <c r="B1961" s="48" t="s">
        <v>148</v>
      </c>
      <c r="C1961" s="32">
        <v>364</v>
      </c>
      <c r="D1961" s="32"/>
      <c r="E1961" s="48" t="s">
        <v>19</v>
      </c>
      <c r="F1961" s="48" t="s">
        <v>14</v>
      </c>
      <c r="G1961" s="48" t="s">
        <v>154</v>
      </c>
      <c r="H1961" s="49">
        <v>4.9800000000000004</v>
      </c>
      <c r="I1961" s="52">
        <v>9</v>
      </c>
      <c r="J1961" s="7">
        <v>1</v>
      </c>
      <c r="K1961" s="10">
        <f t="shared" si="181"/>
        <v>4.4820000000000006E-2</v>
      </c>
      <c r="L1961" s="32"/>
      <c r="M1961" s="32">
        <v>1</v>
      </c>
      <c r="N1961" s="18">
        <f t="shared" si="182"/>
        <v>4.4820000000000006E-2</v>
      </c>
      <c r="O1961" s="19">
        <f t="shared" si="183"/>
        <v>0</v>
      </c>
      <c r="P1961" s="13">
        <f t="shared" si="184"/>
        <v>0</v>
      </c>
      <c r="Q1961" s="32"/>
      <c r="R1961" s="32">
        <v>1</v>
      </c>
      <c r="S1961" s="32" t="s">
        <v>223</v>
      </c>
    </row>
    <row r="1962" spans="1:19">
      <c r="A1962" s="47" t="s">
        <v>147</v>
      </c>
      <c r="B1962" s="48" t="s">
        <v>148</v>
      </c>
      <c r="C1962" s="32">
        <v>364</v>
      </c>
      <c r="D1962" s="32"/>
      <c r="E1962" s="48" t="s">
        <v>19</v>
      </c>
      <c r="F1962" s="48" t="s">
        <v>14</v>
      </c>
      <c r="G1962" s="48" t="s">
        <v>154</v>
      </c>
      <c r="H1962" s="49">
        <v>4.9800000000000004</v>
      </c>
      <c r="I1962" s="52">
        <v>10</v>
      </c>
      <c r="J1962" s="7">
        <v>2</v>
      </c>
      <c r="K1962" s="10">
        <f t="shared" si="181"/>
        <v>9.9600000000000008E-2</v>
      </c>
      <c r="L1962" s="32"/>
      <c r="M1962" s="32">
        <v>2</v>
      </c>
      <c r="N1962" s="18">
        <f t="shared" si="182"/>
        <v>9.9600000000000008E-2</v>
      </c>
      <c r="O1962" s="19">
        <f t="shared" si="183"/>
        <v>0</v>
      </c>
      <c r="P1962" s="13">
        <f t="shared" si="184"/>
        <v>0</v>
      </c>
      <c r="Q1962" s="32"/>
      <c r="R1962" s="32">
        <v>2</v>
      </c>
      <c r="S1962" s="32" t="s">
        <v>223</v>
      </c>
    </row>
    <row r="1963" spans="1:19">
      <c r="A1963" s="47" t="s">
        <v>147</v>
      </c>
      <c r="B1963" s="48" t="s">
        <v>148</v>
      </c>
      <c r="C1963" s="32">
        <v>365</v>
      </c>
      <c r="D1963" s="257" t="s">
        <v>143</v>
      </c>
      <c r="E1963" s="48" t="s">
        <v>163</v>
      </c>
      <c r="F1963" s="48" t="s">
        <v>160</v>
      </c>
      <c r="G1963" s="48" t="s">
        <v>144</v>
      </c>
      <c r="H1963" s="49">
        <v>5.38</v>
      </c>
      <c r="I1963" s="52">
        <v>10</v>
      </c>
      <c r="J1963" s="7">
        <v>6</v>
      </c>
      <c r="K1963" s="10">
        <f t="shared" si="181"/>
        <v>0.32279999999999998</v>
      </c>
      <c r="L1963" s="32"/>
      <c r="M1963" s="32"/>
      <c r="N1963" s="18">
        <f t="shared" si="182"/>
        <v>0</v>
      </c>
      <c r="O1963" s="19">
        <f t="shared" si="183"/>
        <v>6</v>
      </c>
      <c r="P1963" s="13">
        <f t="shared" si="184"/>
        <v>0.32280000000000003</v>
      </c>
      <c r="Q1963" s="32"/>
      <c r="R1963" s="32"/>
      <c r="S1963" s="32"/>
    </row>
    <row r="1964" spans="1:19">
      <c r="A1964" s="47" t="s">
        <v>147</v>
      </c>
      <c r="B1964" s="48" t="s">
        <v>148</v>
      </c>
      <c r="C1964" s="32">
        <v>365</v>
      </c>
      <c r="D1964" s="257" t="s">
        <v>143</v>
      </c>
      <c r="E1964" s="48" t="s">
        <v>89</v>
      </c>
      <c r="F1964" s="48" t="s">
        <v>160</v>
      </c>
      <c r="G1964" s="48" t="s">
        <v>144</v>
      </c>
      <c r="H1964" s="49">
        <v>5.38</v>
      </c>
      <c r="I1964" s="52">
        <v>9.5</v>
      </c>
      <c r="J1964" s="7">
        <v>4</v>
      </c>
      <c r="K1964" s="10">
        <f t="shared" si="181"/>
        <v>0.20444000000000001</v>
      </c>
      <c r="L1964" s="32"/>
      <c r="M1964" s="32"/>
      <c r="N1964" s="18">
        <f t="shared" si="182"/>
        <v>0</v>
      </c>
      <c r="O1964" s="19">
        <f t="shared" si="183"/>
        <v>4</v>
      </c>
      <c r="P1964" s="13">
        <f t="shared" si="184"/>
        <v>0.20444000000000001</v>
      </c>
      <c r="Q1964" s="32"/>
      <c r="R1964" s="32"/>
      <c r="S1964" s="32"/>
    </row>
    <row r="1965" spans="1:19">
      <c r="A1965" s="47" t="s">
        <v>147</v>
      </c>
      <c r="B1965" s="48" t="s">
        <v>148</v>
      </c>
      <c r="C1965" s="32">
        <v>365</v>
      </c>
      <c r="D1965" s="257" t="s">
        <v>143</v>
      </c>
      <c r="E1965" s="48" t="s">
        <v>89</v>
      </c>
      <c r="F1965" s="48" t="s">
        <v>160</v>
      </c>
      <c r="G1965" s="48" t="s">
        <v>144</v>
      </c>
      <c r="H1965" s="49">
        <v>5.38</v>
      </c>
      <c r="I1965" s="52">
        <v>9</v>
      </c>
      <c r="J1965" s="7">
        <v>3</v>
      </c>
      <c r="K1965" s="10">
        <f t="shared" si="181"/>
        <v>0.14526</v>
      </c>
      <c r="L1965" s="32"/>
      <c r="M1965" s="32"/>
      <c r="N1965" s="18">
        <f t="shared" si="182"/>
        <v>0</v>
      </c>
      <c r="O1965" s="19">
        <f t="shared" si="183"/>
        <v>3</v>
      </c>
      <c r="P1965" s="13">
        <f t="shared" si="184"/>
        <v>0.14526</v>
      </c>
      <c r="Q1965" s="32"/>
      <c r="R1965" s="32"/>
      <c r="S1965" s="32"/>
    </row>
    <row r="1966" spans="1:19">
      <c r="A1966" s="47" t="s">
        <v>147</v>
      </c>
      <c r="B1966" s="48" t="s">
        <v>148</v>
      </c>
      <c r="C1966" s="32">
        <v>365</v>
      </c>
      <c r="D1966" s="257" t="s">
        <v>143</v>
      </c>
      <c r="E1966" s="48" t="s">
        <v>89</v>
      </c>
      <c r="F1966" s="48" t="s">
        <v>160</v>
      </c>
      <c r="G1966" s="48" t="s">
        <v>144</v>
      </c>
      <c r="H1966" s="49">
        <v>5.38</v>
      </c>
      <c r="I1966" s="52">
        <v>8.5</v>
      </c>
      <c r="J1966" s="7">
        <v>1</v>
      </c>
      <c r="K1966" s="10">
        <f t="shared" si="181"/>
        <v>4.573E-2</v>
      </c>
      <c r="L1966" s="32"/>
      <c r="M1966" s="32"/>
      <c r="N1966" s="18">
        <f t="shared" si="182"/>
        <v>0</v>
      </c>
      <c r="O1966" s="19">
        <f t="shared" si="183"/>
        <v>1</v>
      </c>
      <c r="P1966" s="13">
        <f t="shared" si="184"/>
        <v>4.573E-2</v>
      </c>
      <c r="Q1966" s="32"/>
      <c r="R1966" s="32"/>
      <c r="S1966" s="32"/>
    </row>
    <row r="1967" spans="1:19">
      <c r="A1967" s="47" t="s">
        <v>147</v>
      </c>
      <c r="B1967" s="48" t="s">
        <v>148</v>
      </c>
      <c r="C1967" s="32">
        <v>365</v>
      </c>
      <c r="D1967" s="257" t="s">
        <v>143</v>
      </c>
      <c r="E1967" s="48" t="s">
        <v>89</v>
      </c>
      <c r="F1967" s="48" t="s">
        <v>160</v>
      </c>
      <c r="G1967" s="48" t="s">
        <v>144</v>
      </c>
      <c r="H1967" s="49">
        <v>5.38</v>
      </c>
      <c r="I1967" s="52">
        <v>7.8</v>
      </c>
      <c r="J1967" s="7">
        <v>1</v>
      </c>
      <c r="K1967" s="10">
        <f t="shared" si="181"/>
        <v>4.1964000000000001E-2</v>
      </c>
      <c r="L1967" s="32"/>
      <c r="M1967" s="32"/>
      <c r="N1967" s="18">
        <f t="shared" si="182"/>
        <v>0</v>
      </c>
      <c r="O1967" s="19">
        <f t="shared" si="183"/>
        <v>1</v>
      </c>
      <c r="P1967" s="13">
        <f t="shared" si="184"/>
        <v>4.1964000000000001E-2</v>
      </c>
      <c r="Q1967" s="32"/>
      <c r="R1967" s="32"/>
      <c r="S1967" s="32"/>
    </row>
    <row r="1968" spans="1:19">
      <c r="A1968" s="47" t="s">
        <v>147</v>
      </c>
      <c r="B1968" s="48" t="s">
        <v>148</v>
      </c>
      <c r="C1968" s="32">
        <v>357</v>
      </c>
      <c r="D1968" s="32"/>
      <c r="E1968" s="48" t="s">
        <v>94</v>
      </c>
      <c r="F1968" s="48" t="s">
        <v>160</v>
      </c>
      <c r="G1968" s="48" t="s">
        <v>49</v>
      </c>
      <c r="H1968" s="11">
        <v>17.82</v>
      </c>
      <c r="I1968" s="8">
        <v>10.7</v>
      </c>
      <c r="J1968" s="7">
        <v>1</v>
      </c>
      <c r="K1968" s="10">
        <f t="shared" si="181"/>
        <v>0.19067399999999998</v>
      </c>
      <c r="L1968" s="32"/>
      <c r="M1968" s="32">
        <v>1</v>
      </c>
      <c r="N1968" s="18">
        <f t="shared" si="182"/>
        <v>0.19067399999999998</v>
      </c>
      <c r="O1968" s="19">
        <f t="shared" si="183"/>
        <v>0</v>
      </c>
      <c r="P1968" s="13">
        <f t="shared" si="184"/>
        <v>0</v>
      </c>
      <c r="Q1968" s="9">
        <v>9.6</v>
      </c>
      <c r="R1968" s="32">
        <v>1</v>
      </c>
      <c r="S1968" s="32"/>
    </row>
    <row r="1969" spans="1:21">
      <c r="A1969" s="47" t="s">
        <v>147</v>
      </c>
      <c r="B1969" s="48" t="s">
        <v>148</v>
      </c>
      <c r="C1969" s="32">
        <v>357</v>
      </c>
      <c r="D1969" s="32"/>
      <c r="E1969" s="48" t="s">
        <v>94</v>
      </c>
      <c r="F1969" s="48" t="s">
        <v>160</v>
      </c>
      <c r="G1969" s="48" t="s">
        <v>49</v>
      </c>
      <c r="H1969" s="11">
        <v>17.82</v>
      </c>
      <c r="I1969" s="8">
        <v>10.9</v>
      </c>
      <c r="J1969" s="7">
        <v>2</v>
      </c>
      <c r="K1969" s="10">
        <f t="shared" si="181"/>
        <v>0.38847599999999999</v>
      </c>
      <c r="L1969" s="32"/>
      <c r="M1969" s="32">
        <v>2</v>
      </c>
      <c r="N1969" s="18">
        <f t="shared" si="182"/>
        <v>0.38847599999999999</v>
      </c>
      <c r="O1969" s="19">
        <f t="shared" si="183"/>
        <v>0</v>
      </c>
      <c r="P1969" s="13">
        <f t="shared" si="184"/>
        <v>0</v>
      </c>
      <c r="Q1969" s="9">
        <v>9.6</v>
      </c>
      <c r="R1969" s="32">
        <v>2</v>
      </c>
      <c r="S1969" s="32"/>
    </row>
    <row r="1970" spans="1:21">
      <c r="A1970" s="47" t="s">
        <v>147</v>
      </c>
      <c r="B1970" s="48" t="s">
        <v>148</v>
      </c>
      <c r="C1970" s="32">
        <v>358</v>
      </c>
      <c r="D1970" s="32"/>
      <c r="E1970" s="48" t="s">
        <v>94</v>
      </c>
      <c r="F1970" s="48" t="s">
        <v>160</v>
      </c>
      <c r="G1970" s="48" t="s">
        <v>49</v>
      </c>
      <c r="H1970" s="11">
        <v>17.82</v>
      </c>
      <c r="I1970" s="52">
        <v>8.9</v>
      </c>
      <c r="J1970" s="7">
        <v>1</v>
      </c>
      <c r="K1970" s="10">
        <f t="shared" si="181"/>
        <v>0.15859800000000002</v>
      </c>
      <c r="L1970" s="32"/>
      <c r="M1970" s="32">
        <v>1</v>
      </c>
      <c r="N1970" s="18">
        <f t="shared" si="182"/>
        <v>0.15859800000000002</v>
      </c>
      <c r="O1970" s="19">
        <f t="shared" si="183"/>
        <v>0</v>
      </c>
      <c r="P1970" s="13">
        <f t="shared" si="184"/>
        <v>0</v>
      </c>
      <c r="Q1970" s="32">
        <v>7.2</v>
      </c>
      <c r="R1970" s="32">
        <v>1</v>
      </c>
      <c r="S1970" s="32" t="s">
        <v>305</v>
      </c>
    </row>
    <row r="1971" spans="1:21">
      <c r="A1971" s="47" t="s">
        <v>147</v>
      </c>
      <c r="B1971" s="48" t="s">
        <v>148</v>
      </c>
      <c r="C1971" s="32">
        <v>358</v>
      </c>
      <c r="D1971" s="32"/>
      <c r="E1971" s="48" t="s">
        <v>94</v>
      </c>
      <c r="F1971" s="48" t="s">
        <v>160</v>
      </c>
      <c r="G1971" s="48" t="s">
        <v>49</v>
      </c>
      <c r="H1971" s="11">
        <v>17.82</v>
      </c>
      <c r="I1971" s="52">
        <v>9.35</v>
      </c>
      <c r="J1971" s="7">
        <v>1</v>
      </c>
      <c r="K1971" s="10">
        <f t="shared" si="181"/>
        <v>0.16661699999999999</v>
      </c>
      <c r="L1971" s="32"/>
      <c r="M1971" s="32">
        <v>1</v>
      </c>
      <c r="N1971" s="18">
        <f t="shared" si="182"/>
        <v>0.16661699999999999</v>
      </c>
      <c r="O1971" s="19">
        <f t="shared" si="183"/>
        <v>0</v>
      </c>
      <c r="P1971" s="13">
        <f t="shared" si="184"/>
        <v>0</v>
      </c>
      <c r="Q1971" s="32">
        <v>7.2</v>
      </c>
      <c r="R1971" s="32">
        <v>1</v>
      </c>
      <c r="S1971" s="32" t="s">
        <v>305</v>
      </c>
    </row>
    <row r="1972" spans="1:21">
      <c r="A1972" s="47" t="s">
        <v>147</v>
      </c>
      <c r="B1972" s="48" t="s">
        <v>148</v>
      </c>
      <c r="C1972" s="32">
        <v>358</v>
      </c>
      <c r="D1972" s="32"/>
      <c r="E1972" s="48" t="s">
        <v>94</v>
      </c>
      <c r="F1972" s="48" t="s">
        <v>160</v>
      </c>
      <c r="G1972" s="48" t="s">
        <v>49</v>
      </c>
      <c r="H1972" s="11">
        <v>17.82</v>
      </c>
      <c r="I1972" s="52">
        <v>9.5</v>
      </c>
      <c r="J1972" s="7">
        <v>1</v>
      </c>
      <c r="K1972" s="10">
        <f t="shared" si="181"/>
        <v>0.16929</v>
      </c>
      <c r="L1972" s="32"/>
      <c r="M1972" s="32">
        <v>1</v>
      </c>
      <c r="N1972" s="18">
        <f t="shared" si="182"/>
        <v>0.16929</v>
      </c>
      <c r="O1972" s="19">
        <f t="shared" si="183"/>
        <v>0</v>
      </c>
      <c r="P1972" s="13">
        <f t="shared" si="184"/>
        <v>0</v>
      </c>
      <c r="Q1972" s="32">
        <v>7.2</v>
      </c>
      <c r="R1972" s="32">
        <v>1</v>
      </c>
      <c r="S1972" s="32" t="s">
        <v>305</v>
      </c>
    </row>
    <row r="1973" spans="1:21">
      <c r="A1973" s="47" t="s">
        <v>147</v>
      </c>
      <c r="B1973" s="48" t="s">
        <v>148</v>
      </c>
      <c r="C1973" s="32">
        <v>358</v>
      </c>
      <c r="D1973" s="32"/>
      <c r="E1973" s="48" t="s">
        <v>94</v>
      </c>
      <c r="F1973" s="48" t="s">
        <v>160</v>
      </c>
      <c r="G1973" s="48" t="s">
        <v>49</v>
      </c>
      <c r="H1973" s="11">
        <v>17.82</v>
      </c>
      <c r="I1973" s="52">
        <v>9.6</v>
      </c>
      <c r="J1973" s="7">
        <v>2</v>
      </c>
      <c r="K1973" s="10">
        <f t="shared" si="181"/>
        <v>0.342144</v>
      </c>
      <c r="L1973" s="32"/>
      <c r="M1973" s="32">
        <v>2</v>
      </c>
      <c r="N1973" s="18">
        <f t="shared" si="182"/>
        <v>0.342144</v>
      </c>
      <c r="O1973" s="19">
        <f t="shared" si="183"/>
        <v>0</v>
      </c>
      <c r="P1973" s="13">
        <f t="shared" si="184"/>
        <v>0</v>
      </c>
      <c r="Q1973" s="9">
        <v>9.6</v>
      </c>
      <c r="R1973" s="32">
        <v>2</v>
      </c>
      <c r="S1973" s="32"/>
    </row>
    <row r="1974" spans="1:21">
      <c r="A1974" s="47" t="s">
        <v>147</v>
      </c>
      <c r="B1974" s="48" t="s">
        <v>148</v>
      </c>
      <c r="C1974" s="32">
        <v>359</v>
      </c>
      <c r="D1974" s="32"/>
      <c r="E1974" s="48" t="s">
        <v>24</v>
      </c>
      <c r="F1974" s="48" t="s">
        <v>14</v>
      </c>
      <c r="G1974" s="48" t="s">
        <v>30</v>
      </c>
      <c r="H1974" s="11">
        <v>9.26</v>
      </c>
      <c r="I1974" s="52">
        <v>9.6</v>
      </c>
      <c r="J1974" s="7">
        <v>2</v>
      </c>
      <c r="K1974" s="10">
        <f t="shared" si="181"/>
        <v>0.17779200000000001</v>
      </c>
      <c r="L1974" s="32"/>
      <c r="M1974" s="32">
        <v>2</v>
      </c>
      <c r="N1974" s="18">
        <f t="shared" si="182"/>
        <v>0.17779200000000001</v>
      </c>
      <c r="O1974" s="19">
        <f t="shared" si="183"/>
        <v>0</v>
      </c>
      <c r="P1974" s="13">
        <f t="shared" si="184"/>
        <v>0</v>
      </c>
      <c r="Q1974" s="44">
        <v>9.5</v>
      </c>
      <c r="R1974" s="44">
        <v>2</v>
      </c>
      <c r="S1974" s="44" t="s">
        <v>208</v>
      </c>
    </row>
    <row r="1975" spans="1:21">
      <c r="A1975" s="47" t="s">
        <v>147</v>
      </c>
      <c r="B1975" s="48" t="s">
        <v>148</v>
      </c>
      <c r="C1975" s="32">
        <v>359</v>
      </c>
      <c r="D1975" s="32"/>
      <c r="E1975" s="48" t="s">
        <v>24</v>
      </c>
      <c r="F1975" s="48" t="s">
        <v>14</v>
      </c>
      <c r="G1975" s="48" t="s">
        <v>30</v>
      </c>
      <c r="H1975" s="11">
        <v>9.26</v>
      </c>
      <c r="I1975" s="52">
        <v>11.2</v>
      </c>
      <c r="J1975" s="7">
        <v>2</v>
      </c>
      <c r="K1975" s="10">
        <f t="shared" ref="K1975:K2038" si="185">(H1975*I1975*J1975/1000)</f>
        <v>0.20742399999999997</v>
      </c>
      <c r="L1975" s="32"/>
      <c r="M1975" s="32">
        <v>2</v>
      </c>
      <c r="N1975" s="18">
        <f t="shared" ref="N1975:N2038" si="186">I1975*M1975*H1975/1000</f>
        <v>0.20742399999999997</v>
      </c>
      <c r="O1975" s="106">
        <f t="shared" ref="O1975:O2038" si="187">J1975-M1975</f>
        <v>0</v>
      </c>
      <c r="P1975" s="13">
        <f t="shared" ref="P1975:P2038" si="188">I1975*O1975*H1975/1000</f>
        <v>0</v>
      </c>
      <c r="Q1975" s="32"/>
      <c r="R1975" s="32">
        <v>2</v>
      </c>
      <c r="S1975" s="2" t="s">
        <v>222</v>
      </c>
    </row>
    <row r="1976" spans="1:21">
      <c r="A1976" s="47" t="s">
        <v>147</v>
      </c>
      <c r="B1976" s="48" t="s">
        <v>148</v>
      </c>
      <c r="C1976" s="32">
        <v>359</v>
      </c>
      <c r="D1976" s="32"/>
      <c r="E1976" s="48" t="s">
        <v>24</v>
      </c>
      <c r="F1976" s="48" t="s">
        <v>14</v>
      </c>
      <c r="G1976" s="48" t="s">
        <v>30</v>
      </c>
      <c r="H1976" s="11">
        <v>9.26</v>
      </c>
      <c r="I1976" s="52">
        <v>12</v>
      </c>
      <c r="J1976" s="7">
        <v>2</v>
      </c>
      <c r="K1976" s="10">
        <f t="shared" si="185"/>
        <v>0.22224000000000002</v>
      </c>
      <c r="L1976" s="32"/>
      <c r="M1976" s="32">
        <v>2</v>
      </c>
      <c r="N1976" s="18">
        <f t="shared" si="186"/>
        <v>0.22224000000000002</v>
      </c>
      <c r="O1976" s="19">
        <f t="shared" si="187"/>
        <v>0</v>
      </c>
      <c r="P1976" s="13">
        <f t="shared" si="188"/>
        <v>0</v>
      </c>
      <c r="Q1976" s="32"/>
      <c r="R1976" s="32"/>
      <c r="S1976" s="32"/>
    </row>
    <row r="1977" spans="1:21">
      <c r="A1977" s="47" t="s">
        <v>147</v>
      </c>
      <c r="B1977" s="48" t="s">
        <v>148</v>
      </c>
      <c r="C1977" s="32">
        <v>360</v>
      </c>
      <c r="D1977" s="32"/>
      <c r="E1977" s="48" t="s">
        <v>17</v>
      </c>
      <c r="F1977" s="48" t="s">
        <v>160</v>
      </c>
      <c r="G1977" s="48" t="s">
        <v>25</v>
      </c>
      <c r="H1977" s="11">
        <v>7.34</v>
      </c>
      <c r="I1977" s="52">
        <v>9</v>
      </c>
      <c r="J1977" s="7">
        <v>3</v>
      </c>
      <c r="K1977" s="10">
        <f t="shared" si="185"/>
        <v>0.19818</v>
      </c>
      <c r="L1977" s="32"/>
      <c r="M1977" s="32">
        <v>3</v>
      </c>
      <c r="N1977" s="18">
        <f t="shared" si="186"/>
        <v>0.19818</v>
      </c>
      <c r="O1977" s="19">
        <f t="shared" si="187"/>
        <v>0</v>
      </c>
      <c r="P1977" s="13">
        <f t="shared" si="188"/>
        <v>0</v>
      </c>
      <c r="Q1977" s="32"/>
      <c r="R1977" s="32"/>
      <c r="S1977" s="33">
        <v>8</v>
      </c>
      <c r="T1977">
        <v>3</v>
      </c>
      <c r="U1977" s="213" t="s">
        <v>268</v>
      </c>
    </row>
    <row r="1978" spans="1:21">
      <c r="A1978" s="47" t="s">
        <v>147</v>
      </c>
      <c r="B1978" s="48" t="s">
        <v>148</v>
      </c>
      <c r="C1978" s="32">
        <v>360</v>
      </c>
      <c r="D1978" s="32"/>
      <c r="E1978" s="48" t="s">
        <v>17</v>
      </c>
      <c r="F1978" s="48" t="s">
        <v>160</v>
      </c>
      <c r="G1978" s="48" t="s">
        <v>25</v>
      </c>
      <c r="H1978" s="11">
        <v>7.34</v>
      </c>
      <c r="I1978" s="52">
        <v>7.4</v>
      </c>
      <c r="J1978" s="7">
        <v>1</v>
      </c>
      <c r="K1978" s="10">
        <f t="shared" si="185"/>
        <v>5.4316000000000003E-2</v>
      </c>
      <c r="L1978" s="32"/>
      <c r="M1978" s="32">
        <v>1</v>
      </c>
      <c r="N1978" s="18">
        <f t="shared" si="186"/>
        <v>5.4316000000000003E-2</v>
      </c>
      <c r="O1978" s="19">
        <f t="shared" si="187"/>
        <v>0</v>
      </c>
      <c r="P1978" s="13">
        <f t="shared" si="188"/>
        <v>0</v>
      </c>
      <c r="Q1978" s="32"/>
      <c r="R1978" s="32"/>
      <c r="S1978" s="33">
        <v>6.3</v>
      </c>
      <c r="T1978">
        <v>1</v>
      </c>
      <c r="U1978" s="213" t="s">
        <v>307</v>
      </c>
    </row>
    <row r="1979" spans="1:21">
      <c r="A1979" s="47" t="s">
        <v>147</v>
      </c>
      <c r="B1979" s="48" t="s">
        <v>148</v>
      </c>
      <c r="C1979" s="32">
        <v>360</v>
      </c>
      <c r="D1979" s="32"/>
      <c r="E1979" s="48" t="s">
        <v>17</v>
      </c>
      <c r="F1979" s="48" t="s">
        <v>160</v>
      </c>
      <c r="G1979" s="48" t="s">
        <v>25</v>
      </c>
      <c r="H1979" s="11">
        <v>7.34</v>
      </c>
      <c r="I1979" s="52">
        <v>6.3</v>
      </c>
      <c r="J1979" s="7">
        <v>2</v>
      </c>
      <c r="K1979" s="10">
        <f t="shared" si="185"/>
        <v>9.2483999999999997E-2</v>
      </c>
      <c r="L1979" s="32"/>
      <c r="M1979" s="32">
        <v>2</v>
      </c>
      <c r="N1979" s="18">
        <f t="shared" si="186"/>
        <v>9.2483999999999997E-2</v>
      </c>
      <c r="O1979" s="19">
        <f t="shared" si="187"/>
        <v>0</v>
      </c>
      <c r="P1979" s="13">
        <f t="shared" si="188"/>
        <v>0</v>
      </c>
      <c r="Q1979" s="32"/>
      <c r="R1979" s="32"/>
      <c r="S1979" s="33">
        <v>6.3</v>
      </c>
      <c r="T1979">
        <v>2</v>
      </c>
      <c r="U1979" s="213" t="s">
        <v>307</v>
      </c>
    </row>
    <row r="1980" spans="1:21">
      <c r="A1980" s="47" t="s">
        <v>147</v>
      </c>
      <c r="B1980" s="48" t="s">
        <v>148</v>
      </c>
      <c r="C1980" s="32">
        <v>361</v>
      </c>
      <c r="D1980" s="32"/>
      <c r="E1980" s="48" t="s">
        <v>19</v>
      </c>
      <c r="F1980" s="48" t="s">
        <v>14</v>
      </c>
      <c r="G1980" s="48" t="s">
        <v>18</v>
      </c>
      <c r="H1980" s="11">
        <v>6.86</v>
      </c>
      <c r="I1980" s="52">
        <v>11.7</v>
      </c>
      <c r="J1980" s="7">
        <v>1</v>
      </c>
      <c r="K1980" s="10">
        <f t="shared" si="185"/>
        <v>8.0262E-2</v>
      </c>
      <c r="L1980" s="32"/>
      <c r="M1980" s="32">
        <v>1</v>
      </c>
      <c r="N1980" s="18">
        <f t="shared" si="186"/>
        <v>8.0262E-2</v>
      </c>
      <c r="O1980" s="19">
        <f t="shared" si="187"/>
        <v>0</v>
      </c>
      <c r="P1980" s="13">
        <f t="shared" si="188"/>
        <v>0</v>
      </c>
      <c r="Q1980" s="32"/>
      <c r="R1980" s="32">
        <v>1</v>
      </c>
      <c r="S1980" s="32" t="s">
        <v>278</v>
      </c>
    </row>
    <row r="1981" spans="1:21">
      <c r="A1981" s="47" t="s">
        <v>147</v>
      </c>
      <c r="B1981" s="48" t="s">
        <v>148</v>
      </c>
      <c r="C1981" s="32">
        <v>361</v>
      </c>
      <c r="D1981" s="32"/>
      <c r="E1981" s="48" t="s">
        <v>19</v>
      </c>
      <c r="F1981" s="48" t="s">
        <v>14</v>
      </c>
      <c r="G1981" s="48" t="s">
        <v>18</v>
      </c>
      <c r="H1981" s="11">
        <v>6.86</v>
      </c>
      <c r="I1981" s="52">
        <v>10.5</v>
      </c>
      <c r="J1981" s="7">
        <v>1</v>
      </c>
      <c r="K1981" s="10">
        <f t="shared" si="185"/>
        <v>7.2029999999999997E-2</v>
      </c>
      <c r="L1981" s="32"/>
      <c r="M1981" s="32">
        <v>1</v>
      </c>
      <c r="N1981" s="18">
        <f t="shared" si="186"/>
        <v>7.2029999999999997E-2</v>
      </c>
      <c r="O1981" s="19">
        <f t="shared" si="187"/>
        <v>0</v>
      </c>
      <c r="P1981" s="13">
        <f t="shared" si="188"/>
        <v>0</v>
      </c>
      <c r="Q1981" s="159"/>
      <c r="R1981" s="32"/>
      <c r="S1981" s="32">
        <v>10</v>
      </c>
      <c r="T1981">
        <v>1</v>
      </c>
      <c r="U1981" s="2" t="s">
        <v>687</v>
      </c>
    </row>
    <row r="1982" spans="1:21">
      <c r="A1982" s="47" t="s">
        <v>147</v>
      </c>
      <c r="B1982" s="48" t="s">
        <v>148</v>
      </c>
      <c r="C1982" s="32">
        <v>361</v>
      </c>
      <c r="D1982" s="32"/>
      <c r="E1982" s="48" t="s">
        <v>19</v>
      </c>
      <c r="F1982" s="48" t="s">
        <v>14</v>
      </c>
      <c r="G1982" s="48" t="s">
        <v>18</v>
      </c>
      <c r="H1982" s="11">
        <v>6.86</v>
      </c>
      <c r="I1982" s="52">
        <v>10</v>
      </c>
      <c r="J1982" s="7">
        <v>1</v>
      </c>
      <c r="K1982" s="10">
        <f t="shared" si="185"/>
        <v>6.8600000000000008E-2</v>
      </c>
      <c r="L1982" s="32"/>
      <c r="M1982" s="32">
        <v>1</v>
      </c>
      <c r="N1982" s="18">
        <f t="shared" si="186"/>
        <v>6.8600000000000008E-2</v>
      </c>
      <c r="O1982" s="19">
        <f t="shared" si="187"/>
        <v>0</v>
      </c>
      <c r="P1982" s="13">
        <f t="shared" si="188"/>
        <v>0</v>
      </c>
      <c r="Q1982" s="159"/>
      <c r="R1982" s="32"/>
      <c r="S1982" s="32">
        <v>10</v>
      </c>
      <c r="T1982">
        <v>1</v>
      </c>
      <c r="U1982" s="2" t="s">
        <v>687</v>
      </c>
    </row>
    <row r="1983" spans="1:21">
      <c r="A1983" s="47" t="s">
        <v>147</v>
      </c>
      <c r="B1983" s="48" t="s">
        <v>148</v>
      </c>
      <c r="C1983" s="32">
        <v>362</v>
      </c>
      <c r="D1983" s="32"/>
      <c r="E1983" s="48" t="s">
        <v>24</v>
      </c>
      <c r="F1983" s="48" t="s">
        <v>14</v>
      </c>
      <c r="G1983" s="48" t="s">
        <v>44</v>
      </c>
      <c r="H1983" s="11">
        <v>13.4</v>
      </c>
      <c r="I1983" s="8">
        <v>10.199999999999999</v>
      </c>
      <c r="J1983" s="7">
        <v>3</v>
      </c>
      <c r="K1983" s="10">
        <f t="shared" si="185"/>
        <v>0.41004000000000002</v>
      </c>
      <c r="L1983" s="32"/>
      <c r="M1983" s="32">
        <v>3</v>
      </c>
      <c r="N1983" s="18">
        <f t="shared" si="186"/>
        <v>0.41003999999999996</v>
      </c>
      <c r="O1983" s="19">
        <f t="shared" si="187"/>
        <v>0</v>
      </c>
      <c r="P1983" s="13">
        <f t="shared" si="188"/>
        <v>0</v>
      </c>
      <c r="Q1983" s="32"/>
      <c r="R1983" s="45">
        <v>3</v>
      </c>
      <c r="S1983" s="2" t="s">
        <v>539</v>
      </c>
    </row>
    <row r="1984" spans="1:21">
      <c r="A1984" s="47" t="s">
        <v>147</v>
      </c>
      <c r="B1984" s="48" t="s">
        <v>148</v>
      </c>
      <c r="C1984" s="32">
        <v>363</v>
      </c>
      <c r="D1984" s="32" t="s">
        <v>142</v>
      </c>
      <c r="E1984" s="48" t="s">
        <v>89</v>
      </c>
      <c r="F1984" s="48" t="s">
        <v>160</v>
      </c>
      <c r="G1984" s="48" t="s">
        <v>18</v>
      </c>
      <c r="H1984" s="11">
        <v>6.86</v>
      </c>
      <c r="I1984" s="52">
        <v>10</v>
      </c>
      <c r="J1984" s="7">
        <v>2</v>
      </c>
      <c r="K1984" s="10">
        <f t="shared" si="185"/>
        <v>0.13720000000000002</v>
      </c>
      <c r="L1984" s="32"/>
      <c r="M1984" s="32">
        <v>2</v>
      </c>
      <c r="N1984" s="18">
        <f t="shared" si="186"/>
        <v>0.13720000000000002</v>
      </c>
      <c r="O1984" s="19">
        <f t="shared" si="187"/>
        <v>0</v>
      </c>
      <c r="P1984" s="13">
        <f t="shared" si="188"/>
        <v>0</v>
      </c>
      <c r="Q1984" s="32"/>
      <c r="R1984" s="32"/>
      <c r="S1984" s="32"/>
    </row>
    <row r="1985" spans="1:19">
      <c r="A1985" s="47" t="s">
        <v>147</v>
      </c>
      <c r="B1985" s="48" t="s">
        <v>148</v>
      </c>
      <c r="C1985" s="32">
        <v>363</v>
      </c>
      <c r="D1985" s="32" t="s">
        <v>142</v>
      </c>
      <c r="E1985" s="48" t="s">
        <v>89</v>
      </c>
      <c r="F1985" s="48" t="s">
        <v>160</v>
      </c>
      <c r="G1985" s="48" t="s">
        <v>18</v>
      </c>
      <c r="H1985" s="11">
        <v>6.86</v>
      </c>
      <c r="I1985" s="52">
        <v>11.5</v>
      </c>
      <c r="J1985" s="7">
        <v>21</v>
      </c>
      <c r="K1985" s="10">
        <f t="shared" si="185"/>
        <v>1.65669</v>
      </c>
      <c r="L1985" s="32"/>
      <c r="M1985" s="32">
        <v>21</v>
      </c>
      <c r="N1985" s="18">
        <f t="shared" si="186"/>
        <v>1.65669</v>
      </c>
      <c r="O1985" s="19">
        <f t="shared" si="187"/>
        <v>0</v>
      </c>
      <c r="P1985" s="13">
        <f t="shared" si="188"/>
        <v>0</v>
      </c>
      <c r="Q1985" s="32"/>
      <c r="R1985" s="32"/>
      <c r="S1985" s="32"/>
    </row>
    <row r="1986" spans="1:19">
      <c r="A1986" s="47" t="s">
        <v>147</v>
      </c>
      <c r="B1986" s="48" t="s">
        <v>148</v>
      </c>
      <c r="C1986" s="32">
        <v>364</v>
      </c>
      <c r="D1986" s="32" t="s">
        <v>142</v>
      </c>
      <c r="E1986" s="48" t="s">
        <v>89</v>
      </c>
      <c r="F1986" s="48" t="s">
        <v>160</v>
      </c>
      <c r="G1986" s="48" t="s">
        <v>18</v>
      </c>
      <c r="H1986" s="11">
        <v>6.86</v>
      </c>
      <c r="I1986" s="52">
        <v>9.5</v>
      </c>
      <c r="J1986" s="7">
        <v>2</v>
      </c>
      <c r="K1986" s="10">
        <f t="shared" si="185"/>
        <v>0.13034000000000001</v>
      </c>
      <c r="L1986" s="32"/>
      <c r="M1986" s="32">
        <v>2</v>
      </c>
      <c r="N1986" s="18">
        <f t="shared" si="186"/>
        <v>0.13034000000000001</v>
      </c>
      <c r="O1986" s="19">
        <f t="shared" si="187"/>
        <v>0</v>
      </c>
      <c r="P1986" s="13">
        <f t="shared" si="188"/>
        <v>0</v>
      </c>
      <c r="Q1986" s="55">
        <v>7.8</v>
      </c>
      <c r="R1986" s="32">
        <v>2</v>
      </c>
      <c r="S1986" s="32" t="s">
        <v>733</v>
      </c>
    </row>
    <row r="1987" spans="1:19">
      <c r="A1987" s="47" t="s">
        <v>147</v>
      </c>
      <c r="B1987" s="48" t="s">
        <v>148</v>
      </c>
      <c r="C1987" s="32">
        <v>366</v>
      </c>
      <c r="D1987" s="32"/>
      <c r="E1987" s="48" t="s">
        <v>159</v>
      </c>
      <c r="F1987" s="48" t="s">
        <v>14</v>
      </c>
      <c r="G1987" s="48" t="s">
        <v>29</v>
      </c>
      <c r="H1987" s="11">
        <v>10.92</v>
      </c>
      <c r="I1987" s="52">
        <v>11.2</v>
      </c>
      <c r="J1987" s="7">
        <v>4</v>
      </c>
      <c r="K1987" s="10">
        <f t="shared" si="185"/>
        <v>0.48921599999999993</v>
      </c>
      <c r="L1987" s="32"/>
      <c r="M1987" s="32">
        <f>1+2+1</f>
        <v>4</v>
      </c>
      <c r="N1987" s="18">
        <f t="shared" si="186"/>
        <v>0.48921599999999993</v>
      </c>
      <c r="O1987" s="19">
        <f t="shared" si="187"/>
        <v>0</v>
      </c>
      <c r="P1987" s="13">
        <f t="shared" si="188"/>
        <v>0</v>
      </c>
      <c r="Q1987" s="9">
        <v>11.2</v>
      </c>
      <c r="R1987" s="32">
        <v>1</v>
      </c>
      <c r="S1987" s="9" t="s">
        <v>376</v>
      </c>
    </row>
    <row r="1988" spans="1:19">
      <c r="A1988" s="47" t="s">
        <v>147</v>
      </c>
      <c r="B1988" s="48" t="s">
        <v>148</v>
      </c>
      <c r="C1988" s="32">
        <v>368</v>
      </c>
      <c r="D1988" s="32"/>
      <c r="E1988" s="48" t="s">
        <v>159</v>
      </c>
      <c r="F1988" s="48" t="s">
        <v>14</v>
      </c>
      <c r="G1988" s="48" t="s">
        <v>29</v>
      </c>
      <c r="H1988" s="11">
        <v>10.92</v>
      </c>
      <c r="I1988" s="52">
        <v>10.1</v>
      </c>
      <c r="J1988" s="7">
        <v>3</v>
      </c>
      <c r="K1988" s="10">
        <f t="shared" si="185"/>
        <v>0.330876</v>
      </c>
      <c r="L1988" s="32"/>
      <c r="M1988" s="32">
        <v>3</v>
      </c>
      <c r="N1988" s="18">
        <f t="shared" si="186"/>
        <v>0.330876</v>
      </c>
      <c r="O1988" s="19">
        <f t="shared" si="187"/>
        <v>0</v>
      </c>
      <c r="P1988" s="13">
        <f t="shared" si="188"/>
        <v>0</v>
      </c>
      <c r="Q1988" s="9">
        <v>10.1</v>
      </c>
      <c r="R1988" s="32">
        <v>3</v>
      </c>
      <c r="S1988" s="9" t="s">
        <v>376</v>
      </c>
    </row>
    <row r="1989" spans="1:19">
      <c r="A1989" s="47" t="s">
        <v>147</v>
      </c>
      <c r="B1989" s="48" t="s">
        <v>148</v>
      </c>
      <c r="C1989" s="32">
        <v>368</v>
      </c>
      <c r="D1989" s="32"/>
      <c r="E1989" s="48" t="s">
        <v>159</v>
      </c>
      <c r="F1989" s="48" t="s">
        <v>14</v>
      </c>
      <c r="G1989" s="48" t="s">
        <v>29</v>
      </c>
      <c r="H1989" s="11">
        <v>10.92</v>
      </c>
      <c r="I1989" s="8">
        <v>9.8000000000000007</v>
      </c>
      <c r="J1989" s="7">
        <v>1</v>
      </c>
      <c r="K1989" s="10">
        <f t="shared" si="185"/>
        <v>0.107016</v>
      </c>
      <c r="L1989" s="32"/>
      <c r="M1989" s="32">
        <v>1</v>
      </c>
      <c r="N1989" s="18">
        <f t="shared" si="186"/>
        <v>0.107016</v>
      </c>
      <c r="O1989" s="19">
        <f t="shared" si="187"/>
        <v>0</v>
      </c>
      <c r="P1989" s="13">
        <f t="shared" si="188"/>
        <v>0</v>
      </c>
      <c r="Q1989" s="32"/>
      <c r="R1989" s="32">
        <v>1</v>
      </c>
      <c r="S1989" s="32" t="s">
        <v>755</v>
      </c>
    </row>
    <row r="1990" spans="1:19">
      <c r="A1990" s="47" t="s">
        <v>147</v>
      </c>
      <c r="B1990" s="48" t="s">
        <v>148</v>
      </c>
      <c r="C1990" s="32">
        <v>368</v>
      </c>
      <c r="D1990" s="32"/>
      <c r="E1990" s="48" t="s">
        <v>159</v>
      </c>
      <c r="F1990" s="48" t="s">
        <v>14</v>
      </c>
      <c r="G1990" s="48" t="s">
        <v>29</v>
      </c>
      <c r="H1990" s="11">
        <v>10.92</v>
      </c>
      <c r="I1990" s="8">
        <v>9.6</v>
      </c>
      <c r="J1990" s="7">
        <v>2</v>
      </c>
      <c r="K1990" s="10">
        <f t="shared" si="185"/>
        <v>0.20966399999999999</v>
      </c>
      <c r="L1990" s="32"/>
      <c r="M1990" s="32">
        <v>2</v>
      </c>
      <c r="N1990" s="18">
        <f t="shared" si="186"/>
        <v>0.20966399999999999</v>
      </c>
      <c r="O1990" s="19">
        <f t="shared" si="187"/>
        <v>0</v>
      </c>
      <c r="P1990" s="13">
        <f t="shared" si="188"/>
        <v>0</v>
      </c>
      <c r="Q1990" s="32"/>
      <c r="R1990" s="32">
        <v>2</v>
      </c>
      <c r="S1990" s="32" t="s">
        <v>755</v>
      </c>
    </row>
    <row r="1991" spans="1:19">
      <c r="A1991" s="47" t="s">
        <v>147</v>
      </c>
      <c r="B1991" s="48" t="s">
        <v>148</v>
      </c>
      <c r="C1991" s="32">
        <v>368</v>
      </c>
      <c r="D1991" s="32"/>
      <c r="E1991" s="48" t="s">
        <v>159</v>
      </c>
      <c r="F1991" s="48" t="s">
        <v>14</v>
      </c>
      <c r="G1991" s="48" t="s">
        <v>29</v>
      </c>
      <c r="H1991" s="11">
        <v>10.92</v>
      </c>
      <c r="I1991" s="8">
        <v>9.4</v>
      </c>
      <c r="J1991" s="7">
        <v>1</v>
      </c>
      <c r="K1991" s="10">
        <f t="shared" si="185"/>
        <v>0.10264799999999999</v>
      </c>
      <c r="L1991" s="32"/>
      <c r="M1991" s="32">
        <v>1</v>
      </c>
      <c r="N1991" s="18">
        <f t="shared" si="186"/>
        <v>0.10264799999999999</v>
      </c>
      <c r="O1991" s="19">
        <f t="shared" si="187"/>
        <v>0</v>
      </c>
      <c r="P1991" s="13">
        <f t="shared" si="188"/>
        <v>0</v>
      </c>
      <c r="Q1991" s="32"/>
      <c r="R1991" s="32">
        <v>1</v>
      </c>
      <c r="S1991" s="32" t="s">
        <v>755</v>
      </c>
    </row>
    <row r="1992" spans="1:19">
      <c r="A1992" s="47" t="s">
        <v>147</v>
      </c>
      <c r="B1992" s="48" t="s">
        <v>148</v>
      </c>
      <c r="C1992" s="32">
        <v>364</v>
      </c>
      <c r="D1992" s="32"/>
      <c r="E1992" s="48" t="s">
        <v>159</v>
      </c>
      <c r="F1992" s="48" t="s">
        <v>14</v>
      </c>
      <c r="G1992" s="48" t="s">
        <v>32</v>
      </c>
      <c r="H1992" s="11">
        <v>8.3000000000000007</v>
      </c>
      <c r="I1992" s="52">
        <v>9.5</v>
      </c>
      <c r="J1992" s="7">
        <v>2</v>
      </c>
      <c r="K1992" s="10">
        <f t="shared" si="185"/>
        <v>0.15770000000000001</v>
      </c>
      <c r="L1992" s="32"/>
      <c r="M1992" s="32"/>
      <c r="N1992" s="18">
        <f t="shared" si="186"/>
        <v>0</v>
      </c>
      <c r="O1992" s="19">
        <f t="shared" si="187"/>
        <v>2</v>
      </c>
      <c r="P1992" s="13">
        <f t="shared" si="188"/>
        <v>0.15770000000000001</v>
      </c>
      <c r="Q1992" s="32"/>
      <c r="R1992" s="32"/>
      <c r="S1992" s="32"/>
    </row>
    <row r="1993" spans="1:19">
      <c r="A1993" s="47" t="s">
        <v>147</v>
      </c>
      <c r="B1993" s="48" t="s">
        <v>148</v>
      </c>
      <c r="C1993" s="32">
        <v>364</v>
      </c>
      <c r="D1993" s="32"/>
      <c r="E1993" s="48" t="s">
        <v>159</v>
      </c>
      <c r="F1993" s="48" t="s">
        <v>14</v>
      </c>
      <c r="G1993" s="48" t="s">
        <v>32</v>
      </c>
      <c r="H1993" s="11">
        <v>8.3000000000000007</v>
      </c>
      <c r="I1993" s="52">
        <v>10</v>
      </c>
      <c r="J1993" s="7">
        <v>2</v>
      </c>
      <c r="K1993" s="10">
        <f t="shared" si="185"/>
        <v>0.16600000000000001</v>
      </c>
      <c r="L1993" s="32"/>
      <c r="M1993" s="32"/>
      <c r="N1993" s="18">
        <f t="shared" si="186"/>
        <v>0</v>
      </c>
      <c r="O1993" s="19">
        <f t="shared" si="187"/>
        <v>2</v>
      </c>
      <c r="P1993" s="13">
        <f t="shared" si="188"/>
        <v>0.16600000000000001</v>
      </c>
      <c r="Q1993" s="32"/>
      <c r="R1993" s="32"/>
      <c r="S1993" s="32"/>
    </row>
    <row r="1994" spans="1:19">
      <c r="A1994" s="47" t="s">
        <v>147</v>
      </c>
      <c r="B1994" s="48" t="s">
        <v>148</v>
      </c>
      <c r="C1994" s="32">
        <v>366</v>
      </c>
      <c r="D1994" s="32"/>
      <c r="E1994" s="48" t="s">
        <v>20</v>
      </c>
      <c r="F1994" s="48" t="s">
        <v>160</v>
      </c>
      <c r="G1994" s="48" t="s">
        <v>40</v>
      </c>
      <c r="H1994" s="11">
        <v>16.5</v>
      </c>
      <c r="I1994" s="8">
        <v>7</v>
      </c>
      <c r="J1994" s="7">
        <v>1</v>
      </c>
      <c r="K1994" s="10">
        <f t="shared" si="185"/>
        <v>0.11550000000000001</v>
      </c>
      <c r="L1994" s="32"/>
      <c r="M1994" s="32">
        <v>1</v>
      </c>
      <c r="N1994" s="18">
        <f t="shared" si="186"/>
        <v>0.11550000000000001</v>
      </c>
      <c r="O1994" s="19">
        <f t="shared" si="187"/>
        <v>0</v>
      </c>
      <c r="P1994" s="13">
        <f t="shared" si="188"/>
        <v>0</v>
      </c>
      <c r="Q1994" s="32"/>
      <c r="R1994" s="32">
        <v>1</v>
      </c>
      <c r="S1994" s="2" t="s">
        <v>278</v>
      </c>
    </row>
    <row r="1995" spans="1:19">
      <c r="A1995" s="47" t="s">
        <v>147</v>
      </c>
      <c r="B1995" s="48" t="s">
        <v>148</v>
      </c>
      <c r="C1995" s="32">
        <v>367</v>
      </c>
      <c r="D1995" s="32"/>
      <c r="E1995" s="48" t="s">
        <v>19</v>
      </c>
      <c r="F1995" s="48" t="s">
        <v>14</v>
      </c>
      <c r="G1995" s="48" t="s">
        <v>39</v>
      </c>
      <c r="H1995" s="11">
        <v>14.66</v>
      </c>
      <c r="I1995" s="8">
        <v>8.4</v>
      </c>
      <c r="J1995" s="7">
        <v>10</v>
      </c>
      <c r="K1995" s="10">
        <f t="shared" si="185"/>
        <v>1.2314400000000001</v>
      </c>
      <c r="L1995" s="32"/>
      <c r="M1995" s="17">
        <v>10</v>
      </c>
      <c r="N1995" s="18">
        <f t="shared" si="186"/>
        <v>1.2314400000000001</v>
      </c>
      <c r="O1995" s="19">
        <f t="shared" si="187"/>
        <v>0</v>
      </c>
      <c r="P1995" s="13">
        <f t="shared" si="188"/>
        <v>0</v>
      </c>
      <c r="Q1995" s="32"/>
      <c r="R1995" s="35">
        <v>10</v>
      </c>
      <c r="S1995" s="2" t="s">
        <v>642</v>
      </c>
    </row>
    <row r="1996" spans="1:19">
      <c r="A1996" s="47" t="s">
        <v>147</v>
      </c>
      <c r="B1996" s="48" t="s">
        <v>148</v>
      </c>
      <c r="C1996" s="32">
        <v>368</v>
      </c>
      <c r="D1996" s="32"/>
      <c r="E1996" s="48" t="s">
        <v>106</v>
      </c>
      <c r="F1996" s="48" t="s">
        <v>160</v>
      </c>
      <c r="G1996" s="48" t="s">
        <v>42</v>
      </c>
      <c r="H1996" s="11">
        <v>19.72</v>
      </c>
      <c r="I1996" s="8">
        <v>11.1</v>
      </c>
      <c r="J1996" s="7">
        <v>7</v>
      </c>
      <c r="K1996" s="10">
        <f t="shared" si="185"/>
        <v>1.5322439999999997</v>
      </c>
      <c r="L1996" s="32"/>
      <c r="M1996" s="32">
        <v>7</v>
      </c>
      <c r="N1996" s="18">
        <f t="shared" si="186"/>
        <v>1.5322439999999999</v>
      </c>
      <c r="O1996" s="19">
        <f t="shared" si="187"/>
        <v>0</v>
      </c>
      <c r="P1996" s="13">
        <f t="shared" si="188"/>
        <v>0</v>
      </c>
      <c r="Q1996" s="9">
        <v>9.6</v>
      </c>
      <c r="R1996" s="32">
        <v>7</v>
      </c>
      <c r="S1996" s="2" t="s">
        <v>217</v>
      </c>
    </row>
    <row r="1997" spans="1:19">
      <c r="A1997" s="47" t="s">
        <v>147</v>
      </c>
      <c r="B1997" s="48" t="s">
        <v>148</v>
      </c>
      <c r="C1997" s="32">
        <v>369</v>
      </c>
      <c r="D1997" s="32"/>
      <c r="E1997" s="48" t="s">
        <v>106</v>
      </c>
      <c r="F1997" s="48" t="s">
        <v>160</v>
      </c>
      <c r="G1997" s="48" t="s">
        <v>33</v>
      </c>
      <c r="H1997" s="11">
        <v>15.92</v>
      </c>
      <c r="I1997" s="52">
        <v>8.6999999999999993</v>
      </c>
      <c r="J1997" s="7">
        <v>1</v>
      </c>
      <c r="K1997" s="10">
        <f t="shared" si="185"/>
        <v>0.13850399999999999</v>
      </c>
      <c r="L1997" s="32"/>
      <c r="M1997" s="32">
        <v>1</v>
      </c>
      <c r="N1997" s="18">
        <f t="shared" si="186"/>
        <v>0.13850399999999999</v>
      </c>
      <c r="O1997" s="19">
        <f t="shared" si="187"/>
        <v>0</v>
      </c>
      <c r="P1997" s="13">
        <f t="shared" si="188"/>
        <v>0</v>
      </c>
      <c r="Q1997" s="33">
        <v>7.5</v>
      </c>
      <c r="R1997" s="32">
        <v>1</v>
      </c>
      <c r="S1997" s="2" t="s">
        <v>209</v>
      </c>
    </row>
    <row r="1998" spans="1:19">
      <c r="A1998" s="47" t="s">
        <v>147</v>
      </c>
      <c r="B1998" s="48" t="s">
        <v>148</v>
      </c>
      <c r="C1998" s="32">
        <v>369</v>
      </c>
      <c r="D1998" s="32"/>
      <c r="E1998" s="48" t="s">
        <v>106</v>
      </c>
      <c r="F1998" s="48" t="s">
        <v>160</v>
      </c>
      <c r="G1998" s="48" t="s">
        <v>33</v>
      </c>
      <c r="H1998" s="11">
        <v>15.92</v>
      </c>
      <c r="I1998" s="52">
        <v>9</v>
      </c>
      <c r="J1998" s="7">
        <v>1</v>
      </c>
      <c r="K1998" s="10">
        <f t="shared" si="185"/>
        <v>0.14327999999999999</v>
      </c>
      <c r="L1998" s="32"/>
      <c r="M1998" s="32">
        <v>1</v>
      </c>
      <c r="N1998" s="18">
        <f t="shared" si="186"/>
        <v>0.14327999999999999</v>
      </c>
      <c r="O1998" s="19">
        <f t="shared" si="187"/>
        <v>0</v>
      </c>
      <c r="P1998" s="13">
        <f t="shared" si="188"/>
        <v>0</v>
      </c>
      <c r="Q1998" s="33">
        <v>7.5</v>
      </c>
      <c r="R1998" s="32">
        <v>1</v>
      </c>
      <c r="S1998" s="2" t="s">
        <v>209</v>
      </c>
    </row>
    <row r="1999" spans="1:19">
      <c r="A1999" s="47" t="s">
        <v>147</v>
      </c>
      <c r="B1999" s="48" t="s">
        <v>148</v>
      </c>
      <c r="C1999" s="32">
        <v>369</v>
      </c>
      <c r="D1999" s="32"/>
      <c r="E1999" s="48" t="s">
        <v>106</v>
      </c>
      <c r="F1999" s="48" t="s">
        <v>160</v>
      </c>
      <c r="G1999" s="48" t="s">
        <v>33</v>
      </c>
      <c r="H1999" s="11">
        <v>15.92</v>
      </c>
      <c r="I1999" s="52">
        <v>9.6</v>
      </c>
      <c r="J1999" s="7">
        <v>1</v>
      </c>
      <c r="K1999" s="10">
        <f t="shared" si="185"/>
        <v>0.152832</v>
      </c>
      <c r="L1999" s="32"/>
      <c r="M1999" s="32">
        <v>1</v>
      </c>
      <c r="N1999" s="18">
        <f t="shared" si="186"/>
        <v>0.152832</v>
      </c>
      <c r="O1999" s="19">
        <f t="shared" si="187"/>
        <v>0</v>
      </c>
      <c r="P1999" s="13">
        <f t="shared" si="188"/>
        <v>0</v>
      </c>
      <c r="Q1999" s="33">
        <v>7.5</v>
      </c>
      <c r="R1999" s="32">
        <v>1</v>
      </c>
      <c r="S1999" s="2" t="s">
        <v>209</v>
      </c>
    </row>
    <row r="2000" spans="1:19">
      <c r="A2000" s="47" t="s">
        <v>147</v>
      </c>
      <c r="B2000" s="48" t="s">
        <v>148</v>
      </c>
      <c r="C2000" s="32">
        <v>369</v>
      </c>
      <c r="D2000" s="32"/>
      <c r="E2000" s="48" t="s">
        <v>106</v>
      </c>
      <c r="F2000" s="48" t="s">
        <v>160</v>
      </c>
      <c r="G2000" s="48" t="s">
        <v>33</v>
      </c>
      <c r="H2000" s="11">
        <v>15.92</v>
      </c>
      <c r="I2000" s="52">
        <v>9.8000000000000007</v>
      </c>
      <c r="J2000" s="7">
        <v>2</v>
      </c>
      <c r="K2000" s="10">
        <f t="shared" si="185"/>
        <v>0.31203200000000003</v>
      </c>
      <c r="L2000" s="32"/>
      <c r="M2000" s="32">
        <v>2</v>
      </c>
      <c r="N2000" s="18">
        <f t="shared" si="186"/>
        <v>0.31203200000000003</v>
      </c>
      <c r="O2000" s="19">
        <f t="shared" si="187"/>
        <v>0</v>
      </c>
      <c r="P2000" s="13">
        <f t="shared" si="188"/>
        <v>0</v>
      </c>
      <c r="Q2000" s="33">
        <v>7.5</v>
      </c>
      <c r="R2000" s="32">
        <v>2</v>
      </c>
      <c r="S2000" s="2" t="s">
        <v>209</v>
      </c>
    </row>
    <row r="2001" spans="1:21">
      <c r="A2001" s="47" t="s">
        <v>147</v>
      </c>
      <c r="B2001" s="48" t="s">
        <v>148</v>
      </c>
      <c r="C2001" s="32">
        <v>370</v>
      </c>
      <c r="D2001" s="32"/>
      <c r="E2001" s="48" t="s">
        <v>106</v>
      </c>
      <c r="F2001" s="48" t="s">
        <v>160</v>
      </c>
      <c r="G2001" s="48" t="s">
        <v>40</v>
      </c>
      <c r="H2001" s="11">
        <v>16.5</v>
      </c>
      <c r="I2001" s="8">
        <v>7.5</v>
      </c>
      <c r="J2001" s="7">
        <v>2</v>
      </c>
      <c r="K2001" s="10">
        <f t="shared" si="185"/>
        <v>0.2475</v>
      </c>
      <c r="L2001" s="32"/>
      <c r="M2001" s="32">
        <v>2</v>
      </c>
      <c r="N2001" s="18">
        <f t="shared" si="186"/>
        <v>0.2475</v>
      </c>
      <c r="O2001" s="19">
        <f t="shared" si="187"/>
        <v>0</v>
      </c>
      <c r="P2001" s="13">
        <f t="shared" si="188"/>
        <v>0</v>
      </c>
      <c r="Q2001" s="9">
        <v>6.9</v>
      </c>
      <c r="R2001" s="32">
        <v>2</v>
      </c>
      <c r="S2001" s="2" t="s">
        <v>789</v>
      </c>
    </row>
    <row r="2002" spans="1:21">
      <c r="A2002" s="47" t="s">
        <v>147</v>
      </c>
      <c r="B2002" s="48" t="s">
        <v>148</v>
      </c>
      <c r="C2002" s="32">
        <v>370</v>
      </c>
      <c r="D2002" s="32"/>
      <c r="E2002" s="48" t="s">
        <v>106</v>
      </c>
      <c r="F2002" s="48" t="s">
        <v>160</v>
      </c>
      <c r="G2002" s="48" t="s">
        <v>40</v>
      </c>
      <c r="H2002" s="11">
        <v>16.5</v>
      </c>
      <c r="I2002" s="8">
        <v>7.3</v>
      </c>
      <c r="J2002" s="7">
        <v>1</v>
      </c>
      <c r="K2002" s="10">
        <f t="shared" si="185"/>
        <v>0.12045</v>
      </c>
      <c r="L2002" s="32"/>
      <c r="M2002" s="32">
        <v>1</v>
      </c>
      <c r="N2002" s="18">
        <f t="shared" si="186"/>
        <v>0.12045</v>
      </c>
      <c r="O2002" s="19">
        <f t="shared" si="187"/>
        <v>0</v>
      </c>
      <c r="P2002" s="13">
        <f t="shared" si="188"/>
        <v>0</v>
      </c>
      <c r="Q2002" s="9">
        <v>6.9</v>
      </c>
      <c r="R2002" s="32">
        <v>1</v>
      </c>
      <c r="S2002" s="2" t="s">
        <v>789</v>
      </c>
    </row>
    <row r="2003" spans="1:21">
      <c r="A2003" s="47" t="s">
        <v>147</v>
      </c>
      <c r="B2003" s="48" t="s">
        <v>148</v>
      </c>
      <c r="C2003" s="32">
        <v>370</v>
      </c>
      <c r="D2003" s="32"/>
      <c r="E2003" s="48" t="s">
        <v>106</v>
      </c>
      <c r="F2003" s="48" t="s">
        <v>160</v>
      </c>
      <c r="G2003" s="48" t="s">
        <v>40</v>
      </c>
      <c r="H2003" s="11">
        <v>16.5</v>
      </c>
      <c r="I2003" s="8">
        <v>7.4</v>
      </c>
      <c r="J2003" s="7">
        <v>1</v>
      </c>
      <c r="K2003" s="10">
        <f t="shared" si="185"/>
        <v>0.12210000000000001</v>
      </c>
      <c r="L2003" s="32"/>
      <c r="M2003" s="32">
        <v>1</v>
      </c>
      <c r="N2003" s="18">
        <f t="shared" si="186"/>
        <v>0.12210000000000001</v>
      </c>
      <c r="O2003" s="19">
        <f t="shared" si="187"/>
        <v>0</v>
      </c>
      <c r="P2003" s="13">
        <f t="shared" si="188"/>
        <v>0</v>
      </c>
      <c r="Q2003" s="9">
        <v>6.9</v>
      </c>
      <c r="R2003" s="32">
        <v>1</v>
      </c>
      <c r="S2003" s="2" t="s">
        <v>789</v>
      </c>
    </row>
    <row r="2004" spans="1:21">
      <c r="A2004" s="47" t="s">
        <v>147</v>
      </c>
      <c r="B2004" s="48" t="s">
        <v>148</v>
      </c>
      <c r="C2004" s="32">
        <v>371</v>
      </c>
      <c r="D2004" s="32"/>
      <c r="E2004" s="48" t="s">
        <v>106</v>
      </c>
      <c r="F2004" s="48" t="s">
        <v>160</v>
      </c>
      <c r="G2004" s="48" t="s">
        <v>33</v>
      </c>
      <c r="H2004" s="11">
        <v>15.92</v>
      </c>
      <c r="I2004" s="52">
        <v>11.8</v>
      </c>
      <c r="J2004" s="7">
        <v>1</v>
      </c>
      <c r="K2004" s="10">
        <f t="shared" si="185"/>
        <v>0.18785600000000002</v>
      </c>
      <c r="L2004" s="32"/>
      <c r="M2004" s="32">
        <v>1</v>
      </c>
      <c r="N2004" s="18">
        <f t="shared" si="186"/>
        <v>0.18785600000000002</v>
      </c>
      <c r="O2004" s="19">
        <f t="shared" si="187"/>
        <v>0</v>
      </c>
      <c r="P2004" s="13">
        <f t="shared" si="188"/>
        <v>0</v>
      </c>
      <c r="Q2004" s="33">
        <v>11.8</v>
      </c>
      <c r="R2004" s="32">
        <v>1</v>
      </c>
      <c r="S2004" s="2" t="s">
        <v>209</v>
      </c>
    </row>
    <row r="2005" spans="1:21">
      <c r="A2005" s="47" t="s">
        <v>147</v>
      </c>
      <c r="B2005" s="48" t="s">
        <v>148</v>
      </c>
      <c r="C2005" s="32">
        <v>372</v>
      </c>
      <c r="D2005" s="32"/>
      <c r="E2005" s="48" t="s">
        <v>20</v>
      </c>
      <c r="F2005" s="48" t="s">
        <v>160</v>
      </c>
      <c r="G2005" s="48" t="s">
        <v>49</v>
      </c>
      <c r="H2005" s="11">
        <v>17.82</v>
      </c>
      <c r="I2005" s="52">
        <v>9.6</v>
      </c>
      <c r="J2005" s="7">
        <v>9</v>
      </c>
      <c r="K2005" s="10">
        <f t="shared" si="185"/>
        <v>1.5396480000000001</v>
      </c>
      <c r="L2005" s="32"/>
      <c r="M2005" s="32">
        <v>9</v>
      </c>
      <c r="N2005" s="18">
        <f t="shared" si="186"/>
        <v>1.5396479999999999</v>
      </c>
      <c r="O2005" s="19">
        <f t="shared" si="187"/>
        <v>0</v>
      </c>
      <c r="P2005" s="13">
        <f t="shared" si="188"/>
        <v>0</v>
      </c>
      <c r="Q2005" s="9">
        <v>9.6</v>
      </c>
      <c r="R2005" s="32">
        <v>9</v>
      </c>
      <c r="S2005" s="32"/>
    </row>
    <row r="2006" spans="1:21">
      <c r="A2006" s="47" t="s">
        <v>147</v>
      </c>
      <c r="B2006" s="48" t="s">
        <v>148</v>
      </c>
      <c r="C2006" s="32">
        <v>373</v>
      </c>
      <c r="D2006" s="32"/>
      <c r="E2006" s="48" t="s">
        <v>19</v>
      </c>
      <c r="F2006" s="48" t="s">
        <v>14</v>
      </c>
      <c r="G2006" s="48" t="s">
        <v>154</v>
      </c>
      <c r="H2006" s="49">
        <v>4.9800000000000004</v>
      </c>
      <c r="I2006" s="52">
        <v>11.8</v>
      </c>
      <c r="J2006" s="7">
        <v>10</v>
      </c>
      <c r="K2006" s="10">
        <f t="shared" si="185"/>
        <v>0.58764000000000005</v>
      </c>
      <c r="L2006" s="32"/>
      <c r="M2006" s="32">
        <v>10</v>
      </c>
      <c r="N2006" s="18">
        <f t="shared" si="186"/>
        <v>0.58764000000000005</v>
      </c>
      <c r="O2006" s="19">
        <f t="shared" si="187"/>
        <v>0</v>
      </c>
      <c r="P2006" s="13">
        <f t="shared" si="188"/>
        <v>0</v>
      </c>
      <c r="Q2006" s="32"/>
      <c r="R2006" s="32">
        <v>10</v>
      </c>
      <c r="S2006" s="32" t="s">
        <v>223</v>
      </c>
    </row>
    <row r="2007" spans="1:21">
      <c r="A2007" s="47" t="s">
        <v>147</v>
      </c>
      <c r="B2007" s="48" t="s">
        <v>148</v>
      </c>
      <c r="C2007" s="32">
        <v>373</v>
      </c>
      <c r="D2007" s="32"/>
      <c r="E2007" s="48" t="s">
        <v>19</v>
      </c>
      <c r="F2007" s="48" t="s">
        <v>14</v>
      </c>
      <c r="G2007" s="48" t="s">
        <v>154</v>
      </c>
      <c r="H2007" s="49">
        <v>4.9800000000000004</v>
      </c>
      <c r="I2007" s="52">
        <v>12</v>
      </c>
      <c r="J2007" s="7">
        <v>2</v>
      </c>
      <c r="K2007" s="10">
        <f t="shared" si="185"/>
        <v>0.11952000000000002</v>
      </c>
      <c r="L2007" s="32"/>
      <c r="M2007" s="32">
        <v>2</v>
      </c>
      <c r="N2007" s="18">
        <f t="shared" si="186"/>
        <v>0.11952000000000002</v>
      </c>
      <c r="O2007" s="19">
        <f t="shared" si="187"/>
        <v>0</v>
      </c>
      <c r="P2007" s="13">
        <f t="shared" si="188"/>
        <v>0</v>
      </c>
      <c r="Q2007" s="32"/>
      <c r="R2007" s="32">
        <v>2</v>
      </c>
      <c r="S2007" s="32" t="s">
        <v>223</v>
      </c>
    </row>
    <row r="2008" spans="1:21">
      <c r="A2008" s="47" t="s">
        <v>147</v>
      </c>
      <c r="B2008" s="48" t="s">
        <v>148</v>
      </c>
      <c r="C2008" s="32">
        <v>373</v>
      </c>
      <c r="D2008" s="32"/>
      <c r="E2008" s="48" t="s">
        <v>19</v>
      </c>
      <c r="F2008" s="48" t="s">
        <v>14</v>
      </c>
      <c r="G2008" s="48" t="s">
        <v>154</v>
      </c>
      <c r="H2008" s="49">
        <v>4.9800000000000004</v>
      </c>
      <c r="I2008" s="52">
        <v>10.9</v>
      </c>
      <c r="J2008" s="7">
        <v>1</v>
      </c>
      <c r="K2008" s="10">
        <f t="shared" si="185"/>
        <v>5.4282000000000004E-2</v>
      </c>
      <c r="L2008" s="32"/>
      <c r="M2008" s="32">
        <v>1</v>
      </c>
      <c r="N2008" s="18">
        <f t="shared" si="186"/>
        <v>5.4282000000000004E-2</v>
      </c>
      <c r="O2008" s="19">
        <f t="shared" si="187"/>
        <v>0</v>
      </c>
      <c r="P2008" s="13">
        <f t="shared" si="188"/>
        <v>0</v>
      </c>
      <c r="Q2008" s="32"/>
      <c r="R2008" s="32">
        <v>1</v>
      </c>
      <c r="S2008" s="32" t="s">
        <v>223</v>
      </c>
    </row>
    <row r="2009" spans="1:21">
      <c r="A2009" s="47" t="s">
        <v>147</v>
      </c>
      <c r="B2009" s="48" t="s">
        <v>148</v>
      </c>
      <c r="C2009" s="32">
        <v>373</v>
      </c>
      <c r="D2009" s="32"/>
      <c r="E2009" s="48" t="s">
        <v>19</v>
      </c>
      <c r="F2009" s="48" t="s">
        <v>14</v>
      </c>
      <c r="G2009" s="48" t="s">
        <v>154</v>
      </c>
      <c r="H2009" s="49">
        <v>4.9800000000000004</v>
      </c>
      <c r="I2009" s="52">
        <v>11</v>
      </c>
      <c r="J2009" s="7">
        <v>1</v>
      </c>
      <c r="K2009" s="10">
        <f t="shared" si="185"/>
        <v>5.4780000000000002E-2</v>
      </c>
      <c r="L2009" s="32"/>
      <c r="M2009" s="32">
        <v>1</v>
      </c>
      <c r="N2009" s="18">
        <f t="shared" si="186"/>
        <v>5.4780000000000002E-2</v>
      </c>
      <c r="O2009" s="19">
        <f t="shared" si="187"/>
        <v>0</v>
      </c>
      <c r="P2009" s="13">
        <f t="shared" si="188"/>
        <v>0</v>
      </c>
      <c r="Q2009" s="32"/>
      <c r="R2009" s="32">
        <v>1</v>
      </c>
      <c r="S2009" s="32" t="s">
        <v>223</v>
      </c>
    </row>
    <row r="2010" spans="1:21">
      <c r="A2010" s="47" t="s">
        <v>147</v>
      </c>
      <c r="B2010" s="48" t="s">
        <v>148</v>
      </c>
      <c r="C2010" s="32">
        <v>274</v>
      </c>
      <c r="D2010" s="32"/>
      <c r="E2010" s="48" t="s">
        <v>17</v>
      </c>
      <c r="F2010" s="48" t="s">
        <v>160</v>
      </c>
      <c r="G2010" s="48" t="s">
        <v>27</v>
      </c>
      <c r="H2010" s="11">
        <v>6.17</v>
      </c>
      <c r="I2010" s="8">
        <v>7.6</v>
      </c>
      <c r="J2010" s="7">
        <v>1</v>
      </c>
      <c r="K2010" s="10">
        <f t="shared" si="185"/>
        <v>4.6891999999999996E-2</v>
      </c>
      <c r="L2010" s="32"/>
      <c r="M2010" s="32">
        <v>1</v>
      </c>
      <c r="N2010" s="18">
        <f t="shared" si="186"/>
        <v>4.6891999999999996E-2</v>
      </c>
      <c r="O2010" s="106">
        <f t="shared" si="187"/>
        <v>0</v>
      </c>
      <c r="P2010" s="13">
        <f t="shared" si="188"/>
        <v>0</v>
      </c>
      <c r="Q2010" s="9"/>
      <c r="R2010" s="111">
        <v>1</v>
      </c>
      <c r="S2010" s="2" t="s">
        <v>664</v>
      </c>
    </row>
    <row r="2011" spans="1:21">
      <c r="A2011" s="47" t="s">
        <v>147</v>
      </c>
      <c r="B2011" s="48" t="s">
        <v>148</v>
      </c>
      <c r="C2011" s="32">
        <v>274</v>
      </c>
      <c r="D2011" s="32"/>
      <c r="E2011" s="48" t="s">
        <v>17</v>
      </c>
      <c r="F2011" s="48" t="s">
        <v>160</v>
      </c>
      <c r="G2011" s="48" t="s">
        <v>27</v>
      </c>
      <c r="H2011" s="11">
        <v>6.17</v>
      </c>
      <c r="I2011" s="8">
        <v>9.9</v>
      </c>
      <c r="J2011" s="7">
        <v>1</v>
      </c>
      <c r="K2011" s="10">
        <f t="shared" si="185"/>
        <v>6.1082999999999998E-2</v>
      </c>
      <c r="L2011" s="32"/>
      <c r="M2011" s="32">
        <v>1</v>
      </c>
      <c r="N2011" s="18">
        <f t="shared" si="186"/>
        <v>6.1082999999999998E-2</v>
      </c>
      <c r="O2011" s="106">
        <f t="shared" si="187"/>
        <v>0</v>
      </c>
      <c r="P2011" s="13">
        <f t="shared" si="188"/>
        <v>0</v>
      </c>
      <c r="Q2011" s="55"/>
      <c r="R2011" s="32">
        <v>1</v>
      </c>
      <c r="S2011" s="2" t="s">
        <v>664</v>
      </c>
    </row>
    <row r="2012" spans="1:21">
      <c r="A2012" s="47" t="s">
        <v>147</v>
      </c>
      <c r="B2012" s="48" t="s">
        <v>148</v>
      </c>
      <c r="C2012" s="32">
        <v>274</v>
      </c>
      <c r="D2012" s="32"/>
      <c r="E2012" s="48" t="s">
        <v>17</v>
      </c>
      <c r="F2012" s="48" t="s">
        <v>160</v>
      </c>
      <c r="G2012" s="48" t="s">
        <v>27</v>
      </c>
      <c r="H2012" s="11">
        <v>6.17</v>
      </c>
      <c r="I2012" s="8">
        <v>9.6</v>
      </c>
      <c r="J2012" s="7">
        <v>1</v>
      </c>
      <c r="K2012" s="10">
        <f t="shared" si="185"/>
        <v>5.9232E-2</v>
      </c>
      <c r="L2012" s="32"/>
      <c r="M2012" s="32">
        <v>1</v>
      </c>
      <c r="N2012" s="18">
        <f t="shared" si="186"/>
        <v>5.9232E-2</v>
      </c>
      <c r="O2012" s="106">
        <f t="shared" si="187"/>
        <v>0</v>
      </c>
      <c r="P2012" s="13">
        <f t="shared" si="188"/>
        <v>0</v>
      </c>
      <c r="Q2012" s="55"/>
      <c r="R2012" s="32">
        <v>1</v>
      </c>
      <c r="S2012" s="2" t="s">
        <v>664</v>
      </c>
    </row>
    <row r="2013" spans="1:21">
      <c r="A2013" s="47" t="s">
        <v>147</v>
      </c>
      <c r="B2013" s="48" t="s">
        <v>148</v>
      </c>
      <c r="C2013" s="32">
        <v>275</v>
      </c>
      <c r="D2013" s="32"/>
      <c r="E2013" s="48" t="s">
        <v>17</v>
      </c>
      <c r="F2013" s="48" t="s">
        <v>160</v>
      </c>
      <c r="G2013" s="48" t="s">
        <v>21</v>
      </c>
      <c r="H2013" s="11">
        <v>6.97</v>
      </c>
      <c r="I2013" s="8">
        <v>11.6</v>
      </c>
      <c r="J2013" s="7">
        <v>1</v>
      </c>
      <c r="K2013" s="10">
        <f t="shared" si="185"/>
        <v>8.0851999999999993E-2</v>
      </c>
      <c r="L2013" s="32"/>
      <c r="M2013" s="32">
        <v>1</v>
      </c>
      <c r="N2013" s="18">
        <f t="shared" si="186"/>
        <v>8.0851999999999993E-2</v>
      </c>
      <c r="O2013" s="19">
        <f t="shared" si="187"/>
        <v>0</v>
      </c>
      <c r="P2013" s="13">
        <f t="shared" si="188"/>
        <v>0</v>
      </c>
      <c r="Q2013" s="32">
        <v>11</v>
      </c>
      <c r="R2013" s="32">
        <v>1</v>
      </c>
      <c r="S2013" s="127"/>
    </row>
    <row r="2014" spans="1:21">
      <c r="A2014" s="47" t="s">
        <v>147</v>
      </c>
      <c r="B2014" s="48" t="s">
        <v>148</v>
      </c>
      <c r="C2014" s="32">
        <v>275</v>
      </c>
      <c r="D2014" s="32"/>
      <c r="E2014" s="48" t="s">
        <v>17</v>
      </c>
      <c r="F2014" s="48" t="s">
        <v>160</v>
      </c>
      <c r="G2014" s="48" t="s">
        <v>21</v>
      </c>
      <c r="H2014" s="11">
        <v>6.97</v>
      </c>
      <c r="I2014" s="8">
        <v>10.8</v>
      </c>
      <c r="J2014" s="7">
        <v>1</v>
      </c>
      <c r="K2014" s="10">
        <f t="shared" si="185"/>
        <v>7.5275999999999996E-2</v>
      </c>
      <c r="L2014" s="32"/>
      <c r="M2014" s="32">
        <v>1</v>
      </c>
      <c r="N2014" s="18">
        <f t="shared" si="186"/>
        <v>7.5275999999999996E-2</v>
      </c>
      <c r="O2014" s="19">
        <f t="shared" si="187"/>
        <v>0</v>
      </c>
      <c r="P2014" s="13">
        <f t="shared" si="188"/>
        <v>0</v>
      </c>
      <c r="Q2014" s="32"/>
      <c r="R2014" s="32"/>
      <c r="S2014" s="127">
        <v>10.6</v>
      </c>
      <c r="T2014">
        <v>1</v>
      </c>
      <c r="U2014" t="s">
        <v>268</v>
      </c>
    </row>
    <row r="2015" spans="1:21">
      <c r="A2015" s="47" t="s">
        <v>147</v>
      </c>
      <c r="B2015" s="48" t="s">
        <v>148</v>
      </c>
      <c r="C2015" s="32">
        <v>276</v>
      </c>
      <c r="D2015" s="32"/>
      <c r="E2015" s="48" t="s">
        <v>24</v>
      </c>
      <c r="F2015" s="48" t="s">
        <v>14</v>
      </c>
      <c r="G2015" s="48" t="s">
        <v>40</v>
      </c>
      <c r="H2015" s="11">
        <v>16.5</v>
      </c>
      <c r="I2015" s="52">
        <v>9.35</v>
      </c>
      <c r="J2015" s="7">
        <v>1</v>
      </c>
      <c r="K2015" s="10">
        <f t="shared" si="185"/>
        <v>0.154275</v>
      </c>
      <c r="L2015" s="32"/>
      <c r="M2015" s="32"/>
      <c r="N2015" s="18">
        <f t="shared" si="186"/>
        <v>0</v>
      </c>
      <c r="O2015" s="19">
        <f t="shared" si="187"/>
        <v>1</v>
      </c>
      <c r="P2015" s="13">
        <f t="shared" si="188"/>
        <v>0.154275</v>
      </c>
      <c r="Q2015" s="32"/>
      <c r="R2015" s="32"/>
      <c r="S2015" s="32"/>
    </row>
    <row r="2016" spans="1:21">
      <c r="A2016" s="47" t="s">
        <v>147</v>
      </c>
      <c r="B2016" s="48" t="s">
        <v>148</v>
      </c>
      <c r="C2016" s="32">
        <v>277</v>
      </c>
      <c r="D2016" s="32"/>
      <c r="E2016" s="48" t="s">
        <v>20</v>
      </c>
      <c r="F2016" s="48" t="s">
        <v>160</v>
      </c>
      <c r="G2016" s="48" t="s">
        <v>34</v>
      </c>
      <c r="H2016" s="11">
        <v>9.61</v>
      </c>
      <c r="I2016" s="52">
        <v>12</v>
      </c>
      <c r="J2016" s="7">
        <v>3</v>
      </c>
      <c r="K2016" s="10">
        <f t="shared" si="185"/>
        <v>0.34595999999999999</v>
      </c>
      <c r="L2016" s="32" t="s">
        <v>165</v>
      </c>
      <c r="M2016" s="32">
        <v>3</v>
      </c>
      <c r="N2016" s="18">
        <f t="shared" si="186"/>
        <v>0.34595999999999999</v>
      </c>
      <c r="O2016" s="19">
        <f t="shared" si="187"/>
        <v>0</v>
      </c>
      <c r="P2016" s="13">
        <f t="shared" si="188"/>
        <v>0</v>
      </c>
      <c r="Q2016" s="33">
        <v>12</v>
      </c>
      <c r="R2016" s="45">
        <v>3</v>
      </c>
      <c r="S2016" s="32" t="s">
        <v>677</v>
      </c>
    </row>
    <row r="2017" spans="1:19">
      <c r="A2017" s="47" t="s">
        <v>147</v>
      </c>
      <c r="B2017" s="48" t="s">
        <v>148</v>
      </c>
      <c r="C2017" s="32">
        <v>278</v>
      </c>
      <c r="D2017" s="32"/>
      <c r="E2017" s="48" t="s">
        <v>24</v>
      </c>
      <c r="F2017" s="48" t="s">
        <v>14</v>
      </c>
      <c r="G2017" s="48" t="s">
        <v>16</v>
      </c>
      <c r="H2017" s="11">
        <v>5.77</v>
      </c>
      <c r="I2017" s="52">
        <v>11.65</v>
      </c>
      <c r="J2017" s="7">
        <v>1</v>
      </c>
      <c r="K2017" s="10">
        <f t="shared" si="185"/>
        <v>6.7220500000000002E-2</v>
      </c>
      <c r="L2017" s="32"/>
      <c r="M2017" s="32"/>
      <c r="N2017" s="18">
        <f t="shared" si="186"/>
        <v>0</v>
      </c>
      <c r="O2017" s="19">
        <f t="shared" si="187"/>
        <v>1</v>
      </c>
      <c r="P2017" s="13">
        <f t="shared" si="188"/>
        <v>6.7220500000000002E-2</v>
      </c>
      <c r="Q2017" s="32"/>
      <c r="R2017" s="32"/>
      <c r="S2017" s="32"/>
    </row>
    <row r="2018" spans="1:19">
      <c r="A2018" s="47" t="s">
        <v>147</v>
      </c>
      <c r="B2018" s="48" t="s">
        <v>148</v>
      </c>
      <c r="C2018" s="32">
        <v>279</v>
      </c>
      <c r="D2018" s="32"/>
      <c r="E2018" s="48" t="s">
        <v>19</v>
      </c>
      <c r="F2018" s="48" t="s">
        <v>14</v>
      </c>
      <c r="G2018" s="48" t="s">
        <v>27</v>
      </c>
      <c r="H2018" s="11">
        <v>6.17</v>
      </c>
      <c r="I2018" s="52">
        <v>6.25</v>
      </c>
      <c r="J2018" s="7">
        <v>1</v>
      </c>
      <c r="K2018" s="10">
        <f t="shared" si="185"/>
        <v>3.85625E-2</v>
      </c>
      <c r="L2018" s="32"/>
      <c r="M2018" s="32">
        <v>1</v>
      </c>
      <c r="N2018" s="18">
        <f t="shared" si="186"/>
        <v>3.85625E-2</v>
      </c>
      <c r="O2018" s="19">
        <f t="shared" si="187"/>
        <v>0</v>
      </c>
      <c r="P2018" s="13">
        <f t="shared" si="188"/>
        <v>0</v>
      </c>
      <c r="Q2018" s="477"/>
      <c r="R2018" s="32"/>
      <c r="S2018" s="32"/>
    </row>
    <row r="2019" spans="1:19">
      <c r="A2019" s="47" t="s">
        <v>147</v>
      </c>
      <c r="B2019" s="48" t="s">
        <v>148</v>
      </c>
      <c r="C2019" s="32">
        <v>279</v>
      </c>
      <c r="D2019" s="32"/>
      <c r="E2019" s="48" t="s">
        <v>19</v>
      </c>
      <c r="F2019" s="48" t="s">
        <v>14</v>
      </c>
      <c r="G2019" s="48" t="s">
        <v>27</v>
      </c>
      <c r="H2019" s="11">
        <v>6.17</v>
      </c>
      <c r="I2019" s="52">
        <v>10.5</v>
      </c>
      <c r="J2019" s="7">
        <v>1</v>
      </c>
      <c r="K2019" s="10">
        <f t="shared" si="185"/>
        <v>6.4784999999999995E-2</v>
      </c>
      <c r="L2019" s="32"/>
      <c r="M2019" s="32">
        <v>1</v>
      </c>
      <c r="N2019" s="18">
        <f t="shared" si="186"/>
        <v>6.4784999999999995E-2</v>
      </c>
      <c r="O2019" s="19">
        <f t="shared" si="187"/>
        <v>0</v>
      </c>
      <c r="P2019" s="13">
        <f t="shared" si="188"/>
        <v>0</v>
      </c>
      <c r="Q2019" s="477">
        <v>10</v>
      </c>
      <c r="R2019" s="404">
        <v>1</v>
      </c>
      <c r="S2019" s="2" t="s">
        <v>705</v>
      </c>
    </row>
    <row r="2020" spans="1:19">
      <c r="A2020" s="47" t="s">
        <v>147</v>
      </c>
      <c r="B2020" s="48" t="s">
        <v>148</v>
      </c>
      <c r="C2020" s="32">
        <v>280</v>
      </c>
      <c r="D2020" s="32"/>
      <c r="E2020" s="69" t="s">
        <v>20</v>
      </c>
      <c r="F2020" s="69" t="s">
        <v>160</v>
      </c>
      <c r="G2020" s="69" t="s">
        <v>49</v>
      </c>
      <c r="H2020" s="61">
        <v>17.82</v>
      </c>
      <c r="I2020" s="21">
        <v>6.4</v>
      </c>
      <c r="J2020" s="60">
        <v>1</v>
      </c>
      <c r="K2020" s="62">
        <f t="shared" si="185"/>
        <v>0.114048</v>
      </c>
      <c r="L2020" s="256" t="s">
        <v>46</v>
      </c>
      <c r="M2020" s="67"/>
      <c r="N2020" s="63">
        <f t="shared" si="186"/>
        <v>0</v>
      </c>
      <c r="O2020" s="64">
        <f t="shared" si="187"/>
        <v>1</v>
      </c>
      <c r="P2020" s="65">
        <f t="shared" si="188"/>
        <v>0.114048</v>
      </c>
      <c r="Q2020" s="32"/>
      <c r="R2020" s="32"/>
      <c r="S2020" s="32"/>
    </row>
    <row r="2021" spans="1:19">
      <c r="A2021" s="47" t="s">
        <v>147</v>
      </c>
      <c r="B2021" s="48" t="s">
        <v>148</v>
      </c>
      <c r="C2021" s="32">
        <v>280</v>
      </c>
      <c r="D2021" s="32"/>
      <c r="E2021" s="69" t="s">
        <v>20</v>
      </c>
      <c r="F2021" s="69" t="s">
        <v>160</v>
      </c>
      <c r="G2021" s="69" t="s">
        <v>44</v>
      </c>
      <c r="H2021" s="61">
        <v>13.4</v>
      </c>
      <c r="I2021" s="70">
        <v>7.8</v>
      </c>
      <c r="J2021" s="60">
        <v>1</v>
      </c>
      <c r="K2021" s="62">
        <f t="shared" si="185"/>
        <v>0.10452</v>
      </c>
      <c r="L2021" s="256" t="s">
        <v>46</v>
      </c>
      <c r="M2021" s="67"/>
      <c r="N2021" s="63">
        <f t="shared" si="186"/>
        <v>0</v>
      </c>
      <c r="O2021" s="64">
        <f t="shared" si="187"/>
        <v>1</v>
      </c>
      <c r="P2021" s="65">
        <f t="shared" si="188"/>
        <v>0.10452</v>
      </c>
      <c r="Q2021" s="32"/>
      <c r="R2021" s="32"/>
      <c r="S2021" s="32"/>
    </row>
    <row r="2022" spans="1:19">
      <c r="A2022" s="47" t="s">
        <v>147</v>
      </c>
      <c r="B2022" s="48" t="s">
        <v>148</v>
      </c>
      <c r="C2022" s="32">
        <v>280</v>
      </c>
      <c r="D2022" s="32"/>
      <c r="E2022" s="69" t="s">
        <v>20</v>
      </c>
      <c r="F2022" s="69" t="s">
        <v>160</v>
      </c>
      <c r="G2022" s="69" t="s">
        <v>44</v>
      </c>
      <c r="H2022" s="61">
        <v>13.4</v>
      </c>
      <c r="I2022" s="70">
        <v>10.9</v>
      </c>
      <c r="J2022" s="60">
        <v>1</v>
      </c>
      <c r="K2022" s="62">
        <f t="shared" si="185"/>
        <v>0.14606</v>
      </c>
      <c r="L2022" s="256" t="s">
        <v>46</v>
      </c>
      <c r="M2022" s="67"/>
      <c r="N2022" s="63">
        <f t="shared" si="186"/>
        <v>0</v>
      </c>
      <c r="O2022" s="64">
        <f t="shared" si="187"/>
        <v>1</v>
      </c>
      <c r="P2022" s="65">
        <f t="shared" si="188"/>
        <v>0.14606</v>
      </c>
      <c r="Q2022" s="32"/>
      <c r="R2022" s="32"/>
      <c r="S2022" s="32"/>
    </row>
    <row r="2023" spans="1:19">
      <c r="A2023" s="47" t="s">
        <v>147</v>
      </c>
      <c r="B2023" s="48" t="s">
        <v>148</v>
      </c>
      <c r="C2023" s="32">
        <v>281</v>
      </c>
      <c r="D2023" s="32"/>
      <c r="E2023" s="48" t="s">
        <v>19</v>
      </c>
      <c r="F2023" s="48" t="s">
        <v>14</v>
      </c>
      <c r="G2023" s="48" t="s">
        <v>40</v>
      </c>
      <c r="H2023" s="11">
        <v>16.5</v>
      </c>
      <c r="I2023" s="52">
        <v>11.9</v>
      </c>
      <c r="J2023" s="7">
        <v>1</v>
      </c>
      <c r="K2023" s="10">
        <f t="shared" si="185"/>
        <v>0.19635</v>
      </c>
      <c r="L2023" s="32"/>
      <c r="M2023" s="32"/>
      <c r="N2023" s="18">
        <f t="shared" si="186"/>
        <v>0</v>
      </c>
      <c r="O2023" s="19">
        <f t="shared" si="187"/>
        <v>1</v>
      </c>
      <c r="P2023" s="13">
        <f t="shared" si="188"/>
        <v>0.19635</v>
      </c>
      <c r="Q2023" s="32"/>
      <c r="R2023" s="32"/>
      <c r="S2023" s="32"/>
    </row>
    <row r="2024" spans="1:19">
      <c r="A2024" s="47" t="s">
        <v>147</v>
      </c>
      <c r="B2024" s="48" t="s">
        <v>148</v>
      </c>
      <c r="C2024" s="32">
        <v>281</v>
      </c>
      <c r="D2024" s="32"/>
      <c r="E2024" s="48" t="s">
        <v>19</v>
      </c>
      <c r="F2024" s="48" t="s">
        <v>14</v>
      </c>
      <c r="G2024" s="48" t="s">
        <v>36</v>
      </c>
      <c r="H2024" s="11">
        <v>10.199999999999999</v>
      </c>
      <c r="I2024" s="52">
        <v>12</v>
      </c>
      <c r="J2024" s="7">
        <v>1</v>
      </c>
      <c r="K2024" s="10">
        <f t="shared" si="185"/>
        <v>0.12239999999999999</v>
      </c>
      <c r="L2024" s="32"/>
      <c r="M2024" s="32">
        <v>1</v>
      </c>
      <c r="N2024" s="18">
        <f t="shared" si="186"/>
        <v>0.12239999999999999</v>
      </c>
      <c r="O2024" s="19">
        <f t="shared" si="187"/>
        <v>0</v>
      </c>
      <c r="P2024" s="13">
        <f t="shared" si="188"/>
        <v>0</v>
      </c>
      <c r="Q2024" s="32">
        <v>11.5</v>
      </c>
      <c r="R2024" s="32">
        <v>1</v>
      </c>
      <c r="S2024" s="32" t="s">
        <v>191</v>
      </c>
    </row>
    <row r="2025" spans="1:19">
      <c r="A2025" s="47" t="s">
        <v>147</v>
      </c>
      <c r="B2025" s="48" t="s">
        <v>148</v>
      </c>
      <c r="C2025" s="32">
        <v>282</v>
      </c>
      <c r="D2025" s="32"/>
      <c r="E2025" s="69" t="s">
        <v>19</v>
      </c>
      <c r="F2025" s="69" t="s">
        <v>14</v>
      </c>
      <c r="G2025" s="69" t="s">
        <v>30</v>
      </c>
      <c r="H2025" s="61">
        <v>9.26</v>
      </c>
      <c r="I2025" s="21">
        <v>12</v>
      </c>
      <c r="J2025" s="60">
        <v>1</v>
      </c>
      <c r="K2025" s="62">
        <f t="shared" si="185"/>
        <v>0.11112000000000001</v>
      </c>
      <c r="L2025" s="256" t="s">
        <v>46</v>
      </c>
      <c r="M2025" s="32"/>
      <c r="N2025" s="18">
        <f t="shared" si="186"/>
        <v>0</v>
      </c>
      <c r="O2025" s="19">
        <f t="shared" si="187"/>
        <v>1</v>
      </c>
      <c r="P2025" s="13">
        <f t="shared" si="188"/>
        <v>0.11112000000000001</v>
      </c>
      <c r="Q2025" s="32"/>
      <c r="R2025" s="32"/>
      <c r="S2025" s="32"/>
    </row>
    <row r="2026" spans="1:19">
      <c r="A2026" s="47" t="s">
        <v>147</v>
      </c>
      <c r="B2026" s="48" t="s">
        <v>148</v>
      </c>
      <c r="C2026" s="32">
        <v>283</v>
      </c>
      <c r="D2026" s="32"/>
      <c r="E2026" s="48" t="s">
        <v>159</v>
      </c>
      <c r="F2026" s="48" t="s">
        <v>14</v>
      </c>
      <c r="G2026" s="48" t="s">
        <v>31</v>
      </c>
      <c r="H2026" s="11">
        <v>9.65</v>
      </c>
      <c r="I2026" s="8">
        <v>12.2</v>
      </c>
      <c r="J2026" s="7">
        <v>1</v>
      </c>
      <c r="K2026" s="10">
        <f t="shared" si="185"/>
        <v>0.11773</v>
      </c>
      <c r="L2026" s="32" t="s">
        <v>26</v>
      </c>
      <c r="M2026" s="32"/>
      <c r="N2026" s="18">
        <f t="shared" si="186"/>
        <v>0</v>
      </c>
      <c r="O2026" s="19">
        <f t="shared" si="187"/>
        <v>1</v>
      </c>
      <c r="P2026" s="13">
        <f t="shared" si="188"/>
        <v>0.11773</v>
      </c>
      <c r="Q2026" s="32"/>
      <c r="R2026" s="32"/>
      <c r="S2026" s="32"/>
    </row>
    <row r="2027" spans="1:19">
      <c r="A2027" s="47" t="s">
        <v>147</v>
      </c>
      <c r="B2027" s="48" t="s">
        <v>148</v>
      </c>
      <c r="C2027" s="32">
        <v>283</v>
      </c>
      <c r="D2027" s="32"/>
      <c r="E2027" s="48" t="s">
        <v>159</v>
      </c>
      <c r="F2027" s="48" t="s">
        <v>14</v>
      </c>
      <c r="G2027" s="48" t="s">
        <v>31</v>
      </c>
      <c r="H2027" s="11">
        <v>9.65</v>
      </c>
      <c r="I2027" s="8">
        <v>11.8</v>
      </c>
      <c r="J2027" s="7">
        <v>1</v>
      </c>
      <c r="K2027" s="10">
        <f t="shared" si="185"/>
        <v>0.11387</v>
      </c>
      <c r="L2027" s="32" t="s">
        <v>26</v>
      </c>
      <c r="M2027" s="32"/>
      <c r="N2027" s="18">
        <f t="shared" si="186"/>
        <v>0</v>
      </c>
      <c r="O2027" s="19">
        <f t="shared" si="187"/>
        <v>1</v>
      </c>
      <c r="P2027" s="13">
        <f t="shared" si="188"/>
        <v>0.11387</v>
      </c>
      <c r="Q2027" s="32"/>
      <c r="R2027" s="32"/>
      <c r="S2027" s="32"/>
    </row>
    <row r="2028" spans="1:19">
      <c r="A2028" s="47" t="s">
        <v>147</v>
      </c>
      <c r="B2028" s="48" t="s">
        <v>148</v>
      </c>
      <c r="C2028" s="32">
        <v>284</v>
      </c>
      <c r="D2028" s="32"/>
      <c r="E2028" s="69" t="s">
        <v>19</v>
      </c>
      <c r="F2028" s="69" t="s">
        <v>14</v>
      </c>
      <c r="G2028" s="69" t="s">
        <v>16</v>
      </c>
      <c r="H2028" s="61">
        <v>5.77</v>
      </c>
      <c r="I2028" s="109">
        <v>12</v>
      </c>
      <c r="J2028" s="60">
        <v>1</v>
      </c>
      <c r="K2028" s="62">
        <f t="shared" si="185"/>
        <v>6.9239999999999996E-2</v>
      </c>
      <c r="L2028" s="256" t="s">
        <v>166</v>
      </c>
      <c r="M2028" s="67"/>
      <c r="N2028" s="63">
        <f t="shared" si="186"/>
        <v>0</v>
      </c>
      <c r="O2028" s="64">
        <f t="shared" si="187"/>
        <v>1</v>
      </c>
      <c r="P2028" s="65">
        <f t="shared" si="188"/>
        <v>6.9239999999999996E-2</v>
      </c>
      <c r="Q2028" s="55"/>
      <c r="R2028" s="32"/>
      <c r="S2028" s="32"/>
    </row>
    <row r="2029" spans="1:19">
      <c r="A2029" s="47" t="s">
        <v>147</v>
      </c>
      <c r="B2029" s="48" t="s">
        <v>148</v>
      </c>
      <c r="C2029" s="32">
        <v>285</v>
      </c>
      <c r="D2029" s="32"/>
      <c r="E2029" s="48" t="s">
        <v>159</v>
      </c>
      <c r="F2029" s="48" t="s">
        <v>14</v>
      </c>
      <c r="G2029" s="48" t="s">
        <v>25</v>
      </c>
      <c r="H2029" s="11">
        <v>7.34</v>
      </c>
      <c r="I2029" s="8">
        <v>10</v>
      </c>
      <c r="J2029" s="7">
        <v>1</v>
      </c>
      <c r="K2029" s="10">
        <f t="shared" si="185"/>
        <v>7.3400000000000007E-2</v>
      </c>
      <c r="L2029" s="32" t="s">
        <v>26</v>
      </c>
      <c r="M2029" s="32"/>
      <c r="N2029" s="18">
        <f t="shared" si="186"/>
        <v>0</v>
      </c>
      <c r="O2029" s="19">
        <f t="shared" si="187"/>
        <v>1</v>
      </c>
      <c r="P2029" s="13">
        <f t="shared" si="188"/>
        <v>7.3400000000000007E-2</v>
      </c>
      <c r="Q2029" s="32"/>
      <c r="R2029" s="32"/>
      <c r="S2029" s="32"/>
    </row>
    <row r="2030" spans="1:19">
      <c r="A2030" s="47" t="s">
        <v>147</v>
      </c>
      <c r="B2030" s="48" t="s">
        <v>148</v>
      </c>
      <c r="C2030" s="32">
        <v>286</v>
      </c>
      <c r="D2030" s="32" t="s">
        <v>167</v>
      </c>
      <c r="E2030" s="20" t="s">
        <v>75</v>
      </c>
      <c r="F2030" s="48" t="s">
        <v>160</v>
      </c>
      <c r="G2030" s="48" t="s">
        <v>32</v>
      </c>
      <c r="H2030" s="11">
        <v>8.3000000000000007</v>
      </c>
      <c r="I2030" s="52">
        <v>11</v>
      </c>
      <c r="J2030" s="7">
        <v>3</v>
      </c>
      <c r="K2030" s="10">
        <f t="shared" si="185"/>
        <v>0.27390000000000003</v>
      </c>
      <c r="L2030" s="32"/>
      <c r="M2030" s="32">
        <v>3</v>
      </c>
      <c r="N2030" s="18">
        <f t="shared" si="186"/>
        <v>0.27390000000000003</v>
      </c>
      <c r="O2030" s="19">
        <f t="shared" si="187"/>
        <v>0</v>
      </c>
      <c r="P2030" s="13">
        <f t="shared" si="188"/>
        <v>0</v>
      </c>
      <c r="Q2030" s="32"/>
      <c r="R2030" s="32"/>
      <c r="S2030" s="32"/>
    </row>
    <row r="2031" spans="1:19">
      <c r="A2031" s="47" t="s">
        <v>147</v>
      </c>
      <c r="B2031" s="48" t="s">
        <v>148</v>
      </c>
      <c r="C2031" s="32">
        <v>287</v>
      </c>
      <c r="D2031" s="32"/>
      <c r="E2031" s="48" t="s">
        <v>20</v>
      </c>
      <c r="F2031" s="48" t="s">
        <v>160</v>
      </c>
      <c r="G2031" s="48" t="s">
        <v>41</v>
      </c>
      <c r="H2031" s="11">
        <v>11.8</v>
      </c>
      <c r="I2031" s="52">
        <v>12</v>
      </c>
      <c r="J2031" s="7">
        <v>2</v>
      </c>
      <c r="K2031" s="10">
        <f t="shared" si="185"/>
        <v>0.28320000000000006</v>
      </c>
      <c r="L2031" s="32"/>
      <c r="M2031" s="32">
        <v>2</v>
      </c>
      <c r="N2031" s="18">
        <f t="shared" si="186"/>
        <v>0.28320000000000006</v>
      </c>
      <c r="O2031" s="19">
        <f t="shared" si="187"/>
        <v>0</v>
      </c>
      <c r="P2031" s="13">
        <f t="shared" si="188"/>
        <v>0</v>
      </c>
      <c r="Q2031" s="9">
        <v>11.5</v>
      </c>
      <c r="R2031" s="32">
        <v>2</v>
      </c>
      <c r="S2031" s="32" t="s">
        <v>198</v>
      </c>
    </row>
    <row r="2032" spans="1:19">
      <c r="A2032" s="47" t="s">
        <v>147</v>
      </c>
      <c r="B2032" s="48" t="s">
        <v>148</v>
      </c>
      <c r="C2032" s="32">
        <v>288</v>
      </c>
      <c r="D2032" s="32"/>
      <c r="E2032" s="69" t="s">
        <v>19</v>
      </c>
      <c r="F2032" s="69" t="s">
        <v>14</v>
      </c>
      <c r="G2032" s="69" t="s">
        <v>39</v>
      </c>
      <c r="H2032" s="61">
        <v>14.66</v>
      </c>
      <c r="I2032" s="70">
        <v>9.4</v>
      </c>
      <c r="J2032" s="60">
        <v>1</v>
      </c>
      <c r="K2032" s="62">
        <f t="shared" si="185"/>
        <v>0.13780400000000001</v>
      </c>
      <c r="L2032" s="256" t="s">
        <v>46</v>
      </c>
      <c r="M2032" s="67"/>
      <c r="N2032" s="63">
        <f t="shared" si="186"/>
        <v>0</v>
      </c>
      <c r="O2032" s="64">
        <f t="shared" si="187"/>
        <v>1</v>
      </c>
      <c r="P2032" s="65">
        <f t="shared" si="188"/>
        <v>0.13780400000000001</v>
      </c>
      <c r="Q2032" s="32"/>
      <c r="R2032" s="32"/>
      <c r="S2032" s="32"/>
    </row>
    <row r="2033" spans="1:19">
      <c r="A2033" s="47" t="s">
        <v>147</v>
      </c>
      <c r="B2033" s="48" t="s">
        <v>148</v>
      </c>
      <c r="C2033" s="32">
        <v>289</v>
      </c>
      <c r="D2033" s="32"/>
      <c r="E2033" s="69" t="s">
        <v>20</v>
      </c>
      <c r="F2033" s="69" t="s">
        <v>160</v>
      </c>
      <c r="G2033" s="69" t="s">
        <v>35</v>
      </c>
      <c r="H2033" s="61">
        <v>16.579999999999998</v>
      </c>
      <c r="I2033" s="21">
        <v>11.4</v>
      </c>
      <c r="J2033" s="60">
        <v>1</v>
      </c>
      <c r="K2033" s="62">
        <f t="shared" si="185"/>
        <v>0.18901200000000001</v>
      </c>
      <c r="L2033" s="256" t="s">
        <v>46</v>
      </c>
      <c r="M2033" s="67"/>
      <c r="N2033" s="63">
        <f t="shared" si="186"/>
        <v>0</v>
      </c>
      <c r="O2033" s="64">
        <f t="shared" si="187"/>
        <v>1</v>
      </c>
      <c r="P2033" s="65">
        <f t="shared" si="188"/>
        <v>0.18901200000000001</v>
      </c>
      <c r="Q2033" s="32"/>
      <c r="R2033" s="32"/>
      <c r="S2033" s="32"/>
    </row>
    <row r="2034" spans="1:19">
      <c r="A2034" s="47" t="s">
        <v>147</v>
      </c>
      <c r="B2034" s="48" t="s">
        <v>148</v>
      </c>
      <c r="C2034" s="32">
        <v>289</v>
      </c>
      <c r="D2034" s="32"/>
      <c r="E2034" s="48" t="s">
        <v>17</v>
      </c>
      <c r="F2034" s="48" t="s">
        <v>160</v>
      </c>
      <c r="G2034" s="48" t="s">
        <v>33</v>
      </c>
      <c r="H2034" s="11">
        <v>15.92</v>
      </c>
      <c r="I2034" s="52">
        <v>7.75</v>
      </c>
      <c r="J2034" s="7">
        <v>1</v>
      </c>
      <c r="K2034" s="10">
        <f t="shared" si="185"/>
        <v>0.12337999999999999</v>
      </c>
      <c r="L2034" s="32"/>
      <c r="M2034" s="32"/>
      <c r="N2034" s="18">
        <f t="shared" si="186"/>
        <v>0</v>
      </c>
      <c r="O2034" s="19">
        <f t="shared" si="187"/>
        <v>1</v>
      </c>
      <c r="P2034" s="13">
        <f t="shared" si="188"/>
        <v>0.12337999999999999</v>
      </c>
      <c r="Q2034" s="32"/>
      <c r="R2034" s="32"/>
      <c r="S2034" s="32"/>
    </row>
    <row r="2035" spans="1:19">
      <c r="A2035" s="47" t="s">
        <v>147</v>
      </c>
      <c r="B2035" s="48" t="s">
        <v>148</v>
      </c>
      <c r="C2035" s="32">
        <v>289</v>
      </c>
      <c r="D2035" s="32" t="s">
        <v>102</v>
      </c>
      <c r="E2035" s="48" t="s">
        <v>20</v>
      </c>
      <c r="F2035" s="48" t="s">
        <v>160</v>
      </c>
      <c r="G2035" s="48" t="s">
        <v>49</v>
      </c>
      <c r="H2035" s="11">
        <v>17.82</v>
      </c>
      <c r="I2035" s="8">
        <v>9.5</v>
      </c>
      <c r="J2035" s="7">
        <v>1</v>
      </c>
      <c r="K2035" s="10">
        <f t="shared" si="185"/>
        <v>0.16929</v>
      </c>
      <c r="L2035" s="32"/>
      <c r="M2035" s="32"/>
      <c r="N2035" s="18">
        <f t="shared" si="186"/>
        <v>0</v>
      </c>
      <c r="O2035" s="19">
        <f t="shared" si="187"/>
        <v>1</v>
      </c>
      <c r="P2035" s="13">
        <f t="shared" si="188"/>
        <v>0.16929</v>
      </c>
      <c r="Q2035" s="32"/>
      <c r="R2035" s="32"/>
      <c r="S2035" s="32"/>
    </row>
    <row r="2036" spans="1:19">
      <c r="A2036" s="47" t="s">
        <v>147</v>
      </c>
      <c r="B2036" s="48" t="s">
        <v>148</v>
      </c>
      <c r="C2036" s="32">
        <v>289</v>
      </c>
      <c r="D2036" s="32" t="s">
        <v>102</v>
      </c>
      <c r="E2036" s="48" t="s">
        <v>20</v>
      </c>
      <c r="F2036" s="48" t="s">
        <v>160</v>
      </c>
      <c r="G2036" s="48" t="s">
        <v>37</v>
      </c>
      <c r="H2036" s="11">
        <v>18.149999999999999</v>
      </c>
      <c r="I2036" s="8">
        <v>11.9</v>
      </c>
      <c r="J2036" s="7">
        <v>1</v>
      </c>
      <c r="K2036" s="10">
        <f t="shared" si="185"/>
        <v>0.21598499999999998</v>
      </c>
      <c r="L2036" s="32"/>
      <c r="M2036" s="32">
        <v>1</v>
      </c>
      <c r="N2036" s="18">
        <f t="shared" si="186"/>
        <v>0.21598499999999998</v>
      </c>
      <c r="O2036" s="19">
        <f t="shared" si="187"/>
        <v>0</v>
      </c>
      <c r="P2036" s="13">
        <f t="shared" si="188"/>
        <v>0</v>
      </c>
      <c r="Q2036" s="89">
        <v>11.35</v>
      </c>
      <c r="R2036" s="91">
        <v>1</v>
      </c>
      <c r="S2036" s="91" t="s">
        <v>279</v>
      </c>
    </row>
    <row r="2037" spans="1:19">
      <c r="A2037" s="47" t="s">
        <v>147</v>
      </c>
      <c r="B2037" s="48" t="s">
        <v>148</v>
      </c>
      <c r="C2037" s="32">
        <v>290</v>
      </c>
      <c r="D2037" s="32"/>
      <c r="E2037" s="48" t="s">
        <v>159</v>
      </c>
      <c r="F2037" s="48" t="s">
        <v>14</v>
      </c>
      <c r="G2037" s="48" t="s">
        <v>23</v>
      </c>
      <c r="H2037" s="11">
        <v>9</v>
      </c>
      <c r="I2037" s="8">
        <v>10.5</v>
      </c>
      <c r="J2037" s="7">
        <v>1</v>
      </c>
      <c r="K2037" s="10">
        <f t="shared" si="185"/>
        <v>9.4500000000000001E-2</v>
      </c>
      <c r="L2037" s="32"/>
      <c r="M2037" s="32"/>
      <c r="N2037" s="18">
        <f t="shared" si="186"/>
        <v>0</v>
      </c>
      <c r="O2037" s="19">
        <f t="shared" si="187"/>
        <v>1</v>
      </c>
      <c r="P2037" s="13">
        <f t="shared" si="188"/>
        <v>9.4500000000000001E-2</v>
      </c>
      <c r="Q2037" s="32"/>
      <c r="R2037" s="32"/>
      <c r="S2037" s="32"/>
    </row>
    <row r="2038" spans="1:19">
      <c r="A2038" s="47" t="s">
        <v>147</v>
      </c>
      <c r="B2038" s="48" t="s">
        <v>148</v>
      </c>
      <c r="C2038" s="32">
        <v>290</v>
      </c>
      <c r="D2038" s="32"/>
      <c r="E2038" s="48" t="s">
        <v>19</v>
      </c>
      <c r="F2038" s="48" t="s">
        <v>14</v>
      </c>
      <c r="G2038" s="48" t="s">
        <v>16</v>
      </c>
      <c r="H2038" s="11">
        <v>5.77</v>
      </c>
      <c r="I2038" s="52">
        <v>11.5</v>
      </c>
      <c r="J2038" s="7">
        <v>2</v>
      </c>
      <c r="K2038" s="10">
        <f t="shared" si="185"/>
        <v>0.13270999999999997</v>
      </c>
      <c r="L2038" s="32"/>
      <c r="M2038" s="32">
        <v>2</v>
      </c>
      <c r="N2038" s="18">
        <f t="shared" si="186"/>
        <v>0.13270999999999997</v>
      </c>
      <c r="O2038" s="19">
        <f t="shared" si="187"/>
        <v>0</v>
      </c>
      <c r="P2038" s="13">
        <f t="shared" si="188"/>
        <v>0</v>
      </c>
      <c r="Q2038" s="55">
        <v>11</v>
      </c>
      <c r="R2038" s="32">
        <v>2</v>
      </c>
      <c r="S2038" s="2" t="s">
        <v>279</v>
      </c>
    </row>
    <row r="2039" spans="1:19">
      <c r="A2039" s="47" t="s">
        <v>147</v>
      </c>
      <c r="B2039" s="48" t="s">
        <v>148</v>
      </c>
      <c r="C2039" s="32">
        <v>290</v>
      </c>
      <c r="D2039" s="32"/>
      <c r="E2039" s="48" t="s">
        <v>19</v>
      </c>
      <c r="F2039" s="48" t="s">
        <v>14</v>
      </c>
      <c r="G2039" s="48" t="s">
        <v>39</v>
      </c>
      <c r="H2039" s="11">
        <v>14.66</v>
      </c>
      <c r="I2039" s="52">
        <v>11.6</v>
      </c>
      <c r="J2039" s="7">
        <v>1</v>
      </c>
      <c r="K2039" s="10">
        <f t="shared" ref="K2039:K2101" si="189">(H2039*I2039*J2039/1000)</f>
        <v>0.17005599999999998</v>
      </c>
      <c r="L2039" s="32"/>
      <c r="M2039" s="32">
        <v>1</v>
      </c>
      <c r="N2039" s="18">
        <f t="shared" ref="N2039:N2101" si="190">I2039*M2039*H2039/1000</f>
        <v>0.17005599999999998</v>
      </c>
      <c r="O2039" s="19">
        <f t="shared" ref="O2039:O2101" si="191">J2039-M2039</f>
        <v>0</v>
      </c>
      <c r="P2039" s="13">
        <f t="shared" ref="P2039:P2101" si="192">I2039*O2039*H2039/1000</f>
        <v>0</v>
      </c>
      <c r="Q2039" s="33">
        <v>9.1</v>
      </c>
      <c r="R2039" s="45">
        <v>1</v>
      </c>
      <c r="S2039" s="32" t="s">
        <v>646</v>
      </c>
    </row>
    <row r="2040" spans="1:19">
      <c r="A2040" s="47" t="s">
        <v>147</v>
      </c>
      <c r="B2040" s="48" t="s">
        <v>148</v>
      </c>
      <c r="C2040" s="32">
        <v>290</v>
      </c>
      <c r="D2040" s="32"/>
      <c r="E2040" s="48" t="s">
        <v>19</v>
      </c>
      <c r="F2040" s="48" t="s">
        <v>14</v>
      </c>
      <c r="G2040" s="48" t="s">
        <v>39</v>
      </c>
      <c r="H2040" s="11">
        <v>14.66</v>
      </c>
      <c r="I2040" s="8">
        <v>7.4</v>
      </c>
      <c r="J2040" s="7">
        <v>1</v>
      </c>
      <c r="K2040" s="10">
        <f t="shared" si="189"/>
        <v>0.10848400000000001</v>
      </c>
      <c r="L2040" s="32"/>
      <c r="M2040" s="32">
        <v>1</v>
      </c>
      <c r="N2040" s="18">
        <f t="shared" si="190"/>
        <v>0.10848400000000001</v>
      </c>
      <c r="O2040" s="19">
        <f t="shared" si="191"/>
        <v>0</v>
      </c>
      <c r="P2040" s="13">
        <f t="shared" si="192"/>
        <v>0</v>
      </c>
      <c r="Q2040" s="32"/>
      <c r="R2040" s="32">
        <v>1</v>
      </c>
      <c r="S2040" s="32" t="s">
        <v>631</v>
      </c>
    </row>
    <row r="2041" spans="1:19">
      <c r="A2041" s="47" t="s">
        <v>147</v>
      </c>
      <c r="B2041" s="48" t="s">
        <v>148</v>
      </c>
      <c r="C2041" s="32">
        <v>291</v>
      </c>
      <c r="D2041" s="32"/>
      <c r="E2041" s="48" t="s">
        <v>20</v>
      </c>
      <c r="F2041" s="48" t="s">
        <v>160</v>
      </c>
      <c r="G2041" s="48" t="s">
        <v>45</v>
      </c>
      <c r="H2041" s="11">
        <v>13.6</v>
      </c>
      <c r="I2041" s="52">
        <v>12</v>
      </c>
      <c r="J2041" s="7">
        <v>2</v>
      </c>
      <c r="K2041" s="10">
        <f t="shared" si="189"/>
        <v>0.32639999999999997</v>
      </c>
      <c r="L2041" s="32"/>
      <c r="M2041" s="32"/>
      <c r="N2041" s="18">
        <f t="shared" si="190"/>
        <v>0</v>
      </c>
      <c r="O2041" s="19">
        <f t="shared" si="191"/>
        <v>2</v>
      </c>
      <c r="P2041" s="13">
        <f t="shared" si="192"/>
        <v>0.32639999999999997</v>
      </c>
      <c r="Q2041" s="9">
        <v>6.55</v>
      </c>
      <c r="R2041" s="45">
        <v>2</v>
      </c>
      <c r="S2041" s="2" t="s">
        <v>740</v>
      </c>
    </row>
    <row r="2042" spans="1:19">
      <c r="A2042" s="47" t="s">
        <v>147</v>
      </c>
      <c r="B2042" s="48" t="s">
        <v>148</v>
      </c>
      <c r="C2042" s="32">
        <v>291</v>
      </c>
      <c r="D2042" s="32"/>
      <c r="E2042" s="48" t="s">
        <v>20</v>
      </c>
      <c r="F2042" s="48" t="s">
        <v>160</v>
      </c>
      <c r="G2042" s="48" t="s">
        <v>45</v>
      </c>
      <c r="H2042" s="11">
        <v>13.6</v>
      </c>
      <c r="I2042" s="52">
        <v>11</v>
      </c>
      <c r="J2042" s="7">
        <v>1</v>
      </c>
      <c r="K2042" s="10">
        <f t="shared" si="189"/>
        <v>0.14959999999999998</v>
      </c>
      <c r="L2042" s="32"/>
      <c r="M2042" s="32">
        <v>1</v>
      </c>
      <c r="N2042" s="18">
        <f t="shared" si="190"/>
        <v>0.14959999999999998</v>
      </c>
      <c r="O2042" s="106">
        <f t="shared" si="191"/>
        <v>0</v>
      </c>
      <c r="P2042" s="13">
        <f t="shared" si="192"/>
        <v>0</v>
      </c>
      <c r="Q2042" s="32">
        <v>11</v>
      </c>
      <c r="R2042" s="32">
        <v>1</v>
      </c>
      <c r="S2042" s="32" t="s">
        <v>509</v>
      </c>
    </row>
    <row r="2043" spans="1:19">
      <c r="A2043" s="47" t="s">
        <v>147</v>
      </c>
      <c r="B2043" s="48" t="s">
        <v>148</v>
      </c>
      <c r="C2043" s="32">
        <v>292</v>
      </c>
      <c r="D2043" s="32"/>
      <c r="E2043" s="48" t="s">
        <v>159</v>
      </c>
      <c r="F2043" s="48" t="s">
        <v>14</v>
      </c>
      <c r="G2043" s="48" t="s">
        <v>30</v>
      </c>
      <c r="H2043" s="11">
        <v>9.26</v>
      </c>
      <c r="I2043" s="52">
        <v>8</v>
      </c>
      <c r="J2043" s="7">
        <v>1</v>
      </c>
      <c r="K2043" s="10">
        <f t="shared" si="189"/>
        <v>7.4079999999999993E-2</v>
      </c>
      <c r="L2043" s="32"/>
      <c r="M2043" s="32"/>
      <c r="N2043" s="18">
        <f t="shared" si="190"/>
        <v>0</v>
      </c>
      <c r="O2043" s="19">
        <f t="shared" si="191"/>
        <v>1</v>
      </c>
      <c r="P2043" s="13">
        <f t="shared" si="192"/>
        <v>7.4079999999999993E-2</v>
      </c>
      <c r="Q2043" s="32"/>
      <c r="R2043" s="32"/>
      <c r="S2043" s="32"/>
    </row>
    <row r="2044" spans="1:19">
      <c r="A2044" s="47" t="s">
        <v>147</v>
      </c>
      <c r="B2044" s="48" t="s">
        <v>148</v>
      </c>
      <c r="C2044" s="32">
        <v>293</v>
      </c>
      <c r="D2044" s="32"/>
      <c r="E2044" s="48" t="s">
        <v>186</v>
      </c>
      <c r="F2044" s="48" t="s">
        <v>160</v>
      </c>
      <c r="G2044" s="48" t="s">
        <v>41</v>
      </c>
      <c r="H2044" s="11">
        <v>11.8</v>
      </c>
      <c r="I2044" s="52">
        <v>12</v>
      </c>
      <c r="J2044" s="7">
        <v>2</v>
      </c>
      <c r="K2044" s="10">
        <f t="shared" si="189"/>
        <v>0.28320000000000006</v>
      </c>
      <c r="L2044" s="32"/>
      <c r="M2044" s="32">
        <v>2</v>
      </c>
      <c r="N2044" s="18">
        <f t="shared" si="190"/>
        <v>0.28320000000000006</v>
      </c>
      <c r="O2044" s="19">
        <f t="shared" si="191"/>
        <v>0</v>
      </c>
      <c r="P2044" s="13">
        <f t="shared" si="192"/>
        <v>0</v>
      </c>
      <c r="Q2044" s="32">
        <v>12</v>
      </c>
      <c r="R2044" s="32">
        <v>2</v>
      </c>
      <c r="S2044" s="32" t="s">
        <v>488</v>
      </c>
    </row>
    <row r="2045" spans="1:19">
      <c r="A2045" s="47" t="s">
        <v>147</v>
      </c>
      <c r="B2045" s="48" t="s">
        <v>148</v>
      </c>
      <c r="C2045" s="32">
        <v>293</v>
      </c>
      <c r="D2045" s="32"/>
      <c r="E2045" s="48" t="s">
        <v>186</v>
      </c>
      <c r="F2045" s="48" t="s">
        <v>160</v>
      </c>
      <c r="G2045" s="48" t="s">
        <v>41</v>
      </c>
      <c r="H2045" s="11">
        <v>11.8</v>
      </c>
      <c r="I2045" s="52">
        <v>7</v>
      </c>
      <c r="J2045" s="7">
        <v>3</v>
      </c>
      <c r="K2045" s="10">
        <f t="shared" si="189"/>
        <v>0.24780000000000002</v>
      </c>
      <c r="L2045" s="32"/>
      <c r="M2045" s="32"/>
      <c r="N2045" s="18">
        <f t="shared" si="190"/>
        <v>0</v>
      </c>
      <c r="O2045" s="19">
        <f t="shared" si="191"/>
        <v>3</v>
      </c>
      <c r="P2045" s="13">
        <f t="shared" si="192"/>
        <v>0.24780000000000002</v>
      </c>
      <c r="Q2045" s="32"/>
      <c r="R2045" s="32"/>
      <c r="S2045" s="32"/>
    </row>
    <row r="2046" spans="1:19">
      <c r="A2046" s="47" t="s">
        <v>147</v>
      </c>
      <c r="B2046" s="48" t="s">
        <v>148</v>
      </c>
      <c r="C2046" s="32">
        <v>293</v>
      </c>
      <c r="D2046" s="32"/>
      <c r="E2046" s="48" t="s">
        <v>186</v>
      </c>
      <c r="F2046" s="48" t="s">
        <v>160</v>
      </c>
      <c r="G2046" s="48" t="s">
        <v>41</v>
      </c>
      <c r="H2046" s="11">
        <v>11.8</v>
      </c>
      <c r="I2046" s="52">
        <v>6</v>
      </c>
      <c r="J2046" s="7">
        <v>1</v>
      </c>
      <c r="K2046" s="10">
        <f t="shared" si="189"/>
        <v>7.0800000000000016E-2</v>
      </c>
      <c r="L2046" s="32"/>
      <c r="M2046" s="32"/>
      <c r="N2046" s="18">
        <f t="shared" si="190"/>
        <v>0</v>
      </c>
      <c r="O2046" s="19">
        <f t="shared" si="191"/>
        <v>1</v>
      </c>
      <c r="P2046" s="13">
        <f t="shared" si="192"/>
        <v>7.0800000000000016E-2</v>
      </c>
      <c r="Q2046" s="32"/>
      <c r="R2046" s="32"/>
      <c r="S2046" s="32"/>
    </row>
    <row r="2047" spans="1:19">
      <c r="A2047" s="47" t="s">
        <v>147</v>
      </c>
      <c r="B2047" s="48" t="s">
        <v>148</v>
      </c>
      <c r="C2047" s="32">
        <v>293</v>
      </c>
      <c r="D2047" s="32"/>
      <c r="E2047" s="48" t="s">
        <v>186</v>
      </c>
      <c r="F2047" s="48" t="s">
        <v>160</v>
      </c>
      <c r="G2047" s="48" t="s">
        <v>41</v>
      </c>
      <c r="H2047" s="11">
        <v>11.8</v>
      </c>
      <c r="I2047" s="52">
        <v>6.2</v>
      </c>
      <c r="J2047" s="7">
        <v>4</v>
      </c>
      <c r="K2047" s="10">
        <f t="shared" si="189"/>
        <v>0.29264000000000007</v>
      </c>
      <c r="L2047" s="32"/>
      <c r="M2047" s="32"/>
      <c r="N2047" s="18">
        <f t="shared" si="190"/>
        <v>0</v>
      </c>
      <c r="O2047" s="19">
        <f t="shared" si="191"/>
        <v>4</v>
      </c>
      <c r="P2047" s="13">
        <f t="shared" si="192"/>
        <v>0.29264000000000007</v>
      </c>
      <c r="Q2047" s="32"/>
      <c r="R2047" s="32"/>
      <c r="S2047" s="32"/>
    </row>
    <row r="2048" spans="1:19">
      <c r="A2048" s="47" t="s">
        <v>147</v>
      </c>
      <c r="B2048" s="48" t="s">
        <v>148</v>
      </c>
      <c r="C2048" s="32">
        <v>294</v>
      </c>
      <c r="D2048" s="32"/>
      <c r="E2048" s="48" t="s">
        <v>24</v>
      </c>
      <c r="F2048" s="48" t="s">
        <v>14</v>
      </c>
      <c r="G2048" s="48" t="s">
        <v>16</v>
      </c>
      <c r="H2048" s="11">
        <v>5.77</v>
      </c>
      <c r="I2048" s="52">
        <v>10.5</v>
      </c>
      <c r="J2048" s="7">
        <v>2</v>
      </c>
      <c r="K2048" s="10">
        <f t="shared" si="189"/>
        <v>0.12116999999999999</v>
      </c>
      <c r="L2048" s="32"/>
      <c r="M2048" s="32">
        <v>2</v>
      </c>
      <c r="N2048" s="18">
        <f t="shared" si="190"/>
        <v>0.12116999999999999</v>
      </c>
      <c r="O2048" s="19">
        <f t="shared" si="191"/>
        <v>0</v>
      </c>
      <c r="P2048" s="13">
        <f t="shared" si="192"/>
        <v>0</v>
      </c>
      <c r="Q2048" s="32">
        <v>10</v>
      </c>
      <c r="R2048" s="32">
        <v>2</v>
      </c>
      <c r="S2048" s="32" t="s">
        <v>419</v>
      </c>
    </row>
    <row r="2049" spans="1:22">
      <c r="A2049" s="47" t="s">
        <v>147</v>
      </c>
      <c r="B2049" s="48" t="s">
        <v>148</v>
      </c>
      <c r="C2049" s="32">
        <v>295</v>
      </c>
      <c r="D2049" s="32"/>
      <c r="E2049" s="48" t="s">
        <v>20</v>
      </c>
      <c r="F2049" s="48" t="s">
        <v>160</v>
      </c>
      <c r="G2049" s="48" t="s">
        <v>22</v>
      </c>
      <c r="H2049" s="11">
        <v>10.73</v>
      </c>
      <c r="I2049" s="52">
        <v>10.5</v>
      </c>
      <c r="J2049" s="7">
        <v>1</v>
      </c>
      <c r="K2049" s="10">
        <f t="shared" si="189"/>
        <v>0.112665</v>
      </c>
      <c r="L2049" s="32"/>
      <c r="M2049" s="32">
        <v>1</v>
      </c>
      <c r="N2049" s="18">
        <f t="shared" si="190"/>
        <v>0.112665</v>
      </c>
      <c r="O2049" s="19">
        <f t="shared" si="191"/>
        <v>0</v>
      </c>
      <c r="P2049" s="13">
        <f t="shared" si="192"/>
        <v>0</v>
      </c>
      <c r="Q2049" s="32">
        <v>10.4</v>
      </c>
      <c r="R2049" s="45">
        <v>1</v>
      </c>
      <c r="S2049" s="32" t="s">
        <v>279</v>
      </c>
    </row>
    <row r="2050" spans="1:22">
      <c r="A2050" s="47" t="s">
        <v>147</v>
      </c>
      <c r="B2050" s="48" t="s">
        <v>148</v>
      </c>
      <c r="C2050" s="32">
        <v>296</v>
      </c>
      <c r="D2050" s="32"/>
      <c r="E2050" s="48" t="s">
        <v>159</v>
      </c>
      <c r="F2050" s="48" t="s">
        <v>14</v>
      </c>
      <c r="G2050" s="48" t="s">
        <v>30</v>
      </c>
      <c r="H2050" s="11">
        <v>9.26</v>
      </c>
      <c r="I2050" s="52">
        <v>10.5</v>
      </c>
      <c r="J2050" s="7">
        <v>14</v>
      </c>
      <c r="K2050" s="10">
        <f t="shared" si="189"/>
        <v>1.3612200000000001</v>
      </c>
      <c r="L2050" s="32"/>
      <c r="M2050" s="32">
        <v>3</v>
      </c>
      <c r="N2050" s="18">
        <f t="shared" si="190"/>
        <v>0.29169</v>
      </c>
      <c r="O2050" s="19">
        <f t="shared" si="191"/>
        <v>11</v>
      </c>
      <c r="P2050" s="13">
        <f t="shared" si="192"/>
        <v>1.0695299999999999</v>
      </c>
      <c r="Q2050" s="32"/>
      <c r="R2050" s="32"/>
      <c r="S2050" s="32"/>
    </row>
    <row r="2051" spans="1:22">
      <c r="A2051" s="47" t="s">
        <v>147</v>
      </c>
      <c r="B2051" s="48" t="s">
        <v>148</v>
      </c>
      <c r="C2051" s="32">
        <v>296</v>
      </c>
      <c r="D2051" s="32"/>
      <c r="E2051" s="48" t="s">
        <v>159</v>
      </c>
      <c r="F2051" s="48" t="s">
        <v>14</v>
      </c>
      <c r="G2051" s="48" t="s">
        <v>30</v>
      </c>
      <c r="H2051" s="11">
        <v>9.26</v>
      </c>
      <c r="I2051" s="52">
        <v>8.6</v>
      </c>
      <c r="J2051" s="7">
        <v>1</v>
      </c>
      <c r="K2051" s="10">
        <f t="shared" si="189"/>
        <v>7.9635999999999998E-2</v>
      </c>
      <c r="L2051" s="32"/>
      <c r="M2051" s="32">
        <v>1</v>
      </c>
      <c r="N2051" s="18">
        <f t="shared" si="190"/>
        <v>7.9635999999999998E-2</v>
      </c>
      <c r="O2051" s="19">
        <f t="shared" si="191"/>
        <v>0</v>
      </c>
      <c r="P2051" s="13">
        <f t="shared" si="192"/>
        <v>0</v>
      </c>
      <c r="Q2051" s="32"/>
      <c r="R2051" s="32"/>
      <c r="S2051" s="32"/>
    </row>
    <row r="2052" spans="1:22">
      <c r="A2052" s="47" t="s">
        <v>147</v>
      </c>
      <c r="B2052" s="48" t="s">
        <v>148</v>
      </c>
      <c r="C2052" s="32">
        <v>296</v>
      </c>
      <c r="D2052" s="32"/>
      <c r="E2052" s="48" t="s">
        <v>159</v>
      </c>
      <c r="F2052" s="48" t="s">
        <v>14</v>
      </c>
      <c r="G2052" s="48" t="s">
        <v>30</v>
      </c>
      <c r="H2052" s="11">
        <v>9.26</v>
      </c>
      <c r="I2052" s="52">
        <v>8.4</v>
      </c>
      <c r="J2052" s="7">
        <v>1</v>
      </c>
      <c r="K2052" s="10">
        <f t="shared" si="189"/>
        <v>7.7784000000000006E-2</v>
      </c>
      <c r="L2052" s="32"/>
      <c r="M2052" s="32">
        <v>1</v>
      </c>
      <c r="N2052" s="18">
        <f t="shared" si="190"/>
        <v>7.7784000000000006E-2</v>
      </c>
      <c r="O2052" s="19">
        <f t="shared" si="191"/>
        <v>0</v>
      </c>
      <c r="P2052" s="13">
        <f t="shared" si="192"/>
        <v>0</v>
      </c>
      <c r="Q2052" s="32"/>
      <c r="R2052" s="32"/>
      <c r="S2052" s="32"/>
    </row>
    <row r="2053" spans="1:22">
      <c r="A2053" s="47" t="s">
        <v>147</v>
      </c>
      <c r="B2053" s="48" t="s">
        <v>148</v>
      </c>
      <c r="C2053" s="32">
        <v>296</v>
      </c>
      <c r="D2053" s="32"/>
      <c r="E2053" s="48" t="s">
        <v>159</v>
      </c>
      <c r="F2053" s="48" t="s">
        <v>14</v>
      </c>
      <c r="G2053" s="48" t="s">
        <v>30</v>
      </c>
      <c r="H2053" s="11">
        <v>9.26</v>
      </c>
      <c r="I2053" s="52">
        <v>8.3000000000000007</v>
      </c>
      <c r="J2053" s="7">
        <v>1</v>
      </c>
      <c r="K2053" s="10">
        <f t="shared" si="189"/>
        <v>7.685800000000001E-2</v>
      </c>
      <c r="L2053" s="32"/>
      <c r="M2053" s="32">
        <v>1</v>
      </c>
      <c r="N2053" s="18">
        <f t="shared" si="190"/>
        <v>7.685800000000001E-2</v>
      </c>
      <c r="O2053" s="19">
        <f t="shared" si="191"/>
        <v>0</v>
      </c>
      <c r="P2053" s="13">
        <f t="shared" si="192"/>
        <v>0</v>
      </c>
      <c r="Q2053" s="32"/>
      <c r="R2053" s="32"/>
      <c r="S2053" s="32"/>
    </row>
    <row r="2054" spans="1:22">
      <c r="A2054" s="47" t="s">
        <v>147</v>
      </c>
      <c r="B2054" s="48" t="s">
        <v>148</v>
      </c>
      <c r="C2054" s="32">
        <v>296</v>
      </c>
      <c r="D2054" s="32"/>
      <c r="E2054" s="48" t="s">
        <v>159</v>
      </c>
      <c r="F2054" s="48" t="s">
        <v>14</v>
      </c>
      <c r="G2054" s="48" t="s">
        <v>30</v>
      </c>
      <c r="H2054" s="11">
        <v>9.26</v>
      </c>
      <c r="I2054" s="52">
        <v>8.1</v>
      </c>
      <c r="J2054" s="7">
        <v>1</v>
      </c>
      <c r="K2054" s="10">
        <f t="shared" si="189"/>
        <v>7.5006000000000003E-2</v>
      </c>
      <c r="L2054" s="32"/>
      <c r="M2054" s="32">
        <v>1</v>
      </c>
      <c r="N2054" s="18">
        <f t="shared" si="190"/>
        <v>7.5006000000000003E-2</v>
      </c>
      <c r="O2054" s="19">
        <f t="shared" si="191"/>
        <v>0</v>
      </c>
      <c r="P2054" s="13">
        <f t="shared" si="192"/>
        <v>0</v>
      </c>
      <c r="Q2054" s="32"/>
      <c r="R2054" s="32"/>
      <c r="S2054" s="32"/>
    </row>
    <row r="2055" spans="1:22">
      <c r="A2055" s="47" t="s">
        <v>147</v>
      </c>
      <c r="B2055" s="48" t="s">
        <v>148</v>
      </c>
      <c r="C2055" s="32">
        <v>297</v>
      </c>
      <c r="D2055" s="32"/>
      <c r="E2055" s="48" t="s">
        <v>159</v>
      </c>
      <c r="F2055" s="48" t="s">
        <v>14</v>
      </c>
      <c r="G2055" s="48" t="s">
        <v>30</v>
      </c>
      <c r="H2055" s="11">
        <v>9.26</v>
      </c>
      <c r="I2055" s="52">
        <v>11.8</v>
      </c>
      <c r="J2055" s="7">
        <v>10</v>
      </c>
      <c r="K2055" s="10">
        <f t="shared" si="189"/>
        <v>1.0926800000000001</v>
      </c>
      <c r="L2055" s="32"/>
      <c r="M2055" s="32"/>
      <c r="N2055" s="18">
        <f t="shared" si="190"/>
        <v>0</v>
      </c>
      <c r="O2055" s="19">
        <f t="shared" si="191"/>
        <v>10</v>
      </c>
      <c r="P2055" s="13">
        <f t="shared" si="192"/>
        <v>1.0926800000000001</v>
      </c>
      <c r="Q2055" s="32"/>
      <c r="R2055" s="32"/>
      <c r="S2055" s="32"/>
    </row>
    <row r="2056" spans="1:22">
      <c r="A2056" s="47" t="s">
        <v>147</v>
      </c>
      <c r="B2056" s="48" t="s">
        <v>148</v>
      </c>
      <c r="C2056" s="32">
        <v>297</v>
      </c>
      <c r="D2056" s="32"/>
      <c r="E2056" s="48" t="s">
        <v>159</v>
      </c>
      <c r="F2056" s="48" t="s">
        <v>14</v>
      </c>
      <c r="G2056" s="48" t="s">
        <v>30</v>
      </c>
      <c r="H2056" s="11">
        <v>9.26</v>
      </c>
      <c r="I2056" s="52">
        <v>12</v>
      </c>
      <c r="J2056" s="7">
        <v>2</v>
      </c>
      <c r="K2056" s="10">
        <f t="shared" si="189"/>
        <v>0.22224000000000002</v>
      </c>
      <c r="L2056" s="32"/>
      <c r="M2056" s="32"/>
      <c r="N2056" s="18">
        <f t="shared" si="190"/>
        <v>0</v>
      </c>
      <c r="O2056" s="19">
        <f t="shared" si="191"/>
        <v>2</v>
      </c>
      <c r="P2056" s="13">
        <f t="shared" si="192"/>
        <v>0.22224000000000002</v>
      </c>
      <c r="Q2056" s="32"/>
      <c r="R2056" s="32"/>
      <c r="S2056" s="32"/>
    </row>
    <row r="2057" spans="1:22">
      <c r="A2057" s="47" t="s">
        <v>147</v>
      </c>
      <c r="B2057" s="48" t="s">
        <v>148</v>
      </c>
      <c r="C2057" s="32">
        <v>297</v>
      </c>
      <c r="D2057" s="32"/>
      <c r="E2057" s="48" t="s">
        <v>159</v>
      </c>
      <c r="F2057" s="48" t="s">
        <v>14</v>
      </c>
      <c r="G2057" s="48" t="s">
        <v>30</v>
      </c>
      <c r="H2057" s="11">
        <v>9.26</v>
      </c>
      <c r="I2057" s="52">
        <v>10</v>
      </c>
      <c r="J2057" s="7">
        <v>3</v>
      </c>
      <c r="K2057" s="10">
        <f t="shared" si="189"/>
        <v>0.27779999999999994</v>
      </c>
      <c r="L2057" s="32"/>
      <c r="M2057" s="32">
        <v>2</v>
      </c>
      <c r="N2057" s="18">
        <f t="shared" si="190"/>
        <v>0.18519999999999998</v>
      </c>
      <c r="O2057" s="19">
        <f t="shared" si="191"/>
        <v>1</v>
      </c>
      <c r="P2057" s="13">
        <f t="shared" si="192"/>
        <v>9.2599999999999988E-2</v>
      </c>
      <c r="Q2057" s="32">
        <v>10</v>
      </c>
      <c r="R2057" s="45">
        <v>2</v>
      </c>
      <c r="S2057" s="32" t="s">
        <v>738</v>
      </c>
    </row>
    <row r="2058" spans="1:22">
      <c r="A2058" s="47" t="s">
        <v>147</v>
      </c>
      <c r="B2058" s="48" t="s">
        <v>148</v>
      </c>
      <c r="C2058" s="32">
        <v>298</v>
      </c>
      <c r="D2058" s="32"/>
      <c r="E2058" s="48" t="s">
        <v>24</v>
      </c>
      <c r="F2058" s="48" t="s">
        <v>14</v>
      </c>
      <c r="G2058" s="48" t="s">
        <v>32</v>
      </c>
      <c r="H2058" s="11">
        <v>8.3000000000000007</v>
      </c>
      <c r="I2058" s="52">
        <v>12</v>
      </c>
      <c r="J2058" s="7">
        <v>7</v>
      </c>
      <c r="K2058" s="10">
        <f t="shared" si="189"/>
        <v>0.69720000000000004</v>
      </c>
      <c r="L2058" s="32"/>
      <c r="M2058" s="32">
        <v>7</v>
      </c>
      <c r="N2058" s="18">
        <f t="shared" si="190"/>
        <v>0.69720000000000004</v>
      </c>
      <c r="O2058" s="19">
        <f t="shared" si="191"/>
        <v>0</v>
      </c>
      <c r="P2058" s="13">
        <f t="shared" si="192"/>
        <v>0</v>
      </c>
      <c r="Q2058" s="32"/>
      <c r="R2058" s="32"/>
      <c r="S2058" s="33">
        <v>12</v>
      </c>
      <c r="T2058">
        <v>7</v>
      </c>
      <c r="U2058" t="s">
        <v>302</v>
      </c>
    </row>
    <row r="2059" spans="1:22">
      <c r="A2059" s="47" t="s">
        <v>147</v>
      </c>
      <c r="B2059" s="48" t="s">
        <v>148</v>
      </c>
      <c r="C2059" s="32">
        <v>299</v>
      </c>
      <c r="D2059" s="32"/>
      <c r="E2059" s="48" t="s">
        <v>24</v>
      </c>
      <c r="F2059" s="48" t="s">
        <v>14</v>
      </c>
      <c r="G2059" s="48" t="s">
        <v>32</v>
      </c>
      <c r="H2059" s="11">
        <v>8.3000000000000007</v>
      </c>
      <c r="I2059" s="52">
        <v>8.25</v>
      </c>
      <c r="J2059" s="7">
        <v>34</v>
      </c>
      <c r="K2059" s="10">
        <f t="shared" si="189"/>
        <v>2.3281499999999999</v>
      </c>
      <c r="L2059" s="32"/>
      <c r="M2059" s="32">
        <v>34</v>
      </c>
      <c r="N2059" s="18">
        <f t="shared" si="190"/>
        <v>2.3281499999999999</v>
      </c>
      <c r="O2059" s="19">
        <f t="shared" si="191"/>
        <v>0</v>
      </c>
      <c r="P2059" s="13">
        <f t="shared" si="192"/>
        <v>0</v>
      </c>
      <c r="Q2059" s="32"/>
      <c r="R2059" s="32"/>
      <c r="S2059" s="32"/>
    </row>
    <row r="2060" spans="1:22">
      <c r="A2060" s="47" t="s">
        <v>147</v>
      </c>
      <c r="B2060" s="48" t="s">
        <v>148</v>
      </c>
      <c r="C2060" s="32">
        <v>300</v>
      </c>
      <c r="D2060" s="32"/>
      <c r="E2060" s="48" t="s">
        <v>24</v>
      </c>
      <c r="F2060" s="48" t="s">
        <v>14</v>
      </c>
      <c r="G2060" s="48" t="s">
        <v>32</v>
      </c>
      <c r="H2060" s="11">
        <v>8.3000000000000007</v>
      </c>
      <c r="I2060" s="52">
        <v>7.25</v>
      </c>
      <c r="J2060" s="7">
        <v>32</v>
      </c>
      <c r="K2060" s="10">
        <f t="shared" si="189"/>
        <v>1.9256000000000002</v>
      </c>
      <c r="L2060" s="32"/>
      <c r="M2060" s="32">
        <v>32</v>
      </c>
      <c r="N2060" s="18">
        <f t="shared" si="190"/>
        <v>1.9256000000000002</v>
      </c>
      <c r="O2060" s="19">
        <f t="shared" si="191"/>
        <v>0</v>
      </c>
      <c r="P2060" s="13">
        <f t="shared" si="192"/>
        <v>0</v>
      </c>
      <c r="Q2060" s="32"/>
      <c r="R2060" s="32"/>
      <c r="S2060" s="32"/>
    </row>
    <row r="2061" spans="1:22">
      <c r="A2061" s="47" t="s">
        <v>147</v>
      </c>
      <c r="B2061" s="48" t="s">
        <v>148</v>
      </c>
      <c r="C2061" s="32">
        <v>301</v>
      </c>
      <c r="D2061" s="32"/>
      <c r="E2061" s="48" t="s">
        <v>20</v>
      </c>
      <c r="F2061" s="48" t="s">
        <v>160</v>
      </c>
      <c r="G2061" s="48" t="s">
        <v>25</v>
      </c>
      <c r="H2061" s="11">
        <v>7.34</v>
      </c>
      <c r="I2061" s="52">
        <v>10.5</v>
      </c>
      <c r="J2061" s="7">
        <v>4</v>
      </c>
      <c r="K2061" s="10">
        <f t="shared" si="189"/>
        <v>0.30828</v>
      </c>
      <c r="L2061" s="32"/>
      <c r="M2061" s="32">
        <f>3+1</f>
        <v>4</v>
      </c>
      <c r="N2061" s="18">
        <f t="shared" si="190"/>
        <v>0.30828</v>
      </c>
      <c r="O2061" s="19">
        <f t="shared" si="191"/>
        <v>0</v>
      </c>
      <c r="P2061" s="13">
        <f t="shared" si="192"/>
        <v>0</v>
      </c>
      <c r="Q2061" s="9">
        <v>9.5500000000000007</v>
      </c>
      <c r="R2061" s="35">
        <v>1</v>
      </c>
      <c r="S2061" s="2" t="s">
        <v>701</v>
      </c>
      <c r="T2061" s="9">
        <v>9.5</v>
      </c>
      <c r="U2061" s="2">
        <v>3</v>
      </c>
      <c r="V2061" s="2" t="s">
        <v>208</v>
      </c>
    </row>
    <row r="2062" spans="1:22">
      <c r="A2062" s="47" t="s">
        <v>147</v>
      </c>
      <c r="B2062" s="48" t="s">
        <v>148</v>
      </c>
      <c r="C2062" s="32">
        <v>303</v>
      </c>
      <c r="D2062" s="32"/>
      <c r="E2062" s="48" t="s">
        <v>24</v>
      </c>
      <c r="F2062" s="48" t="s">
        <v>14</v>
      </c>
      <c r="G2062" s="48" t="s">
        <v>32</v>
      </c>
      <c r="H2062" s="11">
        <v>8.3000000000000007</v>
      </c>
      <c r="I2062" s="52">
        <v>7.25</v>
      </c>
      <c r="J2062" s="7">
        <v>34</v>
      </c>
      <c r="K2062" s="10">
        <f t="shared" si="189"/>
        <v>2.0459499999999999</v>
      </c>
      <c r="L2062" s="32"/>
      <c r="M2062" s="32">
        <v>34</v>
      </c>
      <c r="N2062" s="18">
        <f t="shared" si="190"/>
        <v>2.0459500000000004</v>
      </c>
      <c r="O2062" s="19">
        <f t="shared" si="191"/>
        <v>0</v>
      </c>
      <c r="P2062" s="13">
        <f t="shared" si="192"/>
        <v>0</v>
      </c>
      <c r="Q2062" s="32"/>
      <c r="R2062" s="32"/>
      <c r="S2062" s="32"/>
    </row>
    <row r="2063" spans="1:22">
      <c r="A2063" s="47" t="s">
        <v>147</v>
      </c>
      <c r="B2063" s="48" t="s">
        <v>148</v>
      </c>
      <c r="C2063" s="32">
        <v>304</v>
      </c>
      <c r="D2063" s="32"/>
      <c r="E2063" s="48" t="s">
        <v>24</v>
      </c>
      <c r="F2063" s="48" t="s">
        <v>14</v>
      </c>
      <c r="G2063" s="48" t="s">
        <v>32</v>
      </c>
      <c r="H2063" s="11">
        <v>8.3000000000000007</v>
      </c>
      <c r="I2063" s="52">
        <v>8.25</v>
      </c>
      <c r="J2063" s="7">
        <v>33</v>
      </c>
      <c r="K2063" s="10">
        <f t="shared" si="189"/>
        <v>2.2596750000000001</v>
      </c>
      <c r="L2063" s="32"/>
      <c r="M2063" s="32">
        <v>33</v>
      </c>
      <c r="N2063" s="18">
        <f t="shared" si="190"/>
        <v>2.2596750000000001</v>
      </c>
      <c r="O2063" s="19">
        <f t="shared" si="191"/>
        <v>0</v>
      </c>
      <c r="P2063" s="13">
        <f t="shared" si="192"/>
        <v>0</v>
      </c>
      <c r="Q2063" s="32"/>
      <c r="R2063" s="32"/>
      <c r="S2063" s="32"/>
    </row>
    <row r="2064" spans="1:22">
      <c r="A2064" s="47" t="s">
        <v>147</v>
      </c>
      <c r="B2064" s="48" t="s">
        <v>148</v>
      </c>
      <c r="C2064" s="32">
        <v>305</v>
      </c>
      <c r="D2064" s="32"/>
      <c r="E2064" s="48" t="s">
        <v>24</v>
      </c>
      <c r="F2064" s="48" t="s">
        <v>14</v>
      </c>
      <c r="G2064" s="48" t="s">
        <v>32</v>
      </c>
      <c r="H2064" s="11">
        <v>8.3000000000000007</v>
      </c>
      <c r="I2064" s="8">
        <v>6.3</v>
      </c>
      <c r="J2064" s="7">
        <v>1</v>
      </c>
      <c r="K2064" s="10">
        <f t="shared" si="189"/>
        <v>5.2290000000000003E-2</v>
      </c>
      <c r="L2064" s="32"/>
      <c r="M2064" s="32">
        <v>1</v>
      </c>
      <c r="N2064" s="18">
        <f t="shared" si="190"/>
        <v>5.2290000000000003E-2</v>
      </c>
      <c r="O2064" s="19">
        <f t="shared" si="191"/>
        <v>0</v>
      </c>
      <c r="P2064" s="13">
        <f t="shared" si="192"/>
        <v>0</v>
      </c>
      <c r="Q2064" s="32"/>
      <c r="R2064" s="45">
        <v>1</v>
      </c>
      <c r="S2064" s="2" t="s">
        <v>663</v>
      </c>
    </row>
    <row r="2065" spans="1:21">
      <c r="A2065" s="47" t="s">
        <v>147</v>
      </c>
      <c r="B2065" s="48" t="s">
        <v>148</v>
      </c>
      <c r="C2065" s="32">
        <v>305</v>
      </c>
      <c r="D2065" s="32"/>
      <c r="E2065" s="48" t="s">
        <v>24</v>
      </c>
      <c r="F2065" s="48" t="s">
        <v>14</v>
      </c>
      <c r="G2065" s="48" t="s">
        <v>32</v>
      </c>
      <c r="H2065" s="11">
        <v>8.3000000000000007</v>
      </c>
      <c r="I2065" s="8">
        <v>6.5</v>
      </c>
      <c r="J2065" s="7">
        <v>1</v>
      </c>
      <c r="K2065" s="10">
        <f t="shared" si="189"/>
        <v>5.3950000000000005E-2</v>
      </c>
      <c r="L2065" s="32"/>
      <c r="M2065" s="32">
        <v>1</v>
      </c>
      <c r="N2065" s="18">
        <f t="shared" si="190"/>
        <v>5.3950000000000005E-2</v>
      </c>
      <c r="O2065" s="19">
        <f t="shared" si="191"/>
        <v>0</v>
      </c>
      <c r="P2065" s="13">
        <f t="shared" si="192"/>
        <v>0</v>
      </c>
      <c r="Q2065" s="32"/>
      <c r="R2065" s="45">
        <v>1</v>
      </c>
      <c r="S2065" s="2" t="s">
        <v>663</v>
      </c>
    </row>
    <row r="2066" spans="1:21">
      <c r="A2066" s="47" t="s">
        <v>147</v>
      </c>
      <c r="B2066" s="48" t="s">
        <v>148</v>
      </c>
      <c r="C2066" s="32">
        <v>305</v>
      </c>
      <c r="D2066" s="32"/>
      <c r="E2066" s="48" t="s">
        <v>24</v>
      </c>
      <c r="F2066" s="48" t="s">
        <v>14</v>
      </c>
      <c r="G2066" s="48" t="s">
        <v>32</v>
      </c>
      <c r="H2066" s="11">
        <v>8.3000000000000007</v>
      </c>
      <c r="I2066" s="8">
        <v>6.9</v>
      </c>
      <c r="J2066" s="7">
        <v>1</v>
      </c>
      <c r="K2066" s="10">
        <f t="shared" si="189"/>
        <v>5.7270000000000008E-2</v>
      </c>
      <c r="L2066" s="32"/>
      <c r="M2066" s="32">
        <v>1</v>
      </c>
      <c r="N2066" s="18">
        <f t="shared" si="190"/>
        <v>5.7270000000000008E-2</v>
      </c>
      <c r="O2066" s="19">
        <f t="shared" si="191"/>
        <v>0</v>
      </c>
      <c r="P2066" s="13">
        <f t="shared" si="192"/>
        <v>0</v>
      </c>
      <c r="Q2066" s="32"/>
      <c r="R2066" s="45">
        <v>1</v>
      </c>
      <c r="S2066" s="2" t="s">
        <v>663</v>
      </c>
    </row>
    <row r="2067" spans="1:21">
      <c r="A2067" s="47" t="s">
        <v>147</v>
      </c>
      <c r="B2067" s="48" t="s">
        <v>148</v>
      </c>
      <c r="C2067" s="32">
        <v>305</v>
      </c>
      <c r="D2067" s="32"/>
      <c r="E2067" s="48" t="s">
        <v>24</v>
      </c>
      <c r="F2067" s="48" t="s">
        <v>14</v>
      </c>
      <c r="G2067" s="48" t="s">
        <v>32</v>
      </c>
      <c r="H2067" s="11">
        <v>8.3000000000000007</v>
      </c>
      <c r="I2067" s="52">
        <v>7</v>
      </c>
      <c r="J2067" s="7">
        <v>1</v>
      </c>
      <c r="K2067" s="10">
        <f t="shared" si="189"/>
        <v>5.8100000000000006E-2</v>
      </c>
      <c r="L2067" s="32"/>
      <c r="M2067" s="32">
        <v>1</v>
      </c>
      <c r="N2067" s="18">
        <f t="shared" si="190"/>
        <v>5.8100000000000006E-2</v>
      </c>
      <c r="O2067" s="19">
        <f t="shared" si="191"/>
        <v>0</v>
      </c>
      <c r="P2067" s="13">
        <f t="shared" si="192"/>
        <v>0</v>
      </c>
      <c r="Q2067" s="32"/>
      <c r="R2067" s="32"/>
      <c r="S2067" s="32">
        <v>7</v>
      </c>
      <c r="T2067">
        <v>1</v>
      </c>
      <c r="U2067" t="s">
        <v>302</v>
      </c>
    </row>
    <row r="2068" spans="1:21">
      <c r="A2068" s="47" t="s">
        <v>147</v>
      </c>
      <c r="B2068" s="48" t="s">
        <v>148</v>
      </c>
      <c r="C2068" s="32">
        <v>306</v>
      </c>
      <c r="D2068" s="32"/>
      <c r="E2068" s="48" t="s">
        <v>24</v>
      </c>
      <c r="F2068" s="48" t="s">
        <v>14</v>
      </c>
      <c r="G2068" s="48" t="s">
        <v>32</v>
      </c>
      <c r="H2068" s="11">
        <v>8.3000000000000007</v>
      </c>
      <c r="I2068" s="52">
        <v>7.25</v>
      </c>
      <c r="J2068" s="7">
        <v>17</v>
      </c>
      <c r="K2068" s="10">
        <f t="shared" si="189"/>
        <v>1.022975</v>
      </c>
      <c r="L2068" s="32"/>
      <c r="M2068" s="32">
        <v>17</v>
      </c>
      <c r="N2068" s="18">
        <f t="shared" si="190"/>
        <v>1.0229750000000002</v>
      </c>
      <c r="O2068" s="19">
        <f t="shared" si="191"/>
        <v>0</v>
      </c>
      <c r="P2068" s="13">
        <f t="shared" si="192"/>
        <v>0</v>
      </c>
      <c r="Q2068" s="32"/>
      <c r="R2068" s="32"/>
      <c r="S2068" s="32"/>
    </row>
    <row r="2069" spans="1:21">
      <c r="A2069" s="47" t="s">
        <v>147</v>
      </c>
      <c r="B2069" s="48" t="s">
        <v>148</v>
      </c>
      <c r="C2069" s="32">
        <v>307</v>
      </c>
      <c r="D2069" s="32"/>
      <c r="E2069" s="48" t="s">
        <v>24</v>
      </c>
      <c r="F2069" s="48" t="s">
        <v>14</v>
      </c>
      <c r="G2069" s="48" t="s">
        <v>32</v>
      </c>
      <c r="H2069" s="11">
        <v>8.3000000000000007</v>
      </c>
      <c r="I2069" s="52">
        <v>10</v>
      </c>
      <c r="J2069" s="7">
        <v>13</v>
      </c>
      <c r="K2069" s="10">
        <f t="shared" si="189"/>
        <v>1.079</v>
      </c>
      <c r="L2069" s="32"/>
      <c r="M2069" s="32">
        <v>13</v>
      </c>
      <c r="N2069" s="18">
        <f t="shared" si="190"/>
        <v>1.079</v>
      </c>
      <c r="O2069" s="19">
        <f t="shared" si="191"/>
        <v>0</v>
      </c>
      <c r="P2069" s="13">
        <f t="shared" si="192"/>
        <v>0</v>
      </c>
      <c r="Q2069" s="32"/>
      <c r="R2069" s="32"/>
      <c r="S2069" s="32"/>
    </row>
    <row r="2070" spans="1:21">
      <c r="A2070" s="47" t="s">
        <v>147</v>
      </c>
      <c r="B2070" s="48" t="s">
        <v>148</v>
      </c>
      <c r="C2070" s="32">
        <v>308</v>
      </c>
      <c r="D2070" s="32"/>
      <c r="E2070" s="48" t="s">
        <v>20</v>
      </c>
      <c r="F2070" s="48" t="s">
        <v>160</v>
      </c>
      <c r="G2070" s="48" t="s">
        <v>27</v>
      </c>
      <c r="H2070" s="11">
        <v>6.17</v>
      </c>
      <c r="I2070" s="8">
        <v>9.4</v>
      </c>
      <c r="J2070" s="7">
        <v>2</v>
      </c>
      <c r="K2070" s="10">
        <f t="shared" si="189"/>
        <v>0.11599600000000002</v>
      </c>
      <c r="L2070" s="32"/>
      <c r="M2070" s="45">
        <v>2</v>
      </c>
      <c r="N2070" s="18">
        <f t="shared" si="190"/>
        <v>0.11599600000000002</v>
      </c>
      <c r="O2070" s="19">
        <f t="shared" si="191"/>
        <v>0</v>
      </c>
      <c r="P2070" s="13">
        <f t="shared" si="192"/>
        <v>0</v>
      </c>
      <c r="Q2070" s="32"/>
      <c r="R2070" s="32"/>
      <c r="S2070" s="33">
        <v>8</v>
      </c>
      <c r="T2070">
        <v>2</v>
      </c>
      <c r="U2070" s="213" t="s">
        <v>272</v>
      </c>
    </row>
    <row r="2071" spans="1:21">
      <c r="A2071" s="47" t="s">
        <v>147</v>
      </c>
      <c r="B2071" s="48" t="s">
        <v>148</v>
      </c>
      <c r="C2071" s="32">
        <v>308</v>
      </c>
      <c r="D2071" s="32"/>
      <c r="E2071" s="48" t="s">
        <v>20</v>
      </c>
      <c r="F2071" s="48" t="s">
        <v>160</v>
      </c>
      <c r="G2071" s="48" t="s">
        <v>27</v>
      </c>
      <c r="H2071" s="11">
        <v>6.17</v>
      </c>
      <c r="I2071" s="8">
        <v>9.6999999999999993</v>
      </c>
      <c r="J2071" s="7">
        <v>2</v>
      </c>
      <c r="K2071" s="10">
        <f t="shared" si="189"/>
        <v>0.119698</v>
      </c>
      <c r="L2071" s="32"/>
      <c r="M2071" s="32">
        <v>2</v>
      </c>
      <c r="N2071" s="18">
        <f t="shared" si="190"/>
        <v>0.119698</v>
      </c>
      <c r="O2071" s="64">
        <f t="shared" si="191"/>
        <v>0</v>
      </c>
      <c r="P2071" s="65">
        <f t="shared" si="192"/>
        <v>0</v>
      </c>
      <c r="Q2071" s="32"/>
      <c r="R2071" s="32"/>
      <c r="S2071" s="33"/>
    </row>
    <row r="2072" spans="1:21">
      <c r="A2072" s="47" t="s">
        <v>147</v>
      </c>
      <c r="B2072" s="48" t="s">
        <v>148</v>
      </c>
      <c r="C2072" s="32">
        <v>308</v>
      </c>
      <c r="D2072" s="32"/>
      <c r="E2072" s="48" t="s">
        <v>20</v>
      </c>
      <c r="F2072" s="48" t="s">
        <v>160</v>
      </c>
      <c r="G2072" s="48" t="s">
        <v>27</v>
      </c>
      <c r="H2072" s="11">
        <v>6.17</v>
      </c>
      <c r="I2072" s="8">
        <v>9</v>
      </c>
      <c r="J2072" s="7">
        <v>2</v>
      </c>
      <c r="K2072" s="10">
        <f t="shared" si="189"/>
        <v>0.11106000000000001</v>
      </c>
      <c r="L2072" s="32"/>
      <c r="M2072" s="45">
        <v>2</v>
      </c>
      <c r="N2072" s="18">
        <f t="shared" si="190"/>
        <v>0.11106000000000001</v>
      </c>
      <c r="O2072" s="19">
        <f t="shared" si="191"/>
        <v>0</v>
      </c>
      <c r="P2072" s="13">
        <f t="shared" si="192"/>
        <v>0</v>
      </c>
      <c r="Q2072" s="32"/>
      <c r="R2072" s="32"/>
      <c r="S2072" s="33">
        <v>8</v>
      </c>
      <c r="T2072">
        <v>2</v>
      </c>
      <c r="U2072" s="213" t="s">
        <v>272</v>
      </c>
    </row>
    <row r="2073" spans="1:21">
      <c r="A2073" s="47" t="s">
        <v>147</v>
      </c>
      <c r="B2073" s="48" t="s">
        <v>148</v>
      </c>
      <c r="C2073" s="32">
        <v>309</v>
      </c>
      <c r="D2073" s="32"/>
      <c r="E2073" s="48" t="s">
        <v>24</v>
      </c>
      <c r="F2073" s="48" t="s">
        <v>14</v>
      </c>
      <c r="G2073" s="48" t="s">
        <v>32</v>
      </c>
      <c r="H2073" s="11">
        <v>8.3000000000000007</v>
      </c>
      <c r="I2073" s="52">
        <v>9.15</v>
      </c>
      <c r="J2073" s="7">
        <v>20</v>
      </c>
      <c r="K2073" s="10">
        <f t="shared" si="189"/>
        <v>1.5189000000000001</v>
      </c>
      <c r="L2073" s="32"/>
      <c r="M2073" s="32">
        <v>20</v>
      </c>
      <c r="N2073" s="18">
        <f t="shared" si="190"/>
        <v>1.5189000000000001</v>
      </c>
      <c r="O2073" s="19">
        <f t="shared" si="191"/>
        <v>0</v>
      </c>
      <c r="P2073" s="13">
        <f t="shared" si="192"/>
        <v>0</v>
      </c>
      <c r="Q2073" s="32"/>
      <c r="R2073" s="32"/>
      <c r="S2073" s="32"/>
    </row>
    <row r="2074" spans="1:21">
      <c r="A2074" s="47" t="s">
        <v>147</v>
      </c>
      <c r="B2074" s="48" t="s">
        <v>148</v>
      </c>
      <c r="C2074" s="32">
        <v>310</v>
      </c>
      <c r="D2074" s="32"/>
      <c r="E2074" s="48" t="s">
        <v>24</v>
      </c>
      <c r="F2074" s="48" t="s">
        <v>14</v>
      </c>
      <c r="G2074" s="48" t="s">
        <v>32</v>
      </c>
      <c r="H2074" s="11">
        <v>8.3000000000000007</v>
      </c>
      <c r="I2074" s="52">
        <v>11</v>
      </c>
      <c r="J2074" s="7">
        <v>28</v>
      </c>
      <c r="K2074" s="10">
        <f t="shared" si="189"/>
        <v>2.5564000000000004</v>
      </c>
      <c r="L2074" s="32"/>
      <c r="M2074" s="32">
        <v>28</v>
      </c>
      <c r="N2074" s="18">
        <f t="shared" si="190"/>
        <v>2.5564</v>
      </c>
      <c r="O2074" s="19">
        <f t="shared" si="191"/>
        <v>0</v>
      </c>
      <c r="P2074" s="13">
        <f t="shared" si="192"/>
        <v>0</v>
      </c>
      <c r="Q2074" s="32"/>
      <c r="R2074" s="32"/>
      <c r="S2074" s="32"/>
    </row>
    <row r="2075" spans="1:21">
      <c r="A2075" s="47" t="s">
        <v>147</v>
      </c>
      <c r="B2075" s="48" t="s">
        <v>148</v>
      </c>
      <c r="C2075" s="32">
        <v>311</v>
      </c>
      <c r="D2075" s="32"/>
      <c r="E2075" s="48" t="s">
        <v>24</v>
      </c>
      <c r="F2075" s="48" t="s">
        <v>14</v>
      </c>
      <c r="G2075" s="48" t="s">
        <v>32</v>
      </c>
      <c r="H2075" s="11">
        <v>8.3000000000000007</v>
      </c>
      <c r="I2075" s="52">
        <v>11.55</v>
      </c>
      <c r="J2075" s="7">
        <v>15</v>
      </c>
      <c r="K2075" s="10">
        <f t="shared" si="189"/>
        <v>1.4379750000000002</v>
      </c>
      <c r="L2075" s="32"/>
      <c r="M2075" s="32">
        <f>11+3+1</f>
        <v>15</v>
      </c>
      <c r="N2075" s="18">
        <f t="shared" si="190"/>
        <v>1.4379750000000002</v>
      </c>
      <c r="O2075" s="19">
        <f t="shared" si="191"/>
        <v>0</v>
      </c>
      <c r="P2075" s="13">
        <f t="shared" si="192"/>
        <v>0</v>
      </c>
      <c r="Q2075" s="32" t="s">
        <v>289</v>
      </c>
      <c r="R2075" s="32">
        <v>14</v>
      </c>
      <c r="S2075" s="32">
        <v>11</v>
      </c>
      <c r="T2075">
        <v>1</v>
      </c>
      <c r="U2075" t="s">
        <v>302</v>
      </c>
    </row>
    <row r="2076" spans="1:21">
      <c r="A2076" s="47" t="s">
        <v>147</v>
      </c>
      <c r="B2076" s="48" t="s">
        <v>148</v>
      </c>
      <c r="C2076" s="32">
        <v>312</v>
      </c>
      <c r="D2076" s="32"/>
      <c r="E2076" s="48" t="s">
        <v>24</v>
      </c>
      <c r="F2076" s="48" t="s">
        <v>14</v>
      </c>
      <c r="G2076" s="48" t="s">
        <v>32</v>
      </c>
      <c r="H2076" s="11">
        <v>8.3000000000000007</v>
      </c>
      <c r="I2076" s="52">
        <v>12</v>
      </c>
      <c r="J2076" s="7">
        <v>30</v>
      </c>
      <c r="K2076" s="10">
        <f t="shared" si="189"/>
        <v>2.9880000000000004</v>
      </c>
      <c r="L2076" s="32"/>
      <c r="M2076" s="32">
        <v>30</v>
      </c>
      <c r="N2076" s="18">
        <f t="shared" si="190"/>
        <v>2.9880000000000004</v>
      </c>
      <c r="O2076" s="19">
        <f t="shared" si="191"/>
        <v>0</v>
      </c>
      <c r="P2076" s="13">
        <f t="shared" si="192"/>
        <v>0</v>
      </c>
      <c r="Q2076" s="32"/>
      <c r="R2076" s="32"/>
      <c r="S2076" s="32"/>
    </row>
    <row r="2077" spans="1:21">
      <c r="A2077" s="47" t="s">
        <v>147</v>
      </c>
      <c r="B2077" s="48" t="s">
        <v>148</v>
      </c>
      <c r="C2077" s="32">
        <v>313</v>
      </c>
      <c r="D2077" s="32"/>
      <c r="E2077" s="48" t="s">
        <v>24</v>
      </c>
      <c r="F2077" s="48" t="s">
        <v>14</v>
      </c>
      <c r="G2077" s="48" t="s">
        <v>32</v>
      </c>
      <c r="H2077" s="11">
        <v>8.3000000000000007</v>
      </c>
      <c r="I2077" s="52">
        <v>12</v>
      </c>
      <c r="J2077" s="7">
        <v>30</v>
      </c>
      <c r="K2077" s="10">
        <f t="shared" si="189"/>
        <v>2.9880000000000004</v>
      </c>
      <c r="L2077" s="32"/>
      <c r="M2077" s="32">
        <v>30</v>
      </c>
      <c r="N2077" s="18">
        <f t="shared" si="190"/>
        <v>2.9880000000000004</v>
      </c>
      <c r="O2077" s="19">
        <f t="shared" si="191"/>
        <v>0</v>
      </c>
      <c r="P2077" s="13">
        <f t="shared" si="192"/>
        <v>0</v>
      </c>
      <c r="Q2077" s="32"/>
      <c r="R2077" s="32"/>
      <c r="S2077" s="32"/>
    </row>
    <row r="2078" spans="1:21">
      <c r="A2078" s="47" t="s">
        <v>147</v>
      </c>
      <c r="B2078" s="48" t="s">
        <v>148</v>
      </c>
      <c r="C2078" s="32">
        <v>314</v>
      </c>
      <c r="D2078" s="32"/>
      <c r="E2078" s="48" t="s">
        <v>17</v>
      </c>
      <c r="F2078" s="48" t="s">
        <v>160</v>
      </c>
      <c r="G2078" s="48" t="s">
        <v>34</v>
      </c>
      <c r="H2078" s="11">
        <v>9.61</v>
      </c>
      <c r="I2078" s="8">
        <v>11</v>
      </c>
      <c r="J2078" s="7">
        <v>5</v>
      </c>
      <c r="K2078" s="10">
        <f t="shared" si="189"/>
        <v>0.52854999999999996</v>
      </c>
      <c r="L2078" s="32"/>
      <c r="M2078" s="32">
        <v>5</v>
      </c>
      <c r="N2078" s="18">
        <f t="shared" si="190"/>
        <v>0.52854999999999996</v>
      </c>
      <c r="O2078" s="19">
        <f t="shared" si="191"/>
        <v>0</v>
      </c>
      <c r="P2078" s="13">
        <f t="shared" si="192"/>
        <v>0</v>
      </c>
      <c r="Q2078" s="32">
        <v>8.75</v>
      </c>
      <c r="R2078" s="32">
        <v>5</v>
      </c>
      <c r="S2078" s="32"/>
    </row>
    <row r="2079" spans="1:21">
      <c r="A2079" s="47" t="s">
        <v>147</v>
      </c>
      <c r="B2079" s="48" t="s">
        <v>148</v>
      </c>
      <c r="C2079" s="32">
        <v>314</v>
      </c>
      <c r="D2079" s="32"/>
      <c r="E2079" s="48" t="s">
        <v>17</v>
      </c>
      <c r="F2079" s="48" t="s">
        <v>160</v>
      </c>
      <c r="G2079" s="48" t="s">
        <v>34</v>
      </c>
      <c r="H2079" s="11">
        <v>9.61</v>
      </c>
      <c r="I2079" s="8">
        <v>11.5</v>
      </c>
      <c r="J2079" s="7">
        <v>1</v>
      </c>
      <c r="K2079" s="10">
        <f t="shared" si="189"/>
        <v>0.11051499999999999</v>
      </c>
      <c r="L2079" s="32"/>
      <c r="M2079" s="32">
        <v>1</v>
      </c>
      <c r="N2079" s="18">
        <f t="shared" si="190"/>
        <v>0.11051499999999999</v>
      </c>
      <c r="O2079" s="19">
        <f t="shared" si="191"/>
        <v>0</v>
      </c>
      <c r="P2079" s="13">
        <f t="shared" si="192"/>
        <v>0</v>
      </c>
      <c r="Q2079" s="32">
        <v>8.75</v>
      </c>
      <c r="R2079" s="32">
        <v>1</v>
      </c>
      <c r="S2079" s="32"/>
    </row>
    <row r="2080" spans="1:21">
      <c r="A2080" s="47" t="s">
        <v>147</v>
      </c>
      <c r="B2080" s="48" t="s">
        <v>148</v>
      </c>
      <c r="C2080" s="32">
        <v>314</v>
      </c>
      <c r="D2080" s="32"/>
      <c r="E2080" s="48" t="s">
        <v>17</v>
      </c>
      <c r="F2080" s="48" t="s">
        <v>160</v>
      </c>
      <c r="G2080" s="48" t="s">
        <v>34</v>
      </c>
      <c r="H2080" s="11">
        <v>9.61</v>
      </c>
      <c r="I2080" s="8">
        <v>11.6</v>
      </c>
      <c r="J2080" s="7">
        <v>2</v>
      </c>
      <c r="K2080" s="10">
        <f t="shared" si="189"/>
        <v>0.22295199999999998</v>
      </c>
      <c r="L2080" s="32"/>
      <c r="M2080" s="32">
        <v>2</v>
      </c>
      <c r="N2080" s="18">
        <f t="shared" si="190"/>
        <v>0.22295199999999998</v>
      </c>
      <c r="O2080" s="19">
        <f t="shared" si="191"/>
        <v>0</v>
      </c>
      <c r="P2080" s="13">
        <f t="shared" si="192"/>
        <v>0</v>
      </c>
      <c r="Q2080" s="32">
        <v>8.75</v>
      </c>
      <c r="R2080" s="32">
        <v>2</v>
      </c>
      <c r="S2080" s="32"/>
    </row>
    <row r="2081" spans="1:21">
      <c r="A2081" s="47" t="s">
        <v>147</v>
      </c>
      <c r="B2081" s="48" t="s">
        <v>148</v>
      </c>
      <c r="C2081" s="32">
        <v>314</v>
      </c>
      <c r="D2081" s="32"/>
      <c r="E2081" s="48" t="s">
        <v>17</v>
      </c>
      <c r="F2081" s="48" t="s">
        <v>160</v>
      </c>
      <c r="G2081" s="48" t="s">
        <v>34</v>
      </c>
      <c r="H2081" s="11">
        <v>9.61</v>
      </c>
      <c r="I2081" s="8">
        <v>8.3000000000000007</v>
      </c>
      <c r="J2081" s="7">
        <v>1</v>
      </c>
      <c r="K2081" s="10">
        <f t="shared" si="189"/>
        <v>7.9763000000000001E-2</v>
      </c>
      <c r="L2081" s="32"/>
      <c r="M2081" s="32">
        <v>1</v>
      </c>
      <c r="N2081" s="18">
        <f t="shared" si="190"/>
        <v>7.9763000000000001E-2</v>
      </c>
      <c r="O2081" s="19">
        <f t="shared" si="191"/>
        <v>0</v>
      </c>
      <c r="P2081" s="13">
        <f t="shared" si="192"/>
        <v>0</v>
      </c>
      <c r="Q2081" s="32"/>
      <c r="R2081" s="32"/>
      <c r="S2081" s="55">
        <v>8.1</v>
      </c>
      <c r="T2081" s="186">
        <v>1</v>
      </c>
      <c r="U2081" t="s">
        <v>268</v>
      </c>
    </row>
    <row r="2082" spans="1:21">
      <c r="A2082" s="47" t="s">
        <v>147</v>
      </c>
      <c r="B2082" s="48" t="s">
        <v>148</v>
      </c>
      <c r="C2082" s="32">
        <v>314</v>
      </c>
      <c r="D2082" s="32"/>
      <c r="E2082" s="48" t="s">
        <v>17</v>
      </c>
      <c r="F2082" s="48" t="s">
        <v>160</v>
      </c>
      <c r="G2082" s="48" t="s">
        <v>34</v>
      </c>
      <c r="H2082" s="11">
        <v>9.61</v>
      </c>
      <c r="I2082" s="8">
        <v>8.5</v>
      </c>
      <c r="J2082" s="7">
        <v>1</v>
      </c>
      <c r="K2082" s="10">
        <f t="shared" si="189"/>
        <v>8.1685000000000008E-2</v>
      </c>
      <c r="L2082" s="32"/>
      <c r="M2082" s="32">
        <v>1</v>
      </c>
      <c r="N2082" s="18">
        <f t="shared" si="190"/>
        <v>8.1685000000000008E-2</v>
      </c>
      <c r="O2082" s="19">
        <f t="shared" si="191"/>
        <v>0</v>
      </c>
      <c r="P2082" s="13">
        <f t="shared" si="192"/>
        <v>0</v>
      </c>
      <c r="Q2082" s="32"/>
      <c r="R2082" s="32"/>
      <c r="S2082" s="55">
        <v>8.1</v>
      </c>
      <c r="T2082" s="186">
        <v>1</v>
      </c>
      <c r="U2082" t="s">
        <v>268</v>
      </c>
    </row>
    <row r="2083" spans="1:21">
      <c r="A2083" s="47" t="s">
        <v>147</v>
      </c>
      <c r="B2083" s="48" t="s">
        <v>148</v>
      </c>
      <c r="C2083" s="32">
        <v>314</v>
      </c>
      <c r="D2083" s="32"/>
      <c r="E2083" s="48" t="s">
        <v>17</v>
      </c>
      <c r="F2083" s="48" t="s">
        <v>160</v>
      </c>
      <c r="G2083" s="48" t="s">
        <v>34</v>
      </c>
      <c r="H2083" s="11">
        <v>9.61</v>
      </c>
      <c r="I2083" s="153">
        <v>8.6999999999999993</v>
      </c>
      <c r="J2083" s="7">
        <v>1</v>
      </c>
      <c r="K2083" s="10">
        <f t="shared" si="189"/>
        <v>8.3606999999999987E-2</v>
      </c>
      <c r="L2083" s="32"/>
      <c r="M2083" s="32">
        <v>1</v>
      </c>
      <c r="N2083" s="18">
        <f t="shared" si="190"/>
        <v>8.3606999999999987E-2</v>
      </c>
      <c r="O2083" s="19">
        <f t="shared" si="191"/>
        <v>0</v>
      </c>
      <c r="P2083" s="13">
        <f t="shared" si="192"/>
        <v>0</v>
      </c>
      <c r="Q2083" s="32"/>
      <c r="R2083" s="32"/>
      <c r="S2083" s="32"/>
    </row>
    <row r="2084" spans="1:21">
      <c r="A2084" s="47" t="s">
        <v>147</v>
      </c>
      <c r="B2084" s="48" t="s">
        <v>148</v>
      </c>
      <c r="C2084" s="32">
        <v>314</v>
      </c>
      <c r="D2084" s="32"/>
      <c r="E2084" s="48" t="s">
        <v>17</v>
      </c>
      <c r="F2084" s="48" t="s">
        <v>160</v>
      </c>
      <c r="G2084" s="48" t="s">
        <v>34</v>
      </c>
      <c r="H2084" s="11">
        <v>9.61</v>
      </c>
      <c r="I2084" s="8">
        <v>9.5</v>
      </c>
      <c r="J2084" s="7">
        <v>1</v>
      </c>
      <c r="K2084" s="10">
        <f t="shared" si="189"/>
        <v>9.1294999999999987E-2</v>
      </c>
      <c r="L2084" s="32"/>
      <c r="M2084" s="32">
        <v>1</v>
      </c>
      <c r="N2084" s="18">
        <f t="shared" si="190"/>
        <v>9.1294999999999987E-2</v>
      </c>
      <c r="O2084" s="19">
        <f t="shared" si="191"/>
        <v>0</v>
      </c>
      <c r="P2084" s="13">
        <f t="shared" si="192"/>
        <v>0</v>
      </c>
      <c r="Q2084" s="9">
        <v>9.85</v>
      </c>
      <c r="R2084" s="32">
        <v>1</v>
      </c>
      <c r="S2084" s="32"/>
    </row>
    <row r="2085" spans="1:21">
      <c r="A2085" s="47" t="s">
        <v>147</v>
      </c>
      <c r="B2085" s="48" t="s">
        <v>148</v>
      </c>
      <c r="C2085" s="32">
        <v>315</v>
      </c>
      <c r="D2085" s="32"/>
      <c r="E2085" s="48" t="s">
        <v>17</v>
      </c>
      <c r="F2085" s="48" t="s">
        <v>160</v>
      </c>
      <c r="G2085" s="48" t="s">
        <v>34</v>
      </c>
      <c r="H2085" s="11">
        <v>9.61</v>
      </c>
      <c r="I2085" s="8">
        <v>9.85</v>
      </c>
      <c r="J2085" s="7">
        <v>4</v>
      </c>
      <c r="K2085" s="10">
        <f t="shared" si="189"/>
        <v>0.37863399999999997</v>
      </c>
      <c r="L2085" s="32"/>
      <c r="M2085" s="32">
        <v>4</v>
      </c>
      <c r="N2085" s="18">
        <f t="shared" si="190"/>
        <v>0.37863399999999997</v>
      </c>
      <c r="O2085" s="19">
        <f t="shared" si="191"/>
        <v>0</v>
      </c>
      <c r="P2085" s="13">
        <f t="shared" si="192"/>
        <v>0</v>
      </c>
      <c r="Q2085" s="32"/>
      <c r="R2085" s="32"/>
      <c r="S2085" s="32"/>
    </row>
    <row r="2086" spans="1:21">
      <c r="A2086" s="47" t="s">
        <v>147</v>
      </c>
      <c r="B2086" s="48" t="s">
        <v>148</v>
      </c>
      <c r="C2086" s="32">
        <v>316</v>
      </c>
      <c r="D2086" s="32"/>
      <c r="E2086" s="48" t="s">
        <v>17</v>
      </c>
      <c r="F2086" s="48" t="s">
        <v>160</v>
      </c>
      <c r="G2086" s="48" t="s">
        <v>34</v>
      </c>
      <c r="H2086" s="11">
        <v>9.61</v>
      </c>
      <c r="I2086" s="8">
        <v>11.65</v>
      </c>
      <c r="J2086" s="7">
        <v>31</v>
      </c>
      <c r="K2086" s="10">
        <f t="shared" si="189"/>
        <v>3.4706514999999998</v>
      </c>
      <c r="L2086" s="32"/>
      <c r="M2086" s="32">
        <v>31</v>
      </c>
      <c r="N2086" s="18">
        <f t="shared" si="190"/>
        <v>3.4706514999999998</v>
      </c>
      <c r="O2086" s="19">
        <f t="shared" si="191"/>
        <v>0</v>
      </c>
      <c r="P2086" s="13">
        <f t="shared" si="192"/>
        <v>0</v>
      </c>
      <c r="Q2086" s="32"/>
      <c r="R2086" s="32"/>
      <c r="S2086" s="32"/>
    </row>
    <row r="2087" spans="1:21">
      <c r="A2087" s="47" t="s">
        <v>147</v>
      </c>
      <c r="B2087" s="48" t="s">
        <v>148</v>
      </c>
      <c r="C2087" s="32">
        <v>317</v>
      </c>
      <c r="D2087" s="32"/>
      <c r="E2087" s="48" t="s">
        <v>17</v>
      </c>
      <c r="F2087" s="48" t="s">
        <v>160</v>
      </c>
      <c r="G2087" s="48" t="s">
        <v>34</v>
      </c>
      <c r="H2087" s="11">
        <v>9.61</v>
      </c>
      <c r="I2087" s="8">
        <v>12</v>
      </c>
      <c r="J2087" s="7">
        <v>22</v>
      </c>
      <c r="K2087" s="10">
        <f t="shared" si="189"/>
        <v>2.5370400000000002</v>
      </c>
      <c r="L2087" s="32"/>
      <c r="M2087" s="32">
        <f>18+4</f>
        <v>22</v>
      </c>
      <c r="N2087" s="18">
        <f t="shared" si="190"/>
        <v>2.5370400000000002</v>
      </c>
      <c r="O2087" s="19">
        <f t="shared" si="191"/>
        <v>0</v>
      </c>
      <c r="P2087" s="13">
        <f t="shared" si="192"/>
        <v>0</v>
      </c>
      <c r="Q2087" s="32">
        <v>8.75</v>
      </c>
      <c r="R2087" s="32">
        <v>4</v>
      </c>
      <c r="S2087" s="32"/>
    </row>
    <row r="2088" spans="1:21">
      <c r="A2088" s="47" t="s">
        <v>147</v>
      </c>
      <c r="B2088" s="48" t="s">
        <v>148</v>
      </c>
      <c r="C2088" s="32">
        <v>318</v>
      </c>
      <c r="D2088" s="32"/>
      <c r="E2088" s="48" t="s">
        <v>17</v>
      </c>
      <c r="F2088" s="48" t="s">
        <v>160</v>
      </c>
      <c r="G2088" s="48" t="s">
        <v>34</v>
      </c>
      <c r="H2088" s="11">
        <v>9.61</v>
      </c>
      <c r="I2088" s="153">
        <v>8.75</v>
      </c>
      <c r="J2088" s="7">
        <v>13</v>
      </c>
      <c r="K2088" s="10">
        <f t="shared" si="189"/>
        <v>1.0931374999999999</v>
      </c>
      <c r="L2088" s="32"/>
      <c r="M2088" s="32">
        <f>13+13-5-3-4-1</f>
        <v>13</v>
      </c>
      <c r="N2088" s="18">
        <f t="shared" si="190"/>
        <v>1.0931375000000001</v>
      </c>
      <c r="O2088" s="19">
        <f t="shared" si="191"/>
        <v>0</v>
      </c>
      <c r="P2088" s="13">
        <f t="shared" si="192"/>
        <v>0</v>
      </c>
      <c r="Q2088" s="32"/>
      <c r="R2088" s="32"/>
      <c r="S2088" s="32"/>
    </row>
    <row r="2089" spans="1:21">
      <c r="A2089" s="47" t="s">
        <v>147</v>
      </c>
      <c r="B2089" s="48" t="s">
        <v>148</v>
      </c>
      <c r="C2089" s="32">
        <v>319</v>
      </c>
      <c r="D2089" s="32"/>
      <c r="E2089" s="48" t="s">
        <v>17</v>
      </c>
      <c r="F2089" s="48" t="s">
        <v>160</v>
      </c>
      <c r="G2089" s="48" t="s">
        <v>29</v>
      </c>
      <c r="H2089" s="11">
        <v>10.92</v>
      </c>
      <c r="I2089" s="52">
        <v>9.5</v>
      </c>
      <c r="J2089" s="7">
        <v>10</v>
      </c>
      <c r="K2089" s="10">
        <f t="shared" si="189"/>
        <v>1.0373999999999999</v>
      </c>
      <c r="L2089" s="32"/>
      <c r="M2089" s="32">
        <v>10</v>
      </c>
      <c r="N2089" s="18">
        <f t="shared" si="190"/>
        <v>1.0374000000000001</v>
      </c>
      <c r="O2089" s="19">
        <f t="shared" si="191"/>
        <v>0</v>
      </c>
      <c r="P2089" s="13">
        <f t="shared" si="192"/>
        <v>0</v>
      </c>
      <c r="Q2089" s="32"/>
      <c r="R2089" s="32"/>
      <c r="S2089" s="32"/>
    </row>
    <row r="2090" spans="1:21">
      <c r="A2090" s="47" t="s">
        <v>147</v>
      </c>
      <c r="B2090" s="48" t="s">
        <v>148</v>
      </c>
      <c r="C2090" s="32">
        <v>320</v>
      </c>
      <c r="D2090" s="32"/>
      <c r="E2090" s="48" t="s">
        <v>17</v>
      </c>
      <c r="F2090" s="48" t="s">
        <v>160</v>
      </c>
      <c r="G2090" s="48" t="s">
        <v>29</v>
      </c>
      <c r="H2090" s="11">
        <v>10.92</v>
      </c>
      <c r="I2090" s="52">
        <v>11.3</v>
      </c>
      <c r="J2090" s="7">
        <v>11</v>
      </c>
      <c r="K2090" s="10">
        <f t="shared" si="189"/>
        <v>1.357356</v>
      </c>
      <c r="L2090" s="32"/>
      <c r="M2090" s="32">
        <v>11</v>
      </c>
      <c r="N2090" s="18">
        <f t="shared" si="190"/>
        <v>1.3573560000000002</v>
      </c>
      <c r="O2090" s="19">
        <f t="shared" si="191"/>
        <v>0</v>
      </c>
      <c r="P2090" s="13">
        <f t="shared" si="192"/>
        <v>0</v>
      </c>
      <c r="Q2090" s="32"/>
      <c r="R2090" s="32">
        <v>11</v>
      </c>
      <c r="S2090" s="32" t="s">
        <v>293</v>
      </c>
    </row>
    <row r="2091" spans="1:21">
      <c r="A2091" s="47" t="s">
        <v>147</v>
      </c>
      <c r="B2091" s="48" t="s">
        <v>148</v>
      </c>
      <c r="C2091" s="32">
        <v>321</v>
      </c>
      <c r="D2091" s="32"/>
      <c r="E2091" s="48" t="s">
        <v>17</v>
      </c>
      <c r="F2091" s="48" t="s">
        <v>160</v>
      </c>
      <c r="G2091" s="48" t="s">
        <v>29</v>
      </c>
      <c r="H2091" s="11">
        <v>10.92</v>
      </c>
      <c r="I2091" s="52">
        <v>7.5</v>
      </c>
      <c r="J2091" s="7">
        <v>22</v>
      </c>
      <c r="K2091" s="10">
        <f t="shared" si="189"/>
        <v>1.8018000000000003</v>
      </c>
      <c r="L2091" s="32"/>
      <c r="M2091" s="32">
        <f>18+4</f>
        <v>22</v>
      </c>
      <c r="N2091" s="18">
        <f t="shared" si="190"/>
        <v>1.8017999999999998</v>
      </c>
      <c r="O2091" s="19">
        <f t="shared" si="191"/>
        <v>0</v>
      </c>
      <c r="P2091" s="13">
        <f t="shared" si="192"/>
        <v>0</v>
      </c>
      <c r="Q2091" s="55">
        <v>6.55</v>
      </c>
      <c r="R2091" s="45">
        <v>4</v>
      </c>
      <c r="S2091" s="32" t="s">
        <v>374</v>
      </c>
    </row>
    <row r="2092" spans="1:21">
      <c r="A2092" s="47" t="s">
        <v>147</v>
      </c>
      <c r="B2092" s="48" t="s">
        <v>148</v>
      </c>
      <c r="C2092" s="32">
        <v>322</v>
      </c>
      <c r="D2092" s="32"/>
      <c r="E2092" s="48" t="s">
        <v>17</v>
      </c>
      <c r="F2092" s="48" t="s">
        <v>160</v>
      </c>
      <c r="G2092" s="48" t="s">
        <v>29</v>
      </c>
      <c r="H2092" s="11">
        <v>10.92</v>
      </c>
      <c r="I2092" s="52">
        <v>6.3</v>
      </c>
      <c r="J2092" s="7">
        <v>1</v>
      </c>
      <c r="K2092" s="10">
        <f t="shared" si="189"/>
        <v>6.8795999999999996E-2</v>
      </c>
      <c r="L2092" s="32"/>
      <c r="M2092" s="32">
        <v>1</v>
      </c>
      <c r="N2092" s="18">
        <f t="shared" si="190"/>
        <v>6.8795999999999996E-2</v>
      </c>
      <c r="O2092" s="19">
        <f t="shared" si="191"/>
        <v>0</v>
      </c>
      <c r="P2092" s="13">
        <f t="shared" si="192"/>
        <v>0</v>
      </c>
      <c r="Q2092" s="32">
        <v>6</v>
      </c>
      <c r="R2092" s="32">
        <v>1</v>
      </c>
      <c r="S2092" s="32" t="s">
        <v>540</v>
      </c>
    </row>
    <row r="2093" spans="1:21">
      <c r="A2093" s="47" t="s">
        <v>147</v>
      </c>
      <c r="B2093" s="48" t="s">
        <v>148</v>
      </c>
      <c r="C2093" s="32">
        <v>322</v>
      </c>
      <c r="D2093" s="32"/>
      <c r="E2093" s="48" t="s">
        <v>17</v>
      </c>
      <c r="F2093" s="48" t="s">
        <v>160</v>
      </c>
      <c r="G2093" s="48" t="s">
        <v>29</v>
      </c>
      <c r="H2093" s="11">
        <v>10.92</v>
      </c>
      <c r="I2093" s="52">
        <v>9.4</v>
      </c>
      <c r="J2093" s="7">
        <v>1</v>
      </c>
      <c r="K2093" s="10">
        <f t="shared" si="189"/>
        <v>0.10264799999999999</v>
      </c>
      <c r="L2093" s="32"/>
      <c r="M2093" s="32">
        <v>1</v>
      </c>
      <c r="N2093" s="18">
        <f t="shared" si="190"/>
        <v>0.10264799999999999</v>
      </c>
      <c r="O2093" s="19">
        <f t="shared" si="191"/>
        <v>0</v>
      </c>
      <c r="P2093" s="13">
        <f t="shared" si="192"/>
        <v>0</v>
      </c>
      <c r="Q2093" s="32">
        <v>7.5</v>
      </c>
      <c r="R2093" s="32">
        <v>1</v>
      </c>
      <c r="S2093" s="32" t="s">
        <v>540</v>
      </c>
    </row>
    <row r="2094" spans="1:21">
      <c r="A2094" s="47" t="s">
        <v>147</v>
      </c>
      <c r="B2094" s="48" t="s">
        <v>148</v>
      </c>
      <c r="C2094" s="32">
        <v>326</v>
      </c>
      <c r="D2094" s="32"/>
      <c r="E2094" s="48" t="s">
        <v>24</v>
      </c>
      <c r="F2094" s="48" t="s">
        <v>14</v>
      </c>
      <c r="G2094" s="48" t="s">
        <v>32</v>
      </c>
      <c r="H2094" s="11">
        <v>8.3000000000000007</v>
      </c>
      <c r="I2094" s="52">
        <v>8.25</v>
      </c>
      <c r="J2094" s="7">
        <v>12</v>
      </c>
      <c r="K2094" s="10">
        <f t="shared" si="189"/>
        <v>0.8217000000000001</v>
      </c>
      <c r="L2094" s="32"/>
      <c r="M2094" s="32">
        <v>12</v>
      </c>
      <c r="N2094" s="18">
        <f t="shared" si="190"/>
        <v>0.8217000000000001</v>
      </c>
      <c r="O2094" s="19">
        <f t="shared" si="191"/>
        <v>0</v>
      </c>
      <c r="P2094" s="13">
        <f t="shared" si="192"/>
        <v>0</v>
      </c>
      <c r="Q2094" s="32"/>
      <c r="R2094" s="32"/>
      <c r="S2094" s="32"/>
    </row>
    <row r="2095" spans="1:21">
      <c r="A2095" s="47" t="s">
        <v>147</v>
      </c>
      <c r="B2095" s="48" t="s">
        <v>148</v>
      </c>
      <c r="C2095" s="32">
        <v>327</v>
      </c>
      <c r="D2095" s="32"/>
      <c r="E2095" s="48" t="s">
        <v>24</v>
      </c>
      <c r="F2095" s="48" t="s">
        <v>14</v>
      </c>
      <c r="G2095" s="48" t="s">
        <v>32</v>
      </c>
      <c r="H2095" s="11">
        <v>8.3000000000000007</v>
      </c>
      <c r="I2095" s="52">
        <v>7.25</v>
      </c>
      <c r="J2095" s="7">
        <v>24</v>
      </c>
      <c r="K2095" s="10">
        <f t="shared" si="189"/>
        <v>1.4442000000000002</v>
      </c>
      <c r="L2095" s="32"/>
      <c r="M2095" s="32">
        <v>24</v>
      </c>
      <c r="N2095" s="18">
        <f t="shared" si="190"/>
        <v>1.4442000000000002</v>
      </c>
      <c r="O2095" s="19">
        <f t="shared" si="191"/>
        <v>0</v>
      </c>
      <c r="P2095" s="13">
        <f t="shared" si="192"/>
        <v>0</v>
      </c>
      <c r="Q2095" s="32"/>
      <c r="R2095" s="32"/>
      <c r="S2095" s="32"/>
    </row>
    <row r="2096" spans="1:21">
      <c r="A2096" s="47" t="s">
        <v>147</v>
      </c>
      <c r="B2096" s="48" t="s">
        <v>148</v>
      </c>
      <c r="C2096" s="32">
        <v>328</v>
      </c>
      <c r="D2096" s="32"/>
      <c r="E2096" s="48" t="s">
        <v>24</v>
      </c>
      <c r="F2096" s="48" t="s">
        <v>14</v>
      </c>
      <c r="G2096" s="48" t="s">
        <v>32</v>
      </c>
      <c r="H2096" s="11">
        <v>8.3000000000000007</v>
      </c>
      <c r="I2096" s="52">
        <v>12</v>
      </c>
      <c r="J2096" s="7">
        <v>33</v>
      </c>
      <c r="K2096" s="10">
        <f t="shared" si="189"/>
        <v>3.2868000000000004</v>
      </c>
      <c r="L2096" s="32"/>
      <c r="M2096" s="32">
        <v>33</v>
      </c>
      <c r="N2096" s="18">
        <f t="shared" si="190"/>
        <v>3.2868000000000004</v>
      </c>
      <c r="O2096" s="19">
        <f t="shared" si="191"/>
        <v>0</v>
      </c>
      <c r="P2096" s="13">
        <f t="shared" si="192"/>
        <v>0</v>
      </c>
      <c r="Q2096" s="32"/>
      <c r="R2096" s="32"/>
      <c r="S2096" s="32"/>
    </row>
    <row r="2097" spans="1:20">
      <c r="A2097" s="47" t="s">
        <v>147</v>
      </c>
      <c r="B2097" s="48" t="s">
        <v>148</v>
      </c>
      <c r="C2097" s="32">
        <v>329</v>
      </c>
      <c r="D2097" s="32"/>
      <c r="E2097" s="48" t="s">
        <v>24</v>
      </c>
      <c r="F2097" s="48" t="s">
        <v>14</v>
      </c>
      <c r="G2097" s="48" t="s">
        <v>32</v>
      </c>
      <c r="H2097" s="11">
        <v>8.3000000000000007</v>
      </c>
      <c r="I2097" s="52">
        <v>9.15</v>
      </c>
      <c r="J2097" s="7">
        <v>9</v>
      </c>
      <c r="K2097" s="10">
        <f t="shared" si="189"/>
        <v>0.68350500000000014</v>
      </c>
      <c r="L2097" s="32"/>
      <c r="M2097" s="32">
        <v>9</v>
      </c>
      <c r="N2097" s="18">
        <f t="shared" si="190"/>
        <v>0.68350500000000014</v>
      </c>
      <c r="O2097" s="19">
        <f t="shared" si="191"/>
        <v>0</v>
      </c>
      <c r="P2097" s="13">
        <f t="shared" si="192"/>
        <v>0</v>
      </c>
      <c r="Q2097" s="32"/>
      <c r="R2097" s="32"/>
      <c r="S2097" s="32"/>
    </row>
    <row r="2098" spans="1:20">
      <c r="A2098" s="47" t="s">
        <v>147</v>
      </c>
      <c r="B2098" s="48" t="s">
        <v>148</v>
      </c>
      <c r="C2098" s="32">
        <v>329</v>
      </c>
      <c r="D2098" s="32"/>
      <c r="E2098" s="48" t="s">
        <v>24</v>
      </c>
      <c r="F2098" s="48" t="s">
        <v>14</v>
      </c>
      <c r="G2098" s="48" t="s">
        <v>32</v>
      </c>
      <c r="H2098" s="11">
        <v>8.3000000000000007</v>
      </c>
      <c r="I2098" s="52">
        <v>11.55</v>
      </c>
      <c r="J2098" s="7">
        <v>8</v>
      </c>
      <c r="K2098" s="10">
        <f t="shared" si="189"/>
        <v>0.76692000000000005</v>
      </c>
      <c r="L2098" s="32"/>
      <c r="M2098" s="32">
        <v>8</v>
      </c>
      <c r="N2098" s="18">
        <f t="shared" si="190"/>
        <v>0.76692000000000005</v>
      </c>
      <c r="O2098" s="19">
        <f t="shared" si="191"/>
        <v>0</v>
      </c>
      <c r="P2098" s="13">
        <f t="shared" si="192"/>
        <v>0</v>
      </c>
      <c r="Q2098" s="32"/>
      <c r="R2098" s="32"/>
      <c r="S2098" s="32"/>
    </row>
    <row r="2099" spans="1:20">
      <c r="A2099" s="47" t="s">
        <v>147</v>
      </c>
      <c r="B2099" s="48" t="s">
        <v>148</v>
      </c>
      <c r="C2099" s="32">
        <v>330</v>
      </c>
      <c r="D2099" s="32"/>
      <c r="E2099" s="48" t="s">
        <v>24</v>
      </c>
      <c r="F2099" s="48" t="s">
        <v>14</v>
      </c>
      <c r="G2099" s="48" t="s">
        <v>32</v>
      </c>
      <c r="H2099" s="11">
        <v>8.3000000000000007</v>
      </c>
      <c r="I2099" s="52">
        <v>12</v>
      </c>
      <c r="J2099" s="7">
        <v>32</v>
      </c>
      <c r="K2099" s="10">
        <f t="shared" si="189"/>
        <v>3.1872000000000003</v>
      </c>
      <c r="L2099" s="32"/>
      <c r="M2099" s="32">
        <v>32</v>
      </c>
      <c r="N2099" s="18">
        <f t="shared" si="190"/>
        <v>3.1872000000000003</v>
      </c>
      <c r="O2099" s="19">
        <f t="shared" si="191"/>
        <v>0</v>
      </c>
      <c r="P2099" s="13">
        <f t="shared" si="192"/>
        <v>0</v>
      </c>
      <c r="Q2099" s="32"/>
      <c r="R2099" s="32"/>
      <c r="S2099" s="32"/>
    </row>
    <row r="2100" spans="1:20">
      <c r="A2100" s="47" t="s">
        <v>147</v>
      </c>
      <c r="B2100" s="48" t="s">
        <v>148</v>
      </c>
      <c r="C2100" s="32">
        <v>331</v>
      </c>
      <c r="D2100" s="32"/>
      <c r="E2100" s="48" t="s">
        <v>24</v>
      </c>
      <c r="F2100" s="48" t="s">
        <v>14</v>
      </c>
      <c r="G2100" s="48" t="s">
        <v>32</v>
      </c>
      <c r="H2100" s="11">
        <v>8.3000000000000007</v>
      </c>
      <c r="I2100" s="52">
        <v>11</v>
      </c>
      <c r="J2100" s="7">
        <v>6</v>
      </c>
      <c r="K2100" s="10">
        <f t="shared" si="189"/>
        <v>0.54780000000000006</v>
      </c>
      <c r="L2100" s="32"/>
      <c r="M2100" s="32">
        <v>6</v>
      </c>
      <c r="N2100" s="18">
        <f t="shared" si="190"/>
        <v>0.54780000000000006</v>
      </c>
      <c r="O2100" s="19">
        <f t="shared" si="191"/>
        <v>0</v>
      </c>
      <c r="P2100" s="13">
        <f t="shared" si="192"/>
        <v>0</v>
      </c>
      <c r="Q2100" s="32"/>
      <c r="R2100" s="32"/>
      <c r="S2100" s="32"/>
    </row>
    <row r="2101" spans="1:20">
      <c r="A2101" s="47" t="s">
        <v>147</v>
      </c>
      <c r="B2101" s="48" t="s">
        <v>148</v>
      </c>
      <c r="C2101" s="32">
        <v>331</v>
      </c>
      <c r="D2101" s="32"/>
      <c r="E2101" s="48" t="s">
        <v>24</v>
      </c>
      <c r="F2101" s="48" t="s">
        <v>14</v>
      </c>
      <c r="G2101" s="48" t="s">
        <v>32</v>
      </c>
      <c r="H2101" s="11">
        <v>8.3000000000000007</v>
      </c>
      <c r="I2101" s="52">
        <v>12</v>
      </c>
      <c r="J2101" s="7">
        <v>23</v>
      </c>
      <c r="K2101" s="10">
        <f t="shared" si="189"/>
        <v>2.2908000000000004</v>
      </c>
      <c r="L2101" s="32"/>
      <c r="M2101" s="32">
        <v>23</v>
      </c>
      <c r="N2101" s="18">
        <f t="shared" si="190"/>
        <v>2.2908000000000004</v>
      </c>
      <c r="O2101" s="19">
        <f t="shared" si="191"/>
        <v>0</v>
      </c>
      <c r="P2101" s="13">
        <f t="shared" si="192"/>
        <v>0</v>
      </c>
      <c r="Q2101" s="32"/>
      <c r="R2101" s="32"/>
      <c r="S2101" s="32"/>
    </row>
    <row r="2102" spans="1:20">
      <c r="A2102" s="42" t="s">
        <v>78</v>
      </c>
      <c r="B2102" s="3" t="s">
        <v>80</v>
      </c>
      <c r="C2102" s="3">
        <v>1</v>
      </c>
      <c r="D2102" s="1"/>
      <c r="E2102" s="12" t="s">
        <v>63</v>
      </c>
      <c r="F2102" s="7" t="s">
        <v>15</v>
      </c>
      <c r="G2102" s="7" t="s">
        <v>42</v>
      </c>
      <c r="H2102" s="11">
        <v>19.72</v>
      </c>
      <c r="I2102" s="8">
        <v>6</v>
      </c>
      <c r="J2102" s="26">
        <v>1</v>
      </c>
      <c r="K2102" s="10">
        <f t="shared" ref="K2102:K2144" si="193">(H2102*I2102*J2102/1000)</f>
        <v>0.11831999999999999</v>
      </c>
      <c r="L2102" s="4"/>
      <c r="M2102" s="17"/>
      <c r="N2102" s="18">
        <f t="shared" ref="N2102:N2144" si="194">I2102*M2102*H2102/1000</f>
        <v>0</v>
      </c>
      <c r="O2102" s="19">
        <f t="shared" ref="O2102:O2144" si="195">J2102-M2102</f>
        <v>1</v>
      </c>
      <c r="P2102" s="13">
        <f t="shared" ref="P2102:P2144" si="196">I2102*O2102*H2102/1000</f>
        <v>0.11831999999999999</v>
      </c>
      <c r="Q2102" s="9"/>
      <c r="R2102" s="2"/>
      <c r="S2102" s="2"/>
    </row>
    <row r="2103" spans="1:20">
      <c r="A2103" s="42" t="s">
        <v>78</v>
      </c>
      <c r="B2103" s="3" t="s">
        <v>80</v>
      </c>
      <c r="C2103" s="3">
        <v>2</v>
      </c>
      <c r="D2103" s="1"/>
      <c r="E2103" s="12" t="s">
        <v>20</v>
      </c>
      <c r="F2103" s="7" t="s">
        <v>15</v>
      </c>
      <c r="G2103" s="7" t="s">
        <v>34</v>
      </c>
      <c r="H2103" s="11">
        <v>9.61</v>
      </c>
      <c r="I2103" s="8">
        <v>12</v>
      </c>
      <c r="J2103" s="26">
        <v>1</v>
      </c>
      <c r="K2103" s="10">
        <f t="shared" si="193"/>
        <v>0.11531999999999999</v>
      </c>
      <c r="L2103" s="4"/>
      <c r="M2103" s="17">
        <v>1</v>
      </c>
      <c r="N2103" s="18">
        <f t="shared" si="194"/>
        <v>0.11531999999999999</v>
      </c>
      <c r="O2103" s="19">
        <f t="shared" si="195"/>
        <v>0</v>
      </c>
      <c r="P2103" s="13">
        <f t="shared" si="196"/>
        <v>0</v>
      </c>
      <c r="Q2103" s="9"/>
      <c r="R2103" s="2">
        <v>1</v>
      </c>
      <c r="S2103" s="32" t="s">
        <v>259</v>
      </c>
    </row>
    <row r="2104" spans="1:20">
      <c r="A2104" s="42" t="s">
        <v>78</v>
      </c>
      <c r="B2104" s="3" t="s">
        <v>80</v>
      </c>
      <c r="C2104" s="3">
        <v>3</v>
      </c>
      <c r="D2104" s="1"/>
      <c r="E2104" s="12" t="s">
        <v>76</v>
      </c>
      <c r="F2104" s="7" t="s">
        <v>15</v>
      </c>
      <c r="G2104" s="7" t="s">
        <v>18</v>
      </c>
      <c r="H2104" s="11">
        <v>6.86</v>
      </c>
      <c r="I2104" s="8">
        <v>12</v>
      </c>
      <c r="J2104" s="26">
        <v>5</v>
      </c>
      <c r="K2104" s="10">
        <f t="shared" si="193"/>
        <v>0.41160000000000002</v>
      </c>
      <c r="L2104" s="4"/>
      <c r="M2104" s="17">
        <v>5</v>
      </c>
      <c r="N2104" s="18">
        <f t="shared" si="194"/>
        <v>0.41160000000000002</v>
      </c>
      <c r="O2104" s="19">
        <f t="shared" si="195"/>
        <v>0</v>
      </c>
      <c r="P2104" s="13">
        <f t="shared" si="196"/>
        <v>0</v>
      </c>
      <c r="Q2104" s="9"/>
      <c r="R2104" s="2"/>
      <c r="S2104" s="2"/>
    </row>
    <row r="2105" spans="1:20">
      <c r="A2105" s="42" t="s">
        <v>78</v>
      </c>
      <c r="B2105" s="3" t="s">
        <v>80</v>
      </c>
      <c r="C2105" s="3">
        <v>4</v>
      </c>
      <c r="D2105" s="1"/>
      <c r="E2105" s="20" t="s">
        <v>24</v>
      </c>
      <c r="F2105" s="7" t="s">
        <v>14</v>
      </c>
      <c r="G2105" s="7" t="s">
        <v>16</v>
      </c>
      <c r="H2105" s="11">
        <v>5.77</v>
      </c>
      <c r="I2105" s="8">
        <v>12</v>
      </c>
      <c r="J2105" s="26">
        <v>2</v>
      </c>
      <c r="K2105" s="10">
        <f t="shared" si="193"/>
        <v>0.13847999999999999</v>
      </c>
      <c r="L2105" s="4"/>
      <c r="M2105" s="17">
        <v>2</v>
      </c>
      <c r="N2105" s="18">
        <f t="shared" si="194"/>
        <v>0.13847999999999999</v>
      </c>
      <c r="O2105" s="19">
        <f t="shared" si="195"/>
        <v>0</v>
      </c>
      <c r="P2105" s="13">
        <f t="shared" si="196"/>
        <v>0</v>
      </c>
      <c r="Q2105" s="9">
        <v>11.5</v>
      </c>
      <c r="R2105" s="2">
        <v>2</v>
      </c>
      <c r="S2105" s="32" t="s">
        <v>419</v>
      </c>
    </row>
    <row r="2106" spans="1:20">
      <c r="A2106" s="42" t="s">
        <v>78</v>
      </c>
      <c r="B2106" s="3" t="s">
        <v>80</v>
      </c>
      <c r="C2106" s="3">
        <v>4</v>
      </c>
      <c r="D2106" s="1"/>
      <c r="E2106" s="20" t="s">
        <v>24</v>
      </c>
      <c r="F2106" s="7" t="s">
        <v>14</v>
      </c>
      <c r="G2106" s="7" t="s">
        <v>16</v>
      </c>
      <c r="H2106" s="11">
        <v>5.77</v>
      </c>
      <c r="I2106" s="8">
        <v>10</v>
      </c>
      <c r="J2106" s="26">
        <v>1</v>
      </c>
      <c r="K2106" s="10">
        <f t="shared" si="193"/>
        <v>5.7699999999999994E-2</v>
      </c>
      <c r="L2106" s="4"/>
      <c r="M2106" s="17">
        <v>1</v>
      </c>
      <c r="N2106" s="18">
        <f t="shared" si="194"/>
        <v>5.7699999999999994E-2</v>
      </c>
      <c r="O2106" s="19">
        <f t="shared" si="195"/>
        <v>0</v>
      </c>
      <c r="P2106" s="13">
        <f t="shared" si="196"/>
        <v>0</v>
      </c>
      <c r="Q2106" s="9">
        <v>10</v>
      </c>
      <c r="R2106" s="2">
        <v>1</v>
      </c>
      <c r="S2106" s="32" t="s">
        <v>419</v>
      </c>
    </row>
    <row r="2107" spans="1:20">
      <c r="A2107" s="42" t="s">
        <v>78</v>
      </c>
      <c r="B2107" s="3" t="s">
        <v>80</v>
      </c>
      <c r="C2107" s="3">
        <v>5</v>
      </c>
      <c r="D2107" s="1"/>
      <c r="E2107" s="12" t="s">
        <v>20</v>
      </c>
      <c r="F2107" s="7" t="s">
        <v>15</v>
      </c>
      <c r="G2107" s="7" t="s">
        <v>30</v>
      </c>
      <c r="H2107" s="11">
        <v>9.26</v>
      </c>
      <c r="I2107" s="184">
        <v>12</v>
      </c>
      <c r="J2107" s="26">
        <v>3</v>
      </c>
      <c r="K2107" s="10">
        <f t="shared" si="193"/>
        <v>0.33335999999999999</v>
      </c>
      <c r="L2107" s="4"/>
      <c r="M2107" s="17">
        <v>3</v>
      </c>
      <c r="N2107" s="18">
        <f t="shared" si="194"/>
        <v>0.33335999999999999</v>
      </c>
      <c r="O2107" s="19">
        <f t="shared" si="195"/>
        <v>0</v>
      </c>
      <c r="P2107" s="13">
        <f t="shared" si="196"/>
        <v>0</v>
      </c>
      <c r="Q2107" s="9" t="s">
        <v>387</v>
      </c>
      <c r="R2107" s="2"/>
      <c r="S2107" s="50">
        <v>12</v>
      </c>
      <c r="T2107">
        <v>3</v>
      </c>
    </row>
    <row r="2108" spans="1:20">
      <c r="A2108" s="42" t="s">
        <v>78</v>
      </c>
      <c r="B2108" s="3" t="s">
        <v>80</v>
      </c>
      <c r="C2108" s="3">
        <v>5</v>
      </c>
      <c r="D2108" s="1"/>
      <c r="E2108" s="12" t="s">
        <v>20</v>
      </c>
      <c r="F2108" s="7" t="s">
        <v>15</v>
      </c>
      <c r="G2108" s="7" t="s">
        <v>30</v>
      </c>
      <c r="H2108" s="11">
        <v>9.26</v>
      </c>
      <c r="I2108" s="184">
        <v>11</v>
      </c>
      <c r="J2108" s="26">
        <v>1</v>
      </c>
      <c r="K2108" s="10">
        <f t="shared" si="193"/>
        <v>0.10186000000000001</v>
      </c>
      <c r="L2108" s="4"/>
      <c r="M2108" s="17">
        <v>1</v>
      </c>
      <c r="N2108" s="18">
        <f t="shared" si="194"/>
        <v>0.10186000000000001</v>
      </c>
      <c r="O2108" s="19">
        <f t="shared" si="195"/>
        <v>0</v>
      </c>
      <c r="P2108" s="13">
        <f t="shared" si="196"/>
        <v>0</v>
      </c>
      <c r="Q2108" s="9"/>
      <c r="R2108" s="2"/>
      <c r="S2108" s="50">
        <v>8</v>
      </c>
      <c r="T2108">
        <v>1</v>
      </c>
    </row>
    <row r="2109" spans="1:20">
      <c r="A2109" s="42" t="s">
        <v>78</v>
      </c>
      <c r="B2109" s="3" t="s">
        <v>80</v>
      </c>
      <c r="C2109" s="3">
        <v>6</v>
      </c>
      <c r="D2109" s="1"/>
      <c r="E2109" s="12" t="s">
        <v>20</v>
      </c>
      <c r="F2109" s="7" t="s">
        <v>15</v>
      </c>
      <c r="G2109" s="7" t="s">
        <v>57</v>
      </c>
      <c r="H2109" s="11">
        <v>33.72</v>
      </c>
      <c r="I2109" s="8">
        <v>11.1</v>
      </c>
      <c r="J2109" s="26">
        <v>1</v>
      </c>
      <c r="K2109" s="10">
        <f t="shared" si="193"/>
        <v>0.37429199999999996</v>
      </c>
      <c r="L2109" s="4"/>
      <c r="M2109" s="17">
        <v>1</v>
      </c>
      <c r="N2109" s="18">
        <f t="shared" si="194"/>
        <v>0.37429199999999996</v>
      </c>
      <c r="O2109" s="19">
        <f t="shared" si="195"/>
        <v>0</v>
      </c>
      <c r="P2109" s="13">
        <f t="shared" si="196"/>
        <v>0</v>
      </c>
      <c r="Q2109" s="32">
        <v>10.1</v>
      </c>
      <c r="R2109" s="2">
        <v>1</v>
      </c>
      <c r="S2109" s="32" t="s">
        <v>195</v>
      </c>
    </row>
    <row r="2110" spans="1:20">
      <c r="A2110" s="42" t="s">
        <v>78</v>
      </c>
      <c r="B2110" s="3" t="s">
        <v>80</v>
      </c>
      <c r="C2110" s="3">
        <v>6</v>
      </c>
      <c r="D2110" s="1"/>
      <c r="E2110" s="12" t="s">
        <v>20</v>
      </c>
      <c r="F2110" s="7" t="s">
        <v>15</v>
      </c>
      <c r="G2110" s="7" t="s">
        <v>57</v>
      </c>
      <c r="H2110" s="11">
        <v>33.72</v>
      </c>
      <c r="I2110" s="8">
        <v>6</v>
      </c>
      <c r="J2110" s="26">
        <v>2</v>
      </c>
      <c r="K2110" s="10">
        <f t="shared" si="193"/>
        <v>0.40464</v>
      </c>
      <c r="L2110" s="4"/>
      <c r="M2110" s="17">
        <v>2</v>
      </c>
      <c r="N2110" s="18">
        <f t="shared" si="194"/>
        <v>0.40464</v>
      </c>
      <c r="O2110" s="106">
        <f t="shared" si="195"/>
        <v>0</v>
      </c>
      <c r="P2110" s="13">
        <f t="shared" si="196"/>
        <v>0</v>
      </c>
      <c r="Q2110" s="359">
        <f t="shared" ref="Q2110" si="197">4.602+0.15</f>
        <v>4.7520000000000007</v>
      </c>
      <c r="R2110" s="90">
        <v>2</v>
      </c>
      <c r="S2110" s="2" t="s">
        <v>454</v>
      </c>
    </row>
    <row r="2111" spans="1:20">
      <c r="A2111" s="42" t="s">
        <v>78</v>
      </c>
      <c r="B2111" s="3" t="s">
        <v>80</v>
      </c>
      <c r="C2111" s="3">
        <v>7</v>
      </c>
      <c r="D2111" s="1"/>
      <c r="E2111" s="12" t="s">
        <v>19</v>
      </c>
      <c r="F2111" s="7" t="s">
        <v>14</v>
      </c>
      <c r="G2111" s="7" t="s">
        <v>42</v>
      </c>
      <c r="H2111" s="11">
        <v>19.72</v>
      </c>
      <c r="I2111" s="8">
        <v>11.8</v>
      </c>
      <c r="J2111" s="26">
        <v>1</v>
      </c>
      <c r="K2111" s="10">
        <f t="shared" si="193"/>
        <v>0.23269599999999999</v>
      </c>
      <c r="L2111" s="4"/>
      <c r="M2111" s="17">
        <v>1</v>
      </c>
      <c r="N2111" s="18">
        <f t="shared" si="194"/>
        <v>0.23269599999999999</v>
      </c>
      <c r="O2111" s="19">
        <f t="shared" si="195"/>
        <v>0</v>
      </c>
      <c r="P2111" s="13">
        <f t="shared" si="196"/>
        <v>0</v>
      </c>
      <c r="Q2111" s="32">
        <v>6.5</v>
      </c>
      <c r="R2111" s="2">
        <v>1</v>
      </c>
      <c r="S2111" s="32" t="s">
        <v>795</v>
      </c>
    </row>
    <row r="2112" spans="1:20">
      <c r="A2112" s="44" t="s">
        <v>78</v>
      </c>
      <c r="B2112" s="3" t="s">
        <v>80</v>
      </c>
      <c r="C2112" s="3">
        <v>1</v>
      </c>
      <c r="D2112" s="1"/>
      <c r="E2112" s="20" t="s">
        <v>20</v>
      </c>
      <c r="F2112" s="7" t="s">
        <v>15</v>
      </c>
      <c r="G2112" s="7" t="s">
        <v>60</v>
      </c>
      <c r="H2112" s="11">
        <v>22.93</v>
      </c>
      <c r="I2112" s="8">
        <v>12</v>
      </c>
      <c r="J2112" s="26">
        <v>1</v>
      </c>
      <c r="K2112" s="10">
        <f t="shared" si="193"/>
        <v>0.27515999999999996</v>
      </c>
      <c r="L2112" s="4"/>
      <c r="M2112" s="17">
        <v>1</v>
      </c>
      <c r="N2112" s="18">
        <f t="shared" si="194"/>
        <v>0.27515999999999996</v>
      </c>
      <c r="O2112" s="19">
        <f t="shared" si="195"/>
        <v>0</v>
      </c>
      <c r="P2112" s="13">
        <f t="shared" si="196"/>
        <v>0</v>
      </c>
      <c r="Q2112" s="9">
        <v>11</v>
      </c>
      <c r="R2112" s="45">
        <v>1</v>
      </c>
      <c r="S2112" s="2" t="s">
        <v>673</v>
      </c>
    </row>
    <row r="2113" spans="1:22">
      <c r="A2113" s="44" t="s">
        <v>78</v>
      </c>
      <c r="B2113" s="3" t="s">
        <v>80</v>
      </c>
      <c r="C2113" s="3">
        <v>2</v>
      </c>
      <c r="D2113" s="1"/>
      <c r="E2113" s="20" t="s">
        <v>20</v>
      </c>
      <c r="F2113" s="7" t="s">
        <v>15</v>
      </c>
      <c r="G2113" s="7" t="s">
        <v>66</v>
      </c>
      <c r="H2113" s="11">
        <v>29.5</v>
      </c>
      <c r="I2113" s="8">
        <v>11</v>
      </c>
      <c r="J2113" s="26">
        <v>1</v>
      </c>
      <c r="K2113" s="10">
        <f t="shared" si="193"/>
        <v>0.32450000000000001</v>
      </c>
      <c r="L2113" s="4"/>
      <c r="M2113" s="17">
        <v>1</v>
      </c>
      <c r="N2113" s="18">
        <f t="shared" si="194"/>
        <v>0.32450000000000001</v>
      </c>
      <c r="O2113" s="19">
        <f t="shared" si="195"/>
        <v>0</v>
      </c>
      <c r="P2113" s="13">
        <f t="shared" si="196"/>
        <v>0</v>
      </c>
      <c r="Q2113" s="9">
        <v>10.9</v>
      </c>
      <c r="R2113" s="45">
        <v>1</v>
      </c>
      <c r="S2113" s="45" t="s">
        <v>701</v>
      </c>
    </row>
    <row r="2114" spans="1:22">
      <c r="A2114" s="44" t="s">
        <v>78</v>
      </c>
      <c r="B2114" s="3" t="s">
        <v>80</v>
      </c>
      <c r="C2114" s="3">
        <v>3</v>
      </c>
      <c r="D2114" s="1"/>
      <c r="E2114" s="20" t="s">
        <v>91</v>
      </c>
      <c r="F2114" s="7" t="s">
        <v>15</v>
      </c>
      <c r="G2114" s="7" t="s">
        <v>57</v>
      </c>
      <c r="H2114" s="11">
        <v>33.72</v>
      </c>
      <c r="I2114" s="8">
        <v>7.5</v>
      </c>
      <c r="J2114" s="26">
        <v>4</v>
      </c>
      <c r="K2114" s="10">
        <f t="shared" si="193"/>
        <v>1.0115999999999998</v>
      </c>
      <c r="L2114" s="4"/>
      <c r="M2114" s="17">
        <v>4</v>
      </c>
      <c r="N2114" s="18">
        <f t="shared" si="194"/>
        <v>1.0115999999999998</v>
      </c>
      <c r="O2114" s="310">
        <f t="shared" si="195"/>
        <v>0</v>
      </c>
      <c r="P2114" s="13">
        <f t="shared" si="196"/>
        <v>0</v>
      </c>
      <c r="Q2114" s="9"/>
      <c r="R2114" s="32">
        <v>4</v>
      </c>
      <c r="S2114" s="2" t="s">
        <v>514</v>
      </c>
    </row>
    <row r="2115" spans="1:22">
      <c r="A2115" s="44" t="s">
        <v>78</v>
      </c>
      <c r="B2115" s="3" t="s">
        <v>80</v>
      </c>
      <c r="C2115" s="3">
        <v>4</v>
      </c>
      <c r="D2115" s="1"/>
      <c r="E2115" s="20" t="s">
        <v>20</v>
      </c>
      <c r="F2115" s="7" t="s">
        <v>15</v>
      </c>
      <c r="G2115" s="7" t="s">
        <v>48</v>
      </c>
      <c r="H2115" s="11">
        <v>23.6</v>
      </c>
      <c r="I2115" s="8">
        <v>7.6</v>
      </c>
      <c r="J2115" s="26">
        <v>2</v>
      </c>
      <c r="K2115" s="10">
        <f t="shared" si="193"/>
        <v>0.35872000000000004</v>
      </c>
      <c r="L2115" s="4"/>
      <c r="M2115" s="17">
        <v>2</v>
      </c>
      <c r="N2115" s="18">
        <f t="shared" si="194"/>
        <v>0.35872000000000004</v>
      </c>
      <c r="O2115" s="19">
        <f t="shared" si="195"/>
        <v>0</v>
      </c>
      <c r="P2115" s="13">
        <f t="shared" si="196"/>
        <v>0</v>
      </c>
      <c r="Q2115" s="33">
        <v>7</v>
      </c>
      <c r="R2115" s="32">
        <v>2</v>
      </c>
      <c r="S2115" s="2" t="s">
        <v>457</v>
      </c>
    </row>
    <row r="2116" spans="1:22">
      <c r="A2116" s="44" t="s">
        <v>78</v>
      </c>
      <c r="B2116" s="3" t="s">
        <v>80</v>
      </c>
      <c r="C2116" s="3">
        <v>5</v>
      </c>
      <c r="D2116" s="1"/>
      <c r="E2116" s="20" t="s">
        <v>20</v>
      </c>
      <c r="F2116" s="7" t="s">
        <v>15</v>
      </c>
      <c r="G2116" s="7" t="s">
        <v>28</v>
      </c>
      <c r="H2116" s="11">
        <v>12.18</v>
      </c>
      <c r="I2116" s="8">
        <v>11.2</v>
      </c>
      <c r="J2116" s="26">
        <v>1</v>
      </c>
      <c r="K2116" s="10">
        <f t="shared" si="193"/>
        <v>0.13641600000000001</v>
      </c>
      <c r="L2116" s="4"/>
      <c r="M2116" s="17">
        <v>1</v>
      </c>
      <c r="N2116" s="18">
        <f t="shared" si="194"/>
        <v>0.13641600000000001</v>
      </c>
      <c r="O2116" s="106">
        <f t="shared" si="195"/>
        <v>0</v>
      </c>
      <c r="P2116" s="13">
        <f t="shared" si="196"/>
        <v>0</v>
      </c>
      <c r="Q2116" s="9">
        <v>10.5</v>
      </c>
      <c r="R2116" s="2">
        <v>1</v>
      </c>
      <c r="S2116" s="2" t="s">
        <v>466</v>
      </c>
    </row>
    <row r="2117" spans="1:22">
      <c r="A2117" s="44" t="s">
        <v>78</v>
      </c>
      <c r="B2117" s="3" t="s">
        <v>80</v>
      </c>
      <c r="C2117" s="3">
        <v>6</v>
      </c>
      <c r="D2117" s="1"/>
      <c r="E2117" s="20" t="s">
        <v>20</v>
      </c>
      <c r="F2117" s="7" t="s">
        <v>15</v>
      </c>
      <c r="G2117" s="7" t="s">
        <v>35</v>
      </c>
      <c r="H2117" s="11">
        <v>16.579999999999998</v>
      </c>
      <c r="I2117" s="8">
        <v>7.3</v>
      </c>
      <c r="J2117" s="26">
        <v>1</v>
      </c>
      <c r="K2117" s="10">
        <f t="shared" si="193"/>
        <v>0.12103399999999997</v>
      </c>
      <c r="L2117" s="4"/>
      <c r="M2117" s="17"/>
      <c r="N2117" s="18">
        <f t="shared" si="194"/>
        <v>0</v>
      </c>
      <c r="O2117" s="19">
        <f t="shared" si="195"/>
        <v>1</v>
      </c>
      <c r="P2117" s="13">
        <f t="shared" si="196"/>
        <v>0.12103399999999997</v>
      </c>
      <c r="Q2117" s="9"/>
      <c r="R2117" s="32"/>
      <c r="S2117" s="32"/>
    </row>
    <row r="2118" spans="1:22">
      <c r="A2118" s="44" t="s">
        <v>78</v>
      </c>
      <c r="B2118" s="3" t="s">
        <v>80</v>
      </c>
      <c r="C2118" s="3">
        <v>6</v>
      </c>
      <c r="D2118" s="1"/>
      <c r="E2118" s="20" t="s">
        <v>85</v>
      </c>
      <c r="F2118" s="7" t="s">
        <v>15</v>
      </c>
      <c r="G2118" s="7" t="s">
        <v>35</v>
      </c>
      <c r="H2118" s="11">
        <v>16.579999999999998</v>
      </c>
      <c r="I2118" s="8">
        <v>9.6</v>
      </c>
      <c r="J2118" s="26">
        <v>1</v>
      </c>
      <c r="K2118" s="10">
        <f t="shared" si="193"/>
        <v>0.15916799999999998</v>
      </c>
      <c r="L2118" s="4"/>
      <c r="M2118" s="17">
        <v>1</v>
      </c>
      <c r="N2118" s="18">
        <f t="shared" si="194"/>
        <v>0.15916799999999998</v>
      </c>
      <c r="O2118" s="19">
        <f t="shared" si="195"/>
        <v>0</v>
      </c>
      <c r="P2118" s="13">
        <f t="shared" si="196"/>
        <v>0</v>
      </c>
      <c r="Q2118" s="9"/>
      <c r="R2118" s="32"/>
      <c r="S2118" s="32"/>
    </row>
    <row r="2119" spans="1:22">
      <c r="A2119" s="44" t="s">
        <v>78</v>
      </c>
      <c r="B2119" s="3" t="s">
        <v>80</v>
      </c>
      <c r="C2119" s="3">
        <v>6</v>
      </c>
      <c r="D2119" s="1"/>
      <c r="E2119" s="20" t="s">
        <v>20</v>
      </c>
      <c r="F2119" s="7" t="s">
        <v>15</v>
      </c>
      <c r="G2119" s="7" t="s">
        <v>35</v>
      </c>
      <c r="H2119" s="11">
        <v>16.579999999999998</v>
      </c>
      <c r="I2119" s="8">
        <v>8.1999999999999993</v>
      </c>
      <c r="J2119" s="26">
        <v>1</v>
      </c>
      <c r="K2119" s="10">
        <f t="shared" si="193"/>
        <v>0.13595599999999997</v>
      </c>
      <c r="L2119" s="4"/>
      <c r="M2119" s="17"/>
      <c r="N2119" s="18">
        <f t="shared" si="194"/>
        <v>0</v>
      </c>
      <c r="O2119" s="19">
        <f t="shared" si="195"/>
        <v>1</v>
      </c>
      <c r="P2119" s="13">
        <f t="shared" si="196"/>
        <v>0.13595599999999997</v>
      </c>
      <c r="Q2119" s="9"/>
      <c r="R2119" s="32"/>
      <c r="S2119" s="32"/>
    </row>
    <row r="2120" spans="1:22">
      <c r="A2120" s="44" t="s">
        <v>78</v>
      </c>
      <c r="B2120" s="3" t="s">
        <v>80</v>
      </c>
      <c r="C2120" s="3">
        <v>7</v>
      </c>
      <c r="D2120" s="1"/>
      <c r="E2120" s="20" t="s">
        <v>17</v>
      </c>
      <c r="F2120" s="7" t="s">
        <v>15</v>
      </c>
      <c r="G2120" s="7" t="s">
        <v>56</v>
      </c>
      <c r="H2120" s="11">
        <v>25.2</v>
      </c>
      <c r="I2120" s="8">
        <v>10.5</v>
      </c>
      <c r="J2120" s="26">
        <v>1</v>
      </c>
      <c r="K2120" s="10">
        <f t="shared" si="193"/>
        <v>0.26459999999999995</v>
      </c>
      <c r="L2120" s="4"/>
      <c r="M2120" s="17">
        <v>1</v>
      </c>
      <c r="N2120" s="18">
        <f t="shared" si="194"/>
        <v>0.26459999999999995</v>
      </c>
      <c r="O2120" s="19">
        <f t="shared" si="195"/>
        <v>0</v>
      </c>
      <c r="P2120" s="13">
        <f t="shared" si="196"/>
        <v>0</v>
      </c>
      <c r="Q2120" s="9">
        <v>9.6</v>
      </c>
      <c r="R2120" s="45">
        <v>1</v>
      </c>
      <c r="S2120" s="2" t="s">
        <v>685</v>
      </c>
      <c r="U2120" s="213"/>
    </row>
    <row r="2121" spans="1:22">
      <c r="A2121" s="44" t="s">
        <v>78</v>
      </c>
      <c r="B2121" s="3" t="s">
        <v>80</v>
      </c>
      <c r="C2121" s="3">
        <v>7</v>
      </c>
      <c r="D2121" s="1"/>
      <c r="E2121" s="20" t="s">
        <v>17</v>
      </c>
      <c r="F2121" s="7" t="s">
        <v>15</v>
      </c>
      <c r="G2121" s="7" t="s">
        <v>56</v>
      </c>
      <c r="H2121" s="11">
        <v>25.2</v>
      </c>
      <c r="I2121" s="8">
        <v>11.6</v>
      </c>
      <c r="J2121" s="26">
        <v>2</v>
      </c>
      <c r="K2121" s="10">
        <f t="shared" si="193"/>
        <v>0.58463999999999994</v>
      </c>
      <c r="L2121" s="4"/>
      <c r="M2121" s="17">
        <v>2</v>
      </c>
      <c r="N2121" s="18">
        <f t="shared" si="194"/>
        <v>0.58463999999999994</v>
      </c>
      <c r="O2121" s="19">
        <f t="shared" si="195"/>
        <v>0</v>
      </c>
      <c r="P2121" s="13">
        <f t="shared" si="196"/>
        <v>0</v>
      </c>
      <c r="Q2121" s="9">
        <v>11.6</v>
      </c>
      <c r="R2121" s="45">
        <v>2</v>
      </c>
      <c r="S2121" s="2" t="s">
        <v>685</v>
      </c>
      <c r="U2121" s="213"/>
    </row>
    <row r="2122" spans="1:22">
      <c r="A2122" s="44" t="s">
        <v>78</v>
      </c>
      <c r="B2122" s="3" t="s">
        <v>80</v>
      </c>
      <c r="C2122" s="3">
        <v>8</v>
      </c>
      <c r="D2122" s="1"/>
      <c r="E2122" s="20" t="s">
        <v>91</v>
      </c>
      <c r="F2122" s="7" t="s">
        <v>15</v>
      </c>
      <c r="G2122" s="7" t="s">
        <v>66</v>
      </c>
      <c r="H2122" s="11">
        <v>29.5</v>
      </c>
      <c r="I2122" s="8">
        <v>6.8</v>
      </c>
      <c r="J2122" s="26">
        <v>3</v>
      </c>
      <c r="K2122" s="10">
        <f t="shared" si="193"/>
        <v>0.6018</v>
      </c>
      <c r="L2122" s="4"/>
      <c r="M2122" s="17">
        <v>3</v>
      </c>
      <c r="N2122" s="18">
        <f t="shared" si="194"/>
        <v>0.6018</v>
      </c>
      <c r="O2122" s="19">
        <f t="shared" si="195"/>
        <v>0</v>
      </c>
      <c r="P2122" s="13">
        <f t="shared" si="196"/>
        <v>0</v>
      </c>
      <c r="Q2122" s="9"/>
      <c r="R2122" s="222">
        <v>3</v>
      </c>
      <c r="S2122" s="2" t="s">
        <v>514</v>
      </c>
    </row>
    <row r="2123" spans="1:22">
      <c r="A2123" s="44" t="s">
        <v>78</v>
      </c>
      <c r="B2123" s="3" t="s">
        <v>80</v>
      </c>
      <c r="C2123" s="3">
        <v>8</v>
      </c>
      <c r="D2123" s="1"/>
      <c r="E2123" s="20" t="s">
        <v>91</v>
      </c>
      <c r="F2123" s="7" t="s">
        <v>15</v>
      </c>
      <c r="G2123" s="7" t="s">
        <v>66</v>
      </c>
      <c r="H2123" s="11">
        <v>29.5</v>
      </c>
      <c r="I2123" s="8">
        <v>8.5</v>
      </c>
      <c r="J2123" s="26">
        <v>1</v>
      </c>
      <c r="K2123" s="10">
        <f t="shared" si="193"/>
        <v>0.25074999999999997</v>
      </c>
      <c r="L2123" s="4"/>
      <c r="M2123" s="17">
        <v>1</v>
      </c>
      <c r="N2123" s="18">
        <f t="shared" si="194"/>
        <v>0.25074999999999997</v>
      </c>
      <c r="O2123" s="19">
        <f t="shared" si="195"/>
        <v>0</v>
      </c>
      <c r="P2123" s="13">
        <f t="shared" si="196"/>
        <v>0</v>
      </c>
      <c r="Q2123" s="9"/>
      <c r="R2123" s="32"/>
      <c r="S2123" s="32"/>
      <c r="T2123" s="9">
        <v>7.3</v>
      </c>
      <c r="U2123" s="32">
        <v>1</v>
      </c>
      <c r="V2123" s="32" t="s">
        <v>217</v>
      </c>
    </row>
    <row r="2124" spans="1:22">
      <c r="A2124" s="44" t="s">
        <v>78</v>
      </c>
      <c r="B2124" s="3" t="s">
        <v>80</v>
      </c>
      <c r="C2124" s="3">
        <v>8</v>
      </c>
      <c r="D2124" s="1"/>
      <c r="E2124" s="20" t="s">
        <v>91</v>
      </c>
      <c r="F2124" s="7" t="s">
        <v>15</v>
      </c>
      <c r="G2124" s="7" t="s">
        <v>66</v>
      </c>
      <c r="H2124" s="11">
        <v>29.5</v>
      </c>
      <c r="I2124" s="8">
        <v>6.5</v>
      </c>
      <c r="J2124" s="26">
        <v>1</v>
      </c>
      <c r="K2124" s="10">
        <f t="shared" si="193"/>
        <v>0.19175</v>
      </c>
      <c r="L2124" s="4"/>
      <c r="M2124" s="17">
        <v>1</v>
      </c>
      <c r="N2124" s="18">
        <f t="shared" si="194"/>
        <v>0.19175</v>
      </c>
      <c r="O2124" s="19">
        <f t="shared" si="195"/>
        <v>0</v>
      </c>
      <c r="P2124" s="13">
        <f t="shared" si="196"/>
        <v>0</v>
      </c>
      <c r="Q2124" s="9"/>
      <c r="R2124" s="32">
        <v>1</v>
      </c>
      <c r="S2124" s="2" t="s">
        <v>514</v>
      </c>
    </row>
    <row r="2125" spans="1:22">
      <c r="A2125" s="44" t="s">
        <v>78</v>
      </c>
      <c r="B2125" s="3" t="s">
        <v>80</v>
      </c>
      <c r="C2125" s="3">
        <v>8</v>
      </c>
      <c r="D2125" s="1"/>
      <c r="E2125" s="20" t="s">
        <v>91</v>
      </c>
      <c r="F2125" s="7" t="s">
        <v>15</v>
      </c>
      <c r="G2125" s="7" t="s">
        <v>66</v>
      </c>
      <c r="H2125" s="11">
        <v>29.5</v>
      </c>
      <c r="I2125" s="8">
        <v>8.8000000000000007</v>
      </c>
      <c r="J2125" s="26">
        <v>3</v>
      </c>
      <c r="K2125" s="10">
        <f t="shared" si="193"/>
        <v>0.77880000000000005</v>
      </c>
      <c r="L2125" s="4"/>
      <c r="M2125" s="17">
        <v>3</v>
      </c>
      <c r="N2125" s="18">
        <f t="shared" si="194"/>
        <v>0.77880000000000005</v>
      </c>
      <c r="O2125" s="19">
        <f t="shared" si="195"/>
        <v>0</v>
      </c>
      <c r="P2125" s="13">
        <f t="shared" si="196"/>
        <v>0</v>
      </c>
      <c r="Q2125" s="9"/>
      <c r="R2125" s="32"/>
      <c r="S2125" s="32"/>
      <c r="T2125" s="9" t="s">
        <v>216</v>
      </c>
      <c r="U2125" s="32">
        <v>3</v>
      </c>
      <c r="V2125" s="32" t="s">
        <v>217</v>
      </c>
    </row>
    <row r="2126" spans="1:22">
      <c r="A2126" s="44" t="s">
        <v>78</v>
      </c>
      <c r="B2126" s="3" t="s">
        <v>80</v>
      </c>
      <c r="C2126" s="3">
        <v>8</v>
      </c>
      <c r="D2126" s="1"/>
      <c r="E2126" s="20" t="s">
        <v>91</v>
      </c>
      <c r="F2126" s="7" t="s">
        <v>15</v>
      </c>
      <c r="G2126" s="7" t="s">
        <v>66</v>
      </c>
      <c r="H2126" s="11">
        <v>29.5</v>
      </c>
      <c r="I2126" s="8">
        <v>10.3</v>
      </c>
      <c r="J2126" s="26">
        <v>1</v>
      </c>
      <c r="K2126" s="10">
        <f t="shared" si="193"/>
        <v>0.30385000000000001</v>
      </c>
      <c r="L2126" s="4"/>
      <c r="M2126" s="17">
        <v>1</v>
      </c>
      <c r="N2126" s="18">
        <f t="shared" si="194"/>
        <v>0.30385000000000001</v>
      </c>
      <c r="O2126" s="19">
        <f t="shared" si="195"/>
        <v>0</v>
      </c>
      <c r="P2126" s="13">
        <f t="shared" si="196"/>
        <v>0</v>
      </c>
      <c r="Q2126" s="9"/>
      <c r="R2126" s="32">
        <v>1</v>
      </c>
      <c r="S2126" s="2" t="s">
        <v>514</v>
      </c>
    </row>
    <row r="2127" spans="1:22">
      <c r="A2127" s="44" t="s">
        <v>78</v>
      </c>
      <c r="B2127" s="3" t="s">
        <v>80</v>
      </c>
      <c r="C2127" s="3">
        <v>8</v>
      </c>
      <c r="D2127" s="1"/>
      <c r="E2127" s="20" t="s">
        <v>91</v>
      </c>
      <c r="F2127" s="7" t="s">
        <v>15</v>
      </c>
      <c r="G2127" s="7" t="s">
        <v>66</v>
      </c>
      <c r="H2127" s="11">
        <v>29.5</v>
      </c>
      <c r="I2127" s="8">
        <v>12</v>
      </c>
      <c r="J2127" s="26">
        <v>1</v>
      </c>
      <c r="K2127" s="10">
        <f t="shared" si="193"/>
        <v>0.35399999999999998</v>
      </c>
      <c r="L2127" s="4"/>
      <c r="M2127" s="17">
        <v>1</v>
      </c>
      <c r="N2127" s="18">
        <f t="shared" si="194"/>
        <v>0.35399999999999998</v>
      </c>
      <c r="O2127" s="19">
        <f t="shared" si="195"/>
        <v>0</v>
      </c>
      <c r="P2127" s="13">
        <f t="shared" si="196"/>
        <v>0</v>
      </c>
      <c r="Q2127" s="9"/>
      <c r="R2127" s="32">
        <v>1</v>
      </c>
      <c r="S2127" s="2" t="s">
        <v>514</v>
      </c>
    </row>
    <row r="2128" spans="1:22">
      <c r="A2128" s="44" t="s">
        <v>78</v>
      </c>
      <c r="B2128" s="3" t="s">
        <v>80</v>
      </c>
      <c r="C2128" s="3">
        <v>9</v>
      </c>
      <c r="D2128" s="1"/>
      <c r="E2128" s="20" t="s">
        <v>20</v>
      </c>
      <c r="F2128" s="7" t="s">
        <v>15</v>
      </c>
      <c r="G2128" s="7" t="s">
        <v>29</v>
      </c>
      <c r="H2128" s="11">
        <v>10.92</v>
      </c>
      <c r="I2128" s="8">
        <v>7.5</v>
      </c>
      <c r="J2128" s="26">
        <v>1</v>
      </c>
      <c r="K2128" s="10">
        <f t="shared" si="193"/>
        <v>8.1900000000000001E-2</v>
      </c>
      <c r="L2128" s="4"/>
      <c r="M2128" s="32">
        <v>1</v>
      </c>
      <c r="N2128" s="18">
        <f t="shared" si="194"/>
        <v>8.1900000000000001E-2</v>
      </c>
      <c r="O2128" s="19">
        <f t="shared" si="195"/>
        <v>0</v>
      </c>
      <c r="P2128" s="13">
        <f t="shared" si="196"/>
        <v>0</v>
      </c>
      <c r="Q2128" s="32">
        <v>7.5</v>
      </c>
      <c r="R2128" s="32">
        <v>1</v>
      </c>
      <c r="S2128" s="32" t="s">
        <v>540</v>
      </c>
    </row>
    <row r="2129" spans="1:21">
      <c r="A2129" s="44" t="s">
        <v>78</v>
      </c>
      <c r="B2129" s="3" t="s">
        <v>80</v>
      </c>
      <c r="C2129" s="3">
        <v>9</v>
      </c>
      <c r="D2129" s="1"/>
      <c r="E2129" s="20" t="s">
        <v>20</v>
      </c>
      <c r="F2129" s="7" t="s">
        <v>15</v>
      </c>
      <c r="G2129" s="7" t="s">
        <v>29</v>
      </c>
      <c r="H2129" s="11">
        <v>10.92</v>
      </c>
      <c r="I2129" s="8">
        <v>9.1999999999999993</v>
      </c>
      <c r="J2129" s="26">
        <v>1</v>
      </c>
      <c r="K2129" s="10">
        <f t="shared" si="193"/>
        <v>0.100464</v>
      </c>
      <c r="L2129" s="4"/>
      <c r="M2129" s="17">
        <v>1</v>
      </c>
      <c r="N2129" s="18">
        <f t="shared" si="194"/>
        <v>0.100464</v>
      </c>
      <c r="O2129" s="19">
        <f t="shared" si="195"/>
        <v>0</v>
      </c>
      <c r="P2129" s="13">
        <f t="shared" si="196"/>
        <v>0</v>
      </c>
      <c r="Q2129" s="32">
        <v>7.5</v>
      </c>
      <c r="R2129" s="32">
        <v>1</v>
      </c>
      <c r="S2129" s="32" t="s">
        <v>540</v>
      </c>
    </row>
    <row r="2130" spans="1:21">
      <c r="A2130" s="44" t="s">
        <v>78</v>
      </c>
      <c r="B2130" s="3" t="s">
        <v>80</v>
      </c>
      <c r="C2130" s="3">
        <v>10</v>
      </c>
      <c r="D2130" s="1"/>
      <c r="E2130" s="20" t="s">
        <v>76</v>
      </c>
      <c r="F2130" s="7" t="s">
        <v>15</v>
      </c>
      <c r="G2130" s="7" t="s">
        <v>21</v>
      </c>
      <c r="H2130" s="11">
        <v>6.97</v>
      </c>
      <c r="I2130" s="8">
        <v>10.199999999999999</v>
      </c>
      <c r="J2130" s="26">
        <v>2</v>
      </c>
      <c r="K2130" s="10">
        <f t="shared" si="193"/>
        <v>0.14218799999999998</v>
      </c>
      <c r="L2130" s="4"/>
      <c r="M2130" s="17">
        <v>2</v>
      </c>
      <c r="N2130" s="18">
        <f t="shared" si="194"/>
        <v>0.14218799999999998</v>
      </c>
      <c r="O2130" s="19">
        <f t="shared" si="195"/>
        <v>0</v>
      </c>
      <c r="P2130" s="13">
        <f t="shared" si="196"/>
        <v>0</v>
      </c>
      <c r="Q2130" s="167">
        <v>10</v>
      </c>
      <c r="R2130" s="45">
        <v>2</v>
      </c>
      <c r="S2130" s="32" t="s">
        <v>272</v>
      </c>
    </row>
    <row r="2131" spans="1:21">
      <c r="A2131" s="44" t="s">
        <v>78</v>
      </c>
      <c r="B2131" s="3" t="s">
        <v>80</v>
      </c>
      <c r="C2131" s="3">
        <v>10</v>
      </c>
      <c r="D2131" s="1"/>
      <c r="E2131" s="20" t="s">
        <v>76</v>
      </c>
      <c r="F2131" s="7" t="s">
        <v>15</v>
      </c>
      <c r="G2131" s="7" t="s">
        <v>21</v>
      </c>
      <c r="H2131" s="11">
        <v>6.97</v>
      </c>
      <c r="I2131" s="8">
        <v>9.6</v>
      </c>
      <c r="J2131" s="26">
        <v>1</v>
      </c>
      <c r="K2131" s="10">
        <f t="shared" si="193"/>
        <v>6.6911999999999985E-2</v>
      </c>
      <c r="L2131" s="4"/>
      <c r="M2131" s="17">
        <v>1</v>
      </c>
      <c r="N2131" s="18">
        <f t="shared" si="194"/>
        <v>6.6911999999999985E-2</v>
      </c>
      <c r="O2131" s="19">
        <f t="shared" si="195"/>
        <v>0</v>
      </c>
      <c r="P2131" s="13">
        <f t="shared" si="196"/>
        <v>0</v>
      </c>
      <c r="Q2131" s="9"/>
      <c r="R2131" s="32"/>
      <c r="S2131" s="32"/>
    </row>
    <row r="2132" spans="1:21">
      <c r="A2132" s="44" t="s">
        <v>78</v>
      </c>
      <c r="B2132" s="3" t="s">
        <v>80</v>
      </c>
      <c r="C2132" s="3">
        <v>10</v>
      </c>
      <c r="D2132" s="1"/>
      <c r="E2132" s="20" t="s">
        <v>76</v>
      </c>
      <c r="F2132" s="7" t="s">
        <v>15</v>
      </c>
      <c r="G2132" s="7" t="s">
        <v>21</v>
      </c>
      <c r="H2132" s="11">
        <v>6.97</v>
      </c>
      <c r="I2132" s="8">
        <v>8.4</v>
      </c>
      <c r="J2132" s="26">
        <v>1</v>
      </c>
      <c r="K2132" s="10">
        <f t="shared" si="193"/>
        <v>5.8548000000000003E-2</v>
      </c>
      <c r="L2132" s="4"/>
      <c r="M2132" s="17"/>
      <c r="N2132" s="18">
        <f t="shared" si="194"/>
        <v>0</v>
      </c>
      <c r="O2132" s="19">
        <f t="shared" si="195"/>
        <v>1</v>
      </c>
      <c r="P2132" s="13">
        <f t="shared" si="196"/>
        <v>5.8548000000000003E-2</v>
      </c>
      <c r="Q2132" s="9"/>
      <c r="R2132" s="32"/>
      <c r="S2132" s="32"/>
    </row>
    <row r="2133" spans="1:21">
      <c r="A2133" s="44" t="s">
        <v>78</v>
      </c>
      <c r="B2133" s="3" t="s">
        <v>80</v>
      </c>
      <c r="C2133" s="3">
        <v>11</v>
      </c>
      <c r="D2133" s="1"/>
      <c r="E2133" s="20" t="s">
        <v>76</v>
      </c>
      <c r="F2133" s="7" t="s">
        <v>15</v>
      </c>
      <c r="G2133" s="7" t="s">
        <v>25</v>
      </c>
      <c r="H2133" s="11">
        <v>7.34</v>
      </c>
      <c r="I2133" s="8">
        <v>10.3</v>
      </c>
      <c r="J2133" s="26">
        <v>3</v>
      </c>
      <c r="K2133" s="10">
        <f t="shared" si="193"/>
        <v>0.22680600000000001</v>
      </c>
      <c r="L2133" s="4"/>
      <c r="M2133" s="17"/>
      <c r="N2133" s="18">
        <f t="shared" si="194"/>
        <v>0</v>
      </c>
      <c r="O2133" s="19">
        <f t="shared" si="195"/>
        <v>3</v>
      </c>
      <c r="P2133" s="13">
        <f t="shared" si="196"/>
        <v>0.22680600000000001</v>
      </c>
      <c r="Q2133" s="9"/>
      <c r="R2133" s="2"/>
      <c r="S2133" s="2"/>
    </row>
    <row r="2134" spans="1:21">
      <c r="A2134" s="44" t="s">
        <v>78</v>
      </c>
      <c r="B2134" s="3" t="s">
        <v>80</v>
      </c>
      <c r="C2134" s="3">
        <v>12</v>
      </c>
      <c r="D2134" s="1"/>
      <c r="E2134" s="20" t="s">
        <v>20</v>
      </c>
      <c r="F2134" s="7" t="s">
        <v>15</v>
      </c>
      <c r="G2134" s="7" t="s">
        <v>58</v>
      </c>
      <c r="H2134" s="11">
        <v>27.29</v>
      </c>
      <c r="I2134" s="8">
        <v>7.5</v>
      </c>
      <c r="J2134" s="26">
        <v>1</v>
      </c>
      <c r="K2134" s="10">
        <f t="shared" si="193"/>
        <v>0.204675</v>
      </c>
      <c r="L2134" s="4"/>
      <c r="M2134" s="17">
        <v>1</v>
      </c>
      <c r="N2134" s="18">
        <f t="shared" si="194"/>
        <v>0.204675</v>
      </c>
      <c r="O2134" s="19">
        <f t="shared" si="195"/>
        <v>0</v>
      </c>
      <c r="P2134" s="13">
        <f t="shared" si="196"/>
        <v>0</v>
      </c>
      <c r="Q2134" s="9">
        <v>6.7</v>
      </c>
      <c r="R2134" s="32">
        <v>1</v>
      </c>
      <c r="S2134" s="32" t="s">
        <v>215</v>
      </c>
    </row>
    <row r="2135" spans="1:21">
      <c r="A2135" s="44" t="s">
        <v>78</v>
      </c>
      <c r="B2135" s="3" t="s">
        <v>80</v>
      </c>
      <c r="C2135" s="3">
        <v>12</v>
      </c>
      <c r="D2135" s="1"/>
      <c r="E2135" s="20" t="s">
        <v>20</v>
      </c>
      <c r="F2135" s="7" t="s">
        <v>15</v>
      </c>
      <c r="G2135" s="7" t="s">
        <v>58</v>
      </c>
      <c r="H2135" s="11">
        <v>27.29</v>
      </c>
      <c r="I2135" s="8">
        <v>6.8</v>
      </c>
      <c r="J2135" s="26">
        <v>1</v>
      </c>
      <c r="K2135" s="10">
        <f t="shared" si="193"/>
        <v>0.18557200000000001</v>
      </c>
      <c r="L2135" s="4"/>
      <c r="M2135" s="17">
        <v>1</v>
      </c>
      <c r="N2135" s="18">
        <f t="shared" si="194"/>
        <v>0.18557200000000001</v>
      </c>
      <c r="O2135" s="19">
        <f t="shared" si="195"/>
        <v>0</v>
      </c>
      <c r="P2135" s="13">
        <f t="shared" si="196"/>
        <v>0</v>
      </c>
      <c r="Q2135" s="9">
        <v>6.7</v>
      </c>
      <c r="R2135" s="32">
        <v>1</v>
      </c>
      <c r="S2135" s="32" t="s">
        <v>215</v>
      </c>
    </row>
    <row r="2136" spans="1:21">
      <c r="A2136" s="44" t="s">
        <v>78</v>
      </c>
      <c r="B2136" s="3" t="s">
        <v>80</v>
      </c>
      <c r="C2136" s="3">
        <v>12</v>
      </c>
      <c r="D2136" s="1"/>
      <c r="E2136" s="20" t="s">
        <v>20</v>
      </c>
      <c r="F2136" s="7" t="s">
        <v>15</v>
      </c>
      <c r="G2136" s="7" t="s">
        <v>58</v>
      </c>
      <c r="H2136" s="11">
        <v>27.29</v>
      </c>
      <c r="I2136" s="8">
        <v>9.6999999999999993</v>
      </c>
      <c r="J2136" s="26">
        <v>1</v>
      </c>
      <c r="K2136" s="10">
        <f t="shared" si="193"/>
        <v>0.26471299999999998</v>
      </c>
      <c r="L2136" s="4"/>
      <c r="M2136" s="17">
        <v>1</v>
      </c>
      <c r="N2136" s="18">
        <f t="shared" si="194"/>
        <v>0.26471299999999998</v>
      </c>
      <c r="O2136" s="19">
        <f t="shared" si="195"/>
        <v>0</v>
      </c>
      <c r="P2136" s="13">
        <f t="shared" si="196"/>
        <v>0</v>
      </c>
      <c r="Q2136" s="9">
        <v>8.9</v>
      </c>
      <c r="R2136" s="32">
        <v>1</v>
      </c>
      <c r="S2136" s="32" t="s">
        <v>215</v>
      </c>
    </row>
    <row r="2137" spans="1:21">
      <c r="A2137" s="44" t="s">
        <v>78</v>
      </c>
      <c r="B2137" s="3" t="s">
        <v>80</v>
      </c>
      <c r="C2137" s="3">
        <v>12</v>
      </c>
      <c r="D2137" s="1"/>
      <c r="E2137" s="20" t="s">
        <v>20</v>
      </c>
      <c r="F2137" s="7" t="s">
        <v>15</v>
      </c>
      <c r="G2137" s="7" t="s">
        <v>58</v>
      </c>
      <c r="H2137" s="11">
        <v>27.29</v>
      </c>
      <c r="I2137" s="8">
        <v>7.6</v>
      </c>
      <c r="J2137" s="26">
        <v>1</v>
      </c>
      <c r="K2137" s="10">
        <f t="shared" si="193"/>
        <v>0.20740400000000001</v>
      </c>
      <c r="L2137" s="4"/>
      <c r="M2137" s="17">
        <v>1</v>
      </c>
      <c r="N2137" s="18">
        <f t="shared" si="194"/>
        <v>0.20740400000000001</v>
      </c>
      <c r="O2137" s="19">
        <f t="shared" si="195"/>
        <v>0</v>
      </c>
      <c r="P2137" s="13">
        <f t="shared" si="196"/>
        <v>0</v>
      </c>
      <c r="Q2137" s="9">
        <v>6.7</v>
      </c>
      <c r="R2137" s="32">
        <v>1</v>
      </c>
      <c r="S2137" s="32" t="s">
        <v>215</v>
      </c>
    </row>
    <row r="2138" spans="1:21">
      <c r="A2138" s="44" t="s">
        <v>78</v>
      </c>
      <c r="B2138" s="3" t="s">
        <v>80</v>
      </c>
      <c r="C2138" s="3">
        <v>13</v>
      </c>
      <c r="D2138" s="1"/>
      <c r="E2138" s="20" t="s">
        <v>76</v>
      </c>
      <c r="F2138" s="7" t="s">
        <v>15</v>
      </c>
      <c r="G2138" s="7" t="s">
        <v>44</v>
      </c>
      <c r="H2138" s="11">
        <v>13.4</v>
      </c>
      <c r="I2138" s="8">
        <v>8.6999999999999993</v>
      </c>
      <c r="J2138" s="26">
        <v>3</v>
      </c>
      <c r="K2138" s="10">
        <f t="shared" si="193"/>
        <v>0.34974</v>
      </c>
      <c r="L2138" s="4"/>
      <c r="M2138" s="17">
        <v>3</v>
      </c>
      <c r="N2138" s="18">
        <f t="shared" si="194"/>
        <v>0.34974</v>
      </c>
      <c r="O2138" s="19">
        <f t="shared" si="195"/>
        <v>0</v>
      </c>
      <c r="P2138" s="13">
        <f t="shared" si="196"/>
        <v>0</v>
      </c>
      <c r="Q2138" s="9">
        <v>8.1</v>
      </c>
      <c r="R2138" s="32">
        <v>3</v>
      </c>
      <c r="S2138" s="2" t="s">
        <v>485</v>
      </c>
    </row>
    <row r="2139" spans="1:21">
      <c r="A2139" s="44" t="s">
        <v>78</v>
      </c>
      <c r="B2139" s="3" t="s">
        <v>80</v>
      </c>
      <c r="C2139" s="3">
        <v>13</v>
      </c>
      <c r="D2139" s="1"/>
      <c r="E2139" s="20" t="s">
        <v>76</v>
      </c>
      <c r="F2139" s="7" t="s">
        <v>15</v>
      </c>
      <c r="G2139" s="7" t="s">
        <v>44</v>
      </c>
      <c r="H2139" s="11">
        <v>13.4</v>
      </c>
      <c r="I2139" s="8">
        <v>8.5</v>
      </c>
      <c r="J2139" s="26">
        <v>1</v>
      </c>
      <c r="K2139" s="10">
        <f t="shared" si="193"/>
        <v>0.1139</v>
      </c>
      <c r="L2139" s="4"/>
      <c r="M2139" s="17">
        <v>1</v>
      </c>
      <c r="N2139" s="18">
        <f t="shared" si="194"/>
        <v>0.1139</v>
      </c>
      <c r="O2139" s="19">
        <f t="shared" si="195"/>
        <v>0</v>
      </c>
      <c r="P2139" s="13">
        <f t="shared" si="196"/>
        <v>0</v>
      </c>
      <c r="Q2139" s="9">
        <v>8.1</v>
      </c>
      <c r="R2139" s="32">
        <v>1</v>
      </c>
      <c r="S2139" s="2" t="s">
        <v>485</v>
      </c>
    </row>
    <row r="2140" spans="1:21">
      <c r="A2140" s="44" t="s">
        <v>78</v>
      </c>
      <c r="B2140" s="3" t="s">
        <v>80</v>
      </c>
      <c r="C2140" s="3">
        <v>13</v>
      </c>
      <c r="D2140" s="1"/>
      <c r="E2140" s="20" t="s">
        <v>76</v>
      </c>
      <c r="F2140" s="7" t="s">
        <v>15</v>
      </c>
      <c r="G2140" s="7" t="s">
        <v>44</v>
      </c>
      <c r="H2140" s="11">
        <v>13.4</v>
      </c>
      <c r="I2140" s="8">
        <v>8.3000000000000007</v>
      </c>
      <c r="J2140" s="26">
        <v>2</v>
      </c>
      <c r="K2140" s="10">
        <f t="shared" si="193"/>
        <v>0.22244000000000003</v>
      </c>
      <c r="L2140" s="4"/>
      <c r="M2140" s="17">
        <v>2</v>
      </c>
      <c r="N2140" s="18">
        <f t="shared" si="194"/>
        <v>0.22244000000000003</v>
      </c>
      <c r="O2140" s="19">
        <f t="shared" si="195"/>
        <v>0</v>
      </c>
      <c r="P2140" s="13">
        <f t="shared" si="196"/>
        <v>0</v>
      </c>
      <c r="Q2140" s="9">
        <v>8.1</v>
      </c>
      <c r="R2140" s="32">
        <v>2</v>
      </c>
      <c r="S2140" s="2" t="s">
        <v>485</v>
      </c>
    </row>
    <row r="2141" spans="1:21">
      <c r="A2141" s="44" t="s">
        <v>78</v>
      </c>
      <c r="B2141" s="3" t="s">
        <v>80</v>
      </c>
      <c r="C2141" s="3">
        <v>13</v>
      </c>
      <c r="D2141" s="1"/>
      <c r="E2141" s="20" t="s">
        <v>76</v>
      </c>
      <c r="F2141" s="7" t="s">
        <v>15</v>
      </c>
      <c r="G2141" s="7" t="s">
        <v>44</v>
      </c>
      <c r="H2141" s="11">
        <v>13.4</v>
      </c>
      <c r="I2141" s="8">
        <v>8.1</v>
      </c>
      <c r="J2141" s="26">
        <v>2</v>
      </c>
      <c r="K2141" s="10">
        <f t="shared" si="193"/>
        <v>0.21708</v>
      </c>
      <c r="L2141" s="4"/>
      <c r="M2141" s="17">
        <v>2</v>
      </c>
      <c r="N2141" s="18">
        <f t="shared" si="194"/>
        <v>0.21708</v>
      </c>
      <c r="O2141" s="19">
        <f t="shared" si="195"/>
        <v>0</v>
      </c>
      <c r="P2141" s="13">
        <f t="shared" si="196"/>
        <v>0</v>
      </c>
      <c r="Q2141" s="9">
        <v>8.1</v>
      </c>
      <c r="R2141" s="32">
        <v>2</v>
      </c>
      <c r="S2141" s="2" t="s">
        <v>485</v>
      </c>
    </row>
    <row r="2142" spans="1:21">
      <c r="A2142" s="44" t="s">
        <v>78</v>
      </c>
      <c r="B2142" s="3" t="s">
        <v>80</v>
      </c>
      <c r="C2142" s="3">
        <v>13</v>
      </c>
      <c r="D2142" s="1"/>
      <c r="E2142" s="20" t="s">
        <v>76</v>
      </c>
      <c r="F2142" s="7" t="s">
        <v>15</v>
      </c>
      <c r="G2142" s="7" t="s">
        <v>44</v>
      </c>
      <c r="H2142" s="11">
        <v>13.4</v>
      </c>
      <c r="I2142" s="8">
        <v>6.4</v>
      </c>
      <c r="J2142" s="26">
        <v>1</v>
      </c>
      <c r="K2142" s="10">
        <f t="shared" si="193"/>
        <v>8.5760000000000003E-2</v>
      </c>
      <c r="L2142" s="4"/>
      <c r="M2142" s="17"/>
      <c r="N2142" s="18">
        <f t="shared" si="194"/>
        <v>0</v>
      </c>
      <c r="O2142" s="19">
        <f t="shared" si="195"/>
        <v>1</v>
      </c>
      <c r="P2142" s="13">
        <f t="shared" si="196"/>
        <v>8.5760000000000003E-2</v>
      </c>
      <c r="Q2142" s="9"/>
      <c r="R2142" s="32"/>
      <c r="S2142" s="2"/>
    </row>
    <row r="2143" spans="1:21">
      <c r="A2143" s="44" t="s">
        <v>78</v>
      </c>
      <c r="B2143" s="3" t="s">
        <v>80</v>
      </c>
      <c r="C2143" s="3">
        <v>1</v>
      </c>
      <c r="D2143" s="1"/>
      <c r="E2143" s="20" t="s">
        <v>17</v>
      </c>
      <c r="F2143" s="7" t="s">
        <v>15</v>
      </c>
      <c r="G2143" s="7" t="s">
        <v>21</v>
      </c>
      <c r="H2143" s="11">
        <v>6.97</v>
      </c>
      <c r="I2143" s="8">
        <v>9</v>
      </c>
      <c r="J2143" s="26">
        <v>1</v>
      </c>
      <c r="K2143" s="10">
        <f t="shared" si="193"/>
        <v>6.2729999999999994E-2</v>
      </c>
      <c r="L2143" s="4"/>
      <c r="M2143" s="17">
        <v>1</v>
      </c>
      <c r="N2143" s="18">
        <f t="shared" si="194"/>
        <v>6.2729999999999994E-2</v>
      </c>
      <c r="O2143" s="19">
        <f t="shared" si="195"/>
        <v>0</v>
      </c>
      <c r="P2143" s="13">
        <f t="shared" si="196"/>
        <v>0</v>
      </c>
      <c r="Q2143" s="9"/>
      <c r="R2143" s="32"/>
      <c r="S2143" s="127">
        <v>8</v>
      </c>
      <c r="T2143">
        <v>1</v>
      </c>
      <c r="U2143" t="s">
        <v>268</v>
      </c>
    </row>
    <row r="2144" spans="1:21">
      <c r="A2144" s="44" t="s">
        <v>78</v>
      </c>
      <c r="B2144" s="3" t="s">
        <v>80</v>
      </c>
      <c r="C2144" s="3">
        <v>2</v>
      </c>
      <c r="D2144" s="1"/>
      <c r="E2144" s="20" t="s">
        <v>17</v>
      </c>
      <c r="F2144" s="7" t="s">
        <v>15</v>
      </c>
      <c r="G2144" s="7" t="s">
        <v>16</v>
      </c>
      <c r="H2144" s="11">
        <v>5.77</v>
      </c>
      <c r="I2144" s="8">
        <v>10</v>
      </c>
      <c r="J2144" s="26">
        <v>1</v>
      </c>
      <c r="K2144" s="10">
        <f t="shared" si="193"/>
        <v>5.7699999999999994E-2</v>
      </c>
      <c r="L2144" s="4"/>
      <c r="M2144" s="17">
        <v>1</v>
      </c>
      <c r="N2144" s="18">
        <f t="shared" si="194"/>
        <v>5.7699999999999994E-2</v>
      </c>
      <c r="O2144" s="19">
        <f t="shared" si="195"/>
        <v>0</v>
      </c>
      <c r="P2144" s="13">
        <f t="shared" si="196"/>
        <v>0</v>
      </c>
      <c r="Q2144" s="9"/>
      <c r="R2144" s="45">
        <v>1</v>
      </c>
      <c r="S2144" s="2" t="s">
        <v>715</v>
      </c>
    </row>
    <row r="2145" spans="1:20">
      <c r="A2145" s="44" t="s">
        <v>78</v>
      </c>
      <c r="B2145" s="3" t="s">
        <v>80</v>
      </c>
      <c r="C2145" s="3">
        <v>3</v>
      </c>
      <c r="D2145" s="1"/>
      <c r="E2145" s="20" t="s">
        <v>81</v>
      </c>
      <c r="F2145" s="7" t="s">
        <v>14</v>
      </c>
      <c r="G2145" s="7" t="s">
        <v>108</v>
      </c>
      <c r="H2145" s="11">
        <v>16.399999999999999</v>
      </c>
      <c r="I2145" s="8">
        <v>12</v>
      </c>
      <c r="J2145" s="26">
        <v>1</v>
      </c>
      <c r="K2145" s="10">
        <f t="shared" ref="K2145:K2183" si="198">(H2145*I2145*J2145/1000)</f>
        <v>0.19679999999999997</v>
      </c>
      <c r="L2145" s="4"/>
      <c r="M2145" s="17"/>
      <c r="N2145" s="18">
        <f t="shared" ref="N2145:N2183" si="199">I2145*M2145*H2145/1000</f>
        <v>0</v>
      </c>
      <c r="O2145" s="19">
        <f t="shared" ref="O2145:O2183" si="200">J2145-M2145</f>
        <v>1</v>
      </c>
      <c r="P2145" s="13">
        <f t="shared" ref="P2145:P2183" si="201">I2145*O2145*H2145/1000</f>
        <v>0.19679999999999997</v>
      </c>
      <c r="Q2145" s="9"/>
      <c r="R2145" s="32"/>
      <c r="S2145" s="32"/>
    </row>
    <row r="2146" spans="1:20">
      <c r="A2146" s="44" t="s">
        <v>78</v>
      </c>
      <c r="B2146" s="3" t="s">
        <v>80</v>
      </c>
      <c r="C2146" s="3">
        <v>3</v>
      </c>
      <c r="D2146" s="1"/>
      <c r="E2146" s="20" t="s">
        <v>81</v>
      </c>
      <c r="F2146" s="7" t="s">
        <v>14</v>
      </c>
      <c r="G2146" s="7" t="s">
        <v>108</v>
      </c>
      <c r="H2146" s="11">
        <v>16.399999999999999</v>
      </c>
      <c r="I2146" s="8">
        <v>11</v>
      </c>
      <c r="J2146" s="26">
        <v>1</v>
      </c>
      <c r="K2146" s="10">
        <f t="shared" si="198"/>
        <v>0.18039999999999998</v>
      </c>
      <c r="L2146" s="4"/>
      <c r="M2146" s="17"/>
      <c r="N2146" s="18">
        <f t="shared" si="199"/>
        <v>0</v>
      </c>
      <c r="O2146" s="19">
        <f t="shared" si="200"/>
        <v>1</v>
      </c>
      <c r="P2146" s="13">
        <f t="shared" si="201"/>
        <v>0.18039999999999998</v>
      </c>
      <c r="Q2146" s="9"/>
      <c r="R2146" s="32"/>
      <c r="S2146" s="32"/>
    </row>
    <row r="2147" spans="1:20">
      <c r="A2147" s="44" t="s">
        <v>78</v>
      </c>
      <c r="B2147" s="3" t="s">
        <v>80</v>
      </c>
      <c r="C2147" s="3">
        <v>4</v>
      </c>
      <c r="D2147" s="1"/>
      <c r="E2147" s="20" t="s">
        <v>20</v>
      </c>
      <c r="F2147" s="7" t="s">
        <v>15</v>
      </c>
      <c r="G2147" s="7" t="s">
        <v>34</v>
      </c>
      <c r="H2147" s="11">
        <v>9.61</v>
      </c>
      <c r="I2147" s="8">
        <v>11.5</v>
      </c>
      <c r="J2147" s="26">
        <v>1</v>
      </c>
      <c r="K2147" s="10">
        <f t="shared" si="198"/>
        <v>0.11051499999999999</v>
      </c>
      <c r="L2147" s="4"/>
      <c r="M2147" s="17">
        <v>1</v>
      </c>
      <c r="N2147" s="18">
        <f t="shared" si="199"/>
        <v>0.11051499999999999</v>
      </c>
      <c r="O2147" s="19">
        <f t="shared" si="200"/>
        <v>0</v>
      </c>
      <c r="P2147" s="13">
        <f t="shared" si="201"/>
        <v>0</v>
      </c>
      <c r="Q2147" s="9"/>
      <c r="R2147" s="32">
        <v>1</v>
      </c>
      <c r="S2147" s="32" t="s">
        <v>259</v>
      </c>
    </row>
    <row r="2148" spans="1:20">
      <c r="A2148" s="44" t="s">
        <v>78</v>
      </c>
      <c r="B2148" s="3" t="s">
        <v>80</v>
      </c>
      <c r="C2148" s="3">
        <v>4</v>
      </c>
      <c r="D2148" s="1"/>
      <c r="E2148" s="20" t="s">
        <v>20</v>
      </c>
      <c r="F2148" s="7" t="s">
        <v>15</v>
      </c>
      <c r="G2148" s="7" t="s">
        <v>34</v>
      </c>
      <c r="H2148" s="11">
        <v>9.61</v>
      </c>
      <c r="I2148" s="8">
        <v>12</v>
      </c>
      <c r="J2148" s="26">
        <v>2</v>
      </c>
      <c r="K2148" s="10">
        <f t="shared" si="198"/>
        <v>0.23063999999999998</v>
      </c>
      <c r="L2148" s="4"/>
      <c r="M2148" s="17">
        <v>2</v>
      </c>
      <c r="N2148" s="18">
        <f t="shared" si="199"/>
        <v>0.23063999999999998</v>
      </c>
      <c r="O2148" s="19">
        <f t="shared" si="200"/>
        <v>0</v>
      </c>
      <c r="P2148" s="13">
        <f t="shared" si="201"/>
        <v>0</v>
      </c>
      <c r="Q2148" s="9"/>
      <c r="R2148" s="32">
        <v>2</v>
      </c>
      <c r="S2148" s="32" t="s">
        <v>259</v>
      </c>
    </row>
    <row r="2149" spans="1:20">
      <c r="A2149" s="44" t="s">
        <v>78</v>
      </c>
      <c r="B2149" s="3" t="s">
        <v>80</v>
      </c>
      <c r="C2149" s="3">
        <v>5</v>
      </c>
      <c r="D2149" s="1"/>
      <c r="E2149" s="20" t="s">
        <v>19</v>
      </c>
      <c r="F2149" s="7" t="s">
        <v>14</v>
      </c>
      <c r="G2149" s="7" t="s">
        <v>43</v>
      </c>
      <c r="H2149" s="11">
        <v>15.04</v>
      </c>
      <c r="I2149" s="8">
        <v>10.4</v>
      </c>
      <c r="J2149" s="26">
        <v>1</v>
      </c>
      <c r="K2149" s="10">
        <f t="shared" si="198"/>
        <v>0.156416</v>
      </c>
      <c r="L2149" s="4"/>
      <c r="M2149" s="17">
        <v>1</v>
      </c>
      <c r="N2149" s="18">
        <f t="shared" si="199"/>
        <v>0.156416</v>
      </c>
      <c r="O2149" s="19">
        <f t="shared" si="200"/>
        <v>0</v>
      </c>
      <c r="P2149" s="13">
        <f t="shared" si="201"/>
        <v>0</v>
      </c>
      <c r="Q2149" s="9"/>
      <c r="R2149" s="45">
        <v>1</v>
      </c>
      <c r="S2149" s="32" t="s">
        <v>736</v>
      </c>
    </row>
    <row r="2150" spans="1:20">
      <c r="A2150" s="44" t="s">
        <v>78</v>
      </c>
      <c r="B2150" s="3" t="s">
        <v>80</v>
      </c>
      <c r="C2150" s="3">
        <v>5</v>
      </c>
      <c r="D2150" s="1"/>
      <c r="E2150" s="20" t="s">
        <v>19</v>
      </c>
      <c r="F2150" s="7" t="s">
        <v>14</v>
      </c>
      <c r="G2150" s="7" t="s">
        <v>43</v>
      </c>
      <c r="H2150" s="11">
        <v>15.04</v>
      </c>
      <c r="I2150" s="8">
        <v>8.1</v>
      </c>
      <c r="J2150" s="26">
        <v>1</v>
      </c>
      <c r="K2150" s="10">
        <f t="shared" si="198"/>
        <v>0.12182399999999999</v>
      </c>
      <c r="L2150" s="4"/>
      <c r="M2150" s="17">
        <v>1</v>
      </c>
      <c r="N2150" s="18">
        <f t="shared" si="199"/>
        <v>0.12182399999999999</v>
      </c>
      <c r="O2150" s="19">
        <f t="shared" si="200"/>
        <v>0</v>
      </c>
      <c r="P2150" s="13">
        <f t="shared" si="201"/>
        <v>0</v>
      </c>
      <c r="Q2150" s="9">
        <v>8.1</v>
      </c>
      <c r="R2150" s="32">
        <v>1</v>
      </c>
      <c r="S2150" s="32" t="s">
        <v>455</v>
      </c>
    </row>
    <row r="2151" spans="1:20">
      <c r="A2151" s="44" t="s">
        <v>78</v>
      </c>
      <c r="B2151" s="3" t="s">
        <v>80</v>
      </c>
      <c r="C2151" s="3">
        <v>6</v>
      </c>
      <c r="D2151" s="1"/>
      <c r="E2151" s="20" t="s">
        <v>19</v>
      </c>
      <c r="F2151" s="7" t="s">
        <v>14</v>
      </c>
      <c r="G2151" s="7" t="s">
        <v>28</v>
      </c>
      <c r="H2151" s="11">
        <v>12.18</v>
      </c>
      <c r="I2151" s="8">
        <v>5.4</v>
      </c>
      <c r="J2151" s="26">
        <v>1</v>
      </c>
      <c r="K2151" s="10">
        <f t="shared" si="198"/>
        <v>6.5772000000000011E-2</v>
      </c>
      <c r="L2151" s="4"/>
      <c r="M2151" s="17"/>
      <c r="N2151" s="18">
        <f t="shared" si="199"/>
        <v>0</v>
      </c>
      <c r="O2151" s="19">
        <f t="shared" si="200"/>
        <v>1</v>
      </c>
      <c r="P2151" s="13">
        <f t="shared" si="201"/>
        <v>6.5772000000000011E-2</v>
      </c>
      <c r="Q2151" s="9"/>
      <c r="R2151" s="32"/>
      <c r="S2151" s="32"/>
    </row>
    <row r="2152" spans="1:20">
      <c r="A2152" s="44" t="s">
        <v>78</v>
      </c>
      <c r="B2152" s="3" t="s">
        <v>80</v>
      </c>
      <c r="C2152" s="3"/>
      <c r="D2152" s="1"/>
      <c r="E2152" s="20"/>
      <c r="F2152" s="7" t="s">
        <v>14</v>
      </c>
      <c r="G2152" s="7" t="s">
        <v>28</v>
      </c>
      <c r="H2152" s="11">
        <v>12.18</v>
      </c>
      <c r="I2152" s="8">
        <v>6.75</v>
      </c>
      <c r="J2152" s="26">
        <v>1</v>
      </c>
      <c r="K2152" s="10">
        <f t="shared" si="198"/>
        <v>8.221500000000001E-2</v>
      </c>
      <c r="L2152" s="4"/>
      <c r="M2152" s="17"/>
      <c r="N2152" s="18">
        <f t="shared" si="199"/>
        <v>0</v>
      </c>
      <c r="O2152" s="19">
        <f t="shared" si="200"/>
        <v>1</v>
      </c>
      <c r="P2152" s="13">
        <f t="shared" si="201"/>
        <v>8.221500000000001E-2</v>
      </c>
      <c r="Q2152" s="9"/>
      <c r="R2152" s="32"/>
      <c r="S2152" s="32"/>
    </row>
    <row r="2153" spans="1:20">
      <c r="A2153" s="44" t="s">
        <v>78</v>
      </c>
      <c r="B2153" s="3" t="s">
        <v>80</v>
      </c>
      <c r="C2153" s="3">
        <v>7</v>
      </c>
      <c r="D2153" s="1"/>
      <c r="E2153" s="20" t="s">
        <v>20</v>
      </c>
      <c r="F2153" s="7" t="s">
        <v>15</v>
      </c>
      <c r="G2153" s="7" t="s">
        <v>43</v>
      </c>
      <c r="H2153" s="11">
        <v>15.04</v>
      </c>
      <c r="I2153" s="8">
        <v>7.6</v>
      </c>
      <c r="J2153" s="26">
        <v>2</v>
      </c>
      <c r="K2153" s="10">
        <f t="shared" si="198"/>
        <v>0.22860799999999998</v>
      </c>
      <c r="L2153" s="329" t="s">
        <v>385</v>
      </c>
      <c r="M2153" s="17">
        <v>2</v>
      </c>
      <c r="N2153" s="18">
        <f t="shared" si="199"/>
        <v>0.22860799999999998</v>
      </c>
      <c r="O2153" s="19">
        <f t="shared" si="200"/>
        <v>0</v>
      </c>
      <c r="P2153" s="13">
        <f t="shared" si="201"/>
        <v>0</v>
      </c>
      <c r="Q2153" s="111">
        <v>6.7</v>
      </c>
      <c r="R2153" s="32">
        <v>2</v>
      </c>
      <c r="S2153" s="486" t="s">
        <v>735</v>
      </c>
    </row>
    <row r="2154" spans="1:20">
      <c r="A2154" s="44" t="s">
        <v>78</v>
      </c>
      <c r="B2154" s="3" t="s">
        <v>80</v>
      </c>
      <c r="C2154" s="3">
        <v>8</v>
      </c>
      <c r="D2154" s="1"/>
      <c r="E2154" s="20" t="s">
        <v>20</v>
      </c>
      <c r="F2154" s="7" t="s">
        <v>15</v>
      </c>
      <c r="G2154" s="7" t="s">
        <v>43</v>
      </c>
      <c r="H2154" s="11">
        <v>15.04</v>
      </c>
      <c r="I2154" s="8">
        <v>6.2</v>
      </c>
      <c r="J2154" s="26">
        <v>2</v>
      </c>
      <c r="K2154" s="10">
        <f t="shared" si="198"/>
        <v>0.18649599999999997</v>
      </c>
      <c r="L2154" s="4"/>
      <c r="M2154" s="17">
        <v>2</v>
      </c>
      <c r="N2154" s="18">
        <f t="shared" si="199"/>
        <v>0.18649599999999997</v>
      </c>
      <c r="O2154" s="106">
        <f t="shared" si="200"/>
        <v>0</v>
      </c>
      <c r="P2154" s="13">
        <f t="shared" si="201"/>
        <v>0</v>
      </c>
      <c r="Q2154" s="111" t="s">
        <v>367</v>
      </c>
      <c r="R2154" s="32"/>
      <c r="S2154" s="162">
        <v>6</v>
      </c>
      <c r="T2154">
        <v>2</v>
      </c>
    </row>
    <row r="2155" spans="1:20">
      <c r="A2155" s="44" t="s">
        <v>78</v>
      </c>
      <c r="B2155" s="3" t="s">
        <v>80</v>
      </c>
      <c r="C2155" s="3">
        <v>9</v>
      </c>
      <c r="D2155" s="1"/>
      <c r="E2155" s="20" t="s">
        <v>17</v>
      </c>
      <c r="F2155" s="7" t="s">
        <v>15</v>
      </c>
      <c r="G2155" s="7" t="s">
        <v>44</v>
      </c>
      <c r="H2155" s="11">
        <v>13.4</v>
      </c>
      <c r="I2155" s="8">
        <v>9.1999999999999993</v>
      </c>
      <c r="J2155" s="26">
        <v>1</v>
      </c>
      <c r="K2155" s="10">
        <f t="shared" si="198"/>
        <v>0.12327999999999999</v>
      </c>
      <c r="L2155" s="4"/>
      <c r="M2155" s="17">
        <v>1</v>
      </c>
      <c r="N2155" s="18">
        <f t="shared" si="199"/>
        <v>0.12327999999999999</v>
      </c>
      <c r="O2155" s="19">
        <f t="shared" si="200"/>
        <v>0</v>
      </c>
      <c r="P2155" s="13">
        <f t="shared" si="201"/>
        <v>0</v>
      </c>
      <c r="Q2155" s="9">
        <v>8.6</v>
      </c>
      <c r="R2155" s="32">
        <v>1</v>
      </c>
      <c r="S2155" s="2" t="s">
        <v>197</v>
      </c>
    </row>
    <row r="2156" spans="1:20">
      <c r="A2156" s="44" t="s">
        <v>78</v>
      </c>
      <c r="B2156" s="3" t="s">
        <v>80</v>
      </c>
      <c r="C2156" s="3">
        <v>9</v>
      </c>
      <c r="D2156" s="1"/>
      <c r="E2156" s="20" t="s">
        <v>17</v>
      </c>
      <c r="F2156" s="7" t="s">
        <v>15</v>
      </c>
      <c r="G2156" s="7" t="s">
        <v>44</v>
      </c>
      <c r="H2156" s="11">
        <v>13.4</v>
      </c>
      <c r="I2156" s="8">
        <v>8.3000000000000007</v>
      </c>
      <c r="J2156" s="26">
        <v>1</v>
      </c>
      <c r="K2156" s="10">
        <f t="shared" si="198"/>
        <v>0.11122000000000001</v>
      </c>
      <c r="L2156" s="4"/>
      <c r="M2156" s="17">
        <v>1</v>
      </c>
      <c r="N2156" s="18">
        <f t="shared" si="199"/>
        <v>0.11122000000000001</v>
      </c>
      <c r="O2156" s="19">
        <f t="shared" si="200"/>
        <v>0</v>
      </c>
      <c r="P2156" s="13">
        <f t="shared" si="201"/>
        <v>0</v>
      </c>
      <c r="Q2156" s="9">
        <v>7.8</v>
      </c>
      <c r="R2156" s="32">
        <v>1</v>
      </c>
      <c r="S2156" s="2" t="s">
        <v>197</v>
      </c>
    </row>
    <row r="2157" spans="1:20">
      <c r="A2157" s="44" t="s">
        <v>78</v>
      </c>
      <c r="B2157" s="3" t="s">
        <v>80</v>
      </c>
      <c r="C2157" s="3">
        <v>9</v>
      </c>
      <c r="D2157" s="1"/>
      <c r="E2157" s="20" t="s">
        <v>17</v>
      </c>
      <c r="F2157" s="7" t="s">
        <v>15</v>
      </c>
      <c r="G2157" s="7" t="s">
        <v>44</v>
      </c>
      <c r="H2157" s="11">
        <v>13.4</v>
      </c>
      <c r="I2157" s="8">
        <v>6.9</v>
      </c>
      <c r="J2157" s="26">
        <v>1</v>
      </c>
      <c r="K2157" s="10">
        <f t="shared" si="198"/>
        <v>9.2460000000000014E-2</v>
      </c>
      <c r="L2157" s="4"/>
      <c r="M2157" s="17">
        <v>1</v>
      </c>
      <c r="N2157" s="18">
        <f t="shared" si="199"/>
        <v>9.2460000000000014E-2</v>
      </c>
      <c r="O2157" s="19">
        <f t="shared" si="200"/>
        <v>0</v>
      </c>
      <c r="P2157" s="13">
        <f t="shared" si="201"/>
        <v>0</v>
      </c>
      <c r="Q2157" s="9">
        <v>6.65</v>
      </c>
      <c r="R2157" s="32">
        <v>1</v>
      </c>
      <c r="S2157" s="2" t="s">
        <v>198</v>
      </c>
    </row>
    <row r="2158" spans="1:20">
      <c r="A2158" s="44" t="s">
        <v>78</v>
      </c>
      <c r="B2158" s="3" t="s">
        <v>80</v>
      </c>
      <c r="C2158" s="3">
        <v>10</v>
      </c>
      <c r="D2158" s="1"/>
      <c r="E2158" s="20" t="s">
        <v>17</v>
      </c>
      <c r="F2158" s="7" t="s">
        <v>15</v>
      </c>
      <c r="G2158" s="7" t="s">
        <v>41</v>
      </c>
      <c r="H2158" s="11">
        <v>11.8</v>
      </c>
      <c r="I2158" s="8">
        <v>11</v>
      </c>
      <c r="J2158" s="26">
        <v>1</v>
      </c>
      <c r="K2158" s="10">
        <f t="shared" si="198"/>
        <v>0.1298</v>
      </c>
      <c r="L2158" s="4"/>
      <c r="M2158" s="17">
        <v>1</v>
      </c>
      <c r="N2158" s="18">
        <f t="shared" si="199"/>
        <v>0.1298</v>
      </c>
      <c r="O2158" s="19">
        <f t="shared" si="200"/>
        <v>0</v>
      </c>
      <c r="P2158" s="13">
        <f t="shared" si="201"/>
        <v>0</v>
      </c>
      <c r="Q2158" s="9">
        <v>7.5</v>
      </c>
      <c r="R2158" s="32">
        <v>1</v>
      </c>
      <c r="S2158" s="2" t="s">
        <v>202</v>
      </c>
    </row>
    <row r="2159" spans="1:20">
      <c r="A2159" s="44" t="s">
        <v>78</v>
      </c>
      <c r="B2159" s="3" t="s">
        <v>80</v>
      </c>
      <c r="C2159" s="3">
        <v>11</v>
      </c>
      <c r="D2159" s="1"/>
      <c r="E2159" s="20" t="s">
        <v>17</v>
      </c>
      <c r="F2159" s="7" t="s">
        <v>15</v>
      </c>
      <c r="G2159" s="7" t="s">
        <v>32</v>
      </c>
      <c r="H2159" s="11">
        <v>8.32</v>
      </c>
      <c r="I2159" s="8">
        <v>9</v>
      </c>
      <c r="J2159" s="26">
        <v>1</v>
      </c>
      <c r="K2159" s="10">
        <f t="shared" si="198"/>
        <v>7.4880000000000002E-2</v>
      </c>
      <c r="L2159" s="4"/>
      <c r="M2159" s="17">
        <v>1</v>
      </c>
      <c r="N2159" s="18">
        <f t="shared" si="199"/>
        <v>7.4880000000000002E-2</v>
      </c>
      <c r="O2159" s="19">
        <f t="shared" si="200"/>
        <v>0</v>
      </c>
      <c r="P2159" s="13">
        <f t="shared" si="201"/>
        <v>0</v>
      </c>
      <c r="Q2159" s="9">
        <v>8.4</v>
      </c>
      <c r="R2159" s="32">
        <v>1</v>
      </c>
      <c r="S2159" s="2" t="s">
        <v>213</v>
      </c>
    </row>
    <row r="2160" spans="1:20">
      <c r="A2160" s="44" t="s">
        <v>78</v>
      </c>
      <c r="B2160" s="3" t="s">
        <v>80</v>
      </c>
      <c r="C2160" s="3">
        <v>12</v>
      </c>
      <c r="D2160" s="1"/>
      <c r="E2160" s="20" t="s">
        <v>24</v>
      </c>
      <c r="F2160" s="7" t="s">
        <v>14</v>
      </c>
      <c r="G2160" s="7" t="s">
        <v>30</v>
      </c>
      <c r="H2160" s="11">
        <v>9.26</v>
      </c>
      <c r="I2160" s="8">
        <v>7</v>
      </c>
      <c r="J2160" s="26">
        <v>1</v>
      </c>
      <c r="K2160" s="10">
        <f t="shared" si="198"/>
        <v>6.4819999999999989E-2</v>
      </c>
      <c r="L2160" s="4"/>
      <c r="M2160" s="17">
        <v>1</v>
      </c>
      <c r="N2160" s="18">
        <f t="shared" si="199"/>
        <v>6.4819999999999989E-2</v>
      </c>
      <c r="O2160" s="106">
        <f t="shared" si="200"/>
        <v>0</v>
      </c>
      <c r="P2160" s="13">
        <f t="shared" si="201"/>
        <v>0</v>
      </c>
      <c r="Q2160" s="9"/>
      <c r="R2160" s="32">
        <v>1</v>
      </c>
      <c r="S2160" s="2" t="s">
        <v>222</v>
      </c>
    </row>
    <row r="2161" spans="1:20">
      <c r="A2161" s="44" t="s">
        <v>78</v>
      </c>
      <c r="B2161" s="3" t="s">
        <v>80</v>
      </c>
      <c r="C2161" s="3">
        <v>13</v>
      </c>
      <c r="D2161" s="1"/>
      <c r="E2161" s="20" t="s">
        <v>19</v>
      </c>
      <c r="F2161" s="7" t="s">
        <v>14</v>
      </c>
      <c r="G2161" s="7" t="s">
        <v>39</v>
      </c>
      <c r="H2161" s="11">
        <v>14.66</v>
      </c>
      <c r="I2161" s="8">
        <v>10.6</v>
      </c>
      <c r="J2161" s="26">
        <v>1</v>
      </c>
      <c r="K2161" s="10">
        <f t="shared" si="198"/>
        <v>0.15539599999999998</v>
      </c>
      <c r="L2161" s="4"/>
      <c r="M2161" s="17">
        <v>1</v>
      </c>
      <c r="N2161" s="18">
        <f t="shared" si="199"/>
        <v>0.15539599999999998</v>
      </c>
      <c r="O2161" s="19">
        <f t="shared" si="200"/>
        <v>0</v>
      </c>
      <c r="P2161" s="13">
        <f t="shared" si="201"/>
        <v>0</v>
      </c>
      <c r="Q2161" s="33">
        <v>9.1</v>
      </c>
      <c r="R2161" s="45">
        <v>1</v>
      </c>
      <c r="S2161" s="32" t="s">
        <v>646</v>
      </c>
    </row>
    <row r="2162" spans="1:20">
      <c r="A2162" s="44" t="s">
        <v>78</v>
      </c>
      <c r="B2162" s="3" t="s">
        <v>80</v>
      </c>
      <c r="C2162" s="3">
        <v>14</v>
      </c>
      <c r="D2162" s="1"/>
      <c r="E2162" s="20" t="s">
        <v>20</v>
      </c>
      <c r="F2162" s="7" t="s">
        <v>15</v>
      </c>
      <c r="G2162" s="7" t="s">
        <v>54</v>
      </c>
      <c r="H2162" s="11">
        <v>31.6</v>
      </c>
      <c r="I2162" s="8">
        <v>4.5</v>
      </c>
      <c r="J2162" s="26">
        <v>1</v>
      </c>
      <c r="K2162" s="10">
        <f t="shared" si="198"/>
        <v>0.14220000000000002</v>
      </c>
      <c r="L2162" s="4"/>
      <c r="M2162" s="17">
        <v>1</v>
      </c>
      <c r="N2162" s="18">
        <f t="shared" si="199"/>
        <v>0.14220000000000002</v>
      </c>
      <c r="O2162" s="106">
        <f t="shared" si="200"/>
        <v>0</v>
      </c>
      <c r="P2162" s="13">
        <f t="shared" si="201"/>
        <v>0</v>
      </c>
      <c r="Q2162" s="9">
        <v>4.1449999999999996</v>
      </c>
      <c r="R2162" s="91">
        <v>1</v>
      </c>
      <c r="S2162" s="32" t="s">
        <v>462</v>
      </c>
    </row>
    <row r="2163" spans="1:20">
      <c r="A2163" s="44" t="s">
        <v>78</v>
      </c>
      <c r="B2163" s="3" t="s">
        <v>80</v>
      </c>
      <c r="C2163" s="3">
        <v>15</v>
      </c>
      <c r="D2163" s="1"/>
      <c r="E2163" s="20" t="s">
        <v>76</v>
      </c>
      <c r="F2163" s="7" t="s">
        <v>15</v>
      </c>
      <c r="G2163" s="7" t="s">
        <v>53</v>
      </c>
      <c r="H2163" s="11">
        <v>35.840000000000003</v>
      </c>
      <c r="I2163" s="8">
        <v>9.3000000000000007</v>
      </c>
      <c r="J2163" s="26">
        <v>1</v>
      </c>
      <c r="K2163" s="10">
        <f t="shared" si="198"/>
        <v>0.33331200000000005</v>
      </c>
      <c r="L2163" s="4"/>
      <c r="M2163" s="17">
        <v>1</v>
      </c>
      <c r="N2163" s="18">
        <f t="shared" si="199"/>
        <v>0.33331200000000005</v>
      </c>
      <c r="O2163" s="19">
        <f t="shared" si="200"/>
        <v>0</v>
      </c>
      <c r="P2163" s="13">
        <f t="shared" si="201"/>
        <v>0</v>
      </c>
      <c r="Q2163" s="9">
        <v>7.8</v>
      </c>
      <c r="R2163" s="32">
        <v>1</v>
      </c>
      <c r="S2163" s="32" t="s">
        <v>405</v>
      </c>
    </row>
    <row r="2164" spans="1:20">
      <c r="A2164" s="44" t="s">
        <v>78</v>
      </c>
      <c r="B2164" s="3" t="s">
        <v>80</v>
      </c>
      <c r="C2164" s="3">
        <v>1</v>
      </c>
      <c r="D2164" s="1"/>
      <c r="E2164" s="20" t="s">
        <v>20</v>
      </c>
      <c r="F2164" s="7" t="s">
        <v>15</v>
      </c>
      <c r="G2164" s="7" t="s">
        <v>49</v>
      </c>
      <c r="H2164" s="11">
        <v>17.82</v>
      </c>
      <c r="I2164" s="8">
        <v>11</v>
      </c>
      <c r="J2164" s="26">
        <v>1</v>
      </c>
      <c r="K2164" s="10">
        <f t="shared" si="198"/>
        <v>0.19602</v>
      </c>
      <c r="L2164" s="4"/>
      <c r="M2164" s="17"/>
      <c r="N2164" s="18">
        <f t="shared" si="199"/>
        <v>0</v>
      </c>
      <c r="O2164" s="19">
        <f t="shared" si="200"/>
        <v>1</v>
      </c>
      <c r="P2164" s="13">
        <f t="shared" si="201"/>
        <v>0.19602</v>
      </c>
      <c r="Q2164" s="2"/>
      <c r="R2164" s="2"/>
      <c r="S2164" s="2"/>
    </row>
    <row r="2165" spans="1:20">
      <c r="A2165" s="44" t="s">
        <v>78</v>
      </c>
      <c r="B2165" s="3" t="s">
        <v>80</v>
      </c>
      <c r="C2165" s="3">
        <v>2</v>
      </c>
      <c r="D2165" s="1"/>
      <c r="E2165" s="20" t="s">
        <v>20</v>
      </c>
      <c r="F2165" s="7" t="s">
        <v>15</v>
      </c>
      <c r="G2165" s="7" t="s">
        <v>43</v>
      </c>
      <c r="H2165" s="11">
        <v>15.04</v>
      </c>
      <c r="I2165" s="8">
        <v>6</v>
      </c>
      <c r="J2165" s="26">
        <v>1</v>
      </c>
      <c r="K2165" s="10">
        <f t="shared" si="198"/>
        <v>9.0240000000000001E-2</v>
      </c>
      <c r="L2165" s="4"/>
      <c r="M2165" s="17">
        <v>1</v>
      </c>
      <c r="N2165" s="18">
        <f t="shared" si="199"/>
        <v>9.0240000000000001E-2</v>
      </c>
      <c r="O2165" s="106">
        <f t="shared" si="200"/>
        <v>0</v>
      </c>
      <c r="P2165" s="13">
        <f t="shared" si="201"/>
        <v>0</v>
      </c>
      <c r="Q2165" s="111" t="s">
        <v>367</v>
      </c>
      <c r="R2165" s="32"/>
      <c r="S2165" s="162">
        <v>6</v>
      </c>
      <c r="T2165">
        <v>1</v>
      </c>
    </row>
    <row r="2166" spans="1:20">
      <c r="A2166" s="44" t="s">
        <v>78</v>
      </c>
      <c r="B2166" s="3" t="s">
        <v>80</v>
      </c>
      <c r="C2166" s="3">
        <v>2</v>
      </c>
      <c r="D2166" s="1"/>
      <c r="E2166" s="20" t="s">
        <v>20</v>
      </c>
      <c r="F2166" s="7" t="s">
        <v>15</v>
      </c>
      <c r="G2166" s="7" t="s">
        <v>43</v>
      </c>
      <c r="H2166" s="11">
        <v>15.04</v>
      </c>
      <c r="I2166" s="8">
        <v>12</v>
      </c>
      <c r="J2166" s="26">
        <v>1</v>
      </c>
      <c r="K2166" s="10">
        <f t="shared" si="198"/>
        <v>0.18048</v>
      </c>
      <c r="L2166" s="4"/>
      <c r="M2166" s="17">
        <v>1</v>
      </c>
      <c r="N2166" s="18">
        <f t="shared" si="199"/>
        <v>0.18048</v>
      </c>
      <c r="O2166" s="106">
        <f t="shared" si="200"/>
        <v>0</v>
      </c>
      <c r="P2166" s="13">
        <f t="shared" si="201"/>
        <v>0</v>
      </c>
      <c r="Q2166" s="111" t="s">
        <v>367</v>
      </c>
      <c r="R2166" s="32"/>
      <c r="S2166" s="162">
        <v>11</v>
      </c>
      <c r="T2166">
        <v>1</v>
      </c>
    </row>
    <row r="2167" spans="1:20">
      <c r="A2167" s="44" t="s">
        <v>78</v>
      </c>
      <c r="B2167" s="3" t="s">
        <v>80</v>
      </c>
      <c r="C2167" s="3">
        <v>3</v>
      </c>
      <c r="D2167" s="1"/>
      <c r="E2167" s="20" t="s">
        <v>76</v>
      </c>
      <c r="F2167" s="7" t="s">
        <v>15</v>
      </c>
      <c r="G2167" s="7" t="s">
        <v>48</v>
      </c>
      <c r="H2167" s="11">
        <v>23.6</v>
      </c>
      <c r="I2167" s="8">
        <v>11.3</v>
      </c>
      <c r="J2167" s="26">
        <v>11</v>
      </c>
      <c r="K2167" s="10">
        <f t="shared" si="198"/>
        <v>2.9334799999999999</v>
      </c>
      <c r="L2167" s="4"/>
      <c r="M2167" s="17">
        <v>11</v>
      </c>
      <c r="N2167" s="18">
        <f t="shared" si="199"/>
        <v>2.9334800000000003</v>
      </c>
      <c r="O2167" s="19">
        <f t="shared" si="200"/>
        <v>0</v>
      </c>
      <c r="P2167" s="13">
        <f t="shared" si="201"/>
        <v>0</v>
      </c>
      <c r="Q2167" s="9"/>
      <c r="R2167" s="32"/>
      <c r="S2167" s="32"/>
    </row>
    <row r="2168" spans="1:20">
      <c r="A2168" s="44" t="s">
        <v>78</v>
      </c>
      <c r="B2168" s="3" t="s">
        <v>80</v>
      </c>
      <c r="C2168" s="3">
        <v>4</v>
      </c>
      <c r="D2168" s="1"/>
      <c r="E2168" s="20" t="s">
        <v>24</v>
      </c>
      <c r="F2168" s="7" t="s">
        <v>14</v>
      </c>
      <c r="G2168" s="7" t="s">
        <v>30</v>
      </c>
      <c r="H2168" s="11">
        <v>9.26</v>
      </c>
      <c r="I2168" s="8">
        <v>6.9</v>
      </c>
      <c r="J2168" s="26">
        <v>1</v>
      </c>
      <c r="K2168" s="10">
        <f t="shared" si="198"/>
        <v>6.3893999999999992E-2</v>
      </c>
      <c r="L2168" s="4"/>
      <c r="M2168" s="17">
        <v>1</v>
      </c>
      <c r="N2168" s="18">
        <f t="shared" si="199"/>
        <v>6.3893999999999992E-2</v>
      </c>
      <c r="O2168" s="106">
        <f t="shared" si="200"/>
        <v>0</v>
      </c>
      <c r="P2168" s="13">
        <f t="shared" si="201"/>
        <v>0</v>
      </c>
      <c r="Q2168" s="9"/>
      <c r="R2168" s="32">
        <v>1</v>
      </c>
      <c r="S2168" s="2" t="s">
        <v>222</v>
      </c>
    </row>
    <row r="2169" spans="1:20">
      <c r="A2169" s="44" t="s">
        <v>78</v>
      </c>
      <c r="B2169" s="3" t="s">
        <v>80</v>
      </c>
      <c r="C2169" s="3">
        <v>4</v>
      </c>
      <c r="D2169" s="1"/>
      <c r="E2169" s="20" t="s">
        <v>24</v>
      </c>
      <c r="F2169" s="7" t="s">
        <v>14</v>
      </c>
      <c r="G2169" s="7" t="s">
        <v>30</v>
      </c>
      <c r="H2169" s="11">
        <v>9.26</v>
      </c>
      <c r="I2169" s="8">
        <v>11.5</v>
      </c>
      <c r="J2169" s="26">
        <v>1</v>
      </c>
      <c r="K2169" s="10">
        <f t="shared" si="198"/>
        <v>0.10649</v>
      </c>
      <c r="L2169" s="4"/>
      <c r="M2169" s="17">
        <v>1</v>
      </c>
      <c r="N2169" s="18">
        <f t="shared" si="199"/>
        <v>0.10649</v>
      </c>
      <c r="O2169" s="19">
        <f t="shared" si="200"/>
        <v>0</v>
      </c>
      <c r="P2169" s="13">
        <f t="shared" si="201"/>
        <v>0</v>
      </c>
      <c r="Q2169" s="9"/>
      <c r="R2169" s="32"/>
      <c r="S2169" s="32"/>
    </row>
    <row r="2170" spans="1:20">
      <c r="A2170" s="44" t="s">
        <v>78</v>
      </c>
      <c r="B2170" s="3" t="s">
        <v>80</v>
      </c>
      <c r="C2170" s="3">
        <v>4</v>
      </c>
      <c r="D2170" s="1"/>
      <c r="E2170" s="20" t="s">
        <v>24</v>
      </c>
      <c r="F2170" s="7" t="s">
        <v>14</v>
      </c>
      <c r="G2170" s="7" t="s">
        <v>30</v>
      </c>
      <c r="H2170" s="11">
        <v>9.26</v>
      </c>
      <c r="I2170" s="8">
        <v>11.55</v>
      </c>
      <c r="J2170" s="26">
        <v>1</v>
      </c>
      <c r="K2170" s="10">
        <f t="shared" si="198"/>
        <v>0.10695300000000001</v>
      </c>
      <c r="L2170" s="4"/>
      <c r="M2170" s="17">
        <v>1</v>
      </c>
      <c r="N2170" s="18">
        <f t="shared" si="199"/>
        <v>0.10695300000000001</v>
      </c>
      <c r="O2170" s="19">
        <f t="shared" si="200"/>
        <v>0</v>
      </c>
      <c r="P2170" s="13">
        <f t="shared" si="201"/>
        <v>0</v>
      </c>
      <c r="Q2170" s="9"/>
      <c r="R2170" s="32"/>
      <c r="S2170" s="32"/>
    </row>
    <row r="2171" spans="1:20">
      <c r="A2171" s="44" t="s">
        <v>78</v>
      </c>
      <c r="B2171" s="3" t="s">
        <v>80</v>
      </c>
      <c r="C2171" s="3">
        <v>4</v>
      </c>
      <c r="D2171" s="1"/>
      <c r="E2171" s="20" t="s">
        <v>24</v>
      </c>
      <c r="F2171" s="7" t="s">
        <v>14</v>
      </c>
      <c r="G2171" s="7" t="s">
        <v>30</v>
      </c>
      <c r="H2171" s="11">
        <v>9.26</v>
      </c>
      <c r="I2171" s="8">
        <v>11.75</v>
      </c>
      <c r="J2171" s="26">
        <v>1</v>
      </c>
      <c r="K2171" s="10">
        <f t="shared" si="198"/>
        <v>0.108805</v>
      </c>
      <c r="L2171" s="4"/>
      <c r="M2171" s="17">
        <v>1</v>
      </c>
      <c r="N2171" s="18">
        <f t="shared" si="199"/>
        <v>0.108805</v>
      </c>
      <c r="O2171" s="19">
        <f t="shared" si="200"/>
        <v>0</v>
      </c>
      <c r="P2171" s="13">
        <f t="shared" si="201"/>
        <v>0</v>
      </c>
      <c r="Q2171" s="9"/>
      <c r="R2171" s="32"/>
      <c r="S2171" s="32"/>
    </row>
    <row r="2172" spans="1:20">
      <c r="A2172" s="44" t="s">
        <v>78</v>
      </c>
      <c r="B2172" s="3" t="s">
        <v>80</v>
      </c>
      <c r="C2172" s="3">
        <v>4</v>
      </c>
      <c r="D2172" s="1"/>
      <c r="E2172" s="20" t="s">
        <v>24</v>
      </c>
      <c r="F2172" s="7" t="s">
        <v>14</v>
      </c>
      <c r="G2172" s="7" t="s">
        <v>30</v>
      </c>
      <c r="H2172" s="11">
        <v>9.26</v>
      </c>
      <c r="I2172" s="8">
        <v>12</v>
      </c>
      <c r="J2172" s="26">
        <v>1</v>
      </c>
      <c r="K2172" s="10">
        <f t="shared" si="198"/>
        <v>0.11112000000000001</v>
      </c>
      <c r="L2172" s="4"/>
      <c r="M2172" s="17">
        <v>1</v>
      </c>
      <c r="N2172" s="18">
        <f t="shared" si="199"/>
        <v>0.11112000000000001</v>
      </c>
      <c r="O2172" s="19">
        <f t="shared" si="200"/>
        <v>0</v>
      </c>
      <c r="P2172" s="13">
        <f t="shared" si="201"/>
        <v>0</v>
      </c>
      <c r="Q2172" s="9"/>
      <c r="R2172" s="32"/>
      <c r="S2172" s="32"/>
    </row>
    <row r="2173" spans="1:20">
      <c r="A2173" s="44" t="s">
        <v>78</v>
      </c>
      <c r="B2173" s="3" t="s">
        <v>80</v>
      </c>
      <c r="C2173" s="3">
        <v>4</v>
      </c>
      <c r="D2173" s="1"/>
      <c r="E2173" s="20" t="s">
        <v>24</v>
      </c>
      <c r="F2173" s="7" t="s">
        <v>14</v>
      </c>
      <c r="G2173" s="7" t="s">
        <v>30</v>
      </c>
      <c r="H2173" s="11">
        <v>9.26</v>
      </c>
      <c r="I2173" s="8">
        <v>10</v>
      </c>
      <c r="J2173" s="26">
        <v>1</v>
      </c>
      <c r="K2173" s="10">
        <f t="shared" si="198"/>
        <v>9.2599999999999988E-2</v>
      </c>
      <c r="L2173" s="4"/>
      <c r="M2173" s="17">
        <v>1</v>
      </c>
      <c r="N2173" s="18">
        <f t="shared" si="199"/>
        <v>9.2599999999999988E-2</v>
      </c>
      <c r="O2173" s="106">
        <f t="shared" si="200"/>
        <v>0</v>
      </c>
      <c r="P2173" s="13">
        <f t="shared" si="201"/>
        <v>0</v>
      </c>
      <c r="Q2173" s="9"/>
      <c r="R2173" s="32">
        <v>1</v>
      </c>
      <c r="S2173" s="2" t="s">
        <v>222</v>
      </c>
    </row>
    <row r="2174" spans="1:20">
      <c r="A2174" s="44" t="s">
        <v>78</v>
      </c>
      <c r="B2174" s="3" t="s">
        <v>80</v>
      </c>
      <c r="C2174" s="3">
        <v>5</v>
      </c>
      <c r="D2174" s="1"/>
      <c r="E2174" s="20" t="s">
        <v>81</v>
      </c>
      <c r="F2174" s="7" t="s">
        <v>14</v>
      </c>
      <c r="G2174" s="7" t="s">
        <v>18</v>
      </c>
      <c r="H2174" s="11">
        <v>6.86</v>
      </c>
      <c r="I2174" s="8">
        <v>10.6</v>
      </c>
      <c r="J2174" s="26">
        <v>1</v>
      </c>
      <c r="K2174" s="10">
        <f t="shared" si="198"/>
        <v>7.2715999999999989E-2</v>
      </c>
      <c r="L2174" s="4"/>
      <c r="M2174" s="17">
        <v>1</v>
      </c>
      <c r="N2174" s="18">
        <f t="shared" si="199"/>
        <v>7.2715999999999989E-2</v>
      </c>
      <c r="O2174" s="19">
        <f t="shared" si="200"/>
        <v>0</v>
      </c>
      <c r="P2174" s="13">
        <f t="shared" si="201"/>
        <v>0</v>
      </c>
      <c r="Q2174" s="9"/>
      <c r="R2174" s="32"/>
      <c r="S2174" s="32"/>
    </row>
    <row r="2175" spans="1:20">
      <c r="A2175" s="44" t="s">
        <v>78</v>
      </c>
      <c r="B2175" s="3" t="s">
        <v>80</v>
      </c>
      <c r="C2175" s="3">
        <v>5</v>
      </c>
      <c r="D2175" s="1"/>
      <c r="E2175" s="20" t="s">
        <v>75</v>
      </c>
      <c r="F2175" s="7" t="s">
        <v>15</v>
      </c>
      <c r="G2175" s="7" t="s">
        <v>55</v>
      </c>
      <c r="H2175" s="11">
        <v>4.6500000000000004</v>
      </c>
      <c r="I2175" s="8">
        <v>10.6</v>
      </c>
      <c r="J2175" s="26">
        <v>1</v>
      </c>
      <c r="K2175" s="10">
        <f t="shared" si="198"/>
        <v>4.929E-2</v>
      </c>
      <c r="L2175" s="4"/>
      <c r="M2175" s="17">
        <v>1</v>
      </c>
      <c r="N2175" s="18">
        <f t="shared" si="199"/>
        <v>4.929E-2</v>
      </c>
      <c r="O2175" s="19">
        <f t="shared" si="200"/>
        <v>0</v>
      </c>
      <c r="P2175" s="13">
        <f t="shared" si="201"/>
        <v>0</v>
      </c>
      <c r="Q2175" s="9"/>
      <c r="R2175" s="32"/>
      <c r="S2175" s="32"/>
    </row>
    <row r="2176" spans="1:20">
      <c r="A2176" s="44" t="s">
        <v>78</v>
      </c>
      <c r="B2176" s="3" t="s">
        <v>80</v>
      </c>
      <c r="C2176" s="3">
        <v>5</v>
      </c>
      <c r="D2176" s="1"/>
      <c r="E2176" s="20" t="s">
        <v>75</v>
      </c>
      <c r="F2176" s="7" t="s">
        <v>15</v>
      </c>
      <c r="G2176" s="7" t="s">
        <v>55</v>
      </c>
      <c r="H2176" s="11">
        <v>4.6500000000000004</v>
      </c>
      <c r="I2176" s="8">
        <v>10.3</v>
      </c>
      <c r="J2176" s="26">
        <v>1</v>
      </c>
      <c r="K2176" s="10">
        <f t="shared" si="198"/>
        <v>4.7895000000000007E-2</v>
      </c>
      <c r="L2176" s="4"/>
      <c r="M2176" s="17">
        <v>1</v>
      </c>
      <c r="N2176" s="18">
        <f t="shared" si="199"/>
        <v>4.7895000000000007E-2</v>
      </c>
      <c r="O2176" s="19">
        <f t="shared" si="200"/>
        <v>0</v>
      </c>
      <c r="P2176" s="13">
        <f t="shared" si="201"/>
        <v>0</v>
      </c>
      <c r="Q2176" s="9"/>
      <c r="R2176" s="32"/>
      <c r="S2176" s="32"/>
    </row>
    <row r="2177" spans="1:21">
      <c r="A2177" s="44" t="s">
        <v>78</v>
      </c>
      <c r="B2177" s="3" t="s">
        <v>80</v>
      </c>
      <c r="C2177" s="3">
        <v>5</v>
      </c>
      <c r="D2177" s="1"/>
      <c r="E2177" s="20" t="s">
        <v>75</v>
      </c>
      <c r="F2177" s="7" t="s">
        <v>15</v>
      </c>
      <c r="G2177" s="7" t="s">
        <v>55</v>
      </c>
      <c r="H2177" s="11">
        <v>4.6500000000000004</v>
      </c>
      <c r="I2177" s="8">
        <v>10</v>
      </c>
      <c r="J2177" s="26">
        <v>1</v>
      </c>
      <c r="K2177" s="10">
        <f t="shared" si="198"/>
        <v>4.65E-2</v>
      </c>
      <c r="L2177" s="4"/>
      <c r="M2177" s="17">
        <v>1</v>
      </c>
      <c r="N2177" s="18">
        <f t="shared" si="199"/>
        <v>4.65E-2</v>
      </c>
      <c r="O2177" s="19">
        <f t="shared" si="200"/>
        <v>0</v>
      </c>
      <c r="P2177" s="13">
        <f t="shared" si="201"/>
        <v>0</v>
      </c>
      <c r="Q2177" s="9"/>
      <c r="R2177" s="32"/>
      <c r="S2177" s="32"/>
    </row>
    <row r="2178" spans="1:21">
      <c r="A2178" s="44" t="s">
        <v>78</v>
      </c>
      <c r="B2178" s="3" t="s">
        <v>80</v>
      </c>
      <c r="C2178" s="3">
        <v>5</v>
      </c>
      <c r="D2178" s="1"/>
      <c r="E2178" s="20" t="s">
        <v>75</v>
      </c>
      <c r="F2178" s="7" t="s">
        <v>15</v>
      </c>
      <c r="G2178" s="7" t="s">
        <v>55</v>
      </c>
      <c r="H2178" s="11">
        <v>4.6500000000000004</v>
      </c>
      <c r="I2178" s="8">
        <v>9</v>
      </c>
      <c r="J2178" s="26">
        <v>1</v>
      </c>
      <c r="K2178" s="10">
        <f t="shared" si="198"/>
        <v>4.1849999999999998E-2</v>
      </c>
      <c r="L2178" s="4"/>
      <c r="M2178" s="17"/>
      <c r="N2178" s="18">
        <f t="shared" si="199"/>
        <v>0</v>
      </c>
      <c r="O2178" s="19">
        <f t="shared" si="200"/>
        <v>1</v>
      </c>
      <c r="P2178" s="13">
        <f t="shared" si="201"/>
        <v>4.1849999999999998E-2</v>
      </c>
      <c r="Q2178" s="9"/>
      <c r="R2178" s="32"/>
      <c r="S2178" s="32"/>
    </row>
    <row r="2179" spans="1:21">
      <c r="A2179" s="44" t="s">
        <v>78</v>
      </c>
      <c r="B2179" s="3" t="s">
        <v>80</v>
      </c>
      <c r="C2179" s="3">
        <v>5</v>
      </c>
      <c r="D2179" s="1"/>
      <c r="E2179" s="20" t="s">
        <v>75</v>
      </c>
      <c r="F2179" s="7" t="s">
        <v>15</v>
      </c>
      <c r="G2179" s="7" t="s">
        <v>55</v>
      </c>
      <c r="H2179" s="11">
        <v>4.6500000000000004</v>
      </c>
      <c r="I2179" s="8">
        <v>8</v>
      </c>
      <c r="J2179" s="26">
        <v>1</v>
      </c>
      <c r="K2179" s="10">
        <f t="shared" si="198"/>
        <v>3.7200000000000004E-2</v>
      </c>
      <c r="L2179" s="4"/>
      <c r="M2179" s="17"/>
      <c r="N2179" s="18">
        <f t="shared" si="199"/>
        <v>0</v>
      </c>
      <c r="O2179" s="19">
        <f t="shared" si="200"/>
        <v>1</v>
      </c>
      <c r="P2179" s="13">
        <f t="shared" si="201"/>
        <v>3.7200000000000004E-2</v>
      </c>
      <c r="Q2179" s="9"/>
      <c r="R2179" s="32"/>
      <c r="S2179" s="32"/>
    </row>
    <row r="2180" spans="1:21">
      <c r="A2180" s="44" t="s">
        <v>78</v>
      </c>
      <c r="B2180" s="3" t="s">
        <v>80</v>
      </c>
      <c r="C2180" s="3">
        <v>6</v>
      </c>
      <c r="D2180" s="1"/>
      <c r="E2180" s="20" t="s">
        <v>17</v>
      </c>
      <c r="F2180" s="7" t="s">
        <v>15</v>
      </c>
      <c r="G2180" s="7" t="s">
        <v>21</v>
      </c>
      <c r="H2180" s="11">
        <v>6.97</v>
      </c>
      <c r="I2180" s="8">
        <v>12</v>
      </c>
      <c r="J2180" s="26">
        <v>1</v>
      </c>
      <c r="K2180" s="10">
        <f t="shared" si="198"/>
        <v>8.3640000000000006E-2</v>
      </c>
      <c r="L2180" s="4"/>
      <c r="M2180" s="17">
        <v>1</v>
      </c>
      <c r="N2180" s="18">
        <f t="shared" si="199"/>
        <v>8.3640000000000006E-2</v>
      </c>
      <c r="O2180" s="19">
        <f t="shared" si="200"/>
        <v>0</v>
      </c>
      <c r="P2180" s="13">
        <f t="shared" si="201"/>
        <v>0</v>
      </c>
      <c r="Q2180" s="9"/>
      <c r="R2180" s="32"/>
      <c r="S2180" s="127">
        <v>12</v>
      </c>
      <c r="T2180">
        <v>1</v>
      </c>
      <c r="U2180" t="s">
        <v>268</v>
      </c>
    </row>
    <row r="2181" spans="1:21">
      <c r="A2181" s="44" t="s">
        <v>78</v>
      </c>
      <c r="B2181" s="3" t="s">
        <v>80</v>
      </c>
      <c r="C2181" s="3">
        <v>7</v>
      </c>
      <c r="D2181" s="1"/>
      <c r="E2181" s="20" t="s">
        <v>81</v>
      </c>
      <c r="F2181" s="7" t="s">
        <v>14</v>
      </c>
      <c r="G2181" s="7" t="s">
        <v>22</v>
      </c>
      <c r="H2181" s="11">
        <v>10.73</v>
      </c>
      <c r="I2181" s="8">
        <v>8</v>
      </c>
      <c r="J2181" s="26">
        <v>2</v>
      </c>
      <c r="K2181" s="10">
        <f t="shared" si="198"/>
        <v>0.17168</v>
      </c>
      <c r="L2181" s="4"/>
      <c r="M2181" s="17"/>
      <c r="N2181" s="18">
        <f t="shared" si="199"/>
        <v>0</v>
      </c>
      <c r="O2181" s="19">
        <f t="shared" si="200"/>
        <v>2</v>
      </c>
      <c r="P2181" s="13">
        <f t="shared" si="201"/>
        <v>0.17168</v>
      </c>
      <c r="Q2181" s="9"/>
      <c r="R2181" s="32"/>
      <c r="S2181" s="32"/>
    </row>
    <row r="2182" spans="1:21">
      <c r="A2182" s="44" t="s">
        <v>78</v>
      </c>
      <c r="B2182" s="3" t="s">
        <v>80</v>
      </c>
      <c r="C2182" s="3">
        <v>7</v>
      </c>
      <c r="D2182" s="1"/>
      <c r="E2182" s="20" t="s">
        <v>81</v>
      </c>
      <c r="F2182" s="7" t="s">
        <v>14</v>
      </c>
      <c r="G2182" s="7" t="s">
        <v>22</v>
      </c>
      <c r="H2182" s="11">
        <v>10.73</v>
      </c>
      <c r="I2182" s="33">
        <v>11</v>
      </c>
      <c r="J2182" s="40">
        <v>1</v>
      </c>
      <c r="K2182" s="10">
        <f t="shared" si="198"/>
        <v>0.11803</v>
      </c>
      <c r="L2182" s="4"/>
      <c r="M2182" s="17"/>
      <c r="N2182" s="18">
        <f t="shared" si="199"/>
        <v>0</v>
      </c>
      <c r="O2182" s="19">
        <f t="shared" si="200"/>
        <v>1</v>
      </c>
      <c r="P2182" s="13">
        <f t="shared" si="201"/>
        <v>0.11803</v>
      </c>
      <c r="Q2182" s="32"/>
      <c r="R2182" s="32"/>
      <c r="S2182" s="32"/>
    </row>
    <row r="2183" spans="1:21">
      <c r="A2183" s="44" t="s">
        <v>78</v>
      </c>
      <c r="B2183" s="3" t="s">
        <v>80</v>
      </c>
      <c r="C2183" s="3">
        <v>8</v>
      </c>
      <c r="D2183" s="1"/>
      <c r="E2183" s="20" t="s">
        <v>20</v>
      </c>
      <c r="F2183" s="7" t="s">
        <v>15</v>
      </c>
      <c r="G2183" s="7" t="s">
        <v>58</v>
      </c>
      <c r="H2183" s="11">
        <v>27.29</v>
      </c>
      <c r="I2183" s="55">
        <v>7.8</v>
      </c>
      <c r="J2183" s="40">
        <v>1</v>
      </c>
      <c r="K2183" s="10">
        <f t="shared" si="198"/>
        <v>0.212862</v>
      </c>
      <c r="L2183" s="4"/>
      <c r="M2183" s="17">
        <v>1</v>
      </c>
      <c r="N2183" s="18">
        <f t="shared" si="199"/>
        <v>0.212862</v>
      </c>
      <c r="O2183" s="19">
        <f t="shared" si="200"/>
        <v>0</v>
      </c>
      <c r="P2183" s="13">
        <f t="shared" si="201"/>
        <v>0</v>
      </c>
      <c r="Q2183" s="55">
        <v>6.7</v>
      </c>
      <c r="R2183" s="32">
        <v>1</v>
      </c>
      <c r="S2183" s="32" t="s">
        <v>215</v>
      </c>
    </row>
    <row r="2184" spans="1:21">
      <c r="A2184" s="44" t="s">
        <v>78</v>
      </c>
      <c r="B2184" s="32" t="s">
        <v>109</v>
      </c>
      <c r="C2184" s="3">
        <v>1</v>
      </c>
      <c r="D2184" s="1"/>
      <c r="E2184" s="20" t="s">
        <v>20</v>
      </c>
      <c r="F2184" s="7" t="s">
        <v>15</v>
      </c>
      <c r="G2184" s="7" t="s">
        <v>41</v>
      </c>
      <c r="H2184" s="11">
        <v>11.8</v>
      </c>
      <c r="I2184" s="33">
        <v>11.8</v>
      </c>
      <c r="J2184" s="40">
        <v>1</v>
      </c>
      <c r="K2184" s="10">
        <f t="shared" ref="K2184:K2218" si="202">(H2184*I2184*J2184/1000)</f>
        <v>0.13924</v>
      </c>
      <c r="L2184" s="4"/>
      <c r="M2184" s="17">
        <v>1</v>
      </c>
      <c r="N2184" s="18">
        <f t="shared" ref="N2184:N2218" si="203">I2184*M2184*H2184/1000</f>
        <v>0.13924</v>
      </c>
      <c r="O2184" s="19">
        <f t="shared" ref="O2184:O2218" si="204">J2184-M2184</f>
        <v>0</v>
      </c>
      <c r="P2184" s="13">
        <f t="shared" ref="P2184:P2218" si="205">I2184*O2184*H2184/1000</f>
        <v>0</v>
      </c>
      <c r="Q2184" s="9">
        <v>11.5</v>
      </c>
      <c r="R2184" s="32">
        <v>1</v>
      </c>
      <c r="S2184" s="32" t="s">
        <v>198</v>
      </c>
    </row>
    <row r="2185" spans="1:21">
      <c r="A2185" s="44" t="s">
        <v>78</v>
      </c>
      <c r="B2185" s="32" t="s">
        <v>109</v>
      </c>
      <c r="C2185" s="3">
        <v>1</v>
      </c>
      <c r="D2185" s="1"/>
      <c r="E2185" s="20" t="s">
        <v>20</v>
      </c>
      <c r="F2185" s="7" t="s">
        <v>15</v>
      </c>
      <c r="G2185" s="7" t="s">
        <v>41</v>
      </c>
      <c r="H2185" s="11">
        <v>11.8</v>
      </c>
      <c r="I2185" s="33">
        <v>11.5</v>
      </c>
      <c r="J2185" s="40">
        <v>1</v>
      </c>
      <c r="K2185" s="10">
        <f t="shared" si="202"/>
        <v>0.13570000000000002</v>
      </c>
      <c r="L2185" s="4"/>
      <c r="M2185" s="17">
        <v>1</v>
      </c>
      <c r="N2185" s="18">
        <f t="shared" si="203"/>
        <v>0.13570000000000002</v>
      </c>
      <c r="O2185" s="19">
        <f t="shared" si="204"/>
        <v>0</v>
      </c>
      <c r="P2185" s="13">
        <f t="shared" si="205"/>
        <v>0</v>
      </c>
      <c r="Q2185" s="9">
        <v>11.5</v>
      </c>
      <c r="R2185" s="32">
        <v>1</v>
      </c>
      <c r="S2185" s="32" t="s">
        <v>198</v>
      </c>
    </row>
    <row r="2186" spans="1:21">
      <c r="A2186" s="44" t="s">
        <v>78</v>
      </c>
      <c r="B2186" s="32" t="s">
        <v>109</v>
      </c>
      <c r="C2186" s="3">
        <v>1</v>
      </c>
      <c r="D2186" s="1"/>
      <c r="E2186" s="20" t="s">
        <v>20</v>
      </c>
      <c r="F2186" s="7" t="s">
        <v>15</v>
      </c>
      <c r="G2186" s="7" t="s">
        <v>41</v>
      </c>
      <c r="H2186" s="11">
        <v>11.8</v>
      </c>
      <c r="I2186" s="33">
        <v>12</v>
      </c>
      <c r="J2186" s="40">
        <v>1</v>
      </c>
      <c r="K2186" s="10">
        <f t="shared" si="202"/>
        <v>0.14160000000000003</v>
      </c>
      <c r="L2186" s="4"/>
      <c r="M2186" s="17">
        <v>1</v>
      </c>
      <c r="N2186" s="18">
        <f t="shared" si="203"/>
        <v>0.14160000000000003</v>
      </c>
      <c r="O2186" s="19">
        <f t="shared" si="204"/>
        <v>0</v>
      </c>
      <c r="P2186" s="13">
        <f t="shared" si="205"/>
        <v>0</v>
      </c>
      <c r="Q2186" s="9">
        <v>11.5</v>
      </c>
      <c r="R2186" s="32">
        <v>1</v>
      </c>
      <c r="S2186" s="32" t="s">
        <v>198</v>
      </c>
    </row>
    <row r="2187" spans="1:21">
      <c r="A2187" s="44" t="s">
        <v>78</v>
      </c>
      <c r="B2187" s="32" t="s">
        <v>109</v>
      </c>
      <c r="C2187" s="3">
        <v>1</v>
      </c>
      <c r="D2187" s="1"/>
      <c r="E2187" s="20" t="s">
        <v>20</v>
      </c>
      <c r="F2187" s="7" t="s">
        <v>15</v>
      </c>
      <c r="G2187" s="7" t="s">
        <v>41</v>
      </c>
      <c r="H2187" s="11">
        <v>11.8</v>
      </c>
      <c r="I2187" s="33">
        <v>12.1</v>
      </c>
      <c r="J2187" s="40">
        <v>1</v>
      </c>
      <c r="K2187" s="10">
        <f t="shared" si="202"/>
        <v>0.14277999999999999</v>
      </c>
      <c r="L2187" s="4"/>
      <c r="M2187" s="17">
        <v>1</v>
      </c>
      <c r="N2187" s="18">
        <f t="shared" si="203"/>
        <v>0.14277999999999999</v>
      </c>
      <c r="O2187" s="19">
        <f t="shared" si="204"/>
        <v>0</v>
      </c>
      <c r="P2187" s="13">
        <f t="shared" si="205"/>
        <v>0</v>
      </c>
      <c r="Q2187" s="9">
        <v>11.5</v>
      </c>
      <c r="R2187" s="32">
        <v>1</v>
      </c>
      <c r="S2187" s="32" t="s">
        <v>198</v>
      </c>
    </row>
    <row r="2188" spans="1:21">
      <c r="A2188" s="44" t="s">
        <v>78</v>
      </c>
      <c r="B2188" s="32" t="s">
        <v>109</v>
      </c>
      <c r="C2188" s="3">
        <v>2</v>
      </c>
      <c r="D2188" s="1"/>
      <c r="E2188" s="20" t="s">
        <v>17</v>
      </c>
      <c r="F2188" s="7" t="s">
        <v>15</v>
      </c>
      <c r="G2188" s="7" t="s">
        <v>36</v>
      </c>
      <c r="H2188" s="11">
        <v>10.199999999999999</v>
      </c>
      <c r="I2188" s="55">
        <v>12</v>
      </c>
      <c r="J2188" s="40">
        <v>3</v>
      </c>
      <c r="K2188" s="10">
        <f t="shared" si="202"/>
        <v>0.36719999999999997</v>
      </c>
      <c r="L2188" s="4"/>
      <c r="M2188" s="17">
        <v>3</v>
      </c>
      <c r="N2188" s="18">
        <f t="shared" si="203"/>
        <v>0.36719999999999997</v>
      </c>
      <c r="O2188" s="19">
        <f t="shared" si="204"/>
        <v>0</v>
      </c>
      <c r="P2188" s="13">
        <f t="shared" si="205"/>
        <v>0</v>
      </c>
      <c r="Q2188" s="55">
        <v>12</v>
      </c>
      <c r="R2188" s="32">
        <v>3</v>
      </c>
      <c r="S2188" s="2" t="s">
        <v>196</v>
      </c>
    </row>
    <row r="2189" spans="1:21">
      <c r="A2189" s="44" t="s">
        <v>78</v>
      </c>
      <c r="B2189" s="32" t="s">
        <v>109</v>
      </c>
      <c r="C2189" s="3">
        <v>3</v>
      </c>
      <c r="D2189" s="1"/>
      <c r="E2189" s="20" t="s">
        <v>20</v>
      </c>
      <c r="F2189" s="7" t="s">
        <v>15</v>
      </c>
      <c r="G2189" s="7" t="s">
        <v>44</v>
      </c>
      <c r="H2189" s="11">
        <v>13.4</v>
      </c>
      <c r="I2189" s="33">
        <v>12</v>
      </c>
      <c r="J2189" s="40">
        <v>3</v>
      </c>
      <c r="K2189" s="10">
        <f t="shared" si="202"/>
        <v>0.48240000000000005</v>
      </c>
      <c r="L2189" s="4"/>
      <c r="M2189" s="17">
        <v>3</v>
      </c>
      <c r="N2189" s="18">
        <f t="shared" si="203"/>
        <v>0.48240000000000005</v>
      </c>
      <c r="O2189" s="19">
        <f t="shared" si="204"/>
        <v>0</v>
      </c>
      <c r="P2189" s="13">
        <f t="shared" si="205"/>
        <v>0</v>
      </c>
      <c r="Q2189" s="32">
        <v>10.6</v>
      </c>
      <c r="R2189" s="32">
        <v>3</v>
      </c>
      <c r="S2189" s="32" t="s">
        <v>195</v>
      </c>
    </row>
    <row r="2190" spans="1:21">
      <c r="A2190" s="44" t="s">
        <v>78</v>
      </c>
      <c r="B2190" s="32" t="s">
        <v>109</v>
      </c>
      <c r="C2190" s="3">
        <v>3</v>
      </c>
      <c r="D2190" s="1"/>
      <c r="E2190" s="20" t="s">
        <v>20</v>
      </c>
      <c r="F2190" s="7" t="s">
        <v>15</v>
      </c>
      <c r="G2190" s="7" t="s">
        <v>44</v>
      </c>
      <c r="H2190" s="11">
        <v>13.4</v>
      </c>
      <c r="I2190" s="55">
        <v>7.6</v>
      </c>
      <c r="J2190" s="40">
        <v>2</v>
      </c>
      <c r="K2190" s="10">
        <f t="shared" si="202"/>
        <v>0.20368</v>
      </c>
      <c r="L2190" s="4"/>
      <c r="M2190" s="17"/>
      <c r="N2190" s="18">
        <f t="shared" si="203"/>
        <v>0</v>
      </c>
      <c r="O2190" s="19">
        <f t="shared" si="204"/>
        <v>2</v>
      </c>
      <c r="P2190" s="13">
        <f t="shared" si="205"/>
        <v>0.20368</v>
      </c>
      <c r="Q2190" s="32"/>
      <c r="R2190" s="32"/>
      <c r="S2190" s="32"/>
    </row>
    <row r="2191" spans="1:21">
      <c r="A2191" s="44" t="s">
        <v>78</v>
      </c>
      <c r="B2191" s="32" t="s">
        <v>109</v>
      </c>
      <c r="C2191" s="3">
        <v>3</v>
      </c>
      <c r="D2191" s="1"/>
      <c r="E2191" s="20" t="s">
        <v>20</v>
      </c>
      <c r="F2191" s="7" t="s">
        <v>15</v>
      </c>
      <c r="G2191" s="7" t="s">
        <v>44</v>
      </c>
      <c r="H2191" s="11">
        <v>13.4</v>
      </c>
      <c r="I2191" s="55">
        <v>11.5</v>
      </c>
      <c r="J2191" s="40">
        <v>1</v>
      </c>
      <c r="K2191" s="10">
        <f t="shared" si="202"/>
        <v>0.15409999999999999</v>
      </c>
      <c r="L2191" s="4"/>
      <c r="M2191" s="17">
        <v>1</v>
      </c>
      <c r="N2191" s="18">
        <f t="shared" si="203"/>
        <v>0.15409999999999999</v>
      </c>
      <c r="O2191" s="19">
        <f t="shared" si="204"/>
        <v>0</v>
      </c>
      <c r="P2191" s="13">
        <f t="shared" si="205"/>
        <v>0</v>
      </c>
      <c r="Q2191" s="32">
        <v>10.6</v>
      </c>
      <c r="R2191" s="32">
        <v>1</v>
      </c>
      <c r="S2191" s="32" t="s">
        <v>195</v>
      </c>
    </row>
    <row r="2192" spans="1:21">
      <c r="A2192" s="44" t="s">
        <v>78</v>
      </c>
      <c r="B2192" s="32" t="s">
        <v>109</v>
      </c>
      <c r="C2192" s="3">
        <v>3</v>
      </c>
      <c r="D2192" s="1"/>
      <c r="E2192" s="20" t="s">
        <v>20</v>
      </c>
      <c r="F2192" s="7" t="s">
        <v>15</v>
      </c>
      <c r="G2192" s="7" t="s">
        <v>44</v>
      </c>
      <c r="H2192" s="11">
        <v>13.4</v>
      </c>
      <c r="I2192" s="55">
        <v>6.8</v>
      </c>
      <c r="J2192" s="40">
        <v>1</v>
      </c>
      <c r="K2192" s="10">
        <f t="shared" si="202"/>
        <v>9.1120000000000007E-2</v>
      </c>
      <c r="L2192" s="4"/>
      <c r="M2192" s="17"/>
      <c r="N2192" s="18">
        <f t="shared" si="203"/>
        <v>0</v>
      </c>
      <c r="O2192" s="19">
        <f t="shared" si="204"/>
        <v>1</v>
      </c>
      <c r="P2192" s="13">
        <f t="shared" si="205"/>
        <v>9.1120000000000007E-2</v>
      </c>
      <c r="Q2192" s="32"/>
      <c r="R2192" s="32"/>
      <c r="S2192" s="32"/>
    </row>
    <row r="2193" spans="1:22">
      <c r="A2193" s="44" t="s">
        <v>78</v>
      </c>
      <c r="B2193" s="32" t="s">
        <v>109</v>
      </c>
      <c r="C2193" s="3">
        <v>4</v>
      </c>
      <c r="D2193" s="1"/>
      <c r="E2193" s="20" t="s">
        <v>17</v>
      </c>
      <c r="F2193" s="7" t="s">
        <v>15</v>
      </c>
      <c r="G2193" s="7" t="s">
        <v>22</v>
      </c>
      <c r="H2193" s="11">
        <v>10.73</v>
      </c>
      <c r="I2193" s="33">
        <v>8</v>
      </c>
      <c r="J2193" s="40">
        <v>2</v>
      </c>
      <c r="K2193" s="10">
        <f t="shared" si="202"/>
        <v>0.17168</v>
      </c>
      <c r="L2193" s="4"/>
      <c r="M2193" s="17">
        <v>2</v>
      </c>
      <c r="N2193" s="18">
        <f t="shared" si="203"/>
        <v>0.17168</v>
      </c>
      <c r="O2193" s="19">
        <f t="shared" si="204"/>
        <v>0</v>
      </c>
      <c r="P2193" s="13">
        <f t="shared" si="205"/>
        <v>0</v>
      </c>
      <c r="Q2193" s="32"/>
      <c r="R2193" s="32"/>
      <c r="S2193" s="32"/>
      <c r="T2193">
        <v>8</v>
      </c>
      <c r="U2193">
        <v>2</v>
      </c>
      <c r="V2193" t="s">
        <v>265</v>
      </c>
    </row>
    <row r="2194" spans="1:22">
      <c r="A2194" s="44" t="s">
        <v>78</v>
      </c>
      <c r="B2194" s="32" t="s">
        <v>109</v>
      </c>
      <c r="C2194" s="3">
        <v>5</v>
      </c>
      <c r="D2194" s="1"/>
      <c r="E2194" s="20" t="s">
        <v>17</v>
      </c>
      <c r="F2194" s="7" t="s">
        <v>15</v>
      </c>
      <c r="G2194" s="7" t="s">
        <v>30</v>
      </c>
      <c r="H2194" s="11">
        <v>9.26</v>
      </c>
      <c r="I2194" s="185">
        <v>8</v>
      </c>
      <c r="J2194" s="40">
        <v>1</v>
      </c>
      <c r="K2194" s="10">
        <f t="shared" si="202"/>
        <v>7.4079999999999993E-2</v>
      </c>
      <c r="L2194" s="4"/>
      <c r="M2194" s="17">
        <v>1</v>
      </c>
      <c r="N2194" s="18">
        <f t="shared" si="203"/>
        <v>7.4079999999999993E-2</v>
      </c>
      <c r="O2194" s="19">
        <f t="shared" si="204"/>
        <v>0</v>
      </c>
      <c r="P2194" s="13">
        <f t="shared" si="205"/>
        <v>0</v>
      </c>
      <c r="Q2194" s="32">
        <v>8</v>
      </c>
      <c r="R2194" s="45">
        <v>1</v>
      </c>
      <c r="S2194" s="2" t="s">
        <v>267</v>
      </c>
    </row>
    <row r="2195" spans="1:22">
      <c r="A2195" s="44" t="s">
        <v>78</v>
      </c>
      <c r="B2195" s="32" t="s">
        <v>109</v>
      </c>
      <c r="C2195" s="3">
        <v>6</v>
      </c>
      <c r="D2195" s="1"/>
      <c r="E2195" s="20" t="s">
        <v>24</v>
      </c>
      <c r="F2195" s="7" t="s">
        <v>14</v>
      </c>
      <c r="G2195" s="7" t="s">
        <v>30</v>
      </c>
      <c r="H2195" s="11">
        <v>9.26</v>
      </c>
      <c r="I2195" s="33">
        <v>7</v>
      </c>
      <c r="J2195" s="40">
        <v>1</v>
      </c>
      <c r="K2195" s="10">
        <f t="shared" si="202"/>
        <v>6.4819999999999989E-2</v>
      </c>
      <c r="L2195" s="4"/>
      <c r="M2195" s="17">
        <v>1</v>
      </c>
      <c r="N2195" s="18">
        <f t="shared" si="203"/>
        <v>6.4819999999999989E-2</v>
      </c>
      <c r="O2195" s="106">
        <f t="shared" si="204"/>
        <v>0</v>
      </c>
      <c r="P2195" s="13">
        <f t="shared" si="205"/>
        <v>0</v>
      </c>
      <c r="Q2195" s="32"/>
      <c r="R2195" s="32">
        <v>1</v>
      </c>
      <c r="S2195" s="2" t="s">
        <v>222</v>
      </c>
    </row>
    <row r="2196" spans="1:22">
      <c r="A2196" s="44" t="s">
        <v>78</v>
      </c>
      <c r="B2196" s="32" t="s">
        <v>109</v>
      </c>
      <c r="C2196" s="3">
        <v>6</v>
      </c>
      <c r="D2196" s="1"/>
      <c r="E2196" s="20" t="s">
        <v>24</v>
      </c>
      <c r="F2196" s="7" t="s">
        <v>14</v>
      </c>
      <c r="G2196" s="7" t="s">
        <v>36</v>
      </c>
      <c r="H2196" s="11">
        <v>10.199999999999999</v>
      </c>
      <c r="I2196" s="33">
        <v>11</v>
      </c>
      <c r="J2196" s="40">
        <v>1</v>
      </c>
      <c r="K2196" s="10">
        <f t="shared" si="202"/>
        <v>0.11219999999999999</v>
      </c>
      <c r="L2196" s="4"/>
      <c r="M2196" s="17">
        <v>1</v>
      </c>
      <c r="N2196" s="18">
        <f t="shared" si="203"/>
        <v>0.11219999999999999</v>
      </c>
      <c r="O2196" s="19">
        <f t="shared" si="204"/>
        <v>0</v>
      </c>
      <c r="P2196" s="13">
        <f t="shared" si="205"/>
        <v>0</v>
      </c>
      <c r="Q2196" s="33">
        <v>10.5</v>
      </c>
      <c r="R2196" s="32">
        <v>1</v>
      </c>
      <c r="S2196" s="32" t="s">
        <v>249</v>
      </c>
    </row>
    <row r="2197" spans="1:22">
      <c r="A2197" s="44" t="s">
        <v>78</v>
      </c>
      <c r="B2197" s="32" t="s">
        <v>109</v>
      </c>
      <c r="C2197" s="3">
        <v>6</v>
      </c>
      <c r="D2197" s="1"/>
      <c r="E2197" s="20" t="s">
        <v>24</v>
      </c>
      <c r="F2197" s="7" t="s">
        <v>14</v>
      </c>
      <c r="G2197" s="7" t="s">
        <v>36</v>
      </c>
      <c r="H2197" s="11">
        <v>10.199999999999999</v>
      </c>
      <c r="I2197" s="33">
        <v>12</v>
      </c>
      <c r="J2197" s="40">
        <v>1</v>
      </c>
      <c r="K2197" s="10">
        <f t="shared" si="202"/>
        <v>0.12239999999999999</v>
      </c>
      <c r="L2197" s="4"/>
      <c r="M2197" s="17">
        <v>1</v>
      </c>
      <c r="N2197" s="18">
        <f t="shared" si="203"/>
        <v>0.12239999999999999</v>
      </c>
      <c r="O2197" s="19">
        <f t="shared" si="204"/>
        <v>0</v>
      </c>
      <c r="P2197" s="13">
        <f t="shared" si="205"/>
        <v>0</v>
      </c>
      <c r="Q2197" s="33">
        <v>10.5</v>
      </c>
      <c r="R2197" s="32">
        <v>1</v>
      </c>
      <c r="S2197" s="32" t="s">
        <v>249</v>
      </c>
    </row>
    <row r="2198" spans="1:22">
      <c r="A2198" s="44" t="s">
        <v>78</v>
      </c>
      <c r="B2198" s="32" t="s">
        <v>109</v>
      </c>
      <c r="C2198" s="3">
        <v>7</v>
      </c>
      <c r="D2198" s="1"/>
      <c r="E2198" s="20" t="s">
        <v>19</v>
      </c>
      <c r="F2198" s="7" t="s">
        <v>14</v>
      </c>
      <c r="G2198" s="7" t="s">
        <v>110</v>
      </c>
      <c r="H2198" s="11">
        <v>8.49</v>
      </c>
      <c r="I2198" s="33">
        <v>7.7</v>
      </c>
      <c r="J2198" s="40">
        <v>1</v>
      </c>
      <c r="K2198" s="10">
        <f t="shared" si="202"/>
        <v>6.5373000000000001E-2</v>
      </c>
      <c r="L2198" s="4"/>
      <c r="M2198" s="17"/>
      <c r="N2198" s="18">
        <f t="shared" si="203"/>
        <v>0</v>
      </c>
      <c r="O2198" s="19">
        <f t="shared" si="204"/>
        <v>1</v>
      </c>
      <c r="P2198" s="13">
        <f t="shared" si="205"/>
        <v>6.5373000000000001E-2</v>
      </c>
      <c r="Q2198" s="32"/>
      <c r="R2198" s="32"/>
      <c r="S2198" s="32"/>
    </row>
    <row r="2199" spans="1:22">
      <c r="A2199" s="44" t="s">
        <v>78</v>
      </c>
      <c r="B2199" s="32" t="s">
        <v>109</v>
      </c>
      <c r="C2199" s="3">
        <v>8</v>
      </c>
      <c r="D2199" s="1"/>
      <c r="E2199" s="20" t="s">
        <v>20</v>
      </c>
      <c r="F2199" s="7" t="s">
        <v>15</v>
      </c>
      <c r="G2199" s="7" t="s">
        <v>16</v>
      </c>
      <c r="H2199" s="11">
        <v>5.77</v>
      </c>
      <c r="I2199" s="33">
        <v>11.5</v>
      </c>
      <c r="J2199" s="40">
        <v>1</v>
      </c>
      <c r="K2199" s="10">
        <f t="shared" si="202"/>
        <v>6.6354999999999983E-2</v>
      </c>
      <c r="L2199" s="4"/>
      <c r="M2199" s="17">
        <v>1</v>
      </c>
      <c r="N2199" s="18">
        <f t="shared" si="203"/>
        <v>6.6354999999999983E-2</v>
      </c>
      <c r="O2199" s="19">
        <f t="shared" si="204"/>
        <v>0</v>
      </c>
      <c r="P2199" s="13">
        <f t="shared" si="205"/>
        <v>0</v>
      </c>
      <c r="Q2199" s="32">
        <v>11</v>
      </c>
      <c r="R2199" s="32">
        <v>1</v>
      </c>
      <c r="S2199" s="2" t="s">
        <v>208</v>
      </c>
    </row>
    <row r="2200" spans="1:22">
      <c r="A2200" s="44" t="s">
        <v>78</v>
      </c>
      <c r="B2200" s="32" t="s">
        <v>109</v>
      </c>
      <c r="C2200" s="3"/>
      <c r="D2200" s="1"/>
      <c r="E2200" s="20" t="s">
        <v>20</v>
      </c>
      <c r="F2200" s="7" t="s">
        <v>15</v>
      </c>
      <c r="G2200" s="7" t="s">
        <v>16</v>
      </c>
      <c r="H2200" s="11">
        <v>5.77</v>
      </c>
      <c r="I2200" s="33">
        <v>11</v>
      </c>
      <c r="J2200" s="40">
        <v>1</v>
      </c>
      <c r="K2200" s="10">
        <f t="shared" si="202"/>
        <v>6.3469999999999999E-2</v>
      </c>
      <c r="L2200" s="4"/>
      <c r="M2200" s="17">
        <v>1</v>
      </c>
      <c r="N2200" s="18">
        <f t="shared" si="203"/>
        <v>6.3469999999999999E-2</v>
      </c>
      <c r="O2200" s="19">
        <f t="shared" si="204"/>
        <v>0</v>
      </c>
      <c r="P2200" s="13">
        <f t="shared" si="205"/>
        <v>0</v>
      </c>
      <c r="Q2200" s="32">
        <v>11</v>
      </c>
      <c r="R2200" s="32">
        <v>1</v>
      </c>
      <c r="S2200" s="2" t="s">
        <v>208</v>
      </c>
    </row>
    <row r="2201" spans="1:22">
      <c r="A2201" s="44" t="s">
        <v>78</v>
      </c>
      <c r="B2201" s="32" t="s">
        <v>109</v>
      </c>
      <c r="C2201" s="3"/>
      <c r="D2201" s="1"/>
      <c r="E2201" s="20" t="s">
        <v>20</v>
      </c>
      <c r="F2201" s="7" t="s">
        <v>15</v>
      </c>
      <c r="G2201" s="7" t="s">
        <v>16</v>
      </c>
      <c r="H2201" s="11">
        <v>5.77</v>
      </c>
      <c r="I2201" s="33">
        <v>12</v>
      </c>
      <c r="J2201" s="40">
        <v>2</v>
      </c>
      <c r="K2201" s="10">
        <f t="shared" si="202"/>
        <v>0.13847999999999999</v>
      </c>
      <c r="L2201" s="4"/>
      <c r="M2201" s="17">
        <v>2</v>
      </c>
      <c r="N2201" s="18">
        <f t="shared" si="203"/>
        <v>0.13847999999999999</v>
      </c>
      <c r="O2201" s="19">
        <f t="shared" si="204"/>
        <v>0</v>
      </c>
      <c r="P2201" s="13">
        <f t="shared" si="205"/>
        <v>0</v>
      </c>
      <c r="Q2201" s="32">
        <v>11</v>
      </c>
      <c r="R2201" s="32">
        <v>2</v>
      </c>
      <c r="S2201" s="2" t="s">
        <v>208</v>
      </c>
    </row>
    <row r="2202" spans="1:22">
      <c r="A2202" s="44" t="s">
        <v>78</v>
      </c>
      <c r="B2202" s="32" t="s">
        <v>109</v>
      </c>
      <c r="C2202" s="3">
        <v>9</v>
      </c>
      <c r="D2202" s="1"/>
      <c r="E2202" s="20" t="s">
        <v>19</v>
      </c>
      <c r="F2202" s="7" t="s">
        <v>14</v>
      </c>
      <c r="G2202" s="7" t="s">
        <v>55</v>
      </c>
      <c r="H2202" s="11">
        <v>4.6500000000000004</v>
      </c>
      <c r="I2202" s="33">
        <v>11</v>
      </c>
      <c r="J2202" s="40">
        <v>1</v>
      </c>
      <c r="K2202" s="10">
        <f t="shared" si="202"/>
        <v>5.1150000000000008E-2</v>
      </c>
      <c r="L2202" s="4"/>
      <c r="M2202" s="17"/>
      <c r="N2202" s="18">
        <f t="shared" si="203"/>
        <v>0</v>
      </c>
      <c r="O2202" s="19">
        <f t="shared" si="204"/>
        <v>1</v>
      </c>
      <c r="P2202" s="13">
        <f t="shared" si="205"/>
        <v>5.1150000000000008E-2</v>
      </c>
      <c r="Q2202" s="32"/>
      <c r="R2202" s="32"/>
      <c r="S2202" s="32"/>
    </row>
    <row r="2203" spans="1:22">
      <c r="A2203" s="44" t="s">
        <v>78</v>
      </c>
      <c r="B2203" s="32" t="s">
        <v>111</v>
      </c>
      <c r="C2203" s="3">
        <v>1</v>
      </c>
      <c r="D2203" s="1"/>
      <c r="E2203" s="20" t="s">
        <v>128</v>
      </c>
      <c r="F2203" s="7" t="s">
        <v>15</v>
      </c>
      <c r="G2203" s="7" t="s">
        <v>57</v>
      </c>
      <c r="H2203" s="11">
        <v>35.840000000000003</v>
      </c>
      <c r="I2203" s="55">
        <v>8.1999999999999993</v>
      </c>
      <c r="J2203" s="40">
        <v>2</v>
      </c>
      <c r="K2203" s="10">
        <f t="shared" si="202"/>
        <v>0.58777599999999997</v>
      </c>
      <c r="L2203" s="257" t="s">
        <v>129</v>
      </c>
      <c r="M2203" s="17">
        <v>2</v>
      </c>
      <c r="N2203" s="18">
        <f t="shared" si="203"/>
        <v>0.58777599999999997</v>
      </c>
      <c r="O2203" s="19">
        <f t="shared" si="204"/>
        <v>0</v>
      </c>
      <c r="P2203" s="13">
        <f t="shared" si="205"/>
        <v>0</v>
      </c>
      <c r="Q2203" s="9"/>
      <c r="R2203" s="32"/>
      <c r="S2203" s="32"/>
    </row>
    <row r="2204" spans="1:22">
      <c r="A2204" s="44" t="s">
        <v>78</v>
      </c>
      <c r="B2204" s="32" t="s">
        <v>111</v>
      </c>
      <c r="C2204" s="3">
        <v>1</v>
      </c>
      <c r="D2204" s="1"/>
      <c r="E2204" s="20" t="s">
        <v>128</v>
      </c>
      <c r="F2204" s="7" t="s">
        <v>15</v>
      </c>
      <c r="G2204" s="7" t="s">
        <v>57</v>
      </c>
      <c r="H2204" s="11">
        <v>35.840000000000003</v>
      </c>
      <c r="I2204" s="55">
        <v>6.5</v>
      </c>
      <c r="J2204" s="40">
        <v>1</v>
      </c>
      <c r="K2204" s="10">
        <f t="shared" si="202"/>
        <v>0.23296000000000003</v>
      </c>
      <c r="L2204" s="257" t="s">
        <v>129</v>
      </c>
      <c r="M2204" s="17">
        <v>1</v>
      </c>
      <c r="N2204" s="18">
        <f t="shared" si="203"/>
        <v>0.23296000000000003</v>
      </c>
      <c r="O2204" s="19">
        <f t="shared" si="204"/>
        <v>0</v>
      </c>
      <c r="P2204" s="13">
        <f t="shared" si="205"/>
        <v>0</v>
      </c>
      <c r="Q2204" s="32"/>
      <c r="R2204" s="32"/>
      <c r="S2204" s="32"/>
    </row>
    <row r="2205" spans="1:22">
      <c r="A2205" s="44" t="s">
        <v>78</v>
      </c>
      <c r="B2205" s="32" t="s">
        <v>111</v>
      </c>
      <c r="C2205" s="3">
        <v>2</v>
      </c>
      <c r="D2205" s="1"/>
      <c r="E2205" s="20" t="s">
        <v>20</v>
      </c>
      <c r="F2205" s="7" t="s">
        <v>15</v>
      </c>
      <c r="G2205" s="7" t="s">
        <v>35</v>
      </c>
      <c r="H2205" s="11">
        <v>16.579999999999998</v>
      </c>
      <c r="I2205" s="55">
        <v>7.8</v>
      </c>
      <c r="J2205" s="40">
        <v>2</v>
      </c>
      <c r="K2205" s="10">
        <f t="shared" si="202"/>
        <v>0.25864799999999999</v>
      </c>
      <c r="L2205" s="4"/>
      <c r="M2205" s="17"/>
      <c r="N2205" s="18">
        <f t="shared" si="203"/>
        <v>0</v>
      </c>
      <c r="O2205" s="19">
        <f t="shared" si="204"/>
        <v>2</v>
      </c>
      <c r="P2205" s="13">
        <f t="shared" si="205"/>
        <v>0.25864799999999999</v>
      </c>
      <c r="Q2205" s="32"/>
      <c r="R2205" s="32"/>
      <c r="S2205" s="32"/>
    </row>
    <row r="2206" spans="1:22">
      <c r="A2206" s="44" t="s">
        <v>78</v>
      </c>
      <c r="B2206" s="32" t="s">
        <v>111</v>
      </c>
      <c r="C2206" s="3">
        <v>2</v>
      </c>
      <c r="D2206" s="1"/>
      <c r="E2206" s="20" t="s">
        <v>20</v>
      </c>
      <c r="F2206" s="7" t="s">
        <v>15</v>
      </c>
      <c r="G2206" s="7" t="s">
        <v>35</v>
      </c>
      <c r="H2206" s="11">
        <v>16.579999999999998</v>
      </c>
      <c r="I2206" s="55">
        <v>8.3000000000000007</v>
      </c>
      <c r="J2206" s="40">
        <v>3</v>
      </c>
      <c r="K2206" s="10">
        <f t="shared" si="202"/>
        <v>0.41284199999999999</v>
      </c>
      <c r="L2206" s="4"/>
      <c r="M2206" s="17"/>
      <c r="N2206" s="18">
        <f t="shared" si="203"/>
        <v>0</v>
      </c>
      <c r="O2206" s="19">
        <f t="shared" si="204"/>
        <v>3</v>
      </c>
      <c r="P2206" s="13">
        <f t="shared" si="205"/>
        <v>0.41284199999999999</v>
      </c>
      <c r="Q2206" s="32"/>
      <c r="R2206" s="32"/>
      <c r="S2206" s="32"/>
    </row>
    <row r="2207" spans="1:22">
      <c r="A2207" s="44" t="s">
        <v>78</v>
      </c>
      <c r="B2207" s="32" t="s">
        <v>111</v>
      </c>
      <c r="C2207" s="3">
        <v>3</v>
      </c>
      <c r="D2207" s="1"/>
      <c r="E2207" s="20" t="s">
        <v>20</v>
      </c>
      <c r="F2207" s="7" t="s">
        <v>15</v>
      </c>
      <c r="G2207" s="7" t="s">
        <v>58</v>
      </c>
      <c r="H2207" s="11">
        <v>27.29</v>
      </c>
      <c r="I2207" s="55">
        <v>11.7</v>
      </c>
      <c r="J2207" s="40">
        <v>2</v>
      </c>
      <c r="K2207" s="10">
        <f t="shared" si="202"/>
        <v>0.63858599999999988</v>
      </c>
      <c r="L2207" s="4"/>
      <c r="M2207" s="17">
        <v>2</v>
      </c>
      <c r="N2207" s="18">
        <f t="shared" si="203"/>
        <v>0.63858599999999988</v>
      </c>
      <c r="O2207" s="19">
        <f t="shared" si="204"/>
        <v>0</v>
      </c>
      <c r="P2207" s="13">
        <f t="shared" si="205"/>
        <v>0</v>
      </c>
      <c r="Q2207" s="55">
        <v>11.1</v>
      </c>
      <c r="R2207" s="32">
        <v>2</v>
      </c>
      <c r="S2207" s="32" t="s">
        <v>215</v>
      </c>
    </row>
    <row r="2208" spans="1:22">
      <c r="A2208" s="44" t="s">
        <v>78</v>
      </c>
      <c r="B2208" s="32" t="s">
        <v>111</v>
      </c>
      <c r="C2208" s="3">
        <v>3</v>
      </c>
      <c r="D2208" s="1"/>
      <c r="E2208" s="20" t="s">
        <v>20</v>
      </c>
      <c r="F2208" s="7" t="s">
        <v>15</v>
      </c>
      <c r="G2208" s="7" t="s">
        <v>58</v>
      </c>
      <c r="H2208" s="11">
        <v>27.29</v>
      </c>
      <c r="I2208" s="55">
        <v>9.5</v>
      </c>
      <c r="J2208" s="40">
        <v>1</v>
      </c>
      <c r="K2208" s="10">
        <f t="shared" si="202"/>
        <v>0.25925500000000001</v>
      </c>
      <c r="L2208" s="4"/>
      <c r="M2208" s="17">
        <v>1</v>
      </c>
      <c r="N2208" s="18">
        <f t="shared" si="203"/>
        <v>0.25925500000000001</v>
      </c>
      <c r="O2208" s="19">
        <f t="shared" si="204"/>
        <v>0</v>
      </c>
      <c r="P2208" s="13">
        <f t="shared" si="205"/>
        <v>0</v>
      </c>
      <c r="Q2208" s="55">
        <v>9.5</v>
      </c>
      <c r="R2208" s="32">
        <v>1</v>
      </c>
      <c r="S2208" s="32" t="s">
        <v>212</v>
      </c>
    </row>
    <row r="2209" spans="1:19">
      <c r="A2209" s="44" t="s">
        <v>78</v>
      </c>
      <c r="B2209" s="32" t="s">
        <v>111</v>
      </c>
      <c r="C2209" s="3">
        <v>3</v>
      </c>
      <c r="D2209" s="1"/>
      <c r="E2209" s="20" t="s">
        <v>20</v>
      </c>
      <c r="F2209" s="7" t="s">
        <v>15</v>
      </c>
      <c r="G2209" s="7" t="s">
        <v>58</v>
      </c>
      <c r="H2209" s="11">
        <v>27.29</v>
      </c>
      <c r="I2209" s="55">
        <v>6.2</v>
      </c>
      <c r="J2209" s="40">
        <v>1</v>
      </c>
      <c r="K2209" s="10">
        <f t="shared" si="202"/>
        <v>0.16919800000000002</v>
      </c>
      <c r="L2209" s="4"/>
      <c r="M2209" s="17">
        <v>1</v>
      </c>
      <c r="N2209" s="18">
        <f t="shared" si="203"/>
        <v>0.16919800000000002</v>
      </c>
      <c r="O2209" s="19">
        <f t="shared" si="204"/>
        <v>0</v>
      </c>
      <c r="P2209" s="13">
        <f t="shared" si="205"/>
        <v>0</v>
      </c>
      <c r="Q2209" s="55">
        <v>6.25</v>
      </c>
      <c r="R2209" s="32">
        <v>1</v>
      </c>
      <c r="S2209" s="32" t="s">
        <v>212</v>
      </c>
    </row>
    <row r="2210" spans="1:19">
      <c r="A2210" s="44" t="s">
        <v>78</v>
      </c>
      <c r="B2210" s="32" t="s">
        <v>111</v>
      </c>
      <c r="C2210" s="3">
        <v>4</v>
      </c>
      <c r="D2210" s="1"/>
      <c r="E2210" s="20" t="s">
        <v>20</v>
      </c>
      <c r="F2210" s="7" t="s">
        <v>15</v>
      </c>
      <c r="G2210" s="7" t="s">
        <v>47</v>
      </c>
      <c r="H2210" s="11">
        <v>15</v>
      </c>
      <c r="I2210" s="33">
        <v>7.6</v>
      </c>
      <c r="J2210" s="40">
        <v>1</v>
      </c>
      <c r="K2210" s="10">
        <f t="shared" si="202"/>
        <v>0.114</v>
      </c>
      <c r="L2210" s="4"/>
      <c r="M2210" s="17"/>
      <c r="N2210" s="18">
        <f t="shared" si="203"/>
        <v>0</v>
      </c>
      <c r="O2210" s="19">
        <f t="shared" si="204"/>
        <v>1</v>
      </c>
      <c r="P2210" s="13">
        <f t="shared" si="205"/>
        <v>0.114</v>
      </c>
      <c r="Q2210" s="32"/>
      <c r="R2210" s="32"/>
      <c r="S2210" s="32"/>
    </row>
    <row r="2211" spans="1:19">
      <c r="A2211" s="44" t="s">
        <v>78</v>
      </c>
      <c r="B2211" s="32" t="s">
        <v>111</v>
      </c>
      <c r="C2211" s="3">
        <v>4</v>
      </c>
      <c r="D2211" s="1"/>
      <c r="E2211" s="20" t="s">
        <v>20</v>
      </c>
      <c r="F2211" s="7" t="s">
        <v>15</v>
      </c>
      <c r="G2211" s="7" t="s">
        <v>47</v>
      </c>
      <c r="H2211" s="11">
        <v>15</v>
      </c>
      <c r="I2211" s="33">
        <v>12</v>
      </c>
      <c r="J2211" s="40">
        <v>1</v>
      </c>
      <c r="K2211" s="10">
        <f t="shared" si="202"/>
        <v>0.18</v>
      </c>
      <c r="L2211" s="4"/>
      <c r="M2211" s="17"/>
      <c r="N2211" s="18">
        <f t="shared" si="203"/>
        <v>0</v>
      </c>
      <c r="O2211" s="19">
        <f t="shared" si="204"/>
        <v>1</v>
      </c>
      <c r="P2211" s="13">
        <f t="shared" si="205"/>
        <v>0.18</v>
      </c>
      <c r="Q2211" s="32"/>
      <c r="R2211" s="32"/>
      <c r="S2211" s="32"/>
    </row>
    <row r="2212" spans="1:19">
      <c r="A2212" s="44" t="s">
        <v>78</v>
      </c>
      <c r="B2212" s="32" t="s">
        <v>111</v>
      </c>
      <c r="C2212" s="3">
        <v>5</v>
      </c>
      <c r="D2212" s="1"/>
      <c r="E2212" s="20" t="s">
        <v>20</v>
      </c>
      <c r="F2212" s="7" t="s">
        <v>15</v>
      </c>
      <c r="G2212" s="7" t="s">
        <v>65</v>
      </c>
      <c r="H2212" s="11">
        <v>44.12</v>
      </c>
      <c r="I2212" s="55">
        <v>8.1</v>
      </c>
      <c r="J2212" s="40">
        <v>1</v>
      </c>
      <c r="K2212" s="10">
        <f t="shared" si="202"/>
        <v>0.35737199999999997</v>
      </c>
      <c r="L2212" s="4"/>
      <c r="M2212" s="17">
        <v>1</v>
      </c>
      <c r="N2212" s="18">
        <f t="shared" si="203"/>
        <v>0.35737199999999997</v>
      </c>
      <c r="O2212" s="19">
        <f t="shared" si="204"/>
        <v>0</v>
      </c>
      <c r="P2212" s="13">
        <f t="shared" si="205"/>
        <v>0</v>
      </c>
      <c r="Q2212" s="32">
        <v>7.4</v>
      </c>
      <c r="R2212" s="32">
        <v>1</v>
      </c>
      <c r="S2212" s="32" t="s">
        <v>672</v>
      </c>
    </row>
    <row r="2213" spans="1:19">
      <c r="A2213" s="44" t="s">
        <v>78</v>
      </c>
      <c r="B2213" s="32" t="s">
        <v>111</v>
      </c>
      <c r="C2213" s="3">
        <v>6</v>
      </c>
      <c r="D2213" s="1"/>
      <c r="E2213" s="20" t="s">
        <v>20</v>
      </c>
      <c r="F2213" s="7" t="s">
        <v>15</v>
      </c>
      <c r="G2213" s="7" t="s">
        <v>50</v>
      </c>
      <c r="H2213" s="11">
        <v>21.7</v>
      </c>
      <c r="I2213" s="55">
        <v>8.9</v>
      </c>
      <c r="J2213" s="40">
        <v>1</v>
      </c>
      <c r="K2213" s="10">
        <f t="shared" si="202"/>
        <v>0.19313</v>
      </c>
      <c r="L2213" s="4"/>
      <c r="M2213" s="17">
        <v>1</v>
      </c>
      <c r="N2213" s="18">
        <f t="shared" si="203"/>
        <v>0.19313</v>
      </c>
      <c r="O2213" s="19">
        <f t="shared" si="204"/>
        <v>0</v>
      </c>
      <c r="P2213" s="13">
        <f t="shared" si="205"/>
        <v>0</v>
      </c>
      <c r="Q2213" s="32">
        <v>8.5500000000000007</v>
      </c>
      <c r="R2213" s="32">
        <v>1</v>
      </c>
      <c r="S2213" s="32" t="s">
        <v>602</v>
      </c>
    </row>
    <row r="2214" spans="1:19">
      <c r="A2214" s="44" t="s">
        <v>78</v>
      </c>
      <c r="B2214" s="32" t="s">
        <v>111</v>
      </c>
      <c r="C2214" s="3">
        <v>6</v>
      </c>
      <c r="D2214" s="1"/>
      <c r="E2214" s="20" t="s">
        <v>20</v>
      </c>
      <c r="F2214" s="7" t="s">
        <v>15</v>
      </c>
      <c r="G2214" s="7" t="s">
        <v>50</v>
      </c>
      <c r="H2214" s="11">
        <v>21.7</v>
      </c>
      <c r="I2214" s="55">
        <v>9.5</v>
      </c>
      <c r="J2214" s="40">
        <v>1</v>
      </c>
      <c r="K2214" s="10">
        <f t="shared" si="202"/>
        <v>0.20615</v>
      </c>
      <c r="L2214" s="4"/>
      <c r="M2214" s="17">
        <v>1</v>
      </c>
      <c r="N2214" s="18">
        <f t="shared" si="203"/>
        <v>0.20615</v>
      </c>
      <c r="O2214" s="19">
        <f t="shared" si="204"/>
        <v>0</v>
      </c>
      <c r="P2214" s="13">
        <f t="shared" si="205"/>
        <v>0</v>
      </c>
      <c r="Q2214" s="32">
        <v>8.5500000000000007</v>
      </c>
      <c r="R2214" s="32">
        <v>1</v>
      </c>
      <c r="S2214" s="32" t="s">
        <v>602</v>
      </c>
    </row>
    <row r="2215" spans="1:19">
      <c r="A2215" s="44" t="s">
        <v>78</v>
      </c>
      <c r="B2215" s="32" t="s">
        <v>111</v>
      </c>
      <c r="C2215" s="3">
        <v>6</v>
      </c>
      <c r="D2215" s="1"/>
      <c r="E2215" s="20" t="s">
        <v>20</v>
      </c>
      <c r="F2215" s="7" t="s">
        <v>15</v>
      </c>
      <c r="G2215" s="7" t="s">
        <v>50</v>
      </c>
      <c r="H2215" s="11">
        <v>21.7</v>
      </c>
      <c r="I2215" s="55">
        <v>11.1</v>
      </c>
      <c r="J2215" s="40">
        <v>1</v>
      </c>
      <c r="K2215" s="10">
        <f t="shared" si="202"/>
        <v>0.24086999999999997</v>
      </c>
      <c r="L2215" s="4"/>
      <c r="M2215" s="17">
        <v>1</v>
      </c>
      <c r="N2215" s="18">
        <f t="shared" si="203"/>
        <v>0.24086999999999997</v>
      </c>
      <c r="O2215" s="19">
        <f t="shared" si="204"/>
        <v>0</v>
      </c>
      <c r="P2215" s="13">
        <f t="shared" si="205"/>
        <v>0</v>
      </c>
      <c r="Q2215" s="32">
        <v>8.5500000000000007</v>
      </c>
      <c r="R2215" s="32">
        <v>1</v>
      </c>
      <c r="S2215" s="32" t="s">
        <v>602</v>
      </c>
    </row>
    <row r="2216" spans="1:19">
      <c r="A2216" s="44" t="s">
        <v>78</v>
      </c>
      <c r="B2216" s="32" t="s">
        <v>111</v>
      </c>
      <c r="C2216" s="3">
        <v>6</v>
      </c>
      <c r="D2216" s="1"/>
      <c r="E2216" s="20" t="s">
        <v>20</v>
      </c>
      <c r="F2216" s="7" t="s">
        <v>15</v>
      </c>
      <c r="G2216" s="7" t="s">
        <v>50</v>
      </c>
      <c r="H2216" s="11">
        <v>21.7</v>
      </c>
      <c r="I2216" s="55">
        <v>11.3</v>
      </c>
      <c r="J2216" s="40">
        <v>1</v>
      </c>
      <c r="K2216" s="10">
        <f t="shared" si="202"/>
        <v>0.24521000000000001</v>
      </c>
      <c r="L2216" s="4"/>
      <c r="M2216" s="17">
        <v>1</v>
      </c>
      <c r="N2216" s="18">
        <f t="shared" si="203"/>
        <v>0.24521000000000001</v>
      </c>
      <c r="O2216" s="19">
        <f t="shared" si="204"/>
        <v>0</v>
      </c>
      <c r="P2216" s="13">
        <f t="shared" si="205"/>
        <v>0</v>
      </c>
      <c r="Q2216" s="32">
        <v>8.5500000000000007</v>
      </c>
      <c r="R2216" s="32">
        <v>1</v>
      </c>
      <c r="S2216" s="32" t="s">
        <v>602</v>
      </c>
    </row>
    <row r="2217" spans="1:19">
      <c r="A2217" s="44" t="s">
        <v>78</v>
      </c>
      <c r="B2217" s="32" t="s">
        <v>111</v>
      </c>
      <c r="C2217" s="3">
        <v>7</v>
      </c>
      <c r="D2217" s="1"/>
      <c r="E2217" s="20" t="s">
        <v>20</v>
      </c>
      <c r="F2217" s="7" t="s">
        <v>15</v>
      </c>
      <c r="G2217" s="7" t="s">
        <v>64</v>
      </c>
      <c r="H2217" s="11">
        <v>40.1</v>
      </c>
      <c r="I2217" s="33">
        <v>8.5</v>
      </c>
      <c r="J2217" s="40">
        <v>1</v>
      </c>
      <c r="K2217" s="10">
        <f t="shared" si="202"/>
        <v>0.34085000000000004</v>
      </c>
      <c r="L2217" s="4"/>
      <c r="M2217" s="17">
        <v>1</v>
      </c>
      <c r="N2217" s="18">
        <f t="shared" si="203"/>
        <v>0.34085000000000004</v>
      </c>
      <c r="O2217" s="19">
        <f t="shared" si="204"/>
        <v>0</v>
      </c>
      <c r="P2217" s="13">
        <f t="shared" si="205"/>
        <v>0</v>
      </c>
      <c r="Q2217" s="32">
        <v>8.1999999999999993</v>
      </c>
      <c r="R2217" s="32">
        <v>1</v>
      </c>
      <c r="S2217" s="32" t="s">
        <v>543</v>
      </c>
    </row>
    <row r="2218" spans="1:19">
      <c r="A2218" s="44" t="s">
        <v>78</v>
      </c>
      <c r="B2218" s="32" t="s">
        <v>111</v>
      </c>
      <c r="C2218" s="3">
        <v>9</v>
      </c>
      <c r="D2218" s="1"/>
      <c r="E2218" s="20" t="s">
        <v>114</v>
      </c>
      <c r="F2218" s="7" t="s">
        <v>15</v>
      </c>
      <c r="G2218" s="7" t="s">
        <v>21</v>
      </c>
      <c r="H2218" s="11">
        <v>6.97</v>
      </c>
      <c r="I2218" s="55">
        <v>8</v>
      </c>
      <c r="J2218" s="40">
        <v>1</v>
      </c>
      <c r="K2218" s="10">
        <f t="shared" si="202"/>
        <v>5.5759999999999997E-2</v>
      </c>
      <c r="L2218" s="4"/>
      <c r="M2218" s="17">
        <v>1</v>
      </c>
      <c r="N2218" s="18">
        <f t="shared" si="203"/>
        <v>5.5759999999999997E-2</v>
      </c>
      <c r="O2218" s="19">
        <f t="shared" si="204"/>
        <v>0</v>
      </c>
      <c r="P2218" s="13">
        <f t="shared" si="205"/>
        <v>0</v>
      </c>
      <c r="Q2218" s="33">
        <v>7.4</v>
      </c>
      <c r="R2218" s="32">
        <v>1</v>
      </c>
      <c r="S2218" s="32"/>
    </row>
    <row r="2219" spans="1:19">
      <c r="A2219" s="44" t="s">
        <v>78</v>
      </c>
      <c r="B2219" s="32" t="s">
        <v>111</v>
      </c>
      <c r="C2219" s="3">
        <v>9</v>
      </c>
      <c r="D2219" s="1"/>
      <c r="E2219" s="20" t="s">
        <v>114</v>
      </c>
      <c r="F2219" s="7" t="s">
        <v>15</v>
      </c>
      <c r="G2219" s="7" t="s">
        <v>21</v>
      </c>
      <c r="H2219" s="11">
        <v>6.97</v>
      </c>
      <c r="I2219" s="55">
        <v>8.5</v>
      </c>
      <c r="J2219" s="40">
        <v>1</v>
      </c>
      <c r="K2219" s="10">
        <f t="shared" ref="K2219:K2261" si="206">(H2219*I2219*J2219/1000)</f>
        <v>5.9244999999999999E-2</v>
      </c>
      <c r="L2219" s="4"/>
      <c r="M2219" s="17">
        <v>1</v>
      </c>
      <c r="N2219" s="18">
        <f t="shared" ref="N2219:N2261" si="207">I2219*M2219*H2219/1000</f>
        <v>5.9244999999999999E-2</v>
      </c>
      <c r="O2219" s="19">
        <f t="shared" ref="O2219:O2261" si="208">J2219-M2219</f>
        <v>0</v>
      </c>
      <c r="P2219" s="13">
        <f t="shared" ref="P2219:P2261" si="209">I2219*O2219*H2219/1000</f>
        <v>0</v>
      </c>
      <c r="Q2219" s="33">
        <v>7.4</v>
      </c>
      <c r="R2219" s="32">
        <v>1</v>
      </c>
      <c r="S2219" s="32"/>
    </row>
    <row r="2220" spans="1:19">
      <c r="A2220" s="44" t="s">
        <v>78</v>
      </c>
      <c r="B2220" s="32" t="s">
        <v>111</v>
      </c>
      <c r="C2220" s="3">
        <v>9</v>
      </c>
      <c r="D2220" s="1"/>
      <c r="E2220" s="20" t="s">
        <v>114</v>
      </c>
      <c r="F2220" s="7" t="s">
        <v>15</v>
      </c>
      <c r="G2220" s="7" t="s">
        <v>21</v>
      </c>
      <c r="H2220" s="11">
        <v>6.97</v>
      </c>
      <c r="I2220" s="55">
        <v>8.6999999999999993</v>
      </c>
      <c r="J2220" s="40">
        <v>3</v>
      </c>
      <c r="K2220" s="10">
        <f t="shared" si="206"/>
        <v>0.18191699999999997</v>
      </c>
      <c r="L2220" s="4"/>
      <c r="M2220" s="17">
        <v>3</v>
      </c>
      <c r="N2220" s="18">
        <f t="shared" si="207"/>
        <v>0.18191699999999997</v>
      </c>
      <c r="O2220" s="19">
        <f t="shared" si="208"/>
        <v>0</v>
      </c>
      <c r="P2220" s="13">
        <f t="shared" si="209"/>
        <v>0</v>
      </c>
      <c r="Q2220" s="33">
        <v>7.4</v>
      </c>
      <c r="R2220" s="32">
        <v>3</v>
      </c>
      <c r="S2220" s="32"/>
    </row>
    <row r="2221" spans="1:19">
      <c r="A2221" s="44" t="s">
        <v>78</v>
      </c>
      <c r="B2221" s="32" t="s">
        <v>111</v>
      </c>
      <c r="C2221" s="3">
        <v>9</v>
      </c>
      <c r="D2221" s="1"/>
      <c r="E2221" s="20" t="s">
        <v>114</v>
      </c>
      <c r="F2221" s="7" t="s">
        <v>15</v>
      </c>
      <c r="G2221" s="7" t="s">
        <v>21</v>
      </c>
      <c r="H2221" s="11">
        <v>6.97</v>
      </c>
      <c r="I2221" s="55">
        <v>9</v>
      </c>
      <c r="J2221" s="40">
        <v>5</v>
      </c>
      <c r="K2221" s="10">
        <f t="shared" si="206"/>
        <v>0.31364999999999998</v>
      </c>
      <c r="L2221" s="4"/>
      <c r="M2221" s="17">
        <v>5</v>
      </c>
      <c r="N2221" s="18">
        <f t="shared" si="207"/>
        <v>0.31364999999999998</v>
      </c>
      <c r="O2221" s="19">
        <f t="shared" si="208"/>
        <v>0</v>
      </c>
      <c r="P2221" s="13">
        <f t="shared" si="209"/>
        <v>0</v>
      </c>
      <c r="Q2221" s="33">
        <v>7.4</v>
      </c>
      <c r="R2221" s="32">
        <v>5</v>
      </c>
      <c r="S2221" s="32"/>
    </row>
    <row r="2222" spans="1:19">
      <c r="A2222" s="44" t="s">
        <v>78</v>
      </c>
      <c r="B2222" s="32" t="s">
        <v>111</v>
      </c>
      <c r="C2222" s="3">
        <v>9</v>
      </c>
      <c r="D2222" s="1"/>
      <c r="E2222" s="20" t="s">
        <v>114</v>
      </c>
      <c r="F2222" s="7" t="s">
        <v>15</v>
      </c>
      <c r="G2222" s="7" t="s">
        <v>21</v>
      </c>
      <c r="H2222" s="11">
        <v>6.97</v>
      </c>
      <c r="I2222" s="55">
        <v>9.3000000000000007</v>
      </c>
      <c r="J2222" s="40">
        <v>1</v>
      </c>
      <c r="K2222" s="10">
        <f t="shared" si="206"/>
        <v>6.4821000000000004E-2</v>
      </c>
      <c r="L2222" s="4"/>
      <c r="M2222" s="17">
        <v>1</v>
      </c>
      <c r="N2222" s="18">
        <f t="shared" si="207"/>
        <v>6.4821000000000004E-2</v>
      </c>
      <c r="O2222" s="19">
        <f t="shared" si="208"/>
        <v>0</v>
      </c>
      <c r="P2222" s="13">
        <f t="shared" si="209"/>
        <v>0</v>
      </c>
      <c r="Q2222" s="33">
        <v>7.25</v>
      </c>
      <c r="R2222" s="32">
        <v>1</v>
      </c>
      <c r="S2222" s="32" t="s">
        <v>375</v>
      </c>
    </row>
    <row r="2223" spans="1:19">
      <c r="A2223" s="44" t="s">
        <v>78</v>
      </c>
      <c r="B2223" s="32" t="s">
        <v>111</v>
      </c>
      <c r="C2223" s="3">
        <v>9</v>
      </c>
      <c r="D2223" s="1"/>
      <c r="E2223" s="20" t="s">
        <v>114</v>
      </c>
      <c r="F2223" s="7" t="s">
        <v>15</v>
      </c>
      <c r="G2223" s="7" t="s">
        <v>21</v>
      </c>
      <c r="H2223" s="11">
        <v>6.97</v>
      </c>
      <c r="I2223" s="55">
        <v>9.4499999999999993</v>
      </c>
      <c r="J2223" s="40">
        <v>4</v>
      </c>
      <c r="K2223" s="10">
        <f t="shared" si="206"/>
        <v>0.26346599999999998</v>
      </c>
      <c r="L2223" s="4"/>
      <c r="M2223" s="17">
        <v>4</v>
      </c>
      <c r="N2223" s="18">
        <f t="shared" si="207"/>
        <v>0.26346599999999998</v>
      </c>
      <c r="O2223" s="19">
        <f t="shared" si="208"/>
        <v>0</v>
      </c>
      <c r="P2223" s="13">
        <f t="shared" si="209"/>
        <v>0</v>
      </c>
      <c r="Q2223" s="33">
        <v>9.5</v>
      </c>
      <c r="R2223" s="32">
        <v>4</v>
      </c>
      <c r="S2223" s="32" t="s">
        <v>419</v>
      </c>
    </row>
    <row r="2224" spans="1:19">
      <c r="A2224" s="44" t="s">
        <v>78</v>
      </c>
      <c r="B2224" s="32" t="s">
        <v>111</v>
      </c>
      <c r="C2224" s="3">
        <v>9</v>
      </c>
      <c r="D2224" s="1"/>
      <c r="E2224" s="20" t="s">
        <v>114</v>
      </c>
      <c r="F2224" s="7" t="s">
        <v>15</v>
      </c>
      <c r="G2224" s="7" t="s">
        <v>21</v>
      </c>
      <c r="H2224" s="11">
        <v>6.97</v>
      </c>
      <c r="I2224" s="55">
        <v>9.5</v>
      </c>
      <c r="J2224" s="40">
        <v>1</v>
      </c>
      <c r="K2224" s="10">
        <f t="shared" si="206"/>
        <v>6.621500000000001E-2</v>
      </c>
      <c r="L2224" s="4"/>
      <c r="M2224" s="17">
        <v>1</v>
      </c>
      <c r="N2224" s="18">
        <f t="shared" si="207"/>
        <v>6.621500000000001E-2</v>
      </c>
      <c r="O2224" s="19">
        <f t="shared" si="208"/>
        <v>0</v>
      </c>
      <c r="P2224" s="13">
        <f t="shared" si="209"/>
        <v>0</v>
      </c>
      <c r="Q2224" s="33">
        <v>9.5</v>
      </c>
      <c r="R2224" s="32">
        <v>1</v>
      </c>
      <c r="S2224" s="32" t="s">
        <v>419</v>
      </c>
    </row>
    <row r="2225" spans="1:21">
      <c r="A2225" s="44" t="s">
        <v>78</v>
      </c>
      <c r="B2225" s="32" t="s">
        <v>111</v>
      </c>
      <c r="C2225" s="3">
        <v>10</v>
      </c>
      <c r="D2225" s="1"/>
      <c r="E2225" s="20" t="s">
        <v>114</v>
      </c>
      <c r="F2225" s="7" t="s">
        <v>15</v>
      </c>
      <c r="G2225" s="7" t="s">
        <v>21</v>
      </c>
      <c r="H2225" s="11">
        <v>6.97</v>
      </c>
      <c r="I2225" s="55">
        <v>9.6</v>
      </c>
      <c r="J2225" s="40">
        <v>3</v>
      </c>
      <c r="K2225" s="10">
        <f t="shared" si="206"/>
        <v>0.200736</v>
      </c>
      <c r="L2225" s="4"/>
      <c r="M2225" s="17">
        <f>3</f>
        <v>3</v>
      </c>
      <c r="N2225" s="18">
        <f t="shared" si="207"/>
        <v>0.20073599999999997</v>
      </c>
      <c r="O2225" s="19">
        <f t="shared" si="208"/>
        <v>0</v>
      </c>
      <c r="P2225" s="13">
        <f t="shared" si="209"/>
        <v>0</v>
      </c>
      <c r="Q2225" s="32"/>
      <c r="R2225" s="32"/>
      <c r="S2225" s="32"/>
    </row>
    <row r="2226" spans="1:21">
      <c r="A2226" s="44" t="s">
        <v>78</v>
      </c>
      <c r="B2226" s="32" t="s">
        <v>111</v>
      </c>
      <c r="C2226" s="3">
        <v>10</v>
      </c>
      <c r="D2226" s="1"/>
      <c r="E2226" s="20" t="s">
        <v>114</v>
      </c>
      <c r="F2226" s="7" t="s">
        <v>15</v>
      </c>
      <c r="G2226" s="7" t="s">
        <v>21</v>
      </c>
      <c r="H2226" s="11">
        <v>6.97</v>
      </c>
      <c r="I2226" s="55">
        <v>10.1</v>
      </c>
      <c r="J2226" s="40">
        <v>3</v>
      </c>
      <c r="K2226" s="10">
        <f t="shared" si="206"/>
        <v>0.21119099999999996</v>
      </c>
      <c r="L2226" s="4"/>
      <c r="M2226" s="17">
        <f>11-8</f>
        <v>3</v>
      </c>
      <c r="N2226" s="18">
        <f t="shared" si="207"/>
        <v>0.21119099999999996</v>
      </c>
      <c r="O2226" s="19">
        <f t="shared" si="208"/>
        <v>0</v>
      </c>
      <c r="P2226" s="13">
        <f t="shared" si="209"/>
        <v>0</v>
      </c>
      <c r="Q2226" s="32"/>
      <c r="R2226" s="32"/>
      <c r="S2226" s="32"/>
    </row>
    <row r="2227" spans="1:21">
      <c r="A2227" s="44" t="s">
        <v>78</v>
      </c>
      <c r="B2227" s="32" t="s">
        <v>111</v>
      </c>
      <c r="C2227" s="3">
        <v>10</v>
      </c>
      <c r="D2227" s="1"/>
      <c r="E2227" s="20" t="s">
        <v>114</v>
      </c>
      <c r="F2227" s="7" t="s">
        <v>15</v>
      </c>
      <c r="G2227" s="7" t="s">
        <v>21</v>
      </c>
      <c r="H2227" s="11">
        <v>6.97</v>
      </c>
      <c r="I2227" s="55">
        <v>10.199999999999999</v>
      </c>
      <c r="J2227" s="40">
        <v>3</v>
      </c>
      <c r="K2227" s="10">
        <f t="shared" si="206"/>
        <v>0.21328199999999997</v>
      </c>
      <c r="L2227" s="4"/>
      <c r="M2227" s="17">
        <v>3</v>
      </c>
      <c r="N2227" s="18">
        <f t="shared" si="207"/>
        <v>0.21328199999999997</v>
      </c>
      <c r="O2227" s="19">
        <f t="shared" si="208"/>
        <v>0</v>
      </c>
      <c r="P2227" s="13">
        <f t="shared" si="209"/>
        <v>0</v>
      </c>
      <c r="Q2227" s="33">
        <v>10</v>
      </c>
      <c r="R2227" s="45">
        <v>3</v>
      </c>
      <c r="S2227" s="32" t="s">
        <v>272</v>
      </c>
    </row>
    <row r="2228" spans="1:21">
      <c r="A2228" s="44" t="s">
        <v>78</v>
      </c>
      <c r="B2228" s="32" t="s">
        <v>111</v>
      </c>
      <c r="C2228" s="3">
        <v>10</v>
      </c>
      <c r="D2228" s="32"/>
      <c r="E2228" s="20" t="s">
        <v>114</v>
      </c>
      <c r="F2228" s="7" t="s">
        <v>15</v>
      </c>
      <c r="G2228" s="7" t="s">
        <v>21</v>
      </c>
      <c r="H2228" s="11">
        <v>6.97</v>
      </c>
      <c r="I2228" s="55">
        <v>10.5</v>
      </c>
      <c r="J2228" s="40">
        <v>1</v>
      </c>
      <c r="K2228" s="10">
        <f t="shared" si="206"/>
        <v>7.3185E-2</v>
      </c>
      <c r="L2228" s="4"/>
      <c r="M2228" s="17">
        <v>1</v>
      </c>
      <c r="N2228" s="18">
        <f t="shared" si="207"/>
        <v>7.3185E-2</v>
      </c>
      <c r="O2228" s="19">
        <f t="shared" si="208"/>
        <v>0</v>
      </c>
      <c r="P2228" s="13">
        <f t="shared" si="209"/>
        <v>0</v>
      </c>
      <c r="Q2228" s="33">
        <v>9.6</v>
      </c>
      <c r="R2228" s="32">
        <v>1</v>
      </c>
      <c r="S2228" s="32"/>
    </row>
    <row r="2229" spans="1:21">
      <c r="A2229" s="44" t="s">
        <v>78</v>
      </c>
      <c r="B2229" s="32" t="s">
        <v>80</v>
      </c>
      <c r="C2229" s="3">
        <v>1</v>
      </c>
      <c r="D2229" s="32"/>
      <c r="E2229" s="20" t="s">
        <v>94</v>
      </c>
      <c r="F2229" s="7" t="s">
        <v>15</v>
      </c>
      <c r="G2229" s="7" t="s">
        <v>21</v>
      </c>
      <c r="H2229" s="11">
        <v>6.97</v>
      </c>
      <c r="I2229" s="55">
        <v>10.199999999999999</v>
      </c>
      <c r="J2229" s="41">
        <f>33-5</f>
        <v>28</v>
      </c>
      <c r="K2229" s="10">
        <f t="shared" si="206"/>
        <v>1.9906319999999997</v>
      </c>
      <c r="L2229" s="4"/>
      <c r="M2229" s="17">
        <f>21+8+4-5</f>
        <v>28</v>
      </c>
      <c r="N2229" s="18">
        <f t="shared" si="207"/>
        <v>1.9906319999999995</v>
      </c>
      <c r="O2229" s="19">
        <f t="shared" si="208"/>
        <v>0</v>
      </c>
      <c r="P2229" s="13">
        <f t="shared" si="209"/>
        <v>0</v>
      </c>
      <c r="Q2229" s="33" t="s">
        <v>258</v>
      </c>
      <c r="R2229" s="32">
        <v>12</v>
      </c>
      <c r="S2229" s="32"/>
    </row>
    <row r="2230" spans="1:21">
      <c r="A2230" s="44" t="s">
        <v>78</v>
      </c>
      <c r="B2230" s="32" t="s">
        <v>80</v>
      </c>
      <c r="C2230" s="3">
        <v>9</v>
      </c>
      <c r="D2230" s="32"/>
      <c r="E2230" s="20" t="s">
        <v>94</v>
      </c>
      <c r="F2230" s="7" t="s">
        <v>15</v>
      </c>
      <c r="G2230" s="7" t="s">
        <v>21</v>
      </c>
      <c r="H2230" s="11">
        <v>6.97</v>
      </c>
      <c r="I2230" s="55">
        <v>8.6</v>
      </c>
      <c r="J2230" s="41">
        <v>5</v>
      </c>
      <c r="K2230" s="10">
        <f t="shared" ref="K2230" si="210">(H2230*I2230*J2230/1000)</f>
        <v>0.29970999999999998</v>
      </c>
      <c r="L2230" s="4"/>
      <c r="M2230" s="17">
        <v>5</v>
      </c>
      <c r="N2230" s="18">
        <f t="shared" ref="N2230" si="211">I2230*M2230*H2230/1000</f>
        <v>0.29970999999999998</v>
      </c>
      <c r="O2230" s="19">
        <f t="shared" ref="O2230" si="212">J2230-M2230</f>
        <v>0</v>
      </c>
      <c r="P2230" s="13">
        <f t="shared" ref="P2230" si="213">I2230*O2230*H2230/1000</f>
        <v>0</v>
      </c>
      <c r="Q2230" s="33">
        <v>7.25</v>
      </c>
      <c r="R2230" s="32">
        <v>5</v>
      </c>
      <c r="S2230" s="32" t="s">
        <v>375</v>
      </c>
    </row>
    <row r="2231" spans="1:21">
      <c r="A2231" s="44" t="s">
        <v>78</v>
      </c>
      <c r="B2231" s="32" t="s">
        <v>80</v>
      </c>
      <c r="C2231" s="3">
        <v>9</v>
      </c>
      <c r="D2231" s="32"/>
      <c r="E2231" s="20" t="s">
        <v>94</v>
      </c>
      <c r="F2231" s="7" t="s">
        <v>15</v>
      </c>
      <c r="G2231" s="7" t="s">
        <v>21</v>
      </c>
      <c r="H2231" s="11">
        <v>6.97</v>
      </c>
      <c r="I2231" s="55">
        <v>9</v>
      </c>
      <c r="J2231" s="41">
        <v>16</v>
      </c>
      <c r="K2231" s="10">
        <f t="shared" si="206"/>
        <v>1.0036799999999999</v>
      </c>
      <c r="L2231" s="4"/>
      <c r="M2231" s="17">
        <f>6+2+5</f>
        <v>13</v>
      </c>
      <c r="N2231" s="18">
        <f t="shared" si="207"/>
        <v>0.81549000000000005</v>
      </c>
      <c r="O2231" s="19">
        <f t="shared" si="208"/>
        <v>3</v>
      </c>
      <c r="P2231" s="13">
        <f t="shared" si="209"/>
        <v>0.18819</v>
      </c>
      <c r="Q2231" s="33">
        <v>7.25</v>
      </c>
      <c r="R2231" s="32">
        <v>2</v>
      </c>
      <c r="S2231" s="32" t="s">
        <v>375</v>
      </c>
      <c r="T2231" s="33">
        <v>9</v>
      </c>
      <c r="U2231" s="32">
        <v>6</v>
      </c>
    </row>
    <row r="2232" spans="1:21">
      <c r="A2232" s="44" t="s">
        <v>78</v>
      </c>
      <c r="B2232" s="32" t="s">
        <v>80</v>
      </c>
      <c r="C2232" s="3">
        <v>1</v>
      </c>
      <c r="D2232" s="32"/>
      <c r="E2232" s="20" t="s">
        <v>75</v>
      </c>
      <c r="F2232" s="7" t="s">
        <v>15</v>
      </c>
      <c r="G2232" s="7" t="s">
        <v>32</v>
      </c>
      <c r="H2232" s="11">
        <v>8.3000000000000007</v>
      </c>
      <c r="I2232" s="33">
        <v>9</v>
      </c>
      <c r="J2232" s="40">
        <v>32</v>
      </c>
      <c r="K2232" s="10">
        <f t="shared" si="206"/>
        <v>2.3904000000000001</v>
      </c>
      <c r="L2232" s="4"/>
      <c r="M2232" s="17">
        <f>32</f>
        <v>32</v>
      </c>
      <c r="N2232" s="18">
        <f t="shared" si="207"/>
        <v>2.3904000000000001</v>
      </c>
      <c r="O2232" s="19">
        <f t="shared" si="208"/>
        <v>0</v>
      </c>
      <c r="P2232" s="13">
        <f t="shared" si="209"/>
        <v>0</v>
      </c>
      <c r="Q2232" s="32"/>
      <c r="R2232" s="32"/>
      <c r="S2232" s="32"/>
    </row>
    <row r="2233" spans="1:21">
      <c r="A2233" s="44" t="s">
        <v>78</v>
      </c>
      <c r="B2233" s="32" t="s">
        <v>80</v>
      </c>
      <c r="C2233" s="3">
        <v>2</v>
      </c>
      <c r="D2233" s="32"/>
      <c r="E2233" s="20" t="s">
        <v>75</v>
      </c>
      <c r="F2233" s="7" t="s">
        <v>15</v>
      </c>
      <c r="G2233" s="7" t="s">
        <v>32</v>
      </c>
      <c r="H2233" s="11">
        <v>8.3000000000000007</v>
      </c>
      <c r="I2233" s="33">
        <v>10.8</v>
      </c>
      <c r="J2233" s="40">
        <v>4</v>
      </c>
      <c r="K2233" s="10">
        <f t="shared" si="206"/>
        <v>0.35856000000000005</v>
      </c>
      <c r="L2233" s="4"/>
      <c r="M2233" s="17">
        <v>4</v>
      </c>
      <c r="N2233" s="18">
        <f t="shared" si="207"/>
        <v>0.35856000000000005</v>
      </c>
      <c r="O2233" s="19">
        <f t="shared" si="208"/>
        <v>0</v>
      </c>
      <c r="P2233" s="13">
        <f t="shared" si="209"/>
        <v>0</v>
      </c>
      <c r="Q2233" s="32"/>
      <c r="R2233" s="32"/>
      <c r="S2233" s="32"/>
    </row>
    <row r="2234" spans="1:21">
      <c r="A2234" s="44" t="s">
        <v>78</v>
      </c>
      <c r="B2234" s="32" t="s">
        <v>80</v>
      </c>
      <c r="C2234" s="3">
        <v>2</v>
      </c>
      <c r="D2234" s="32"/>
      <c r="E2234" s="20" t="s">
        <v>75</v>
      </c>
      <c r="F2234" s="7" t="s">
        <v>15</v>
      </c>
      <c r="G2234" s="7" t="s">
        <v>32</v>
      </c>
      <c r="H2234" s="11">
        <v>8.3000000000000007</v>
      </c>
      <c r="I2234" s="33">
        <v>11.1</v>
      </c>
      <c r="J2234" s="40">
        <v>9</v>
      </c>
      <c r="K2234" s="10">
        <f t="shared" si="206"/>
        <v>0.82917000000000007</v>
      </c>
      <c r="L2234" s="4"/>
      <c r="M2234" s="17">
        <v>7</v>
      </c>
      <c r="N2234" s="18">
        <f t="shared" si="207"/>
        <v>0.64491000000000009</v>
      </c>
      <c r="O2234" s="19">
        <f t="shared" si="208"/>
        <v>2</v>
      </c>
      <c r="P2234" s="13">
        <f t="shared" si="209"/>
        <v>0.18426000000000001</v>
      </c>
      <c r="Q2234" s="32"/>
      <c r="R2234" s="32"/>
      <c r="S2234" s="32"/>
    </row>
    <row r="2235" spans="1:21">
      <c r="A2235" s="44" t="s">
        <v>78</v>
      </c>
      <c r="B2235" s="32" t="s">
        <v>80</v>
      </c>
      <c r="C2235" s="3">
        <v>3</v>
      </c>
      <c r="D2235" s="32"/>
      <c r="E2235" s="20" t="s">
        <v>75</v>
      </c>
      <c r="F2235" s="7" t="s">
        <v>15</v>
      </c>
      <c r="G2235" s="7" t="s">
        <v>32</v>
      </c>
      <c r="H2235" s="11">
        <v>8.3000000000000007</v>
      </c>
      <c r="I2235" s="33">
        <v>10</v>
      </c>
      <c r="J2235" s="40">
        <v>3</v>
      </c>
      <c r="K2235" s="10">
        <f t="shared" si="206"/>
        <v>0.249</v>
      </c>
      <c r="L2235" s="4"/>
      <c r="M2235" s="17">
        <v>3</v>
      </c>
      <c r="N2235" s="18">
        <f t="shared" si="207"/>
        <v>0.24900000000000003</v>
      </c>
      <c r="O2235" s="19">
        <f t="shared" si="208"/>
        <v>0</v>
      </c>
      <c r="P2235" s="13">
        <f t="shared" si="209"/>
        <v>0</v>
      </c>
      <c r="Q2235" s="32">
        <v>9</v>
      </c>
      <c r="R2235" s="32">
        <v>3</v>
      </c>
      <c r="S2235" s="32"/>
    </row>
    <row r="2236" spans="1:21">
      <c r="A2236" s="44" t="s">
        <v>78</v>
      </c>
      <c r="B2236" s="32" t="s">
        <v>80</v>
      </c>
      <c r="C2236" s="3">
        <v>3</v>
      </c>
      <c r="D2236" s="32"/>
      <c r="E2236" s="20" t="s">
        <v>75</v>
      </c>
      <c r="F2236" s="7" t="s">
        <v>15</v>
      </c>
      <c r="G2236" s="7" t="s">
        <v>32</v>
      </c>
      <c r="H2236" s="11">
        <v>8.3000000000000007</v>
      </c>
      <c r="I2236" s="33">
        <v>10.5</v>
      </c>
      <c r="J2236" s="40">
        <v>4</v>
      </c>
      <c r="K2236" s="10">
        <f t="shared" si="206"/>
        <v>0.34860000000000002</v>
      </c>
      <c r="L2236" s="4"/>
      <c r="M2236" s="17"/>
      <c r="N2236" s="18">
        <f t="shared" si="207"/>
        <v>0</v>
      </c>
      <c r="O2236" s="19">
        <f t="shared" si="208"/>
        <v>4</v>
      </c>
      <c r="P2236" s="13">
        <f t="shared" si="209"/>
        <v>0.34860000000000002</v>
      </c>
      <c r="Q2236" s="32"/>
      <c r="R2236" s="32"/>
      <c r="S2236" s="32"/>
    </row>
    <row r="2237" spans="1:21">
      <c r="A2237" s="44" t="s">
        <v>78</v>
      </c>
      <c r="B2237" s="32" t="s">
        <v>80</v>
      </c>
      <c r="C2237" s="3">
        <v>3</v>
      </c>
      <c r="D2237" s="32"/>
      <c r="E2237" s="20" t="s">
        <v>75</v>
      </c>
      <c r="F2237" s="7" t="s">
        <v>15</v>
      </c>
      <c r="G2237" s="7" t="s">
        <v>32</v>
      </c>
      <c r="H2237" s="11">
        <v>8.3000000000000007</v>
      </c>
      <c r="I2237" s="33">
        <v>10.8</v>
      </c>
      <c r="J2237" s="40">
        <v>1</v>
      </c>
      <c r="K2237" s="10">
        <f t="shared" si="206"/>
        <v>8.9640000000000011E-2</v>
      </c>
      <c r="L2237" s="4"/>
      <c r="M2237" s="17"/>
      <c r="N2237" s="18">
        <f t="shared" si="207"/>
        <v>0</v>
      </c>
      <c r="O2237" s="19">
        <f t="shared" si="208"/>
        <v>1</v>
      </c>
      <c r="P2237" s="13">
        <f t="shared" si="209"/>
        <v>8.9640000000000011E-2</v>
      </c>
      <c r="Q2237" s="32"/>
      <c r="R2237" s="32"/>
      <c r="S2237" s="32"/>
    </row>
    <row r="2238" spans="1:21">
      <c r="A2238" s="44" t="s">
        <v>78</v>
      </c>
      <c r="B2238" s="32" t="s">
        <v>80</v>
      </c>
      <c r="C2238" s="3">
        <v>4</v>
      </c>
      <c r="D2238" s="32"/>
      <c r="E2238" s="20" t="s">
        <v>75</v>
      </c>
      <c r="F2238" s="7" t="s">
        <v>15</v>
      </c>
      <c r="G2238" s="7" t="s">
        <v>32</v>
      </c>
      <c r="H2238" s="11">
        <v>8.3000000000000007</v>
      </c>
      <c r="I2238" s="33">
        <v>11.1</v>
      </c>
      <c r="J2238" s="40">
        <v>30</v>
      </c>
      <c r="K2238" s="10">
        <f t="shared" si="206"/>
        <v>2.7639</v>
      </c>
      <c r="L2238" s="4"/>
      <c r="M2238" s="17">
        <v>30</v>
      </c>
      <c r="N2238" s="18">
        <f t="shared" si="207"/>
        <v>2.7639</v>
      </c>
      <c r="O2238" s="19">
        <f t="shared" si="208"/>
        <v>0</v>
      </c>
      <c r="P2238" s="13">
        <f t="shared" si="209"/>
        <v>0</v>
      </c>
      <c r="Q2238" s="32"/>
      <c r="R2238" s="32"/>
      <c r="S2238" s="32"/>
    </row>
    <row r="2239" spans="1:21">
      <c r="A2239" s="44" t="s">
        <v>78</v>
      </c>
      <c r="B2239" s="32" t="s">
        <v>80</v>
      </c>
      <c r="C2239" s="3">
        <v>5</v>
      </c>
      <c r="D2239" s="32"/>
      <c r="E2239" s="20" t="s">
        <v>75</v>
      </c>
      <c r="F2239" s="7" t="s">
        <v>15</v>
      </c>
      <c r="G2239" s="7" t="s">
        <v>32</v>
      </c>
      <c r="H2239" s="11">
        <v>8.32</v>
      </c>
      <c r="I2239" s="33">
        <v>11</v>
      </c>
      <c r="J2239" s="40">
        <v>28</v>
      </c>
      <c r="K2239" s="10">
        <f t="shared" si="206"/>
        <v>2.5625600000000004</v>
      </c>
      <c r="L2239" s="4"/>
      <c r="M2239" s="17">
        <v>28</v>
      </c>
      <c r="N2239" s="18">
        <f t="shared" si="207"/>
        <v>2.5625599999999999</v>
      </c>
      <c r="O2239" s="19">
        <f t="shared" si="208"/>
        <v>0</v>
      </c>
      <c r="P2239" s="13">
        <f t="shared" si="209"/>
        <v>0</v>
      </c>
      <c r="Q2239" s="32"/>
      <c r="R2239" s="32"/>
      <c r="S2239" s="32"/>
    </row>
    <row r="2240" spans="1:21">
      <c r="A2240" s="44" t="s">
        <v>78</v>
      </c>
      <c r="B2240" s="32" t="s">
        <v>80</v>
      </c>
      <c r="C2240" s="3">
        <v>1</v>
      </c>
      <c r="D2240" s="32"/>
      <c r="E2240" s="20" t="s">
        <v>94</v>
      </c>
      <c r="F2240" s="7" t="s">
        <v>15</v>
      </c>
      <c r="G2240" s="7" t="s">
        <v>32</v>
      </c>
      <c r="H2240" s="11">
        <v>8.3000000000000007</v>
      </c>
      <c r="I2240" s="33">
        <v>12</v>
      </c>
      <c r="J2240" s="40">
        <v>8</v>
      </c>
      <c r="K2240" s="10">
        <f t="shared" si="206"/>
        <v>0.79680000000000006</v>
      </c>
      <c r="L2240" s="4"/>
      <c r="M2240" s="17">
        <f>4+4</f>
        <v>8</v>
      </c>
      <c r="N2240" s="18">
        <f t="shared" si="207"/>
        <v>0.79680000000000006</v>
      </c>
      <c r="O2240" s="19">
        <f t="shared" si="208"/>
        <v>0</v>
      </c>
      <c r="P2240" s="13">
        <f t="shared" si="209"/>
        <v>0</v>
      </c>
      <c r="Q2240" s="32"/>
      <c r="R2240" s="32"/>
      <c r="S2240" s="32">
        <v>12</v>
      </c>
      <c r="T2240">
        <v>4</v>
      </c>
      <c r="U2240" t="s">
        <v>272</v>
      </c>
    </row>
    <row r="2241" spans="1:21">
      <c r="A2241" s="44" t="s">
        <v>78</v>
      </c>
      <c r="B2241" s="32" t="s">
        <v>80</v>
      </c>
      <c r="C2241" s="3">
        <v>1</v>
      </c>
      <c r="D2241" s="32"/>
      <c r="E2241" s="24" t="s">
        <v>17</v>
      </c>
      <c r="F2241" s="7" t="s">
        <v>15</v>
      </c>
      <c r="G2241" s="7" t="s">
        <v>59</v>
      </c>
      <c r="H2241" s="11">
        <v>38</v>
      </c>
      <c r="I2241" s="33">
        <v>9.8000000000000007</v>
      </c>
      <c r="J2241" s="40">
        <v>6</v>
      </c>
      <c r="K2241" s="10">
        <f t="shared" si="206"/>
        <v>2.2343999999999999</v>
      </c>
      <c r="L2241" s="4"/>
      <c r="M2241" s="17">
        <v>6</v>
      </c>
      <c r="N2241" s="18">
        <f t="shared" si="207"/>
        <v>2.2343999999999999</v>
      </c>
      <c r="O2241" s="19">
        <f t="shared" si="208"/>
        <v>0</v>
      </c>
      <c r="P2241" s="13">
        <f t="shared" si="209"/>
        <v>0</v>
      </c>
      <c r="Q2241" s="32">
        <v>7.6</v>
      </c>
      <c r="R2241" s="32">
        <v>6</v>
      </c>
      <c r="S2241" s="32" t="s">
        <v>220</v>
      </c>
    </row>
    <row r="2242" spans="1:21">
      <c r="A2242" s="44" t="s">
        <v>78</v>
      </c>
      <c r="B2242" s="32" t="s">
        <v>80</v>
      </c>
      <c r="C2242" s="3">
        <v>2</v>
      </c>
      <c r="D2242" s="32"/>
      <c r="E2242" s="24" t="s">
        <v>17</v>
      </c>
      <c r="F2242" s="7" t="s">
        <v>15</v>
      </c>
      <c r="G2242" s="7" t="s">
        <v>59</v>
      </c>
      <c r="H2242" s="11">
        <v>38</v>
      </c>
      <c r="I2242" s="33">
        <v>9.1999999999999993</v>
      </c>
      <c r="J2242" s="40">
        <v>2</v>
      </c>
      <c r="K2242" s="10">
        <f t="shared" si="206"/>
        <v>0.69919999999999993</v>
      </c>
      <c r="L2242" s="4"/>
      <c r="M2242" s="17">
        <v>2</v>
      </c>
      <c r="N2242" s="18">
        <f t="shared" si="207"/>
        <v>0.69919999999999993</v>
      </c>
      <c r="O2242" s="19">
        <f t="shared" si="208"/>
        <v>0</v>
      </c>
      <c r="P2242" s="13">
        <f t="shared" si="209"/>
        <v>0</v>
      </c>
      <c r="Q2242" s="32">
        <v>7.6</v>
      </c>
      <c r="R2242" s="32">
        <v>2</v>
      </c>
      <c r="S2242" s="32" t="s">
        <v>220</v>
      </c>
    </row>
    <row r="2243" spans="1:21">
      <c r="A2243" s="44" t="s">
        <v>78</v>
      </c>
      <c r="B2243" s="32" t="s">
        <v>80</v>
      </c>
      <c r="C2243" s="3">
        <v>2</v>
      </c>
      <c r="D2243" s="32"/>
      <c r="E2243" s="24" t="s">
        <v>17</v>
      </c>
      <c r="F2243" s="7" t="s">
        <v>15</v>
      </c>
      <c r="G2243" s="7" t="s">
        <v>59</v>
      </c>
      <c r="H2243" s="11">
        <v>38</v>
      </c>
      <c r="I2243" s="33">
        <v>9.4</v>
      </c>
      <c r="J2243" s="40">
        <v>2</v>
      </c>
      <c r="K2243" s="10">
        <f t="shared" si="206"/>
        <v>0.71439999999999992</v>
      </c>
      <c r="L2243" s="4"/>
      <c r="M2243" s="17">
        <v>2</v>
      </c>
      <c r="N2243" s="18">
        <f t="shared" si="207"/>
        <v>0.71439999999999992</v>
      </c>
      <c r="O2243" s="19">
        <f t="shared" si="208"/>
        <v>0</v>
      </c>
      <c r="P2243" s="13">
        <f t="shared" si="209"/>
        <v>0</v>
      </c>
      <c r="Q2243" s="32">
        <v>7.6</v>
      </c>
      <c r="R2243" s="32">
        <v>2</v>
      </c>
      <c r="S2243" s="32" t="s">
        <v>220</v>
      </c>
    </row>
    <row r="2244" spans="1:21">
      <c r="A2244" s="44" t="s">
        <v>78</v>
      </c>
      <c r="B2244" s="32" t="s">
        <v>80</v>
      </c>
      <c r="C2244" s="3">
        <v>1</v>
      </c>
      <c r="D2244" s="32"/>
      <c r="E2244" s="24" t="s">
        <v>130</v>
      </c>
      <c r="F2244" s="7" t="s">
        <v>15</v>
      </c>
      <c r="G2244" s="7" t="s">
        <v>58</v>
      </c>
      <c r="H2244" s="11">
        <v>27.29</v>
      </c>
      <c r="I2244" s="55">
        <v>7.5</v>
      </c>
      <c r="J2244" s="40">
        <v>1</v>
      </c>
      <c r="K2244" s="10">
        <f t="shared" si="206"/>
        <v>0.204675</v>
      </c>
      <c r="L2244" s="4"/>
      <c r="M2244" s="17">
        <v>1</v>
      </c>
      <c r="N2244" s="18">
        <f t="shared" si="207"/>
        <v>0.204675</v>
      </c>
      <c r="O2244" s="19">
        <f t="shared" si="208"/>
        <v>0</v>
      </c>
      <c r="P2244" s="13">
        <f t="shared" si="209"/>
        <v>0</v>
      </c>
      <c r="Q2244" s="55">
        <v>6.7</v>
      </c>
      <c r="R2244" s="32">
        <v>1</v>
      </c>
      <c r="S2244" s="32" t="s">
        <v>215</v>
      </c>
    </row>
    <row r="2245" spans="1:21">
      <c r="A2245" s="44" t="s">
        <v>78</v>
      </c>
      <c r="B2245" s="32" t="s">
        <v>80</v>
      </c>
      <c r="C2245" s="3">
        <v>1</v>
      </c>
      <c r="D2245" s="32"/>
      <c r="E2245" s="24" t="s">
        <v>130</v>
      </c>
      <c r="F2245" s="7" t="s">
        <v>15</v>
      </c>
      <c r="G2245" s="7" t="s">
        <v>58</v>
      </c>
      <c r="H2245" s="11">
        <v>27.29</v>
      </c>
      <c r="I2245" s="55">
        <v>10.5</v>
      </c>
      <c r="J2245" s="40">
        <v>1</v>
      </c>
      <c r="K2245" s="10">
        <f t="shared" si="206"/>
        <v>0.28654499999999999</v>
      </c>
      <c r="L2245" s="4"/>
      <c r="M2245" s="17">
        <v>1</v>
      </c>
      <c r="N2245" s="18">
        <f t="shared" si="207"/>
        <v>0.28654499999999999</v>
      </c>
      <c r="O2245" s="19">
        <f t="shared" si="208"/>
        <v>0</v>
      </c>
      <c r="P2245" s="13">
        <f t="shared" si="209"/>
        <v>0</v>
      </c>
      <c r="Q2245" s="55">
        <v>9.5</v>
      </c>
      <c r="R2245" s="32">
        <v>1</v>
      </c>
      <c r="S2245" s="32" t="s">
        <v>212</v>
      </c>
    </row>
    <row r="2246" spans="1:21">
      <c r="A2246" s="44" t="s">
        <v>78</v>
      </c>
      <c r="B2246" s="32" t="s">
        <v>80</v>
      </c>
      <c r="C2246" s="3">
        <v>1</v>
      </c>
      <c r="D2246" s="32"/>
      <c r="E2246" s="20" t="s">
        <v>74</v>
      </c>
      <c r="F2246" s="7" t="s">
        <v>15</v>
      </c>
      <c r="G2246" s="7" t="s">
        <v>54</v>
      </c>
      <c r="H2246" s="11">
        <v>31.6</v>
      </c>
      <c r="I2246" s="55">
        <v>11.9</v>
      </c>
      <c r="J2246" s="40">
        <v>1</v>
      </c>
      <c r="K2246" s="10">
        <f t="shared" si="206"/>
        <v>0.37604000000000004</v>
      </c>
      <c r="L2246" s="4"/>
      <c r="M2246" s="17">
        <v>1</v>
      </c>
      <c r="N2246" s="18">
        <f t="shared" si="207"/>
        <v>0.37604000000000004</v>
      </c>
      <c r="O2246" s="106">
        <f t="shared" si="208"/>
        <v>0</v>
      </c>
      <c r="P2246" s="13">
        <f t="shared" si="209"/>
        <v>0</v>
      </c>
      <c r="Q2246" s="55">
        <v>10.1</v>
      </c>
      <c r="R2246" s="91">
        <v>1</v>
      </c>
      <c r="S2246" s="2" t="s">
        <v>464</v>
      </c>
    </row>
    <row r="2247" spans="1:21">
      <c r="A2247" s="44" t="s">
        <v>78</v>
      </c>
      <c r="B2247" s="32" t="s">
        <v>80</v>
      </c>
      <c r="C2247" s="3">
        <v>1</v>
      </c>
      <c r="D2247" s="32"/>
      <c r="E2247" s="39" t="s">
        <v>17</v>
      </c>
      <c r="F2247" s="7" t="s">
        <v>15</v>
      </c>
      <c r="G2247" s="7" t="s">
        <v>59</v>
      </c>
      <c r="H2247" s="11">
        <v>38</v>
      </c>
      <c r="I2247" s="33">
        <v>9.8000000000000007</v>
      </c>
      <c r="J2247" s="40">
        <v>2</v>
      </c>
      <c r="K2247" s="10">
        <f t="shared" si="206"/>
        <v>0.74480000000000002</v>
      </c>
      <c r="L2247" s="4"/>
      <c r="M2247" s="17">
        <v>2</v>
      </c>
      <c r="N2247" s="18">
        <f t="shared" si="207"/>
        <v>0.74480000000000002</v>
      </c>
      <c r="O2247" s="19">
        <f t="shared" si="208"/>
        <v>0</v>
      </c>
      <c r="P2247" s="13">
        <f t="shared" si="209"/>
        <v>0</v>
      </c>
      <c r="Q2247" s="32">
        <v>7.6</v>
      </c>
      <c r="R2247" s="32">
        <v>2</v>
      </c>
      <c r="S2247" s="32" t="s">
        <v>220</v>
      </c>
    </row>
    <row r="2248" spans="1:21">
      <c r="A2248" s="44" t="s">
        <v>78</v>
      </c>
      <c r="B2248" s="32" t="s">
        <v>80</v>
      </c>
      <c r="C2248" s="3">
        <v>1</v>
      </c>
      <c r="D2248" s="32"/>
      <c r="E2248" s="39" t="s">
        <v>17</v>
      </c>
      <c r="F2248" s="7" t="s">
        <v>15</v>
      </c>
      <c r="G2248" s="7" t="s">
        <v>59</v>
      </c>
      <c r="H2248" s="11">
        <v>38</v>
      </c>
      <c r="I2248" s="33">
        <v>9.5</v>
      </c>
      <c r="J2248" s="40">
        <v>1</v>
      </c>
      <c r="K2248" s="10">
        <f t="shared" si="206"/>
        <v>0.36099999999999999</v>
      </c>
      <c r="L2248" s="4"/>
      <c r="M2248" s="17">
        <v>1</v>
      </c>
      <c r="N2248" s="18">
        <f t="shared" si="207"/>
        <v>0.36099999999999999</v>
      </c>
      <c r="O2248" s="19">
        <f t="shared" si="208"/>
        <v>0</v>
      </c>
      <c r="P2248" s="13">
        <f t="shared" si="209"/>
        <v>0</v>
      </c>
      <c r="Q2248" s="32">
        <v>7.6</v>
      </c>
      <c r="R2248" s="32">
        <v>1</v>
      </c>
      <c r="S2248" s="32" t="s">
        <v>220</v>
      </c>
    </row>
    <row r="2249" spans="1:21">
      <c r="A2249" s="44" t="s">
        <v>78</v>
      </c>
      <c r="B2249" s="32" t="s">
        <v>80</v>
      </c>
      <c r="C2249" s="3">
        <v>1</v>
      </c>
      <c r="D2249" s="32"/>
      <c r="E2249" s="20" t="s">
        <v>91</v>
      </c>
      <c r="F2249" s="7" t="s">
        <v>15</v>
      </c>
      <c r="G2249" s="7" t="s">
        <v>58</v>
      </c>
      <c r="H2249" s="11">
        <v>27.29</v>
      </c>
      <c r="I2249" s="33">
        <v>11.2</v>
      </c>
      <c r="J2249" s="40">
        <v>1</v>
      </c>
      <c r="K2249" s="10">
        <f t="shared" si="206"/>
        <v>0.30564799999999998</v>
      </c>
      <c r="L2249" s="4"/>
      <c r="M2249" s="17">
        <v>1</v>
      </c>
      <c r="N2249" s="18">
        <f t="shared" si="207"/>
        <v>0.30564799999999998</v>
      </c>
      <c r="O2249" s="19">
        <f t="shared" si="208"/>
        <v>0</v>
      </c>
      <c r="P2249" s="13">
        <f t="shared" si="209"/>
        <v>0</v>
      </c>
      <c r="Q2249" s="33">
        <v>8.9</v>
      </c>
      <c r="R2249" s="45">
        <v>1</v>
      </c>
      <c r="S2249" s="32" t="s">
        <v>672</v>
      </c>
    </row>
    <row r="2250" spans="1:21">
      <c r="A2250" s="44" t="s">
        <v>78</v>
      </c>
      <c r="B2250" s="32" t="s">
        <v>80</v>
      </c>
      <c r="C2250" s="3">
        <v>1</v>
      </c>
      <c r="D2250" s="32"/>
      <c r="E2250" s="20" t="s">
        <v>91</v>
      </c>
      <c r="F2250" s="7" t="s">
        <v>15</v>
      </c>
      <c r="G2250" s="7" t="s">
        <v>58</v>
      </c>
      <c r="H2250" s="11">
        <v>27.29</v>
      </c>
      <c r="I2250" s="33">
        <v>9.1999999999999993</v>
      </c>
      <c r="J2250" s="40">
        <v>3</v>
      </c>
      <c r="K2250" s="10">
        <f t="shared" si="206"/>
        <v>0.75320399999999998</v>
      </c>
      <c r="L2250" s="4"/>
      <c r="M2250" s="17">
        <v>3</v>
      </c>
      <c r="N2250" s="18">
        <f t="shared" si="207"/>
        <v>0.75320399999999998</v>
      </c>
      <c r="O2250" s="19">
        <f t="shared" si="208"/>
        <v>0</v>
      </c>
      <c r="P2250" s="13">
        <f t="shared" si="209"/>
        <v>0</v>
      </c>
      <c r="Q2250" s="33">
        <v>8.9</v>
      </c>
      <c r="R2250" s="45">
        <v>3</v>
      </c>
      <c r="S2250" s="32" t="s">
        <v>672</v>
      </c>
    </row>
    <row r="2251" spans="1:21">
      <c r="A2251" s="44" t="s">
        <v>78</v>
      </c>
      <c r="B2251" s="32" t="s">
        <v>80</v>
      </c>
      <c r="C2251" s="3">
        <v>1</v>
      </c>
      <c r="D2251" s="32"/>
      <c r="E2251" s="39" t="s">
        <v>17</v>
      </c>
      <c r="F2251" s="7" t="s">
        <v>15</v>
      </c>
      <c r="G2251" s="7" t="s">
        <v>57</v>
      </c>
      <c r="H2251" s="11">
        <v>33.72</v>
      </c>
      <c r="I2251" s="55">
        <v>9.5</v>
      </c>
      <c r="J2251" s="40">
        <v>1</v>
      </c>
      <c r="K2251" s="10">
        <f t="shared" si="206"/>
        <v>0.32033999999999996</v>
      </c>
      <c r="L2251" s="4"/>
      <c r="M2251" s="17">
        <v>1</v>
      </c>
      <c r="N2251" s="18">
        <f t="shared" si="207"/>
        <v>0.32033999999999996</v>
      </c>
      <c r="O2251" s="19">
        <f t="shared" si="208"/>
        <v>0</v>
      </c>
      <c r="P2251" s="13">
        <f t="shared" si="209"/>
        <v>0</v>
      </c>
      <c r="Q2251" s="45">
        <v>9.5</v>
      </c>
      <c r="R2251" s="45">
        <v>1</v>
      </c>
      <c r="S2251" s="35" t="s">
        <v>207</v>
      </c>
    </row>
    <row r="2252" spans="1:21">
      <c r="A2252" s="44" t="s">
        <v>78</v>
      </c>
      <c r="B2252" s="32" t="s">
        <v>80</v>
      </c>
      <c r="C2252" s="3">
        <v>1</v>
      </c>
      <c r="D2252" s="32"/>
      <c r="E2252" s="39" t="s">
        <v>17</v>
      </c>
      <c r="F2252" s="7" t="s">
        <v>15</v>
      </c>
      <c r="G2252" s="7" t="s">
        <v>57</v>
      </c>
      <c r="H2252" s="11">
        <v>33.72</v>
      </c>
      <c r="I2252" s="55">
        <v>9.6</v>
      </c>
      <c r="J2252" s="40">
        <v>1</v>
      </c>
      <c r="K2252" s="10">
        <f t="shared" si="206"/>
        <v>0.323712</v>
      </c>
      <c r="L2252" s="4"/>
      <c r="M2252" s="17">
        <v>1</v>
      </c>
      <c r="N2252" s="18">
        <f t="shared" si="207"/>
        <v>0.323712</v>
      </c>
      <c r="O2252" s="19">
        <f t="shared" si="208"/>
        <v>0</v>
      </c>
      <c r="P2252" s="13">
        <f t="shared" si="209"/>
        <v>0</v>
      </c>
      <c r="Q2252" s="32"/>
      <c r="R2252" s="32"/>
      <c r="S2252" s="32"/>
    </row>
    <row r="2253" spans="1:21">
      <c r="A2253" s="44" t="s">
        <v>78</v>
      </c>
      <c r="B2253" s="32" t="s">
        <v>80</v>
      </c>
      <c r="C2253" s="3">
        <v>1</v>
      </c>
      <c r="D2253" s="32"/>
      <c r="E2253" s="20" t="s">
        <v>91</v>
      </c>
      <c r="F2253" s="7" t="s">
        <v>15</v>
      </c>
      <c r="G2253" s="7" t="s">
        <v>42</v>
      </c>
      <c r="H2253" s="11">
        <v>19.72</v>
      </c>
      <c r="I2253" s="55">
        <v>7.5</v>
      </c>
      <c r="J2253" s="40">
        <v>2</v>
      </c>
      <c r="K2253" s="10">
        <f t="shared" si="206"/>
        <v>0.29579999999999995</v>
      </c>
      <c r="L2253" s="4"/>
      <c r="M2253" s="17"/>
      <c r="N2253" s="18">
        <f t="shared" si="207"/>
        <v>0</v>
      </c>
      <c r="O2253" s="19">
        <f t="shared" si="208"/>
        <v>2</v>
      </c>
      <c r="P2253" s="13">
        <f t="shared" si="209"/>
        <v>0.29579999999999995</v>
      </c>
      <c r="Q2253" s="55"/>
      <c r="R2253" s="32"/>
      <c r="S2253" s="2"/>
    </row>
    <row r="2254" spans="1:21">
      <c r="A2254" s="44" t="s">
        <v>78</v>
      </c>
      <c r="B2254" s="32" t="s">
        <v>80</v>
      </c>
      <c r="C2254" s="3">
        <v>1</v>
      </c>
      <c r="D2254" s="32"/>
      <c r="E2254" s="20" t="s">
        <v>91</v>
      </c>
      <c r="F2254" s="7" t="s">
        <v>15</v>
      </c>
      <c r="G2254" s="7" t="s">
        <v>42</v>
      </c>
      <c r="H2254" s="11">
        <v>19.72</v>
      </c>
      <c r="I2254" s="55">
        <v>8.3000000000000007</v>
      </c>
      <c r="J2254" s="40">
        <v>1</v>
      </c>
      <c r="K2254" s="10">
        <f t="shared" si="206"/>
        <v>0.16367600000000002</v>
      </c>
      <c r="L2254" s="4"/>
      <c r="M2254" s="17"/>
      <c r="N2254" s="18">
        <f t="shared" si="207"/>
        <v>0</v>
      </c>
      <c r="O2254" s="19">
        <f t="shared" si="208"/>
        <v>1</v>
      </c>
      <c r="P2254" s="13">
        <f t="shared" si="209"/>
        <v>0.16367600000000002</v>
      </c>
      <c r="Q2254" s="55"/>
      <c r="R2254" s="32"/>
      <c r="S2254" s="2"/>
    </row>
    <row r="2255" spans="1:21">
      <c r="A2255" s="44" t="s">
        <v>78</v>
      </c>
      <c r="B2255" s="32" t="s">
        <v>80</v>
      </c>
      <c r="C2255" s="3">
        <v>1</v>
      </c>
      <c r="D2255" s="32"/>
      <c r="E2255" s="39" t="s">
        <v>17</v>
      </c>
      <c r="F2255" s="7" t="s">
        <v>15</v>
      </c>
      <c r="G2255" s="7" t="s">
        <v>56</v>
      </c>
      <c r="H2255" s="11">
        <v>25.2</v>
      </c>
      <c r="I2255" s="55">
        <v>5.5</v>
      </c>
      <c r="J2255" s="40">
        <v>3</v>
      </c>
      <c r="K2255" s="10">
        <f t="shared" si="206"/>
        <v>0.41579999999999995</v>
      </c>
      <c r="L2255" s="4"/>
      <c r="M2255" s="17">
        <v>3</v>
      </c>
      <c r="N2255" s="18">
        <f t="shared" si="207"/>
        <v>0.4158</v>
      </c>
      <c r="O2255" s="19">
        <f t="shared" si="208"/>
        <v>0</v>
      </c>
      <c r="P2255" s="13">
        <f t="shared" si="209"/>
        <v>0</v>
      </c>
      <c r="Q2255" s="32"/>
      <c r="R2255" s="32"/>
      <c r="S2255" s="2">
        <v>5.5</v>
      </c>
      <c r="T2255" s="354">
        <v>3</v>
      </c>
      <c r="U2255" s="213" t="s">
        <v>717</v>
      </c>
    </row>
    <row r="2256" spans="1:21">
      <c r="A2256" s="44" t="s">
        <v>78</v>
      </c>
      <c r="B2256" s="32" t="s">
        <v>80</v>
      </c>
      <c r="C2256" s="3">
        <v>1</v>
      </c>
      <c r="D2256" s="32"/>
      <c r="E2256" s="39" t="s">
        <v>17</v>
      </c>
      <c r="F2256" s="7" t="s">
        <v>15</v>
      </c>
      <c r="G2256" s="7" t="s">
        <v>56</v>
      </c>
      <c r="H2256" s="11">
        <v>25.2</v>
      </c>
      <c r="I2256" s="55">
        <v>6</v>
      </c>
      <c r="J2256" s="40">
        <v>2</v>
      </c>
      <c r="K2256" s="10">
        <f t="shared" si="206"/>
        <v>0.3024</v>
      </c>
      <c r="L2256" s="4"/>
      <c r="M2256" s="17">
        <v>2</v>
      </c>
      <c r="N2256" s="18">
        <f t="shared" si="207"/>
        <v>0.3024</v>
      </c>
      <c r="O2256" s="19">
        <f t="shared" si="208"/>
        <v>0</v>
      </c>
      <c r="P2256" s="13">
        <f t="shared" si="209"/>
        <v>0</v>
      </c>
      <c r="Q2256" s="32"/>
      <c r="R2256" s="32"/>
      <c r="S2256" s="155">
        <v>6</v>
      </c>
      <c r="T2256" s="354">
        <v>2</v>
      </c>
      <c r="U2256" s="213" t="s">
        <v>717</v>
      </c>
    </row>
    <row r="2257" spans="1:22">
      <c r="A2257" s="44" t="s">
        <v>78</v>
      </c>
      <c r="B2257" s="32" t="s">
        <v>80</v>
      </c>
      <c r="C2257" s="3">
        <v>1</v>
      </c>
      <c r="D2257" s="32"/>
      <c r="E2257" s="20" t="s">
        <v>88</v>
      </c>
      <c r="F2257" s="7" t="s">
        <v>15</v>
      </c>
      <c r="G2257" s="7" t="s">
        <v>57</v>
      </c>
      <c r="H2257" s="11">
        <v>33.72</v>
      </c>
      <c r="I2257" s="33">
        <v>9.6999999999999993</v>
      </c>
      <c r="J2257" s="40">
        <v>2</v>
      </c>
      <c r="K2257" s="10">
        <f t="shared" si="206"/>
        <v>0.65416799999999986</v>
      </c>
      <c r="L2257" s="4"/>
      <c r="M2257" s="17">
        <v>2</v>
      </c>
      <c r="N2257" s="18">
        <f t="shared" si="207"/>
        <v>0.65416799999999986</v>
      </c>
      <c r="O2257" s="310">
        <f t="shared" si="208"/>
        <v>0</v>
      </c>
      <c r="P2257" s="13">
        <f t="shared" si="209"/>
        <v>0</v>
      </c>
      <c r="Q2257" s="32"/>
      <c r="R2257" s="32">
        <v>2</v>
      </c>
      <c r="S2257" s="2" t="s">
        <v>514</v>
      </c>
    </row>
    <row r="2258" spans="1:22">
      <c r="A2258" s="44" t="s">
        <v>78</v>
      </c>
      <c r="B2258" s="32" t="s">
        <v>80</v>
      </c>
      <c r="C2258" s="3">
        <v>1</v>
      </c>
      <c r="D2258" s="32"/>
      <c r="E2258" s="20" t="s">
        <v>88</v>
      </c>
      <c r="F2258" s="7" t="s">
        <v>15</v>
      </c>
      <c r="G2258" s="7" t="s">
        <v>57</v>
      </c>
      <c r="H2258" s="11">
        <v>33.72</v>
      </c>
      <c r="I2258" s="33">
        <v>9.1</v>
      </c>
      <c r="J2258" s="40">
        <v>1</v>
      </c>
      <c r="K2258" s="10">
        <f t="shared" si="206"/>
        <v>0.30685199999999996</v>
      </c>
      <c r="L2258" s="4"/>
      <c r="M2258" s="17">
        <v>1</v>
      </c>
      <c r="N2258" s="18">
        <f t="shared" si="207"/>
        <v>0.30685199999999996</v>
      </c>
      <c r="O2258" s="310">
        <f t="shared" si="208"/>
        <v>0</v>
      </c>
      <c r="P2258" s="13">
        <f t="shared" si="209"/>
        <v>0</v>
      </c>
      <c r="Q2258" s="32"/>
      <c r="R2258" s="32">
        <v>1</v>
      </c>
      <c r="S2258" s="2" t="s">
        <v>514</v>
      </c>
    </row>
    <row r="2259" spans="1:22">
      <c r="A2259" s="44" t="s">
        <v>78</v>
      </c>
      <c r="B2259" s="32" t="s">
        <v>80</v>
      </c>
      <c r="C2259" s="3">
        <v>1</v>
      </c>
      <c r="D2259" s="32"/>
      <c r="E2259" s="20" t="s">
        <v>88</v>
      </c>
      <c r="F2259" s="7" t="s">
        <v>15</v>
      </c>
      <c r="G2259" s="7" t="s">
        <v>57</v>
      </c>
      <c r="H2259" s="11">
        <v>33.72</v>
      </c>
      <c r="I2259" s="33">
        <v>7.5</v>
      </c>
      <c r="J2259" s="40">
        <v>3</v>
      </c>
      <c r="K2259" s="10">
        <f t="shared" si="206"/>
        <v>0.75869999999999993</v>
      </c>
      <c r="L2259" s="4"/>
      <c r="M2259" s="17">
        <v>3</v>
      </c>
      <c r="N2259" s="18">
        <f t="shared" si="207"/>
        <v>0.75869999999999993</v>
      </c>
      <c r="O2259" s="310">
        <f t="shared" si="208"/>
        <v>0</v>
      </c>
      <c r="P2259" s="13">
        <f t="shared" si="209"/>
        <v>0</v>
      </c>
      <c r="Q2259" s="32"/>
      <c r="R2259" s="32">
        <v>3</v>
      </c>
      <c r="S2259" s="2" t="s">
        <v>514</v>
      </c>
    </row>
    <row r="2260" spans="1:22">
      <c r="A2260" s="44" t="s">
        <v>78</v>
      </c>
      <c r="B2260" s="32" t="s">
        <v>80</v>
      </c>
      <c r="C2260" s="3">
        <v>1</v>
      </c>
      <c r="D2260" s="32"/>
      <c r="E2260" s="20" t="s">
        <v>114</v>
      </c>
      <c r="F2260" s="7" t="s">
        <v>15</v>
      </c>
      <c r="G2260" s="7" t="s">
        <v>42</v>
      </c>
      <c r="H2260" s="11">
        <v>19.72</v>
      </c>
      <c r="I2260" s="55">
        <v>11.7</v>
      </c>
      <c r="J2260" s="40">
        <v>2</v>
      </c>
      <c r="K2260" s="10">
        <f t="shared" si="206"/>
        <v>0.46144799999999991</v>
      </c>
      <c r="L2260" s="4"/>
      <c r="M2260" s="17">
        <v>2</v>
      </c>
      <c r="N2260" s="18">
        <f t="shared" si="207"/>
        <v>0.46144799999999991</v>
      </c>
      <c r="O2260" s="19">
        <f t="shared" si="208"/>
        <v>0</v>
      </c>
      <c r="P2260" s="13">
        <f t="shared" si="209"/>
        <v>0</v>
      </c>
      <c r="Q2260" s="33">
        <v>11.5</v>
      </c>
      <c r="R2260" s="32">
        <v>2</v>
      </c>
      <c r="S2260" s="2" t="s">
        <v>314</v>
      </c>
    </row>
    <row r="2261" spans="1:22">
      <c r="A2261" s="44" t="s">
        <v>78</v>
      </c>
      <c r="B2261" s="32" t="s">
        <v>80</v>
      </c>
      <c r="C2261" s="3">
        <v>1</v>
      </c>
      <c r="D2261" s="32"/>
      <c r="E2261" s="20" t="s">
        <v>114</v>
      </c>
      <c r="F2261" s="7" t="s">
        <v>15</v>
      </c>
      <c r="G2261" s="7" t="s">
        <v>42</v>
      </c>
      <c r="H2261" s="11">
        <v>19.72</v>
      </c>
      <c r="I2261" s="55">
        <v>11.6</v>
      </c>
      <c r="J2261" s="40">
        <v>1</v>
      </c>
      <c r="K2261" s="10">
        <f t="shared" si="206"/>
        <v>0.22875199999999998</v>
      </c>
      <c r="L2261" s="4"/>
      <c r="M2261" s="17">
        <v>1</v>
      </c>
      <c r="N2261" s="18">
        <f t="shared" si="207"/>
        <v>0.22875199999999998</v>
      </c>
      <c r="O2261" s="19">
        <f t="shared" si="208"/>
        <v>0</v>
      </c>
      <c r="P2261" s="13">
        <f t="shared" si="209"/>
        <v>0</v>
      </c>
      <c r="Q2261" s="33">
        <v>11.5</v>
      </c>
      <c r="R2261" s="32">
        <v>1</v>
      </c>
      <c r="S2261" s="2" t="s">
        <v>314</v>
      </c>
    </row>
    <row r="2262" spans="1:22">
      <c r="A2262" s="44" t="s">
        <v>78</v>
      </c>
      <c r="B2262" s="32" t="s">
        <v>80</v>
      </c>
      <c r="C2262" s="3">
        <v>1</v>
      </c>
      <c r="D2262" s="32"/>
      <c r="E2262" s="20" t="s">
        <v>114</v>
      </c>
      <c r="F2262" s="7" t="s">
        <v>15</v>
      </c>
      <c r="G2262" s="7" t="s">
        <v>42</v>
      </c>
      <c r="H2262" s="11">
        <v>19.72</v>
      </c>
      <c r="I2262" s="55">
        <v>11.5</v>
      </c>
      <c r="J2262" s="40">
        <v>5</v>
      </c>
      <c r="K2262" s="10">
        <f t="shared" ref="K2262:K2308" si="214">(H2262*I2262*J2262/1000)</f>
        <v>1.1338999999999999</v>
      </c>
      <c r="L2262" s="4"/>
      <c r="M2262" s="17">
        <f>2+1+2</f>
        <v>5</v>
      </c>
      <c r="N2262" s="18">
        <f t="shared" ref="N2262:N2308" si="215">I2262*M2262*H2262/1000</f>
        <v>1.1338999999999999</v>
      </c>
      <c r="O2262" s="19">
        <f t="shared" ref="O2262:O2308" si="216">J2262-M2262</f>
        <v>0</v>
      </c>
      <c r="P2262" s="13">
        <f t="shared" ref="P2262:P2308" si="217">I2262*O2262*H2262/1000</f>
        <v>0</v>
      </c>
      <c r="Q2262" s="33">
        <v>11.5</v>
      </c>
      <c r="R2262" s="32">
        <v>2</v>
      </c>
      <c r="S2262" s="2" t="s">
        <v>314</v>
      </c>
      <c r="T2262" s="32">
        <v>3</v>
      </c>
      <c r="U2262" s="32" t="s">
        <v>287</v>
      </c>
    </row>
    <row r="2263" spans="1:22">
      <c r="A2263" s="44" t="s">
        <v>78</v>
      </c>
      <c r="B2263" s="32" t="s">
        <v>80</v>
      </c>
      <c r="C2263" s="3">
        <v>1</v>
      </c>
      <c r="D2263" s="32"/>
      <c r="E2263" s="20" t="s">
        <v>114</v>
      </c>
      <c r="F2263" s="7" t="s">
        <v>15</v>
      </c>
      <c r="G2263" s="7" t="s">
        <v>42</v>
      </c>
      <c r="H2263" s="11">
        <v>19.72</v>
      </c>
      <c r="I2263" s="55">
        <v>11.8</v>
      </c>
      <c r="J2263" s="40">
        <v>1</v>
      </c>
      <c r="K2263" s="10">
        <f t="shared" si="214"/>
        <v>0.23269599999999999</v>
      </c>
      <c r="L2263" s="4"/>
      <c r="M2263" s="17">
        <v>1</v>
      </c>
      <c r="N2263" s="18">
        <f t="shared" si="215"/>
        <v>0.23269599999999999</v>
      </c>
      <c r="O2263" s="19">
        <f t="shared" si="216"/>
        <v>0</v>
      </c>
      <c r="P2263" s="13">
        <f t="shared" si="217"/>
        <v>0</v>
      </c>
      <c r="Q2263" s="33">
        <v>11.5</v>
      </c>
      <c r="R2263" s="32">
        <v>1</v>
      </c>
      <c r="S2263" s="2" t="s">
        <v>314</v>
      </c>
    </row>
    <row r="2264" spans="1:22">
      <c r="A2264" s="44" t="s">
        <v>78</v>
      </c>
      <c r="B2264" s="32" t="s">
        <v>80</v>
      </c>
      <c r="C2264" s="3">
        <v>1</v>
      </c>
      <c r="D2264" s="32"/>
      <c r="E2264" s="20" t="s">
        <v>114</v>
      </c>
      <c r="F2264" s="7" t="s">
        <v>15</v>
      </c>
      <c r="G2264" s="7" t="s">
        <v>42</v>
      </c>
      <c r="H2264" s="11">
        <v>19.72</v>
      </c>
      <c r="I2264" s="55">
        <v>9.3000000000000007</v>
      </c>
      <c r="J2264" s="40">
        <v>3</v>
      </c>
      <c r="K2264" s="10">
        <f t="shared" si="214"/>
        <v>0.55018800000000012</v>
      </c>
      <c r="L2264" s="4"/>
      <c r="M2264" s="17">
        <v>3</v>
      </c>
      <c r="N2264" s="18">
        <f t="shared" si="215"/>
        <v>0.55018800000000001</v>
      </c>
      <c r="O2264" s="19">
        <f t="shared" si="216"/>
        <v>0</v>
      </c>
      <c r="P2264" s="13">
        <f t="shared" si="217"/>
        <v>0</v>
      </c>
      <c r="Q2264" s="32"/>
      <c r="R2264" s="32">
        <v>3</v>
      </c>
      <c r="S2264" s="32" t="s">
        <v>284</v>
      </c>
    </row>
    <row r="2265" spans="1:22">
      <c r="A2265" s="44" t="s">
        <v>78</v>
      </c>
      <c r="B2265" s="32" t="s">
        <v>80</v>
      </c>
      <c r="C2265" s="3">
        <v>1</v>
      </c>
      <c r="D2265" s="32"/>
      <c r="E2265" s="20" t="s">
        <v>114</v>
      </c>
      <c r="F2265" s="7" t="s">
        <v>15</v>
      </c>
      <c r="G2265" s="7" t="s">
        <v>42</v>
      </c>
      <c r="H2265" s="11">
        <v>19.72</v>
      </c>
      <c r="I2265" s="55">
        <v>10.5</v>
      </c>
      <c r="J2265" s="40">
        <v>1</v>
      </c>
      <c r="K2265" s="10">
        <f t="shared" si="214"/>
        <v>0.20705999999999999</v>
      </c>
      <c r="L2265" s="4"/>
      <c r="M2265" s="17">
        <v>1</v>
      </c>
      <c r="N2265" s="18">
        <f t="shared" si="215"/>
        <v>0.20705999999999999</v>
      </c>
      <c r="O2265" s="19">
        <f t="shared" si="216"/>
        <v>0</v>
      </c>
      <c r="P2265" s="13">
        <f t="shared" si="217"/>
        <v>0</v>
      </c>
      <c r="Q2265" s="32"/>
      <c r="R2265" s="32">
        <v>1</v>
      </c>
      <c r="S2265" s="32" t="s">
        <v>284</v>
      </c>
    </row>
    <row r="2266" spans="1:22">
      <c r="A2266" s="44" t="s">
        <v>78</v>
      </c>
      <c r="B2266" s="32" t="s">
        <v>80</v>
      </c>
      <c r="C2266" s="3">
        <v>1</v>
      </c>
      <c r="D2266" s="32"/>
      <c r="E2266" s="20" t="s">
        <v>114</v>
      </c>
      <c r="F2266" s="7" t="s">
        <v>15</v>
      </c>
      <c r="G2266" s="7" t="s">
        <v>42</v>
      </c>
      <c r="H2266" s="11">
        <v>19.72</v>
      </c>
      <c r="I2266" s="55">
        <v>10.7</v>
      </c>
      <c r="J2266" s="40">
        <v>1</v>
      </c>
      <c r="K2266" s="10">
        <f t="shared" si="214"/>
        <v>0.21100399999999997</v>
      </c>
      <c r="L2266" s="4"/>
      <c r="M2266" s="17">
        <v>1</v>
      </c>
      <c r="N2266" s="18">
        <f t="shared" si="215"/>
        <v>0.21100399999999997</v>
      </c>
      <c r="O2266" s="19">
        <f t="shared" si="216"/>
        <v>0</v>
      </c>
      <c r="P2266" s="13">
        <f t="shared" si="217"/>
        <v>0</v>
      </c>
      <c r="Q2266" s="32"/>
      <c r="R2266" s="32">
        <v>1</v>
      </c>
      <c r="S2266" s="32" t="s">
        <v>284</v>
      </c>
    </row>
    <row r="2267" spans="1:22">
      <c r="A2267" s="44" t="s">
        <v>78</v>
      </c>
      <c r="B2267" s="32" t="s">
        <v>80</v>
      </c>
      <c r="C2267" s="3">
        <v>1</v>
      </c>
      <c r="D2267" s="32"/>
      <c r="E2267" s="20" t="s">
        <v>114</v>
      </c>
      <c r="F2267" s="7" t="s">
        <v>15</v>
      </c>
      <c r="G2267" s="7" t="s">
        <v>42</v>
      </c>
      <c r="H2267" s="11">
        <v>19.72</v>
      </c>
      <c r="I2267" s="55">
        <v>11.3</v>
      </c>
      <c r="J2267" s="40">
        <v>1</v>
      </c>
      <c r="K2267" s="10">
        <f t="shared" si="214"/>
        <v>0.22283600000000001</v>
      </c>
      <c r="L2267" s="4"/>
      <c r="M2267" s="17">
        <v>1</v>
      </c>
      <c r="N2267" s="18">
        <f t="shared" si="215"/>
        <v>0.22283600000000001</v>
      </c>
      <c r="O2267" s="19">
        <f t="shared" si="216"/>
        <v>0</v>
      </c>
      <c r="P2267" s="13">
        <f t="shared" si="217"/>
        <v>0</v>
      </c>
      <c r="Q2267" s="32"/>
      <c r="R2267" s="32">
        <v>1</v>
      </c>
      <c r="S2267" s="32" t="s">
        <v>284</v>
      </c>
    </row>
    <row r="2268" spans="1:22">
      <c r="A2268" s="44" t="s">
        <v>78</v>
      </c>
      <c r="B2268" s="32" t="s">
        <v>80</v>
      </c>
      <c r="C2268" s="3">
        <v>1</v>
      </c>
      <c r="D2268" s="32"/>
      <c r="E2268" s="20" t="s">
        <v>76</v>
      </c>
      <c r="F2268" s="7" t="s">
        <v>15</v>
      </c>
      <c r="G2268" s="7" t="s">
        <v>48</v>
      </c>
      <c r="H2268" s="11">
        <v>23.6</v>
      </c>
      <c r="I2268" s="55">
        <v>11.3</v>
      </c>
      <c r="J2268" s="40">
        <v>1</v>
      </c>
      <c r="K2268" s="10">
        <f t="shared" si="214"/>
        <v>0.26668000000000003</v>
      </c>
      <c r="L2268" s="4"/>
      <c r="M2268" s="17">
        <v>1</v>
      </c>
      <c r="N2268" s="18">
        <f t="shared" si="215"/>
        <v>0.26668000000000003</v>
      </c>
      <c r="O2268" s="19">
        <f t="shared" si="216"/>
        <v>0</v>
      </c>
      <c r="P2268" s="13">
        <f t="shared" si="217"/>
        <v>0</v>
      </c>
      <c r="Q2268" s="32"/>
      <c r="R2268" s="32"/>
      <c r="S2268" s="32"/>
    </row>
    <row r="2269" spans="1:22">
      <c r="A2269" s="44" t="s">
        <v>78</v>
      </c>
      <c r="B2269" s="32"/>
      <c r="C2269" s="3">
        <v>1</v>
      </c>
      <c r="D2269" s="32"/>
      <c r="E2269" s="20" t="s">
        <v>89</v>
      </c>
      <c r="F2269" s="7" t="s">
        <v>15</v>
      </c>
      <c r="G2269" s="7" t="s">
        <v>48</v>
      </c>
      <c r="H2269" s="11">
        <v>23.6</v>
      </c>
      <c r="I2269" s="55">
        <v>11.65</v>
      </c>
      <c r="J2269" s="40">
        <v>9</v>
      </c>
      <c r="K2269" s="10">
        <f t="shared" si="214"/>
        <v>2.4744600000000001</v>
      </c>
      <c r="L2269" s="4"/>
      <c r="M2269" s="17">
        <f>3+2+4</f>
        <v>9</v>
      </c>
      <c r="N2269" s="18">
        <f t="shared" si="215"/>
        <v>2.4744600000000005</v>
      </c>
      <c r="O2269" s="19">
        <f t="shared" si="216"/>
        <v>0</v>
      </c>
      <c r="P2269" s="13">
        <f t="shared" si="217"/>
        <v>0</v>
      </c>
      <c r="Q2269" s="32">
        <v>11.5</v>
      </c>
      <c r="R2269" s="32">
        <v>4</v>
      </c>
      <c r="S2269" s="32" t="s">
        <v>313</v>
      </c>
      <c r="T2269" s="32" t="s">
        <v>285</v>
      </c>
      <c r="U2269" s="32">
        <f>3+2</f>
        <v>5</v>
      </c>
      <c r="V2269" s="32" t="s">
        <v>286</v>
      </c>
    </row>
    <row r="2270" spans="1:22">
      <c r="A2270" s="44" t="s">
        <v>78</v>
      </c>
      <c r="B2270" s="32" t="s">
        <v>80</v>
      </c>
      <c r="C2270" s="3">
        <v>1</v>
      </c>
      <c r="D2270" s="32"/>
      <c r="E2270" s="20" t="s">
        <v>114</v>
      </c>
      <c r="F2270" s="7" t="s">
        <v>15</v>
      </c>
      <c r="G2270" s="7" t="s">
        <v>32</v>
      </c>
      <c r="H2270" s="11">
        <v>8.3000000000000007</v>
      </c>
      <c r="I2270" s="33">
        <v>6</v>
      </c>
      <c r="J2270" s="40">
        <v>2</v>
      </c>
      <c r="K2270" s="10">
        <f t="shared" si="214"/>
        <v>9.9600000000000008E-2</v>
      </c>
      <c r="L2270" s="4"/>
      <c r="M2270" s="17">
        <v>2</v>
      </c>
      <c r="N2270" s="18">
        <f t="shared" si="215"/>
        <v>9.9600000000000008E-2</v>
      </c>
      <c r="O2270" s="19">
        <f t="shared" si="216"/>
        <v>0</v>
      </c>
      <c r="P2270" s="13">
        <f t="shared" si="217"/>
        <v>0</v>
      </c>
      <c r="Q2270" s="33">
        <v>6</v>
      </c>
      <c r="R2270" s="32">
        <v>2</v>
      </c>
      <c r="S2270" s="32" t="s">
        <v>724</v>
      </c>
    </row>
    <row r="2271" spans="1:22">
      <c r="A2271" s="44" t="s">
        <v>78</v>
      </c>
      <c r="B2271" s="32" t="s">
        <v>80</v>
      </c>
      <c r="C2271" s="3">
        <v>1</v>
      </c>
      <c r="D2271" s="32"/>
      <c r="E2271" s="20" t="s">
        <v>114</v>
      </c>
      <c r="F2271" s="7" t="s">
        <v>15</v>
      </c>
      <c r="G2271" s="7" t="s">
        <v>32</v>
      </c>
      <c r="H2271" s="11">
        <v>8.3000000000000007</v>
      </c>
      <c r="I2271" s="33">
        <v>8</v>
      </c>
      <c r="J2271" s="40">
        <v>2</v>
      </c>
      <c r="K2271" s="10">
        <f t="shared" si="214"/>
        <v>0.1328</v>
      </c>
      <c r="L2271" s="4"/>
      <c r="M2271" s="17">
        <v>2</v>
      </c>
      <c r="N2271" s="18">
        <f t="shared" si="215"/>
        <v>0.1328</v>
      </c>
      <c r="O2271" s="19">
        <f t="shared" si="216"/>
        <v>0</v>
      </c>
      <c r="P2271" s="13">
        <f t="shared" si="217"/>
        <v>0</v>
      </c>
      <c r="Q2271" s="32">
        <v>6.75</v>
      </c>
      <c r="R2271" s="32">
        <v>2</v>
      </c>
      <c r="S2271" s="32"/>
    </row>
    <row r="2272" spans="1:22">
      <c r="A2272" s="44" t="s">
        <v>78</v>
      </c>
      <c r="B2272" s="32" t="s">
        <v>80</v>
      </c>
      <c r="C2272" s="3">
        <v>1</v>
      </c>
      <c r="D2272" s="32"/>
      <c r="E2272" s="20" t="s">
        <v>114</v>
      </c>
      <c r="F2272" s="7" t="s">
        <v>15</v>
      </c>
      <c r="G2272" s="7" t="s">
        <v>32</v>
      </c>
      <c r="H2272" s="11">
        <v>8.3000000000000007</v>
      </c>
      <c r="I2272" s="33">
        <v>10</v>
      </c>
      <c r="J2272" s="40">
        <v>3</v>
      </c>
      <c r="K2272" s="10">
        <f t="shared" si="214"/>
        <v>0.249</v>
      </c>
      <c r="L2272" s="4"/>
      <c r="M2272" s="17">
        <v>3</v>
      </c>
      <c r="N2272" s="18">
        <f t="shared" si="215"/>
        <v>0.24900000000000003</v>
      </c>
      <c r="O2272" s="19">
        <f t="shared" si="216"/>
        <v>0</v>
      </c>
      <c r="P2272" s="13">
        <f t="shared" si="217"/>
        <v>0</v>
      </c>
      <c r="Q2272" s="32">
        <v>8.15</v>
      </c>
      <c r="R2272" s="32">
        <v>3</v>
      </c>
      <c r="S2272" s="32"/>
    </row>
    <row r="2273" spans="1:23">
      <c r="A2273" s="44" t="s">
        <v>78</v>
      </c>
      <c r="B2273" s="32" t="s">
        <v>80</v>
      </c>
      <c r="C2273" s="3">
        <v>1</v>
      </c>
      <c r="D2273" s="32"/>
      <c r="E2273" s="20" t="s">
        <v>114</v>
      </c>
      <c r="F2273" s="7" t="s">
        <v>15</v>
      </c>
      <c r="G2273" s="7" t="s">
        <v>32</v>
      </c>
      <c r="H2273" s="11">
        <v>8.3000000000000007</v>
      </c>
      <c r="I2273" s="33">
        <v>10.5</v>
      </c>
      <c r="J2273" s="40">
        <v>9</v>
      </c>
      <c r="K2273" s="10">
        <f t="shared" si="214"/>
        <v>0.78434999999999999</v>
      </c>
      <c r="L2273" s="4"/>
      <c r="M2273" s="17">
        <v>9</v>
      </c>
      <c r="N2273" s="18">
        <f t="shared" si="215"/>
        <v>0.78434999999999999</v>
      </c>
      <c r="O2273" s="19">
        <f t="shared" si="216"/>
        <v>0</v>
      </c>
      <c r="P2273" s="13">
        <f t="shared" si="217"/>
        <v>0</v>
      </c>
      <c r="Q2273" s="32"/>
      <c r="R2273" s="32"/>
      <c r="S2273" s="32">
        <v>10.5</v>
      </c>
      <c r="T2273">
        <v>9</v>
      </c>
      <c r="U2273" t="s">
        <v>272</v>
      </c>
    </row>
    <row r="2274" spans="1:23">
      <c r="A2274" s="44" t="s">
        <v>78</v>
      </c>
      <c r="B2274" s="32" t="s">
        <v>80</v>
      </c>
      <c r="C2274" s="3">
        <v>2</v>
      </c>
      <c r="D2274" s="32"/>
      <c r="E2274" s="20" t="s">
        <v>114</v>
      </c>
      <c r="F2274" s="7" t="s">
        <v>15</v>
      </c>
      <c r="G2274" s="7" t="s">
        <v>32</v>
      </c>
      <c r="H2274" s="11">
        <v>8.3000000000000007</v>
      </c>
      <c r="I2274" s="33">
        <v>11</v>
      </c>
      <c r="J2274" s="40">
        <v>9</v>
      </c>
      <c r="K2274" s="10">
        <f t="shared" si="214"/>
        <v>0.8217000000000001</v>
      </c>
      <c r="L2274" s="4"/>
      <c r="M2274" s="17">
        <v>9</v>
      </c>
      <c r="N2274" s="18">
        <f t="shared" si="215"/>
        <v>0.8217000000000001</v>
      </c>
      <c r="O2274" s="19">
        <f t="shared" si="216"/>
        <v>0</v>
      </c>
      <c r="P2274" s="13">
        <f t="shared" si="217"/>
        <v>0</v>
      </c>
      <c r="Q2274" s="32"/>
      <c r="R2274" s="32"/>
      <c r="S2274" s="155">
        <v>11</v>
      </c>
      <c r="T2274">
        <v>3</v>
      </c>
      <c r="U2274" t="s">
        <v>272</v>
      </c>
    </row>
    <row r="2275" spans="1:23">
      <c r="A2275" s="44" t="s">
        <v>78</v>
      </c>
      <c r="B2275" s="32" t="s">
        <v>80</v>
      </c>
      <c r="C2275" s="3">
        <v>2</v>
      </c>
      <c r="D2275" s="32"/>
      <c r="E2275" s="20" t="s">
        <v>114</v>
      </c>
      <c r="F2275" s="7" t="s">
        <v>15</v>
      </c>
      <c r="G2275" s="7" t="s">
        <v>32</v>
      </c>
      <c r="H2275" s="11">
        <v>8.3000000000000007</v>
      </c>
      <c r="I2275" s="33">
        <v>12</v>
      </c>
      <c r="J2275" s="40">
        <v>7</v>
      </c>
      <c r="K2275" s="10">
        <f t="shared" si="214"/>
        <v>0.69720000000000004</v>
      </c>
      <c r="L2275" s="4"/>
      <c r="M2275" s="17">
        <v>7</v>
      </c>
      <c r="N2275" s="18">
        <f t="shared" si="215"/>
        <v>0.69720000000000004</v>
      </c>
      <c r="O2275" s="19">
        <f t="shared" si="216"/>
        <v>0</v>
      </c>
      <c r="P2275" s="13">
        <f t="shared" si="217"/>
        <v>0</v>
      </c>
      <c r="Q2275" s="32"/>
      <c r="R2275" s="32"/>
      <c r="S2275" s="155"/>
    </row>
    <row r="2276" spans="1:23">
      <c r="A2276" s="44" t="s">
        <v>78</v>
      </c>
      <c r="B2276" s="32" t="s">
        <v>80</v>
      </c>
      <c r="C2276" s="3">
        <v>3</v>
      </c>
      <c r="D2276" s="32"/>
      <c r="E2276" s="20" t="s">
        <v>114</v>
      </c>
      <c r="F2276" s="7" t="s">
        <v>15</v>
      </c>
      <c r="G2276" s="7" t="s">
        <v>32</v>
      </c>
      <c r="H2276" s="11">
        <v>8.3000000000000007</v>
      </c>
      <c r="I2276" s="33">
        <v>11.5</v>
      </c>
      <c r="J2276" s="40">
        <v>16</v>
      </c>
      <c r="K2276" s="10">
        <f t="shared" si="214"/>
        <v>1.5272000000000001</v>
      </c>
      <c r="L2276" s="4"/>
      <c r="M2276" s="17">
        <f>13+3</f>
        <v>16</v>
      </c>
      <c r="N2276" s="18">
        <f t="shared" si="215"/>
        <v>1.5272000000000001</v>
      </c>
      <c r="O2276" s="19">
        <f t="shared" si="216"/>
        <v>0</v>
      </c>
      <c r="P2276" s="13">
        <f t="shared" si="217"/>
        <v>0</v>
      </c>
      <c r="Q2276" s="32"/>
      <c r="R2276" s="32"/>
      <c r="S2276" s="155">
        <v>11</v>
      </c>
      <c r="T2276">
        <v>3</v>
      </c>
      <c r="U2276" t="s">
        <v>272</v>
      </c>
    </row>
    <row r="2277" spans="1:23">
      <c r="A2277" s="44" t="s">
        <v>78</v>
      </c>
      <c r="B2277" s="32" t="s">
        <v>80</v>
      </c>
      <c r="C2277" s="3">
        <v>1</v>
      </c>
      <c r="D2277" s="32"/>
      <c r="E2277" s="20" t="s">
        <v>20</v>
      </c>
      <c r="F2277" s="7" t="s">
        <v>15</v>
      </c>
      <c r="G2277" s="7" t="s">
        <v>27</v>
      </c>
      <c r="H2277" s="11">
        <v>6.17</v>
      </c>
      <c r="I2277" s="55">
        <v>8.1</v>
      </c>
      <c r="J2277" s="40">
        <v>1</v>
      </c>
      <c r="K2277" s="10">
        <f t="shared" si="214"/>
        <v>4.9976999999999994E-2</v>
      </c>
      <c r="L2277" s="4"/>
      <c r="M2277" s="17">
        <v>1</v>
      </c>
      <c r="N2277" s="18">
        <f t="shared" si="215"/>
        <v>4.9976999999999994E-2</v>
      </c>
      <c r="O2277" s="19">
        <f t="shared" si="216"/>
        <v>0</v>
      </c>
      <c r="P2277" s="13">
        <f t="shared" si="217"/>
        <v>0</v>
      </c>
      <c r="Q2277" s="32"/>
      <c r="R2277" s="32">
        <v>1</v>
      </c>
      <c r="S2277" s="2" t="s">
        <v>700</v>
      </c>
      <c r="U2277" s="213"/>
    </row>
    <row r="2278" spans="1:23">
      <c r="A2278" s="44" t="s">
        <v>78</v>
      </c>
      <c r="B2278" s="32" t="s">
        <v>80</v>
      </c>
      <c r="C2278" s="3">
        <v>1</v>
      </c>
      <c r="D2278" s="32"/>
      <c r="E2278" s="20" t="s">
        <v>20</v>
      </c>
      <c r="F2278" s="7" t="s">
        <v>15</v>
      </c>
      <c r="G2278" s="7" t="s">
        <v>27</v>
      </c>
      <c r="H2278" s="11">
        <v>6.17</v>
      </c>
      <c r="I2278" s="55">
        <v>8.9</v>
      </c>
      <c r="J2278" s="40">
        <v>3</v>
      </c>
      <c r="K2278" s="10">
        <f t="shared" si="214"/>
        <v>0.164739</v>
      </c>
      <c r="L2278" s="4"/>
      <c r="M2278" s="17">
        <f>1+2</f>
        <v>3</v>
      </c>
      <c r="N2278" s="18">
        <f t="shared" si="215"/>
        <v>0.164739</v>
      </c>
      <c r="O2278" s="19">
        <f t="shared" si="216"/>
        <v>0</v>
      </c>
      <c r="P2278" s="13">
        <f t="shared" si="217"/>
        <v>0</v>
      </c>
      <c r="Q2278" s="32">
        <v>8.5</v>
      </c>
      <c r="R2278" s="32">
        <v>2</v>
      </c>
      <c r="S2278" s="2" t="s">
        <v>699</v>
      </c>
      <c r="T2278" s="213"/>
      <c r="U2278" s="32">
        <v>9</v>
      </c>
      <c r="V2278" s="32">
        <v>1</v>
      </c>
      <c r="W2278" s="33" t="s">
        <v>208</v>
      </c>
    </row>
    <row r="2279" spans="1:23">
      <c r="A2279" s="44" t="s">
        <v>78</v>
      </c>
      <c r="B2279" s="32" t="s">
        <v>80</v>
      </c>
      <c r="C2279" s="3">
        <v>1</v>
      </c>
      <c r="D2279" s="32"/>
      <c r="E2279" s="20" t="s">
        <v>20</v>
      </c>
      <c r="F2279" s="7" t="s">
        <v>15</v>
      </c>
      <c r="G2279" s="7" t="s">
        <v>27</v>
      </c>
      <c r="H2279" s="11">
        <v>6.17</v>
      </c>
      <c r="I2279" s="55">
        <v>9.5</v>
      </c>
      <c r="J2279" s="40">
        <v>2</v>
      </c>
      <c r="K2279" s="10">
        <f t="shared" si="214"/>
        <v>0.11723</v>
      </c>
      <c r="L2279" s="4"/>
      <c r="M2279" s="17">
        <v>2</v>
      </c>
      <c r="N2279" s="18">
        <f t="shared" si="215"/>
        <v>0.11723</v>
      </c>
      <c r="O2279" s="19">
        <f t="shared" si="216"/>
        <v>0</v>
      </c>
      <c r="P2279" s="13">
        <f t="shared" si="217"/>
        <v>0</v>
      </c>
      <c r="Q2279" s="32">
        <v>9</v>
      </c>
      <c r="R2279" s="32">
        <v>2</v>
      </c>
      <c r="S2279" s="33" t="s">
        <v>208</v>
      </c>
      <c r="T2279" s="213"/>
      <c r="U2279" s="213"/>
    </row>
    <row r="2280" spans="1:23">
      <c r="A2280" s="44" t="s">
        <v>78</v>
      </c>
      <c r="B2280" s="32" t="s">
        <v>80</v>
      </c>
      <c r="C2280" s="3">
        <v>1</v>
      </c>
      <c r="D2280" s="32"/>
      <c r="E2280" s="20" t="s">
        <v>20</v>
      </c>
      <c r="F2280" s="7" t="s">
        <v>15</v>
      </c>
      <c r="G2280" s="7" t="s">
        <v>27</v>
      </c>
      <c r="H2280" s="11">
        <v>6.17</v>
      </c>
      <c r="I2280" s="55">
        <v>10.9</v>
      </c>
      <c r="J2280" s="40">
        <v>2</v>
      </c>
      <c r="K2280" s="10">
        <f t="shared" si="214"/>
        <v>0.13450599999999999</v>
      </c>
      <c r="L2280" s="4"/>
      <c r="M2280" s="17">
        <v>2</v>
      </c>
      <c r="N2280" s="18">
        <f t="shared" si="215"/>
        <v>0.13450599999999999</v>
      </c>
      <c r="O2280" s="19">
        <f t="shared" si="216"/>
        <v>0</v>
      </c>
      <c r="P2280" s="13">
        <f t="shared" si="217"/>
        <v>0</v>
      </c>
      <c r="Q2280" s="9">
        <v>9.85</v>
      </c>
      <c r="R2280" s="32">
        <v>2</v>
      </c>
      <c r="S2280" s="32"/>
    </row>
    <row r="2281" spans="1:23">
      <c r="A2281" s="44" t="s">
        <v>78</v>
      </c>
      <c r="B2281" s="32" t="s">
        <v>80</v>
      </c>
      <c r="C2281" s="3">
        <v>1</v>
      </c>
      <c r="D2281" s="32"/>
      <c r="E2281" s="20" t="s">
        <v>20</v>
      </c>
      <c r="F2281" s="7" t="s">
        <v>15</v>
      </c>
      <c r="G2281" s="7" t="s">
        <v>27</v>
      </c>
      <c r="H2281" s="11">
        <v>6.17</v>
      </c>
      <c r="I2281" s="55">
        <v>11</v>
      </c>
      <c r="J2281" s="40">
        <v>4</v>
      </c>
      <c r="K2281" s="10">
        <f t="shared" si="214"/>
        <v>0.27148</v>
      </c>
      <c r="L2281" s="4"/>
      <c r="M2281" s="17">
        <v>4</v>
      </c>
      <c r="N2281" s="18">
        <f t="shared" si="215"/>
        <v>0.27148</v>
      </c>
      <c r="O2281" s="19">
        <f t="shared" si="216"/>
        <v>0</v>
      </c>
      <c r="P2281" s="13">
        <f t="shared" si="217"/>
        <v>0</v>
      </c>
      <c r="Q2281" s="9">
        <v>9.85</v>
      </c>
      <c r="R2281" s="32">
        <v>4</v>
      </c>
      <c r="S2281" s="32"/>
    </row>
    <row r="2282" spans="1:23">
      <c r="A2282" s="45" t="s">
        <v>136</v>
      </c>
      <c r="B2282" s="32" t="s">
        <v>137</v>
      </c>
      <c r="C2282" s="3">
        <v>1</v>
      </c>
      <c r="D2282" s="32"/>
      <c r="E2282" s="20" t="s">
        <v>88</v>
      </c>
      <c r="F2282" s="7" t="s">
        <v>15</v>
      </c>
      <c r="G2282" s="7" t="s">
        <v>53</v>
      </c>
      <c r="H2282" s="11">
        <v>35.840000000000003</v>
      </c>
      <c r="I2282" s="55">
        <v>7.5</v>
      </c>
      <c r="J2282" s="40">
        <v>1</v>
      </c>
      <c r="K2282" s="10">
        <f t="shared" si="214"/>
        <v>0.26880000000000004</v>
      </c>
      <c r="L2282" s="4"/>
      <c r="M2282" s="17">
        <v>1</v>
      </c>
      <c r="N2282" s="18">
        <f t="shared" si="215"/>
        <v>0.26880000000000004</v>
      </c>
      <c r="O2282" s="19">
        <f t="shared" si="216"/>
        <v>0</v>
      </c>
      <c r="P2282" s="13">
        <f t="shared" si="217"/>
        <v>0</v>
      </c>
      <c r="Q2282" s="45">
        <v>7.2</v>
      </c>
      <c r="R2282" s="45">
        <v>1</v>
      </c>
      <c r="S2282" s="35" t="s">
        <v>764</v>
      </c>
    </row>
    <row r="2283" spans="1:23">
      <c r="A2283" s="45" t="s">
        <v>136</v>
      </c>
      <c r="B2283" s="32" t="s">
        <v>137</v>
      </c>
      <c r="C2283" s="3">
        <v>1</v>
      </c>
      <c r="D2283" s="32"/>
      <c r="E2283" s="20" t="s">
        <v>88</v>
      </c>
      <c r="F2283" s="7" t="s">
        <v>15</v>
      </c>
      <c r="G2283" s="7" t="s">
        <v>58</v>
      </c>
      <c r="H2283" s="11">
        <v>27.29</v>
      </c>
      <c r="I2283" s="55">
        <v>6</v>
      </c>
      <c r="J2283" s="40">
        <v>1</v>
      </c>
      <c r="K2283" s="10">
        <f t="shared" si="214"/>
        <v>0.16374</v>
      </c>
      <c r="L2283" s="4"/>
      <c r="M2283" s="17"/>
      <c r="N2283" s="18">
        <f t="shared" si="215"/>
        <v>0</v>
      </c>
      <c r="O2283" s="19">
        <f t="shared" si="216"/>
        <v>1</v>
      </c>
      <c r="P2283" s="13">
        <f t="shared" si="217"/>
        <v>0.16374</v>
      </c>
      <c r="Q2283" s="33"/>
      <c r="R2283" s="32"/>
      <c r="S2283" s="32"/>
    </row>
    <row r="2284" spans="1:23">
      <c r="A2284" s="45" t="s">
        <v>136</v>
      </c>
      <c r="B2284" s="32" t="s">
        <v>137</v>
      </c>
      <c r="C2284" s="32">
        <v>2</v>
      </c>
      <c r="D2284" s="32"/>
      <c r="E2284" s="20" t="s">
        <v>20</v>
      </c>
      <c r="F2284" s="7" t="s">
        <v>15</v>
      </c>
      <c r="G2284" s="7" t="s">
        <v>58</v>
      </c>
      <c r="H2284" s="11">
        <v>27.29</v>
      </c>
      <c r="I2284" s="55">
        <v>6.8</v>
      </c>
      <c r="J2284" s="40">
        <v>1</v>
      </c>
      <c r="K2284" s="10">
        <f t="shared" si="214"/>
        <v>0.18557200000000001</v>
      </c>
      <c r="L2284" s="4"/>
      <c r="M2284" s="17">
        <v>1</v>
      </c>
      <c r="N2284" s="18">
        <f t="shared" si="215"/>
        <v>0.18557200000000001</v>
      </c>
      <c r="O2284" s="19">
        <f t="shared" si="216"/>
        <v>0</v>
      </c>
      <c r="P2284" s="13">
        <f t="shared" si="217"/>
        <v>0</v>
      </c>
      <c r="Q2284" s="55">
        <v>6.7</v>
      </c>
      <c r="R2284" s="32">
        <v>1</v>
      </c>
      <c r="S2284" s="32" t="s">
        <v>215</v>
      </c>
    </row>
    <row r="2285" spans="1:23">
      <c r="A2285" s="45" t="s">
        <v>136</v>
      </c>
      <c r="B2285" s="32" t="s">
        <v>137</v>
      </c>
      <c r="C2285" s="3">
        <v>3</v>
      </c>
      <c r="D2285" s="32"/>
      <c r="E2285" s="20" t="s">
        <v>138</v>
      </c>
      <c r="F2285" s="7" t="s">
        <v>15</v>
      </c>
      <c r="G2285" s="7" t="s">
        <v>50</v>
      </c>
      <c r="H2285" s="11">
        <v>21.7</v>
      </c>
      <c r="I2285" s="33">
        <v>7.7</v>
      </c>
      <c r="J2285" s="40">
        <v>1</v>
      </c>
      <c r="K2285" s="10">
        <f t="shared" si="214"/>
        <v>0.16709000000000002</v>
      </c>
      <c r="L2285" s="4"/>
      <c r="M2285" s="17">
        <v>1</v>
      </c>
      <c r="N2285" s="18">
        <f t="shared" si="215"/>
        <v>0.16709000000000002</v>
      </c>
      <c r="O2285" s="19">
        <f t="shared" si="216"/>
        <v>0</v>
      </c>
      <c r="P2285" s="13">
        <f t="shared" si="217"/>
        <v>0</v>
      </c>
      <c r="Q2285" s="32">
        <v>6.3</v>
      </c>
      <c r="R2285" s="32">
        <v>1</v>
      </c>
      <c r="S2285" s="32" t="s">
        <v>217</v>
      </c>
    </row>
    <row r="2286" spans="1:23">
      <c r="A2286" s="45" t="s">
        <v>136</v>
      </c>
      <c r="B2286" s="32" t="s">
        <v>137</v>
      </c>
      <c r="C2286" s="3">
        <v>3</v>
      </c>
      <c r="D2286" s="32"/>
      <c r="E2286" s="20" t="s">
        <v>138</v>
      </c>
      <c r="F2286" s="7" t="s">
        <v>15</v>
      </c>
      <c r="G2286" s="7" t="s">
        <v>50</v>
      </c>
      <c r="H2286" s="11">
        <v>21.7</v>
      </c>
      <c r="I2286" s="33">
        <v>7.8</v>
      </c>
      <c r="J2286" s="40">
        <v>2</v>
      </c>
      <c r="K2286" s="10">
        <f t="shared" si="214"/>
        <v>0.33851999999999999</v>
      </c>
      <c r="L2286" s="4"/>
      <c r="M2286" s="17">
        <v>2</v>
      </c>
      <c r="N2286" s="18">
        <f t="shared" si="215"/>
        <v>0.33851999999999999</v>
      </c>
      <c r="O2286" s="19">
        <f t="shared" si="216"/>
        <v>0</v>
      </c>
      <c r="P2286" s="13">
        <f t="shared" si="217"/>
        <v>0</v>
      </c>
      <c r="Q2286" s="32">
        <v>6.3</v>
      </c>
      <c r="R2286" s="32">
        <v>2</v>
      </c>
      <c r="S2286" s="32" t="s">
        <v>217</v>
      </c>
    </row>
    <row r="2287" spans="1:23">
      <c r="A2287" s="45" t="s">
        <v>136</v>
      </c>
      <c r="B2287" s="32" t="s">
        <v>137</v>
      </c>
      <c r="C2287" s="3">
        <v>3</v>
      </c>
      <c r="D2287" s="32"/>
      <c r="E2287" s="20" t="s">
        <v>138</v>
      </c>
      <c r="F2287" s="7" t="s">
        <v>15</v>
      </c>
      <c r="G2287" s="7" t="s">
        <v>50</v>
      </c>
      <c r="H2287" s="11">
        <v>21.7</v>
      </c>
      <c r="I2287" s="33">
        <v>8.5</v>
      </c>
      <c r="J2287" s="40">
        <v>1</v>
      </c>
      <c r="K2287" s="10">
        <f t="shared" si="214"/>
        <v>0.18444999999999998</v>
      </c>
      <c r="L2287" s="4"/>
      <c r="M2287" s="17"/>
      <c r="N2287" s="18">
        <f t="shared" si="215"/>
        <v>0</v>
      </c>
      <c r="O2287" s="19">
        <f t="shared" si="216"/>
        <v>1</v>
      </c>
      <c r="P2287" s="13">
        <f t="shared" si="217"/>
        <v>0.18444999999999998</v>
      </c>
      <c r="Q2287" s="32"/>
      <c r="R2287" s="32"/>
      <c r="S2287" s="32"/>
    </row>
    <row r="2288" spans="1:23">
      <c r="A2288" s="45" t="s">
        <v>136</v>
      </c>
      <c r="B2288" s="32" t="s">
        <v>137</v>
      </c>
      <c r="C2288" s="3">
        <v>4</v>
      </c>
      <c r="D2288" s="32"/>
      <c r="E2288" s="20" t="s">
        <v>139</v>
      </c>
      <c r="F2288" s="7" t="s">
        <v>15</v>
      </c>
      <c r="G2288" s="7" t="s">
        <v>49</v>
      </c>
      <c r="H2288" s="11">
        <v>17.82</v>
      </c>
      <c r="I2288" s="55">
        <v>6.2</v>
      </c>
      <c r="J2288" s="40">
        <v>6</v>
      </c>
      <c r="K2288" s="10">
        <f t="shared" si="214"/>
        <v>0.66290400000000005</v>
      </c>
      <c r="L2288" s="4"/>
      <c r="M2288" s="17">
        <v>6</v>
      </c>
      <c r="N2288" s="18">
        <f t="shared" si="215"/>
        <v>0.66290400000000016</v>
      </c>
      <c r="O2288" s="19">
        <f t="shared" si="216"/>
        <v>0</v>
      </c>
      <c r="P2288" s="13">
        <f t="shared" si="217"/>
        <v>0</v>
      </c>
      <c r="Q2288" s="33">
        <v>6.1</v>
      </c>
      <c r="R2288" s="32">
        <v>6</v>
      </c>
      <c r="S2288" s="32" t="s">
        <v>603</v>
      </c>
    </row>
    <row r="2289" spans="1:19">
      <c r="A2289" s="45" t="s">
        <v>136</v>
      </c>
      <c r="B2289" s="32" t="s">
        <v>137</v>
      </c>
      <c r="C2289" s="3">
        <v>4</v>
      </c>
      <c r="D2289" s="32"/>
      <c r="E2289" s="20" t="s">
        <v>139</v>
      </c>
      <c r="F2289" s="7" t="s">
        <v>15</v>
      </c>
      <c r="G2289" s="7" t="s">
        <v>49</v>
      </c>
      <c r="H2289" s="11">
        <v>17.82</v>
      </c>
      <c r="I2289" s="55">
        <v>6.8</v>
      </c>
      <c r="J2289" s="40">
        <v>2</v>
      </c>
      <c r="K2289" s="10">
        <f t="shared" si="214"/>
        <v>0.24235200000000001</v>
      </c>
      <c r="L2289" s="4"/>
      <c r="M2289" s="17">
        <v>2</v>
      </c>
      <c r="N2289" s="18">
        <f t="shared" si="215"/>
        <v>0.24235200000000001</v>
      </c>
      <c r="O2289" s="19">
        <f t="shared" si="216"/>
        <v>0</v>
      </c>
      <c r="P2289" s="13">
        <f t="shared" si="217"/>
        <v>0</v>
      </c>
      <c r="Q2289" s="33">
        <v>6.1</v>
      </c>
      <c r="R2289" s="32">
        <v>2</v>
      </c>
      <c r="S2289" s="32" t="s">
        <v>603</v>
      </c>
    </row>
    <row r="2290" spans="1:19">
      <c r="A2290" s="45" t="s">
        <v>136</v>
      </c>
      <c r="B2290" s="32" t="s">
        <v>137</v>
      </c>
      <c r="C2290" s="3">
        <v>4</v>
      </c>
      <c r="D2290" s="32"/>
      <c r="E2290" s="24" t="s">
        <v>139</v>
      </c>
      <c r="F2290" s="60" t="s">
        <v>15</v>
      </c>
      <c r="G2290" s="60" t="s">
        <v>49</v>
      </c>
      <c r="H2290" s="61">
        <v>17.82</v>
      </c>
      <c r="I2290" s="446">
        <v>7.2</v>
      </c>
      <c r="J2290" s="67">
        <v>1</v>
      </c>
      <c r="K2290" s="62">
        <f t="shared" si="214"/>
        <v>0.128304</v>
      </c>
      <c r="L2290" s="253" t="s">
        <v>135</v>
      </c>
      <c r="M2290" s="22"/>
      <c r="N2290" s="63">
        <f t="shared" si="215"/>
        <v>0</v>
      </c>
      <c r="O2290" s="64">
        <f t="shared" si="216"/>
        <v>1</v>
      </c>
      <c r="P2290" s="65">
        <f t="shared" si="217"/>
        <v>0.128304</v>
      </c>
      <c r="Q2290" s="33"/>
      <c r="R2290" s="32"/>
      <c r="S2290" s="32"/>
    </row>
    <row r="2291" spans="1:19">
      <c r="A2291" s="45" t="s">
        <v>136</v>
      </c>
      <c r="B2291" s="32" t="s">
        <v>137</v>
      </c>
      <c r="C2291" s="3">
        <v>4</v>
      </c>
      <c r="D2291" s="32"/>
      <c r="E2291" s="20" t="s">
        <v>139</v>
      </c>
      <c r="F2291" s="7" t="s">
        <v>15</v>
      </c>
      <c r="G2291" s="7" t="s">
        <v>49</v>
      </c>
      <c r="H2291" s="11">
        <v>17.82</v>
      </c>
      <c r="I2291" s="55">
        <v>7.4</v>
      </c>
      <c r="J2291" s="40">
        <v>1</v>
      </c>
      <c r="K2291" s="10">
        <f t="shared" si="214"/>
        <v>0.13186799999999999</v>
      </c>
      <c r="L2291" s="4"/>
      <c r="M2291" s="17">
        <v>1</v>
      </c>
      <c r="N2291" s="18">
        <f t="shared" si="215"/>
        <v>0.13186799999999999</v>
      </c>
      <c r="O2291" s="19">
        <f t="shared" si="216"/>
        <v>0</v>
      </c>
      <c r="P2291" s="13">
        <f t="shared" si="217"/>
        <v>0</v>
      </c>
      <c r="Q2291" s="33">
        <v>7.1</v>
      </c>
      <c r="R2291" s="32">
        <v>1</v>
      </c>
      <c r="S2291" s="32" t="s">
        <v>603</v>
      </c>
    </row>
    <row r="2292" spans="1:19">
      <c r="A2292" s="45" t="s">
        <v>136</v>
      </c>
      <c r="B2292" s="32" t="s">
        <v>137</v>
      </c>
      <c r="C2292" s="3">
        <v>4</v>
      </c>
      <c r="D2292" s="32"/>
      <c r="E2292" s="20" t="s">
        <v>139</v>
      </c>
      <c r="F2292" s="7" t="s">
        <v>15</v>
      </c>
      <c r="G2292" s="7" t="s">
        <v>39</v>
      </c>
      <c r="H2292" s="11">
        <v>14.7</v>
      </c>
      <c r="I2292" s="55">
        <v>7.8</v>
      </c>
      <c r="J2292" s="40">
        <v>2</v>
      </c>
      <c r="K2292" s="10">
        <f t="shared" si="214"/>
        <v>0.22932</v>
      </c>
      <c r="L2292" s="4"/>
      <c r="M2292" s="17">
        <v>2</v>
      </c>
      <c r="N2292" s="18">
        <f t="shared" si="215"/>
        <v>0.22932</v>
      </c>
      <c r="O2292" s="19">
        <f t="shared" si="216"/>
        <v>0</v>
      </c>
      <c r="P2292" s="13">
        <f t="shared" si="217"/>
        <v>0</v>
      </c>
      <c r="Q2292" s="33">
        <v>6.5</v>
      </c>
      <c r="R2292" s="45">
        <v>2</v>
      </c>
      <c r="S2292" s="2" t="s">
        <v>444</v>
      </c>
    </row>
    <row r="2293" spans="1:19">
      <c r="A2293" s="45" t="s">
        <v>136</v>
      </c>
      <c r="B2293" s="32" t="s">
        <v>137</v>
      </c>
      <c r="C2293" s="3">
        <v>4</v>
      </c>
      <c r="D2293" s="32"/>
      <c r="E2293" s="20" t="s">
        <v>139</v>
      </c>
      <c r="F2293" s="7" t="s">
        <v>15</v>
      </c>
      <c r="G2293" s="7" t="s">
        <v>49</v>
      </c>
      <c r="H2293" s="11">
        <v>17.82</v>
      </c>
      <c r="I2293" s="33">
        <v>8.4</v>
      </c>
      <c r="J2293" s="40">
        <v>1</v>
      </c>
      <c r="K2293" s="10">
        <f t="shared" si="214"/>
        <v>0.14968800000000002</v>
      </c>
      <c r="L2293" s="4"/>
      <c r="M2293" s="17">
        <v>1</v>
      </c>
      <c r="N2293" s="18">
        <f t="shared" si="215"/>
        <v>0.14968800000000002</v>
      </c>
      <c r="O2293" s="19">
        <f t="shared" si="216"/>
        <v>0</v>
      </c>
      <c r="P2293" s="13">
        <f t="shared" si="217"/>
        <v>0</v>
      </c>
      <c r="Q2293" s="55">
        <v>7.2</v>
      </c>
      <c r="R2293" s="32">
        <v>1</v>
      </c>
      <c r="S2293" s="2" t="s">
        <v>295</v>
      </c>
    </row>
    <row r="2294" spans="1:19">
      <c r="A2294" s="45" t="s">
        <v>136</v>
      </c>
      <c r="B2294" s="32" t="s">
        <v>137</v>
      </c>
      <c r="C2294" s="3">
        <v>5</v>
      </c>
      <c r="D2294" s="32"/>
      <c r="E2294" s="20" t="s">
        <v>20</v>
      </c>
      <c r="F2294" s="7" t="s">
        <v>15</v>
      </c>
      <c r="G2294" s="7" t="s">
        <v>49</v>
      </c>
      <c r="H2294" s="11">
        <v>17.82</v>
      </c>
      <c r="I2294" s="55">
        <v>6.2</v>
      </c>
      <c r="J2294" s="40">
        <v>1</v>
      </c>
      <c r="K2294" s="10">
        <f t="shared" si="214"/>
        <v>0.11048400000000001</v>
      </c>
      <c r="L2294" s="4"/>
      <c r="M2294" s="17">
        <v>1</v>
      </c>
      <c r="N2294" s="18">
        <f t="shared" si="215"/>
        <v>0.11048400000000001</v>
      </c>
      <c r="O2294" s="19">
        <f t="shared" si="216"/>
        <v>0</v>
      </c>
      <c r="P2294" s="13">
        <f t="shared" si="217"/>
        <v>0</v>
      </c>
      <c r="Q2294" s="33">
        <v>6.1</v>
      </c>
      <c r="R2294" s="32">
        <v>1</v>
      </c>
      <c r="S2294" s="32" t="s">
        <v>603</v>
      </c>
    </row>
    <row r="2295" spans="1:19">
      <c r="A2295" s="45" t="s">
        <v>136</v>
      </c>
      <c r="B2295" s="32" t="s">
        <v>137</v>
      </c>
      <c r="C2295" s="3">
        <v>5</v>
      </c>
      <c r="D2295" s="32"/>
      <c r="E2295" s="20" t="s">
        <v>20</v>
      </c>
      <c r="F2295" s="7" t="s">
        <v>15</v>
      </c>
      <c r="G2295" s="7" t="s">
        <v>50</v>
      </c>
      <c r="H2295" s="11">
        <v>21.7</v>
      </c>
      <c r="I2295" s="55">
        <v>6.5</v>
      </c>
      <c r="J2295" s="40">
        <v>1</v>
      </c>
      <c r="K2295" s="10">
        <f t="shared" si="214"/>
        <v>0.14104999999999998</v>
      </c>
      <c r="L2295" s="4"/>
      <c r="M2295" s="17"/>
      <c r="N2295" s="18">
        <f t="shared" si="215"/>
        <v>0</v>
      </c>
      <c r="O2295" s="19">
        <f t="shared" si="216"/>
        <v>1</v>
      </c>
      <c r="P2295" s="13">
        <f t="shared" si="217"/>
        <v>0.14104999999999998</v>
      </c>
      <c r="Q2295" s="32"/>
      <c r="R2295" s="32"/>
      <c r="S2295" s="32"/>
    </row>
    <row r="2296" spans="1:19">
      <c r="A2296" s="45" t="s">
        <v>136</v>
      </c>
      <c r="B2296" s="32" t="s">
        <v>137</v>
      </c>
      <c r="C2296" s="3">
        <v>6</v>
      </c>
      <c r="D2296" s="32"/>
      <c r="E2296" s="20" t="s">
        <v>19</v>
      </c>
      <c r="F2296" s="7" t="s">
        <v>14</v>
      </c>
      <c r="G2296" s="7" t="s">
        <v>49</v>
      </c>
      <c r="H2296" s="11">
        <v>17.82</v>
      </c>
      <c r="I2296" s="33">
        <v>7</v>
      </c>
      <c r="J2296" s="40">
        <v>1</v>
      </c>
      <c r="K2296" s="10">
        <f t="shared" si="214"/>
        <v>0.12474</v>
      </c>
      <c r="L2296" s="4"/>
      <c r="M2296" s="17"/>
      <c r="N2296" s="18">
        <f t="shared" si="215"/>
        <v>0</v>
      </c>
      <c r="O2296" s="19">
        <f t="shared" si="216"/>
        <v>1</v>
      </c>
      <c r="P2296" s="13">
        <f t="shared" si="217"/>
        <v>0.12474</v>
      </c>
      <c r="Q2296" s="32"/>
      <c r="R2296" s="32"/>
      <c r="S2296" s="32"/>
    </row>
    <row r="2297" spans="1:19">
      <c r="A2297" s="45" t="s">
        <v>136</v>
      </c>
      <c r="B2297" s="32" t="s">
        <v>137</v>
      </c>
      <c r="C2297" s="3">
        <v>6</v>
      </c>
      <c r="D2297" s="32"/>
      <c r="E2297" s="20" t="s">
        <v>19</v>
      </c>
      <c r="F2297" s="7" t="s">
        <v>14</v>
      </c>
      <c r="G2297" s="7" t="s">
        <v>49</v>
      </c>
      <c r="H2297" s="11">
        <v>17.82</v>
      </c>
      <c r="I2297" s="33">
        <v>7.6</v>
      </c>
      <c r="J2297" s="40">
        <v>2</v>
      </c>
      <c r="K2297" s="10">
        <f t="shared" si="214"/>
        <v>0.27086399999999999</v>
      </c>
      <c r="L2297" s="4"/>
      <c r="M2297" s="17"/>
      <c r="N2297" s="18">
        <f t="shared" si="215"/>
        <v>0</v>
      </c>
      <c r="O2297" s="19">
        <f t="shared" si="216"/>
        <v>2</v>
      </c>
      <c r="P2297" s="13">
        <f t="shared" si="217"/>
        <v>0.27086399999999999</v>
      </c>
      <c r="Q2297" s="32"/>
      <c r="R2297" s="32"/>
      <c r="S2297" s="32"/>
    </row>
    <row r="2298" spans="1:19">
      <c r="A2298" s="45" t="s">
        <v>136</v>
      </c>
      <c r="B2298" s="32" t="s">
        <v>137</v>
      </c>
      <c r="C2298" s="3">
        <v>6</v>
      </c>
      <c r="D2298" s="32"/>
      <c r="E2298" s="20" t="s">
        <v>19</v>
      </c>
      <c r="F2298" s="7" t="s">
        <v>14</v>
      </c>
      <c r="G2298" s="7" t="s">
        <v>49</v>
      </c>
      <c r="H2298" s="11">
        <v>17.82</v>
      </c>
      <c r="I2298" s="33">
        <v>8.1</v>
      </c>
      <c r="J2298" s="40">
        <v>2</v>
      </c>
      <c r="K2298" s="10">
        <f t="shared" si="214"/>
        <v>0.288684</v>
      </c>
      <c r="L2298" s="4"/>
      <c r="M2298" s="17"/>
      <c r="N2298" s="18">
        <f t="shared" si="215"/>
        <v>0</v>
      </c>
      <c r="O2298" s="19">
        <f t="shared" si="216"/>
        <v>2</v>
      </c>
      <c r="P2298" s="13">
        <f t="shared" si="217"/>
        <v>0.288684</v>
      </c>
      <c r="Q2298" s="32"/>
      <c r="R2298" s="32"/>
      <c r="S2298" s="32"/>
    </row>
    <row r="2299" spans="1:19">
      <c r="A2299" s="45" t="s">
        <v>136</v>
      </c>
      <c r="B2299" s="32" t="s">
        <v>137</v>
      </c>
      <c r="C2299" s="3">
        <v>1</v>
      </c>
      <c r="D2299" s="32"/>
      <c r="E2299" s="20" t="s">
        <v>96</v>
      </c>
      <c r="F2299" s="7" t="s">
        <v>15</v>
      </c>
      <c r="G2299" s="7" t="s">
        <v>64</v>
      </c>
      <c r="H2299" s="11">
        <v>40.1</v>
      </c>
      <c r="I2299" s="33">
        <v>6</v>
      </c>
      <c r="J2299" s="40">
        <v>1</v>
      </c>
      <c r="K2299" s="10">
        <f t="shared" si="214"/>
        <v>0.24060000000000004</v>
      </c>
      <c r="L2299" s="4"/>
      <c r="M2299" s="17"/>
      <c r="N2299" s="18">
        <f t="shared" si="215"/>
        <v>0</v>
      </c>
      <c r="O2299" s="19">
        <f t="shared" si="216"/>
        <v>1</v>
      </c>
      <c r="P2299" s="13">
        <f t="shared" si="217"/>
        <v>0.24060000000000004</v>
      </c>
      <c r="Q2299" s="32"/>
      <c r="R2299" s="32"/>
      <c r="S2299" s="32"/>
    </row>
    <row r="2300" spans="1:19">
      <c r="A2300" s="45" t="s">
        <v>136</v>
      </c>
      <c r="B2300" s="32" t="s">
        <v>137</v>
      </c>
      <c r="C2300" s="3">
        <v>1</v>
      </c>
      <c r="D2300" s="32"/>
      <c r="E2300" s="20" t="s">
        <v>96</v>
      </c>
      <c r="F2300" s="7" t="s">
        <v>15</v>
      </c>
      <c r="G2300" s="7" t="s">
        <v>64</v>
      </c>
      <c r="H2300" s="11">
        <v>40.1</v>
      </c>
      <c r="I2300" s="33">
        <v>6.6</v>
      </c>
      <c r="J2300" s="40">
        <v>2</v>
      </c>
      <c r="K2300" s="10">
        <f t="shared" si="214"/>
        <v>0.5293199999999999</v>
      </c>
      <c r="L2300" s="4"/>
      <c r="M2300" s="17"/>
      <c r="N2300" s="18">
        <f t="shared" si="215"/>
        <v>0</v>
      </c>
      <c r="O2300" s="19">
        <f t="shared" si="216"/>
        <v>2</v>
      </c>
      <c r="P2300" s="13">
        <f t="shared" si="217"/>
        <v>0.5293199999999999</v>
      </c>
      <c r="Q2300" s="32"/>
      <c r="R2300" s="32"/>
      <c r="S2300" s="32"/>
    </row>
    <row r="2301" spans="1:19">
      <c r="A2301" s="45" t="s">
        <v>136</v>
      </c>
      <c r="B2301" s="32" t="s">
        <v>137</v>
      </c>
      <c r="C2301" s="3">
        <v>2</v>
      </c>
      <c r="D2301" s="32"/>
      <c r="E2301" s="20" t="s">
        <v>89</v>
      </c>
      <c r="F2301" s="7" t="s">
        <v>15</v>
      </c>
      <c r="G2301" s="7" t="s">
        <v>64</v>
      </c>
      <c r="H2301" s="11">
        <v>40.1</v>
      </c>
      <c r="I2301" s="33">
        <v>9.1</v>
      </c>
      <c r="J2301" s="40">
        <v>3</v>
      </c>
      <c r="K2301" s="10">
        <f t="shared" si="214"/>
        <v>1.09473</v>
      </c>
      <c r="L2301" s="23" t="s">
        <v>623</v>
      </c>
      <c r="M2301" s="22">
        <v>3</v>
      </c>
      <c r="N2301" s="63">
        <f t="shared" si="215"/>
        <v>1.09473</v>
      </c>
      <c r="O2301" s="64">
        <f t="shared" si="216"/>
        <v>0</v>
      </c>
      <c r="P2301" s="65">
        <f t="shared" si="217"/>
        <v>0</v>
      </c>
      <c r="Q2301" s="32">
        <v>8.8000000000000007</v>
      </c>
      <c r="R2301" s="45">
        <v>3</v>
      </c>
      <c r="S2301" s="32" t="s">
        <v>672</v>
      </c>
    </row>
    <row r="2302" spans="1:19">
      <c r="A2302" s="45" t="s">
        <v>136</v>
      </c>
      <c r="B2302" s="32" t="s">
        <v>137</v>
      </c>
      <c r="C2302" s="3">
        <v>2</v>
      </c>
      <c r="D2302" s="32"/>
      <c r="E2302" s="20" t="s">
        <v>89</v>
      </c>
      <c r="F2302" s="7" t="s">
        <v>15</v>
      </c>
      <c r="G2302" s="7" t="s">
        <v>64</v>
      </c>
      <c r="H2302" s="11">
        <v>40.1</v>
      </c>
      <c r="I2302" s="33">
        <v>9.8000000000000007</v>
      </c>
      <c r="J2302" s="40">
        <v>1</v>
      </c>
      <c r="K2302" s="10">
        <f t="shared" si="214"/>
        <v>0.39298</v>
      </c>
      <c r="L2302" s="23" t="s">
        <v>623</v>
      </c>
      <c r="M2302" s="22">
        <v>1</v>
      </c>
      <c r="N2302" s="63">
        <f t="shared" si="215"/>
        <v>0.39298</v>
      </c>
      <c r="O2302" s="64">
        <f t="shared" si="216"/>
        <v>0</v>
      </c>
      <c r="P2302" s="65">
        <f t="shared" si="217"/>
        <v>0</v>
      </c>
      <c r="Q2302" s="32">
        <v>8.8000000000000007</v>
      </c>
      <c r="R2302" s="45">
        <v>1</v>
      </c>
      <c r="S2302" s="32" t="s">
        <v>672</v>
      </c>
    </row>
    <row r="2303" spans="1:19">
      <c r="A2303" s="45" t="s">
        <v>136</v>
      </c>
      <c r="B2303" s="32" t="s">
        <v>137</v>
      </c>
      <c r="C2303" s="3">
        <v>1</v>
      </c>
      <c r="D2303" s="32"/>
      <c r="E2303" s="20" t="s">
        <v>20</v>
      </c>
      <c r="F2303" s="7" t="s">
        <v>15</v>
      </c>
      <c r="G2303" s="7" t="s">
        <v>66</v>
      </c>
      <c r="H2303" s="11">
        <v>29.5</v>
      </c>
      <c r="I2303" s="33">
        <v>9.3000000000000007</v>
      </c>
      <c r="J2303" s="40">
        <v>1</v>
      </c>
      <c r="K2303" s="10">
        <f t="shared" si="214"/>
        <v>0.27435000000000004</v>
      </c>
      <c r="L2303" s="4"/>
      <c r="M2303" s="17"/>
      <c r="N2303" s="18">
        <f t="shared" si="215"/>
        <v>0</v>
      </c>
      <c r="O2303" s="19">
        <f t="shared" si="216"/>
        <v>1</v>
      </c>
      <c r="P2303" s="13">
        <f t="shared" si="217"/>
        <v>0.27435000000000004</v>
      </c>
      <c r="Q2303" s="32"/>
      <c r="R2303" s="32"/>
      <c r="S2303" s="32"/>
    </row>
    <row r="2304" spans="1:19">
      <c r="A2304" s="45" t="s">
        <v>136</v>
      </c>
      <c r="B2304" s="32" t="s">
        <v>137</v>
      </c>
      <c r="C2304" s="3">
        <v>2</v>
      </c>
      <c r="D2304" s="32"/>
      <c r="E2304" s="20" t="s">
        <v>20</v>
      </c>
      <c r="F2304" s="7" t="s">
        <v>15</v>
      </c>
      <c r="G2304" s="7" t="s">
        <v>57</v>
      </c>
      <c r="H2304" s="11">
        <v>33.72</v>
      </c>
      <c r="I2304" s="55">
        <v>8</v>
      </c>
      <c r="J2304" s="40">
        <v>1</v>
      </c>
      <c r="K2304" s="10">
        <f t="shared" si="214"/>
        <v>0.26976</v>
      </c>
      <c r="L2304" s="4"/>
      <c r="M2304" s="17">
        <v>1</v>
      </c>
      <c r="N2304" s="18">
        <f t="shared" si="215"/>
        <v>0.26976</v>
      </c>
      <c r="O2304" s="106">
        <f t="shared" si="216"/>
        <v>0</v>
      </c>
      <c r="P2304" s="13">
        <f t="shared" si="217"/>
        <v>0</v>
      </c>
      <c r="Q2304" s="359">
        <f t="shared" ref="Q2304" si="218">4.602+0.15</f>
        <v>4.7520000000000007</v>
      </c>
      <c r="R2304" s="91">
        <v>1</v>
      </c>
      <c r="S2304" s="2" t="s">
        <v>454</v>
      </c>
    </row>
    <row r="2305" spans="1:19">
      <c r="A2305" s="45" t="s">
        <v>136</v>
      </c>
      <c r="B2305" s="32" t="s">
        <v>137</v>
      </c>
      <c r="C2305" s="3">
        <v>3</v>
      </c>
      <c r="D2305" s="32"/>
      <c r="E2305" s="20" t="s">
        <v>20</v>
      </c>
      <c r="F2305" s="7" t="s">
        <v>15</v>
      </c>
      <c r="G2305" s="7" t="s">
        <v>64</v>
      </c>
      <c r="H2305" s="11">
        <v>40.1</v>
      </c>
      <c r="I2305" s="33">
        <v>9</v>
      </c>
      <c r="J2305" s="40">
        <v>1</v>
      </c>
      <c r="K2305" s="10">
        <f t="shared" si="214"/>
        <v>0.36090000000000005</v>
      </c>
      <c r="L2305" s="4"/>
      <c r="M2305" s="17">
        <v>1</v>
      </c>
      <c r="N2305" s="18">
        <f t="shared" si="215"/>
        <v>0.36090000000000005</v>
      </c>
      <c r="O2305" s="19">
        <f t="shared" si="216"/>
        <v>0</v>
      </c>
      <c r="P2305" s="13">
        <f t="shared" si="217"/>
        <v>0</v>
      </c>
      <c r="Q2305" s="55">
        <v>9</v>
      </c>
      <c r="R2305" s="45">
        <v>1</v>
      </c>
      <c r="S2305" s="32" t="s">
        <v>533</v>
      </c>
    </row>
    <row r="2306" spans="1:19">
      <c r="A2306" s="45" t="s">
        <v>136</v>
      </c>
      <c r="B2306" s="32" t="s">
        <v>137</v>
      </c>
      <c r="C2306" s="3">
        <v>4</v>
      </c>
      <c r="D2306" s="32"/>
      <c r="E2306" s="20" t="s">
        <v>20</v>
      </c>
      <c r="F2306" s="7" t="s">
        <v>15</v>
      </c>
      <c r="G2306" s="7" t="s">
        <v>39</v>
      </c>
      <c r="H2306" s="11">
        <v>14.66</v>
      </c>
      <c r="I2306" s="55">
        <v>10.5</v>
      </c>
      <c r="J2306" s="40">
        <v>1</v>
      </c>
      <c r="K2306" s="10">
        <f t="shared" si="214"/>
        <v>0.15393000000000001</v>
      </c>
      <c r="L2306" s="4"/>
      <c r="M2306" s="17">
        <v>1</v>
      </c>
      <c r="N2306" s="18">
        <f t="shared" si="215"/>
        <v>0.15393000000000001</v>
      </c>
      <c r="O2306" s="19">
        <f t="shared" si="216"/>
        <v>0</v>
      </c>
      <c r="P2306" s="13">
        <f t="shared" si="217"/>
        <v>0</v>
      </c>
      <c r="Q2306" s="33">
        <v>10.5</v>
      </c>
      <c r="R2306" s="45">
        <v>1</v>
      </c>
      <c r="S2306" s="2" t="s">
        <v>444</v>
      </c>
    </row>
    <row r="2307" spans="1:19">
      <c r="A2307" s="45" t="s">
        <v>136</v>
      </c>
      <c r="B2307" s="32" t="s">
        <v>137</v>
      </c>
      <c r="C2307" s="3">
        <v>1</v>
      </c>
      <c r="D2307" s="32"/>
      <c r="E2307" s="20" t="s">
        <v>20</v>
      </c>
      <c r="F2307" s="7" t="s">
        <v>15</v>
      </c>
      <c r="G2307" s="7" t="s">
        <v>64</v>
      </c>
      <c r="H2307" s="11">
        <v>40.1</v>
      </c>
      <c r="I2307" s="33">
        <v>5</v>
      </c>
      <c r="J2307" s="40">
        <v>1</v>
      </c>
      <c r="K2307" s="10">
        <f t="shared" si="214"/>
        <v>0.20050000000000001</v>
      </c>
      <c r="L2307" s="4"/>
      <c r="M2307" s="17"/>
      <c r="N2307" s="18">
        <f t="shared" si="215"/>
        <v>0</v>
      </c>
      <c r="O2307" s="19">
        <f t="shared" si="216"/>
        <v>1</v>
      </c>
      <c r="P2307" s="13">
        <f t="shared" si="217"/>
        <v>0.20050000000000001</v>
      </c>
      <c r="Q2307" s="55"/>
      <c r="R2307" s="32"/>
      <c r="S2307" s="32"/>
    </row>
    <row r="2308" spans="1:19">
      <c r="A2308" s="45" t="s">
        <v>136</v>
      </c>
      <c r="B2308" s="32" t="s">
        <v>137</v>
      </c>
      <c r="C2308" s="3">
        <v>2</v>
      </c>
      <c r="D2308" s="32"/>
      <c r="E2308" s="20" t="s">
        <v>106</v>
      </c>
      <c r="F2308" s="7" t="s">
        <v>15</v>
      </c>
      <c r="G2308" s="7" t="s">
        <v>57</v>
      </c>
      <c r="H2308" s="11">
        <v>33.72</v>
      </c>
      <c r="I2308" s="33">
        <v>8.6</v>
      </c>
      <c r="J2308" s="40">
        <v>1</v>
      </c>
      <c r="K2308" s="10">
        <f t="shared" si="214"/>
        <v>0.28999199999999997</v>
      </c>
      <c r="L2308" s="4"/>
      <c r="M2308" s="17">
        <v>1</v>
      </c>
      <c r="N2308" s="18">
        <f t="shared" si="215"/>
        <v>0.28999199999999997</v>
      </c>
      <c r="O2308" s="310">
        <f t="shared" si="216"/>
        <v>0</v>
      </c>
      <c r="P2308" s="13">
        <f t="shared" si="217"/>
        <v>0</v>
      </c>
      <c r="Q2308" s="32"/>
      <c r="R2308" s="32">
        <v>1</v>
      </c>
      <c r="S2308" s="2" t="s">
        <v>514</v>
      </c>
    </row>
    <row r="2309" spans="1:19">
      <c r="A2309" s="45" t="s">
        <v>136</v>
      </c>
      <c r="B2309" s="32" t="s">
        <v>137</v>
      </c>
      <c r="C2309" s="3">
        <v>5</v>
      </c>
      <c r="D2309" s="32"/>
      <c r="E2309" s="39" t="s">
        <v>17</v>
      </c>
      <c r="F2309" s="7" t="s">
        <v>15</v>
      </c>
      <c r="G2309" s="7" t="s">
        <v>38</v>
      </c>
      <c r="H2309" s="11">
        <v>12.9</v>
      </c>
      <c r="I2309" s="55">
        <v>6.5</v>
      </c>
      <c r="J2309" s="40">
        <v>1</v>
      </c>
      <c r="K2309" s="10">
        <f t="shared" ref="K2309:K2350" si="219">(H2309*I2309*J2309/1000)</f>
        <v>8.3850000000000008E-2</v>
      </c>
      <c r="L2309" s="4"/>
      <c r="M2309" s="17"/>
      <c r="N2309" s="18">
        <f t="shared" ref="N2309:N2350" si="220">I2309*M2309*H2309/1000</f>
        <v>0</v>
      </c>
      <c r="O2309" s="106">
        <f t="shared" ref="O2309:O2350" si="221">J2309-M2309</f>
        <v>1</v>
      </c>
      <c r="P2309" s="13">
        <f t="shared" ref="P2309:P2350" si="222">I2309*O2309*H2309/1000</f>
        <v>8.3850000000000008E-2</v>
      </c>
      <c r="Q2309" s="32" t="s">
        <v>521</v>
      </c>
      <c r="R2309" s="32"/>
      <c r="S2309" s="32"/>
    </row>
    <row r="2310" spans="1:19">
      <c r="A2310" s="45" t="s">
        <v>136</v>
      </c>
      <c r="B2310" s="32" t="s">
        <v>137</v>
      </c>
      <c r="C2310" s="3">
        <v>5</v>
      </c>
      <c r="D2310" s="32"/>
      <c r="E2310" s="39" t="s">
        <v>17</v>
      </c>
      <c r="F2310" s="7" t="s">
        <v>15</v>
      </c>
      <c r="G2310" s="7" t="s">
        <v>38</v>
      </c>
      <c r="H2310" s="11">
        <v>12.9</v>
      </c>
      <c r="I2310" s="55">
        <v>6.9</v>
      </c>
      <c r="J2310" s="40">
        <v>1</v>
      </c>
      <c r="K2310" s="10">
        <f t="shared" si="219"/>
        <v>8.9010000000000006E-2</v>
      </c>
      <c r="L2310" s="4"/>
      <c r="M2310" s="17"/>
      <c r="N2310" s="18">
        <f t="shared" si="220"/>
        <v>0</v>
      </c>
      <c r="O2310" s="106">
        <f t="shared" si="221"/>
        <v>1</v>
      </c>
      <c r="P2310" s="13">
        <f t="shared" si="222"/>
        <v>8.9010000000000006E-2</v>
      </c>
      <c r="Q2310" s="32" t="s">
        <v>521</v>
      </c>
      <c r="R2310" s="32"/>
      <c r="S2310" s="32"/>
    </row>
    <row r="2311" spans="1:19">
      <c r="A2311" s="45" t="s">
        <v>136</v>
      </c>
      <c r="B2311" s="32" t="s">
        <v>137</v>
      </c>
      <c r="C2311" s="3">
        <v>5</v>
      </c>
      <c r="D2311" s="32"/>
      <c r="E2311" s="39" t="s">
        <v>17</v>
      </c>
      <c r="F2311" s="7" t="s">
        <v>15</v>
      </c>
      <c r="G2311" s="7" t="s">
        <v>38</v>
      </c>
      <c r="H2311" s="11">
        <v>12.9</v>
      </c>
      <c r="I2311" s="55">
        <v>8.9</v>
      </c>
      <c r="J2311" s="40">
        <v>1</v>
      </c>
      <c r="K2311" s="10">
        <f t="shared" si="219"/>
        <v>0.11481</v>
      </c>
      <c r="L2311" s="4"/>
      <c r="M2311" s="17"/>
      <c r="N2311" s="18">
        <f t="shared" si="220"/>
        <v>0</v>
      </c>
      <c r="O2311" s="106">
        <f t="shared" si="221"/>
        <v>1</v>
      </c>
      <c r="P2311" s="13">
        <f t="shared" si="222"/>
        <v>0.11481</v>
      </c>
      <c r="Q2311" s="32" t="s">
        <v>521</v>
      </c>
      <c r="R2311" s="32"/>
      <c r="S2311" s="32"/>
    </row>
    <row r="2312" spans="1:19">
      <c r="A2312" s="45" t="s">
        <v>136</v>
      </c>
      <c r="B2312" s="32" t="s">
        <v>137</v>
      </c>
      <c r="C2312" s="3">
        <v>5</v>
      </c>
      <c r="D2312" s="32"/>
      <c r="E2312" s="39" t="s">
        <v>17</v>
      </c>
      <c r="F2312" s="7" t="s">
        <v>15</v>
      </c>
      <c r="G2312" s="7" t="s">
        <v>38</v>
      </c>
      <c r="H2312" s="11">
        <v>12.9</v>
      </c>
      <c r="I2312" s="55">
        <v>9.6</v>
      </c>
      <c r="J2312" s="40">
        <v>2</v>
      </c>
      <c r="K2312" s="10">
        <f t="shared" si="219"/>
        <v>0.24768000000000001</v>
      </c>
      <c r="L2312" s="4"/>
      <c r="M2312" s="17"/>
      <c r="N2312" s="18">
        <f t="shared" si="220"/>
        <v>0</v>
      </c>
      <c r="O2312" s="106">
        <f t="shared" si="221"/>
        <v>2</v>
      </c>
      <c r="P2312" s="13">
        <f t="shared" si="222"/>
        <v>0.24768000000000001</v>
      </c>
      <c r="Q2312" s="32" t="s">
        <v>521</v>
      </c>
      <c r="R2312" s="32"/>
      <c r="S2312" s="32"/>
    </row>
    <row r="2313" spans="1:19">
      <c r="A2313" s="45" t="s">
        <v>136</v>
      </c>
      <c r="B2313" s="32" t="s">
        <v>137</v>
      </c>
      <c r="C2313" s="3">
        <v>5</v>
      </c>
      <c r="D2313" s="32"/>
      <c r="E2313" s="39" t="s">
        <v>17</v>
      </c>
      <c r="F2313" s="7" t="s">
        <v>15</v>
      </c>
      <c r="G2313" s="7" t="s">
        <v>38</v>
      </c>
      <c r="H2313" s="11">
        <v>12.9</v>
      </c>
      <c r="I2313" s="55">
        <v>9.8000000000000007</v>
      </c>
      <c r="J2313" s="40">
        <v>2</v>
      </c>
      <c r="K2313" s="10">
        <f t="shared" si="219"/>
        <v>0.25284000000000001</v>
      </c>
      <c r="L2313" s="4"/>
      <c r="M2313" s="17"/>
      <c r="N2313" s="18">
        <f t="shared" si="220"/>
        <v>0</v>
      </c>
      <c r="O2313" s="106">
        <f t="shared" si="221"/>
        <v>2</v>
      </c>
      <c r="P2313" s="13">
        <f t="shared" si="222"/>
        <v>0.25284000000000001</v>
      </c>
      <c r="Q2313" s="32" t="s">
        <v>521</v>
      </c>
      <c r="R2313" s="32"/>
      <c r="S2313" s="32"/>
    </row>
    <row r="2314" spans="1:19">
      <c r="A2314" s="45" t="s">
        <v>136</v>
      </c>
      <c r="B2314" s="32" t="s">
        <v>137</v>
      </c>
      <c r="C2314" s="3">
        <v>6</v>
      </c>
      <c r="D2314" s="32"/>
      <c r="E2314" s="20" t="s">
        <v>20</v>
      </c>
      <c r="F2314" s="7" t="s">
        <v>15</v>
      </c>
      <c r="G2314" s="7" t="s">
        <v>33</v>
      </c>
      <c r="H2314" s="11">
        <v>15.92</v>
      </c>
      <c r="I2314" s="33">
        <v>7.1</v>
      </c>
      <c r="J2314" s="40">
        <v>2</v>
      </c>
      <c r="K2314" s="10">
        <f t="shared" si="219"/>
        <v>0.22606399999999999</v>
      </c>
      <c r="L2314" s="4"/>
      <c r="M2314" s="17">
        <v>2</v>
      </c>
      <c r="N2314" s="18">
        <f t="shared" si="220"/>
        <v>0.22606399999999999</v>
      </c>
      <c r="O2314" s="19">
        <f t="shared" si="221"/>
        <v>0</v>
      </c>
      <c r="P2314" s="53">
        <f t="shared" si="222"/>
        <v>0</v>
      </c>
      <c r="Q2314" s="32"/>
      <c r="R2314" s="358">
        <v>2</v>
      </c>
      <c r="S2314" s="32" t="s">
        <v>371</v>
      </c>
    </row>
    <row r="2315" spans="1:19">
      <c r="A2315" s="45" t="s">
        <v>136</v>
      </c>
      <c r="B2315" s="32" t="s">
        <v>137</v>
      </c>
      <c r="C2315" s="3">
        <v>6</v>
      </c>
      <c r="D2315" s="32"/>
      <c r="E2315" s="20" t="s">
        <v>20</v>
      </c>
      <c r="F2315" s="7" t="s">
        <v>15</v>
      </c>
      <c r="G2315" s="7" t="s">
        <v>33</v>
      </c>
      <c r="H2315" s="11">
        <v>15.92</v>
      </c>
      <c r="I2315" s="33">
        <v>8</v>
      </c>
      <c r="J2315" s="40">
        <v>2</v>
      </c>
      <c r="K2315" s="10">
        <f t="shared" si="219"/>
        <v>0.25472</v>
      </c>
      <c r="L2315" s="4"/>
      <c r="M2315" s="17">
        <v>2</v>
      </c>
      <c r="N2315" s="18">
        <f t="shared" si="220"/>
        <v>0.25472</v>
      </c>
      <c r="O2315" s="19">
        <f t="shared" si="221"/>
        <v>0</v>
      </c>
      <c r="P2315" s="53">
        <f t="shared" si="222"/>
        <v>0</v>
      </c>
      <c r="Q2315" s="32"/>
      <c r="R2315" s="358">
        <v>2</v>
      </c>
      <c r="S2315" s="32" t="s">
        <v>371</v>
      </c>
    </row>
    <row r="2316" spans="1:19">
      <c r="A2316" s="45" t="s">
        <v>136</v>
      </c>
      <c r="B2316" s="32" t="s">
        <v>137</v>
      </c>
      <c r="C2316" s="3">
        <v>7</v>
      </c>
      <c r="D2316" s="32"/>
      <c r="E2316" s="20" t="s">
        <v>20</v>
      </c>
      <c r="F2316" s="7" t="s">
        <v>15</v>
      </c>
      <c r="G2316" s="7" t="s">
        <v>42</v>
      </c>
      <c r="H2316" s="11">
        <v>19.72</v>
      </c>
      <c r="I2316" s="55">
        <v>6.2</v>
      </c>
      <c r="J2316" s="40">
        <v>2</v>
      </c>
      <c r="K2316" s="10">
        <f t="shared" si="219"/>
        <v>0.244528</v>
      </c>
      <c r="L2316" s="4"/>
      <c r="M2316" s="17"/>
      <c r="N2316" s="18">
        <f t="shared" si="220"/>
        <v>0</v>
      </c>
      <c r="O2316" s="19">
        <f t="shared" si="221"/>
        <v>2</v>
      </c>
      <c r="P2316" s="13">
        <f t="shared" si="222"/>
        <v>0.244528</v>
      </c>
      <c r="Q2316" s="32"/>
      <c r="R2316" s="32"/>
      <c r="S2316" s="32"/>
    </row>
    <row r="2317" spans="1:19">
      <c r="A2317" s="45" t="s">
        <v>136</v>
      </c>
      <c r="B2317" s="32" t="s">
        <v>137</v>
      </c>
      <c r="C2317" s="3">
        <v>8</v>
      </c>
      <c r="D2317" s="32"/>
      <c r="E2317" s="20" t="s">
        <v>106</v>
      </c>
      <c r="F2317" s="7" t="s">
        <v>15</v>
      </c>
      <c r="G2317" s="7" t="s">
        <v>60</v>
      </c>
      <c r="H2317" s="11">
        <v>22.93</v>
      </c>
      <c r="I2317" s="55">
        <v>5.8</v>
      </c>
      <c r="J2317" s="40">
        <v>1</v>
      </c>
      <c r="K2317" s="10">
        <f t="shared" si="219"/>
        <v>0.132994</v>
      </c>
      <c r="L2317" s="4"/>
      <c r="M2317" s="17"/>
      <c r="N2317" s="18">
        <f t="shared" si="220"/>
        <v>0</v>
      </c>
      <c r="O2317" s="19">
        <f t="shared" si="221"/>
        <v>1</v>
      </c>
      <c r="P2317" s="13">
        <f t="shared" si="222"/>
        <v>0.132994</v>
      </c>
      <c r="Q2317" s="32"/>
      <c r="R2317" s="32"/>
      <c r="S2317" s="32"/>
    </row>
    <row r="2318" spans="1:19">
      <c r="A2318" s="45" t="s">
        <v>136</v>
      </c>
      <c r="B2318" s="32" t="s">
        <v>137</v>
      </c>
      <c r="C2318" s="3">
        <v>8</v>
      </c>
      <c r="D2318" s="32"/>
      <c r="E2318" s="20" t="s">
        <v>106</v>
      </c>
      <c r="F2318" s="7" t="s">
        <v>15</v>
      </c>
      <c r="G2318" s="7" t="s">
        <v>60</v>
      </c>
      <c r="H2318" s="11">
        <v>22.93</v>
      </c>
      <c r="I2318" s="55">
        <v>6.1</v>
      </c>
      <c r="J2318" s="40">
        <v>2</v>
      </c>
      <c r="K2318" s="10">
        <f t="shared" si="219"/>
        <v>0.27974599999999999</v>
      </c>
      <c r="L2318" s="4"/>
      <c r="M2318" s="17"/>
      <c r="N2318" s="18">
        <f t="shared" si="220"/>
        <v>0</v>
      </c>
      <c r="O2318" s="19">
        <f t="shared" si="221"/>
        <v>2</v>
      </c>
      <c r="P2318" s="13">
        <f t="shared" si="222"/>
        <v>0.27974599999999999</v>
      </c>
      <c r="Q2318" s="32"/>
      <c r="R2318" s="32"/>
      <c r="S2318" s="32"/>
    </row>
    <row r="2319" spans="1:19">
      <c r="A2319" s="45" t="s">
        <v>136</v>
      </c>
      <c r="B2319" s="32" t="s">
        <v>137</v>
      </c>
      <c r="C2319" s="3">
        <v>9</v>
      </c>
      <c r="D2319" s="32"/>
      <c r="E2319" s="20" t="s">
        <v>106</v>
      </c>
      <c r="F2319" s="7" t="s">
        <v>15</v>
      </c>
      <c r="G2319" s="7" t="s">
        <v>58</v>
      </c>
      <c r="H2319" s="11">
        <v>27.29</v>
      </c>
      <c r="I2319" s="33">
        <v>6</v>
      </c>
      <c r="J2319" s="40">
        <v>1</v>
      </c>
      <c r="K2319" s="10">
        <f t="shared" si="219"/>
        <v>0.16374</v>
      </c>
      <c r="L2319" s="4"/>
      <c r="M2319" s="17">
        <v>1</v>
      </c>
      <c r="N2319" s="18">
        <f t="shared" si="220"/>
        <v>0.16374</v>
      </c>
      <c r="O2319" s="19">
        <f t="shared" si="221"/>
        <v>0</v>
      </c>
      <c r="P2319" s="13">
        <f t="shared" si="222"/>
        <v>0</v>
      </c>
      <c r="Q2319" s="50">
        <v>6</v>
      </c>
      <c r="R2319" s="35">
        <v>1</v>
      </c>
      <c r="S2319" s="2" t="s">
        <v>678</v>
      </c>
    </row>
    <row r="2320" spans="1:19">
      <c r="A2320" s="45" t="s">
        <v>136</v>
      </c>
      <c r="B2320" s="32" t="s">
        <v>137</v>
      </c>
      <c r="C2320" s="3">
        <v>9</v>
      </c>
      <c r="D2320" s="32"/>
      <c r="E2320" s="20" t="s">
        <v>106</v>
      </c>
      <c r="F2320" s="7" t="s">
        <v>15</v>
      </c>
      <c r="G2320" s="7" t="s">
        <v>58</v>
      </c>
      <c r="H2320" s="11">
        <v>27.29</v>
      </c>
      <c r="I2320" s="33">
        <v>6.5</v>
      </c>
      <c r="J2320" s="40">
        <v>1</v>
      </c>
      <c r="K2320" s="10">
        <f t="shared" si="219"/>
        <v>0.17738499999999999</v>
      </c>
      <c r="L2320" s="4"/>
      <c r="M2320" s="17">
        <v>1</v>
      </c>
      <c r="N2320" s="18">
        <f t="shared" si="220"/>
        <v>0.17738499999999999</v>
      </c>
      <c r="O2320" s="19">
        <f t="shared" si="221"/>
        <v>0</v>
      </c>
      <c r="P2320" s="13">
        <f t="shared" si="222"/>
        <v>0</v>
      </c>
      <c r="Q2320" s="33">
        <v>6.3</v>
      </c>
      <c r="R2320" s="45">
        <v>1</v>
      </c>
      <c r="S2320" s="32" t="s">
        <v>672</v>
      </c>
    </row>
    <row r="2321" spans="1:19">
      <c r="A2321" s="45" t="s">
        <v>136</v>
      </c>
      <c r="B2321" s="32" t="s">
        <v>137</v>
      </c>
      <c r="C2321" s="3">
        <v>10</v>
      </c>
      <c r="D2321" s="32"/>
      <c r="E2321" s="39" t="s">
        <v>17</v>
      </c>
      <c r="F2321" s="7" t="s">
        <v>15</v>
      </c>
      <c r="G2321" s="7" t="s">
        <v>54</v>
      </c>
      <c r="H2321" s="11">
        <v>31.6</v>
      </c>
      <c r="I2321" s="55">
        <v>5.8</v>
      </c>
      <c r="J2321" s="40">
        <v>1</v>
      </c>
      <c r="K2321" s="10">
        <f t="shared" si="219"/>
        <v>0.18328</v>
      </c>
      <c r="L2321" s="4"/>
      <c r="M2321" s="17">
        <v>1</v>
      </c>
      <c r="N2321" s="18">
        <f t="shared" si="220"/>
        <v>0.18328</v>
      </c>
      <c r="O2321" s="106">
        <f t="shared" si="221"/>
        <v>0</v>
      </c>
      <c r="P2321" s="13">
        <f t="shared" si="222"/>
        <v>0</v>
      </c>
      <c r="Q2321" s="9">
        <v>4.1449999999999996</v>
      </c>
      <c r="R2321" s="91">
        <v>1</v>
      </c>
      <c r="S2321" s="32" t="s">
        <v>462</v>
      </c>
    </row>
    <row r="2322" spans="1:19">
      <c r="A2322" s="45" t="s">
        <v>136</v>
      </c>
      <c r="B2322" s="32" t="s">
        <v>137</v>
      </c>
      <c r="C2322" s="3">
        <v>10</v>
      </c>
      <c r="D2322" s="32"/>
      <c r="E2322" s="39" t="s">
        <v>17</v>
      </c>
      <c r="F2322" s="7" t="s">
        <v>15</v>
      </c>
      <c r="G2322" s="7" t="s">
        <v>54</v>
      </c>
      <c r="H2322" s="11">
        <v>31.6</v>
      </c>
      <c r="I2322" s="55">
        <v>7</v>
      </c>
      <c r="J2322" s="40">
        <v>2</v>
      </c>
      <c r="K2322" s="10">
        <f t="shared" si="219"/>
        <v>0.44240000000000002</v>
      </c>
      <c r="L2322" s="4"/>
      <c r="M2322" s="17">
        <v>1</v>
      </c>
      <c r="N2322" s="18">
        <f t="shared" si="220"/>
        <v>0.22120000000000001</v>
      </c>
      <c r="O2322" s="19"/>
      <c r="P2322" s="13">
        <f t="shared" si="222"/>
        <v>0</v>
      </c>
      <c r="Q2322" s="9">
        <v>6</v>
      </c>
      <c r="R2322" s="35">
        <v>2</v>
      </c>
      <c r="S2322" s="32" t="s">
        <v>720</v>
      </c>
    </row>
    <row r="2323" spans="1:19">
      <c r="A2323" s="45" t="s">
        <v>136</v>
      </c>
      <c r="B2323" s="32" t="s">
        <v>137</v>
      </c>
      <c r="C2323" s="3">
        <v>11</v>
      </c>
      <c r="D2323" s="32"/>
      <c r="E2323" s="20" t="s">
        <v>141</v>
      </c>
      <c r="F2323" s="7" t="s">
        <v>15</v>
      </c>
      <c r="G2323" s="7" t="s">
        <v>57</v>
      </c>
      <c r="H2323" s="11">
        <v>33.72</v>
      </c>
      <c r="I2323" s="55">
        <v>7</v>
      </c>
      <c r="J2323" s="40">
        <v>2</v>
      </c>
      <c r="K2323" s="10">
        <f t="shared" si="219"/>
        <v>0.47208</v>
      </c>
      <c r="L2323" s="4"/>
      <c r="M2323" s="17">
        <v>2</v>
      </c>
      <c r="N2323" s="18">
        <f t="shared" si="220"/>
        <v>0.47208</v>
      </c>
      <c r="O2323" s="106">
        <f t="shared" si="221"/>
        <v>0</v>
      </c>
      <c r="P2323" s="13">
        <f t="shared" si="222"/>
        <v>0</v>
      </c>
      <c r="Q2323" s="359">
        <f t="shared" ref="Q2323" si="223">4.602+0.15</f>
        <v>4.7520000000000007</v>
      </c>
      <c r="R2323" s="91">
        <v>2</v>
      </c>
      <c r="S2323" s="2" t="s">
        <v>454</v>
      </c>
    </row>
    <row r="2324" spans="1:19">
      <c r="A2324" s="45" t="s">
        <v>136</v>
      </c>
      <c r="B2324" s="32" t="s">
        <v>137</v>
      </c>
      <c r="C2324" s="3">
        <v>12</v>
      </c>
      <c r="D2324" s="32" t="s">
        <v>142</v>
      </c>
      <c r="E2324" s="20" t="s">
        <v>89</v>
      </c>
      <c r="F2324" s="7" t="s">
        <v>15</v>
      </c>
      <c r="G2324" s="7" t="s">
        <v>25</v>
      </c>
      <c r="H2324" s="11">
        <v>7.34</v>
      </c>
      <c r="I2324" s="55">
        <v>8.8000000000000007</v>
      </c>
      <c r="J2324" s="225">
        <v>1</v>
      </c>
      <c r="K2324" s="10">
        <f t="shared" si="219"/>
        <v>6.4591999999999997E-2</v>
      </c>
      <c r="L2324" s="32"/>
      <c r="M2324" s="17"/>
      <c r="N2324" s="18">
        <f t="shared" si="220"/>
        <v>0</v>
      </c>
      <c r="O2324" s="19">
        <f t="shared" si="221"/>
        <v>1</v>
      </c>
      <c r="P2324" s="13">
        <f t="shared" si="222"/>
        <v>6.4591999999999997E-2</v>
      </c>
      <c r="Q2324" s="32"/>
      <c r="R2324" s="32"/>
      <c r="S2324" s="32"/>
    </row>
    <row r="2325" spans="1:19">
      <c r="A2325" s="45" t="s">
        <v>136</v>
      </c>
      <c r="B2325" s="32" t="s">
        <v>137</v>
      </c>
      <c r="C2325" s="3">
        <v>12</v>
      </c>
      <c r="D2325" s="32" t="s">
        <v>142</v>
      </c>
      <c r="E2325" s="20" t="s">
        <v>89</v>
      </c>
      <c r="F2325" s="7" t="s">
        <v>15</v>
      </c>
      <c r="G2325" s="7" t="s">
        <v>25</v>
      </c>
      <c r="H2325" s="11">
        <v>7.34</v>
      </c>
      <c r="I2325" s="55">
        <v>9</v>
      </c>
      <c r="J2325" s="225">
        <v>1</v>
      </c>
      <c r="K2325" s="10">
        <f t="shared" si="219"/>
        <v>6.6060000000000008E-2</v>
      </c>
      <c r="L2325" s="32"/>
      <c r="M2325" s="17"/>
      <c r="N2325" s="18">
        <f t="shared" si="220"/>
        <v>0</v>
      </c>
      <c r="O2325" s="19">
        <f t="shared" si="221"/>
        <v>1</v>
      </c>
      <c r="P2325" s="13">
        <f t="shared" si="222"/>
        <v>6.6060000000000008E-2</v>
      </c>
      <c r="Q2325" s="32"/>
      <c r="R2325" s="32"/>
      <c r="S2325" s="32"/>
    </row>
    <row r="2326" spans="1:19">
      <c r="A2326" s="45" t="s">
        <v>136</v>
      </c>
      <c r="B2326" s="32" t="s">
        <v>137</v>
      </c>
      <c r="C2326" s="3">
        <v>12</v>
      </c>
      <c r="D2326" s="32" t="s">
        <v>142</v>
      </c>
      <c r="E2326" s="20" t="s">
        <v>89</v>
      </c>
      <c r="F2326" s="7" t="s">
        <v>15</v>
      </c>
      <c r="G2326" s="7" t="s">
        <v>25</v>
      </c>
      <c r="H2326" s="11">
        <v>7.34</v>
      </c>
      <c r="I2326" s="55">
        <v>9.4</v>
      </c>
      <c r="J2326" s="225">
        <v>4</v>
      </c>
      <c r="K2326" s="10">
        <f t="shared" si="219"/>
        <v>0.27598400000000001</v>
      </c>
      <c r="L2326" s="32"/>
      <c r="M2326" s="17"/>
      <c r="N2326" s="18">
        <f t="shared" si="220"/>
        <v>0</v>
      </c>
      <c r="O2326" s="19">
        <f t="shared" si="221"/>
        <v>4</v>
      </c>
      <c r="P2326" s="13">
        <f t="shared" si="222"/>
        <v>0.27598400000000001</v>
      </c>
      <c r="Q2326" s="32"/>
      <c r="R2326" s="32"/>
      <c r="S2326" s="32"/>
    </row>
    <row r="2327" spans="1:19">
      <c r="A2327" s="45" t="s">
        <v>136</v>
      </c>
      <c r="B2327" s="32" t="s">
        <v>137</v>
      </c>
      <c r="C2327" s="3">
        <v>12</v>
      </c>
      <c r="D2327" s="32" t="s">
        <v>142</v>
      </c>
      <c r="E2327" s="20" t="s">
        <v>89</v>
      </c>
      <c r="F2327" s="7" t="s">
        <v>15</v>
      </c>
      <c r="G2327" s="7" t="s">
        <v>25</v>
      </c>
      <c r="H2327" s="11">
        <v>7.34</v>
      </c>
      <c r="I2327" s="55">
        <v>9.5</v>
      </c>
      <c r="J2327" s="225">
        <v>1</v>
      </c>
      <c r="K2327" s="10">
        <f t="shared" si="219"/>
        <v>6.973E-2</v>
      </c>
      <c r="L2327" s="32"/>
      <c r="M2327" s="17"/>
      <c r="N2327" s="18">
        <f t="shared" si="220"/>
        <v>0</v>
      </c>
      <c r="O2327" s="19">
        <f t="shared" si="221"/>
        <v>1</v>
      </c>
      <c r="P2327" s="13">
        <f t="shared" si="222"/>
        <v>6.973E-2</v>
      </c>
      <c r="Q2327" s="32"/>
      <c r="R2327" s="32"/>
      <c r="S2327" s="32"/>
    </row>
    <row r="2328" spans="1:19">
      <c r="A2328" s="45" t="s">
        <v>136</v>
      </c>
      <c r="B2328" s="32" t="s">
        <v>137</v>
      </c>
      <c r="C2328" s="3">
        <v>12</v>
      </c>
      <c r="D2328" s="32" t="s">
        <v>142</v>
      </c>
      <c r="E2328" s="20" t="s">
        <v>89</v>
      </c>
      <c r="F2328" s="7" t="s">
        <v>15</v>
      </c>
      <c r="G2328" s="7" t="s">
        <v>25</v>
      </c>
      <c r="H2328" s="11">
        <v>7.34</v>
      </c>
      <c r="I2328" s="55">
        <v>9.6</v>
      </c>
      <c r="J2328" s="225">
        <v>5</v>
      </c>
      <c r="K2328" s="10">
        <f t="shared" si="219"/>
        <v>0.35231999999999997</v>
      </c>
      <c r="L2328" s="32"/>
      <c r="M2328" s="17"/>
      <c r="N2328" s="18">
        <f t="shared" si="220"/>
        <v>0</v>
      </c>
      <c r="O2328" s="19">
        <f t="shared" si="221"/>
        <v>5</v>
      </c>
      <c r="P2328" s="13">
        <f t="shared" si="222"/>
        <v>0.35231999999999997</v>
      </c>
      <c r="Q2328" s="32"/>
      <c r="R2328" s="32"/>
      <c r="S2328" s="32"/>
    </row>
    <row r="2329" spans="1:19">
      <c r="A2329" s="45" t="s">
        <v>136</v>
      </c>
      <c r="B2329" s="32" t="s">
        <v>137</v>
      </c>
      <c r="C2329" s="3">
        <v>13</v>
      </c>
      <c r="D2329" s="32"/>
      <c r="E2329" s="39" t="s">
        <v>24</v>
      </c>
      <c r="F2329" s="7" t="s">
        <v>14</v>
      </c>
      <c r="G2329" s="7" t="s">
        <v>38</v>
      </c>
      <c r="H2329" s="11">
        <v>12.9</v>
      </c>
      <c r="I2329" s="33">
        <v>10.3</v>
      </c>
      <c r="J2329" s="40">
        <v>1</v>
      </c>
      <c r="K2329" s="10">
        <f t="shared" si="219"/>
        <v>0.13287000000000002</v>
      </c>
      <c r="L2329" s="4"/>
      <c r="M2329" s="17">
        <v>1</v>
      </c>
      <c r="N2329" s="18">
        <f t="shared" si="220"/>
        <v>0.13287000000000002</v>
      </c>
      <c r="O2329" s="19">
        <f t="shared" si="221"/>
        <v>0</v>
      </c>
      <c r="P2329" s="13">
        <f t="shared" si="222"/>
        <v>0</v>
      </c>
      <c r="Q2329" s="32"/>
      <c r="R2329" s="45">
        <v>1</v>
      </c>
      <c r="S2329" s="32" t="s">
        <v>714</v>
      </c>
    </row>
    <row r="2330" spans="1:19">
      <c r="A2330" s="45" t="s">
        <v>136</v>
      </c>
      <c r="B2330" s="32" t="s">
        <v>137</v>
      </c>
      <c r="C2330" s="3">
        <v>13</v>
      </c>
      <c r="D2330" s="32"/>
      <c r="E2330" s="39" t="s">
        <v>24</v>
      </c>
      <c r="F2330" s="7" t="s">
        <v>14</v>
      </c>
      <c r="G2330" s="7" t="s">
        <v>38</v>
      </c>
      <c r="H2330" s="11">
        <v>12.9</v>
      </c>
      <c r="I2330" s="33">
        <v>11</v>
      </c>
      <c r="J2330" s="40">
        <v>1</v>
      </c>
      <c r="K2330" s="10">
        <f t="shared" si="219"/>
        <v>0.1419</v>
      </c>
      <c r="L2330" s="4"/>
      <c r="M2330" s="17">
        <v>1</v>
      </c>
      <c r="N2330" s="18">
        <f t="shared" si="220"/>
        <v>0.1419</v>
      </c>
      <c r="O2330" s="19">
        <f t="shared" si="221"/>
        <v>0</v>
      </c>
      <c r="P2330" s="13">
        <f t="shared" si="222"/>
        <v>0</v>
      </c>
      <c r="Q2330" s="32"/>
      <c r="R2330" s="45">
        <v>1</v>
      </c>
      <c r="S2330" s="32" t="s">
        <v>714</v>
      </c>
    </row>
    <row r="2331" spans="1:19">
      <c r="A2331" s="45" t="s">
        <v>136</v>
      </c>
      <c r="B2331" s="32" t="s">
        <v>137</v>
      </c>
      <c r="C2331" s="3">
        <v>13</v>
      </c>
      <c r="D2331" s="32"/>
      <c r="E2331" s="39" t="s">
        <v>24</v>
      </c>
      <c r="F2331" s="7" t="s">
        <v>14</v>
      </c>
      <c r="G2331" s="7" t="s">
        <v>38</v>
      </c>
      <c r="H2331" s="11">
        <v>12.9</v>
      </c>
      <c r="I2331" s="33">
        <v>11.5</v>
      </c>
      <c r="J2331" s="40">
        <v>6</v>
      </c>
      <c r="K2331" s="10">
        <f t="shared" si="219"/>
        <v>0.89009999999999989</v>
      </c>
      <c r="L2331" s="4"/>
      <c r="M2331" s="17">
        <v>6</v>
      </c>
      <c r="N2331" s="18">
        <f t="shared" si="220"/>
        <v>0.8901</v>
      </c>
      <c r="O2331" s="19">
        <f t="shared" si="221"/>
        <v>0</v>
      </c>
      <c r="P2331" s="13">
        <f t="shared" si="222"/>
        <v>0</v>
      </c>
      <c r="Q2331" s="55">
        <v>11.5</v>
      </c>
      <c r="R2331" s="32">
        <v>6</v>
      </c>
      <c r="S2331" s="111" t="s">
        <v>431</v>
      </c>
    </row>
    <row r="2332" spans="1:19">
      <c r="A2332" s="45" t="s">
        <v>136</v>
      </c>
      <c r="B2332" s="32" t="s">
        <v>137</v>
      </c>
      <c r="C2332" s="3">
        <v>14</v>
      </c>
      <c r="D2332" s="32"/>
      <c r="E2332" s="20" t="s">
        <v>141</v>
      </c>
      <c r="F2332" s="7" t="s">
        <v>15</v>
      </c>
      <c r="G2332" s="7" t="s">
        <v>57</v>
      </c>
      <c r="H2332" s="11">
        <v>33.72</v>
      </c>
      <c r="I2332" s="55">
        <v>7</v>
      </c>
      <c r="J2332" s="40">
        <v>3</v>
      </c>
      <c r="K2332" s="10">
        <f t="shared" si="219"/>
        <v>0.70811999999999997</v>
      </c>
      <c r="L2332" s="4"/>
      <c r="M2332" s="17">
        <v>3</v>
      </c>
      <c r="N2332" s="18">
        <f t="shared" si="220"/>
        <v>0.70811999999999997</v>
      </c>
      <c r="O2332" s="106">
        <f t="shared" si="221"/>
        <v>0</v>
      </c>
      <c r="P2332" s="13">
        <f t="shared" si="222"/>
        <v>0</v>
      </c>
      <c r="Q2332" s="359">
        <f t="shared" ref="Q2332:Q2333" si="224">4.602+0.15</f>
        <v>4.7520000000000007</v>
      </c>
      <c r="R2332" s="91">
        <v>3</v>
      </c>
      <c r="S2332" s="2" t="s">
        <v>454</v>
      </c>
    </row>
    <row r="2333" spans="1:19">
      <c r="A2333" s="45" t="s">
        <v>136</v>
      </c>
      <c r="B2333" s="32" t="s">
        <v>137</v>
      </c>
      <c r="C2333" s="3">
        <v>15</v>
      </c>
      <c r="D2333" s="32"/>
      <c r="E2333" s="20" t="s">
        <v>89</v>
      </c>
      <c r="F2333" s="7" t="s">
        <v>15</v>
      </c>
      <c r="G2333" s="7" t="s">
        <v>57</v>
      </c>
      <c r="H2333" s="11">
        <v>33.72</v>
      </c>
      <c r="I2333" s="55">
        <v>6.3</v>
      </c>
      <c r="J2333" s="40">
        <v>7</v>
      </c>
      <c r="K2333" s="10">
        <f t="shared" si="219"/>
        <v>1.4870519999999998</v>
      </c>
      <c r="L2333" s="4"/>
      <c r="M2333" s="17">
        <v>7</v>
      </c>
      <c r="N2333" s="18">
        <f t="shared" si="220"/>
        <v>1.4870519999999998</v>
      </c>
      <c r="O2333" s="106">
        <f t="shared" si="221"/>
        <v>0</v>
      </c>
      <c r="P2333" s="13">
        <f t="shared" si="222"/>
        <v>0</v>
      </c>
      <c r="Q2333" s="359">
        <f t="shared" si="224"/>
        <v>4.7520000000000007</v>
      </c>
      <c r="R2333" s="91">
        <v>7</v>
      </c>
      <c r="S2333" s="2" t="s">
        <v>454</v>
      </c>
    </row>
    <row r="2334" spans="1:19">
      <c r="A2334" s="45" t="s">
        <v>136</v>
      </c>
      <c r="B2334" s="32" t="s">
        <v>137</v>
      </c>
      <c r="C2334" s="3">
        <v>16</v>
      </c>
      <c r="D2334" s="32"/>
      <c r="E2334" s="20" t="s">
        <v>139</v>
      </c>
      <c r="F2334" s="7" t="s">
        <v>15</v>
      </c>
      <c r="G2334" s="7" t="s">
        <v>50</v>
      </c>
      <c r="H2334" s="11">
        <v>21.7</v>
      </c>
      <c r="I2334" s="55">
        <v>5.7</v>
      </c>
      <c r="J2334" s="40">
        <v>1</v>
      </c>
      <c r="K2334" s="10">
        <f t="shared" si="219"/>
        <v>0.12368999999999999</v>
      </c>
      <c r="L2334" s="4"/>
      <c r="M2334" s="17"/>
      <c r="N2334" s="18">
        <f t="shared" si="220"/>
        <v>0</v>
      </c>
      <c r="O2334" s="19">
        <f t="shared" si="221"/>
        <v>1</v>
      </c>
      <c r="P2334" s="13">
        <f t="shared" si="222"/>
        <v>0.12368999999999999</v>
      </c>
      <c r="Q2334" s="32"/>
      <c r="R2334" s="32"/>
      <c r="S2334" s="32"/>
    </row>
    <row r="2335" spans="1:19">
      <c r="A2335" s="45" t="s">
        <v>136</v>
      </c>
      <c r="B2335" s="32" t="s">
        <v>137</v>
      </c>
      <c r="C2335" s="3">
        <v>16</v>
      </c>
      <c r="D2335" s="32"/>
      <c r="E2335" s="20" t="s">
        <v>139</v>
      </c>
      <c r="F2335" s="7" t="s">
        <v>15</v>
      </c>
      <c r="G2335" s="7" t="s">
        <v>50</v>
      </c>
      <c r="H2335" s="11">
        <v>21.7</v>
      </c>
      <c r="I2335" s="55">
        <v>6.5</v>
      </c>
      <c r="J2335" s="40">
        <v>3</v>
      </c>
      <c r="K2335" s="10">
        <f t="shared" si="219"/>
        <v>0.42314999999999997</v>
      </c>
      <c r="L2335" s="4"/>
      <c r="M2335" s="17"/>
      <c r="N2335" s="18">
        <f t="shared" si="220"/>
        <v>0</v>
      </c>
      <c r="O2335" s="19">
        <f t="shared" si="221"/>
        <v>3</v>
      </c>
      <c r="P2335" s="13">
        <f t="shared" si="222"/>
        <v>0.42314999999999997</v>
      </c>
      <c r="Q2335" s="32"/>
      <c r="R2335" s="32"/>
      <c r="S2335" s="32"/>
    </row>
    <row r="2336" spans="1:19">
      <c r="A2336" s="45" t="s">
        <v>136</v>
      </c>
      <c r="B2336" s="32" t="s">
        <v>137</v>
      </c>
      <c r="C2336" s="3">
        <v>17</v>
      </c>
      <c r="D2336" s="32"/>
      <c r="E2336" s="20" t="s">
        <v>106</v>
      </c>
      <c r="F2336" s="7" t="s">
        <v>15</v>
      </c>
      <c r="G2336" s="7" t="s">
        <v>57</v>
      </c>
      <c r="H2336" s="11">
        <v>33.72</v>
      </c>
      <c r="I2336" s="33">
        <v>6</v>
      </c>
      <c r="J2336" s="40">
        <v>2</v>
      </c>
      <c r="K2336" s="10">
        <f t="shared" si="219"/>
        <v>0.40464</v>
      </c>
      <c r="L2336" s="4"/>
      <c r="M2336" s="17">
        <v>2</v>
      </c>
      <c r="N2336" s="18">
        <f t="shared" si="220"/>
        <v>0.40464</v>
      </c>
      <c r="O2336" s="19">
        <f t="shared" si="221"/>
        <v>0</v>
      </c>
      <c r="P2336" s="13">
        <f t="shared" si="222"/>
        <v>0</v>
      </c>
      <c r="Q2336" s="32"/>
      <c r="R2336" s="32">
        <v>2</v>
      </c>
      <c r="S2336" s="2" t="s">
        <v>514</v>
      </c>
    </row>
    <row r="2337" spans="1:19">
      <c r="A2337" s="45" t="s">
        <v>136</v>
      </c>
      <c r="B2337" s="32" t="s">
        <v>137</v>
      </c>
      <c r="C2337" s="3">
        <v>17</v>
      </c>
      <c r="D2337" s="32"/>
      <c r="E2337" s="20" t="s">
        <v>106</v>
      </c>
      <c r="F2337" s="7" t="s">
        <v>15</v>
      </c>
      <c r="G2337" s="7" t="s">
        <v>57</v>
      </c>
      <c r="H2337" s="11">
        <v>33.72</v>
      </c>
      <c r="I2337" s="33">
        <v>6.6</v>
      </c>
      <c r="J2337" s="40">
        <v>3</v>
      </c>
      <c r="K2337" s="10">
        <f t="shared" si="219"/>
        <v>0.66765599999999992</v>
      </c>
      <c r="L2337" s="4"/>
      <c r="M2337" s="17">
        <v>3</v>
      </c>
      <c r="N2337" s="18">
        <f t="shared" si="220"/>
        <v>0.66765599999999981</v>
      </c>
      <c r="O2337" s="310">
        <f t="shared" si="221"/>
        <v>0</v>
      </c>
      <c r="P2337" s="13">
        <f t="shared" si="222"/>
        <v>0</v>
      </c>
      <c r="Q2337" s="32"/>
      <c r="R2337" s="32">
        <v>3</v>
      </c>
      <c r="S2337" s="2" t="s">
        <v>514</v>
      </c>
    </row>
    <row r="2338" spans="1:19">
      <c r="A2338" s="45" t="s">
        <v>136</v>
      </c>
      <c r="B2338" s="32" t="s">
        <v>137</v>
      </c>
      <c r="C2338" s="3">
        <v>18</v>
      </c>
      <c r="D2338" s="32"/>
      <c r="E2338" s="20" t="s">
        <v>106</v>
      </c>
      <c r="F2338" s="7" t="s">
        <v>15</v>
      </c>
      <c r="G2338" s="7" t="s">
        <v>57</v>
      </c>
      <c r="H2338" s="11">
        <v>33.72</v>
      </c>
      <c r="I2338" s="33">
        <v>6.5</v>
      </c>
      <c r="J2338" s="40">
        <v>2</v>
      </c>
      <c r="K2338" s="10">
        <f t="shared" si="219"/>
        <v>0.43836000000000003</v>
      </c>
      <c r="L2338" s="4"/>
      <c r="M2338" s="17">
        <v>2</v>
      </c>
      <c r="N2338" s="18">
        <f t="shared" si="220"/>
        <v>0.43836000000000003</v>
      </c>
      <c r="O2338" s="310">
        <f t="shared" si="221"/>
        <v>0</v>
      </c>
      <c r="P2338" s="13">
        <f t="shared" si="222"/>
        <v>0</v>
      </c>
      <c r="Q2338" s="32"/>
      <c r="R2338" s="32">
        <v>2</v>
      </c>
      <c r="S2338" s="2" t="s">
        <v>514</v>
      </c>
    </row>
    <row r="2339" spans="1:19">
      <c r="A2339" s="45" t="s">
        <v>136</v>
      </c>
      <c r="B2339" s="32" t="s">
        <v>137</v>
      </c>
      <c r="C2339" s="3">
        <v>18</v>
      </c>
      <c r="D2339" s="32"/>
      <c r="E2339" s="20" t="s">
        <v>106</v>
      </c>
      <c r="F2339" s="7" t="s">
        <v>15</v>
      </c>
      <c r="G2339" s="7" t="s">
        <v>57</v>
      </c>
      <c r="H2339" s="11">
        <v>33.72</v>
      </c>
      <c r="I2339" s="33">
        <v>7</v>
      </c>
      <c r="J2339" s="40">
        <v>2</v>
      </c>
      <c r="K2339" s="10">
        <f t="shared" si="219"/>
        <v>0.47208</v>
      </c>
      <c r="L2339" s="4"/>
      <c r="M2339" s="17">
        <v>2</v>
      </c>
      <c r="N2339" s="18">
        <f t="shared" si="220"/>
        <v>0.47208</v>
      </c>
      <c r="O2339" s="310">
        <f t="shared" si="221"/>
        <v>0</v>
      </c>
      <c r="P2339" s="13">
        <f t="shared" si="222"/>
        <v>0</v>
      </c>
      <c r="Q2339" s="32"/>
      <c r="R2339" s="32">
        <v>2</v>
      </c>
      <c r="S2339" s="2" t="s">
        <v>514</v>
      </c>
    </row>
    <row r="2340" spans="1:19">
      <c r="A2340" s="45" t="s">
        <v>136</v>
      </c>
      <c r="B2340" s="32" t="s">
        <v>137</v>
      </c>
      <c r="C2340" s="3">
        <v>19</v>
      </c>
      <c r="D2340" s="32"/>
      <c r="E2340" s="20" t="s">
        <v>20</v>
      </c>
      <c r="F2340" s="7" t="s">
        <v>15</v>
      </c>
      <c r="G2340" s="7" t="s">
        <v>54</v>
      </c>
      <c r="H2340" s="11">
        <v>31.6</v>
      </c>
      <c r="I2340" s="55">
        <v>11.4</v>
      </c>
      <c r="J2340" s="40">
        <v>1</v>
      </c>
      <c r="K2340" s="10">
        <f t="shared" si="219"/>
        <v>0.36024</v>
      </c>
      <c r="L2340" s="4"/>
      <c r="M2340" s="17">
        <v>1</v>
      </c>
      <c r="N2340" s="18">
        <f t="shared" si="220"/>
        <v>0.36024</v>
      </c>
      <c r="O2340" s="106">
        <f t="shared" si="221"/>
        <v>0</v>
      </c>
      <c r="P2340" s="13">
        <f t="shared" si="222"/>
        <v>0</v>
      </c>
      <c r="Q2340" s="55">
        <v>10.1</v>
      </c>
      <c r="R2340" s="91">
        <v>1</v>
      </c>
      <c r="S2340" s="2" t="s">
        <v>464</v>
      </c>
    </row>
    <row r="2341" spans="1:19">
      <c r="A2341" s="45" t="s">
        <v>136</v>
      </c>
      <c r="B2341" s="32" t="s">
        <v>137</v>
      </c>
      <c r="C2341" s="3">
        <v>19</v>
      </c>
      <c r="D2341" s="32"/>
      <c r="E2341" s="20" t="s">
        <v>89</v>
      </c>
      <c r="F2341" s="7" t="s">
        <v>15</v>
      </c>
      <c r="G2341" s="7" t="s">
        <v>58</v>
      </c>
      <c r="H2341" s="11">
        <v>27.29</v>
      </c>
      <c r="I2341" s="55">
        <v>12.75</v>
      </c>
      <c r="J2341" s="40">
        <v>1</v>
      </c>
      <c r="K2341" s="10">
        <f t="shared" si="219"/>
        <v>0.34794749999999997</v>
      </c>
      <c r="L2341" s="4"/>
      <c r="M2341" s="17">
        <v>1</v>
      </c>
      <c r="N2341" s="18">
        <f t="shared" si="220"/>
        <v>0.34794749999999997</v>
      </c>
      <c r="O2341" s="19">
        <f t="shared" si="221"/>
        <v>0</v>
      </c>
      <c r="P2341" s="13">
        <f t="shared" si="222"/>
        <v>0</v>
      </c>
      <c r="Q2341" s="55">
        <v>12.75</v>
      </c>
      <c r="R2341" s="32">
        <v>1</v>
      </c>
      <c r="S2341" s="32" t="s">
        <v>215</v>
      </c>
    </row>
    <row r="2342" spans="1:19">
      <c r="A2342" s="45" t="s">
        <v>136</v>
      </c>
      <c r="B2342" s="32" t="s">
        <v>137</v>
      </c>
      <c r="C2342" s="3">
        <v>20</v>
      </c>
      <c r="D2342" s="32"/>
      <c r="E2342" s="20" t="s">
        <v>106</v>
      </c>
      <c r="F2342" s="7" t="s">
        <v>15</v>
      </c>
      <c r="G2342" s="7" t="s">
        <v>57</v>
      </c>
      <c r="H2342" s="11">
        <v>33.72</v>
      </c>
      <c r="I2342" s="33">
        <v>6.5</v>
      </c>
      <c r="J2342" s="40">
        <v>3</v>
      </c>
      <c r="K2342" s="10">
        <f t="shared" si="219"/>
        <v>0.65754000000000001</v>
      </c>
      <c r="L2342" s="4"/>
      <c r="M2342" s="17">
        <v>3</v>
      </c>
      <c r="N2342" s="18">
        <f t="shared" si="220"/>
        <v>0.65754000000000001</v>
      </c>
      <c r="O2342" s="310">
        <f t="shared" si="221"/>
        <v>0</v>
      </c>
      <c r="P2342" s="13">
        <f t="shared" si="222"/>
        <v>0</v>
      </c>
      <c r="Q2342" s="32"/>
      <c r="R2342" s="32">
        <v>3</v>
      </c>
      <c r="S2342" s="2" t="s">
        <v>514</v>
      </c>
    </row>
    <row r="2343" spans="1:19">
      <c r="A2343" s="45" t="s">
        <v>136</v>
      </c>
      <c r="B2343" s="32" t="s">
        <v>137</v>
      </c>
      <c r="C2343" s="3">
        <v>20</v>
      </c>
      <c r="D2343" s="32"/>
      <c r="E2343" s="20" t="s">
        <v>106</v>
      </c>
      <c r="F2343" s="7" t="s">
        <v>15</v>
      </c>
      <c r="G2343" s="7" t="s">
        <v>57</v>
      </c>
      <c r="H2343" s="11">
        <v>33.72</v>
      </c>
      <c r="I2343" s="33">
        <v>7</v>
      </c>
      <c r="J2343" s="40">
        <v>2</v>
      </c>
      <c r="K2343" s="10">
        <f t="shared" si="219"/>
        <v>0.47208</v>
      </c>
      <c r="L2343" s="4"/>
      <c r="M2343" s="17">
        <v>2</v>
      </c>
      <c r="N2343" s="18">
        <f t="shared" si="220"/>
        <v>0.47208</v>
      </c>
      <c r="O2343" s="310">
        <f t="shared" si="221"/>
        <v>0</v>
      </c>
      <c r="P2343" s="13">
        <f t="shared" si="222"/>
        <v>0</v>
      </c>
      <c r="Q2343" s="32"/>
      <c r="R2343" s="32">
        <v>2</v>
      </c>
      <c r="S2343" s="2" t="s">
        <v>514</v>
      </c>
    </row>
    <row r="2344" spans="1:19">
      <c r="A2344" s="45" t="s">
        <v>136</v>
      </c>
      <c r="B2344" s="32" t="s">
        <v>137</v>
      </c>
      <c r="C2344" s="3">
        <v>21</v>
      </c>
      <c r="D2344" s="32"/>
      <c r="E2344" s="20" t="s">
        <v>20</v>
      </c>
      <c r="F2344" s="7" t="s">
        <v>15</v>
      </c>
      <c r="G2344" s="7" t="s">
        <v>58</v>
      </c>
      <c r="H2344" s="11">
        <v>27.29</v>
      </c>
      <c r="I2344" s="55">
        <v>6.5</v>
      </c>
      <c r="J2344" s="40">
        <v>1</v>
      </c>
      <c r="K2344" s="10">
        <f t="shared" si="219"/>
        <v>0.17738499999999999</v>
      </c>
      <c r="L2344" s="4"/>
      <c r="M2344" s="17">
        <v>1</v>
      </c>
      <c r="N2344" s="18">
        <f t="shared" si="220"/>
        <v>0.17738499999999999</v>
      </c>
      <c r="O2344" s="19">
        <f t="shared" si="221"/>
        <v>0</v>
      </c>
      <c r="P2344" s="13">
        <f t="shared" si="222"/>
        <v>0</v>
      </c>
      <c r="Q2344" s="55">
        <v>6.25</v>
      </c>
      <c r="R2344" s="32">
        <v>1</v>
      </c>
      <c r="S2344" s="32" t="s">
        <v>214</v>
      </c>
    </row>
    <row r="2345" spans="1:19">
      <c r="A2345" s="45" t="s">
        <v>136</v>
      </c>
      <c r="B2345" s="32" t="s">
        <v>137</v>
      </c>
      <c r="C2345" s="3">
        <v>21</v>
      </c>
      <c r="D2345" s="32"/>
      <c r="E2345" s="20" t="s">
        <v>20</v>
      </c>
      <c r="F2345" s="7" t="s">
        <v>15</v>
      </c>
      <c r="G2345" s="7" t="s">
        <v>58</v>
      </c>
      <c r="H2345" s="11">
        <v>27.29</v>
      </c>
      <c r="I2345" s="55">
        <v>6.6</v>
      </c>
      <c r="J2345" s="40">
        <v>1</v>
      </c>
      <c r="K2345" s="10">
        <f t="shared" si="219"/>
        <v>0.18011399999999997</v>
      </c>
      <c r="L2345" s="4"/>
      <c r="M2345" s="17">
        <v>1</v>
      </c>
      <c r="N2345" s="18">
        <f t="shared" si="220"/>
        <v>0.18011399999999997</v>
      </c>
      <c r="O2345" s="19">
        <f t="shared" si="221"/>
        <v>0</v>
      </c>
      <c r="P2345" s="13">
        <f t="shared" si="222"/>
        <v>0</v>
      </c>
      <c r="Q2345" s="55">
        <v>6.25</v>
      </c>
      <c r="R2345" s="32">
        <v>1</v>
      </c>
      <c r="S2345" s="32" t="s">
        <v>214</v>
      </c>
    </row>
    <row r="2346" spans="1:19">
      <c r="A2346" s="45" t="s">
        <v>136</v>
      </c>
      <c r="B2346" s="32" t="s">
        <v>137</v>
      </c>
      <c r="C2346" s="3">
        <v>21</v>
      </c>
      <c r="D2346" s="32"/>
      <c r="E2346" s="20" t="s">
        <v>20</v>
      </c>
      <c r="F2346" s="7" t="s">
        <v>15</v>
      </c>
      <c r="G2346" s="7" t="s">
        <v>58</v>
      </c>
      <c r="H2346" s="11">
        <v>27.29</v>
      </c>
      <c r="I2346" s="55">
        <v>10.7</v>
      </c>
      <c r="J2346" s="40">
        <v>1</v>
      </c>
      <c r="K2346" s="10">
        <f t="shared" si="219"/>
        <v>0.29200300000000001</v>
      </c>
      <c r="L2346" s="4"/>
      <c r="M2346" s="17">
        <v>1</v>
      </c>
      <c r="N2346" s="18">
        <f t="shared" si="220"/>
        <v>0.29200300000000001</v>
      </c>
      <c r="O2346" s="19">
        <f t="shared" si="221"/>
        <v>0</v>
      </c>
      <c r="P2346" s="13">
        <f t="shared" si="222"/>
        <v>0</v>
      </c>
      <c r="Q2346" s="55">
        <v>10.5</v>
      </c>
      <c r="R2346" s="32">
        <v>1</v>
      </c>
      <c r="S2346" s="32" t="s">
        <v>195</v>
      </c>
    </row>
    <row r="2347" spans="1:19">
      <c r="A2347" s="45" t="s">
        <v>136</v>
      </c>
      <c r="B2347" s="32" t="s">
        <v>137</v>
      </c>
      <c r="C2347" s="3">
        <v>22</v>
      </c>
      <c r="D2347" s="32"/>
      <c r="E2347" s="20" t="s">
        <v>106</v>
      </c>
      <c r="F2347" s="7" t="s">
        <v>15</v>
      </c>
      <c r="G2347" s="7" t="s">
        <v>48</v>
      </c>
      <c r="H2347" s="11">
        <v>23.6</v>
      </c>
      <c r="I2347" s="33">
        <v>10.7</v>
      </c>
      <c r="J2347" s="40">
        <v>1</v>
      </c>
      <c r="K2347" s="10">
        <f t="shared" si="219"/>
        <v>0.25252000000000002</v>
      </c>
      <c r="L2347" s="4"/>
      <c r="M2347" s="17">
        <v>1</v>
      </c>
      <c r="N2347" s="18">
        <f t="shared" si="220"/>
        <v>0.25252000000000002</v>
      </c>
      <c r="O2347" s="19">
        <f t="shared" si="221"/>
        <v>0</v>
      </c>
      <c r="P2347" s="13">
        <f t="shared" si="222"/>
        <v>0</v>
      </c>
      <c r="Q2347" s="32">
        <v>10.25</v>
      </c>
      <c r="R2347" s="32">
        <v>1</v>
      </c>
      <c r="S2347" s="2" t="s">
        <v>760</v>
      </c>
    </row>
    <row r="2348" spans="1:19">
      <c r="A2348" s="45" t="s">
        <v>136</v>
      </c>
      <c r="B2348" s="32" t="s">
        <v>137</v>
      </c>
      <c r="C2348" s="3">
        <v>23</v>
      </c>
      <c r="D2348" s="32"/>
      <c r="E2348" s="20" t="s">
        <v>19</v>
      </c>
      <c r="F2348" s="7" t="s">
        <v>14</v>
      </c>
      <c r="G2348" s="7" t="s">
        <v>32</v>
      </c>
      <c r="H2348" s="11">
        <v>8.3000000000000007</v>
      </c>
      <c r="I2348" s="33">
        <v>7.2</v>
      </c>
      <c r="J2348" s="40">
        <v>1</v>
      </c>
      <c r="K2348" s="10">
        <f t="shared" si="219"/>
        <v>5.9760000000000008E-2</v>
      </c>
      <c r="L2348" s="4"/>
      <c r="M2348" s="17">
        <v>1</v>
      </c>
      <c r="N2348" s="18">
        <f t="shared" si="220"/>
        <v>5.9760000000000008E-2</v>
      </c>
      <c r="O2348" s="19">
        <f t="shared" si="221"/>
        <v>0</v>
      </c>
      <c r="P2348" s="13">
        <f t="shared" si="222"/>
        <v>0</v>
      </c>
      <c r="Q2348" s="32"/>
      <c r="R2348" s="32"/>
      <c r="S2348" s="2"/>
    </row>
    <row r="2349" spans="1:19">
      <c r="A2349" s="45" t="s">
        <v>136</v>
      </c>
      <c r="B2349" s="32" t="s">
        <v>137</v>
      </c>
      <c r="C2349" s="3">
        <v>24</v>
      </c>
      <c r="D2349" s="32"/>
      <c r="E2349" s="20" t="s">
        <v>20</v>
      </c>
      <c r="F2349" s="7" t="s">
        <v>15</v>
      </c>
      <c r="G2349" s="7" t="s">
        <v>56</v>
      </c>
      <c r="H2349" s="11">
        <v>25.2</v>
      </c>
      <c r="I2349" s="55">
        <v>5.2</v>
      </c>
      <c r="J2349" s="40">
        <v>1</v>
      </c>
      <c r="K2349" s="10">
        <f t="shared" si="219"/>
        <v>0.13103999999999999</v>
      </c>
      <c r="L2349" s="4"/>
      <c r="M2349" s="17"/>
      <c r="N2349" s="18">
        <f t="shared" si="220"/>
        <v>0</v>
      </c>
      <c r="O2349" s="19">
        <f t="shared" si="221"/>
        <v>1</v>
      </c>
      <c r="P2349" s="13">
        <f t="shared" si="222"/>
        <v>0.13103999999999999</v>
      </c>
      <c r="Q2349" s="32"/>
      <c r="R2349" s="32"/>
      <c r="S2349" s="32"/>
    </row>
    <row r="2350" spans="1:19">
      <c r="A2350" s="45" t="s">
        <v>136</v>
      </c>
      <c r="B2350" s="32" t="s">
        <v>137</v>
      </c>
      <c r="C2350" s="3">
        <v>25</v>
      </c>
      <c r="D2350" s="32"/>
      <c r="E2350" s="20" t="s">
        <v>20</v>
      </c>
      <c r="F2350" s="7" t="s">
        <v>15</v>
      </c>
      <c r="G2350" s="7" t="s">
        <v>48</v>
      </c>
      <c r="H2350" s="11">
        <v>23.6</v>
      </c>
      <c r="I2350" s="55">
        <v>11.6</v>
      </c>
      <c r="J2350" s="40">
        <v>2</v>
      </c>
      <c r="K2350" s="10">
        <f t="shared" si="219"/>
        <v>0.54752000000000001</v>
      </c>
      <c r="L2350" s="4"/>
      <c r="M2350" s="17">
        <v>2</v>
      </c>
      <c r="N2350" s="18">
        <f t="shared" si="220"/>
        <v>0.54752000000000001</v>
      </c>
      <c r="O2350" s="19">
        <f t="shared" si="221"/>
        <v>0</v>
      </c>
      <c r="P2350" s="13">
        <f t="shared" si="222"/>
        <v>0</v>
      </c>
      <c r="Q2350" s="32">
        <v>11.5</v>
      </c>
      <c r="R2350" s="32">
        <v>2</v>
      </c>
      <c r="S2350" s="32" t="s">
        <v>313</v>
      </c>
    </row>
    <row r="2351" spans="1:19">
      <c r="A2351" s="45" t="s">
        <v>136</v>
      </c>
      <c r="B2351" s="32" t="s">
        <v>137</v>
      </c>
      <c r="C2351" s="3">
        <v>26</v>
      </c>
      <c r="D2351" s="32"/>
      <c r="E2351" s="20" t="s">
        <v>20</v>
      </c>
      <c r="F2351" s="7" t="s">
        <v>15</v>
      </c>
      <c r="G2351" s="7" t="s">
        <v>112</v>
      </c>
      <c r="H2351" s="11">
        <v>25.4</v>
      </c>
      <c r="I2351" s="33">
        <v>7.1</v>
      </c>
      <c r="J2351" s="40">
        <v>4</v>
      </c>
      <c r="K2351" s="10">
        <f t="shared" ref="K2351:K2397" si="225">(H2351*I2351*J2351/1000)</f>
        <v>0.72135999999999989</v>
      </c>
      <c r="L2351" s="4"/>
      <c r="M2351" s="17"/>
      <c r="N2351" s="18">
        <f t="shared" ref="N2351:N2397" si="226">I2351*M2351*H2351/1000</f>
        <v>0</v>
      </c>
      <c r="O2351" s="106">
        <f t="shared" ref="O2351:O2397" si="227">J2351-M2351</f>
        <v>4</v>
      </c>
      <c r="P2351" s="13">
        <f t="shared" ref="P2351:P2397" si="228">I2351*O2351*H2351/1000</f>
        <v>0.72135999999999989</v>
      </c>
      <c r="Q2351" s="9" t="s">
        <v>361</v>
      </c>
      <c r="R2351" s="32"/>
      <c r="S2351" s="32"/>
    </row>
    <row r="2352" spans="1:19">
      <c r="A2352" s="45" t="s">
        <v>136</v>
      </c>
      <c r="B2352" s="32" t="s">
        <v>137</v>
      </c>
      <c r="C2352" s="3">
        <v>27</v>
      </c>
      <c r="D2352" s="32"/>
      <c r="E2352" s="20" t="s">
        <v>88</v>
      </c>
      <c r="F2352" s="7" t="s">
        <v>15</v>
      </c>
      <c r="G2352" s="7" t="s">
        <v>57</v>
      </c>
      <c r="H2352" s="11">
        <v>33.72</v>
      </c>
      <c r="I2352" s="33">
        <v>7</v>
      </c>
      <c r="J2352" s="40">
        <v>2</v>
      </c>
      <c r="K2352" s="10">
        <f t="shared" si="225"/>
        <v>0.47208</v>
      </c>
      <c r="L2352" s="4"/>
      <c r="M2352" s="17">
        <v>2</v>
      </c>
      <c r="N2352" s="18">
        <f t="shared" si="226"/>
        <v>0.47208</v>
      </c>
      <c r="O2352" s="310">
        <f t="shared" si="227"/>
        <v>0</v>
      </c>
      <c r="P2352" s="13">
        <f t="shared" si="228"/>
        <v>0</v>
      </c>
      <c r="Q2352" s="32"/>
      <c r="R2352" s="32">
        <v>2</v>
      </c>
      <c r="S2352" s="2" t="s">
        <v>514</v>
      </c>
    </row>
    <row r="2353" spans="1:19">
      <c r="A2353" s="45" t="s">
        <v>136</v>
      </c>
      <c r="B2353" s="32" t="s">
        <v>137</v>
      </c>
      <c r="C2353" s="3">
        <v>28</v>
      </c>
      <c r="D2353" s="32"/>
      <c r="E2353" s="20" t="s">
        <v>20</v>
      </c>
      <c r="F2353" s="7" t="s">
        <v>15</v>
      </c>
      <c r="G2353" s="7" t="s">
        <v>58</v>
      </c>
      <c r="H2353" s="11">
        <v>27.29</v>
      </c>
      <c r="I2353" s="55">
        <v>6</v>
      </c>
      <c r="J2353" s="40">
        <v>2</v>
      </c>
      <c r="K2353" s="10">
        <f t="shared" si="225"/>
        <v>0.32747999999999999</v>
      </c>
      <c r="L2353" s="4"/>
      <c r="M2353" s="17"/>
      <c r="N2353" s="18">
        <f t="shared" si="226"/>
        <v>0</v>
      </c>
      <c r="O2353" s="19">
        <f t="shared" si="227"/>
        <v>2</v>
      </c>
      <c r="P2353" s="13">
        <f t="shared" si="228"/>
        <v>0.32747999999999999</v>
      </c>
      <c r="Q2353" s="55"/>
      <c r="R2353" s="32"/>
      <c r="S2353" s="32"/>
    </row>
    <row r="2354" spans="1:19">
      <c r="A2354" s="45" t="s">
        <v>136</v>
      </c>
      <c r="B2354" s="32" t="s">
        <v>137</v>
      </c>
      <c r="C2354" s="3">
        <v>29</v>
      </c>
      <c r="D2354" s="32"/>
      <c r="E2354" s="20" t="s">
        <v>20</v>
      </c>
      <c r="F2354" s="7" t="s">
        <v>15</v>
      </c>
      <c r="G2354" s="7" t="s">
        <v>58</v>
      </c>
      <c r="H2354" s="11">
        <v>27.29</v>
      </c>
      <c r="I2354" s="55">
        <v>5.6</v>
      </c>
      <c r="J2354" s="40">
        <v>1</v>
      </c>
      <c r="K2354" s="10">
        <f t="shared" si="225"/>
        <v>0.15282399999999999</v>
      </c>
      <c r="L2354" s="4"/>
      <c r="M2354" s="17"/>
      <c r="N2354" s="18">
        <f t="shared" si="226"/>
        <v>0</v>
      </c>
      <c r="O2354" s="19">
        <f t="shared" si="227"/>
        <v>1</v>
      </c>
      <c r="P2354" s="13">
        <f t="shared" si="228"/>
        <v>0.15282399999999999</v>
      </c>
      <c r="Q2354" s="55"/>
      <c r="R2354" s="32"/>
      <c r="S2354" s="32"/>
    </row>
    <row r="2355" spans="1:19">
      <c r="A2355" s="45" t="s">
        <v>136</v>
      </c>
      <c r="B2355" s="32" t="s">
        <v>137</v>
      </c>
      <c r="C2355" s="3">
        <v>29</v>
      </c>
      <c r="D2355" s="32"/>
      <c r="E2355" s="20" t="s">
        <v>20</v>
      </c>
      <c r="F2355" s="7" t="s">
        <v>15</v>
      </c>
      <c r="G2355" s="7" t="s">
        <v>58</v>
      </c>
      <c r="H2355" s="11">
        <v>27.29</v>
      </c>
      <c r="I2355" s="55">
        <v>6</v>
      </c>
      <c r="J2355" s="40">
        <v>1</v>
      </c>
      <c r="K2355" s="10">
        <f t="shared" si="225"/>
        <v>0.16374</v>
      </c>
      <c r="L2355" s="4"/>
      <c r="M2355" s="17"/>
      <c r="N2355" s="18">
        <f t="shared" si="226"/>
        <v>0</v>
      </c>
      <c r="O2355" s="19">
        <f t="shared" si="227"/>
        <v>1</v>
      </c>
      <c r="P2355" s="13">
        <f t="shared" si="228"/>
        <v>0.16374</v>
      </c>
      <c r="Q2355" s="55"/>
      <c r="R2355" s="32"/>
      <c r="S2355" s="32"/>
    </row>
    <row r="2356" spans="1:19">
      <c r="A2356" s="45" t="s">
        <v>136</v>
      </c>
      <c r="B2356" s="32" t="s">
        <v>137</v>
      </c>
      <c r="C2356" s="3">
        <v>30</v>
      </c>
      <c r="D2356" s="32"/>
      <c r="E2356" s="20" t="s">
        <v>20</v>
      </c>
      <c r="F2356" s="7" t="s">
        <v>15</v>
      </c>
      <c r="G2356" s="7" t="s">
        <v>57</v>
      </c>
      <c r="H2356" s="11">
        <v>33.72</v>
      </c>
      <c r="I2356" s="55">
        <v>6.4</v>
      </c>
      <c r="J2356" s="40">
        <v>1</v>
      </c>
      <c r="K2356" s="10">
        <f t="shared" si="225"/>
        <v>0.215808</v>
      </c>
      <c r="L2356" s="4"/>
      <c r="M2356" s="17">
        <v>1</v>
      </c>
      <c r="N2356" s="18">
        <f t="shared" si="226"/>
        <v>0.215808</v>
      </c>
      <c r="O2356" s="106">
        <f t="shared" si="227"/>
        <v>0</v>
      </c>
      <c r="P2356" s="13">
        <f t="shared" si="228"/>
        <v>0</v>
      </c>
      <c r="Q2356" s="359">
        <f t="shared" ref="Q2356:Q2357" si="229">4.602+0.15</f>
        <v>4.7520000000000007</v>
      </c>
      <c r="R2356" s="91">
        <v>1</v>
      </c>
      <c r="S2356" s="2" t="s">
        <v>454</v>
      </c>
    </row>
    <row r="2357" spans="1:19">
      <c r="A2357" s="45" t="s">
        <v>136</v>
      </c>
      <c r="B2357" s="32" t="s">
        <v>137</v>
      </c>
      <c r="C2357" s="3">
        <v>30</v>
      </c>
      <c r="D2357" s="32"/>
      <c r="E2357" s="20" t="s">
        <v>20</v>
      </c>
      <c r="F2357" s="7" t="s">
        <v>15</v>
      </c>
      <c r="G2357" s="7" t="s">
        <v>57</v>
      </c>
      <c r="H2357" s="11">
        <v>33.72</v>
      </c>
      <c r="I2357" s="55">
        <v>7</v>
      </c>
      <c r="J2357" s="40">
        <v>3</v>
      </c>
      <c r="K2357" s="10">
        <f t="shared" si="225"/>
        <v>0.70811999999999997</v>
      </c>
      <c r="L2357" s="4"/>
      <c r="M2357" s="17">
        <v>3</v>
      </c>
      <c r="N2357" s="18">
        <f t="shared" si="226"/>
        <v>0.70811999999999997</v>
      </c>
      <c r="O2357" s="106">
        <f t="shared" si="227"/>
        <v>0</v>
      </c>
      <c r="P2357" s="13">
        <f t="shared" si="228"/>
        <v>0</v>
      </c>
      <c r="Q2357" s="359">
        <f t="shared" si="229"/>
        <v>4.7520000000000007</v>
      </c>
      <c r="R2357" s="91">
        <v>3</v>
      </c>
      <c r="S2357" s="2" t="s">
        <v>454</v>
      </c>
    </row>
    <row r="2358" spans="1:19">
      <c r="A2358" s="45" t="s">
        <v>136</v>
      </c>
      <c r="B2358" s="32" t="s">
        <v>137</v>
      </c>
      <c r="C2358" s="3">
        <v>31</v>
      </c>
      <c r="D2358" s="32"/>
      <c r="E2358" s="20" t="s">
        <v>75</v>
      </c>
      <c r="F2358" s="7" t="s">
        <v>15</v>
      </c>
      <c r="G2358" s="7" t="s">
        <v>21</v>
      </c>
      <c r="H2358" s="11">
        <v>6.97</v>
      </c>
      <c r="I2358" s="55">
        <v>6.15</v>
      </c>
      <c r="J2358" s="40">
        <v>3</v>
      </c>
      <c r="K2358" s="10">
        <f t="shared" si="225"/>
        <v>0.12859650000000003</v>
      </c>
      <c r="L2358" s="4"/>
      <c r="M2358" s="17"/>
      <c r="N2358" s="18">
        <f t="shared" si="226"/>
        <v>0</v>
      </c>
      <c r="O2358" s="19">
        <f t="shared" si="227"/>
        <v>3</v>
      </c>
      <c r="P2358" s="13">
        <f t="shared" si="228"/>
        <v>0.12859650000000003</v>
      </c>
      <c r="Q2358" s="32"/>
      <c r="R2358" s="32"/>
      <c r="S2358" s="32"/>
    </row>
    <row r="2359" spans="1:19">
      <c r="A2359" s="45" t="s">
        <v>136</v>
      </c>
      <c r="B2359" s="32" t="s">
        <v>137</v>
      </c>
      <c r="C2359" s="3">
        <v>31</v>
      </c>
      <c r="D2359" s="32"/>
      <c r="E2359" s="20" t="s">
        <v>75</v>
      </c>
      <c r="F2359" s="7" t="s">
        <v>15</v>
      </c>
      <c r="G2359" s="7" t="s">
        <v>21</v>
      </c>
      <c r="H2359" s="11">
        <v>6.97</v>
      </c>
      <c r="I2359" s="55">
        <v>6.5</v>
      </c>
      <c r="J2359" s="40">
        <v>2</v>
      </c>
      <c r="K2359" s="10">
        <f t="shared" si="225"/>
        <v>9.0609999999999996E-2</v>
      </c>
      <c r="L2359" s="4"/>
      <c r="M2359" s="17">
        <v>2</v>
      </c>
      <c r="N2359" s="18">
        <f t="shared" si="226"/>
        <v>9.0609999999999996E-2</v>
      </c>
      <c r="O2359" s="106">
        <f t="shared" si="227"/>
        <v>0</v>
      </c>
      <c r="P2359" s="13">
        <f t="shared" si="228"/>
        <v>0</v>
      </c>
      <c r="Q2359" s="32"/>
      <c r="R2359" s="32"/>
      <c r="S2359" s="2" t="s">
        <v>256</v>
      </c>
    </row>
    <row r="2360" spans="1:19">
      <c r="A2360" s="45" t="s">
        <v>136</v>
      </c>
      <c r="B2360" s="32" t="s">
        <v>137</v>
      </c>
      <c r="C2360" s="3">
        <v>31</v>
      </c>
      <c r="D2360" s="32"/>
      <c r="E2360" s="20" t="s">
        <v>75</v>
      </c>
      <c r="F2360" s="7" t="s">
        <v>15</v>
      </c>
      <c r="G2360" s="7" t="s">
        <v>21</v>
      </c>
      <c r="H2360" s="11">
        <v>6.97</v>
      </c>
      <c r="I2360" s="55">
        <v>7</v>
      </c>
      <c r="J2360" s="40">
        <v>1</v>
      </c>
      <c r="K2360" s="10">
        <f t="shared" si="225"/>
        <v>4.879E-2</v>
      </c>
      <c r="L2360" s="4"/>
      <c r="M2360" s="17">
        <v>1</v>
      </c>
      <c r="N2360" s="18">
        <f t="shared" si="226"/>
        <v>4.879E-2</v>
      </c>
      <c r="O2360" s="106">
        <f t="shared" si="227"/>
        <v>0</v>
      </c>
      <c r="P2360" s="13">
        <f t="shared" si="228"/>
        <v>0</v>
      </c>
      <c r="Q2360" s="32" t="s">
        <v>257</v>
      </c>
      <c r="R2360" s="32"/>
      <c r="S2360" s="2" t="s">
        <v>256</v>
      </c>
    </row>
    <row r="2361" spans="1:19">
      <c r="A2361" s="45" t="s">
        <v>136</v>
      </c>
      <c r="B2361" s="32" t="s">
        <v>137</v>
      </c>
      <c r="C2361" s="3">
        <v>31</v>
      </c>
      <c r="D2361" s="32"/>
      <c r="E2361" s="20" t="s">
        <v>75</v>
      </c>
      <c r="F2361" s="7" t="s">
        <v>15</v>
      </c>
      <c r="G2361" s="7" t="s">
        <v>21</v>
      </c>
      <c r="H2361" s="11">
        <v>6.97</v>
      </c>
      <c r="I2361" s="55">
        <v>7.2</v>
      </c>
      <c r="J2361" s="40">
        <v>2</v>
      </c>
      <c r="K2361" s="10">
        <f t="shared" si="225"/>
        <v>0.100368</v>
      </c>
      <c r="L2361" s="4"/>
      <c r="M2361" s="17">
        <v>2</v>
      </c>
      <c r="N2361" s="18">
        <f t="shared" si="226"/>
        <v>0.100368</v>
      </c>
      <c r="O2361" s="106">
        <f t="shared" si="227"/>
        <v>0</v>
      </c>
      <c r="P2361" s="13">
        <f t="shared" si="228"/>
        <v>0</v>
      </c>
      <c r="Q2361" s="32" t="s">
        <v>257</v>
      </c>
      <c r="R2361" s="32"/>
      <c r="S2361" s="2" t="s">
        <v>256</v>
      </c>
    </row>
    <row r="2362" spans="1:19">
      <c r="A2362" s="45" t="s">
        <v>136</v>
      </c>
      <c r="B2362" s="32" t="s">
        <v>137</v>
      </c>
      <c r="C2362" s="3">
        <v>31</v>
      </c>
      <c r="D2362" s="32"/>
      <c r="E2362" s="20" t="s">
        <v>75</v>
      </c>
      <c r="F2362" s="7" t="s">
        <v>15</v>
      </c>
      <c r="G2362" s="7" t="s">
        <v>21</v>
      </c>
      <c r="H2362" s="11">
        <v>6.97</v>
      </c>
      <c r="I2362" s="55">
        <v>7.6</v>
      </c>
      <c r="J2362" s="40">
        <v>1</v>
      </c>
      <c r="K2362" s="10">
        <f t="shared" si="225"/>
        <v>5.2971999999999991E-2</v>
      </c>
      <c r="L2362" s="4"/>
      <c r="M2362" s="17"/>
      <c r="N2362" s="18">
        <f t="shared" si="226"/>
        <v>0</v>
      </c>
      <c r="O2362" s="19">
        <f t="shared" si="227"/>
        <v>1</v>
      </c>
      <c r="P2362" s="13">
        <f t="shared" si="228"/>
        <v>5.2971999999999991E-2</v>
      </c>
      <c r="Q2362" s="32"/>
      <c r="R2362" s="32"/>
      <c r="S2362" s="32"/>
    </row>
    <row r="2363" spans="1:19">
      <c r="A2363" s="45" t="s">
        <v>136</v>
      </c>
      <c r="B2363" s="32" t="s">
        <v>137</v>
      </c>
      <c r="C2363" s="3">
        <v>34</v>
      </c>
      <c r="D2363" s="32"/>
      <c r="E2363" s="20" t="s">
        <v>20</v>
      </c>
      <c r="F2363" s="7" t="s">
        <v>15</v>
      </c>
      <c r="G2363" s="7" t="s">
        <v>57</v>
      </c>
      <c r="H2363" s="11">
        <v>33.72</v>
      </c>
      <c r="I2363" s="55">
        <v>5</v>
      </c>
      <c r="J2363" s="40">
        <v>1</v>
      </c>
      <c r="K2363" s="10">
        <f t="shared" si="225"/>
        <v>0.1686</v>
      </c>
      <c r="L2363" s="4"/>
      <c r="M2363" s="17">
        <v>1</v>
      </c>
      <c r="N2363" s="18">
        <f t="shared" si="226"/>
        <v>0.1686</v>
      </c>
      <c r="O2363" s="106">
        <f t="shared" si="227"/>
        <v>0</v>
      </c>
      <c r="P2363" s="13">
        <f t="shared" si="228"/>
        <v>0</v>
      </c>
      <c r="Q2363" s="359">
        <f t="shared" ref="Q2363:Q2364" si="230">4.602+0.15</f>
        <v>4.7520000000000007</v>
      </c>
      <c r="R2363" s="91">
        <v>1</v>
      </c>
      <c r="S2363" s="2" t="s">
        <v>454</v>
      </c>
    </row>
    <row r="2364" spans="1:19">
      <c r="A2364" s="45" t="s">
        <v>136</v>
      </c>
      <c r="B2364" s="32" t="s">
        <v>137</v>
      </c>
      <c r="C2364" s="3">
        <v>34</v>
      </c>
      <c r="D2364" s="32"/>
      <c r="E2364" s="20" t="s">
        <v>20</v>
      </c>
      <c r="F2364" s="7" t="s">
        <v>15</v>
      </c>
      <c r="G2364" s="7" t="s">
        <v>57</v>
      </c>
      <c r="H2364" s="11">
        <v>33.72</v>
      </c>
      <c r="I2364" s="55">
        <v>6.7</v>
      </c>
      <c r="J2364" s="40">
        <v>2</v>
      </c>
      <c r="K2364" s="10">
        <f t="shared" si="225"/>
        <v>0.45184800000000003</v>
      </c>
      <c r="L2364" s="4"/>
      <c r="M2364" s="17">
        <v>2</v>
      </c>
      <c r="N2364" s="18">
        <f t="shared" si="226"/>
        <v>0.45184800000000003</v>
      </c>
      <c r="O2364" s="106">
        <f t="shared" si="227"/>
        <v>0</v>
      </c>
      <c r="P2364" s="13">
        <f t="shared" si="228"/>
        <v>0</v>
      </c>
      <c r="Q2364" s="359">
        <f t="shared" si="230"/>
        <v>4.7520000000000007</v>
      </c>
      <c r="R2364" s="91">
        <v>2</v>
      </c>
      <c r="S2364" s="2" t="s">
        <v>454</v>
      </c>
    </row>
    <row r="2365" spans="1:19">
      <c r="A2365" s="45" t="s">
        <v>136</v>
      </c>
      <c r="B2365" s="32" t="s">
        <v>137</v>
      </c>
      <c r="C2365" s="3">
        <v>35</v>
      </c>
      <c r="D2365" s="32"/>
      <c r="E2365" s="20" t="s">
        <v>113</v>
      </c>
      <c r="F2365" s="7" t="s">
        <v>15</v>
      </c>
      <c r="G2365" s="7" t="s">
        <v>28</v>
      </c>
      <c r="H2365" s="11">
        <v>12.18</v>
      </c>
      <c r="I2365" s="33">
        <v>6</v>
      </c>
      <c r="J2365" s="40">
        <v>1</v>
      </c>
      <c r="K2365" s="10">
        <f t="shared" si="225"/>
        <v>7.3079999999999992E-2</v>
      </c>
      <c r="L2365" s="4"/>
      <c r="M2365" s="17">
        <v>1</v>
      </c>
      <c r="N2365" s="18">
        <f t="shared" si="226"/>
        <v>7.3079999999999992E-2</v>
      </c>
      <c r="O2365" s="19">
        <f t="shared" si="227"/>
        <v>0</v>
      </c>
      <c r="P2365" s="13">
        <f t="shared" si="228"/>
        <v>0</v>
      </c>
      <c r="Q2365" s="32">
        <v>6.1</v>
      </c>
      <c r="R2365" s="45">
        <v>1</v>
      </c>
      <c r="S2365" s="32" t="s">
        <v>739</v>
      </c>
    </row>
    <row r="2366" spans="1:19">
      <c r="A2366" s="45" t="s">
        <v>136</v>
      </c>
      <c r="B2366" s="32" t="s">
        <v>137</v>
      </c>
      <c r="C2366" s="3">
        <v>35</v>
      </c>
      <c r="D2366" s="32"/>
      <c r="E2366" s="20" t="s">
        <v>113</v>
      </c>
      <c r="F2366" s="7" t="s">
        <v>15</v>
      </c>
      <c r="G2366" s="7" t="s">
        <v>28</v>
      </c>
      <c r="H2366" s="11">
        <v>12.18</v>
      </c>
      <c r="I2366" s="33">
        <v>6.3</v>
      </c>
      <c r="J2366" s="40">
        <v>2</v>
      </c>
      <c r="K2366" s="10">
        <f t="shared" si="225"/>
        <v>0.15346799999999999</v>
      </c>
      <c r="L2366" s="4"/>
      <c r="M2366" s="17">
        <v>2</v>
      </c>
      <c r="N2366" s="18">
        <f t="shared" si="226"/>
        <v>0.15346799999999999</v>
      </c>
      <c r="O2366" s="19">
        <f t="shared" si="227"/>
        <v>0</v>
      </c>
      <c r="P2366" s="13">
        <f t="shared" si="228"/>
        <v>0</v>
      </c>
      <c r="Q2366" s="32">
        <v>6.1</v>
      </c>
      <c r="R2366" s="45">
        <v>2</v>
      </c>
      <c r="S2366" s="32" t="s">
        <v>739</v>
      </c>
    </row>
    <row r="2367" spans="1:19">
      <c r="A2367" s="45" t="s">
        <v>136</v>
      </c>
      <c r="B2367" s="32" t="s">
        <v>137</v>
      </c>
      <c r="C2367" s="3">
        <v>36</v>
      </c>
      <c r="D2367" s="32"/>
      <c r="E2367" s="20" t="s">
        <v>113</v>
      </c>
      <c r="F2367" s="7" t="s">
        <v>15</v>
      </c>
      <c r="G2367" s="7" t="s">
        <v>42</v>
      </c>
      <c r="H2367" s="11">
        <v>19.72</v>
      </c>
      <c r="I2367" s="55">
        <v>8.4</v>
      </c>
      <c r="J2367" s="40">
        <v>1</v>
      </c>
      <c r="K2367" s="10">
        <f t="shared" si="225"/>
        <v>0.16564799999999999</v>
      </c>
      <c r="L2367" s="4"/>
      <c r="M2367" s="17">
        <v>1</v>
      </c>
      <c r="N2367" s="18">
        <f t="shared" si="226"/>
        <v>0.16564799999999999</v>
      </c>
      <c r="O2367" s="19">
        <f t="shared" si="227"/>
        <v>0</v>
      </c>
      <c r="P2367" s="13">
        <f t="shared" si="228"/>
        <v>0</v>
      </c>
      <c r="Q2367" s="55">
        <v>7.1</v>
      </c>
      <c r="R2367" s="32">
        <v>1</v>
      </c>
      <c r="S2367" s="2" t="s">
        <v>313</v>
      </c>
    </row>
    <row r="2368" spans="1:19">
      <c r="A2368" s="45" t="s">
        <v>136</v>
      </c>
      <c r="B2368" s="32" t="s">
        <v>137</v>
      </c>
      <c r="C2368" s="3">
        <v>36</v>
      </c>
      <c r="D2368" s="32"/>
      <c r="E2368" s="20" t="s">
        <v>113</v>
      </c>
      <c r="F2368" s="7" t="s">
        <v>15</v>
      </c>
      <c r="G2368" s="7" t="s">
        <v>42</v>
      </c>
      <c r="H2368" s="11">
        <v>19.72</v>
      </c>
      <c r="I2368" s="55">
        <v>10</v>
      </c>
      <c r="J2368" s="40">
        <v>1</v>
      </c>
      <c r="K2368" s="10">
        <f t="shared" si="225"/>
        <v>0.19719999999999999</v>
      </c>
      <c r="L2368" s="4"/>
      <c r="M2368" s="17">
        <v>1</v>
      </c>
      <c r="N2368" s="18">
        <f t="shared" si="226"/>
        <v>0.19719999999999999</v>
      </c>
      <c r="O2368" s="19">
        <f t="shared" si="227"/>
        <v>0</v>
      </c>
      <c r="P2368" s="13">
        <f t="shared" si="228"/>
        <v>0</v>
      </c>
      <c r="Q2368" s="55">
        <v>7.1</v>
      </c>
      <c r="R2368" s="32">
        <v>1</v>
      </c>
      <c r="S2368" s="2" t="s">
        <v>313</v>
      </c>
    </row>
    <row r="2369" spans="1:19">
      <c r="A2369" s="45" t="s">
        <v>136</v>
      </c>
      <c r="B2369" s="32" t="s">
        <v>137</v>
      </c>
      <c r="C2369" s="3">
        <v>37</v>
      </c>
      <c r="D2369" s="32"/>
      <c r="E2369" s="20" t="s">
        <v>89</v>
      </c>
      <c r="F2369" s="7" t="s">
        <v>15</v>
      </c>
      <c r="G2369" s="7" t="s">
        <v>56</v>
      </c>
      <c r="H2369" s="11">
        <v>25.2</v>
      </c>
      <c r="I2369" s="55">
        <v>6.7</v>
      </c>
      <c r="J2369" s="40">
        <v>3</v>
      </c>
      <c r="K2369" s="10">
        <f t="shared" si="225"/>
        <v>0.50651999999999997</v>
      </c>
      <c r="L2369" s="4"/>
      <c r="M2369" s="17"/>
      <c r="N2369" s="18">
        <f t="shared" si="226"/>
        <v>0</v>
      </c>
      <c r="O2369" s="19">
        <f t="shared" si="227"/>
        <v>3</v>
      </c>
      <c r="P2369" s="13">
        <f t="shared" si="228"/>
        <v>0.50652000000000008</v>
      </c>
      <c r="Q2369" s="32"/>
      <c r="R2369" s="32"/>
      <c r="S2369" s="32"/>
    </row>
    <row r="2370" spans="1:19">
      <c r="A2370" s="45" t="s">
        <v>136</v>
      </c>
      <c r="B2370" s="32" t="s">
        <v>137</v>
      </c>
      <c r="C2370" s="3">
        <v>37</v>
      </c>
      <c r="D2370" s="32"/>
      <c r="E2370" s="20" t="s">
        <v>89</v>
      </c>
      <c r="F2370" s="7" t="s">
        <v>15</v>
      </c>
      <c r="G2370" s="7" t="s">
        <v>56</v>
      </c>
      <c r="H2370" s="11">
        <v>25.2</v>
      </c>
      <c r="I2370" s="55">
        <v>8</v>
      </c>
      <c r="J2370" s="40">
        <v>1</v>
      </c>
      <c r="K2370" s="10">
        <f t="shared" si="225"/>
        <v>0.2016</v>
      </c>
      <c r="L2370" s="4"/>
      <c r="M2370" s="17"/>
      <c r="N2370" s="18">
        <f t="shared" si="226"/>
        <v>0</v>
      </c>
      <c r="O2370" s="19">
        <f t="shared" si="227"/>
        <v>1</v>
      </c>
      <c r="P2370" s="13">
        <f t="shared" si="228"/>
        <v>0.2016</v>
      </c>
      <c r="Q2370" s="32"/>
      <c r="R2370" s="32"/>
      <c r="S2370" s="32"/>
    </row>
    <row r="2371" spans="1:19">
      <c r="A2371" s="45" t="s">
        <v>136</v>
      </c>
      <c r="B2371" s="32" t="s">
        <v>137</v>
      </c>
      <c r="C2371" s="3">
        <v>37</v>
      </c>
      <c r="D2371" s="32"/>
      <c r="E2371" s="20" t="s">
        <v>89</v>
      </c>
      <c r="F2371" s="7" t="s">
        <v>15</v>
      </c>
      <c r="G2371" s="7" t="s">
        <v>56</v>
      </c>
      <c r="H2371" s="11">
        <v>25.2</v>
      </c>
      <c r="I2371" s="55">
        <v>9</v>
      </c>
      <c r="J2371" s="40">
        <v>1</v>
      </c>
      <c r="K2371" s="10">
        <f t="shared" si="225"/>
        <v>0.22679999999999997</v>
      </c>
      <c r="L2371" s="4"/>
      <c r="M2371" s="17"/>
      <c r="N2371" s="18">
        <f t="shared" si="226"/>
        <v>0</v>
      </c>
      <c r="O2371" s="19">
        <f t="shared" si="227"/>
        <v>1</v>
      </c>
      <c r="P2371" s="13">
        <f t="shared" si="228"/>
        <v>0.22679999999999997</v>
      </c>
      <c r="Q2371" s="32"/>
      <c r="R2371" s="32"/>
      <c r="S2371" s="32"/>
    </row>
    <row r="2372" spans="1:19">
      <c r="A2372" s="45" t="s">
        <v>136</v>
      </c>
      <c r="B2372" s="32" t="s">
        <v>137</v>
      </c>
      <c r="C2372" s="3">
        <v>37</v>
      </c>
      <c r="D2372" s="32"/>
      <c r="E2372" s="20" t="s">
        <v>89</v>
      </c>
      <c r="F2372" s="7" t="s">
        <v>15</v>
      </c>
      <c r="G2372" s="7" t="s">
        <v>56</v>
      </c>
      <c r="H2372" s="11">
        <v>25.2</v>
      </c>
      <c r="I2372" s="55">
        <v>7</v>
      </c>
      <c r="J2372" s="40">
        <v>1</v>
      </c>
      <c r="K2372" s="10">
        <f t="shared" si="225"/>
        <v>0.1764</v>
      </c>
      <c r="L2372" s="4"/>
      <c r="M2372" s="17"/>
      <c r="N2372" s="18">
        <f t="shared" si="226"/>
        <v>0</v>
      </c>
      <c r="O2372" s="19">
        <f t="shared" si="227"/>
        <v>1</v>
      </c>
      <c r="P2372" s="13">
        <f t="shared" si="228"/>
        <v>0.1764</v>
      </c>
      <c r="Q2372" s="32"/>
      <c r="R2372" s="32"/>
      <c r="S2372" s="32"/>
    </row>
    <row r="2373" spans="1:19">
      <c r="A2373" s="45" t="s">
        <v>136</v>
      </c>
      <c r="B2373" s="32" t="s">
        <v>137</v>
      </c>
      <c r="C2373" s="3">
        <v>37</v>
      </c>
      <c r="D2373" s="32"/>
      <c r="E2373" s="20" t="s">
        <v>89</v>
      </c>
      <c r="F2373" s="7" t="s">
        <v>15</v>
      </c>
      <c r="G2373" s="7" t="s">
        <v>56</v>
      </c>
      <c r="H2373" s="11">
        <v>25.2</v>
      </c>
      <c r="I2373" s="55">
        <v>6.5</v>
      </c>
      <c r="J2373" s="40">
        <v>1</v>
      </c>
      <c r="K2373" s="10">
        <f t="shared" si="225"/>
        <v>0.16379999999999997</v>
      </c>
      <c r="L2373" s="4"/>
      <c r="M2373" s="17"/>
      <c r="N2373" s="18">
        <f t="shared" si="226"/>
        <v>0</v>
      </c>
      <c r="O2373" s="19">
        <f t="shared" si="227"/>
        <v>1</v>
      </c>
      <c r="P2373" s="13">
        <f t="shared" si="228"/>
        <v>0.16379999999999997</v>
      </c>
      <c r="Q2373" s="32"/>
      <c r="R2373" s="32"/>
      <c r="S2373" s="32"/>
    </row>
    <row r="2374" spans="1:19">
      <c r="A2374" s="45" t="s">
        <v>136</v>
      </c>
      <c r="B2374" s="32" t="s">
        <v>137</v>
      </c>
      <c r="C2374" s="3">
        <v>37</v>
      </c>
      <c r="D2374" s="32"/>
      <c r="E2374" s="20" t="s">
        <v>89</v>
      </c>
      <c r="F2374" s="7" t="s">
        <v>15</v>
      </c>
      <c r="G2374" s="7" t="s">
        <v>56</v>
      </c>
      <c r="H2374" s="11">
        <v>25.2</v>
      </c>
      <c r="I2374" s="55">
        <v>6</v>
      </c>
      <c r="J2374" s="40">
        <v>1</v>
      </c>
      <c r="K2374" s="10">
        <f t="shared" si="225"/>
        <v>0.1512</v>
      </c>
      <c r="L2374" s="4"/>
      <c r="M2374" s="17"/>
      <c r="N2374" s="18">
        <f t="shared" si="226"/>
        <v>0</v>
      </c>
      <c r="O2374" s="19">
        <f t="shared" si="227"/>
        <v>1</v>
      </c>
      <c r="P2374" s="13">
        <f t="shared" si="228"/>
        <v>0.1512</v>
      </c>
      <c r="Q2374" s="32"/>
      <c r="R2374" s="32"/>
      <c r="S2374" s="32"/>
    </row>
    <row r="2375" spans="1:19">
      <c r="A2375" s="45" t="s">
        <v>136</v>
      </c>
      <c r="B2375" s="32" t="s">
        <v>137</v>
      </c>
      <c r="C2375" s="3">
        <v>38</v>
      </c>
      <c r="D2375" s="32"/>
      <c r="E2375" s="20" t="s">
        <v>113</v>
      </c>
      <c r="F2375" s="7" t="s">
        <v>15</v>
      </c>
      <c r="G2375" s="7" t="s">
        <v>112</v>
      </c>
      <c r="H2375" s="11">
        <v>25.4</v>
      </c>
      <c r="I2375" s="33">
        <v>8.1</v>
      </c>
      <c r="J2375" s="40">
        <v>1</v>
      </c>
      <c r="K2375" s="10">
        <f t="shared" si="225"/>
        <v>0.20573999999999998</v>
      </c>
      <c r="L2375" s="4"/>
      <c r="M2375" s="17"/>
      <c r="N2375" s="18">
        <f t="shared" si="226"/>
        <v>0</v>
      </c>
      <c r="O2375" s="106">
        <f t="shared" si="227"/>
        <v>1</v>
      </c>
      <c r="P2375" s="13">
        <f t="shared" si="228"/>
        <v>0.20573999999999998</v>
      </c>
      <c r="Q2375" s="9" t="s">
        <v>361</v>
      </c>
      <c r="R2375" s="32"/>
      <c r="S2375" s="32"/>
    </row>
    <row r="2376" spans="1:19">
      <c r="A2376" s="45" t="s">
        <v>136</v>
      </c>
      <c r="B2376" s="32" t="s">
        <v>137</v>
      </c>
      <c r="C2376" s="3">
        <v>38</v>
      </c>
      <c r="D2376" s="32"/>
      <c r="E2376" s="20" t="s">
        <v>113</v>
      </c>
      <c r="F2376" s="7" t="s">
        <v>15</v>
      </c>
      <c r="G2376" s="7" t="s">
        <v>44</v>
      </c>
      <c r="H2376" s="11">
        <v>13.4</v>
      </c>
      <c r="I2376" s="55">
        <v>11.75</v>
      </c>
      <c r="J2376" s="40">
        <v>1</v>
      </c>
      <c r="K2376" s="10">
        <f t="shared" si="225"/>
        <v>0.15745000000000001</v>
      </c>
      <c r="L2376" s="4"/>
      <c r="M2376" s="17">
        <v>1</v>
      </c>
      <c r="N2376" s="18">
        <f t="shared" si="226"/>
        <v>0.15745000000000001</v>
      </c>
      <c r="O2376" s="19">
        <f t="shared" si="227"/>
        <v>0</v>
      </c>
      <c r="P2376" s="13">
        <f t="shared" si="228"/>
        <v>0</v>
      </c>
      <c r="Q2376" s="32"/>
      <c r="R2376" s="32">
        <v>1</v>
      </c>
      <c r="S2376" s="32" t="s">
        <v>278</v>
      </c>
    </row>
    <row r="2377" spans="1:19">
      <c r="A2377" s="45" t="s">
        <v>136</v>
      </c>
      <c r="B2377" s="32" t="s">
        <v>137</v>
      </c>
      <c r="C2377" s="3">
        <v>39</v>
      </c>
      <c r="D2377" s="32"/>
      <c r="E2377" s="20" t="s">
        <v>19</v>
      </c>
      <c r="F2377" s="7" t="s">
        <v>14</v>
      </c>
      <c r="G2377" s="7" t="s">
        <v>16</v>
      </c>
      <c r="H2377" s="11">
        <v>5.77</v>
      </c>
      <c r="I2377" s="33">
        <v>8.9499999999999993</v>
      </c>
      <c r="J2377" s="40">
        <v>1</v>
      </c>
      <c r="K2377" s="10">
        <f t="shared" si="225"/>
        <v>5.1641499999999993E-2</v>
      </c>
      <c r="L2377" s="4"/>
      <c r="M2377" s="17">
        <v>1</v>
      </c>
      <c r="N2377" s="18">
        <f t="shared" si="226"/>
        <v>5.1641499999999993E-2</v>
      </c>
      <c r="O2377" s="19">
        <f t="shared" si="227"/>
        <v>0</v>
      </c>
      <c r="P2377" s="13">
        <f t="shared" si="228"/>
        <v>0</v>
      </c>
      <c r="Q2377" s="55">
        <v>7.1</v>
      </c>
      <c r="R2377" s="32">
        <v>1</v>
      </c>
      <c r="S2377" s="2" t="s">
        <v>279</v>
      </c>
    </row>
    <row r="2378" spans="1:19">
      <c r="A2378" s="45" t="s">
        <v>136</v>
      </c>
      <c r="B2378" s="32" t="s">
        <v>137</v>
      </c>
      <c r="C2378" s="3">
        <v>39</v>
      </c>
      <c r="D2378" s="32"/>
      <c r="E2378" s="20" t="s">
        <v>19</v>
      </c>
      <c r="F2378" s="7" t="s">
        <v>14</v>
      </c>
      <c r="G2378" s="7" t="s">
        <v>16</v>
      </c>
      <c r="H2378" s="11">
        <v>5.77</v>
      </c>
      <c r="I2378" s="33">
        <v>8.6</v>
      </c>
      <c r="J2378" s="40">
        <v>1</v>
      </c>
      <c r="K2378" s="10">
        <f t="shared" si="225"/>
        <v>4.9621999999999993E-2</v>
      </c>
      <c r="L2378" s="4"/>
      <c r="M2378" s="17">
        <v>1</v>
      </c>
      <c r="N2378" s="18">
        <f t="shared" si="226"/>
        <v>4.9621999999999993E-2</v>
      </c>
      <c r="O2378" s="19">
        <f t="shared" si="227"/>
        <v>0</v>
      </c>
      <c r="P2378" s="13">
        <f t="shared" si="228"/>
        <v>0</v>
      </c>
      <c r="Q2378" s="32"/>
      <c r="R2378" s="32">
        <v>1</v>
      </c>
      <c r="S2378" s="32" t="s">
        <v>278</v>
      </c>
    </row>
    <row r="2379" spans="1:19">
      <c r="A2379" s="45" t="s">
        <v>136</v>
      </c>
      <c r="B2379" s="32" t="s">
        <v>137</v>
      </c>
      <c r="C2379" s="3">
        <v>40</v>
      </c>
      <c r="D2379" s="32"/>
      <c r="E2379" s="20" t="s">
        <v>20</v>
      </c>
      <c r="F2379" s="7" t="s">
        <v>15</v>
      </c>
      <c r="G2379" s="7" t="s">
        <v>57</v>
      </c>
      <c r="H2379" s="11">
        <v>33.72</v>
      </c>
      <c r="I2379" s="55">
        <v>7</v>
      </c>
      <c r="J2379" s="40">
        <v>1</v>
      </c>
      <c r="K2379" s="10">
        <f t="shared" si="225"/>
        <v>0.23604</v>
      </c>
      <c r="L2379" s="4"/>
      <c r="M2379" s="17">
        <v>1</v>
      </c>
      <c r="N2379" s="18">
        <f t="shared" si="226"/>
        <v>0.23604</v>
      </c>
      <c r="O2379" s="106">
        <f t="shared" si="227"/>
        <v>0</v>
      </c>
      <c r="P2379" s="13">
        <f t="shared" si="228"/>
        <v>0</v>
      </c>
      <c r="Q2379" s="359">
        <f t="shared" ref="Q2379:Q2380" si="231">4.602+0.15</f>
        <v>4.7520000000000007</v>
      </c>
      <c r="R2379" s="91">
        <v>1</v>
      </c>
      <c r="S2379" s="2" t="s">
        <v>454</v>
      </c>
    </row>
    <row r="2380" spans="1:19">
      <c r="A2380" s="45" t="s">
        <v>136</v>
      </c>
      <c r="B2380" s="32" t="s">
        <v>137</v>
      </c>
      <c r="C2380" s="3">
        <v>40</v>
      </c>
      <c r="D2380" s="32"/>
      <c r="E2380" s="20" t="s">
        <v>20</v>
      </c>
      <c r="F2380" s="7" t="s">
        <v>15</v>
      </c>
      <c r="G2380" s="7" t="s">
        <v>57</v>
      </c>
      <c r="H2380" s="11">
        <v>33.72</v>
      </c>
      <c r="I2380" s="55">
        <v>7.5</v>
      </c>
      <c r="J2380" s="40">
        <v>1</v>
      </c>
      <c r="K2380" s="10">
        <f t="shared" si="225"/>
        <v>0.25289999999999996</v>
      </c>
      <c r="L2380" s="4"/>
      <c r="M2380" s="17">
        <v>1</v>
      </c>
      <c r="N2380" s="18">
        <f t="shared" si="226"/>
        <v>0.25289999999999996</v>
      </c>
      <c r="O2380" s="106">
        <f t="shared" si="227"/>
        <v>0</v>
      </c>
      <c r="P2380" s="13">
        <f t="shared" si="228"/>
        <v>0</v>
      </c>
      <c r="Q2380" s="359">
        <f t="shared" si="231"/>
        <v>4.7520000000000007</v>
      </c>
      <c r="R2380" s="91">
        <v>1</v>
      </c>
      <c r="S2380" s="2" t="s">
        <v>454</v>
      </c>
    </row>
    <row r="2381" spans="1:19">
      <c r="A2381" s="45" t="s">
        <v>136</v>
      </c>
      <c r="B2381" s="32" t="s">
        <v>137</v>
      </c>
      <c r="C2381" s="3">
        <v>41</v>
      </c>
      <c r="D2381" s="32"/>
      <c r="E2381" s="20" t="s">
        <v>19</v>
      </c>
      <c r="F2381" s="7" t="s">
        <v>14</v>
      </c>
      <c r="G2381" s="7" t="s">
        <v>37</v>
      </c>
      <c r="H2381" s="11">
        <v>18.149999999999999</v>
      </c>
      <c r="I2381" s="33">
        <v>9.4</v>
      </c>
      <c r="J2381" s="40">
        <v>2</v>
      </c>
      <c r="K2381" s="10">
        <f t="shared" si="225"/>
        <v>0.34121999999999997</v>
      </c>
      <c r="L2381" s="4"/>
      <c r="M2381" s="17"/>
      <c r="N2381" s="18">
        <f t="shared" si="226"/>
        <v>0</v>
      </c>
      <c r="O2381" s="19">
        <f t="shared" si="227"/>
        <v>2</v>
      </c>
      <c r="P2381" s="13">
        <f t="shared" si="228"/>
        <v>0.34121999999999997</v>
      </c>
      <c r="Q2381" s="32"/>
      <c r="R2381" s="32"/>
      <c r="S2381" s="32"/>
    </row>
    <row r="2382" spans="1:19">
      <c r="A2382" s="45" t="s">
        <v>136</v>
      </c>
      <c r="B2382" s="32" t="s">
        <v>137</v>
      </c>
      <c r="C2382" s="3">
        <v>42</v>
      </c>
      <c r="D2382" s="32"/>
      <c r="E2382" s="20" t="s">
        <v>20</v>
      </c>
      <c r="F2382" s="7" t="s">
        <v>15</v>
      </c>
      <c r="G2382" s="7" t="s">
        <v>57</v>
      </c>
      <c r="H2382" s="11">
        <v>33.72</v>
      </c>
      <c r="I2382" s="33">
        <v>10.6</v>
      </c>
      <c r="J2382" s="40">
        <v>2</v>
      </c>
      <c r="K2382" s="10">
        <f t="shared" si="225"/>
        <v>0.71486399999999994</v>
      </c>
      <c r="L2382" s="4"/>
      <c r="M2382" s="17">
        <v>2</v>
      </c>
      <c r="N2382" s="18">
        <f t="shared" si="226"/>
        <v>0.71486399999999994</v>
      </c>
      <c r="O2382" s="19">
        <f t="shared" si="227"/>
        <v>0</v>
      </c>
      <c r="P2382" s="13">
        <f t="shared" si="228"/>
        <v>0</v>
      </c>
      <c r="Q2382" s="32">
        <v>10.1</v>
      </c>
      <c r="R2382" s="32">
        <v>2</v>
      </c>
      <c r="S2382" s="32" t="s">
        <v>195</v>
      </c>
    </row>
    <row r="2383" spans="1:19">
      <c r="A2383" s="45" t="s">
        <v>136</v>
      </c>
      <c r="B2383" s="32" t="s">
        <v>137</v>
      </c>
      <c r="C2383" s="3">
        <v>43</v>
      </c>
      <c r="D2383" s="32"/>
      <c r="E2383" s="20" t="s">
        <v>19</v>
      </c>
      <c r="F2383" s="7" t="s">
        <v>14</v>
      </c>
      <c r="G2383" s="7" t="s">
        <v>37</v>
      </c>
      <c r="H2383" s="11">
        <v>18.149999999999999</v>
      </c>
      <c r="I2383" s="33">
        <v>12</v>
      </c>
      <c r="J2383" s="40">
        <v>4</v>
      </c>
      <c r="K2383" s="10">
        <f t="shared" si="225"/>
        <v>0.87119999999999997</v>
      </c>
      <c r="L2383" s="4"/>
      <c r="M2383" s="17">
        <v>2</v>
      </c>
      <c r="N2383" s="18">
        <f t="shared" si="226"/>
        <v>0.43559999999999999</v>
      </c>
      <c r="O2383" s="19">
        <f t="shared" si="227"/>
        <v>2</v>
      </c>
      <c r="P2383" s="13">
        <f t="shared" si="228"/>
        <v>0.43559999999999999</v>
      </c>
      <c r="Q2383" s="32">
        <v>12</v>
      </c>
      <c r="R2383" s="32">
        <v>2</v>
      </c>
      <c r="S2383" s="32" t="s">
        <v>313</v>
      </c>
    </row>
    <row r="2384" spans="1:19">
      <c r="A2384" s="45" t="s">
        <v>136</v>
      </c>
      <c r="B2384" s="32" t="s">
        <v>137</v>
      </c>
      <c r="C2384" s="3">
        <v>43</v>
      </c>
      <c r="D2384" s="32"/>
      <c r="E2384" s="20" t="s">
        <v>19</v>
      </c>
      <c r="F2384" s="7" t="s">
        <v>14</v>
      </c>
      <c r="G2384" s="7" t="s">
        <v>37</v>
      </c>
      <c r="H2384" s="11">
        <v>18.149999999999999</v>
      </c>
      <c r="I2384" s="33">
        <v>9.4</v>
      </c>
      <c r="J2384" s="40">
        <v>1</v>
      </c>
      <c r="K2384" s="10">
        <f t="shared" si="225"/>
        <v>0.17060999999999998</v>
      </c>
      <c r="L2384" s="4"/>
      <c r="M2384" s="17"/>
      <c r="N2384" s="18">
        <f t="shared" si="226"/>
        <v>0</v>
      </c>
      <c r="O2384" s="19">
        <f t="shared" si="227"/>
        <v>1</v>
      </c>
      <c r="P2384" s="13">
        <f t="shared" si="228"/>
        <v>0.17060999999999998</v>
      </c>
      <c r="Q2384" s="32"/>
      <c r="R2384" s="32"/>
      <c r="S2384" s="32"/>
    </row>
    <row r="2385" spans="1:19">
      <c r="A2385" s="45" t="s">
        <v>136</v>
      </c>
      <c r="B2385" s="32" t="s">
        <v>137</v>
      </c>
      <c r="C2385" s="3">
        <v>44</v>
      </c>
      <c r="D2385" s="32"/>
      <c r="E2385" s="20" t="s">
        <v>17</v>
      </c>
      <c r="F2385" s="7" t="s">
        <v>15</v>
      </c>
      <c r="G2385" s="7" t="s">
        <v>49</v>
      </c>
      <c r="H2385" s="11">
        <v>17.82</v>
      </c>
      <c r="I2385" s="55">
        <v>8.3000000000000007</v>
      </c>
      <c r="J2385" s="40">
        <v>1</v>
      </c>
      <c r="K2385" s="10">
        <f t="shared" si="225"/>
        <v>0.14790600000000001</v>
      </c>
      <c r="L2385" s="4"/>
      <c r="M2385" s="17"/>
      <c r="N2385" s="18">
        <f t="shared" si="226"/>
        <v>0</v>
      </c>
      <c r="O2385" s="19">
        <f t="shared" si="227"/>
        <v>1</v>
      </c>
      <c r="P2385" s="13">
        <f t="shared" si="228"/>
        <v>0.14790600000000001</v>
      </c>
      <c r="Q2385" s="33"/>
      <c r="R2385" s="45">
        <v>1</v>
      </c>
      <c r="S2385" s="2" t="s">
        <v>714</v>
      </c>
    </row>
    <row r="2386" spans="1:19">
      <c r="A2386" s="45" t="s">
        <v>136</v>
      </c>
      <c r="B2386" s="32" t="s">
        <v>137</v>
      </c>
      <c r="C2386" s="3">
        <v>44</v>
      </c>
      <c r="D2386" s="32"/>
      <c r="E2386" s="20" t="s">
        <v>17</v>
      </c>
      <c r="F2386" s="7" t="s">
        <v>15</v>
      </c>
      <c r="G2386" s="7" t="s">
        <v>49</v>
      </c>
      <c r="H2386" s="11">
        <v>17.82</v>
      </c>
      <c r="I2386" s="55">
        <v>11.1</v>
      </c>
      <c r="J2386" s="40">
        <v>2</v>
      </c>
      <c r="K2386" s="10">
        <f t="shared" si="225"/>
        <v>0.39560400000000001</v>
      </c>
      <c r="L2386" s="4"/>
      <c r="M2386" s="17"/>
      <c r="N2386" s="18">
        <f t="shared" si="226"/>
        <v>0</v>
      </c>
      <c r="O2386" s="19">
        <f t="shared" si="227"/>
        <v>2</v>
      </c>
      <c r="P2386" s="13">
        <f t="shared" si="228"/>
        <v>0.39560400000000001</v>
      </c>
      <c r="Q2386" s="33"/>
      <c r="R2386" s="45">
        <v>2</v>
      </c>
      <c r="S2386" s="2" t="s">
        <v>714</v>
      </c>
    </row>
    <row r="2387" spans="1:19">
      <c r="A2387" s="45" t="s">
        <v>136</v>
      </c>
      <c r="B2387" s="32" t="s">
        <v>137</v>
      </c>
      <c r="C2387" s="3">
        <v>45</v>
      </c>
      <c r="D2387" s="32"/>
      <c r="E2387" s="24" t="s">
        <v>113</v>
      </c>
      <c r="F2387" s="60" t="s">
        <v>15</v>
      </c>
      <c r="G2387" s="60" t="s">
        <v>35</v>
      </c>
      <c r="H2387" s="61">
        <v>16.579999999999998</v>
      </c>
      <c r="I2387" s="446">
        <v>7.3</v>
      </c>
      <c r="J2387" s="67">
        <v>1</v>
      </c>
      <c r="K2387" s="62">
        <f t="shared" si="225"/>
        <v>0.12103399999999997</v>
      </c>
      <c r="L2387" s="23"/>
      <c r="M2387" s="22"/>
      <c r="N2387" s="63">
        <f t="shared" si="226"/>
        <v>0</v>
      </c>
      <c r="O2387" s="64">
        <f t="shared" si="227"/>
        <v>1</v>
      </c>
      <c r="P2387" s="65">
        <f t="shared" si="228"/>
        <v>0.12103399999999997</v>
      </c>
      <c r="Q2387" s="32"/>
      <c r="R2387" s="32"/>
      <c r="S2387" s="32"/>
    </row>
    <row r="2388" spans="1:19">
      <c r="A2388" s="45" t="s">
        <v>136</v>
      </c>
      <c r="B2388" s="32" t="s">
        <v>137</v>
      </c>
      <c r="C2388" s="3">
        <v>45</v>
      </c>
      <c r="D2388" s="32"/>
      <c r="E2388" s="24" t="s">
        <v>113</v>
      </c>
      <c r="F2388" s="60" t="s">
        <v>15</v>
      </c>
      <c r="G2388" s="60" t="s">
        <v>35</v>
      </c>
      <c r="H2388" s="61">
        <v>16.579999999999998</v>
      </c>
      <c r="I2388" s="446">
        <v>9.6999999999999993</v>
      </c>
      <c r="J2388" s="67">
        <v>1</v>
      </c>
      <c r="K2388" s="62">
        <f t="shared" si="225"/>
        <v>0.16082599999999997</v>
      </c>
      <c r="L2388" s="23"/>
      <c r="M2388" s="22"/>
      <c r="N2388" s="63">
        <f t="shared" si="226"/>
        <v>0</v>
      </c>
      <c r="O2388" s="64">
        <f t="shared" si="227"/>
        <v>1</v>
      </c>
      <c r="P2388" s="65">
        <f t="shared" si="228"/>
        <v>0.16082599999999997</v>
      </c>
      <c r="Q2388" s="32"/>
      <c r="R2388" s="32"/>
      <c r="S2388" s="32"/>
    </row>
    <row r="2389" spans="1:19">
      <c r="A2389" s="45" t="s">
        <v>136</v>
      </c>
      <c r="B2389" s="32" t="s">
        <v>137</v>
      </c>
      <c r="C2389" s="3">
        <v>45</v>
      </c>
      <c r="D2389" s="32"/>
      <c r="E2389" s="20" t="s">
        <v>19</v>
      </c>
      <c r="F2389" s="7" t="s">
        <v>14</v>
      </c>
      <c r="G2389" s="7" t="s">
        <v>41</v>
      </c>
      <c r="H2389" s="11">
        <v>11.8</v>
      </c>
      <c r="I2389" s="33">
        <v>11.4</v>
      </c>
      <c r="J2389" s="40">
        <v>1</v>
      </c>
      <c r="K2389" s="10">
        <f t="shared" si="225"/>
        <v>0.13452</v>
      </c>
      <c r="L2389" s="4"/>
      <c r="M2389" s="17">
        <v>1</v>
      </c>
      <c r="N2389" s="18">
        <f t="shared" si="226"/>
        <v>0.13452</v>
      </c>
      <c r="O2389" s="19">
        <f t="shared" si="227"/>
        <v>0</v>
      </c>
      <c r="P2389" s="13">
        <f t="shared" si="228"/>
        <v>0</v>
      </c>
      <c r="Q2389" s="33">
        <v>10</v>
      </c>
      <c r="R2389" s="32">
        <v>1</v>
      </c>
      <c r="S2389" s="2" t="s">
        <v>192</v>
      </c>
    </row>
    <row r="2390" spans="1:19">
      <c r="A2390" s="45" t="s">
        <v>136</v>
      </c>
      <c r="B2390" s="32" t="s">
        <v>137</v>
      </c>
      <c r="C2390" s="3">
        <v>46</v>
      </c>
      <c r="D2390" s="32"/>
      <c r="E2390" s="20" t="s">
        <v>96</v>
      </c>
      <c r="F2390" s="7" t="s">
        <v>15</v>
      </c>
      <c r="G2390" s="7" t="s">
        <v>34</v>
      </c>
      <c r="H2390" s="11">
        <v>9.61</v>
      </c>
      <c r="I2390" s="33">
        <v>8.3000000000000007</v>
      </c>
      <c r="J2390" s="40">
        <v>2</v>
      </c>
      <c r="K2390" s="10">
        <f t="shared" si="225"/>
        <v>0.159526</v>
      </c>
      <c r="L2390" s="4"/>
      <c r="M2390" s="17">
        <v>2</v>
      </c>
      <c r="N2390" s="18">
        <f t="shared" si="226"/>
        <v>0.159526</v>
      </c>
      <c r="O2390" s="19">
        <f t="shared" si="227"/>
        <v>0</v>
      </c>
      <c r="P2390" s="13">
        <f t="shared" si="228"/>
        <v>0</v>
      </c>
      <c r="Q2390" s="33">
        <v>6.35</v>
      </c>
      <c r="R2390" s="45">
        <v>2</v>
      </c>
      <c r="S2390" s="32" t="s">
        <v>678</v>
      </c>
    </row>
    <row r="2391" spans="1:19">
      <c r="A2391" s="45" t="s">
        <v>136</v>
      </c>
      <c r="B2391" s="32" t="s">
        <v>137</v>
      </c>
      <c r="C2391" s="3">
        <v>46</v>
      </c>
      <c r="D2391" s="32"/>
      <c r="E2391" s="20" t="s">
        <v>96</v>
      </c>
      <c r="F2391" s="7" t="s">
        <v>15</v>
      </c>
      <c r="G2391" s="7" t="s">
        <v>34</v>
      </c>
      <c r="H2391" s="11">
        <v>9.61</v>
      </c>
      <c r="I2391" s="33">
        <v>6.5</v>
      </c>
      <c r="J2391" s="40">
        <v>1</v>
      </c>
      <c r="K2391" s="10">
        <f t="shared" si="225"/>
        <v>6.2465E-2</v>
      </c>
      <c r="L2391" s="4"/>
      <c r="M2391" s="17">
        <v>1</v>
      </c>
      <c r="N2391" s="18">
        <f t="shared" si="226"/>
        <v>6.2465E-2</v>
      </c>
      <c r="O2391" s="19">
        <f t="shared" si="227"/>
        <v>0</v>
      </c>
      <c r="P2391" s="13">
        <f t="shared" si="228"/>
        <v>0</v>
      </c>
      <c r="Q2391" s="33">
        <v>6.35</v>
      </c>
      <c r="R2391" s="45">
        <v>1</v>
      </c>
      <c r="S2391" s="32" t="s">
        <v>678</v>
      </c>
    </row>
    <row r="2392" spans="1:19">
      <c r="A2392" s="45" t="s">
        <v>136</v>
      </c>
      <c r="B2392" s="32" t="s">
        <v>137</v>
      </c>
      <c r="C2392" s="3">
        <v>47</v>
      </c>
      <c r="D2392" s="32"/>
      <c r="E2392" s="20" t="s">
        <v>106</v>
      </c>
      <c r="F2392" s="7" t="s">
        <v>15</v>
      </c>
      <c r="G2392" s="7" t="s">
        <v>54</v>
      </c>
      <c r="H2392" s="11">
        <v>31.6</v>
      </c>
      <c r="I2392" s="33">
        <v>9.3000000000000007</v>
      </c>
      <c r="J2392" s="40">
        <v>1</v>
      </c>
      <c r="K2392" s="10">
        <f t="shared" si="225"/>
        <v>0.29388000000000003</v>
      </c>
      <c r="L2392" s="4"/>
      <c r="M2392" s="17">
        <v>1</v>
      </c>
      <c r="N2392" s="18">
        <f t="shared" si="226"/>
        <v>0.29388000000000003</v>
      </c>
      <c r="O2392" s="19">
        <f t="shared" si="227"/>
        <v>0</v>
      </c>
      <c r="P2392" s="13">
        <f t="shared" si="228"/>
        <v>0</v>
      </c>
      <c r="Q2392" s="32">
        <v>7.2</v>
      </c>
      <c r="R2392" s="45">
        <v>1</v>
      </c>
      <c r="S2392" s="32" t="s">
        <v>673</v>
      </c>
    </row>
    <row r="2393" spans="1:19">
      <c r="A2393" s="45" t="s">
        <v>136</v>
      </c>
      <c r="B2393" s="32" t="s">
        <v>137</v>
      </c>
      <c r="C2393" s="3">
        <v>47</v>
      </c>
      <c r="D2393" s="32"/>
      <c r="E2393" s="20" t="s">
        <v>106</v>
      </c>
      <c r="F2393" s="7" t="s">
        <v>15</v>
      </c>
      <c r="G2393" s="7" t="s">
        <v>54</v>
      </c>
      <c r="H2393" s="11">
        <v>31.6</v>
      </c>
      <c r="I2393" s="33">
        <v>7.4</v>
      </c>
      <c r="J2393" s="40">
        <v>1</v>
      </c>
      <c r="K2393" s="10">
        <f t="shared" si="225"/>
        <v>0.23384000000000002</v>
      </c>
      <c r="L2393" s="4"/>
      <c r="M2393" s="17">
        <v>1</v>
      </c>
      <c r="N2393" s="18">
        <f t="shared" si="226"/>
        <v>0.23384000000000002</v>
      </c>
      <c r="O2393" s="19">
        <f t="shared" si="227"/>
        <v>0</v>
      </c>
      <c r="P2393" s="13">
        <f t="shared" si="228"/>
        <v>0</v>
      </c>
      <c r="Q2393" s="32">
        <v>7.2</v>
      </c>
      <c r="R2393" s="45">
        <v>1</v>
      </c>
      <c r="S2393" s="32" t="s">
        <v>673</v>
      </c>
    </row>
    <row r="2394" spans="1:19">
      <c r="A2394" s="45" t="s">
        <v>136</v>
      </c>
      <c r="B2394" s="32" t="s">
        <v>137</v>
      </c>
      <c r="C2394" s="3">
        <v>47</v>
      </c>
      <c r="D2394" s="32"/>
      <c r="E2394" s="20" t="s">
        <v>106</v>
      </c>
      <c r="F2394" s="7" t="s">
        <v>15</v>
      </c>
      <c r="G2394" s="7" t="s">
        <v>54</v>
      </c>
      <c r="H2394" s="11">
        <v>31.6</v>
      </c>
      <c r="I2394" s="33">
        <v>7.2</v>
      </c>
      <c r="J2394" s="40">
        <v>1</v>
      </c>
      <c r="K2394" s="10">
        <f t="shared" si="225"/>
        <v>0.22752</v>
      </c>
      <c r="L2394" s="4"/>
      <c r="M2394" s="17">
        <v>1</v>
      </c>
      <c r="N2394" s="18">
        <f t="shared" si="226"/>
        <v>0.22752</v>
      </c>
      <c r="O2394" s="19">
        <f t="shared" si="227"/>
        <v>0</v>
      </c>
      <c r="P2394" s="13">
        <f t="shared" si="228"/>
        <v>0</v>
      </c>
      <c r="Q2394" s="32">
        <v>7.2</v>
      </c>
      <c r="R2394" s="45">
        <v>1</v>
      </c>
      <c r="S2394" s="32" t="s">
        <v>673</v>
      </c>
    </row>
    <row r="2395" spans="1:19">
      <c r="A2395" s="45" t="s">
        <v>136</v>
      </c>
      <c r="B2395" s="32" t="s">
        <v>137</v>
      </c>
      <c r="C2395" s="3">
        <v>48</v>
      </c>
      <c r="D2395" s="32"/>
      <c r="E2395" s="20" t="s">
        <v>20</v>
      </c>
      <c r="F2395" s="7" t="s">
        <v>15</v>
      </c>
      <c r="G2395" s="7" t="s">
        <v>35</v>
      </c>
      <c r="H2395" s="11">
        <v>16.579999999999998</v>
      </c>
      <c r="I2395" s="55">
        <v>6.7</v>
      </c>
      <c r="J2395" s="40">
        <v>1</v>
      </c>
      <c r="K2395" s="10">
        <f t="shared" si="225"/>
        <v>0.111086</v>
      </c>
      <c r="L2395" s="4"/>
      <c r="M2395" s="17"/>
      <c r="N2395" s="18">
        <f t="shared" si="226"/>
        <v>0</v>
      </c>
      <c r="O2395" s="19">
        <f t="shared" si="227"/>
        <v>1</v>
      </c>
      <c r="P2395" s="13">
        <f t="shared" si="228"/>
        <v>0.111086</v>
      </c>
      <c r="Q2395" s="32"/>
      <c r="R2395" s="32"/>
      <c r="S2395" s="32"/>
    </row>
    <row r="2396" spans="1:19">
      <c r="A2396" s="45" t="s">
        <v>136</v>
      </c>
      <c r="B2396" s="32" t="s">
        <v>137</v>
      </c>
      <c r="C2396" s="3">
        <v>48</v>
      </c>
      <c r="D2396" s="32"/>
      <c r="E2396" s="20" t="s">
        <v>20</v>
      </c>
      <c r="F2396" s="7" t="s">
        <v>15</v>
      </c>
      <c r="G2396" s="7" t="s">
        <v>35</v>
      </c>
      <c r="H2396" s="11">
        <v>16.579999999999998</v>
      </c>
      <c r="I2396" s="55">
        <v>6.9</v>
      </c>
      <c r="J2396" s="40">
        <v>1</v>
      </c>
      <c r="K2396" s="10">
        <f t="shared" si="225"/>
        <v>0.114402</v>
      </c>
      <c r="L2396" s="4"/>
      <c r="M2396" s="17"/>
      <c r="N2396" s="18">
        <f t="shared" si="226"/>
        <v>0</v>
      </c>
      <c r="O2396" s="19">
        <f t="shared" si="227"/>
        <v>1</v>
      </c>
      <c r="P2396" s="13">
        <f t="shared" si="228"/>
        <v>0.114402</v>
      </c>
      <c r="Q2396" s="32"/>
      <c r="R2396" s="32"/>
      <c r="S2396" s="32"/>
    </row>
    <row r="2397" spans="1:19">
      <c r="A2397" s="45" t="s">
        <v>136</v>
      </c>
      <c r="B2397" s="32" t="s">
        <v>137</v>
      </c>
      <c r="C2397" s="3">
        <v>48</v>
      </c>
      <c r="D2397" s="32"/>
      <c r="E2397" s="20" t="s">
        <v>20</v>
      </c>
      <c r="F2397" s="7" t="s">
        <v>15</v>
      </c>
      <c r="G2397" s="7" t="s">
        <v>35</v>
      </c>
      <c r="H2397" s="11">
        <v>16.579999999999998</v>
      </c>
      <c r="I2397" s="55">
        <v>10</v>
      </c>
      <c r="J2397" s="40">
        <v>1</v>
      </c>
      <c r="K2397" s="10">
        <f t="shared" si="225"/>
        <v>0.16579999999999998</v>
      </c>
      <c r="L2397" s="4"/>
      <c r="M2397" s="17"/>
      <c r="N2397" s="18">
        <f t="shared" si="226"/>
        <v>0</v>
      </c>
      <c r="O2397" s="19">
        <f t="shared" si="227"/>
        <v>1</v>
      </c>
      <c r="P2397" s="13">
        <f t="shared" si="228"/>
        <v>0.16579999999999998</v>
      </c>
      <c r="Q2397" s="32"/>
      <c r="R2397" s="32"/>
      <c r="S2397" s="32"/>
    </row>
    <row r="2398" spans="1:19">
      <c r="A2398" s="45" t="s">
        <v>136</v>
      </c>
      <c r="B2398" s="32" t="s">
        <v>137</v>
      </c>
      <c r="C2398" s="3">
        <v>49</v>
      </c>
      <c r="D2398" s="257" t="s">
        <v>143</v>
      </c>
      <c r="E2398" s="20" t="s">
        <v>89</v>
      </c>
      <c r="F2398" s="7" t="s">
        <v>15</v>
      </c>
      <c r="G2398" s="7" t="s">
        <v>144</v>
      </c>
      <c r="H2398" s="49">
        <v>5.38</v>
      </c>
      <c r="I2398" s="33">
        <v>9.5</v>
      </c>
      <c r="J2398" s="40">
        <v>14</v>
      </c>
      <c r="K2398" s="10">
        <f t="shared" ref="K2398:K2443" si="232">(H2398*I2398*J2398/1000)</f>
        <v>0.71553999999999995</v>
      </c>
      <c r="L2398" s="4"/>
      <c r="M2398" s="17"/>
      <c r="N2398" s="18">
        <f t="shared" ref="N2398:N2443" si="233">I2398*M2398*H2398/1000</f>
        <v>0</v>
      </c>
      <c r="O2398" s="19">
        <f t="shared" ref="O2398:O2443" si="234">J2398-M2398</f>
        <v>14</v>
      </c>
      <c r="P2398" s="13">
        <f t="shared" ref="P2398:P2443" si="235">I2398*O2398*H2398/1000</f>
        <v>0.71553999999999995</v>
      </c>
      <c r="Q2398" s="32"/>
      <c r="R2398" s="32"/>
      <c r="S2398" s="32"/>
    </row>
    <row r="2399" spans="1:19">
      <c r="A2399" s="45" t="s">
        <v>136</v>
      </c>
      <c r="B2399" s="32" t="s">
        <v>137</v>
      </c>
      <c r="C2399" s="3">
        <v>49</v>
      </c>
      <c r="D2399" s="257" t="s">
        <v>143</v>
      </c>
      <c r="E2399" s="20" t="s">
        <v>89</v>
      </c>
      <c r="F2399" s="7" t="s">
        <v>15</v>
      </c>
      <c r="G2399" s="7" t="s">
        <v>144</v>
      </c>
      <c r="H2399" s="49">
        <v>5.38</v>
      </c>
      <c r="I2399" s="33">
        <v>9.3000000000000007</v>
      </c>
      <c r="J2399" s="40">
        <v>1</v>
      </c>
      <c r="K2399" s="10">
        <f t="shared" si="232"/>
        <v>5.0034000000000009E-2</v>
      </c>
      <c r="L2399" s="4"/>
      <c r="M2399" s="17"/>
      <c r="N2399" s="18">
        <f t="shared" si="233"/>
        <v>0</v>
      </c>
      <c r="O2399" s="19">
        <f t="shared" si="234"/>
        <v>1</v>
      </c>
      <c r="P2399" s="13">
        <f t="shared" si="235"/>
        <v>5.0034000000000009E-2</v>
      </c>
      <c r="Q2399" s="32"/>
      <c r="R2399" s="32"/>
      <c r="S2399" s="32"/>
    </row>
    <row r="2400" spans="1:19">
      <c r="A2400" s="45" t="s">
        <v>136</v>
      </c>
      <c r="B2400" s="32" t="s">
        <v>137</v>
      </c>
      <c r="C2400" s="3">
        <v>49</v>
      </c>
      <c r="D2400" s="257" t="s">
        <v>143</v>
      </c>
      <c r="E2400" s="20" t="s">
        <v>89</v>
      </c>
      <c r="F2400" s="7" t="s">
        <v>15</v>
      </c>
      <c r="G2400" s="7" t="s">
        <v>144</v>
      </c>
      <c r="H2400" s="49">
        <v>5.38</v>
      </c>
      <c r="I2400" s="33">
        <v>9</v>
      </c>
      <c r="J2400" s="40">
        <v>1</v>
      </c>
      <c r="K2400" s="10">
        <f t="shared" si="232"/>
        <v>4.8420000000000005E-2</v>
      </c>
      <c r="L2400" s="4"/>
      <c r="M2400" s="17"/>
      <c r="N2400" s="18">
        <f t="shared" si="233"/>
        <v>0</v>
      </c>
      <c r="O2400" s="19">
        <f t="shared" si="234"/>
        <v>1</v>
      </c>
      <c r="P2400" s="13">
        <f t="shared" si="235"/>
        <v>4.8420000000000005E-2</v>
      </c>
      <c r="Q2400" s="32"/>
      <c r="R2400" s="32"/>
      <c r="S2400" s="32"/>
    </row>
    <row r="2401" spans="1:19">
      <c r="A2401" s="45" t="s">
        <v>136</v>
      </c>
      <c r="B2401" s="32" t="s">
        <v>137</v>
      </c>
      <c r="C2401" s="3">
        <v>49</v>
      </c>
      <c r="D2401" s="257" t="s">
        <v>143</v>
      </c>
      <c r="E2401" s="20" t="s">
        <v>89</v>
      </c>
      <c r="F2401" s="7" t="s">
        <v>15</v>
      </c>
      <c r="G2401" s="7" t="s">
        <v>144</v>
      </c>
      <c r="H2401" s="49">
        <v>5.38</v>
      </c>
      <c r="I2401" s="33">
        <v>8.9</v>
      </c>
      <c r="J2401" s="40">
        <v>2</v>
      </c>
      <c r="K2401" s="10">
        <f t="shared" si="232"/>
        <v>9.5764000000000002E-2</v>
      </c>
      <c r="L2401" s="4"/>
      <c r="M2401" s="17"/>
      <c r="N2401" s="18">
        <f t="shared" si="233"/>
        <v>0</v>
      </c>
      <c r="O2401" s="19">
        <f t="shared" si="234"/>
        <v>2</v>
      </c>
      <c r="P2401" s="13">
        <f t="shared" si="235"/>
        <v>9.5764000000000002E-2</v>
      </c>
      <c r="Q2401" s="32"/>
      <c r="R2401" s="32"/>
      <c r="S2401" s="32"/>
    </row>
    <row r="2402" spans="1:19">
      <c r="A2402" s="45" t="s">
        <v>136</v>
      </c>
      <c r="B2402" s="32" t="s">
        <v>137</v>
      </c>
      <c r="C2402" s="3">
        <v>50</v>
      </c>
      <c r="D2402" s="32"/>
      <c r="E2402" s="20" t="s">
        <v>20</v>
      </c>
      <c r="F2402" s="7" t="s">
        <v>15</v>
      </c>
      <c r="G2402" s="7" t="s">
        <v>22</v>
      </c>
      <c r="H2402" s="11">
        <v>10.73</v>
      </c>
      <c r="I2402" s="33">
        <v>10.5</v>
      </c>
      <c r="J2402" s="40">
        <v>5</v>
      </c>
      <c r="K2402" s="10">
        <f t="shared" si="232"/>
        <v>0.56332500000000008</v>
      </c>
      <c r="L2402" s="4"/>
      <c r="M2402" s="17">
        <v>5</v>
      </c>
      <c r="N2402" s="18">
        <f t="shared" si="233"/>
        <v>0.56332500000000008</v>
      </c>
      <c r="O2402" s="19">
        <f t="shared" si="234"/>
        <v>0</v>
      </c>
      <c r="P2402" s="13">
        <f t="shared" si="235"/>
        <v>0</v>
      </c>
      <c r="Q2402" s="32">
        <v>10.4</v>
      </c>
      <c r="R2402" s="45">
        <v>5</v>
      </c>
      <c r="S2402" s="32" t="s">
        <v>279</v>
      </c>
    </row>
    <row r="2403" spans="1:19">
      <c r="A2403" s="45" t="s">
        <v>136</v>
      </c>
      <c r="B2403" s="32" t="s">
        <v>137</v>
      </c>
      <c r="C2403" s="3">
        <v>50</v>
      </c>
      <c r="D2403" s="32"/>
      <c r="E2403" s="20" t="s">
        <v>20</v>
      </c>
      <c r="F2403" s="7" t="s">
        <v>15</v>
      </c>
      <c r="G2403" s="7" t="s">
        <v>22</v>
      </c>
      <c r="H2403" s="11">
        <v>10.73</v>
      </c>
      <c r="I2403" s="33">
        <v>12</v>
      </c>
      <c r="J2403" s="40">
        <v>1</v>
      </c>
      <c r="K2403" s="10">
        <f t="shared" si="232"/>
        <v>0.12875999999999999</v>
      </c>
      <c r="L2403" s="4"/>
      <c r="M2403" s="17">
        <v>1</v>
      </c>
      <c r="N2403" s="18">
        <f t="shared" si="233"/>
        <v>0.12875999999999999</v>
      </c>
      <c r="O2403" s="19">
        <f t="shared" si="234"/>
        <v>0</v>
      </c>
      <c r="P2403" s="13">
        <f t="shared" si="235"/>
        <v>0</v>
      </c>
      <c r="Q2403" s="32">
        <v>12</v>
      </c>
      <c r="R2403" s="32">
        <v>1</v>
      </c>
      <c r="S2403" s="2" t="s">
        <v>264</v>
      </c>
    </row>
    <row r="2404" spans="1:19">
      <c r="A2404" s="45" t="s">
        <v>136</v>
      </c>
      <c r="B2404" s="32" t="s">
        <v>137</v>
      </c>
      <c r="C2404" s="3">
        <v>50</v>
      </c>
      <c r="D2404" s="32"/>
      <c r="E2404" s="20" t="s">
        <v>20</v>
      </c>
      <c r="F2404" s="7" t="s">
        <v>15</v>
      </c>
      <c r="G2404" s="7" t="s">
        <v>30</v>
      </c>
      <c r="H2404" s="11">
        <v>9.26</v>
      </c>
      <c r="I2404" s="185">
        <v>10.9</v>
      </c>
      <c r="J2404" s="40">
        <v>1</v>
      </c>
      <c r="K2404" s="10">
        <f t="shared" si="232"/>
        <v>0.100934</v>
      </c>
      <c r="L2404" s="4"/>
      <c r="M2404" s="17">
        <v>1</v>
      </c>
      <c r="N2404" s="18">
        <f t="shared" si="233"/>
        <v>0.100934</v>
      </c>
      <c r="O2404" s="19">
        <f t="shared" si="234"/>
        <v>0</v>
      </c>
      <c r="P2404" s="13">
        <f t="shared" si="235"/>
        <v>0</v>
      </c>
      <c r="Q2404" s="9">
        <v>9</v>
      </c>
      <c r="R2404" s="35">
        <v>1</v>
      </c>
      <c r="S2404" s="2" t="s">
        <v>739</v>
      </c>
    </row>
    <row r="2405" spans="1:19">
      <c r="A2405" s="45" t="s">
        <v>136</v>
      </c>
      <c r="B2405" s="32" t="s">
        <v>137</v>
      </c>
      <c r="C2405" s="3">
        <v>51</v>
      </c>
      <c r="D2405" s="32"/>
      <c r="E2405" s="20" t="s">
        <v>106</v>
      </c>
      <c r="F2405" s="7" t="s">
        <v>15</v>
      </c>
      <c r="G2405" s="7" t="s">
        <v>25</v>
      </c>
      <c r="H2405" s="11">
        <v>7.34</v>
      </c>
      <c r="I2405" s="185">
        <v>12</v>
      </c>
      <c r="J2405" s="40">
        <v>4</v>
      </c>
      <c r="K2405" s="10">
        <f t="shared" si="232"/>
        <v>0.35231999999999997</v>
      </c>
      <c r="L2405" s="4"/>
      <c r="M2405" s="17"/>
      <c r="N2405" s="18">
        <f t="shared" si="233"/>
        <v>0</v>
      </c>
      <c r="O2405" s="19">
        <f t="shared" si="234"/>
        <v>4</v>
      </c>
      <c r="P2405" s="13">
        <f t="shared" si="235"/>
        <v>0.35231999999999997</v>
      </c>
      <c r="Q2405" s="32"/>
      <c r="R2405" s="32"/>
      <c r="S2405" s="32" t="s">
        <v>698</v>
      </c>
    </row>
    <row r="2406" spans="1:19">
      <c r="A2406" s="45" t="s">
        <v>136</v>
      </c>
      <c r="B2406" s="32" t="s">
        <v>137</v>
      </c>
      <c r="C2406" s="3">
        <v>52</v>
      </c>
      <c r="D2406" s="32"/>
      <c r="E2406" s="39" t="s">
        <v>17</v>
      </c>
      <c r="F2406" s="7" t="s">
        <v>15</v>
      </c>
      <c r="G2406" s="7" t="s">
        <v>22</v>
      </c>
      <c r="H2406" s="11">
        <v>10.73</v>
      </c>
      <c r="I2406" s="55">
        <v>11.3</v>
      </c>
      <c r="J2406" s="40">
        <v>3</v>
      </c>
      <c r="K2406" s="10">
        <f t="shared" si="232"/>
        <v>0.36374699999999999</v>
      </c>
      <c r="L2406" s="4"/>
      <c r="M2406" s="17">
        <v>3</v>
      </c>
      <c r="N2406" s="18">
        <f t="shared" si="233"/>
        <v>0.3637470000000001</v>
      </c>
      <c r="O2406" s="19">
        <f t="shared" si="234"/>
        <v>0</v>
      </c>
      <c r="P2406" s="13">
        <f t="shared" si="235"/>
        <v>0</v>
      </c>
      <c r="Q2406" s="97">
        <v>11.3</v>
      </c>
      <c r="R2406" s="45">
        <v>3</v>
      </c>
      <c r="S2406" s="35" t="s">
        <v>224</v>
      </c>
    </row>
    <row r="2407" spans="1:19">
      <c r="A2407" s="45" t="s">
        <v>136</v>
      </c>
      <c r="B2407" s="32" t="s">
        <v>137</v>
      </c>
      <c r="C2407" s="3">
        <v>53</v>
      </c>
      <c r="D2407" s="32"/>
      <c r="E2407" s="39" t="s">
        <v>24</v>
      </c>
      <c r="F2407" s="7" t="s">
        <v>14</v>
      </c>
      <c r="G2407" s="7" t="s">
        <v>28</v>
      </c>
      <c r="H2407" s="11">
        <v>12.18</v>
      </c>
      <c r="I2407" s="33">
        <v>12</v>
      </c>
      <c r="J2407" s="40">
        <v>3</v>
      </c>
      <c r="K2407" s="10">
        <f t="shared" si="232"/>
        <v>0.43848000000000004</v>
      </c>
      <c r="L2407" s="4"/>
      <c r="M2407" s="17">
        <v>3</v>
      </c>
      <c r="N2407" s="18">
        <f t="shared" si="233"/>
        <v>0.43848000000000004</v>
      </c>
      <c r="O2407" s="19">
        <f t="shared" si="234"/>
        <v>0</v>
      </c>
      <c r="P2407" s="13">
        <f t="shared" si="235"/>
        <v>0</v>
      </c>
      <c r="Q2407" s="32"/>
      <c r="R2407" s="45">
        <v>3</v>
      </c>
      <c r="S2407" s="2" t="s">
        <v>540</v>
      </c>
    </row>
    <row r="2408" spans="1:19">
      <c r="A2408" s="45" t="s">
        <v>136</v>
      </c>
      <c r="B2408" s="32" t="s">
        <v>137</v>
      </c>
      <c r="C2408" s="3">
        <v>54</v>
      </c>
      <c r="D2408" s="32"/>
      <c r="E2408" s="20" t="s">
        <v>20</v>
      </c>
      <c r="F2408" s="7" t="s">
        <v>15</v>
      </c>
      <c r="G2408" s="7" t="s">
        <v>44</v>
      </c>
      <c r="H2408" s="11">
        <v>13.4</v>
      </c>
      <c r="I2408" s="55">
        <v>6.5</v>
      </c>
      <c r="J2408" s="40">
        <v>1</v>
      </c>
      <c r="K2408" s="10">
        <f t="shared" si="232"/>
        <v>8.7100000000000011E-2</v>
      </c>
      <c r="L2408" s="4"/>
      <c r="M2408" s="17"/>
      <c r="N2408" s="18">
        <f t="shared" si="233"/>
        <v>0</v>
      </c>
      <c r="O2408" s="19">
        <f t="shared" si="234"/>
        <v>1</v>
      </c>
      <c r="P2408" s="13">
        <f t="shared" si="235"/>
        <v>8.7100000000000011E-2</v>
      </c>
      <c r="Q2408" s="32"/>
      <c r="R2408" s="32"/>
      <c r="S2408" s="32"/>
    </row>
    <row r="2409" spans="1:19">
      <c r="A2409" s="45" t="s">
        <v>136</v>
      </c>
      <c r="B2409" s="32" t="s">
        <v>137</v>
      </c>
      <c r="C2409" s="3">
        <v>54</v>
      </c>
      <c r="D2409" s="32"/>
      <c r="E2409" s="20" t="s">
        <v>20</v>
      </c>
      <c r="F2409" s="7" t="s">
        <v>15</v>
      </c>
      <c r="G2409" s="7" t="s">
        <v>44</v>
      </c>
      <c r="H2409" s="11">
        <v>13.4</v>
      </c>
      <c r="I2409" s="55">
        <v>12</v>
      </c>
      <c r="J2409" s="40">
        <v>3</v>
      </c>
      <c r="K2409" s="10">
        <f t="shared" si="232"/>
        <v>0.48240000000000005</v>
      </c>
      <c r="L2409" s="4"/>
      <c r="M2409" s="17">
        <v>3</v>
      </c>
      <c r="N2409" s="18">
        <f t="shared" si="233"/>
        <v>0.48240000000000005</v>
      </c>
      <c r="O2409" s="19">
        <f t="shared" si="234"/>
        <v>0</v>
      </c>
      <c r="P2409" s="13">
        <f t="shared" si="235"/>
        <v>0</v>
      </c>
      <c r="Q2409" s="32"/>
      <c r="R2409" s="32">
        <v>3</v>
      </c>
      <c r="S2409" s="32" t="s">
        <v>278</v>
      </c>
    </row>
    <row r="2410" spans="1:19">
      <c r="A2410" s="45" t="s">
        <v>136</v>
      </c>
      <c r="B2410" s="32" t="s">
        <v>137</v>
      </c>
      <c r="C2410" s="3">
        <v>55</v>
      </c>
      <c r="D2410" s="32"/>
      <c r="E2410" s="20" t="s">
        <v>20</v>
      </c>
      <c r="F2410" s="7" t="s">
        <v>15</v>
      </c>
      <c r="G2410" s="7" t="s">
        <v>28</v>
      </c>
      <c r="H2410" s="11">
        <v>12.18</v>
      </c>
      <c r="I2410" s="33">
        <v>8.5</v>
      </c>
      <c r="J2410" s="40">
        <v>1</v>
      </c>
      <c r="K2410" s="10">
        <f t="shared" si="232"/>
        <v>0.10353</v>
      </c>
      <c r="L2410" s="4"/>
      <c r="M2410" s="17">
        <v>1</v>
      </c>
      <c r="N2410" s="18">
        <f t="shared" si="233"/>
        <v>0.10353</v>
      </c>
      <c r="O2410" s="106">
        <f t="shared" si="234"/>
        <v>0</v>
      </c>
      <c r="P2410" s="13">
        <f t="shared" si="235"/>
        <v>0</v>
      </c>
      <c r="Q2410" s="9">
        <v>7.13</v>
      </c>
      <c r="R2410" s="91">
        <v>1</v>
      </c>
      <c r="S2410" s="2" t="s">
        <v>467</v>
      </c>
    </row>
    <row r="2411" spans="1:19">
      <c r="A2411" s="45" t="s">
        <v>136</v>
      </c>
      <c r="B2411" s="32" t="s">
        <v>137</v>
      </c>
      <c r="C2411" s="3">
        <v>55</v>
      </c>
      <c r="D2411" s="32"/>
      <c r="E2411" s="20" t="s">
        <v>20</v>
      </c>
      <c r="F2411" s="7" t="s">
        <v>15</v>
      </c>
      <c r="G2411" s="7" t="s">
        <v>28</v>
      </c>
      <c r="H2411" s="11">
        <v>12.18</v>
      </c>
      <c r="I2411" s="33">
        <v>9</v>
      </c>
      <c r="J2411" s="40">
        <v>1</v>
      </c>
      <c r="K2411" s="10">
        <f t="shared" si="232"/>
        <v>0.10962000000000001</v>
      </c>
      <c r="L2411" s="4"/>
      <c r="M2411" s="17">
        <v>1</v>
      </c>
      <c r="N2411" s="18">
        <f t="shared" si="233"/>
        <v>0.10962000000000001</v>
      </c>
      <c r="O2411" s="106">
        <f t="shared" si="234"/>
        <v>0</v>
      </c>
      <c r="P2411" s="13">
        <f t="shared" si="235"/>
        <v>0</v>
      </c>
      <c r="Q2411" s="9">
        <v>7.13</v>
      </c>
      <c r="R2411" s="91">
        <v>1</v>
      </c>
      <c r="S2411" s="2" t="s">
        <v>467</v>
      </c>
    </row>
    <row r="2412" spans="1:19">
      <c r="A2412" s="45" t="s">
        <v>136</v>
      </c>
      <c r="B2412" s="32" t="s">
        <v>137</v>
      </c>
      <c r="C2412" s="3">
        <v>55</v>
      </c>
      <c r="D2412" s="32"/>
      <c r="E2412" s="20" t="s">
        <v>20</v>
      </c>
      <c r="F2412" s="7" t="s">
        <v>15</v>
      </c>
      <c r="G2412" s="7" t="s">
        <v>42</v>
      </c>
      <c r="H2412" s="11">
        <v>19.72</v>
      </c>
      <c r="I2412" s="55">
        <v>11.8</v>
      </c>
      <c r="J2412" s="40">
        <v>1</v>
      </c>
      <c r="K2412" s="10">
        <f t="shared" si="232"/>
        <v>0.23269599999999999</v>
      </c>
      <c r="L2412" s="4"/>
      <c r="M2412" s="17">
        <v>1</v>
      </c>
      <c r="N2412" s="18">
        <f t="shared" si="233"/>
        <v>0.23269599999999999</v>
      </c>
      <c r="O2412" s="19">
        <f t="shared" si="234"/>
        <v>0</v>
      </c>
      <c r="P2412" s="13">
        <f t="shared" si="235"/>
        <v>0</v>
      </c>
      <c r="Q2412" s="55">
        <v>11.5</v>
      </c>
      <c r="R2412" s="32">
        <v>1</v>
      </c>
      <c r="S2412" s="2" t="s">
        <v>314</v>
      </c>
    </row>
    <row r="2413" spans="1:19">
      <c r="A2413" s="45" t="s">
        <v>136</v>
      </c>
      <c r="B2413" s="32" t="s">
        <v>137</v>
      </c>
      <c r="C2413" s="3">
        <v>56</v>
      </c>
      <c r="D2413" s="32"/>
      <c r="E2413" s="20" t="s">
        <v>20</v>
      </c>
      <c r="F2413" s="7" t="s">
        <v>15</v>
      </c>
      <c r="G2413" s="7" t="s">
        <v>42</v>
      </c>
      <c r="H2413" s="11">
        <v>19.72</v>
      </c>
      <c r="I2413" s="55">
        <v>8.3000000000000007</v>
      </c>
      <c r="J2413" s="40">
        <v>1</v>
      </c>
      <c r="K2413" s="10">
        <f t="shared" si="232"/>
        <v>0.16367600000000002</v>
      </c>
      <c r="L2413" s="4"/>
      <c r="M2413" s="17">
        <v>1</v>
      </c>
      <c r="N2413" s="18">
        <f t="shared" si="233"/>
        <v>0.16367600000000002</v>
      </c>
      <c r="O2413" s="19">
        <f t="shared" si="234"/>
        <v>0</v>
      </c>
      <c r="P2413" s="13">
        <f t="shared" si="235"/>
        <v>0</v>
      </c>
      <c r="Q2413" s="55">
        <v>7.1</v>
      </c>
      <c r="R2413" s="32">
        <v>1</v>
      </c>
      <c r="S2413" s="2" t="s">
        <v>313</v>
      </c>
    </row>
    <row r="2414" spans="1:19">
      <c r="A2414" s="45" t="s">
        <v>136</v>
      </c>
      <c r="B2414" s="32" t="s">
        <v>137</v>
      </c>
      <c r="C2414" s="3">
        <v>56</v>
      </c>
      <c r="D2414" s="32"/>
      <c r="E2414" s="20" t="s">
        <v>20</v>
      </c>
      <c r="F2414" s="7" t="s">
        <v>15</v>
      </c>
      <c r="G2414" s="7" t="s">
        <v>42</v>
      </c>
      <c r="H2414" s="11">
        <v>19.72</v>
      </c>
      <c r="I2414" s="55">
        <v>10.3</v>
      </c>
      <c r="J2414" s="40">
        <v>1</v>
      </c>
      <c r="K2414" s="10">
        <f t="shared" si="232"/>
        <v>0.20311600000000002</v>
      </c>
      <c r="L2414" s="4"/>
      <c r="M2414" s="17">
        <v>1</v>
      </c>
      <c r="N2414" s="18">
        <f t="shared" si="233"/>
        <v>0.20311600000000002</v>
      </c>
      <c r="O2414" s="19">
        <f t="shared" si="234"/>
        <v>0</v>
      </c>
      <c r="P2414" s="13">
        <f t="shared" si="235"/>
        <v>0</v>
      </c>
      <c r="Q2414" s="55">
        <v>7.1</v>
      </c>
      <c r="R2414" s="32">
        <v>1</v>
      </c>
      <c r="S2414" s="2" t="s">
        <v>313</v>
      </c>
    </row>
    <row r="2415" spans="1:19">
      <c r="A2415" s="45" t="s">
        <v>136</v>
      </c>
      <c r="B2415" s="32" t="s">
        <v>137</v>
      </c>
      <c r="C2415" s="3">
        <v>56</v>
      </c>
      <c r="D2415" s="32"/>
      <c r="E2415" s="20" t="s">
        <v>20</v>
      </c>
      <c r="F2415" s="7" t="s">
        <v>15</v>
      </c>
      <c r="G2415" s="7" t="s">
        <v>42</v>
      </c>
      <c r="H2415" s="11">
        <v>19.72</v>
      </c>
      <c r="I2415" s="55">
        <v>9.1</v>
      </c>
      <c r="J2415" s="40">
        <v>1</v>
      </c>
      <c r="K2415" s="10">
        <f t="shared" si="232"/>
        <v>0.17945199999999997</v>
      </c>
      <c r="L2415" s="4"/>
      <c r="M2415" s="17">
        <v>1</v>
      </c>
      <c r="N2415" s="18">
        <f t="shared" si="233"/>
        <v>0.17945199999999997</v>
      </c>
      <c r="O2415" s="19">
        <f t="shared" si="234"/>
        <v>0</v>
      </c>
      <c r="P2415" s="13">
        <f t="shared" si="235"/>
        <v>0</v>
      </c>
      <c r="Q2415" s="55">
        <v>7.1</v>
      </c>
      <c r="R2415" s="32">
        <v>1</v>
      </c>
      <c r="S2415" s="2" t="s">
        <v>313</v>
      </c>
    </row>
    <row r="2416" spans="1:19">
      <c r="A2416" s="45" t="s">
        <v>136</v>
      </c>
      <c r="B2416" s="32" t="s">
        <v>137</v>
      </c>
      <c r="C2416" s="3">
        <v>56</v>
      </c>
      <c r="D2416" s="32"/>
      <c r="E2416" s="20" t="s">
        <v>20</v>
      </c>
      <c r="F2416" s="7" t="s">
        <v>15</v>
      </c>
      <c r="G2416" s="7" t="s">
        <v>42</v>
      </c>
      <c r="H2416" s="11">
        <v>19.72</v>
      </c>
      <c r="I2416" s="55">
        <v>6.9</v>
      </c>
      <c r="J2416" s="40">
        <v>1</v>
      </c>
      <c r="K2416" s="10">
        <f t="shared" si="232"/>
        <v>0.13606800000000002</v>
      </c>
      <c r="L2416" s="4"/>
      <c r="M2416" s="17">
        <v>1</v>
      </c>
      <c r="N2416" s="18">
        <f t="shared" si="233"/>
        <v>0.13606800000000002</v>
      </c>
      <c r="O2416" s="19">
        <f t="shared" si="234"/>
        <v>0</v>
      </c>
      <c r="P2416" s="13">
        <f t="shared" si="235"/>
        <v>0</v>
      </c>
      <c r="Q2416" s="55"/>
      <c r="R2416" s="45">
        <v>1</v>
      </c>
      <c r="S2416" s="32" t="s">
        <v>542</v>
      </c>
    </row>
    <row r="2417" spans="1:21">
      <c r="A2417" s="45" t="s">
        <v>136</v>
      </c>
      <c r="B2417" s="32" t="s">
        <v>137</v>
      </c>
      <c r="C2417" s="3">
        <v>57</v>
      </c>
      <c r="D2417" s="32"/>
      <c r="E2417" s="20" t="s">
        <v>20</v>
      </c>
      <c r="F2417" s="7" t="s">
        <v>15</v>
      </c>
      <c r="G2417" s="7" t="s">
        <v>30</v>
      </c>
      <c r="H2417" s="11">
        <v>9.26</v>
      </c>
      <c r="I2417" s="185">
        <v>10.9</v>
      </c>
      <c r="J2417" s="40">
        <v>2</v>
      </c>
      <c r="K2417" s="10">
        <f t="shared" si="232"/>
        <v>0.20186799999999999</v>
      </c>
      <c r="L2417" s="4"/>
      <c r="M2417" s="17">
        <v>2</v>
      </c>
      <c r="N2417" s="18">
        <f t="shared" si="233"/>
        <v>0.20186799999999999</v>
      </c>
      <c r="O2417" s="19">
        <f t="shared" si="234"/>
        <v>0</v>
      </c>
      <c r="P2417" s="13">
        <f t="shared" si="235"/>
        <v>0</v>
      </c>
      <c r="Q2417" s="9">
        <v>9</v>
      </c>
      <c r="R2417" s="35">
        <v>2</v>
      </c>
      <c r="S2417" s="2" t="s">
        <v>739</v>
      </c>
    </row>
    <row r="2418" spans="1:21">
      <c r="A2418" s="45" t="s">
        <v>136</v>
      </c>
      <c r="B2418" s="32" t="s">
        <v>137</v>
      </c>
      <c r="C2418" s="3">
        <v>57</v>
      </c>
      <c r="D2418" s="32"/>
      <c r="E2418" s="20" t="s">
        <v>20</v>
      </c>
      <c r="F2418" s="7" t="s">
        <v>15</v>
      </c>
      <c r="G2418" s="7" t="s">
        <v>30</v>
      </c>
      <c r="H2418" s="11">
        <v>9.26</v>
      </c>
      <c r="I2418" s="185">
        <v>9.6</v>
      </c>
      <c r="J2418" s="40">
        <v>1</v>
      </c>
      <c r="K2418" s="10">
        <f t="shared" si="232"/>
        <v>8.8896000000000003E-2</v>
      </c>
      <c r="L2418" s="4"/>
      <c r="M2418" s="17">
        <v>1</v>
      </c>
      <c r="N2418" s="18">
        <f t="shared" si="233"/>
        <v>8.8896000000000003E-2</v>
      </c>
      <c r="O2418" s="19">
        <f t="shared" si="234"/>
        <v>0</v>
      </c>
      <c r="P2418" s="13">
        <f t="shared" si="235"/>
        <v>0</v>
      </c>
      <c r="Q2418" s="9">
        <v>9</v>
      </c>
      <c r="R2418" s="35">
        <v>1</v>
      </c>
      <c r="S2418" s="2" t="s">
        <v>739</v>
      </c>
    </row>
    <row r="2419" spans="1:21">
      <c r="A2419" s="45" t="s">
        <v>136</v>
      </c>
      <c r="B2419" s="32" t="s">
        <v>137</v>
      </c>
      <c r="C2419" s="3">
        <v>57</v>
      </c>
      <c r="D2419" s="32"/>
      <c r="E2419" s="20" t="s">
        <v>20</v>
      </c>
      <c r="F2419" s="7" t="s">
        <v>15</v>
      </c>
      <c r="G2419" s="7" t="s">
        <v>30</v>
      </c>
      <c r="H2419" s="11">
        <v>9.26</v>
      </c>
      <c r="I2419" s="185">
        <v>8.6</v>
      </c>
      <c r="J2419" s="40">
        <v>1</v>
      </c>
      <c r="K2419" s="10">
        <f t="shared" si="232"/>
        <v>7.9635999999999998E-2</v>
      </c>
      <c r="L2419" s="4"/>
      <c r="M2419" s="17"/>
      <c r="N2419" s="18">
        <f t="shared" si="233"/>
        <v>0</v>
      </c>
      <c r="O2419" s="19">
        <f t="shared" si="234"/>
        <v>1</v>
      </c>
      <c r="P2419" s="13">
        <f t="shared" si="235"/>
        <v>7.9635999999999998E-2</v>
      </c>
      <c r="Q2419" s="55"/>
      <c r="R2419" s="32"/>
      <c r="S2419" s="32"/>
    </row>
    <row r="2420" spans="1:21">
      <c r="A2420" s="45" t="s">
        <v>136</v>
      </c>
      <c r="B2420" s="32" t="s">
        <v>137</v>
      </c>
      <c r="C2420" s="3">
        <v>57</v>
      </c>
      <c r="D2420" s="32"/>
      <c r="E2420" s="20" t="s">
        <v>20</v>
      </c>
      <c r="F2420" s="7" t="s">
        <v>15</v>
      </c>
      <c r="G2420" s="7" t="s">
        <v>30</v>
      </c>
      <c r="H2420" s="11">
        <v>9.26</v>
      </c>
      <c r="I2420" s="185">
        <v>10</v>
      </c>
      <c r="J2420" s="40">
        <v>1</v>
      </c>
      <c r="K2420" s="10">
        <f t="shared" si="232"/>
        <v>9.2599999999999988E-2</v>
      </c>
      <c r="L2420" s="4"/>
      <c r="M2420" s="17">
        <v>1</v>
      </c>
      <c r="N2420" s="18">
        <f t="shared" si="233"/>
        <v>9.2599999999999988E-2</v>
      </c>
      <c r="O2420" s="19">
        <f t="shared" si="234"/>
        <v>0</v>
      </c>
      <c r="P2420" s="13">
        <f t="shared" si="235"/>
        <v>0</v>
      </c>
      <c r="Q2420" s="9">
        <v>9</v>
      </c>
      <c r="R2420" s="35">
        <v>1</v>
      </c>
      <c r="S2420" s="2" t="s">
        <v>739</v>
      </c>
    </row>
    <row r="2421" spans="1:21">
      <c r="A2421" s="45" t="s">
        <v>136</v>
      </c>
      <c r="B2421" s="32" t="s">
        <v>137</v>
      </c>
      <c r="C2421" s="3">
        <v>58</v>
      </c>
      <c r="D2421" s="32"/>
      <c r="E2421" s="39" t="s">
        <v>17</v>
      </c>
      <c r="F2421" s="7" t="s">
        <v>15</v>
      </c>
      <c r="G2421" s="7" t="s">
        <v>21</v>
      </c>
      <c r="H2421" s="11">
        <v>6.97</v>
      </c>
      <c r="I2421" s="55">
        <v>10</v>
      </c>
      <c r="J2421" s="40">
        <v>7</v>
      </c>
      <c r="K2421" s="10">
        <f t="shared" si="232"/>
        <v>0.48790000000000006</v>
      </c>
      <c r="L2421" s="4"/>
      <c r="M2421" s="17">
        <f>5+2</f>
        <v>7</v>
      </c>
      <c r="N2421" s="18">
        <f t="shared" si="233"/>
        <v>0.4879</v>
      </c>
      <c r="O2421" s="19">
        <f t="shared" si="234"/>
        <v>0</v>
      </c>
      <c r="P2421" s="13">
        <f t="shared" si="235"/>
        <v>0</v>
      </c>
      <c r="Q2421" s="32">
        <v>9.6</v>
      </c>
      <c r="R2421" s="32">
        <v>2</v>
      </c>
      <c r="S2421" s="127"/>
    </row>
    <row r="2422" spans="1:21">
      <c r="A2422" s="45" t="s">
        <v>136</v>
      </c>
      <c r="B2422" s="32" t="s">
        <v>137</v>
      </c>
      <c r="C2422" s="3">
        <v>58</v>
      </c>
      <c r="D2422" s="32"/>
      <c r="E2422" s="39" t="s">
        <v>17</v>
      </c>
      <c r="F2422" s="7" t="s">
        <v>15</v>
      </c>
      <c r="G2422" s="7" t="s">
        <v>21</v>
      </c>
      <c r="H2422" s="11">
        <v>6.97</v>
      </c>
      <c r="I2422" s="55">
        <v>9</v>
      </c>
      <c r="J2422" s="40">
        <v>3</v>
      </c>
      <c r="K2422" s="10">
        <f t="shared" si="232"/>
        <v>0.18819</v>
      </c>
      <c r="L2422" s="4"/>
      <c r="M2422" s="17">
        <v>3</v>
      </c>
      <c r="N2422" s="18">
        <f t="shared" si="233"/>
        <v>0.18819</v>
      </c>
      <c r="O2422" s="19">
        <f t="shared" si="234"/>
        <v>0</v>
      </c>
      <c r="P2422" s="13">
        <f t="shared" si="235"/>
        <v>0</v>
      </c>
      <c r="Q2422" s="32"/>
      <c r="R2422" s="32"/>
      <c r="S2422" s="127">
        <v>8</v>
      </c>
      <c r="T2422">
        <v>3</v>
      </c>
      <c r="U2422" t="s">
        <v>268</v>
      </c>
    </row>
    <row r="2423" spans="1:21">
      <c r="A2423" s="45" t="s">
        <v>136</v>
      </c>
      <c r="B2423" s="32" t="s">
        <v>137</v>
      </c>
      <c r="C2423" s="3">
        <v>58</v>
      </c>
      <c r="D2423" s="32"/>
      <c r="E2423" s="39" t="s">
        <v>17</v>
      </c>
      <c r="F2423" s="7" t="s">
        <v>15</v>
      </c>
      <c r="G2423" s="7" t="s">
        <v>21</v>
      </c>
      <c r="H2423" s="11">
        <v>6.97</v>
      </c>
      <c r="I2423" s="55">
        <v>8.1999999999999993</v>
      </c>
      <c r="J2423" s="40">
        <v>1</v>
      </c>
      <c r="K2423" s="10">
        <f t="shared" si="232"/>
        <v>5.7153999999999996E-2</v>
      </c>
      <c r="L2423" s="4"/>
      <c r="M2423" s="17">
        <v>1</v>
      </c>
      <c r="N2423" s="18">
        <f t="shared" si="233"/>
        <v>5.7153999999999996E-2</v>
      </c>
      <c r="O2423" s="19">
        <f t="shared" si="234"/>
        <v>0</v>
      </c>
      <c r="P2423" s="13">
        <f t="shared" si="235"/>
        <v>0</v>
      </c>
      <c r="Q2423" s="32"/>
      <c r="R2423" s="32"/>
      <c r="S2423" s="127">
        <v>8</v>
      </c>
      <c r="T2423">
        <v>1</v>
      </c>
      <c r="U2423" t="s">
        <v>268</v>
      </c>
    </row>
    <row r="2424" spans="1:21">
      <c r="A2424" s="45" t="s">
        <v>136</v>
      </c>
      <c r="B2424" s="32" t="s">
        <v>137</v>
      </c>
      <c r="C2424" s="3">
        <v>59</v>
      </c>
      <c r="D2424" s="32"/>
      <c r="E2424" s="20" t="s">
        <v>20</v>
      </c>
      <c r="F2424" s="7" t="s">
        <v>15</v>
      </c>
      <c r="G2424" s="7" t="s">
        <v>64</v>
      </c>
      <c r="H2424" s="11">
        <v>40.1</v>
      </c>
      <c r="I2424" s="33">
        <v>8</v>
      </c>
      <c r="J2424" s="40">
        <v>1</v>
      </c>
      <c r="K2424" s="10">
        <f t="shared" si="232"/>
        <v>0.32080000000000003</v>
      </c>
      <c r="L2424" s="4"/>
      <c r="M2424" s="17">
        <v>1</v>
      </c>
      <c r="N2424" s="18">
        <f t="shared" si="233"/>
        <v>0.32080000000000003</v>
      </c>
      <c r="O2424" s="19">
        <f t="shared" si="234"/>
        <v>0</v>
      </c>
      <c r="P2424" s="13">
        <f t="shared" si="235"/>
        <v>0</v>
      </c>
      <c r="Q2424" s="55">
        <v>8</v>
      </c>
      <c r="R2424" s="45">
        <v>1</v>
      </c>
      <c r="S2424" s="32" t="s">
        <v>533</v>
      </c>
    </row>
    <row r="2425" spans="1:21">
      <c r="A2425" s="45" t="s">
        <v>136</v>
      </c>
      <c r="B2425" s="32" t="s">
        <v>137</v>
      </c>
      <c r="C2425" s="3">
        <v>59</v>
      </c>
      <c r="D2425" s="32"/>
      <c r="E2425" s="20" t="s">
        <v>20</v>
      </c>
      <c r="F2425" s="7" t="s">
        <v>15</v>
      </c>
      <c r="G2425" s="7" t="s">
        <v>64</v>
      </c>
      <c r="H2425" s="11">
        <v>40.1</v>
      </c>
      <c r="I2425" s="33">
        <v>8.3000000000000007</v>
      </c>
      <c r="J2425" s="40">
        <v>1</v>
      </c>
      <c r="K2425" s="10">
        <f t="shared" si="232"/>
        <v>0.33283000000000001</v>
      </c>
      <c r="L2425" s="4"/>
      <c r="M2425" s="17">
        <v>1</v>
      </c>
      <c r="N2425" s="18">
        <f t="shared" si="233"/>
        <v>0.33283000000000001</v>
      </c>
      <c r="O2425" s="19">
        <f t="shared" si="234"/>
        <v>0</v>
      </c>
      <c r="P2425" s="13">
        <f t="shared" si="235"/>
        <v>0</v>
      </c>
      <c r="Q2425" s="55">
        <v>8.3000000000000007</v>
      </c>
      <c r="R2425" s="45">
        <v>1</v>
      </c>
      <c r="S2425" s="32" t="s">
        <v>533</v>
      </c>
    </row>
    <row r="2426" spans="1:21">
      <c r="A2426" s="45" t="s">
        <v>136</v>
      </c>
      <c r="B2426" s="32" t="s">
        <v>137</v>
      </c>
      <c r="C2426" s="3">
        <v>60</v>
      </c>
      <c r="D2426" s="32"/>
      <c r="E2426" s="20" t="s">
        <v>20</v>
      </c>
      <c r="F2426" s="7" t="s">
        <v>15</v>
      </c>
      <c r="G2426" s="7" t="s">
        <v>57</v>
      </c>
      <c r="H2426" s="11">
        <v>33.72</v>
      </c>
      <c r="I2426" s="33">
        <v>8</v>
      </c>
      <c r="J2426" s="40">
        <v>1</v>
      </c>
      <c r="K2426" s="10">
        <f t="shared" si="232"/>
        <v>0.26976</v>
      </c>
      <c r="L2426" s="4"/>
      <c r="M2426" s="17">
        <v>1</v>
      </c>
      <c r="N2426" s="18">
        <f t="shared" si="233"/>
        <v>0.26976</v>
      </c>
      <c r="O2426" s="19">
        <f t="shared" si="234"/>
        <v>0</v>
      </c>
      <c r="P2426" s="13">
        <f t="shared" si="235"/>
        <v>0</v>
      </c>
      <c r="Q2426" s="32">
        <v>7.8</v>
      </c>
      <c r="R2426" s="32">
        <v>1</v>
      </c>
      <c r="S2426" s="32" t="s">
        <v>195</v>
      </c>
    </row>
    <row r="2427" spans="1:21">
      <c r="A2427" s="45" t="s">
        <v>136</v>
      </c>
      <c r="B2427" s="32" t="s">
        <v>137</v>
      </c>
      <c r="C2427" s="3">
        <v>60</v>
      </c>
      <c r="D2427" s="32"/>
      <c r="E2427" s="20" t="s">
        <v>20</v>
      </c>
      <c r="F2427" s="7" t="s">
        <v>15</v>
      </c>
      <c r="G2427" s="7" t="s">
        <v>57</v>
      </c>
      <c r="H2427" s="11">
        <v>33.72</v>
      </c>
      <c r="I2427" s="33">
        <v>8.1</v>
      </c>
      <c r="J2427" s="40">
        <v>2</v>
      </c>
      <c r="K2427" s="10">
        <f t="shared" si="232"/>
        <v>0.54626399999999997</v>
      </c>
      <c r="L2427" s="4"/>
      <c r="M2427" s="17">
        <v>2</v>
      </c>
      <c r="N2427" s="18">
        <f t="shared" si="233"/>
        <v>0.54626399999999997</v>
      </c>
      <c r="O2427" s="19">
        <f t="shared" si="234"/>
        <v>0</v>
      </c>
      <c r="P2427" s="13">
        <f t="shared" si="235"/>
        <v>0</v>
      </c>
      <c r="Q2427" s="32">
        <v>7.8</v>
      </c>
      <c r="R2427" s="32">
        <v>2</v>
      </c>
      <c r="S2427" s="32" t="s">
        <v>195</v>
      </c>
    </row>
    <row r="2428" spans="1:21">
      <c r="A2428" s="45" t="s">
        <v>136</v>
      </c>
      <c r="B2428" s="32" t="s">
        <v>137</v>
      </c>
      <c r="C2428" s="3">
        <v>60</v>
      </c>
      <c r="D2428" s="32"/>
      <c r="E2428" s="20" t="s">
        <v>20</v>
      </c>
      <c r="F2428" s="7" t="s">
        <v>15</v>
      </c>
      <c r="G2428" s="7" t="s">
        <v>57</v>
      </c>
      <c r="H2428" s="11">
        <v>33.72</v>
      </c>
      <c r="I2428" s="33">
        <v>8.3000000000000007</v>
      </c>
      <c r="J2428" s="40">
        <v>1</v>
      </c>
      <c r="K2428" s="10">
        <f t="shared" si="232"/>
        <v>0.27987600000000001</v>
      </c>
      <c r="L2428" s="4"/>
      <c r="M2428" s="17">
        <v>1</v>
      </c>
      <c r="N2428" s="18">
        <f t="shared" si="233"/>
        <v>0.27987600000000001</v>
      </c>
      <c r="O2428" s="19">
        <f t="shared" si="234"/>
        <v>0</v>
      </c>
      <c r="P2428" s="13">
        <f t="shared" si="235"/>
        <v>0</v>
      </c>
      <c r="Q2428" s="32">
        <v>7.8</v>
      </c>
      <c r="R2428" s="32">
        <v>1</v>
      </c>
      <c r="S2428" s="32" t="s">
        <v>195</v>
      </c>
    </row>
    <row r="2429" spans="1:21">
      <c r="A2429" s="45" t="s">
        <v>136</v>
      </c>
      <c r="B2429" s="32" t="s">
        <v>137</v>
      </c>
      <c r="C2429" s="3">
        <v>60</v>
      </c>
      <c r="D2429" s="32"/>
      <c r="E2429" s="20" t="s">
        <v>20</v>
      </c>
      <c r="F2429" s="7" t="s">
        <v>15</v>
      </c>
      <c r="G2429" s="7" t="s">
        <v>57</v>
      </c>
      <c r="H2429" s="11">
        <v>33.72</v>
      </c>
      <c r="I2429" s="33">
        <v>9.3000000000000007</v>
      </c>
      <c r="J2429" s="40">
        <v>1</v>
      </c>
      <c r="K2429" s="10">
        <f t="shared" si="232"/>
        <v>0.31359599999999999</v>
      </c>
      <c r="L2429" s="4"/>
      <c r="M2429" s="17">
        <v>1</v>
      </c>
      <c r="N2429" s="18">
        <f t="shared" si="233"/>
        <v>0.31359599999999999</v>
      </c>
      <c r="O2429" s="19">
        <f t="shared" si="234"/>
        <v>0</v>
      </c>
      <c r="P2429" s="13">
        <f t="shared" si="235"/>
        <v>0</v>
      </c>
      <c r="Q2429" s="32">
        <v>7.8</v>
      </c>
      <c r="R2429" s="32">
        <v>1</v>
      </c>
      <c r="S2429" s="32" t="s">
        <v>195</v>
      </c>
    </row>
    <row r="2430" spans="1:21">
      <c r="A2430" s="45" t="s">
        <v>136</v>
      </c>
      <c r="B2430" s="32" t="s">
        <v>137</v>
      </c>
      <c r="C2430" s="3">
        <v>61</v>
      </c>
      <c r="D2430" s="32"/>
      <c r="E2430" s="20" t="s">
        <v>20</v>
      </c>
      <c r="F2430" s="7" t="s">
        <v>15</v>
      </c>
      <c r="G2430" s="7" t="s">
        <v>64</v>
      </c>
      <c r="H2430" s="11">
        <v>40.1</v>
      </c>
      <c r="I2430" s="33">
        <v>9.5</v>
      </c>
      <c r="J2430" s="40">
        <v>1</v>
      </c>
      <c r="K2430" s="10">
        <f t="shared" si="232"/>
        <v>0.38095000000000001</v>
      </c>
      <c r="L2430" s="4"/>
      <c r="M2430" s="17">
        <v>1</v>
      </c>
      <c r="N2430" s="18">
        <f t="shared" si="233"/>
        <v>0.38095000000000001</v>
      </c>
      <c r="O2430" s="19">
        <f t="shared" si="234"/>
        <v>0</v>
      </c>
      <c r="P2430" s="13">
        <f t="shared" si="235"/>
        <v>0</v>
      </c>
      <c r="Q2430" s="55">
        <v>9.5</v>
      </c>
      <c r="R2430" s="45">
        <v>1</v>
      </c>
      <c r="S2430" s="32" t="s">
        <v>533</v>
      </c>
    </row>
    <row r="2431" spans="1:21">
      <c r="A2431" s="45" t="s">
        <v>136</v>
      </c>
      <c r="B2431" s="32" t="s">
        <v>137</v>
      </c>
      <c r="C2431" s="3">
        <v>61</v>
      </c>
      <c r="D2431" s="32"/>
      <c r="E2431" s="20" t="s">
        <v>20</v>
      </c>
      <c r="F2431" s="7" t="s">
        <v>15</v>
      </c>
      <c r="G2431" s="7" t="s">
        <v>54</v>
      </c>
      <c r="H2431" s="11">
        <v>31.6</v>
      </c>
      <c r="I2431" s="55">
        <v>8.1</v>
      </c>
      <c r="J2431" s="40">
        <v>1</v>
      </c>
      <c r="K2431" s="10">
        <f t="shared" si="232"/>
        <v>0.25596000000000002</v>
      </c>
      <c r="L2431" s="4"/>
      <c r="M2431" s="17">
        <v>1</v>
      </c>
      <c r="N2431" s="18">
        <f t="shared" si="233"/>
        <v>0.25596000000000002</v>
      </c>
      <c r="O2431" s="106">
        <f t="shared" si="234"/>
        <v>0</v>
      </c>
      <c r="P2431" s="13">
        <f t="shared" si="235"/>
        <v>0</v>
      </c>
      <c r="Q2431" s="55">
        <v>8.14</v>
      </c>
      <c r="R2431" s="91">
        <v>1</v>
      </c>
      <c r="S2431" s="32" t="s">
        <v>462</v>
      </c>
    </row>
    <row r="2432" spans="1:21">
      <c r="A2432" s="45" t="s">
        <v>136</v>
      </c>
      <c r="B2432" s="32" t="s">
        <v>137</v>
      </c>
      <c r="C2432" s="3">
        <v>61</v>
      </c>
      <c r="D2432" s="32"/>
      <c r="E2432" s="20" t="s">
        <v>20</v>
      </c>
      <c r="F2432" s="7" t="s">
        <v>15</v>
      </c>
      <c r="G2432" s="7" t="s">
        <v>54</v>
      </c>
      <c r="H2432" s="11">
        <v>31.6</v>
      </c>
      <c r="I2432" s="55">
        <v>11.8</v>
      </c>
      <c r="J2432" s="40">
        <v>1</v>
      </c>
      <c r="K2432" s="10">
        <f t="shared" si="232"/>
        <v>0.37288000000000004</v>
      </c>
      <c r="L2432" s="4"/>
      <c r="M2432" s="17">
        <v>1</v>
      </c>
      <c r="N2432" s="18">
        <f t="shared" si="233"/>
        <v>0.37288000000000004</v>
      </c>
      <c r="O2432" s="106">
        <f t="shared" si="234"/>
        <v>0</v>
      </c>
      <c r="P2432" s="13">
        <f t="shared" si="235"/>
        <v>0</v>
      </c>
      <c r="Q2432" s="55">
        <v>10.1</v>
      </c>
      <c r="R2432" s="91">
        <v>1</v>
      </c>
      <c r="S2432" s="2" t="s">
        <v>464</v>
      </c>
    </row>
    <row r="2433" spans="1:19">
      <c r="A2433" s="45" t="s">
        <v>136</v>
      </c>
      <c r="B2433" s="32" t="s">
        <v>137</v>
      </c>
      <c r="C2433" s="3">
        <v>62</v>
      </c>
      <c r="D2433" s="32"/>
      <c r="E2433" s="20" t="s">
        <v>20</v>
      </c>
      <c r="F2433" s="7" t="s">
        <v>15</v>
      </c>
      <c r="G2433" s="7" t="s">
        <v>30</v>
      </c>
      <c r="H2433" s="11">
        <v>9.26</v>
      </c>
      <c r="I2433" s="185">
        <v>9.3000000000000007</v>
      </c>
      <c r="J2433" s="40">
        <v>1</v>
      </c>
      <c r="K2433" s="10">
        <f t="shared" si="232"/>
        <v>8.6118000000000014E-2</v>
      </c>
      <c r="L2433" s="4"/>
      <c r="M2433" s="17">
        <v>1</v>
      </c>
      <c r="N2433" s="18">
        <f t="shared" si="233"/>
        <v>8.6118000000000014E-2</v>
      </c>
      <c r="O2433" s="19">
        <f t="shared" si="234"/>
        <v>0</v>
      </c>
      <c r="P2433" s="13">
        <f t="shared" si="235"/>
        <v>0</v>
      </c>
      <c r="Q2433" s="9">
        <v>9</v>
      </c>
      <c r="R2433" s="45">
        <v>1</v>
      </c>
      <c r="S2433" s="2" t="s">
        <v>739</v>
      </c>
    </row>
    <row r="2434" spans="1:19">
      <c r="A2434" s="45" t="s">
        <v>136</v>
      </c>
      <c r="B2434" s="32" t="s">
        <v>137</v>
      </c>
      <c r="C2434" s="3">
        <v>62</v>
      </c>
      <c r="D2434" s="32"/>
      <c r="E2434" s="20" t="s">
        <v>20</v>
      </c>
      <c r="F2434" s="7" t="s">
        <v>15</v>
      </c>
      <c r="G2434" s="7" t="s">
        <v>30</v>
      </c>
      <c r="H2434" s="11">
        <v>9.26</v>
      </c>
      <c r="I2434" s="185">
        <v>9.6</v>
      </c>
      <c r="J2434" s="40">
        <v>1</v>
      </c>
      <c r="K2434" s="10">
        <f t="shared" si="232"/>
        <v>8.8896000000000003E-2</v>
      </c>
      <c r="L2434" s="4"/>
      <c r="M2434" s="17">
        <v>1</v>
      </c>
      <c r="N2434" s="18">
        <f t="shared" si="233"/>
        <v>8.8896000000000003E-2</v>
      </c>
      <c r="O2434" s="19">
        <f t="shared" si="234"/>
        <v>0</v>
      </c>
      <c r="P2434" s="13">
        <f t="shared" si="235"/>
        <v>0</v>
      </c>
      <c r="Q2434" s="9">
        <v>9</v>
      </c>
      <c r="R2434" s="35">
        <v>1</v>
      </c>
      <c r="S2434" s="2" t="s">
        <v>739</v>
      </c>
    </row>
    <row r="2435" spans="1:19">
      <c r="A2435" s="45" t="s">
        <v>136</v>
      </c>
      <c r="B2435" s="32" t="s">
        <v>137</v>
      </c>
      <c r="C2435" s="3">
        <v>63</v>
      </c>
      <c r="D2435" s="32"/>
      <c r="E2435" s="20" t="s">
        <v>20</v>
      </c>
      <c r="F2435" s="7" t="s">
        <v>15</v>
      </c>
      <c r="G2435" s="7" t="s">
        <v>22</v>
      </c>
      <c r="H2435" s="11">
        <v>10.73</v>
      </c>
      <c r="I2435" s="55">
        <v>7.5</v>
      </c>
      <c r="J2435" s="40">
        <v>1</v>
      </c>
      <c r="K2435" s="10">
        <f t="shared" si="232"/>
        <v>8.0475000000000005E-2</v>
      </c>
      <c r="L2435" s="4"/>
      <c r="M2435" s="17">
        <v>1</v>
      </c>
      <c r="N2435" s="18">
        <f t="shared" si="233"/>
        <v>8.0475000000000005E-2</v>
      </c>
      <c r="O2435" s="19">
        <f t="shared" si="234"/>
        <v>0</v>
      </c>
      <c r="P2435" s="13">
        <f t="shared" si="235"/>
        <v>0</v>
      </c>
      <c r="Q2435" s="9">
        <v>6.1</v>
      </c>
      <c r="R2435" s="32">
        <v>1</v>
      </c>
      <c r="S2435" s="2" t="s">
        <v>741</v>
      </c>
    </row>
    <row r="2436" spans="1:19">
      <c r="A2436" s="45" t="s">
        <v>136</v>
      </c>
      <c r="B2436" s="32" t="s">
        <v>137</v>
      </c>
      <c r="C2436" s="3">
        <v>63</v>
      </c>
      <c r="D2436" s="32"/>
      <c r="E2436" s="20" t="s">
        <v>20</v>
      </c>
      <c r="F2436" s="7" t="s">
        <v>15</v>
      </c>
      <c r="G2436" s="7" t="s">
        <v>22</v>
      </c>
      <c r="H2436" s="11">
        <v>10.73</v>
      </c>
      <c r="I2436" s="33">
        <v>11.5</v>
      </c>
      <c r="J2436" s="40">
        <v>1</v>
      </c>
      <c r="K2436" s="10">
        <f t="shared" si="232"/>
        <v>0.123395</v>
      </c>
      <c r="L2436" s="4"/>
      <c r="M2436" s="17">
        <v>1</v>
      </c>
      <c r="N2436" s="18">
        <f t="shared" si="233"/>
        <v>0.123395</v>
      </c>
      <c r="O2436" s="19">
        <f t="shared" si="234"/>
        <v>0</v>
      </c>
      <c r="P2436" s="13">
        <f t="shared" si="235"/>
        <v>0</v>
      </c>
      <c r="Q2436" s="32">
        <v>10.4</v>
      </c>
      <c r="R2436" s="45">
        <v>1</v>
      </c>
      <c r="S2436" s="32" t="s">
        <v>279</v>
      </c>
    </row>
    <row r="2437" spans="1:19">
      <c r="A2437" s="45" t="s">
        <v>136</v>
      </c>
      <c r="B2437" s="32" t="s">
        <v>137</v>
      </c>
      <c r="C2437" s="3">
        <v>64</v>
      </c>
      <c r="D2437" s="32"/>
      <c r="E2437" s="20" t="s">
        <v>20</v>
      </c>
      <c r="F2437" s="7" t="s">
        <v>15</v>
      </c>
      <c r="G2437" s="7" t="s">
        <v>47</v>
      </c>
      <c r="H2437" s="11">
        <v>15</v>
      </c>
      <c r="I2437" s="33">
        <v>8.5</v>
      </c>
      <c r="J2437" s="40">
        <v>2</v>
      </c>
      <c r="K2437" s="10">
        <f t="shared" si="232"/>
        <v>0.255</v>
      </c>
      <c r="L2437" s="4"/>
      <c r="M2437" s="17"/>
      <c r="N2437" s="18">
        <f t="shared" si="233"/>
        <v>0</v>
      </c>
      <c r="O2437" s="19">
        <f t="shared" si="234"/>
        <v>2</v>
      </c>
      <c r="P2437" s="13">
        <f t="shared" si="235"/>
        <v>0.255</v>
      </c>
      <c r="Q2437" s="32"/>
      <c r="R2437" s="32"/>
      <c r="S2437" s="32"/>
    </row>
    <row r="2438" spans="1:19">
      <c r="A2438" s="45" t="s">
        <v>136</v>
      </c>
      <c r="B2438" s="32" t="s">
        <v>137</v>
      </c>
      <c r="C2438" s="3">
        <v>65</v>
      </c>
      <c r="D2438" s="32"/>
      <c r="E2438" s="20" t="s">
        <v>139</v>
      </c>
      <c r="F2438" s="7" t="s">
        <v>15</v>
      </c>
      <c r="G2438" s="7" t="s">
        <v>33</v>
      </c>
      <c r="H2438" s="11">
        <v>15.92</v>
      </c>
      <c r="I2438" s="33">
        <v>7.5</v>
      </c>
      <c r="J2438" s="40">
        <v>1</v>
      </c>
      <c r="K2438" s="10">
        <f t="shared" si="232"/>
        <v>0.11940000000000001</v>
      </c>
      <c r="L2438" s="4"/>
      <c r="M2438" s="17">
        <v>1</v>
      </c>
      <c r="N2438" s="18">
        <f t="shared" si="233"/>
        <v>0.11940000000000001</v>
      </c>
      <c r="O2438" s="19">
        <f t="shared" si="234"/>
        <v>0</v>
      </c>
      <c r="P2438" s="53">
        <f t="shared" si="235"/>
        <v>0</v>
      </c>
      <c r="Q2438" s="32"/>
      <c r="R2438" s="358">
        <v>1</v>
      </c>
      <c r="S2438" s="32" t="s">
        <v>371</v>
      </c>
    </row>
    <row r="2439" spans="1:19">
      <c r="A2439" s="45" t="s">
        <v>136</v>
      </c>
      <c r="B2439" s="32" t="s">
        <v>137</v>
      </c>
      <c r="C2439" s="3">
        <v>65</v>
      </c>
      <c r="D2439" s="32"/>
      <c r="E2439" s="20" t="s">
        <v>139</v>
      </c>
      <c r="F2439" s="7" t="s">
        <v>15</v>
      </c>
      <c r="G2439" s="7" t="s">
        <v>33</v>
      </c>
      <c r="H2439" s="11">
        <v>15.92</v>
      </c>
      <c r="I2439" s="33">
        <v>10</v>
      </c>
      <c r="J2439" s="40">
        <v>1</v>
      </c>
      <c r="K2439" s="10">
        <f t="shared" si="232"/>
        <v>0.15919999999999998</v>
      </c>
      <c r="L2439" s="4"/>
      <c r="M2439" s="17">
        <v>1</v>
      </c>
      <c r="N2439" s="18">
        <f t="shared" si="233"/>
        <v>0.15919999999999998</v>
      </c>
      <c r="O2439" s="19">
        <f t="shared" si="234"/>
        <v>0</v>
      </c>
      <c r="P2439" s="53">
        <f t="shared" si="235"/>
        <v>0</v>
      </c>
      <c r="Q2439" s="32"/>
      <c r="R2439" s="358">
        <v>1</v>
      </c>
      <c r="S2439" s="32" t="s">
        <v>371</v>
      </c>
    </row>
    <row r="2440" spans="1:19">
      <c r="A2440" s="45" t="s">
        <v>136</v>
      </c>
      <c r="B2440" s="32" t="s">
        <v>137</v>
      </c>
      <c r="C2440" s="3">
        <v>65</v>
      </c>
      <c r="D2440" s="32"/>
      <c r="E2440" s="20" t="s">
        <v>139</v>
      </c>
      <c r="F2440" s="7" t="s">
        <v>15</v>
      </c>
      <c r="G2440" s="7" t="s">
        <v>33</v>
      </c>
      <c r="H2440" s="11">
        <v>15.92</v>
      </c>
      <c r="I2440" s="33">
        <v>10.6</v>
      </c>
      <c r="J2440" s="40">
        <v>1</v>
      </c>
      <c r="K2440" s="10">
        <f t="shared" si="232"/>
        <v>0.16875199999999999</v>
      </c>
      <c r="L2440" s="4"/>
      <c r="M2440" s="17">
        <v>1</v>
      </c>
      <c r="N2440" s="18">
        <f t="shared" si="233"/>
        <v>0.16875199999999999</v>
      </c>
      <c r="O2440" s="19">
        <f t="shared" si="234"/>
        <v>0</v>
      </c>
      <c r="P2440" s="53">
        <f t="shared" si="235"/>
        <v>0</v>
      </c>
      <c r="Q2440" s="32"/>
      <c r="R2440" s="358">
        <v>1</v>
      </c>
      <c r="S2440" s="32" t="s">
        <v>371</v>
      </c>
    </row>
    <row r="2441" spans="1:19">
      <c r="A2441" s="45" t="s">
        <v>136</v>
      </c>
      <c r="B2441" s="32" t="s">
        <v>137</v>
      </c>
      <c r="C2441" s="3">
        <v>65</v>
      </c>
      <c r="D2441" s="32"/>
      <c r="E2441" s="20" t="s">
        <v>139</v>
      </c>
      <c r="F2441" s="7" t="s">
        <v>15</v>
      </c>
      <c r="G2441" s="7" t="s">
        <v>33</v>
      </c>
      <c r="H2441" s="11">
        <v>15.92</v>
      </c>
      <c r="I2441" s="33">
        <v>10.7</v>
      </c>
      <c r="J2441" s="40">
        <v>1</v>
      </c>
      <c r="K2441" s="10">
        <f t="shared" si="232"/>
        <v>0.170344</v>
      </c>
      <c r="L2441" s="4"/>
      <c r="M2441" s="17">
        <v>1</v>
      </c>
      <c r="N2441" s="18">
        <f t="shared" si="233"/>
        <v>0.170344</v>
      </c>
      <c r="O2441" s="19">
        <f t="shared" si="234"/>
        <v>0</v>
      </c>
      <c r="P2441" s="53">
        <f t="shared" si="235"/>
        <v>0</v>
      </c>
      <c r="Q2441" s="32"/>
      <c r="R2441" s="358">
        <v>1</v>
      </c>
      <c r="S2441" s="32" t="s">
        <v>371</v>
      </c>
    </row>
    <row r="2442" spans="1:19">
      <c r="A2442" s="45" t="s">
        <v>136</v>
      </c>
      <c r="B2442" s="32" t="s">
        <v>137</v>
      </c>
      <c r="C2442" s="3">
        <v>65</v>
      </c>
      <c r="D2442" s="32"/>
      <c r="E2442" s="20" t="s">
        <v>88</v>
      </c>
      <c r="F2442" s="7" t="s">
        <v>15</v>
      </c>
      <c r="G2442" s="7" t="s">
        <v>33</v>
      </c>
      <c r="H2442" s="11">
        <v>15.92</v>
      </c>
      <c r="I2442" s="33">
        <v>9.9</v>
      </c>
      <c r="J2442" s="40">
        <v>1</v>
      </c>
      <c r="K2442" s="10">
        <f t="shared" si="232"/>
        <v>0.157608</v>
      </c>
      <c r="L2442" s="4"/>
      <c r="M2442" s="17"/>
      <c r="N2442" s="18">
        <f t="shared" si="233"/>
        <v>0</v>
      </c>
      <c r="O2442" s="19">
        <f t="shared" si="234"/>
        <v>1</v>
      </c>
      <c r="P2442" s="13">
        <f t="shared" si="235"/>
        <v>0.157608</v>
      </c>
      <c r="Q2442" s="33"/>
      <c r="R2442" s="32"/>
      <c r="S2442" s="2"/>
    </row>
    <row r="2443" spans="1:19">
      <c r="A2443" s="45" t="s">
        <v>136</v>
      </c>
      <c r="B2443" s="32" t="s">
        <v>137</v>
      </c>
      <c r="C2443" s="3">
        <v>65</v>
      </c>
      <c r="D2443" s="32"/>
      <c r="E2443" s="20" t="s">
        <v>88</v>
      </c>
      <c r="F2443" s="7" t="s">
        <v>15</v>
      </c>
      <c r="G2443" s="7" t="s">
        <v>33</v>
      </c>
      <c r="H2443" s="11">
        <v>15.92</v>
      </c>
      <c r="I2443" s="33">
        <v>7.8</v>
      </c>
      <c r="J2443" s="40">
        <v>1</v>
      </c>
      <c r="K2443" s="10">
        <f t="shared" si="232"/>
        <v>0.12417600000000001</v>
      </c>
      <c r="L2443" s="4"/>
      <c r="M2443" s="17"/>
      <c r="N2443" s="18">
        <f t="shared" si="233"/>
        <v>0</v>
      </c>
      <c r="O2443" s="19">
        <f t="shared" si="234"/>
        <v>1</v>
      </c>
      <c r="P2443" s="13">
        <f t="shared" si="235"/>
        <v>0.12417600000000001</v>
      </c>
      <c r="Q2443" s="33"/>
      <c r="R2443" s="32"/>
      <c r="S2443" s="2"/>
    </row>
    <row r="2444" spans="1:19">
      <c r="A2444" s="45" t="s">
        <v>136</v>
      </c>
      <c r="B2444" s="32" t="s">
        <v>137</v>
      </c>
      <c r="C2444" s="3">
        <v>66</v>
      </c>
      <c r="D2444" s="32"/>
      <c r="E2444" s="20" t="s">
        <v>20</v>
      </c>
      <c r="F2444" s="7" t="s">
        <v>15</v>
      </c>
      <c r="G2444" s="7" t="s">
        <v>50</v>
      </c>
      <c r="H2444" s="11">
        <v>21.7</v>
      </c>
      <c r="I2444" s="55">
        <v>12</v>
      </c>
      <c r="J2444" s="40">
        <v>1</v>
      </c>
      <c r="K2444" s="10">
        <f t="shared" ref="K2444:K2488" si="236">(H2444*I2444*J2444/1000)</f>
        <v>0.26039999999999996</v>
      </c>
      <c r="L2444" s="4"/>
      <c r="M2444" s="17">
        <v>1</v>
      </c>
      <c r="N2444" s="18">
        <f t="shared" ref="N2444:N2488" si="237">I2444*M2444*H2444/1000</f>
        <v>0.26039999999999996</v>
      </c>
      <c r="O2444" s="19">
        <f t="shared" ref="O2444:O2488" si="238">J2444-M2444</f>
        <v>0</v>
      </c>
      <c r="P2444" s="13">
        <f t="shared" ref="P2444:P2488" si="239">I2444*O2444*H2444/1000</f>
        <v>0</v>
      </c>
      <c r="Q2444" s="32">
        <v>8.5500000000000007</v>
      </c>
      <c r="R2444" s="32">
        <v>1</v>
      </c>
      <c r="S2444" s="2" t="s">
        <v>792</v>
      </c>
    </row>
    <row r="2445" spans="1:19">
      <c r="A2445" s="45" t="s">
        <v>136</v>
      </c>
      <c r="B2445" s="32" t="s">
        <v>137</v>
      </c>
      <c r="C2445" s="3">
        <v>66</v>
      </c>
      <c r="D2445" s="32"/>
      <c r="E2445" s="20" t="s">
        <v>20</v>
      </c>
      <c r="F2445" s="7" t="s">
        <v>15</v>
      </c>
      <c r="G2445" s="7" t="s">
        <v>49</v>
      </c>
      <c r="H2445" s="11">
        <v>17.82</v>
      </c>
      <c r="I2445" s="55">
        <v>9.5</v>
      </c>
      <c r="J2445" s="40">
        <v>1</v>
      </c>
      <c r="K2445" s="10">
        <f t="shared" si="236"/>
        <v>0.16929</v>
      </c>
      <c r="L2445" s="4"/>
      <c r="M2445" s="17">
        <v>1</v>
      </c>
      <c r="N2445" s="18">
        <f t="shared" si="237"/>
        <v>0.16929</v>
      </c>
      <c r="O2445" s="19">
        <f t="shared" si="238"/>
        <v>0</v>
      </c>
      <c r="P2445" s="13">
        <f t="shared" si="239"/>
        <v>0</v>
      </c>
      <c r="Q2445" s="33">
        <v>7.1</v>
      </c>
      <c r="R2445" s="32">
        <v>1</v>
      </c>
      <c r="S2445" s="32" t="s">
        <v>603</v>
      </c>
    </row>
    <row r="2446" spans="1:19">
      <c r="A2446" s="45" t="s">
        <v>136</v>
      </c>
      <c r="B2446" s="32" t="s">
        <v>137</v>
      </c>
      <c r="C2446" s="3">
        <v>67</v>
      </c>
      <c r="D2446" s="32"/>
      <c r="E2446" s="20" t="s">
        <v>20</v>
      </c>
      <c r="F2446" s="7" t="s">
        <v>15</v>
      </c>
      <c r="G2446" s="7" t="s">
        <v>58</v>
      </c>
      <c r="H2446" s="11">
        <v>27.29</v>
      </c>
      <c r="I2446" s="55">
        <v>7</v>
      </c>
      <c r="J2446" s="40">
        <v>1</v>
      </c>
      <c r="K2446" s="10">
        <f t="shared" si="236"/>
        <v>0.19103000000000001</v>
      </c>
      <c r="L2446" s="4"/>
      <c r="M2446" s="17">
        <v>1</v>
      </c>
      <c r="N2446" s="18">
        <f t="shared" si="237"/>
        <v>0.19103000000000001</v>
      </c>
      <c r="O2446" s="19">
        <f t="shared" si="238"/>
        <v>0</v>
      </c>
      <c r="P2446" s="13">
        <f t="shared" si="239"/>
        <v>0</v>
      </c>
      <c r="Q2446" s="55">
        <v>6.25</v>
      </c>
      <c r="R2446" s="32">
        <v>1</v>
      </c>
      <c r="S2446" s="32" t="s">
        <v>212</v>
      </c>
    </row>
    <row r="2447" spans="1:19">
      <c r="A2447" s="45" t="s">
        <v>136</v>
      </c>
      <c r="B2447" s="32" t="s">
        <v>137</v>
      </c>
      <c r="C2447" s="3">
        <v>67</v>
      </c>
      <c r="D2447" s="32"/>
      <c r="E2447" s="20" t="s">
        <v>145</v>
      </c>
      <c r="F2447" s="7" t="s">
        <v>14</v>
      </c>
      <c r="G2447" s="7" t="s">
        <v>44</v>
      </c>
      <c r="H2447" s="11">
        <v>13.4</v>
      </c>
      <c r="I2447" s="33">
        <v>8.4</v>
      </c>
      <c r="J2447" s="40">
        <v>1</v>
      </c>
      <c r="K2447" s="10">
        <f t="shared" si="236"/>
        <v>0.11256000000000001</v>
      </c>
      <c r="L2447" s="23" t="s">
        <v>135</v>
      </c>
      <c r="M2447" s="22"/>
      <c r="N2447" s="63">
        <f t="shared" si="237"/>
        <v>0</v>
      </c>
      <c r="O2447" s="64">
        <f t="shared" si="238"/>
        <v>1</v>
      </c>
      <c r="P2447" s="65">
        <f t="shared" si="239"/>
        <v>0.11256000000000001</v>
      </c>
      <c r="Q2447" s="32"/>
      <c r="R2447" s="32"/>
      <c r="S2447" s="32"/>
    </row>
    <row r="2448" spans="1:19">
      <c r="A2448" s="45" t="s">
        <v>136</v>
      </c>
      <c r="B2448" s="32" t="s">
        <v>137</v>
      </c>
      <c r="C2448" s="3">
        <v>67</v>
      </c>
      <c r="D2448" s="32"/>
      <c r="E2448" s="20" t="s">
        <v>145</v>
      </c>
      <c r="F2448" s="7" t="s">
        <v>14</v>
      </c>
      <c r="G2448" s="7" t="s">
        <v>44</v>
      </c>
      <c r="H2448" s="11">
        <v>13.4</v>
      </c>
      <c r="I2448" s="33">
        <v>7.1</v>
      </c>
      <c r="J2448" s="40">
        <v>1</v>
      </c>
      <c r="K2448" s="10">
        <f t="shared" si="236"/>
        <v>9.5140000000000002E-2</v>
      </c>
      <c r="L2448" s="23" t="s">
        <v>135</v>
      </c>
      <c r="M2448" s="22"/>
      <c r="N2448" s="63">
        <f t="shared" si="237"/>
        <v>0</v>
      </c>
      <c r="O2448" s="64">
        <f t="shared" si="238"/>
        <v>1</v>
      </c>
      <c r="P2448" s="65">
        <f t="shared" si="239"/>
        <v>9.5140000000000002E-2</v>
      </c>
      <c r="Q2448" s="32"/>
      <c r="R2448" s="32"/>
      <c r="S2448" s="32"/>
    </row>
    <row r="2449" spans="1:19">
      <c r="A2449" s="45" t="s">
        <v>136</v>
      </c>
      <c r="B2449" s="32" t="s">
        <v>137</v>
      </c>
      <c r="C2449" s="3">
        <v>67</v>
      </c>
      <c r="D2449" s="32"/>
      <c r="E2449" s="20" t="s">
        <v>145</v>
      </c>
      <c r="F2449" s="7" t="s">
        <v>14</v>
      </c>
      <c r="G2449" s="7" t="s">
        <v>44</v>
      </c>
      <c r="H2449" s="11">
        <v>13.4</v>
      </c>
      <c r="I2449" s="33">
        <v>7</v>
      </c>
      <c r="J2449" s="40">
        <v>2</v>
      </c>
      <c r="K2449" s="10">
        <f t="shared" si="236"/>
        <v>0.18759999999999999</v>
      </c>
      <c r="L2449" s="23" t="s">
        <v>135</v>
      </c>
      <c r="M2449" s="22"/>
      <c r="N2449" s="63">
        <f t="shared" si="237"/>
        <v>0</v>
      </c>
      <c r="O2449" s="64">
        <f t="shared" si="238"/>
        <v>2</v>
      </c>
      <c r="P2449" s="65">
        <f t="shared" si="239"/>
        <v>0.18759999999999999</v>
      </c>
      <c r="Q2449" s="32"/>
      <c r="R2449" s="32"/>
      <c r="S2449" s="32"/>
    </row>
    <row r="2450" spans="1:19">
      <c r="A2450" s="45" t="s">
        <v>136</v>
      </c>
      <c r="B2450" s="32" t="s">
        <v>137</v>
      </c>
      <c r="C2450" s="3">
        <v>68</v>
      </c>
      <c r="D2450" s="32"/>
      <c r="E2450" s="20" t="s">
        <v>145</v>
      </c>
      <c r="F2450" s="7" t="s">
        <v>14</v>
      </c>
      <c r="G2450" s="7" t="s">
        <v>32</v>
      </c>
      <c r="H2450" s="11">
        <v>8.3000000000000007</v>
      </c>
      <c r="I2450" s="33">
        <v>12</v>
      </c>
      <c r="J2450" s="40">
        <v>1</v>
      </c>
      <c r="K2450" s="10">
        <f t="shared" si="236"/>
        <v>9.9600000000000008E-2</v>
      </c>
      <c r="L2450" s="4"/>
      <c r="M2450" s="17">
        <v>1</v>
      </c>
      <c r="N2450" s="18">
        <f t="shared" si="237"/>
        <v>9.9600000000000008E-2</v>
      </c>
      <c r="O2450" s="19">
        <f t="shared" si="238"/>
        <v>0</v>
      </c>
      <c r="P2450" s="13">
        <f t="shared" si="239"/>
        <v>0</v>
      </c>
      <c r="Q2450" s="33">
        <v>12</v>
      </c>
      <c r="R2450" s="32">
        <v>1</v>
      </c>
      <c r="S2450" s="2" t="s">
        <v>420</v>
      </c>
    </row>
    <row r="2451" spans="1:19">
      <c r="A2451" s="45" t="s">
        <v>136</v>
      </c>
      <c r="B2451" s="32" t="s">
        <v>137</v>
      </c>
      <c r="C2451" s="3">
        <v>68</v>
      </c>
      <c r="D2451" s="32"/>
      <c r="E2451" s="20" t="s">
        <v>145</v>
      </c>
      <c r="F2451" s="7" t="s">
        <v>14</v>
      </c>
      <c r="G2451" s="7" t="s">
        <v>32</v>
      </c>
      <c r="H2451" s="11">
        <v>8.3000000000000007</v>
      </c>
      <c r="I2451" s="33">
        <v>11.5</v>
      </c>
      <c r="J2451" s="40">
        <v>3</v>
      </c>
      <c r="K2451" s="10">
        <f t="shared" si="236"/>
        <v>0.28635000000000005</v>
      </c>
      <c r="L2451" s="4"/>
      <c r="M2451" s="17">
        <v>3</v>
      </c>
      <c r="N2451" s="18">
        <f t="shared" si="237"/>
        <v>0.28635000000000005</v>
      </c>
      <c r="O2451" s="19">
        <f t="shared" si="238"/>
        <v>0</v>
      </c>
      <c r="P2451" s="13">
        <f t="shared" si="239"/>
        <v>0</v>
      </c>
      <c r="Q2451" s="33">
        <v>11.5</v>
      </c>
      <c r="R2451" s="32">
        <v>3</v>
      </c>
      <c r="S2451" s="2" t="s">
        <v>335</v>
      </c>
    </row>
    <row r="2452" spans="1:19">
      <c r="A2452" s="45" t="s">
        <v>136</v>
      </c>
      <c r="B2452" s="32" t="s">
        <v>137</v>
      </c>
      <c r="C2452" s="3">
        <v>68</v>
      </c>
      <c r="D2452" s="32"/>
      <c r="E2452" s="20" t="s">
        <v>145</v>
      </c>
      <c r="F2452" s="7" t="s">
        <v>14</v>
      </c>
      <c r="G2452" s="7" t="s">
        <v>32</v>
      </c>
      <c r="H2452" s="11">
        <v>8.3000000000000007</v>
      </c>
      <c r="I2452" s="55">
        <v>9</v>
      </c>
      <c r="J2452" s="40">
        <v>1</v>
      </c>
      <c r="K2452" s="10">
        <f t="shared" si="236"/>
        <v>7.4700000000000003E-2</v>
      </c>
      <c r="L2452" s="4"/>
      <c r="M2452" s="17">
        <v>1</v>
      </c>
      <c r="N2452" s="18">
        <f t="shared" si="237"/>
        <v>7.4700000000000003E-2</v>
      </c>
      <c r="O2452" s="19">
        <f t="shared" si="238"/>
        <v>0</v>
      </c>
      <c r="P2452" s="13">
        <f t="shared" si="239"/>
        <v>0</v>
      </c>
      <c r="Q2452" s="9">
        <v>7.15</v>
      </c>
      <c r="R2452" s="32">
        <v>1</v>
      </c>
      <c r="S2452" s="2" t="s">
        <v>732</v>
      </c>
    </row>
    <row r="2453" spans="1:19">
      <c r="A2453" s="45" t="s">
        <v>136</v>
      </c>
      <c r="B2453" s="32" t="s">
        <v>137</v>
      </c>
      <c r="C2453" s="3">
        <v>68</v>
      </c>
      <c r="D2453" s="32"/>
      <c r="E2453" s="20" t="s">
        <v>145</v>
      </c>
      <c r="F2453" s="7" t="s">
        <v>14</v>
      </c>
      <c r="G2453" s="7" t="s">
        <v>32</v>
      </c>
      <c r="H2453" s="11">
        <v>8.3000000000000007</v>
      </c>
      <c r="I2453" s="55">
        <v>8</v>
      </c>
      <c r="J2453" s="40">
        <v>1</v>
      </c>
      <c r="K2453" s="10">
        <f t="shared" si="236"/>
        <v>6.6400000000000001E-2</v>
      </c>
      <c r="L2453" s="4"/>
      <c r="M2453" s="17">
        <v>1</v>
      </c>
      <c r="N2453" s="18">
        <f t="shared" si="237"/>
        <v>6.6400000000000001E-2</v>
      </c>
      <c r="O2453" s="19">
        <f t="shared" si="238"/>
        <v>0</v>
      </c>
      <c r="P2453" s="13">
        <f t="shared" si="239"/>
        <v>0</v>
      </c>
      <c r="Q2453" s="9">
        <v>7.15</v>
      </c>
      <c r="R2453" s="32">
        <v>1</v>
      </c>
      <c r="S2453" s="2" t="s">
        <v>732</v>
      </c>
    </row>
    <row r="2454" spans="1:19">
      <c r="A2454" s="45" t="s">
        <v>136</v>
      </c>
      <c r="B2454" s="32" t="s">
        <v>137</v>
      </c>
      <c r="C2454" s="3">
        <v>71</v>
      </c>
      <c r="D2454" s="32"/>
      <c r="E2454" s="20" t="s">
        <v>20</v>
      </c>
      <c r="F2454" s="7" t="s">
        <v>15</v>
      </c>
      <c r="G2454" s="7" t="s">
        <v>58</v>
      </c>
      <c r="H2454" s="11">
        <v>27.29</v>
      </c>
      <c r="I2454" s="55">
        <v>10.1</v>
      </c>
      <c r="J2454" s="40">
        <v>1</v>
      </c>
      <c r="K2454" s="10">
        <f t="shared" si="236"/>
        <v>0.27562899999999996</v>
      </c>
      <c r="L2454" s="4"/>
      <c r="M2454" s="17">
        <v>1</v>
      </c>
      <c r="N2454" s="18">
        <f t="shared" si="237"/>
        <v>0.27562899999999996</v>
      </c>
      <c r="O2454" s="19">
        <f t="shared" si="238"/>
        <v>0</v>
      </c>
      <c r="P2454" s="13">
        <f t="shared" si="239"/>
        <v>0</v>
      </c>
      <c r="Q2454" s="55">
        <v>9.5</v>
      </c>
      <c r="R2454" s="32">
        <v>1</v>
      </c>
      <c r="S2454" s="32" t="s">
        <v>212</v>
      </c>
    </row>
    <row r="2455" spans="1:19">
      <c r="A2455" s="45" t="s">
        <v>136</v>
      </c>
      <c r="B2455" s="32" t="s">
        <v>137</v>
      </c>
      <c r="C2455" s="3">
        <v>71</v>
      </c>
      <c r="D2455" s="32"/>
      <c r="E2455" s="20" t="s">
        <v>20</v>
      </c>
      <c r="F2455" s="7" t="s">
        <v>15</v>
      </c>
      <c r="G2455" s="7" t="s">
        <v>48</v>
      </c>
      <c r="H2455" s="11">
        <v>23.6</v>
      </c>
      <c r="I2455" s="55">
        <v>8.6999999999999993</v>
      </c>
      <c r="J2455" s="40">
        <v>1</v>
      </c>
      <c r="K2455" s="10">
        <f t="shared" si="236"/>
        <v>0.20532</v>
      </c>
      <c r="L2455" s="4"/>
      <c r="M2455" s="17">
        <v>1</v>
      </c>
      <c r="N2455" s="18">
        <f t="shared" si="237"/>
        <v>0.20532</v>
      </c>
      <c r="O2455" s="19">
        <f t="shared" si="238"/>
        <v>0</v>
      </c>
      <c r="P2455" s="13">
        <f t="shared" si="239"/>
        <v>0</v>
      </c>
      <c r="Q2455" s="33">
        <v>7</v>
      </c>
      <c r="R2455" s="32">
        <v>1</v>
      </c>
      <c r="S2455" s="2" t="s">
        <v>457</v>
      </c>
    </row>
    <row r="2456" spans="1:19">
      <c r="A2456" s="45" t="s">
        <v>136</v>
      </c>
      <c r="B2456" s="32" t="s">
        <v>137</v>
      </c>
      <c r="C2456" s="3">
        <v>73</v>
      </c>
      <c r="D2456" s="32"/>
      <c r="E2456" s="39" t="s">
        <v>24</v>
      </c>
      <c r="F2456" s="7" t="s">
        <v>14</v>
      </c>
      <c r="G2456" s="7" t="s">
        <v>36</v>
      </c>
      <c r="H2456" s="11">
        <v>10.199999999999999</v>
      </c>
      <c r="I2456" s="55">
        <v>10.5</v>
      </c>
      <c r="J2456" s="40">
        <v>1</v>
      </c>
      <c r="K2456" s="10">
        <f t="shared" si="236"/>
        <v>0.1071</v>
      </c>
      <c r="L2456" s="4"/>
      <c r="M2456" s="17">
        <v>1</v>
      </c>
      <c r="N2456" s="18">
        <f t="shared" si="237"/>
        <v>0.1071</v>
      </c>
      <c r="O2456" s="19">
        <f t="shared" si="238"/>
        <v>0</v>
      </c>
      <c r="P2456" s="13">
        <f t="shared" si="239"/>
        <v>0</v>
      </c>
      <c r="Q2456" s="33">
        <v>10.5</v>
      </c>
      <c r="R2456" s="32">
        <v>1</v>
      </c>
      <c r="S2456" s="32" t="s">
        <v>249</v>
      </c>
    </row>
    <row r="2457" spans="1:19">
      <c r="A2457" s="45" t="s">
        <v>136</v>
      </c>
      <c r="B2457" s="32" t="s">
        <v>137</v>
      </c>
      <c r="C2457" s="3">
        <v>73</v>
      </c>
      <c r="D2457" s="32"/>
      <c r="E2457" s="39" t="s">
        <v>24</v>
      </c>
      <c r="F2457" s="7" t="s">
        <v>14</v>
      </c>
      <c r="G2457" s="7" t="s">
        <v>36</v>
      </c>
      <c r="H2457" s="11">
        <v>10.199999999999999</v>
      </c>
      <c r="I2457" s="55">
        <v>11.9</v>
      </c>
      <c r="J2457" s="40">
        <v>1</v>
      </c>
      <c r="K2457" s="10">
        <f t="shared" si="236"/>
        <v>0.12138</v>
      </c>
      <c r="L2457" s="4"/>
      <c r="M2457" s="17">
        <v>1</v>
      </c>
      <c r="N2457" s="18">
        <f t="shared" si="237"/>
        <v>0.12138</v>
      </c>
      <c r="O2457" s="19">
        <f t="shared" si="238"/>
        <v>0</v>
      </c>
      <c r="P2457" s="13">
        <f t="shared" si="239"/>
        <v>0</v>
      </c>
      <c r="Q2457" s="33">
        <v>10.5</v>
      </c>
      <c r="R2457" s="32">
        <v>1</v>
      </c>
      <c r="S2457" s="32" t="s">
        <v>249</v>
      </c>
    </row>
    <row r="2458" spans="1:19">
      <c r="A2458" s="45" t="s">
        <v>136</v>
      </c>
      <c r="B2458" s="32" t="s">
        <v>137</v>
      </c>
      <c r="C2458" s="3">
        <v>74</v>
      </c>
      <c r="D2458" s="32"/>
      <c r="E2458" s="20" t="s">
        <v>20</v>
      </c>
      <c r="F2458" s="7" t="s">
        <v>15</v>
      </c>
      <c r="G2458" s="7" t="s">
        <v>66</v>
      </c>
      <c r="H2458" s="11">
        <v>29.5</v>
      </c>
      <c r="I2458" s="33">
        <v>8.8000000000000007</v>
      </c>
      <c r="J2458" s="40">
        <v>1</v>
      </c>
      <c r="K2458" s="10">
        <f t="shared" si="236"/>
        <v>0.2596</v>
      </c>
      <c r="L2458" s="4"/>
      <c r="M2458" s="17"/>
      <c r="N2458" s="18">
        <f t="shared" si="237"/>
        <v>0</v>
      </c>
      <c r="O2458" s="19">
        <f t="shared" si="238"/>
        <v>1</v>
      </c>
      <c r="P2458" s="13">
        <f t="shared" si="239"/>
        <v>0.2596</v>
      </c>
      <c r="Q2458" s="32"/>
      <c r="R2458" s="32"/>
      <c r="S2458" s="32"/>
    </row>
    <row r="2459" spans="1:19">
      <c r="A2459" s="45" t="s">
        <v>136</v>
      </c>
      <c r="B2459" s="32" t="s">
        <v>137</v>
      </c>
      <c r="C2459" s="3">
        <v>74</v>
      </c>
      <c r="D2459" s="32"/>
      <c r="E2459" s="20" t="s">
        <v>20</v>
      </c>
      <c r="F2459" s="7" t="s">
        <v>15</v>
      </c>
      <c r="G2459" s="7" t="s">
        <v>66</v>
      </c>
      <c r="H2459" s="11">
        <v>29.5</v>
      </c>
      <c r="I2459" s="33">
        <v>9</v>
      </c>
      <c r="J2459" s="40">
        <v>1</v>
      </c>
      <c r="K2459" s="10">
        <f t="shared" si="236"/>
        <v>0.26550000000000001</v>
      </c>
      <c r="L2459" s="4"/>
      <c r="M2459" s="17"/>
      <c r="N2459" s="18">
        <f t="shared" si="237"/>
        <v>0</v>
      </c>
      <c r="O2459" s="19">
        <f t="shared" si="238"/>
        <v>1</v>
      </c>
      <c r="P2459" s="13">
        <f t="shared" si="239"/>
        <v>0.26550000000000001</v>
      </c>
      <c r="Q2459" s="32"/>
      <c r="R2459" s="32"/>
      <c r="S2459" s="32"/>
    </row>
    <row r="2460" spans="1:19">
      <c r="A2460" s="45" t="s">
        <v>136</v>
      </c>
      <c r="B2460" s="32" t="s">
        <v>137</v>
      </c>
      <c r="C2460" s="3">
        <v>75</v>
      </c>
      <c r="D2460" s="32"/>
      <c r="E2460" s="20" t="s">
        <v>20</v>
      </c>
      <c r="F2460" s="7" t="s">
        <v>15</v>
      </c>
      <c r="G2460" s="7" t="s">
        <v>53</v>
      </c>
      <c r="H2460" s="11">
        <v>35.840000000000003</v>
      </c>
      <c r="I2460" s="55">
        <v>6.15</v>
      </c>
      <c r="J2460" s="40">
        <v>2</v>
      </c>
      <c r="K2460" s="10">
        <f t="shared" si="236"/>
        <v>0.44083200000000006</v>
      </c>
      <c r="L2460" s="4"/>
      <c r="M2460" s="17"/>
      <c r="N2460" s="18">
        <f t="shared" si="237"/>
        <v>0</v>
      </c>
      <c r="O2460" s="19">
        <f t="shared" si="238"/>
        <v>2</v>
      </c>
      <c r="P2460" s="13">
        <f t="shared" si="239"/>
        <v>0.44083200000000006</v>
      </c>
      <c r="Q2460" s="32"/>
      <c r="R2460" s="32"/>
      <c r="S2460" s="32"/>
    </row>
    <row r="2461" spans="1:19">
      <c r="A2461" s="45" t="s">
        <v>136</v>
      </c>
      <c r="B2461" s="32" t="s">
        <v>137</v>
      </c>
      <c r="C2461" s="3">
        <v>75</v>
      </c>
      <c r="D2461" s="32"/>
      <c r="E2461" s="20" t="s">
        <v>20</v>
      </c>
      <c r="F2461" s="7" t="s">
        <v>15</v>
      </c>
      <c r="G2461" s="7" t="s">
        <v>53</v>
      </c>
      <c r="H2461" s="11">
        <v>35.840000000000003</v>
      </c>
      <c r="I2461" s="55">
        <v>6.5</v>
      </c>
      <c r="J2461" s="40">
        <v>1</v>
      </c>
      <c r="K2461" s="10">
        <f t="shared" si="236"/>
        <v>0.23296000000000003</v>
      </c>
      <c r="L2461" s="4"/>
      <c r="M2461" s="17">
        <v>1</v>
      </c>
      <c r="N2461" s="18">
        <f t="shared" si="237"/>
        <v>0.23296000000000003</v>
      </c>
      <c r="O2461" s="19">
        <f t="shared" si="238"/>
        <v>0</v>
      </c>
      <c r="P2461" s="13">
        <f t="shared" si="239"/>
        <v>0</v>
      </c>
      <c r="Q2461" s="32">
        <v>6.3</v>
      </c>
      <c r="R2461" s="45">
        <v>1</v>
      </c>
      <c r="S2461" s="2" t="s">
        <v>673</v>
      </c>
    </row>
    <row r="2462" spans="1:19">
      <c r="A2462" s="45" t="s">
        <v>136</v>
      </c>
      <c r="B2462" s="32" t="s">
        <v>137</v>
      </c>
      <c r="C2462" s="3">
        <v>76</v>
      </c>
      <c r="D2462" s="32"/>
      <c r="E2462" s="20" t="s">
        <v>20</v>
      </c>
      <c r="F2462" s="7" t="s">
        <v>15</v>
      </c>
      <c r="G2462" s="7" t="s">
        <v>39</v>
      </c>
      <c r="H2462" s="11">
        <v>14.66</v>
      </c>
      <c r="I2462" s="55">
        <v>6.5</v>
      </c>
      <c r="J2462" s="40">
        <v>1</v>
      </c>
      <c r="K2462" s="10">
        <f t="shared" si="236"/>
        <v>9.529E-2</v>
      </c>
      <c r="L2462" s="4"/>
      <c r="M2462" s="17">
        <v>1</v>
      </c>
      <c r="N2462" s="18">
        <f t="shared" si="237"/>
        <v>9.529E-2</v>
      </c>
      <c r="O2462" s="19">
        <f t="shared" si="238"/>
        <v>0</v>
      </c>
      <c r="P2462" s="13">
        <f t="shared" si="239"/>
        <v>0</v>
      </c>
      <c r="Q2462" s="55">
        <v>6.5</v>
      </c>
      <c r="R2462" s="45">
        <v>1</v>
      </c>
      <c r="S2462" s="2" t="s">
        <v>444</v>
      </c>
    </row>
    <row r="2463" spans="1:19">
      <c r="A2463" s="45" t="s">
        <v>136</v>
      </c>
      <c r="B2463" s="32" t="s">
        <v>137</v>
      </c>
      <c r="C2463" s="3">
        <v>77</v>
      </c>
      <c r="D2463" s="32"/>
      <c r="E2463" s="20" t="s">
        <v>20</v>
      </c>
      <c r="F2463" s="7" t="s">
        <v>15</v>
      </c>
      <c r="G2463" s="7" t="s">
        <v>57</v>
      </c>
      <c r="H2463" s="11">
        <v>33.72</v>
      </c>
      <c r="I2463" s="55">
        <v>5.7</v>
      </c>
      <c r="J2463" s="40">
        <v>1</v>
      </c>
      <c r="K2463" s="10">
        <f t="shared" si="236"/>
        <v>0.19220400000000001</v>
      </c>
      <c r="L2463" s="4"/>
      <c r="M2463" s="17">
        <v>1</v>
      </c>
      <c r="N2463" s="18">
        <f t="shared" si="237"/>
        <v>0.19220400000000001</v>
      </c>
      <c r="O2463" s="106">
        <f t="shared" si="238"/>
        <v>0</v>
      </c>
      <c r="P2463" s="13">
        <f t="shared" si="239"/>
        <v>0</v>
      </c>
      <c r="Q2463" s="359">
        <f t="shared" ref="Q2463:Q2464" si="240">4.602+0.15</f>
        <v>4.7520000000000007</v>
      </c>
      <c r="R2463" s="91">
        <v>1</v>
      </c>
      <c r="S2463" s="2" t="s">
        <v>454</v>
      </c>
    </row>
    <row r="2464" spans="1:19">
      <c r="A2464" s="45" t="s">
        <v>136</v>
      </c>
      <c r="B2464" s="32" t="s">
        <v>137</v>
      </c>
      <c r="C2464" s="3">
        <v>77</v>
      </c>
      <c r="D2464" s="32"/>
      <c r="E2464" s="20" t="s">
        <v>20</v>
      </c>
      <c r="F2464" s="7" t="s">
        <v>15</v>
      </c>
      <c r="G2464" s="7" t="s">
        <v>57</v>
      </c>
      <c r="H2464" s="11">
        <v>33.72</v>
      </c>
      <c r="I2464" s="55">
        <v>6</v>
      </c>
      <c r="J2464" s="40">
        <v>1</v>
      </c>
      <c r="K2464" s="10">
        <f t="shared" si="236"/>
        <v>0.20232</v>
      </c>
      <c r="L2464" s="4"/>
      <c r="M2464" s="17">
        <v>1</v>
      </c>
      <c r="N2464" s="18">
        <f t="shared" si="237"/>
        <v>0.20232</v>
      </c>
      <c r="O2464" s="106">
        <f t="shared" si="238"/>
        <v>0</v>
      </c>
      <c r="P2464" s="13">
        <f t="shared" si="239"/>
        <v>0</v>
      </c>
      <c r="Q2464" s="359">
        <f t="shared" si="240"/>
        <v>4.7520000000000007</v>
      </c>
      <c r="R2464" s="91">
        <v>1</v>
      </c>
      <c r="S2464" s="2" t="s">
        <v>454</v>
      </c>
    </row>
    <row r="2465" spans="1:21">
      <c r="A2465" s="45" t="s">
        <v>136</v>
      </c>
      <c r="B2465" s="32" t="s">
        <v>137</v>
      </c>
      <c r="C2465" s="3">
        <v>77</v>
      </c>
      <c r="D2465" s="32"/>
      <c r="E2465" s="20" t="s">
        <v>20</v>
      </c>
      <c r="F2465" s="7" t="s">
        <v>15</v>
      </c>
      <c r="G2465" s="7" t="s">
        <v>64</v>
      </c>
      <c r="H2465" s="11">
        <v>40.1</v>
      </c>
      <c r="I2465" s="33">
        <v>8.6999999999999993</v>
      </c>
      <c r="J2465" s="40">
        <v>1</v>
      </c>
      <c r="K2465" s="10">
        <f t="shared" si="236"/>
        <v>0.34887000000000001</v>
      </c>
      <c r="L2465" s="4"/>
      <c r="M2465" s="17">
        <v>1</v>
      </c>
      <c r="N2465" s="18">
        <f t="shared" si="237"/>
        <v>0.34887000000000001</v>
      </c>
      <c r="O2465" s="19">
        <f t="shared" si="238"/>
        <v>0</v>
      </c>
      <c r="P2465" s="13">
        <f t="shared" si="239"/>
        <v>0</v>
      </c>
      <c r="Q2465" s="55">
        <v>8.6999999999999993</v>
      </c>
      <c r="R2465" s="45">
        <v>1</v>
      </c>
      <c r="S2465" s="32" t="s">
        <v>533</v>
      </c>
    </row>
    <row r="2466" spans="1:21">
      <c r="A2466" s="45" t="s">
        <v>136</v>
      </c>
      <c r="B2466" s="32" t="s">
        <v>137</v>
      </c>
      <c r="C2466" s="3">
        <v>78</v>
      </c>
      <c r="D2466" s="32"/>
      <c r="E2466" s="20" t="s">
        <v>94</v>
      </c>
      <c r="F2466" s="7" t="s">
        <v>15</v>
      </c>
      <c r="G2466" s="7" t="s">
        <v>21</v>
      </c>
      <c r="H2466" s="11">
        <v>6.97</v>
      </c>
      <c r="I2466" s="55">
        <v>12</v>
      </c>
      <c r="J2466" s="40">
        <v>1</v>
      </c>
      <c r="K2466" s="10">
        <f t="shared" si="236"/>
        <v>8.3640000000000006E-2</v>
      </c>
      <c r="L2466" s="4"/>
      <c r="M2466" s="17">
        <v>1</v>
      </c>
      <c r="N2466" s="18">
        <f t="shared" si="237"/>
        <v>8.3640000000000006E-2</v>
      </c>
      <c r="O2466" s="19">
        <f t="shared" si="238"/>
        <v>0</v>
      </c>
      <c r="P2466" s="13">
        <f t="shared" si="239"/>
        <v>0</v>
      </c>
      <c r="Q2466" s="33">
        <v>12</v>
      </c>
      <c r="R2466" s="45">
        <v>1</v>
      </c>
      <c r="S2466" s="32" t="s">
        <v>272</v>
      </c>
    </row>
    <row r="2467" spans="1:21">
      <c r="A2467" s="45" t="s">
        <v>136</v>
      </c>
      <c r="B2467" s="32" t="s">
        <v>137</v>
      </c>
      <c r="C2467" s="3">
        <v>78</v>
      </c>
      <c r="D2467" s="32"/>
      <c r="E2467" s="20" t="s">
        <v>94</v>
      </c>
      <c r="F2467" s="7" t="s">
        <v>15</v>
      </c>
      <c r="G2467" s="7" t="s">
        <v>21</v>
      </c>
      <c r="H2467" s="11">
        <v>6.97</v>
      </c>
      <c r="I2467" s="55">
        <v>10.5</v>
      </c>
      <c r="J2467" s="40">
        <v>1</v>
      </c>
      <c r="K2467" s="10">
        <f t="shared" si="236"/>
        <v>7.3185E-2</v>
      </c>
      <c r="L2467" s="4"/>
      <c r="M2467" s="17">
        <v>1</v>
      </c>
      <c r="N2467" s="18">
        <f t="shared" si="237"/>
        <v>7.3185E-2</v>
      </c>
      <c r="O2467" s="19">
        <f t="shared" si="238"/>
        <v>0</v>
      </c>
      <c r="P2467" s="13">
        <f t="shared" si="239"/>
        <v>0</v>
      </c>
      <c r="Q2467" s="33">
        <v>10</v>
      </c>
      <c r="R2467" s="45">
        <v>1</v>
      </c>
      <c r="S2467" s="32" t="s">
        <v>272</v>
      </c>
    </row>
    <row r="2468" spans="1:21">
      <c r="A2468" s="45" t="s">
        <v>136</v>
      </c>
      <c r="B2468" s="32" t="s">
        <v>137</v>
      </c>
      <c r="C2468" s="3">
        <v>78</v>
      </c>
      <c r="D2468" s="32"/>
      <c r="E2468" s="20" t="s">
        <v>113</v>
      </c>
      <c r="F2468" s="7" t="s">
        <v>15</v>
      </c>
      <c r="G2468" s="7" t="s">
        <v>50</v>
      </c>
      <c r="H2468" s="11">
        <v>21.7</v>
      </c>
      <c r="I2468" s="55">
        <v>11.2</v>
      </c>
      <c r="J2468" s="40">
        <v>1</v>
      </c>
      <c r="K2468" s="10">
        <f t="shared" si="236"/>
        <v>0.24303999999999995</v>
      </c>
      <c r="L2468" s="4"/>
      <c r="M2468" s="17">
        <v>1</v>
      </c>
      <c r="N2468" s="18">
        <f t="shared" si="237"/>
        <v>0.24303999999999995</v>
      </c>
      <c r="O2468" s="19">
        <f t="shared" si="238"/>
        <v>0</v>
      </c>
      <c r="P2468" s="13">
        <f t="shared" si="239"/>
        <v>0</v>
      </c>
      <c r="Q2468" s="32">
        <v>8.5500000000000007</v>
      </c>
      <c r="R2468" s="32">
        <v>1</v>
      </c>
      <c r="S2468" s="2" t="s">
        <v>792</v>
      </c>
    </row>
    <row r="2469" spans="1:21">
      <c r="A2469" s="45" t="s">
        <v>136</v>
      </c>
      <c r="B2469" s="32" t="s">
        <v>137</v>
      </c>
      <c r="C2469" s="3">
        <v>78</v>
      </c>
      <c r="D2469" s="32"/>
      <c r="E2469" s="20" t="s">
        <v>113</v>
      </c>
      <c r="F2469" s="7" t="s">
        <v>15</v>
      </c>
      <c r="G2469" s="7" t="s">
        <v>50</v>
      </c>
      <c r="H2469" s="11">
        <v>21.7</v>
      </c>
      <c r="I2469" s="55">
        <v>11.3</v>
      </c>
      <c r="J2469" s="40">
        <v>1</v>
      </c>
      <c r="K2469" s="10">
        <f t="shared" si="236"/>
        <v>0.24521000000000001</v>
      </c>
      <c r="L2469" s="4"/>
      <c r="M2469" s="17">
        <v>1</v>
      </c>
      <c r="N2469" s="18">
        <f t="shared" si="237"/>
        <v>0.24521000000000001</v>
      </c>
      <c r="O2469" s="19">
        <f t="shared" si="238"/>
        <v>0</v>
      </c>
      <c r="P2469" s="13">
        <f t="shared" si="239"/>
        <v>0</v>
      </c>
      <c r="Q2469" s="32">
        <v>8.5500000000000007</v>
      </c>
      <c r="R2469" s="32">
        <v>1</v>
      </c>
      <c r="S2469" s="2" t="s">
        <v>792</v>
      </c>
    </row>
    <row r="2470" spans="1:21">
      <c r="A2470" s="45" t="s">
        <v>136</v>
      </c>
      <c r="B2470" s="32" t="s">
        <v>137</v>
      </c>
      <c r="C2470" s="3">
        <v>79</v>
      </c>
      <c r="D2470" s="32"/>
      <c r="E2470" s="20" t="s">
        <v>113</v>
      </c>
      <c r="F2470" s="7" t="s">
        <v>15</v>
      </c>
      <c r="G2470" s="7" t="s">
        <v>30</v>
      </c>
      <c r="H2470" s="11">
        <v>9.26</v>
      </c>
      <c r="I2470" s="185">
        <v>11.6</v>
      </c>
      <c r="J2470" s="40">
        <v>1</v>
      </c>
      <c r="K2470" s="10">
        <f t="shared" si="236"/>
        <v>0.107416</v>
      </c>
      <c r="L2470" s="4"/>
      <c r="M2470" s="17">
        <v>1</v>
      </c>
      <c r="N2470" s="18">
        <f t="shared" si="237"/>
        <v>0.107416</v>
      </c>
      <c r="O2470" s="19">
        <f t="shared" si="238"/>
        <v>0</v>
      </c>
      <c r="P2470" s="13">
        <f t="shared" si="239"/>
        <v>0</v>
      </c>
      <c r="Q2470" s="9">
        <v>9</v>
      </c>
      <c r="R2470" s="35">
        <v>1</v>
      </c>
      <c r="S2470" s="2" t="s">
        <v>739</v>
      </c>
    </row>
    <row r="2471" spans="1:21">
      <c r="A2471" s="45" t="s">
        <v>136</v>
      </c>
      <c r="B2471" s="32" t="s">
        <v>137</v>
      </c>
      <c r="C2471" s="3">
        <v>79</v>
      </c>
      <c r="D2471" s="32"/>
      <c r="E2471" s="20" t="s">
        <v>113</v>
      </c>
      <c r="F2471" s="7" t="s">
        <v>15</v>
      </c>
      <c r="G2471" s="7" t="s">
        <v>28</v>
      </c>
      <c r="H2471" s="11">
        <v>12.18</v>
      </c>
      <c r="I2471" s="33">
        <v>11.2</v>
      </c>
      <c r="J2471" s="40">
        <v>1</v>
      </c>
      <c r="K2471" s="10">
        <f t="shared" si="236"/>
        <v>0.13641600000000001</v>
      </c>
      <c r="L2471" s="4"/>
      <c r="M2471" s="17">
        <v>1</v>
      </c>
      <c r="N2471" s="18">
        <f t="shared" si="237"/>
        <v>0.13641600000000001</v>
      </c>
      <c r="O2471" s="106">
        <f t="shared" si="238"/>
        <v>0</v>
      </c>
      <c r="P2471" s="13">
        <f t="shared" si="239"/>
        <v>0</v>
      </c>
      <c r="Q2471" s="9">
        <v>10.5</v>
      </c>
      <c r="R2471" s="2">
        <v>1</v>
      </c>
      <c r="S2471" s="2" t="s">
        <v>466</v>
      </c>
    </row>
    <row r="2472" spans="1:21">
      <c r="A2472" s="45" t="s">
        <v>136</v>
      </c>
      <c r="B2472" s="32" t="s">
        <v>137</v>
      </c>
      <c r="C2472" s="3">
        <v>80</v>
      </c>
      <c r="D2472" s="32"/>
      <c r="E2472" s="20" t="s">
        <v>89</v>
      </c>
      <c r="F2472" s="7" t="s">
        <v>15</v>
      </c>
      <c r="G2472" s="7" t="s">
        <v>58</v>
      </c>
      <c r="H2472" s="11">
        <v>27.29</v>
      </c>
      <c r="I2472" s="55">
        <v>6</v>
      </c>
      <c r="J2472" s="40">
        <v>1</v>
      </c>
      <c r="K2472" s="10">
        <f t="shared" si="236"/>
        <v>0.16374</v>
      </c>
      <c r="L2472" s="4"/>
      <c r="M2472" s="17"/>
      <c r="N2472" s="18">
        <f t="shared" si="237"/>
        <v>0</v>
      </c>
      <c r="O2472" s="19">
        <f t="shared" si="238"/>
        <v>1</v>
      </c>
      <c r="P2472" s="13">
        <f t="shared" si="239"/>
        <v>0.16374</v>
      </c>
      <c r="Q2472" s="55"/>
      <c r="R2472" s="32"/>
      <c r="S2472" s="32"/>
    </row>
    <row r="2473" spans="1:21">
      <c r="A2473" s="45" t="s">
        <v>136</v>
      </c>
      <c r="B2473" s="32" t="s">
        <v>137</v>
      </c>
      <c r="C2473" s="3">
        <v>80</v>
      </c>
      <c r="D2473" s="32"/>
      <c r="E2473" s="20" t="s">
        <v>89</v>
      </c>
      <c r="F2473" s="7" t="s">
        <v>15</v>
      </c>
      <c r="G2473" s="7" t="s">
        <v>58</v>
      </c>
      <c r="H2473" s="11">
        <v>27.29</v>
      </c>
      <c r="I2473" s="55">
        <v>6.2</v>
      </c>
      <c r="J2473" s="40">
        <v>1</v>
      </c>
      <c r="K2473" s="10">
        <f t="shared" si="236"/>
        <v>0.16919800000000002</v>
      </c>
      <c r="L2473" s="4"/>
      <c r="M2473" s="17"/>
      <c r="N2473" s="18">
        <f t="shared" si="237"/>
        <v>0</v>
      </c>
      <c r="O2473" s="19">
        <f t="shared" si="238"/>
        <v>1</v>
      </c>
      <c r="P2473" s="13">
        <f t="shared" si="239"/>
        <v>0.16919800000000002</v>
      </c>
      <c r="Q2473" s="55"/>
      <c r="R2473" s="32"/>
      <c r="S2473" s="32"/>
    </row>
    <row r="2474" spans="1:21">
      <c r="A2474" s="45" t="s">
        <v>136</v>
      </c>
      <c r="B2474" s="32" t="s">
        <v>137</v>
      </c>
      <c r="C2474" s="3">
        <v>80</v>
      </c>
      <c r="D2474" s="32"/>
      <c r="E2474" s="20" t="s">
        <v>89</v>
      </c>
      <c r="F2474" s="7" t="s">
        <v>15</v>
      </c>
      <c r="G2474" s="7" t="s">
        <v>58</v>
      </c>
      <c r="H2474" s="11">
        <v>27.29</v>
      </c>
      <c r="I2474" s="55">
        <v>6.7</v>
      </c>
      <c r="J2474" s="40">
        <v>1</v>
      </c>
      <c r="K2474" s="10">
        <f t="shared" si="236"/>
        <v>0.18284299999999998</v>
      </c>
      <c r="L2474" s="4"/>
      <c r="M2474" s="17">
        <v>1</v>
      </c>
      <c r="N2474" s="18">
        <f t="shared" si="237"/>
        <v>0.18284299999999998</v>
      </c>
      <c r="O2474" s="19">
        <f t="shared" si="238"/>
        <v>0</v>
      </c>
      <c r="P2474" s="13">
        <f t="shared" si="239"/>
        <v>0</v>
      </c>
      <c r="Q2474" s="55">
        <v>6.7</v>
      </c>
      <c r="R2474" s="32">
        <v>1</v>
      </c>
      <c r="S2474" s="32" t="s">
        <v>215</v>
      </c>
    </row>
    <row r="2475" spans="1:21">
      <c r="A2475" s="45" t="s">
        <v>136</v>
      </c>
      <c r="B2475" s="32" t="s">
        <v>137</v>
      </c>
      <c r="C2475" s="3">
        <v>81</v>
      </c>
      <c r="D2475" s="32"/>
      <c r="E2475" s="39" t="s">
        <v>17</v>
      </c>
      <c r="F2475" s="7" t="s">
        <v>15</v>
      </c>
      <c r="G2475" s="7" t="s">
        <v>60</v>
      </c>
      <c r="H2475" s="11">
        <v>22.93</v>
      </c>
      <c r="I2475" s="33">
        <v>11.8</v>
      </c>
      <c r="J2475" s="40">
        <v>1</v>
      </c>
      <c r="K2475" s="10">
        <f t="shared" si="236"/>
        <v>0.27057400000000004</v>
      </c>
      <c r="L2475" s="4"/>
      <c r="M2475" s="17">
        <v>1</v>
      </c>
      <c r="N2475" s="18">
        <f t="shared" si="237"/>
        <v>0.27057400000000004</v>
      </c>
      <c r="O2475" s="19">
        <f t="shared" si="238"/>
        <v>0</v>
      </c>
      <c r="P2475" s="13">
        <f t="shared" si="239"/>
        <v>0</v>
      </c>
      <c r="Q2475" s="9">
        <v>11</v>
      </c>
      <c r="R2475" s="45">
        <v>1</v>
      </c>
      <c r="S2475" s="2" t="s">
        <v>673</v>
      </c>
    </row>
    <row r="2476" spans="1:21">
      <c r="A2476" s="45" t="s">
        <v>136</v>
      </c>
      <c r="B2476" s="32" t="s">
        <v>137</v>
      </c>
      <c r="C2476" s="3">
        <v>82</v>
      </c>
      <c r="D2476" s="32"/>
      <c r="E2476" s="20" t="s">
        <v>19</v>
      </c>
      <c r="F2476" s="7" t="s">
        <v>14</v>
      </c>
      <c r="G2476" s="7" t="s">
        <v>25</v>
      </c>
      <c r="H2476" s="11">
        <v>7.34</v>
      </c>
      <c r="I2476" s="55">
        <v>9.6</v>
      </c>
      <c r="J2476" s="40">
        <v>1</v>
      </c>
      <c r="K2476" s="10">
        <f t="shared" si="236"/>
        <v>7.0463999999999999E-2</v>
      </c>
      <c r="L2476" s="4"/>
      <c r="M2476" s="17">
        <v>1</v>
      </c>
      <c r="N2476" s="18">
        <f t="shared" si="237"/>
        <v>7.0463999999999999E-2</v>
      </c>
      <c r="O2476" s="19">
        <f t="shared" si="238"/>
        <v>0</v>
      </c>
      <c r="P2476" s="13">
        <f t="shared" si="239"/>
        <v>0</v>
      </c>
      <c r="Q2476" s="9">
        <v>7.55</v>
      </c>
      <c r="R2476" s="32">
        <v>1</v>
      </c>
      <c r="S2476" s="2" t="s">
        <v>335</v>
      </c>
    </row>
    <row r="2477" spans="1:21">
      <c r="A2477" s="45" t="s">
        <v>136</v>
      </c>
      <c r="B2477" s="32" t="s">
        <v>137</v>
      </c>
      <c r="C2477" s="3">
        <v>82</v>
      </c>
      <c r="D2477" s="32"/>
      <c r="E2477" s="20" t="s">
        <v>19</v>
      </c>
      <c r="F2477" s="7" t="s">
        <v>14</v>
      </c>
      <c r="G2477" s="7" t="s">
        <v>25</v>
      </c>
      <c r="H2477" s="11">
        <v>7.34</v>
      </c>
      <c r="I2477" s="55">
        <v>10</v>
      </c>
      <c r="J2477" s="40">
        <v>2</v>
      </c>
      <c r="K2477" s="10">
        <f t="shared" si="236"/>
        <v>0.14680000000000001</v>
      </c>
      <c r="L2477" s="4"/>
      <c r="M2477" s="17">
        <v>2</v>
      </c>
      <c r="N2477" s="18">
        <f t="shared" si="237"/>
        <v>0.14680000000000001</v>
      </c>
      <c r="O2477" s="19">
        <f t="shared" si="238"/>
        <v>0</v>
      </c>
      <c r="P2477" s="13">
        <f t="shared" si="239"/>
        <v>0</v>
      </c>
      <c r="Q2477" s="32">
        <v>7.55</v>
      </c>
      <c r="R2477" s="32">
        <v>2</v>
      </c>
      <c r="S2477" s="2" t="s">
        <v>335</v>
      </c>
    </row>
    <row r="2478" spans="1:21">
      <c r="A2478" s="45" t="s">
        <v>136</v>
      </c>
      <c r="B2478" s="32" t="s">
        <v>137</v>
      </c>
      <c r="C2478" s="3">
        <v>83</v>
      </c>
      <c r="D2478" s="32"/>
      <c r="E2478" s="20" t="s">
        <v>20</v>
      </c>
      <c r="F2478" s="7" t="s">
        <v>15</v>
      </c>
      <c r="G2478" s="7" t="s">
        <v>39</v>
      </c>
      <c r="H2478" s="11">
        <v>14.66</v>
      </c>
      <c r="I2478" s="55">
        <v>8.3000000000000007</v>
      </c>
      <c r="J2478" s="40">
        <v>2</v>
      </c>
      <c r="K2478" s="10">
        <f t="shared" si="236"/>
        <v>0.24335600000000002</v>
      </c>
      <c r="L2478" s="4"/>
      <c r="M2478" s="17">
        <v>2</v>
      </c>
      <c r="N2478" s="18">
        <f t="shared" si="237"/>
        <v>0.24335600000000002</v>
      </c>
      <c r="O2478" s="19">
        <f t="shared" si="238"/>
        <v>0</v>
      </c>
      <c r="P2478" s="13">
        <f t="shared" si="239"/>
        <v>0</v>
      </c>
      <c r="Q2478" s="55">
        <v>6.5</v>
      </c>
      <c r="R2478" s="45">
        <v>2</v>
      </c>
      <c r="S2478" s="2" t="s">
        <v>444</v>
      </c>
    </row>
    <row r="2479" spans="1:21">
      <c r="A2479" s="45" t="s">
        <v>136</v>
      </c>
      <c r="B2479" s="32" t="s">
        <v>137</v>
      </c>
      <c r="C2479" s="3">
        <v>83</v>
      </c>
      <c r="D2479" s="32"/>
      <c r="E2479" s="20" t="s">
        <v>20</v>
      </c>
      <c r="F2479" s="7" t="s">
        <v>15</v>
      </c>
      <c r="G2479" s="7" t="s">
        <v>39</v>
      </c>
      <c r="H2479" s="11">
        <v>14.66</v>
      </c>
      <c r="I2479" s="55">
        <v>8</v>
      </c>
      <c r="J2479" s="40">
        <v>1</v>
      </c>
      <c r="K2479" s="10">
        <f t="shared" si="236"/>
        <v>0.11728</v>
      </c>
      <c r="L2479" s="4"/>
      <c r="M2479" s="17">
        <v>1</v>
      </c>
      <c r="N2479" s="18">
        <f t="shared" si="237"/>
        <v>0.11728</v>
      </c>
      <c r="O2479" s="19">
        <f t="shared" si="238"/>
        <v>0</v>
      </c>
      <c r="P2479" s="13">
        <f t="shared" si="239"/>
        <v>0</v>
      </c>
      <c r="Q2479" s="55"/>
      <c r="R2479" s="32"/>
      <c r="S2479" s="32"/>
    </row>
    <row r="2480" spans="1:21">
      <c r="A2480" s="45" t="s">
        <v>136</v>
      </c>
      <c r="B2480" s="32" t="s">
        <v>137</v>
      </c>
      <c r="C2480" s="3">
        <v>84</v>
      </c>
      <c r="D2480" s="32"/>
      <c r="E2480" s="20" t="s">
        <v>20</v>
      </c>
      <c r="F2480" s="7" t="s">
        <v>15</v>
      </c>
      <c r="G2480" s="7" t="s">
        <v>27</v>
      </c>
      <c r="H2480" s="11">
        <v>6.17</v>
      </c>
      <c r="I2480" s="55">
        <v>11.5</v>
      </c>
      <c r="J2480" s="40">
        <v>1</v>
      </c>
      <c r="K2480" s="10">
        <f t="shared" si="236"/>
        <v>7.0955000000000004E-2</v>
      </c>
      <c r="L2480" s="4"/>
      <c r="M2480" s="17">
        <v>1</v>
      </c>
      <c r="N2480" s="18">
        <f t="shared" si="237"/>
        <v>7.0955000000000004E-2</v>
      </c>
      <c r="O2480" s="19">
        <f t="shared" si="238"/>
        <v>0</v>
      </c>
      <c r="P2480" s="13">
        <f t="shared" si="239"/>
        <v>0</v>
      </c>
      <c r="Q2480" s="32">
        <v>11.5</v>
      </c>
      <c r="R2480" s="32">
        <v>1</v>
      </c>
      <c r="S2480" s="2" t="s">
        <v>699</v>
      </c>
      <c r="T2480" s="213"/>
      <c r="U2480" s="213"/>
    </row>
    <row r="2481" spans="1:21">
      <c r="A2481" s="45" t="s">
        <v>136</v>
      </c>
      <c r="B2481" s="32" t="s">
        <v>137</v>
      </c>
      <c r="C2481" s="3">
        <v>84</v>
      </c>
      <c r="D2481" s="32"/>
      <c r="E2481" s="20" t="s">
        <v>20</v>
      </c>
      <c r="F2481" s="7" t="s">
        <v>15</v>
      </c>
      <c r="G2481" s="7" t="s">
        <v>27</v>
      </c>
      <c r="H2481" s="11">
        <v>6.17</v>
      </c>
      <c r="I2481" s="55">
        <v>12</v>
      </c>
      <c r="J2481" s="40">
        <v>1</v>
      </c>
      <c r="K2481" s="10">
        <f t="shared" si="236"/>
        <v>7.4039999999999995E-2</v>
      </c>
      <c r="L2481" s="4"/>
      <c r="M2481" s="17">
        <v>1</v>
      </c>
      <c r="N2481" s="18">
        <f t="shared" si="237"/>
        <v>7.4039999999999995E-2</v>
      </c>
      <c r="O2481" s="19">
        <f t="shared" si="238"/>
        <v>0</v>
      </c>
      <c r="P2481" s="13">
        <f t="shared" si="239"/>
        <v>0</v>
      </c>
      <c r="Q2481" s="32">
        <v>11.5</v>
      </c>
      <c r="R2481" s="32">
        <v>1</v>
      </c>
      <c r="S2481" s="2" t="s">
        <v>699</v>
      </c>
      <c r="T2481" s="213"/>
      <c r="U2481" s="213"/>
    </row>
    <row r="2482" spans="1:21">
      <c r="A2482" s="45" t="s">
        <v>136</v>
      </c>
      <c r="B2482" s="32" t="s">
        <v>137</v>
      </c>
      <c r="C2482" s="3">
        <v>85</v>
      </c>
      <c r="D2482" s="32"/>
      <c r="E2482" s="20" t="s">
        <v>20</v>
      </c>
      <c r="F2482" s="7" t="s">
        <v>15</v>
      </c>
      <c r="G2482" s="7" t="s">
        <v>50</v>
      </c>
      <c r="H2482" s="11">
        <v>21.7</v>
      </c>
      <c r="I2482" s="55">
        <v>6.4</v>
      </c>
      <c r="J2482" s="40">
        <v>1</v>
      </c>
      <c r="K2482" s="10">
        <f t="shared" si="236"/>
        <v>0.13888</v>
      </c>
      <c r="L2482" s="4"/>
      <c r="M2482" s="17"/>
      <c r="N2482" s="18">
        <f t="shared" si="237"/>
        <v>0</v>
      </c>
      <c r="O2482" s="19">
        <f t="shared" si="238"/>
        <v>1</v>
      </c>
      <c r="P2482" s="13">
        <f t="shared" si="239"/>
        <v>0.13888</v>
      </c>
      <c r="Q2482" s="32"/>
      <c r="R2482" s="32"/>
      <c r="S2482" s="32"/>
    </row>
    <row r="2483" spans="1:21">
      <c r="A2483" s="45" t="s">
        <v>136</v>
      </c>
      <c r="B2483" s="32" t="s">
        <v>137</v>
      </c>
      <c r="C2483" s="3">
        <v>85</v>
      </c>
      <c r="D2483" s="32"/>
      <c r="E2483" s="20" t="s">
        <v>20</v>
      </c>
      <c r="F2483" s="7" t="s">
        <v>15</v>
      </c>
      <c r="G2483" s="7" t="s">
        <v>50</v>
      </c>
      <c r="H2483" s="11">
        <v>21.7</v>
      </c>
      <c r="I2483" s="55">
        <v>6.7</v>
      </c>
      <c r="J2483" s="40">
        <v>1</v>
      </c>
      <c r="K2483" s="10">
        <f t="shared" si="236"/>
        <v>0.14538999999999999</v>
      </c>
      <c r="L2483" s="4"/>
      <c r="M2483" s="17"/>
      <c r="N2483" s="18">
        <f t="shared" si="237"/>
        <v>0</v>
      </c>
      <c r="O2483" s="19">
        <f t="shared" si="238"/>
        <v>1</v>
      </c>
      <c r="P2483" s="13">
        <f t="shared" si="239"/>
        <v>0.14538999999999999</v>
      </c>
      <c r="Q2483" s="32"/>
      <c r="R2483" s="32"/>
      <c r="S2483" s="32"/>
    </row>
    <row r="2484" spans="1:21">
      <c r="A2484" s="45" t="s">
        <v>136</v>
      </c>
      <c r="B2484" s="32" t="s">
        <v>137</v>
      </c>
      <c r="C2484" s="3">
        <v>85</v>
      </c>
      <c r="D2484" s="32"/>
      <c r="E2484" s="20" t="s">
        <v>20</v>
      </c>
      <c r="F2484" s="7" t="s">
        <v>15</v>
      </c>
      <c r="G2484" s="7" t="s">
        <v>50</v>
      </c>
      <c r="H2484" s="11">
        <v>21.7</v>
      </c>
      <c r="I2484" s="55">
        <v>7.5</v>
      </c>
      <c r="J2484" s="40">
        <v>1</v>
      </c>
      <c r="K2484" s="10">
        <f t="shared" si="236"/>
        <v>0.16275000000000001</v>
      </c>
      <c r="L2484" s="4"/>
      <c r="M2484" s="17">
        <v>1</v>
      </c>
      <c r="N2484" s="18">
        <f t="shared" si="237"/>
        <v>0.16275000000000001</v>
      </c>
      <c r="O2484" s="19">
        <f t="shared" si="238"/>
        <v>0</v>
      </c>
      <c r="P2484" s="13">
        <f t="shared" si="239"/>
        <v>0</v>
      </c>
      <c r="Q2484" s="33">
        <v>7</v>
      </c>
      <c r="R2484" s="32">
        <v>1</v>
      </c>
      <c r="S2484" s="32" t="s">
        <v>602</v>
      </c>
    </row>
    <row r="2485" spans="1:21">
      <c r="A2485" s="45" t="s">
        <v>136</v>
      </c>
      <c r="B2485" s="32" t="s">
        <v>137</v>
      </c>
      <c r="C2485" s="3">
        <v>85</v>
      </c>
      <c r="D2485" s="32"/>
      <c r="E2485" s="20" t="s">
        <v>20</v>
      </c>
      <c r="F2485" s="7" t="s">
        <v>15</v>
      </c>
      <c r="G2485" s="7" t="s">
        <v>50</v>
      </c>
      <c r="H2485" s="11">
        <v>21.7</v>
      </c>
      <c r="I2485" s="55">
        <v>10.1</v>
      </c>
      <c r="J2485" s="40">
        <v>1</v>
      </c>
      <c r="K2485" s="10">
        <f t="shared" si="236"/>
        <v>0.21916999999999998</v>
      </c>
      <c r="L2485" s="4"/>
      <c r="M2485" s="17">
        <v>1</v>
      </c>
      <c r="N2485" s="18">
        <f t="shared" si="237"/>
        <v>0.21916999999999998</v>
      </c>
      <c r="O2485" s="19">
        <f t="shared" si="238"/>
        <v>0</v>
      </c>
      <c r="P2485" s="13">
        <f t="shared" si="239"/>
        <v>0</v>
      </c>
      <c r="Q2485" s="33">
        <v>8.5500000000000007</v>
      </c>
      <c r="R2485" s="32">
        <v>1</v>
      </c>
      <c r="S2485" s="32" t="s">
        <v>602</v>
      </c>
    </row>
    <row r="2486" spans="1:21">
      <c r="A2486" s="45" t="s">
        <v>136</v>
      </c>
      <c r="B2486" s="32" t="s">
        <v>137</v>
      </c>
      <c r="C2486" s="3">
        <v>86</v>
      </c>
      <c r="D2486" s="32"/>
      <c r="E2486" s="20" t="s">
        <v>20</v>
      </c>
      <c r="F2486" s="7" t="s">
        <v>15</v>
      </c>
      <c r="G2486" s="7" t="s">
        <v>56</v>
      </c>
      <c r="H2486" s="11">
        <v>25.2</v>
      </c>
      <c r="I2486" s="55">
        <v>6.6</v>
      </c>
      <c r="J2486" s="40">
        <v>1</v>
      </c>
      <c r="K2486" s="10">
        <f t="shared" si="236"/>
        <v>0.16632</v>
      </c>
      <c r="L2486" s="4"/>
      <c r="M2486" s="17"/>
      <c r="N2486" s="18">
        <f t="shared" si="237"/>
        <v>0</v>
      </c>
      <c r="O2486" s="19">
        <f t="shared" si="238"/>
        <v>1</v>
      </c>
      <c r="P2486" s="13">
        <f t="shared" si="239"/>
        <v>0.16632</v>
      </c>
      <c r="Q2486" s="32"/>
      <c r="R2486" s="32"/>
      <c r="S2486" s="32"/>
    </row>
    <row r="2487" spans="1:21">
      <c r="A2487" s="45" t="s">
        <v>136</v>
      </c>
      <c r="B2487" s="32" t="s">
        <v>137</v>
      </c>
      <c r="C2487" s="3">
        <v>86</v>
      </c>
      <c r="D2487" s="32"/>
      <c r="E2487" s="20" t="s">
        <v>20</v>
      </c>
      <c r="F2487" s="7" t="s">
        <v>15</v>
      </c>
      <c r="G2487" s="7" t="s">
        <v>54</v>
      </c>
      <c r="H2487" s="11">
        <v>31.6</v>
      </c>
      <c r="I2487" s="55">
        <v>7</v>
      </c>
      <c r="J2487" s="40">
        <v>1</v>
      </c>
      <c r="K2487" s="10">
        <f t="shared" si="236"/>
        <v>0.22120000000000001</v>
      </c>
      <c r="L2487" s="4"/>
      <c r="M2487" s="17">
        <v>1</v>
      </c>
      <c r="N2487" s="18">
        <f t="shared" si="237"/>
        <v>0.22120000000000001</v>
      </c>
      <c r="O2487" s="106">
        <f t="shared" si="238"/>
        <v>0</v>
      </c>
      <c r="P2487" s="13">
        <f t="shared" si="239"/>
        <v>0</v>
      </c>
      <c r="Q2487" s="55">
        <v>6.1449999999999996</v>
      </c>
      <c r="R2487" s="91">
        <v>1</v>
      </c>
      <c r="S2487" s="32" t="s">
        <v>462</v>
      </c>
    </row>
    <row r="2488" spans="1:21">
      <c r="A2488" s="45" t="s">
        <v>136</v>
      </c>
      <c r="B2488" s="32" t="s">
        <v>137</v>
      </c>
      <c r="C2488" s="3">
        <v>86</v>
      </c>
      <c r="D2488" s="32"/>
      <c r="E2488" s="20" t="s">
        <v>20</v>
      </c>
      <c r="F2488" s="7" t="s">
        <v>15</v>
      </c>
      <c r="G2488" s="7" t="s">
        <v>57</v>
      </c>
      <c r="H2488" s="11">
        <v>33.72</v>
      </c>
      <c r="I2488" s="55">
        <v>6.3</v>
      </c>
      <c r="J2488" s="40">
        <v>1</v>
      </c>
      <c r="K2488" s="10">
        <f t="shared" si="236"/>
        <v>0.21243599999999999</v>
      </c>
      <c r="L2488" s="4"/>
      <c r="M2488" s="17">
        <v>1</v>
      </c>
      <c r="N2488" s="18">
        <f t="shared" si="237"/>
        <v>0.21243599999999999</v>
      </c>
      <c r="O2488" s="106">
        <f t="shared" si="238"/>
        <v>0</v>
      </c>
      <c r="P2488" s="13">
        <f t="shared" si="239"/>
        <v>0</v>
      </c>
      <c r="Q2488" s="359">
        <f t="shared" ref="Q2488" si="241">4.602+0.15</f>
        <v>4.7520000000000007</v>
      </c>
      <c r="R2488" s="91">
        <v>1</v>
      </c>
      <c r="S2488" s="2" t="s">
        <v>454</v>
      </c>
    </row>
    <row r="2489" spans="1:21">
      <c r="A2489" s="45" t="s">
        <v>136</v>
      </c>
      <c r="B2489" s="32" t="s">
        <v>137</v>
      </c>
      <c r="C2489" s="3">
        <v>87</v>
      </c>
      <c r="D2489" s="32"/>
      <c r="E2489" s="20" t="s">
        <v>19</v>
      </c>
      <c r="F2489" s="7" t="s">
        <v>14</v>
      </c>
      <c r="G2489" s="7" t="s">
        <v>39</v>
      </c>
      <c r="H2489" s="11">
        <v>14.66</v>
      </c>
      <c r="I2489" s="55">
        <v>6.5</v>
      </c>
      <c r="J2489" s="40">
        <v>1</v>
      </c>
      <c r="K2489" s="10">
        <f t="shared" ref="K2489:K2532" si="242">(H2489*I2489*J2489/1000)</f>
        <v>9.529E-2</v>
      </c>
      <c r="L2489" s="4"/>
      <c r="M2489" s="17">
        <v>1</v>
      </c>
      <c r="N2489" s="18">
        <f t="shared" ref="N2489:N2532" si="243">I2489*M2489*H2489/1000</f>
        <v>9.529E-2</v>
      </c>
      <c r="O2489" s="19">
        <f t="shared" ref="O2489:O2532" si="244">J2489-M2489</f>
        <v>0</v>
      </c>
      <c r="P2489" s="13">
        <f t="shared" ref="P2489:P2532" si="245">I2489*O2489*H2489/1000</f>
        <v>0</v>
      </c>
      <c r="Q2489" s="32"/>
      <c r="R2489" s="32">
        <v>1</v>
      </c>
      <c r="S2489" s="32" t="s">
        <v>631</v>
      </c>
    </row>
    <row r="2490" spans="1:21">
      <c r="A2490" s="45" t="s">
        <v>136</v>
      </c>
      <c r="B2490" s="32" t="s">
        <v>137</v>
      </c>
      <c r="C2490" s="3">
        <v>87</v>
      </c>
      <c r="D2490" s="32"/>
      <c r="E2490" s="20" t="s">
        <v>19</v>
      </c>
      <c r="F2490" s="7" t="s">
        <v>14</v>
      </c>
      <c r="G2490" s="7" t="s">
        <v>39</v>
      </c>
      <c r="H2490" s="11">
        <v>14.66</v>
      </c>
      <c r="I2490" s="55">
        <v>6.7</v>
      </c>
      <c r="J2490" s="40">
        <v>1</v>
      </c>
      <c r="K2490" s="10">
        <f t="shared" si="242"/>
        <v>9.8222000000000004E-2</v>
      </c>
      <c r="L2490" s="4"/>
      <c r="M2490" s="17">
        <v>1</v>
      </c>
      <c r="N2490" s="18">
        <f t="shared" si="243"/>
        <v>9.8222000000000004E-2</v>
      </c>
      <c r="O2490" s="19">
        <f t="shared" si="244"/>
        <v>0</v>
      </c>
      <c r="P2490" s="13">
        <f t="shared" si="245"/>
        <v>0</v>
      </c>
      <c r="Q2490" s="32"/>
      <c r="R2490" s="32">
        <v>1</v>
      </c>
      <c r="S2490" s="32" t="s">
        <v>631</v>
      </c>
    </row>
    <row r="2491" spans="1:21">
      <c r="A2491" s="45" t="s">
        <v>136</v>
      </c>
      <c r="B2491" s="32" t="s">
        <v>137</v>
      </c>
      <c r="C2491" s="3">
        <v>87</v>
      </c>
      <c r="D2491" s="32"/>
      <c r="E2491" s="20" t="s">
        <v>19</v>
      </c>
      <c r="F2491" s="7" t="s">
        <v>14</v>
      </c>
      <c r="G2491" s="7" t="s">
        <v>39</v>
      </c>
      <c r="H2491" s="11">
        <v>14.66</v>
      </c>
      <c r="I2491" s="55">
        <v>7.2</v>
      </c>
      <c r="J2491" s="40">
        <v>1</v>
      </c>
      <c r="K2491" s="10">
        <f t="shared" si="242"/>
        <v>0.10555200000000001</v>
      </c>
      <c r="L2491" s="4"/>
      <c r="M2491" s="17">
        <v>1</v>
      </c>
      <c r="N2491" s="18">
        <f t="shared" si="243"/>
        <v>0.10555200000000001</v>
      </c>
      <c r="O2491" s="19">
        <f t="shared" si="244"/>
        <v>0</v>
      </c>
      <c r="P2491" s="13">
        <f t="shared" si="245"/>
        <v>0</v>
      </c>
      <c r="Q2491" s="32"/>
      <c r="R2491" s="32">
        <v>1</v>
      </c>
      <c r="S2491" s="32" t="s">
        <v>631</v>
      </c>
    </row>
    <row r="2492" spans="1:21">
      <c r="A2492" s="45" t="s">
        <v>136</v>
      </c>
      <c r="B2492" s="32" t="s">
        <v>137</v>
      </c>
      <c r="C2492" s="3">
        <v>87</v>
      </c>
      <c r="D2492" s="32"/>
      <c r="E2492" s="20" t="s">
        <v>19</v>
      </c>
      <c r="F2492" s="7" t="s">
        <v>14</v>
      </c>
      <c r="G2492" s="7" t="s">
        <v>39</v>
      </c>
      <c r="H2492" s="11">
        <v>14.66</v>
      </c>
      <c r="I2492" s="55">
        <v>8.4</v>
      </c>
      <c r="J2492" s="40">
        <v>1</v>
      </c>
      <c r="K2492" s="10">
        <f t="shared" si="242"/>
        <v>0.123144</v>
      </c>
      <c r="L2492" s="4"/>
      <c r="M2492" s="17">
        <v>1</v>
      </c>
      <c r="N2492" s="18">
        <f t="shared" si="243"/>
        <v>0.123144</v>
      </c>
      <c r="O2492" s="19">
        <f t="shared" si="244"/>
        <v>0</v>
      </c>
      <c r="P2492" s="13">
        <f t="shared" si="245"/>
        <v>0</v>
      </c>
      <c r="Q2492" s="32"/>
      <c r="R2492" s="32">
        <v>1</v>
      </c>
      <c r="S2492" s="32" t="s">
        <v>631</v>
      </c>
    </row>
    <row r="2493" spans="1:21">
      <c r="A2493" s="45" t="s">
        <v>136</v>
      </c>
      <c r="B2493" s="32" t="s">
        <v>137</v>
      </c>
      <c r="C2493" s="3">
        <v>87</v>
      </c>
      <c r="D2493" s="32"/>
      <c r="E2493" s="20" t="s">
        <v>19</v>
      </c>
      <c r="F2493" s="7" t="s">
        <v>14</v>
      </c>
      <c r="G2493" s="7" t="s">
        <v>39</v>
      </c>
      <c r="H2493" s="11">
        <v>14.66</v>
      </c>
      <c r="I2493" s="33">
        <v>10.9</v>
      </c>
      <c r="J2493" s="40">
        <v>1</v>
      </c>
      <c r="K2493" s="10">
        <f t="shared" si="242"/>
        <v>0.15979400000000002</v>
      </c>
      <c r="L2493" s="4"/>
      <c r="M2493" s="17">
        <v>1</v>
      </c>
      <c r="N2493" s="18">
        <f t="shared" si="243"/>
        <v>0.15979400000000002</v>
      </c>
      <c r="O2493" s="19">
        <f t="shared" si="244"/>
        <v>0</v>
      </c>
      <c r="P2493" s="13">
        <f t="shared" si="245"/>
        <v>0</v>
      </c>
      <c r="Q2493" s="33">
        <v>9.1</v>
      </c>
      <c r="R2493" s="45">
        <v>1</v>
      </c>
      <c r="S2493" s="32" t="s">
        <v>646</v>
      </c>
    </row>
    <row r="2494" spans="1:21">
      <c r="A2494" s="45" t="s">
        <v>136</v>
      </c>
      <c r="B2494" s="32" t="s">
        <v>137</v>
      </c>
      <c r="C2494" s="3">
        <v>87</v>
      </c>
      <c r="D2494" s="32"/>
      <c r="E2494" s="20" t="s">
        <v>19</v>
      </c>
      <c r="F2494" s="7" t="s">
        <v>14</v>
      </c>
      <c r="G2494" s="7" t="s">
        <v>39</v>
      </c>
      <c r="H2494" s="11">
        <v>14.66</v>
      </c>
      <c r="I2494" s="33">
        <v>11.1</v>
      </c>
      <c r="J2494" s="40">
        <v>1</v>
      </c>
      <c r="K2494" s="10">
        <f t="shared" si="242"/>
        <v>0.16272600000000001</v>
      </c>
      <c r="L2494" s="4"/>
      <c r="M2494" s="17">
        <v>1</v>
      </c>
      <c r="N2494" s="18">
        <f t="shared" si="243"/>
        <v>0.16272600000000001</v>
      </c>
      <c r="O2494" s="19">
        <f t="shared" si="244"/>
        <v>0</v>
      </c>
      <c r="P2494" s="13">
        <f t="shared" si="245"/>
        <v>0</v>
      </c>
      <c r="Q2494" s="33">
        <v>9.1</v>
      </c>
      <c r="R2494" s="45">
        <v>1</v>
      </c>
      <c r="S2494" s="32" t="s">
        <v>646</v>
      </c>
    </row>
    <row r="2495" spans="1:21">
      <c r="A2495" s="45" t="s">
        <v>136</v>
      </c>
      <c r="B2495" s="32" t="s">
        <v>137</v>
      </c>
      <c r="C2495" s="3">
        <v>88</v>
      </c>
      <c r="D2495" s="32"/>
      <c r="E2495" s="20" t="s">
        <v>19</v>
      </c>
      <c r="F2495" s="7" t="s">
        <v>14</v>
      </c>
      <c r="G2495" s="7" t="s">
        <v>39</v>
      </c>
      <c r="H2495" s="11">
        <v>14.66</v>
      </c>
      <c r="I2495" s="55">
        <v>6.4</v>
      </c>
      <c r="J2495" s="40">
        <v>1</v>
      </c>
      <c r="K2495" s="10">
        <f t="shared" si="242"/>
        <v>9.3824000000000018E-2</v>
      </c>
      <c r="L2495" s="4"/>
      <c r="M2495" s="17">
        <v>1</v>
      </c>
      <c r="N2495" s="18">
        <f t="shared" si="243"/>
        <v>9.3824000000000018E-2</v>
      </c>
      <c r="O2495" s="19">
        <f t="shared" si="244"/>
        <v>0</v>
      </c>
      <c r="P2495" s="13">
        <f t="shared" si="245"/>
        <v>0</v>
      </c>
      <c r="Q2495" s="32"/>
      <c r="R2495" s="32">
        <v>1</v>
      </c>
      <c r="S2495" s="32" t="s">
        <v>631</v>
      </c>
    </row>
    <row r="2496" spans="1:21">
      <c r="A2496" s="45" t="s">
        <v>136</v>
      </c>
      <c r="B2496" s="32" t="s">
        <v>137</v>
      </c>
      <c r="C2496" s="3">
        <v>88</v>
      </c>
      <c r="D2496" s="32"/>
      <c r="E2496" s="20" t="s">
        <v>19</v>
      </c>
      <c r="F2496" s="7" t="s">
        <v>14</v>
      </c>
      <c r="G2496" s="7" t="s">
        <v>39</v>
      </c>
      <c r="H2496" s="11">
        <v>14.66</v>
      </c>
      <c r="I2496" s="55">
        <v>7.7</v>
      </c>
      <c r="J2496" s="40">
        <v>1</v>
      </c>
      <c r="K2496" s="10">
        <f t="shared" si="242"/>
        <v>0.11288200000000001</v>
      </c>
      <c r="L2496" s="4"/>
      <c r="M2496" s="17">
        <v>1</v>
      </c>
      <c r="N2496" s="18">
        <f t="shared" si="243"/>
        <v>0.11288200000000001</v>
      </c>
      <c r="O2496" s="19">
        <f t="shared" si="244"/>
        <v>0</v>
      </c>
      <c r="P2496" s="13">
        <f t="shared" si="245"/>
        <v>0</v>
      </c>
      <c r="Q2496" s="32"/>
      <c r="R2496" s="32">
        <v>1</v>
      </c>
      <c r="S2496" s="32" t="s">
        <v>631</v>
      </c>
    </row>
    <row r="2497" spans="1:19">
      <c r="A2497" s="45" t="s">
        <v>136</v>
      </c>
      <c r="B2497" s="32" t="s">
        <v>137</v>
      </c>
      <c r="C2497" s="3">
        <v>88</v>
      </c>
      <c r="D2497" s="32"/>
      <c r="E2497" s="20" t="s">
        <v>19</v>
      </c>
      <c r="F2497" s="7" t="s">
        <v>14</v>
      </c>
      <c r="G2497" s="7" t="s">
        <v>39</v>
      </c>
      <c r="H2497" s="11">
        <v>14.66</v>
      </c>
      <c r="I2497" s="55">
        <v>8</v>
      </c>
      <c r="J2497" s="40">
        <v>2</v>
      </c>
      <c r="K2497" s="10">
        <f t="shared" si="242"/>
        <v>0.23455999999999999</v>
      </c>
      <c r="L2497" s="4"/>
      <c r="M2497" s="17">
        <v>2</v>
      </c>
      <c r="N2497" s="18">
        <f t="shared" si="243"/>
        <v>0.23455999999999999</v>
      </c>
      <c r="O2497" s="19">
        <f t="shared" si="244"/>
        <v>0</v>
      </c>
      <c r="P2497" s="13">
        <f t="shared" si="245"/>
        <v>0</v>
      </c>
      <c r="Q2497" s="32"/>
      <c r="R2497" s="32">
        <v>2</v>
      </c>
      <c r="S2497" s="32" t="s">
        <v>631</v>
      </c>
    </row>
    <row r="2498" spans="1:19">
      <c r="A2498" s="45" t="s">
        <v>136</v>
      </c>
      <c r="B2498" s="32" t="s">
        <v>137</v>
      </c>
      <c r="C2498" s="3">
        <v>88</v>
      </c>
      <c r="D2498" s="32"/>
      <c r="E2498" s="20" t="s">
        <v>19</v>
      </c>
      <c r="F2498" s="7" t="s">
        <v>14</v>
      </c>
      <c r="G2498" s="7" t="s">
        <v>39</v>
      </c>
      <c r="H2498" s="11">
        <v>14.66</v>
      </c>
      <c r="I2498" s="55">
        <v>8.1</v>
      </c>
      <c r="J2498" s="40">
        <v>1</v>
      </c>
      <c r="K2498" s="10">
        <f t="shared" si="242"/>
        <v>0.11874599999999999</v>
      </c>
      <c r="L2498" s="4"/>
      <c r="M2498" s="17">
        <v>1</v>
      </c>
      <c r="N2498" s="18">
        <f t="shared" si="243"/>
        <v>0.11874599999999999</v>
      </c>
      <c r="O2498" s="19">
        <f t="shared" si="244"/>
        <v>0</v>
      </c>
      <c r="P2498" s="13">
        <f t="shared" si="245"/>
        <v>0</v>
      </c>
      <c r="Q2498" s="32"/>
      <c r="R2498" s="32">
        <v>1</v>
      </c>
      <c r="S2498" s="32" t="s">
        <v>631</v>
      </c>
    </row>
    <row r="2499" spans="1:19">
      <c r="A2499" s="45" t="s">
        <v>136</v>
      </c>
      <c r="B2499" s="32" t="s">
        <v>137</v>
      </c>
      <c r="C2499" s="3">
        <v>89</v>
      </c>
      <c r="D2499" s="32"/>
      <c r="E2499" s="20" t="s">
        <v>19</v>
      </c>
      <c r="F2499" s="7" t="s">
        <v>14</v>
      </c>
      <c r="G2499" s="7" t="s">
        <v>39</v>
      </c>
      <c r="H2499" s="11">
        <v>14.66</v>
      </c>
      <c r="I2499" s="55">
        <v>8.8000000000000007</v>
      </c>
      <c r="J2499" s="40">
        <v>3</v>
      </c>
      <c r="K2499" s="10">
        <f t="shared" si="242"/>
        <v>0.38702399999999998</v>
      </c>
      <c r="L2499" s="4"/>
      <c r="M2499" s="17">
        <v>3</v>
      </c>
      <c r="N2499" s="18">
        <f t="shared" si="243"/>
        <v>0.38702400000000003</v>
      </c>
      <c r="O2499" s="19">
        <f t="shared" si="244"/>
        <v>0</v>
      </c>
      <c r="P2499" s="13">
        <f t="shared" si="245"/>
        <v>0</v>
      </c>
      <c r="Q2499" s="32"/>
      <c r="R2499" s="32">
        <v>3</v>
      </c>
      <c r="S2499" s="32" t="s">
        <v>631</v>
      </c>
    </row>
    <row r="2500" spans="1:19">
      <c r="A2500" s="45" t="s">
        <v>136</v>
      </c>
      <c r="B2500" s="32" t="s">
        <v>137</v>
      </c>
      <c r="C2500" s="3">
        <v>90</v>
      </c>
      <c r="D2500" s="32"/>
      <c r="E2500" s="20" t="s">
        <v>20</v>
      </c>
      <c r="F2500" s="7" t="s">
        <v>15</v>
      </c>
      <c r="G2500" s="7" t="s">
        <v>49</v>
      </c>
      <c r="H2500" s="11">
        <v>17.82</v>
      </c>
      <c r="I2500" s="55">
        <v>7</v>
      </c>
      <c r="J2500" s="40">
        <v>1</v>
      </c>
      <c r="K2500" s="10">
        <f t="shared" si="242"/>
        <v>0.12474</v>
      </c>
      <c r="L2500" s="4"/>
      <c r="M2500" s="17">
        <v>1</v>
      </c>
      <c r="N2500" s="18">
        <f t="shared" si="243"/>
        <v>0.12474</v>
      </c>
      <c r="O2500" s="19">
        <f t="shared" si="244"/>
        <v>0</v>
      </c>
      <c r="P2500" s="13">
        <f t="shared" si="245"/>
        <v>0</v>
      </c>
      <c r="Q2500" s="33">
        <v>6.1</v>
      </c>
      <c r="R2500" s="32">
        <v>1</v>
      </c>
      <c r="S2500" s="32" t="s">
        <v>603</v>
      </c>
    </row>
    <row r="2501" spans="1:19">
      <c r="A2501" s="45" t="s">
        <v>136</v>
      </c>
      <c r="B2501" s="32" t="s">
        <v>137</v>
      </c>
      <c r="C2501" s="3">
        <v>90</v>
      </c>
      <c r="D2501" s="32"/>
      <c r="E2501" s="20" t="s">
        <v>139</v>
      </c>
      <c r="F2501" s="7" t="s">
        <v>15</v>
      </c>
      <c r="G2501" s="7" t="s">
        <v>50</v>
      </c>
      <c r="H2501" s="11">
        <v>21.7</v>
      </c>
      <c r="I2501" s="55">
        <v>7.2</v>
      </c>
      <c r="J2501" s="40">
        <v>1</v>
      </c>
      <c r="K2501" s="10">
        <f t="shared" si="242"/>
        <v>0.15624000000000002</v>
      </c>
      <c r="L2501" s="4"/>
      <c r="M2501" s="17">
        <v>1</v>
      </c>
      <c r="N2501" s="18">
        <f t="shared" si="243"/>
        <v>0.15624000000000002</v>
      </c>
      <c r="O2501" s="19">
        <f t="shared" si="244"/>
        <v>0</v>
      </c>
      <c r="P2501" s="13">
        <f t="shared" si="245"/>
        <v>0</v>
      </c>
      <c r="Q2501" s="33">
        <v>7</v>
      </c>
      <c r="R2501" s="32">
        <v>1</v>
      </c>
      <c r="S2501" s="32" t="s">
        <v>602</v>
      </c>
    </row>
    <row r="2502" spans="1:19">
      <c r="A2502" s="45" t="s">
        <v>136</v>
      </c>
      <c r="B2502" s="32" t="s">
        <v>137</v>
      </c>
      <c r="C2502" s="3">
        <v>90</v>
      </c>
      <c r="D2502" s="32"/>
      <c r="E2502" s="20" t="s">
        <v>139</v>
      </c>
      <c r="F2502" s="7" t="s">
        <v>15</v>
      </c>
      <c r="G2502" s="7" t="s">
        <v>50</v>
      </c>
      <c r="H2502" s="11">
        <v>21.7</v>
      </c>
      <c r="I2502" s="55">
        <v>12</v>
      </c>
      <c r="J2502" s="40">
        <v>1</v>
      </c>
      <c r="K2502" s="10">
        <f t="shared" si="242"/>
        <v>0.26039999999999996</v>
      </c>
      <c r="L2502" s="4"/>
      <c r="M2502" s="17">
        <v>1</v>
      </c>
      <c r="N2502" s="18">
        <f t="shared" si="243"/>
        <v>0.26039999999999996</v>
      </c>
      <c r="O2502" s="19">
        <f t="shared" si="244"/>
        <v>0</v>
      </c>
      <c r="P2502" s="13">
        <f t="shared" si="245"/>
        <v>0</v>
      </c>
      <c r="Q2502" s="33">
        <v>8.5500000000000007</v>
      </c>
      <c r="R2502" s="32">
        <v>1</v>
      </c>
      <c r="S2502" s="32" t="s">
        <v>602</v>
      </c>
    </row>
    <row r="2503" spans="1:19">
      <c r="A2503" s="45" t="s">
        <v>136</v>
      </c>
      <c r="B2503" s="32" t="s">
        <v>137</v>
      </c>
      <c r="C2503" s="3">
        <v>91</v>
      </c>
      <c r="D2503" s="32"/>
      <c r="E2503" s="20" t="s">
        <v>139</v>
      </c>
      <c r="F2503" s="7" t="s">
        <v>15</v>
      </c>
      <c r="G2503" s="7" t="s">
        <v>33</v>
      </c>
      <c r="H2503" s="11">
        <v>15.92</v>
      </c>
      <c r="I2503" s="33">
        <v>6.7</v>
      </c>
      <c r="J2503" s="40">
        <v>1</v>
      </c>
      <c r="K2503" s="10">
        <f t="shared" si="242"/>
        <v>0.10666399999999999</v>
      </c>
      <c r="L2503" s="4"/>
      <c r="M2503" s="17">
        <v>1</v>
      </c>
      <c r="N2503" s="18">
        <f t="shared" si="243"/>
        <v>0.10666399999999999</v>
      </c>
      <c r="O2503" s="19">
        <f t="shared" si="244"/>
        <v>0</v>
      </c>
      <c r="P2503" s="53">
        <f t="shared" si="245"/>
        <v>0</v>
      </c>
      <c r="Q2503" s="32"/>
      <c r="R2503" s="358">
        <v>1</v>
      </c>
      <c r="S2503" s="32" t="s">
        <v>371</v>
      </c>
    </row>
    <row r="2504" spans="1:19">
      <c r="A2504" s="45" t="s">
        <v>136</v>
      </c>
      <c r="B2504" s="32" t="s">
        <v>137</v>
      </c>
      <c r="C2504" s="3">
        <v>91</v>
      </c>
      <c r="D2504" s="32"/>
      <c r="E2504" s="20" t="s">
        <v>139</v>
      </c>
      <c r="F2504" s="7" t="s">
        <v>15</v>
      </c>
      <c r="G2504" s="7" t="s">
        <v>33</v>
      </c>
      <c r="H2504" s="11">
        <v>15.92</v>
      </c>
      <c r="I2504" s="33">
        <v>6.3</v>
      </c>
      <c r="J2504" s="40">
        <v>1</v>
      </c>
      <c r="K2504" s="10">
        <f t="shared" si="242"/>
        <v>0.100296</v>
      </c>
      <c r="L2504" s="4"/>
      <c r="M2504" s="17">
        <v>1</v>
      </c>
      <c r="N2504" s="18">
        <f t="shared" si="243"/>
        <v>0.100296</v>
      </c>
      <c r="O2504" s="19">
        <f t="shared" si="244"/>
        <v>0</v>
      </c>
      <c r="P2504" s="53">
        <f t="shared" si="245"/>
        <v>0</v>
      </c>
      <c r="Q2504" s="32"/>
      <c r="R2504" s="358">
        <v>1</v>
      </c>
      <c r="S2504" s="32" t="s">
        <v>371</v>
      </c>
    </row>
    <row r="2505" spans="1:19">
      <c r="A2505" s="45" t="s">
        <v>136</v>
      </c>
      <c r="B2505" s="32" t="s">
        <v>137</v>
      </c>
      <c r="C2505" s="3">
        <v>92</v>
      </c>
      <c r="D2505" s="32"/>
      <c r="E2505" s="20" t="s">
        <v>89</v>
      </c>
      <c r="F2505" s="7" t="s">
        <v>15</v>
      </c>
      <c r="G2505" s="7" t="s">
        <v>48</v>
      </c>
      <c r="H2505" s="11">
        <v>23.6</v>
      </c>
      <c r="I2505" s="55">
        <v>12</v>
      </c>
      <c r="J2505" s="40">
        <v>6</v>
      </c>
      <c r="K2505" s="10">
        <f t="shared" si="242"/>
        <v>1.6992000000000003</v>
      </c>
      <c r="L2505" s="4"/>
      <c r="M2505" s="17">
        <v>6</v>
      </c>
      <c r="N2505" s="18">
        <f t="shared" si="243"/>
        <v>1.6992</v>
      </c>
      <c r="O2505" s="19">
        <f t="shared" si="244"/>
        <v>0</v>
      </c>
      <c r="P2505" s="13">
        <f t="shared" si="245"/>
        <v>0</v>
      </c>
      <c r="Q2505" s="311" t="s">
        <v>315</v>
      </c>
      <c r="R2505" s="32">
        <v>6</v>
      </c>
      <c r="S2505" s="32" t="s">
        <v>318</v>
      </c>
    </row>
    <row r="2506" spans="1:19">
      <c r="A2506" s="45" t="s">
        <v>136</v>
      </c>
      <c r="B2506" s="32" t="s">
        <v>137</v>
      </c>
      <c r="C2506" s="3">
        <v>93</v>
      </c>
      <c r="D2506" s="32"/>
      <c r="E2506" s="20" t="s">
        <v>20</v>
      </c>
      <c r="F2506" s="7" t="s">
        <v>15</v>
      </c>
      <c r="G2506" s="7" t="s">
        <v>50</v>
      </c>
      <c r="H2506" s="11">
        <v>21.7</v>
      </c>
      <c r="I2506" s="55">
        <v>7</v>
      </c>
      <c r="J2506" s="40">
        <v>1</v>
      </c>
      <c r="K2506" s="10">
        <f t="shared" si="242"/>
        <v>0.15190000000000001</v>
      </c>
      <c r="L2506" s="4"/>
      <c r="M2506" s="17">
        <v>1</v>
      </c>
      <c r="N2506" s="18">
        <f t="shared" si="243"/>
        <v>0.15190000000000001</v>
      </c>
      <c r="O2506" s="19">
        <f t="shared" si="244"/>
        <v>0</v>
      </c>
      <c r="P2506" s="13">
        <f t="shared" si="245"/>
        <v>0</v>
      </c>
      <c r="Q2506" s="33">
        <v>7</v>
      </c>
      <c r="R2506" s="32">
        <v>1</v>
      </c>
      <c r="S2506" s="32" t="s">
        <v>602</v>
      </c>
    </row>
    <row r="2507" spans="1:19">
      <c r="A2507" s="45" t="s">
        <v>136</v>
      </c>
      <c r="B2507" s="32" t="s">
        <v>137</v>
      </c>
      <c r="C2507" s="3">
        <v>93</v>
      </c>
      <c r="D2507" s="32"/>
      <c r="E2507" s="20" t="s">
        <v>20</v>
      </c>
      <c r="F2507" s="7" t="s">
        <v>15</v>
      </c>
      <c r="G2507" s="7" t="s">
        <v>50</v>
      </c>
      <c r="H2507" s="11">
        <v>21.7</v>
      </c>
      <c r="I2507" s="55">
        <v>6.2</v>
      </c>
      <c r="J2507" s="40">
        <v>1</v>
      </c>
      <c r="K2507" s="10">
        <f t="shared" si="242"/>
        <v>0.13453999999999999</v>
      </c>
      <c r="L2507" s="4"/>
      <c r="M2507" s="17"/>
      <c r="N2507" s="18">
        <f t="shared" si="243"/>
        <v>0</v>
      </c>
      <c r="O2507" s="19">
        <f t="shared" si="244"/>
        <v>1</v>
      </c>
      <c r="P2507" s="13">
        <f t="shared" si="245"/>
        <v>0.13453999999999999</v>
      </c>
      <c r="Q2507" s="33"/>
      <c r="R2507" s="32"/>
      <c r="S2507" s="32"/>
    </row>
    <row r="2508" spans="1:19">
      <c r="A2508" s="45" t="s">
        <v>136</v>
      </c>
      <c r="B2508" s="32" t="s">
        <v>137</v>
      </c>
      <c r="C2508" s="3">
        <v>93</v>
      </c>
      <c r="D2508" s="32"/>
      <c r="E2508" s="20" t="s">
        <v>20</v>
      </c>
      <c r="F2508" s="7" t="s">
        <v>15</v>
      </c>
      <c r="G2508" s="7" t="s">
        <v>50</v>
      </c>
      <c r="H2508" s="11">
        <v>21.7</v>
      </c>
      <c r="I2508" s="55">
        <v>6.7</v>
      </c>
      <c r="J2508" s="40">
        <v>1</v>
      </c>
      <c r="K2508" s="10">
        <f t="shared" si="242"/>
        <v>0.14538999999999999</v>
      </c>
      <c r="L2508" s="4"/>
      <c r="M2508" s="17"/>
      <c r="N2508" s="18">
        <f t="shared" si="243"/>
        <v>0</v>
      </c>
      <c r="O2508" s="19">
        <f t="shared" si="244"/>
        <v>1</v>
      </c>
      <c r="P2508" s="13">
        <f t="shared" si="245"/>
        <v>0.14538999999999999</v>
      </c>
      <c r="Q2508" s="33"/>
      <c r="R2508" s="32"/>
      <c r="S2508" s="32"/>
    </row>
    <row r="2509" spans="1:19">
      <c r="A2509" s="45" t="s">
        <v>136</v>
      </c>
      <c r="B2509" s="32" t="s">
        <v>137</v>
      </c>
      <c r="C2509" s="3">
        <v>93</v>
      </c>
      <c r="D2509" s="32"/>
      <c r="E2509" s="20" t="s">
        <v>20</v>
      </c>
      <c r="F2509" s="7" t="s">
        <v>15</v>
      </c>
      <c r="G2509" s="7" t="s">
        <v>50</v>
      </c>
      <c r="H2509" s="11">
        <v>21.7</v>
      </c>
      <c r="I2509" s="55">
        <v>7.1</v>
      </c>
      <c r="J2509" s="40">
        <v>1</v>
      </c>
      <c r="K2509" s="10">
        <f t="shared" si="242"/>
        <v>0.15406999999999998</v>
      </c>
      <c r="L2509" s="4"/>
      <c r="M2509" s="17">
        <v>1</v>
      </c>
      <c r="N2509" s="18">
        <f t="shared" si="243"/>
        <v>0.15406999999999998</v>
      </c>
      <c r="O2509" s="19">
        <f t="shared" si="244"/>
        <v>0</v>
      </c>
      <c r="P2509" s="13">
        <f t="shared" si="245"/>
        <v>0</v>
      </c>
      <c r="Q2509" s="33">
        <v>7</v>
      </c>
      <c r="R2509" s="32">
        <v>1</v>
      </c>
      <c r="S2509" s="32" t="s">
        <v>602</v>
      </c>
    </row>
    <row r="2510" spans="1:19">
      <c r="A2510" s="45" t="s">
        <v>136</v>
      </c>
      <c r="B2510" s="32" t="s">
        <v>137</v>
      </c>
      <c r="C2510" s="3">
        <v>93</v>
      </c>
      <c r="D2510" s="32"/>
      <c r="E2510" s="20" t="s">
        <v>20</v>
      </c>
      <c r="F2510" s="7" t="s">
        <v>15</v>
      </c>
      <c r="G2510" s="7" t="s">
        <v>50</v>
      </c>
      <c r="H2510" s="11">
        <v>21.7</v>
      </c>
      <c r="I2510" s="55">
        <v>7.2</v>
      </c>
      <c r="J2510" s="41">
        <v>2</v>
      </c>
      <c r="K2510" s="10">
        <f t="shared" si="242"/>
        <v>0.31248000000000004</v>
      </c>
      <c r="L2510" s="4"/>
      <c r="M2510" s="17">
        <v>2</v>
      </c>
      <c r="N2510" s="18">
        <f t="shared" si="243"/>
        <v>0.31248000000000004</v>
      </c>
      <c r="O2510" s="19">
        <f t="shared" si="244"/>
        <v>0</v>
      </c>
      <c r="P2510" s="13">
        <f t="shared" si="245"/>
        <v>0</v>
      </c>
      <c r="Q2510" s="33">
        <v>7</v>
      </c>
      <c r="R2510" s="32">
        <v>2</v>
      </c>
      <c r="S2510" s="32" t="s">
        <v>602</v>
      </c>
    </row>
    <row r="2511" spans="1:19">
      <c r="A2511" s="45" t="s">
        <v>136</v>
      </c>
      <c r="B2511" s="32" t="s">
        <v>137</v>
      </c>
      <c r="C2511" s="3">
        <v>94</v>
      </c>
      <c r="D2511" s="32"/>
      <c r="E2511" s="20" t="s">
        <v>20</v>
      </c>
      <c r="F2511" s="7" t="s">
        <v>15</v>
      </c>
      <c r="G2511" s="7" t="s">
        <v>146</v>
      </c>
      <c r="H2511" s="32">
        <v>32.6</v>
      </c>
      <c r="I2511" s="33">
        <v>9</v>
      </c>
      <c r="J2511" s="41">
        <v>3</v>
      </c>
      <c r="K2511" s="10">
        <f t="shared" si="242"/>
        <v>0.88020000000000009</v>
      </c>
      <c r="L2511" s="4"/>
      <c r="M2511" s="17">
        <v>3</v>
      </c>
      <c r="N2511" s="18">
        <f t="shared" si="243"/>
        <v>0.88020000000000009</v>
      </c>
      <c r="O2511" s="19">
        <f t="shared" si="244"/>
        <v>0</v>
      </c>
      <c r="P2511" s="13">
        <f t="shared" si="245"/>
        <v>0</v>
      </c>
      <c r="Q2511" s="55">
        <v>7.2</v>
      </c>
      <c r="R2511" s="45">
        <v>3</v>
      </c>
      <c r="S2511" s="32" t="s">
        <v>673</v>
      </c>
    </row>
    <row r="2512" spans="1:19">
      <c r="A2512" s="45" t="s">
        <v>136</v>
      </c>
      <c r="B2512" s="32" t="s">
        <v>137</v>
      </c>
      <c r="C2512" s="3">
        <v>94</v>
      </c>
      <c r="D2512" s="32"/>
      <c r="E2512" s="20" t="s">
        <v>20</v>
      </c>
      <c r="F2512" s="7" t="s">
        <v>15</v>
      </c>
      <c r="G2512" s="7" t="s">
        <v>146</v>
      </c>
      <c r="H2512" s="32">
        <v>32.6</v>
      </c>
      <c r="I2512" s="33">
        <v>9.6999999999999993</v>
      </c>
      <c r="J2512" s="41">
        <v>1</v>
      </c>
      <c r="K2512" s="10">
        <f t="shared" si="242"/>
        <v>0.31621999999999995</v>
      </c>
      <c r="L2512" s="4"/>
      <c r="M2512" s="17">
        <v>1</v>
      </c>
      <c r="N2512" s="18">
        <f t="shared" si="243"/>
        <v>0.31621999999999995</v>
      </c>
      <c r="O2512" s="19">
        <f t="shared" si="244"/>
        <v>0</v>
      </c>
      <c r="P2512" s="13">
        <f t="shared" si="245"/>
        <v>0</v>
      </c>
      <c r="Q2512" s="55">
        <v>7.2</v>
      </c>
      <c r="R2512" s="45">
        <v>1</v>
      </c>
      <c r="S2512" s="32" t="s">
        <v>673</v>
      </c>
    </row>
    <row r="2513" spans="1:22">
      <c r="A2513" s="45" t="s">
        <v>136</v>
      </c>
      <c r="B2513" s="32" t="s">
        <v>137</v>
      </c>
      <c r="C2513" s="3">
        <v>95</v>
      </c>
      <c r="D2513" s="32"/>
      <c r="E2513" s="20" t="s">
        <v>113</v>
      </c>
      <c r="F2513" s="7" t="s">
        <v>15</v>
      </c>
      <c r="G2513" s="7" t="s">
        <v>42</v>
      </c>
      <c r="H2513" s="11">
        <v>19.72</v>
      </c>
      <c r="I2513" s="55">
        <v>8</v>
      </c>
      <c r="J2513" s="41">
        <v>2</v>
      </c>
      <c r="K2513" s="10">
        <f t="shared" si="242"/>
        <v>0.31551999999999997</v>
      </c>
      <c r="L2513" s="4"/>
      <c r="M2513" s="17">
        <v>2</v>
      </c>
      <c r="N2513" s="18">
        <f t="shared" si="243"/>
        <v>0.31551999999999997</v>
      </c>
      <c r="O2513" s="19">
        <f t="shared" si="244"/>
        <v>0</v>
      </c>
      <c r="P2513" s="13">
        <f t="shared" si="245"/>
        <v>0</v>
      </c>
      <c r="Q2513" s="55">
        <v>7.1</v>
      </c>
      <c r="R2513" s="32">
        <v>1</v>
      </c>
      <c r="S2513" s="2" t="s">
        <v>313</v>
      </c>
    </row>
    <row r="2514" spans="1:22">
      <c r="A2514" s="45" t="s">
        <v>136</v>
      </c>
      <c r="B2514" s="32" t="s">
        <v>137</v>
      </c>
      <c r="C2514" s="3">
        <v>95</v>
      </c>
      <c r="D2514" s="32"/>
      <c r="E2514" s="20" t="s">
        <v>113</v>
      </c>
      <c r="F2514" s="7" t="s">
        <v>15</v>
      </c>
      <c r="G2514" s="7" t="s">
        <v>42</v>
      </c>
      <c r="H2514" s="11">
        <v>19.72</v>
      </c>
      <c r="I2514" s="55">
        <v>12</v>
      </c>
      <c r="J2514" s="41">
        <v>1</v>
      </c>
      <c r="K2514" s="10">
        <f t="shared" si="242"/>
        <v>0.23663999999999999</v>
      </c>
      <c r="L2514" s="4"/>
      <c r="M2514" s="17">
        <v>1</v>
      </c>
      <c r="N2514" s="18">
        <f t="shared" si="243"/>
        <v>0.23663999999999999</v>
      </c>
      <c r="O2514" s="19">
        <f t="shared" si="244"/>
        <v>0</v>
      </c>
      <c r="P2514" s="13">
        <f t="shared" si="245"/>
        <v>0</v>
      </c>
      <c r="Q2514" s="33">
        <v>12</v>
      </c>
      <c r="R2514" s="32">
        <v>1</v>
      </c>
      <c r="S2514" s="2" t="s">
        <v>314</v>
      </c>
    </row>
    <row r="2515" spans="1:22">
      <c r="A2515" s="45" t="s">
        <v>136</v>
      </c>
      <c r="B2515" s="32" t="s">
        <v>137</v>
      </c>
      <c r="C2515" s="3">
        <v>96</v>
      </c>
      <c r="D2515" s="32"/>
      <c r="E2515" s="20" t="s">
        <v>20</v>
      </c>
      <c r="F2515" s="7" t="s">
        <v>15</v>
      </c>
      <c r="G2515" s="7" t="s">
        <v>60</v>
      </c>
      <c r="H2515" s="11">
        <v>22.93</v>
      </c>
      <c r="I2515" s="33">
        <v>6</v>
      </c>
      <c r="J2515" s="41">
        <v>1</v>
      </c>
      <c r="K2515" s="10">
        <f t="shared" si="242"/>
        <v>0.13757999999999998</v>
      </c>
      <c r="L2515" s="4"/>
      <c r="M2515" s="17">
        <v>1</v>
      </c>
      <c r="N2515" s="18">
        <f t="shared" si="243"/>
        <v>0.13757999999999998</v>
      </c>
      <c r="O2515" s="19">
        <f t="shared" si="244"/>
        <v>0</v>
      </c>
      <c r="P2515" s="13">
        <f t="shared" si="245"/>
        <v>0</v>
      </c>
      <c r="Q2515" s="33">
        <v>6</v>
      </c>
      <c r="R2515" s="45">
        <v>1</v>
      </c>
      <c r="S2515" s="32" t="s">
        <v>684</v>
      </c>
    </row>
    <row r="2516" spans="1:22">
      <c r="A2516" s="45" t="s">
        <v>136</v>
      </c>
      <c r="B2516" s="32" t="s">
        <v>137</v>
      </c>
      <c r="C2516" s="3">
        <v>96</v>
      </c>
      <c r="D2516" s="32"/>
      <c r="E2516" s="20" t="s">
        <v>20</v>
      </c>
      <c r="F2516" s="7" t="s">
        <v>15</v>
      </c>
      <c r="G2516" s="7" t="s">
        <v>37</v>
      </c>
      <c r="H2516" s="11">
        <v>18.149999999999999</v>
      </c>
      <c r="I2516" s="55">
        <v>6.1</v>
      </c>
      <c r="J2516" s="41">
        <v>1</v>
      </c>
      <c r="K2516" s="10">
        <f t="shared" si="242"/>
        <v>0.11071499999999999</v>
      </c>
      <c r="L2516" s="4"/>
      <c r="M2516" s="17">
        <v>1</v>
      </c>
      <c r="N2516" s="18">
        <f t="shared" si="243"/>
        <v>0.11071499999999999</v>
      </c>
      <c r="O2516" s="19">
        <f t="shared" si="244"/>
        <v>0</v>
      </c>
      <c r="P2516" s="13">
        <f t="shared" si="245"/>
        <v>0</v>
      </c>
      <c r="Q2516" s="32"/>
      <c r="R2516" s="32">
        <v>1</v>
      </c>
      <c r="S2516" s="2" t="s">
        <v>643</v>
      </c>
    </row>
    <row r="2517" spans="1:22">
      <c r="A2517" s="45" t="s">
        <v>136</v>
      </c>
      <c r="B2517" s="32" t="s">
        <v>137</v>
      </c>
      <c r="C2517" s="3">
        <v>97</v>
      </c>
      <c r="D2517" s="32"/>
      <c r="E2517" s="20" t="s">
        <v>113</v>
      </c>
      <c r="F2517" s="7" t="s">
        <v>15</v>
      </c>
      <c r="G2517" s="7" t="s">
        <v>48</v>
      </c>
      <c r="H2517" s="11">
        <v>23.6</v>
      </c>
      <c r="I2517" s="55">
        <v>8</v>
      </c>
      <c r="J2517" s="41">
        <v>1</v>
      </c>
      <c r="K2517" s="10">
        <f t="shared" si="242"/>
        <v>0.18880000000000002</v>
      </c>
      <c r="L2517" s="4"/>
      <c r="M2517" s="17">
        <v>1</v>
      </c>
      <c r="N2517" s="18">
        <f t="shared" si="243"/>
        <v>0.18880000000000002</v>
      </c>
      <c r="O2517" s="19">
        <f t="shared" si="244"/>
        <v>0</v>
      </c>
      <c r="P2517" s="13">
        <f t="shared" si="245"/>
        <v>0</v>
      </c>
      <c r="Q2517" s="33">
        <v>7</v>
      </c>
      <c r="R2517" s="32">
        <v>1</v>
      </c>
      <c r="S2517" s="2" t="s">
        <v>457</v>
      </c>
    </row>
    <row r="2518" spans="1:22">
      <c r="A2518" s="45" t="s">
        <v>136</v>
      </c>
      <c r="B2518" s="32" t="s">
        <v>137</v>
      </c>
      <c r="C2518" s="3">
        <v>97</v>
      </c>
      <c r="D2518" s="32"/>
      <c r="E2518" s="20" t="s">
        <v>113</v>
      </c>
      <c r="F2518" s="7" t="s">
        <v>15</v>
      </c>
      <c r="G2518" s="7" t="s">
        <v>48</v>
      </c>
      <c r="H2518" s="11">
        <v>23.6</v>
      </c>
      <c r="I2518" s="55">
        <v>7.2</v>
      </c>
      <c r="J2518" s="41">
        <v>1</v>
      </c>
      <c r="K2518" s="10">
        <f t="shared" si="242"/>
        <v>0.16992000000000002</v>
      </c>
      <c r="L2518" s="4"/>
      <c r="M2518" s="17">
        <v>1</v>
      </c>
      <c r="N2518" s="18">
        <f t="shared" si="243"/>
        <v>0.16992000000000002</v>
      </c>
      <c r="O2518" s="19">
        <f t="shared" si="244"/>
        <v>0</v>
      </c>
      <c r="P2518" s="13">
        <f t="shared" si="245"/>
        <v>0</v>
      </c>
      <c r="Q2518" s="33">
        <v>7</v>
      </c>
      <c r="R2518" s="32">
        <v>1</v>
      </c>
      <c r="S2518" s="2" t="s">
        <v>457</v>
      </c>
    </row>
    <row r="2519" spans="1:22">
      <c r="A2519" s="45" t="s">
        <v>136</v>
      </c>
      <c r="B2519" s="32" t="s">
        <v>137</v>
      </c>
      <c r="C2519" s="3">
        <v>97</v>
      </c>
      <c r="D2519" s="32"/>
      <c r="E2519" s="20" t="s">
        <v>113</v>
      </c>
      <c r="F2519" s="7" t="s">
        <v>15</v>
      </c>
      <c r="G2519" s="7" t="s">
        <v>48</v>
      </c>
      <c r="H2519" s="11">
        <v>23.6</v>
      </c>
      <c r="I2519" s="55">
        <v>12</v>
      </c>
      <c r="J2519" s="41">
        <v>1</v>
      </c>
      <c r="K2519" s="10">
        <f t="shared" si="242"/>
        <v>0.28320000000000006</v>
      </c>
      <c r="L2519" s="4"/>
      <c r="M2519" s="17">
        <v>1</v>
      </c>
      <c r="N2519" s="18">
        <f t="shared" si="243"/>
        <v>0.28320000000000006</v>
      </c>
      <c r="O2519" s="19">
        <f t="shared" si="244"/>
        <v>0</v>
      </c>
      <c r="P2519" s="13">
        <f t="shared" si="245"/>
        <v>0</v>
      </c>
      <c r="Q2519" s="32">
        <v>10.4</v>
      </c>
      <c r="R2519" s="32">
        <v>1</v>
      </c>
      <c r="S2519" s="32" t="s">
        <v>317</v>
      </c>
    </row>
    <row r="2520" spans="1:22">
      <c r="A2520" s="45" t="s">
        <v>136</v>
      </c>
      <c r="B2520" s="32" t="s">
        <v>137</v>
      </c>
      <c r="C2520" s="3">
        <v>98</v>
      </c>
      <c r="D2520" s="32"/>
      <c r="E2520" s="20" t="s">
        <v>113</v>
      </c>
      <c r="F2520" s="7" t="s">
        <v>15</v>
      </c>
      <c r="G2520" s="7" t="s">
        <v>49</v>
      </c>
      <c r="H2520" s="11">
        <v>17.82</v>
      </c>
      <c r="I2520" s="55">
        <v>12</v>
      </c>
      <c r="J2520" s="41">
        <v>1</v>
      </c>
      <c r="K2520" s="10">
        <f t="shared" si="242"/>
        <v>0.21384</v>
      </c>
      <c r="L2520" s="4"/>
      <c r="M2520" s="17"/>
      <c r="N2520" s="18">
        <f t="shared" si="243"/>
        <v>0</v>
      </c>
      <c r="O2520" s="19">
        <f t="shared" si="244"/>
        <v>1</v>
      </c>
      <c r="P2520" s="13">
        <f t="shared" si="245"/>
        <v>0.21384</v>
      </c>
      <c r="Q2520" s="32"/>
      <c r="R2520" s="32"/>
      <c r="S2520" s="32"/>
    </row>
    <row r="2521" spans="1:22">
      <c r="A2521" s="45" t="s">
        <v>136</v>
      </c>
      <c r="B2521" s="32" t="s">
        <v>137</v>
      </c>
      <c r="C2521" s="3">
        <v>99</v>
      </c>
      <c r="D2521" s="32"/>
      <c r="E2521" s="20" t="s">
        <v>20</v>
      </c>
      <c r="F2521" s="7" t="s">
        <v>15</v>
      </c>
      <c r="G2521" s="7" t="s">
        <v>42</v>
      </c>
      <c r="H2521" s="11">
        <v>19.72</v>
      </c>
      <c r="I2521" s="55">
        <v>5.4</v>
      </c>
      <c r="J2521" s="41">
        <v>1</v>
      </c>
      <c r="K2521" s="10">
        <f t="shared" si="242"/>
        <v>0.106488</v>
      </c>
      <c r="L2521" s="4"/>
      <c r="M2521" s="17"/>
      <c r="N2521" s="18">
        <f t="shared" si="243"/>
        <v>0</v>
      </c>
      <c r="O2521" s="19">
        <f t="shared" si="244"/>
        <v>1</v>
      </c>
      <c r="P2521" s="13">
        <f t="shared" si="245"/>
        <v>0.106488</v>
      </c>
      <c r="Q2521" s="33"/>
      <c r="R2521" s="32"/>
      <c r="S2521" s="32"/>
    </row>
    <row r="2522" spans="1:22">
      <c r="A2522" s="45" t="s">
        <v>136</v>
      </c>
      <c r="B2522" s="32" t="s">
        <v>137</v>
      </c>
      <c r="C2522" s="32">
        <v>100</v>
      </c>
      <c r="D2522" s="32"/>
      <c r="E2522" s="20" t="s">
        <v>20</v>
      </c>
      <c r="F2522" s="7" t="s">
        <v>15</v>
      </c>
      <c r="G2522" s="7" t="s">
        <v>146</v>
      </c>
      <c r="H2522" s="32">
        <v>32.6</v>
      </c>
      <c r="I2522" s="55">
        <v>8.1</v>
      </c>
      <c r="J2522" s="41">
        <v>3</v>
      </c>
      <c r="K2522" s="10">
        <f t="shared" si="242"/>
        <v>0.79218000000000011</v>
      </c>
      <c r="L2522" s="4"/>
      <c r="M2522" s="17">
        <v>3</v>
      </c>
      <c r="N2522" s="18">
        <f t="shared" si="243"/>
        <v>0.79218</v>
      </c>
      <c r="O2522" s="19">
        <f t="shared" si="244"/>
        <v>0</v>
      </c>
      <c r="P2522" s="13">
        <f t="shared" si="245"/>
        <v>0</v>
      </c>
      <c r="Q2522" s="55">
        <v>8.14</v>
      </c>
      <c r="R2522" s="111">
        <v>3</v>
      </c>
      <c r="S2522" s="32" t="s">
        <v>462</v>
      </c>
    </row>
    <row r="2523" spans="1:22">
      <c r="A2523" s="45" t="s">
        <v>136</v>
      </c>
      <c r="B2523" s="32" t="s">
        <v>137</v>
      </c>
      <c r="C2523" s="32">
        <v>101</v>
      </c>
      <c r="D2523" s="32"/>
      <c r="E2523" s="20" t="s">
        <v>20</v>
      </c>
      <c r="F2523" s="7" t="s">
        <v>15</v>
      </c>
      <c r="G2523" s="7" t="s">
        <v>54</v>
      </c>
      <c r="H2523" s="11">
        <v>31.6</v>
      </c>
      <c r="I2523" s="55">
        <v>8.9</v>
      </c>
      <c r="J2523" s="41">
        <v>1</v>
      </c>
      <c r="K2523" s="10">
        <f t="shared" si="242"/>
        <v>0.28123999999999999</v>
      </c>
      <c r="L2523" s="4"/>
      <c r="M2523" s="17">
        <v>1</v>
      </c>
      <c r="N2523" s="18">
        <f t="shared" si="243"/>
        <v>0.28123999999999999</v>
      </c>
      <c r="O2523" s="106">
        <f t="shared" si="244"/>
        <v>0</v>
      </c>
      <c r="P2523" s="13">
        <f t="shared" si="245"/>
        <v>0</v>
      </c>
      <c r="Q2523" s="55">
        <v>8.14</v>
      </c>
      <c r="R2523" s="91">
        <v>1</v>
      </c>
      <c r="S2523" s="32" t="s">
        <v>462</v>
      </c>
    </row>
    <row r="2524" spans="1:22">
      <c r="A2524" s="45" t="s">
        <v>136</v>
      </c>
      <c r="B2524" s="32" t="s">
        <v>137</v>
      </c>
      <c r="C2524" s="32">
        <v>102</v>
      </c>
      <c r="D2524" s="32"/>
      <c r="E2524" s="32" t="s">
        <v>19</v>
      </c>
      <c r="F2524" s="32" t="s">
        <v>14</v>
      </c>
      <c r="G2524" s="7" t="s">
        <v>32</v>
      </c>
      <c r="H2524" s="11">
        <v>8.3000000000000007</v>
      </c>
      <c r="I2524" s="33">
        <v>12</v>
      </c>
      <c r="J2524" s="41">
        <v>3</v>
      </c>
      <c r="K2524" s="10">
        <f t="shared" si="242"/>
        <v>0.29880000000000001</v>
      </c>
      <c r="L2524" s="4"/>
      <c r="M2524" s="17">
        <v>3</v>
      </c>
      <c r="N2524" s="18">
        <f t="shared" si="243"/>
        <v>0.29880000000000001</v>
      </c>
      <c r="O2524" s="19">
        <f t="shared" si="244"/>
        <v>0</v>
      </c>
      <c r="P2524" s="13">
        <f t="shared" si="245"/>
        <v>0</v>
      </c>
      <c r="Q2524" s="32"/>
      <c r="R2524" s="32">
        <v>3</v>
      </c>
      <c r="S2524" s="2" t="s">
        <v>278</v>
      </c>
    </row>
    <row r="2525" spans="1:22">
      <c r="A2525" s="45" t="s">
        <v>136</v>
      </c>
      <c r="B2525" s="32" t="s">
        <v>137</v>
      </c>
      <c r="C2525" s="32">
        <v>103</v>
      </c>
      <c r="D2525" s="32"/>
      <c r="E2525" s="39" t="s">
        <v>17</v>
      </c>
      <c r="F2525" s="7" t="s">
        <v>15</v>
      </c>
      <c r="G2525" s="7" t="s">
        <v>22</v>
      </c>
      <c r="H2525" s="11">
        <v>10.73</v>
      </c>
      <c r="I2525" s="55">
        <v>7.5</v>
      </c>
      <c r="J2525" s="41">
        <v>2</v>
      </c>
      <c r="K2525" s="10">
        <f t="shared" si="242"/>
        <v>0.16095000000000001</v>
      </c>
      <c r="L2525" s="4"/>
      <c r="M2525" s="17">
        <f>1+1</f>
        <v>2</v>
      </c>
      <c r="N2525" s="18">
        <f t="shared" si="243"/>
        <v>0.16095000000000001</v>
      </c>
      <c r="O2525" s="19">
        <f t="shared" si="244"/>
        <v>0</v>
      </c>
      <c r="P2525" s="13">
        <f t="shared" si="245"/>
        <v>0</v>
      </c>
      <c r="Q2525" s="32"/>
      <c r="R2525" s="32">
        <v>1</v>
      </c>
      <c r="S2525" s="32" t="s">
        <v>249</v>
      </c>
      <c r="T2525">
        <v>7.45</v>
      </c>
      <c r="U2525">
        <v>1</v>
      </c>
      <c r="V2525" t="s">
        <v>265</v>
      </c>
    </row>
    <row r="2526" spans="1:22">
      <c r="A2526" s="45" t="s">
        <v>136</v>
      </c>
      <c r="B2526" s="32" t="s">
        <v>137</v>
      </c>
      <c r="C2526" s="32">
        <v>103</v>
      </c>
      <c r="D2526" s="32"/>
      <c r="E2526" s="39" t="s">
        <v>17</v>
      </c>
      <c r="F2526" s="7" t="s">
        <v>15</v>
      </c>
      <c r="G2526" s="7" t="s">
        <v>22</v>
      </c>
      <c r="H2526" s="11">
        <v>10.73</v>
      </c>
      <c r="I2526" s="55">
        <v>8.5</v>
      </c>
      <c r="J2526" s="41">
        <v>2</v>
      </c>
      <c r="K2526" s="10">
        <f t="shared" si="242"/>
        <v>0.18240999999999999</v>
      </c>
      <c r="L2526" s="4"/>
      <c r="M2526" s="17">
        <v>2</v>
      </c>
      <c r="N2526" s="18">
        <f t="shared" si="243"/>
        <v>0.18240999999999999</v>
      </c>
      <c r="O2526" s="19">
        <f t="shared" si="244"/>
        <v>0</v>
      </c>
      <c r="P2526" s="13">
        <f t="shared" si="245"/>
        <v>0</v>
      </c>
      <c r="Q2526" s="32"/>
      <c r="R2526" s="32"/>
      <c r="S2526" s="32"/>
      <c r="T2526">
        <v>8</v>
      </c>
      <c r="U2526">
        <v>2</v>
      </c>
      <c r="V2526" t="s">
        <v>265</v>
      </c>
    </row>
    <row r="2527" spans="1:22">
      <c r="A2527" s="45" t="s">
        <v>136</v>
      </c>
      <c r="B2527" s="32" t="s">
        <v>137</v>
      </c>
      <c r="C2527" s="32">
        <v>103</v>
      </c>
      <c r="D2527" s="32"/>
      <c r="E2527" s="39" t="s">
        <v>17</v>
      </c>
      <c r="F2527" s="7" t="s">
        <v>15</v>
      </c>
      <c r="G2527" s="7" t="s">
        <v>22</v>
      </c>
      <c r="H2527" s="11">
        <v>10.73</v>
      </c>
      <c r="I2527" s="55">
        <v>10.7</v>
      </c>
      <c r="J2527" s="41">
        <v>1</v>
      </c>
      <c r="K2527" s="10">
        <f t="shared" si="242"/>
        <v>0.114811</v>
      </c>
      <c r="L2527" s="4"/>
      <c r="M2527" s="17">
        <v>1</v>
      </c>
      <c r="N2527" s="18">
        <f t="shared" si="243"/>
        <v>0.114811</v>
      </c>
      <c r="O2527" s="19">
        <f t="shared" si="244"/>
        <v>0</v>
      </c>
      <c r="P2527" s="13">
        <f t="shared" si="245"/>
        <v>0</v>
      </c>
      <c r="Q2527" s="33">
        <v>10</v>
      </c>
      <c r="R2527" s="32">
        <v>1</v>
      </c>
      <c r="S2527" s="32" t="s">
        <v>249</v>
      </c>
    </row>
    <row r="2528" spans="1:22">
      <c r="A2528" s="45" t="s">
        <v>136</v>
      </c>
      <c r="B2528" s="32" t="s">
        <v>137</v>
      </c>
      <c r="C2528" s="32">
        <v>103</v>
      </c>
      <c r="D2528" s="32"/>
      <c r="E2528" s="39" t="s">
        <v>17</v>
      </c>
      <c r="F2528" s="7" t="s">
        <v>15</v>
      </c>
      <c r="G2528" s="7" t="s">
        <v>22</v>
      </c>
      <c r="H2528" s="11">
        <v>10.73</v>
      </c>
      <c r="I2528" s="55">
        <v>11.7</v>
      </c>
      <c r="J2528" s="41">
        <v>1</v>
      </c>
      <c r="K2528" s="10">
        <f t="shared" si="242"/>
        <v>0.12554099999999999</v>
      </c>
      <c r="L2528" s="4"/>
      <c r="M2528" s="17">
        <v>1</v>
      </c>
      <c r="N2528" s="18">
        <f t="shared" si="243"/>
        <v>0.12554099999999999</v>
      </c>
      <c r="O2528" s="19">
        <f t="shared" si="244"/>
        <v>0</v>
      </c>
      <c r="P2528" s="13">
        <f t="shared" si="245"/>
        <v>0</v>
      </c>
      <c r="Q2528" s="33">
        <v>10</v>
      </c>
      <c r="R2528" s="32">
        <v>1</v>
      </c>
      <c r="S2528" s="32" t="s">
        <v>249</v>
      </c>
    </row>
    <row r="2529" spans="1:22">
      <c r="A2529" s="45" t="s">
        <v>136</v>
      </c>
      <c r="B2529" s="32" t="s">
        <v>137</v>
      </c>
      <c r="C2529" s="32">
        <v>103</v>
      </c>
      <c r="D2529" s="32"/>
      <c r="E2529" s="39" t="s">
        <v>17</v>
      </c>
      <c r="F2529" s="7" t="s">
        <v>15</v>
      </c>
      <c r="G2529" s="7" t="s">
        <v>22</v>
      </c>
      <c r="H2529" s="11">
        <v>10.73</v>
      </c>
      <c r="I2529" s="55">
        <v>12</v>
      </c>
      <c r="J2529" s="41">
        <v>2</v>
      </c>
      <c r="K2529" s="10">
        <f t="shared" si="242"/>
        <v>0.25751999999999997</v>
      </c>
      <c r="L2529" s="4"/>
      <c r="M2529" s="17">
        <f>1+1</f>
        <v>2</v>
      </c>
      <c r="N2529" s="18">
        <f t="shared" si="243"/>
        <v>0.25751999999999997</v>
      </c>
      <c r="O2529" s="19">
        <f t="shared" si="244"/>
        <v>0</v>
      </c>
      <c r="P2529" s="13">
        <f t="shared" si="245"/>
        <v>0</v>
      </c>
      <c r="Q2529" s="33">
        <v>10</v>
      </c>
      <c r="R2529" s="32">
        <v>1</v>
      </c>
      <c r="S2529" s="32" t="s">
        <v>249</v>
      </c>
      <c r="T2529">
        <v>11.4</v>
      </c>
      <c r="U2529">
        <v>1</v>
      </c>
      <c r="V2529" t="s">
        <v>265</v>
      </c>
    </row>
    <row r="2530" spans="1:22">
      <c r="A2530" s="45" t="s">
        <v>136</v>
      </c>
      <c r="B2530" s="32" t="s">
        <v>137</v>
      </c>
      <c r="C2530" s="32">
        <v>104</v>
      </c>
      <c r="D2530" s="32"/>
      <c r="E2530" s="39" t="s">
        <v>24</v>
      </c>
      <c r="F2530" s="46" t="s">
        <v>14</v>
      </c>
      <c r="G2530" s="7" t="s">
        <v>22</v>
      </c>
      <c r="H2530" s="11">
        <v>10.73</v>
      </c>
      <c r="I2530" s="33">
        <v>8.3000000000000007</v>
      </c>
      <c r="J2530" s="41">
        <v>1</v>
      </c>
      <c r="K2530" s="10">
        <f t="shared" si="242"/>
        <v>8.9059000000000013E-2</v>
      </c>
      <c r="L2530" s="4"/>
      <c r="M2530" s="17">
        <v>1</v>
      </c>
      <c r="N2530" s="18">
        <f t="shared" si="243"/>
        <v>8.9059000000000013E-2</v>
      </c>
      <c r="O2530" s="19">
        <f t="shared" si="244"/>
        <v>0</v>
      </c>
      <c r="P2530" s="13">
        <f t="shared" si="245"/>
        <v>0</v>
      </c>
      <c r="Q2530" s="32"/>
      <c r="R2530" s="111"/>
      <c r="S2530" s="2"/>
    </row>
    <row r="2531" spans="1:22">
      <c r="A2531" s="45" t="s">
        <v>136</v>
      </c>
      <c r="B2531" s="32" t="s">
        <v>137</v>
      </c>
      <c r="C2531" s="32">
        <v>104</v>
      </c>
      <c r="D2531" s="32"/>
      <c r="E2531" s="39" t="s">
        <v>24</v>
      </c>
      <c r="F2531" s="46" t="s">
        <v>14</v>
      </c>
      <c r="G2531" s="7" t="s">
        <v>22</v>
      </c>
      <c r="H2531" s="11">
        <v>10.73</v>
      </c>
      <c r="I2531" s="33">
        <v>12</v>
      </c>
      <c r="J2531" s="41">
        <v>1</v>
      </c>
      <c r="K2531" s="10">
        <f t="shared" si="242"/>
        <v>0.12875999999999999</v>
      </c>
      <c r="L2531" s="4"/>
      <c r="M2531" s="17">
        <v>1</v>
      </c>
      <c r="N2531" s="18">
        <f t="shared" si="243"/>
        <v>0.12875999999999999</v>
      </c>
      <c r="O2531" s="19">
        <f t="shared" si="244"/>
        <v>0</v>
      </c>
      <c r="P2531" s="13">
        <f t="shared" si="245"/>
        <v>0</v>
      </c>
      <c r="Q2531" s="32"/>
      <c r="R2531" s="32">
        <v>1</v>
      </c>
      <c r="S2531" s="2" t="s">
        <v>223</v>
      </c>
    </row>
    <row r="2532" spans="1:22">
      <c r="A2532" s="45" t="s">
        <v>136</v>
      </c>
      <c r="B2532" s="32" t="s">
        <v>137</v>
      </c>
      <c r="C2532" s="32">
        <v>105</v>
      </c>
      <c r="D2532" s="32"/>
      <c r="E2532" s="39" t="s">
        <v>94</v>
      </c>
      <c r="F2532" s="46" t="s">
        <v>15</v>
      </c>
      <c r="G2532" s="7" t="s">
        <v>42</v>
      </c>
      <c r="H2532" s="11">
        <v>19.72</v>
      </c>
      <c r="I2532" s="55">
        <v>11</v>
      </c>
      <c r="J2532" s="41">
        <v>1</v>
      </c>
      <c r="K2532" s="10">
        <f t="shared" si="242"/>
        <v>0.21691999999999997</v>
      </c>
      <c r="L2532" s="4"/>
      <c r="M2532" s="17">
        <v>1</v>
      </c>
      <c r="N2532" s="18">
        <f t="shared" si="243"/>
        <v>0.21691999999999997</v>
      </c>
      <c r="O2532" s="19">
        <f t="shared" si="244"/>
        <v>0</v>
      </c>
      <c r="P2532" s="13">
        <f t="shared" si="245"/>
        <v>0</v>
      </c>
      <c r="Q2532" s="33"/>
      <c r="R2532" s="45">
        <v>1</v>
      </c>
      <c r="S2532" s="32" t="s">
        <v>542</v>
      </c>
    </row>
    <row r="2533" spans="1:22">
      <c r="A2533" s="45" t="s">
        <v>136</v>
      </c>
      <c r="B2533" s="32" t="s">
        <v>137</v>
      </c>
      <c r="C2533" s="32">
        <v>105</v>
      </c>
      <c r="D2533" s="32"/>
      <c r="E2533" s="39" t="s">
        <v>94</v>
      </c>
      <c r="F2533" s="46" t="s">
        <v>15</v>
      </c>
      <c r="G2533" s="7" t="s">
        <v>42</v>
      </c>
      <c r="H2533" s="11">
        <v>19.72</v>
      </c>
      <c r="I2533" s="55">
        <v>11.3</v>
      </c>
      <c r="J2533" s="41">
        <v>5</v>
      </c>
      <c r="K2533" s="10">
        <f t="shared" ref="K2533:K2565" si="246">(H2533*I2533*J2533/1000)</f>
        <v>1.1141800000000002</v>
      </c>
      <c r="L2533" s="4"/>
      <c r="M2533" s="17">
        <v>5</v>
      </c>
      <c r="N2533" s="18">
        <f t="shared" ref="N2533:N2565" si="247">I2533*M2533*H2533/1000</f>
        <v>1.1141799999999997</v>
      </c>
      <c r="O2533" s="19">
        <f t="shared" ref="O2533:O2565" si="248">J2533-M2533</f>
        <v>0</v>
      </c>
      <c r="P2533" s="13">
        <f t="shared" ref="P2533:P2565" si="249">I2533*O2533*H2533/1000</f>
        <v>0</v>
      </c>
      <c r="Q2533" s="33"/>
      <c r="R2533" s="45">
        <v>5</v>
      </c>
      <c r="S2533" s="32" t="s">
        <v>542</v>
      </c>
    </row>
    <row r="2534" spans="1:22">
      <c r="A2534" s="45" t="s">
        <v>136</v>
      </c>
      <c r="B2534" s="32" t="s">
        <v>137</v>
      </c>
      <c r="C2534" s="32">
        <v>105</v>
      </c>
      <c r="D2534" s="32"/>
      <c r="E2534" s="39" t="s">
        <v>94</v>
      </c>
      <c r="F2534" s="46" t="s">
        <v>15</v>
      </c>
      <c r="G2534" s="7" t="s">
        <v>42</v>
      </c>
      <c r="H2534" s="11">
        <v>19.72</v>
      </c>
      <c r="I2534" s="55">
        <v>11.5</v>
      </c>
      <c r="J2534" s="41">
        <v>2</v>
      </c>
      <c r="K2534" s="10">
        <f t="shared" si="246"/>
        <v>0.45355999999999996</v>
      </c>
      <c r="L2534" s="4"/>
      <c r="M2534" s="17">
        <v>2</v>
      </c>
      <c r="N2534" s="18">
        <f t="shared" si="247"/>
        <v>0.45355999999999996</v>
      </c>
      <c r="O2534" s="19">
        <f t="shared" si="248"/>
        <v>0</v>
      </c>
      <c r="P2534" s="13">
        <f t="shared" si="249"/>
        <v>0</v>
      </c>
      <c r="Q2534" s="33">
        <v>11.5</v>
      </c>
      <c r="R2534" s="32">
        <v>2</v>
      </c>
      <c r="S2534" s="2" t="s">
        <v>314</v>
      </c>
    </row>
    <row r="2535" spans="1:22">
      <c r="A2535" s="45" t="s">
        <v>136</v>
      </c>
      <c r="B2535" s="32" t="s">
        <v>137</v>
      </c>
      <c r="C2535" s="32">
        <v>105</v>
      </c>
      <c r="D2535" s="32"/>
      <c r="E2535" s="39" t="s">
        <v>94</v>
      </c>
      <c r="F2535" s="46" t="s">
        <v>15</v>
      </c>
      <c r="G2535" s="7" t="s">
        <v>42</v>
      </c>
      <c r="H2535" s="11">
        <v>19.72</v>
      </c>
      <c r="I2535" s="55">
        <v>11.6</v>
      </c>
      <c r="J2535" s="41">
        <v>1</v>
      </c>
      <c r="K2535" s="10">
        <f t="shared" si="246"/>
        <v>0.22875199999999998</v>
      </c>
      <c r="L2535" s="4"/>
      <c r="M2535" s="17">
        <v>1</v>
      </c>
      <c r="N2535" s="18">
        <f t="shared" si="247"/>
        <v>0.22875199999999998</v>
      </c>
      <c r="O2535" s="19">
        <f t="shared" si="248"/>
        <v>0</v>
      </c>
      <c r="P2535" s="13">
        <f t="shared" si="249"/>
        <v>0</v>
      </c>
      <c r="Q2535" s="33">
        <v>11.5</v>
      </c>
      <c r="R2535" s="32">
        <v>1</v>
      </c>
      <c r="S2535" s="2" t="s">
        <v>314</v>
      </c>
    </row>
    <row r="2536" spans="1:22">
      <c r="A2536" s="45" t="s">
        <v>136</v>
      </c>
      <c r="B2536" s="32" t="s">
        <v>137</v>
      </c>
      <c r="C2536" s="32">
        <v>106</v>
      </c>
      <c r="D2536" s="32"/>
      <c r="E2536" s="39" t="s">
        <v>20</v>
      </c>
      <c r="F2536" s="46" t="s">
        <v>15</v>
      </c>
      <c r="G2536" s="7" t="s">
        <v>42</v>
      </c>
      <c r="H2536" s="11">
        <v>19.72</v>
      </c>
      <c r="I2536" s="55">
        <v>11.9</v>
      </c>
      <c r="J2536" s="41">
        <v>1</v>
      </c>
      <c r="K2536" s="10">
        <f t="shared" si="246"/>
        <v>0.23466800000000002</v>
      </c>
      <c r="L2536" s="4"/>
      <c r="M2536" s="17">
        <v>1</v>
      </c>
      <c r="N2536" s="18">
        <f t="shared" si="247"/>
        <v>0.23466800000000002</v>
      </c>
      <c r="O2536" s="19">
        <f t="shared" si="248"/>
        <v>0</v>
      </c>
      <c r="P2536" s="13">
        <f t="shared" si="249"/>
        <v>0</v>
      </c>
      <c r="Q2536" s="33">
        <v>11.5</v>
      </c>
      <c r="R2536" s="32">
        <v>1</v>
      </c>
      <c r="S2536" s="2" t="s">
        <v>314</v>
      </c>
    </row>
    <row r="2537" spans="1:22">
      <c r="A2537" s="45" t="s">
        <v>136</v>
      </c>
      <c r="B2537" s="48" t="s">
        <v>171</v>
      </c>
      <c r="C2537" s="32">
        <v>107</v>
      </c>
      <c r="D2537" s="32"/>
      <c r="E2537" s="48" t="s">
        <v>19</v>
      </c>
      <c r="F2537" s="48" t="s">
        <v>14</v>
      </c>
      <c r="G2537" s="48" t="s">
        <v>37</v>
      </c>
      <c r="H2537" s="11">
        <v>18.149999999999999</v>
      </c>
      <c r="I2537" s="52">
        <v>11.6</v>
      </c>
      <c r="J2537" s="7">
        <v>1</v>
      </c>
      <c r="K2537" s="10">
        <f t="shared" si="246"/>
        <v>0.21053999999999998</v>
      </c>
      <c r="L2537" s="32"/>
      <c r="M2537" s="32"/>
      <c r="N2537" s="18">
        <f t="shared" si="247"/>
        <v>0</v>
      </c>
      <c r="O2537" s="19">
        <f t="shared" si="248"/>
        <v>1</v>
      </c>
      <c r="P2537" s="13">
        <f t="shared" si="249"/>
        <v>0.21053999999999998</v>
      </c>
      <c r="Q2537" s="32"/>
      <c r="R2537" s="32"/>
      <c r="S2537" s="32"/>
    </row>
    <row r="2538" spans="1:22">
      <c r="A2538" s="45" t="s">
        <v>136</v>
      </c>
      <c r="B2538" s="48" t="s">
        <v>171</v>
      </c>
      <c r="C2538" s="32">
        <v>107</v>
      </c>
      <c r="D2538" s="32"/>
      <c r="E2538" s="48" t="s">
        <v>19</v>
      </c>
      <c r="F2538" s="48" t="s">
        <v>14</v>
      </c>
      <c r="G2538" s="48" t="s">
        <v>37</v>
      </c>
      <c r="H2538" s="11">
        <v>18.149999999999999</v>
      </c>
      <c r="I2538" s="52">
        <v>12</v>
      </c>
      <c r="J2538" s="7">
        <v>10</v>
      </c>
      <c r="K2538" s="10">
        <f t="shared" si="246"/>
        <v>2.1779999999999999</v>
      </c>
      <c r="L2538" s="32"/>
      <c r="M2538" s="32"/>
      <c r="N2538" s="18">
        <f t="shared" si="247"/>
        <v>0</v>
      </c>
      <c r="O2538" s="19">
        <f t="shared" si="248"/>
        <v>10</v>
      </c>
      <c r="P2538" s="13">
        <f t="shared" si="249"/>
        <v>2.1779999999999999</v>
      </c>
      <c r="Q2538" s="32"/>
      <c r="R2538" s="32"/>
      <c r="S2538" s="32"/>
    </row>
    <row r="2539" spans="1:22">
      <c r="A2539" s="45" t="s">
        <v>136</v>
      </c>
      <c r="B2539" s="48" t="s">
        <v>171</v>
      </c>
      <c r="C2539" s="32">
        <v>108</v>
      </c>
      <c r="D2539" s="32"/>
      <c r="E2539" s="48" t="s">
        <v>24</v>
      </c>
      <c r="F2539" s="48" t="s">
        <v>14</v>
      </c>
      <c r="G2539" s="48" t="s">
        <v>38</v>
      </c>
      <c r="H2539" s="11">
        <v>12.9</v>
      </c>
      <c r="I2539" s="52">
        <v>12</v>
      </c>
      <c r="J2539" s="7">
        <v>10</v>
      </c>
      <c r="K2539" s="10">
        <f t="shared" si="246"/>
        <v>1.548</v>
      </c>
      <c r="L2539" s="32"/>
      <c r="M2539" s="32">
        <v>10</v>
      </c>
      <c r="N2539" s="18">
        <f t="shared" si="247"/>
        <v>1.548</v>
      </c>
      <c r="O2539" s="19">
        <f t="shared" si="248"/>
        <v>0</v>
      </c>
      <c r="P2539" s="13">
        <f t="shared" si="249"/>
        <v>0</v>
      </c>
      <c r="Q2539" s="55">
        <v>12</v>
      </c>
      <c r="R2539" s="32">
        <v>10</v>
      </c>
      <c r="S2539" s="111" t="s">
        <v>431</v>
      </c>
    </row>
    <row r="2540" spans="1:22">
      <c r="A2540" s="45" t="s">
        <v>136</v>
      </c>
      <c r="B2540" s="48" t="s">
        <v>171</v>
      </c>
      <c r="C2540" s="32">
        <v>108</v>
      </c>
      <c r="D2540" s="32"/>
      <c r="E2540" s="48" t="s">
        <v>24</v>
      </c>
      <c r="F2540" s="48" t="s">
        <v>14</v>
      </c>
      <c r="G2540" s="48" t="s">
        <v>38</v>
      </c>
      <c r="H2540" s="11">
        <v>12.9</v>
      </c>
      <c r="I2540" s="52">
        <v>11.6</v>
      </c>
      <c r="J2540" s="7">
        <v>1</v>
      </c>
      <c r="K2540" s="10">
        <f t="shared" si="246"/>
        <v>0.14964</v>
      </c>
      <c r="L2540" s="32"/>
      <c r="M2540" s="32">
        <v>1</v>
      </c>
      <c r="N2540" s="18">
        <f t="shared" si="247"/>
        <v>0.14964</v>
      </c>
      <c r="O2540" s="19">
        <f t="shared" si="248"/>
        <v>0</v>
      </c>
      <c r="P2540" s="13">
        <f t="shared" si="249"/>
        <v>0</v>
      </c>
      <c r="Q2540" s="32"/>
      <c r="R2540" s="45">
        <v>1</v>
      </c>
      <c r="S2540" s="32" t="s">
        <v>714</v>
      </c>
    </row>
    <row r="2541" spans="1:22">
      <c r="A2541" s="45" t="s">
        <v>136</v>
      </c>
      <c r="B2541" s="48" t="s">
        <v>171</v>
      </c>
      <c r="C2541" s="32">
        <v>109</v>
      </c>
      <c r="D2541" s="32"/>
      <c r="E2541" s="48" t="s">
        <v>106</v>
      </c>
      <c r="F2541" s="48" t="s">
        <v>15</v>
      </c>
      <c r="G2541" s="48" t="s">
        <v>57</v>
      </c>
      <c r="H2541" s="11">
        <v>33.72</v>
      </c>
      <c r="I2541" s="52">
        <v>8</v>
      </c>
      <c r="J2541" s="7">
        <v>1</v>
      </c>
      <c r="K2541" s="10">
        <f t="shared" si="246"/>
        <v>0.26976</v>
      </c>
      <c r="L2541" s="32"/>
      <c r="M2541" s="32">
        <v>1</v>
      </c>
      <c r="N2541" s="18">
        <f t="shared" si="247"/>
        <v>0.26976</v>
      </c>
      <c r="O2541" s="310">
        <f t="shared" si="248"/>
        <v>0</v>
      </c>
      <c r="P2541" s="13">
        <f t="shared" si="249"/>
        <v>0</v>
      </c>
      <c r="Q2541" s="32"/>
      <c r="R2541" s="32">
        <v>1</v>
      </c>
      <c r="S2541" s="2" t="s">
        <v>514</v>
      </c>
    </row>
    <row r="2542" spans="1:22">
      <c r="A2542" s="45" t="s">
        <v>136</v>
      </c>
      <c r="B2542" s="48" t="s">
        <v>171</v>
      </c>
      <c r="C2542" s="32">
        <v>109</v>
      </c>
      <c r="D2542" s="32"/>
      <c r="E2542" s="48" t="s">
        <v>106</v>
      </c>
      <c r="F2542" s="48" t="s">
        <v>15</v>
      </c>
      <c r="G2542" s="48" t="s">
        <v>57</v>
      </c>
      <c r="H2542" s="11">
        <v>33.72</v>
      </c>
      <c r="I2542" s="52">
        <v>11</v>
      </c>
      <c r="J2542" s="7">
        <v>1</v>
      </c>
      <c r="K2542" s="10">
        <f t="shared" si="246"/>
        <v>0.37091999999999997</v>
      </c>
      <c r="L2542" s="32"/>
      <c r="M2542" s="32">
        <v>1</v>
      </c>
      <c r="N2542" s="18">
        <f t="shared" si="247"/>
        <v>0.37091999999999997</v>
      </c>
      <c r="O2542" s="310">
        <f t="shared" si="248"/>
        <v>0</v>
      </c>
      <c r="P2542" s="13">
        <f t="shared" si="249"/>
        <v>0</v>
      </c>
      <c r="Q2542" s="32"/>
      <c r="R2542" s="32">
        <v>1</v>
      </c>
      <c r="S2542" s="2" t="s">
        <v>514</v>
      </c>
    </row>
    <row r="2543" spans="1:22">
      <c r="A2543" s="45" t="s">
        <v>136</v>
      </c>
      <c r="B2543" s="48" t="s">
        <v>171</v>
      </c>
      <c r="C2543" s="32">
        <v>109</v>
      </c>
      <c r="D2543" s="32"/>
      <c r="E2543" s="48" t="s">
        <v>106</v>
      </c>
      <c r="F2543" s="48" t="s">
        <v>15</v>
      </c>
      <c r="G2543" s="48" t="s">
        <v>57</v>
      </c>
      <c r="H2543" s="11">
        <v>33.72</v>
      </c>
      <c r="I2543" s="52">
        <v>11.2</v>
      </c>
      <c r="J2543" s="7">
        <v>2</v>
      </c>
      <c r="K2543" s="10">
        <f t="shared" si="246"/>
        <v>0.755328</v>
      </c>
      <c r="L2543" s="32"/>
      <c r="M2543" s="32">
        <v>2</v>
      </c>
      <c r="N2543" s="18">
        <f t="shared" si="247"/>
        <v>0.755328</v>
      </c>
      <c r="O2543" s="310">
        <f t="shared" si="248"/>
        <v>0</v>
      </c>
      <c r="P2543" s="13">
        <f t="shared" si="249"/>
        <v>0</v>
      </c>
      <c r="Q2543" s="32"/>
      <c r="R2543" s="32">
        <v>2</v>
      </c>
      <c r="S2543" s="2" t="s">
        <v>514</v>
      </c>
    </row>
    <row r="2544" spans="1:22">
      <c r="A2544" s="45" t="s">
        <v>136</v>
      </c>
      <c r="B2544" s="48" t="s">
        <v>171</v>
      </c>
      <c r="C2544" s="32">
        <v>110</v>
      </c>
      <c r="D2544" s="32"/>
      <c r="E2544" s="48" t="s">
        <v>141</v>
      </c>
      <c r="F2544" s="48" t="s">
        <v>15</v>
      </c>
      <c r="G2544" s="48" t="s">
        <v>172</v>
      </c>
      <c r="H2544" s="49">
        <v>21.57</v>
      </c>
      <c r="I2544" s="52">
        <v>11.2</v>
      </c>
      <c r="J2544" s="7">
        <v>2</v>
      </c>
      <c r="K2544" s="10">
        <f t="shared" si="246"/>
        <v>0.48316799999999993</v>
      </c>
      <c r="L2544" s="32"/>
      <c r="M2544" s="32"/>
      <c r="N2544" s="18">
        <f t="shared" si="247"/>
        <v>0</v>
      </c>
      <c r="O2544" s="19">
        <f t="shared" si="248"/>
        <v>2</v>
      </c>
      <c r="P2544" s="13">
        <f t="shared" si="249"/>
        <v>0.48316799999999993</v>
      </c>
      <c r="Q2544" s="32"/>
      <c r="R2544" s="32"/>
      <c r="S2544" s="32"/>
    </row>
    <row r="2545" spans="1:19">
      <c r="A2545" s="45" t="s">
        <v>136</v>
      </c>
      <c r="B2545" s="48" t="s">
        <v>171</v>
      </c>
      <c r="C2545" s="32">
        <v>111</v>
      </c>
      <c r="D2545" s="32"/>
      <c r="E2545" s="48" t="s">
        <v>17</v>
      </c>
      <c r="F2545" s="48" t="s">
        <v>15</v>
      </c>
      <c r="G2545" s="48" t="s">
        <v>41</v>
      </c>
      <c r="H2545" s="11">
        <v>11.8</v>
      </c>
      <c r="I2545" s="52">
        <v>6.1</v>
      </c>
      <c r="J2545" s="7">
        <v>1</v>
      </c>
      <c r="K2545" s="10">
        <f t="shared" si="246"/>
        <v>7.1980000000000002E-2</v>
      </c>
      <c r="L2545" s="32"/>
      <c r="M2545" s="32">
        <v>1</v>
      </c>
      <c r="N2545" s="18">
        <f t="shared" si="247"/>
        <v>7.1980000000000002E-2</v>
      </c>
      <c r="O2545" s="19">
        <f t="shared" si="248"/>
        <v>0</v>
      </c>
      <c r="P2545" s="13">
        <f t="shared" si="249"/>
        <v>0</v>
      </c>
      <c r="Q2545" s="33">
        <v>6.2</v>
      </c>
      <c r="R2545" s="32">
        <v>1</v>
      </c>
      <c r="S2545" s="32" t="s">
        <v>201</v>
      </c>
    </row>
    <row r="2546" spans="1:19">
      <c r="A2546" s="45" t="s">
        <v>136</v>
      </c>
      <c r="B2546" s="48" t="s">
        <v>171</v>
      </c>
      <c r="C2546" s="32">
        <v>111</v>
      </c>
      <c r="D2546" s="32"/>
      <c r="E2546" s="48" t="s">
        <v>17</v>
      </c>
      <c r="F2546" s="48" t="s">
        <v>15</v>
      </c>
      <c r="G2546" s="48" t="s">
        <v>41</v>
      </c>
      <c r="H2546" s="11">
        <v>11.8</v>
      </c>
      <c r="I2546" s="52">
        <v>7</v>
      </c>
      <c r="J2546" s="7">
        <v>1</v>
      </c>
      <c r="K2546" s="10">
        <f t="shared" si="246"/>
        <v>8.2600000000000007E-2</v>
      </c>
      <c r="L2546" s="32"/>
      <c r="M2546" s="32">
        <v>1</v>
      </c>
      <c r="N2546" s="18">
        <f t="shared" si="247"/>
        <v>8.2600000000000007E-2</v>
      </c>
      <c r="O2546" s="19">
        <f t="shared" si="248"/>
        <v>0</v>
      </c>
      <c r="P2546" s="13">
        <f t="shared" si="249"/>
        <v>0</v>
      </c>
      <c r="Q2546" s="33">
        <v>6.2</v>
      </c>
      <c r="R2546" s="32">
        <v>1</v>
      </c>
      <c r="S2546" s="32" t="s">
        <v>201</v>
      </c>
    </row>
    <row r="2547" spans="1:19">
      <c r="A2547" s="45" t="s">
        <v>136</v>
      </c>
      <c r="B2547" s="48" t="s">
        <v>171</v>
      </c>
      <c r="C2547" s="32">
        <v>112</v>
      </c>
      <c r="D2547" s="32"/>
      <c r="E2547" s="48" t="s">
        <v>20</v>
      </c>
      <c r="F2547" s="48" t="s">
        <v>15</v>
      </c>
      <c r="G2547" s="48" t="s">
        <v>18</v>
      </c>
      <c r="H2547" s="11">
        <v>6.86</v>
      </c>
      <c r="I2547" s="52">
        <v>12</v>
      </c>
      <c r="J2547" s="7">
        <v>3</v>
      </c>
      <c r="K2547" s="10">
        <f t="shared" si="246"/>
        <v>0.24696000000000004</v>
      </c>
      <c r="L2547" s="32"/>
      <c r="M2547" s="32">
        <v>3</v>
      </c>
      <c r="N2547" s="18">
        <f t="shared" si="247"/>
        <v>0.24696000000000001</v>
      </c>
      <c r="O2547" s="19">
        <f t="shared" si="248"/>
        <v>0</v>
      </c>
      <c r="P2547" s="13">
        <f t="shared" si="249"/>
        <v>0</v>
      </c>
      <c r="Q2547" s="55">
        <v>12</v>
      </c>
      <c r="R2547" s="32">
        <v>3</v>
      </c>
      <c r="S2547" s="2" t="s">
        <v>735</v>
      </c>
    </row>
    <row r="2548" spans="1:19">
      <c r="A2548" s="45" t="s">
        <v>136</v>
      </c>
      <c r="B2548" s="48" t="s">
        <v>171</v>
      </c>
      <c r="C2548" s="32">
        <v>113</v>
      </c>
      <c r="D2548" s="32"/>
      <c r="E2548" s="69" t="s">
        <v>173</v>
      </c>
      <c r="F2548" s="69" t="s">
        <v>15</v>
      </c>
      <c r="G2548" s="69" t="s">
        <v>34</v>
      </c>
      <c r="H2548" s="61">
        <v>9.61</v>
      </c>
      <c r="I2548" s="70">
        <v>9.1999999999999993</v>
      </c>
      <c r="J2548" s="60">
        <v>1</v>
      </c>
      <c r="K2548" s="62">
        <f t="shared" si="246"/>
        <v>8.8411999999999991E-2</v>
      </c>
      <c r="L2548" s="256" t="s">
        <v>135</v>
      </c>
      <c r="M2548" s="67"/>
      <c r="N2548" s="63">
        <f t="shared" si="247"/>
        <v>0</v>
      </c>
      <c r="O2548" s="64">
        <f t="shared" si="248"/>
        <v>1</v>
      </c>
      <c r="P2548" s="65">
        <f t="shared" si="249"/>
        <v>8.8411999999999991E-2</v>
      </c>
      <c r="Q2548" s="67"/>
      <c r="R2548" s="67"/>
      <c r="S2548" s="67"/>
    </row>
    <row r="2549" spans="1:19">
      <c r="A2549" s="45" t="s">
        <v>136</v>
      </c>
      <c r="B2549" s="48" t="s">
        <v>171</v>
      </c>
      <c r="C2549" s="32">
        <v>113</v>
      </c>
      <c r="D2549" s="32"/>
      <c r="E2549" s="69" t="s">
        <v>173</v>
      </c>
      <c r="F2549" s="69" t="s">
        <v>15</v>
      </c>
      <c r="G2549" s="69" t="s">
        <v>34</v>
      </c>
      <c r="H2549" s="61">
        <v>9.61</v>
      </c>
      <c r="I2549" s="70">
        <v>5.5</v>
      </c>
      <c r="J2549" s="60">
        <v>1</v>
      </c>
      <c r="K2549" s="62">
        <f t="shared" si="246"/>
        <v>5.2854999999999999E-2</v>
      </c>
      <c r="L2549" s="256" t="s">
        <v>135</v>
      </c>
      <c r="M2549" s="67"/>
      <c r="N2549" s="63">
        <f t="shared" si="247"/>
        <v>0</v>
      </c>
      <c r="O2549" s="64">
        <f t="shared" si="248"/>
        <v>1</v>
      </c>
      <c r="P2549" s="65">
        <f t="shared" si="249"/>
        <v>5.2854999999999999E-2</v>
      </c>
      <c r="Q2549" s="67"/>
      <c r="R2549" s="67"/>
      <c r="S2549" s="67"/>
    </row>
    <row r="2550" spans="1:19">
      <c r="A2550" s="45" t="s">
        <v>136</v>
      </c>
      <c r="B2550" s="48" t="s">
        <v>171</v>
      </c>
      <c r="C2550" s="32">
        <v>114</v>
      </c>
      <c r="D2550" s="32"/>
      <c r="E2550" s="48" t="s">
        <v>17</v>
      </c>
      <c r="F2550" s="48" t="s">
        <v>15</v>
      </c>
      <c r="G2550" s="48" t="s">
        <v>41</v>
      </c>
      <c r="H2550" s="11">
        <v>11.8</v>
      </c>
      <c r="I2550" s="52">
        <v>9.1999999999999993</v>
      </c>
      <c r="J2550" s="7">
        <v>1</v>
      </c>
      <c r="K2550" s="10">
        <f t="shared" si="246"/>
        <v>0.10856</v>
      </c>
      <c r="L2550" s="32"/>
      <c r="M2550" s="32">
        <v>1</v>
      </c>
      <c r="N2550" s="18">
        <f t="shared" si="247"/>
        <v>0.10856</v>
      </c>
      <c r="O2550" s="19">
        <f t="shared" si="248"/>
        <v>0</v>
      </c>
      <c r="P2550" s="13">
        <f t="shared" si="249"/>
        <v>0</v>
      </c>
      <c r="Q2550" s="50">
        <v>7.4</v>
      </c>
      <c r="R2550" s="32">
        <v>1</v>
      </c>
      <c r="S2550" s="32" t="s">
        <v>201</v>
      </c>
    </row>
    <row r="2551" spans="1:19">
      <c r="A2551" s="45" t="s">
        <v>136</v>
      </c>
      <c r="B2551" s="48" t="s">
        <v>171</v>
      </c>
      <c r="C2551" s="32">
        <v>114</v>
      </c>
      <c r="D2551" s="32"/>
      <c r="E2551" s="48" t="s">
        <v>17</v>
      </c>
      <c r="F2551" s="48" t="s">
        <v>15</v>
      </c>
      <c r="G2551" s="48" t="s">
        <v>41</v>
      </c>
      <c r="H2551" s="11">
        <v>11.8</v>
      </c>
      <c r="I2551" s="52">
        <v>10.5</v>
      </c>
      <c r="J2551" s="7">
        <v>1</v>
      </c>
      <c r="K2551" s="10">
        <f t="shared" si="246"/>
        <v>0.12390000000000001</v>
      </c>
      <c r="L2551" s="32"/>
      <c r="M2551" s="32">
        <v>1</v>
      </c>
      <c r="N2551" s="18">
        <f t="shared" si="247"/>
        <v>0.12390000000000001</v>
      </c>
      <c r="O2551" s="19">
        <f t="shared" si="248"/>
        <v>0</v>
      </c>
      <c r="P2551" s="13">
        <f t="shared" si="249"/>
        <v>0</v>
      </c>
      <c r="Q2551" s="50">
        <v>10</v>
      </c>
      <c r="R2551" s="32">
        <v>1</v>
      </c>
      <c r="S2551" s="32" t="s">
        <v>201</v>
      </c>
    </row>
    <row r="2552" spans="1:19">
      <c r="A2552" s="45" t="s">
        <v>136</v>
      </c>
      <c r="B2552" s="48" t="s">
        <v>171</v>
      </c>
      <c r="C2552" s="32">
        <v>115</v>
      </c>
      <c r="D2552" s="32"/>
      <c r="E2552" s="48" t="s">
        <v>89</v>
      </c>
      <c r="F2552" s="48" t="s">
        <v>15</v>
      </c>
      <c r="G2552" s="48" t="s">
        <v>58</v>
      </c>
      <c r="H2552" s="11">
        <v>27.29</v>
      </c>
      <c r="I2552" s="8">
        <v>11.7</v>
      </c>
      <c r="J2552" s="7">
        <v>1</v>
      </c>
      <c r="K2552" s="10">
        <f t="shared" si="246"/>
        <v>0.31929299999999994</v>
      </c>
      <c r="L2552" s="32"/>
      <c r="M2552" s="32">
        <v>1</v>
      </c>
      <c r="N2552" s="18">
        <f t="shared" si="247"/>
        <v>0.31929299999999994</v>
      </c>
      <c r="O2552" s="19">
        <f t="shared" si="248"/>
        <v>0</v>
      </c>
      <c r="P2552" s="13">
        <f t="shared" si="249"/>
        <v>0</v>
      </c>
      <c r="Q2552" s="55">
        <v>10.5</v>
      </c>
      <c r="R2552" s="32">
        <v>1</v>
      </c>
      <c r="S2552" s="32" t="s">
        <v>195</v>
      </c>
    </row>
    <row r="2553" spans="1:19">
      <c r="A2553" s="45" t="s">
        <v>136</v>
      </c>
      <c r="B2553" s="48" t="s">
        <v>171</v>
      </c>
      <c r="C2553" s="32">
        <v>116</v>
      </c>
      <c r="D2553" s="32"/>
      <c r="E2553" s="48" t="s">
        <v>96</v>
      </c>
      <c r="F2553" s="48" t="s">
        <v>15</v>
      </c>
      <c r="G2553" s="48" t="s">
        <v>42</v>
      </c>
      <c r="H2553" s="11">
        <v>19.72</v>
      </c>
      <c r="I2553" s="8">
        <v>11</v>
      </c>
      <c r="J2553" s="7">
        <v>1</v>
      </c>
      <c r="K2553" s="10">
        <f t="shared" si="246"/>
        <v>0.21691999999999997</v>
      </c>
      <c r="L2553" s="32"/>
      <c r="M2553" s="32">
        <v>1</v>
      </c>
      <c r="N2553" s="18">
        <f t="shared" si="247"/>
        <v>0.21691999999999997</v>
      </c>
      <c r="O2553" s="19">
        <f t="shared" si="248"/>
        <v>0</v>
      </c>
      <c r="P2553" s="13">
        <f t="shared" si="249"/>
        <v>0</v>
      </c>
      <c r="Q2553" s="33"/>
      <c r="R2553" s="45">
        <v>1</v>
      </c>
      <c r="S2553" s="32" t="s">
        <v>542</v>
      </c>
    </row>
    <row r="2554" spans="1:19">
      <c r="A2554" s="45" t="s">
        <v>136</v>
      </c>
      <c r="B2554" s="48" t="s">
        <v>171</v>
      </c>
      <c r="C2554" s="32">
        <v>116</v>
      </c>
      <c r="D2554" s="32"/>
      <c r="E2554" s="48" t="s">
        <v>96</v>
      </c>
      <c r="F2554" s="48" t="s">
        <v>15</v>
      </c>
      <c r="G2554" s="48" t="s">
        <v>42</v>
      </c>
      <c r="H2554" s="11">
        <v>19.72</v>
      </c>
      <c r="I2554" s="8">
        <v>12</v>
      </c>
      <c r="J2554" s="7">
        <v>1</v>
      </c>
      <c r="K2554" s="10">
        <f t="shared" si="246"/>
        <v>0.23663999999999999</v>
      </c>
      <c r="L2554" s="32"/>
      <c r="M2554" s="32">
        <v>1</v>
      </c>
      <c r="N2554" s="18">
        <f t="shared" si="247"/>
        <v>0.23663999999999999</v>
      </c>
      <c r="O2554" s="19">
        <f t="shared" si="248"/>
        <v>0</v>
      </c>
      <c r="P2554" s="13">
        <f t="shared" si="249"/>
        <v>0</v>
      </c>
      <c r="Q2554" s="33">
        <v>12</v>
      </c>
      <c r="R2554" s="32">
        <v>1</v>
      </c>
      <c r="S2554" s="2" t="s">
        <v>314</v>
      </c>
    </row>
    <row r="2555" spans="1:19">
      <c r="A2555" s="45" t="s">
        <v>136</v>
      </c>
      <c r="B2555" s="48" t="s">
        <v>171</v>
      </c>
      <c r="C2555" s="32">
        <v>117</v>
      </c>
      <c r="D2555" s="32"/>
      <c r="E2555" s="48" t="s">
        <v>19</v>
      </c>
      <c r="F2555" s="48" t="s">
        <v>14</v>
      </c>
      <c r="G2555" s="48" t="s">
        <v>22</v>
      </c>
      <c r="H2555" s="11">
        <v>10.73</v>
      </c>
      <c r="I2555" s="8">
        <v>12</v>
      </c>
      <c r="J2555" s="7">
        <v>3</v>
      </c>
      <c r="K2555" s="10">
        <f t="shared" si="246"/>
        <v>0.38627999999999996</v>
      </c>
      <c r="L2555" s="32"/>
      <c r="M2555" s="32">
        <v>3</v>
      </c>
      <c r="N2555" s="18">
        <f t="shared" si="247"/>
        <v>0.38628000000000001</v>
      </c>
      <c r="O2555" s="19">
        <f t="shared" si="248"/>
        <v>0</v>
      </c>
      <c r="P2555" s="13">
        <f t="shared" si="249"/>
        <v>0</v>
      </c>
      <c r="Q2555" s="32"/>
      <c r="R2555" s="32">
        <v>3</v>
      </c>
      <c r="S2555" s="2" t="s">
        <v>223</v>
      </c>
    </row>
    <row r="2556" spans="1:19">
      <c r="A2556" s="45" t="s">
        <v>136</v>
      </c>
      <c r="B2556" s="48" t="s">
        <v>171</v>
      </c>
      <c r="C2556" s="32">
        <v>118</v>
      </c>
      <c r="D2556" s="32"/>
      <c r="E2556" s="48" t="s">
        <v>20</v>
      </c>
      <c r="F2556" s="48" t="s">
        <v>15</v>
      </c>
      <c r="G2556" s="48" t="s">
        <v>57</v>
      </c>
      <c r="H2556" s="11">
        <v>33.72</v>
      </c>
      <c r="I2556" s="52">
        <v>8.6999999999999993</v>
      </c>
      <c r="J2556" s="7">
        <v>1</v>
      </c>
      <c r="K2556" s="10">
        <f t="shared" si="246"/>
        <v>0.29336399999999996</v>
      </c>
      <c r="L2556" s="32"/>
      <c r="M2556" s="32">
        <v>1</v>
      </c>
      <c r="N2556" s="18">
        <f t="shared" si="247"/>
        <v>0.29336399999999996</v>
      </c>
      <c r="O2556" s="106">
        <f t="shared" si="248"/>
        <v>0</v>
      </c>
      <c r="P2556" s="13">
        <f t="shared" si="249"/>
        <v>0</v>
      </c>
      <c r="Q2556" s="359">
        <f t="shared" ref="Q2556:Q2557" si="250">4.602+0.15</f>
        <v>4.7520000000000007</v>
      </c>
      <c r="R2556" s="91">
        <v>1</v>
      </c>
      <c r="S2556" s="2" t="s">
        <v>454</v>
      </c>
    </row>
    <row r="2557" spans="1:19">
      <c r="A2557" s="45" t="s">
        <v>136</v>
      </c>
      <c r="B2557" s="48" t="s">
        <v>171</v>
      </c>
      <c r="C2557" s="32">
        <v>118</v>
      </c>
      <c r="D2557" s="32"/>
      <c r="E2557" s="48" t="s">
        <v>20</v>
      </c>
      <c r="F2557" s="48" t="s">
        <v>15</v>
      </c>
      <c r="G2557" s="48" t="s">
        <v>57</v>
      </c>
      <c r="H2557" s="11">
        <v>33.72</v>
      </c>
      <c r="I2557" s="8">
        <v>7.2</v>
      </c>
      <c r="J2557" s="7">
        <v>1</v>
      </c>
      <c r="K2557" s="10">
        <f t="shared" si="246"/>
        <v>0.242784</v>
      </c>
      <c r="L2557" s="32"/>
      <c r="M2557" s="32">
        <v>1</v>
      </c>
      <c r="N2557" s="18">
        <f t="shared" si="247"/>
        <v>0.242784</v>
      </c>
      <c r="O2557" s="106">
        <f t="shared" si="248"/>
        <v>0</v>
      </c>
      <c r="P2557" s="13">
        <f t="shared" si="249"/>
        <v>0</v>
      </c>
      <c r="Q2557" s="359">
        <f t="shared" si="250"/>
        <v>4.7520000000000007</v>
      </c>
      <c r="R2557" s="91">
        <v>1</v>
      </c>
      <c r="S2557" s="2" t="s">
        <v>454</v>
      </c>
    </row>
    <row r="2558" spans="1:19">
      <c r="A2558" s="45" t="s">
        <v>136</v>
      </c>
      <c r="B2558" s="48" t="s">
        <v>171</v>
      </c>
      <c r="C2558" s="32">
        <v>119</v>
      </c>
      <c r="D2558" s="32"/>
      <c r="E2558" s="48" t="s">
        <v>106</v>
      </c>
      <c r="F2558" s="48" t="s">
        <v>15</v>
      </c>
      <c r="G2558" s="48" t="s">
        <v>56</v>
      </c>
      <c r="H2558" s="11">
        <v>25.2</v>
      </c>
      <c r="I2558" s="8">
        <v>8.4</v>
      </c>
      <c r="J2558" s="7">
        <v>1</v>
      </c>
      <c r="K2558" s="10">
        <f t="shared" si="246"/>
        <v>0.21168000000000001</v>
      </c>
      <c r="L2558" s="32"/>
      <c r="M2558" s="32"/>
      <c r="N2558" s="18">
        <f t="shared" si="247"/>
        <v>0</v>
      </c>
      <c r="O2558" s="19">
        <f t="shared" si="248"/>
        <v>1</v>
      </c>
      <c r="P2558" s="13">
        <f t="shared" si="249"/>
        <v>0.21168000000000001</v>
      </c>
      <c r="Q2558" s="32"/>
      <c r="R2558" s="32"/>
      <c r="S2558" s="32"/>
    </row>
    <row r="2559" spans="1:19">
      <c r="A2559" s="45" t="s">
        <v>136</v>
      </c>
      <c r="B2559" s="48" t="s">
        <v>171</v>
      </c>
      <c r="C2559" s="32">
        <v>119</v>
      </c>
      <c r="D2559" s="32"/>
      <c r="E2559" s="48" t="s">
        <v>106</v>
      </c>
      <c r="F2559" s="48" t="s">
        <v>15</v>
      </c>
      <c r="G2559" s="48" t="s">
        <v>56</v>
      </c>
      <c r="H2559" s="11">
        <v>25.2</v>
      </c>
      <c r="I2559" s="8">
        <v>9.6999999999999993</v>
      </c>
      <c r="J2559" s="7">
        <v>1</v>
      </c>
      <c r="K2559" s="10">
        <f t="shared" si="246"/>
        <v>0.24443999999999996</v>
      </c>
      <c r="L2559" s="32"/>
      <c r="M2559" s="32"/>
      <c r="N2559" s="18">
        <f t="shared" si="247"/>
        <v>0</v>
      </c>
      <c r="O2559" s="19">
        <f t="shared" si="248"/>
        <v>1</v>
      </c>
      <c r="P2559" s="13">
        <f t="shared" si="249"/>
        <v>0.24443999999999996</v>
      </c>
      <c r="Q2559" s="32"/>
      <c r="R2559" s="32"/>
      <c r="S2559" s="32"/>
    </row>
    <row r="2560" spans="1:19">
      <c r="A2560" s="45" t="s">
        <v>136</v>
      </c>
      <c r="B2560" s="48" t="s">
        <v>171</v>
      </c>
      <c r="C2560" s="32">
        <v>119</v>
      </c>
      <c r="D2560" s="32"/>
      <c r="E2560" s="48" t="s">
        <v>106</v>
      </c>
      <c r="F2560" s="48" t="s">
        <v>15</v>
      </c>
      <c r="G2560" s="48" t="s">
        <v>56</v>
      </c>
      <c r="H2560" s="11">
        <v>25.2</v>
      </c>
      <c r="I2560" s="8">
        <v>10.199999999999999</v>
      </c>
      <c r="J2560" s="7">
        <v>1</v>
      </c>
      <c r="K2560" s="10">
        <f t="shared" si="246"/>
        <v>0.25703999999999999</v>
      </c>
      <c r="L2560" s="32"/>
      <c r="M2560" s="32"/>
      <c r="N2560" s="18">
        <f t="shared" si="247"/>
        <v>0</v>
      </c>
      <c r="O2560" s="19">
        <f t="shared" si="248"/>
        <v>1</v>
      </c>
      <c r="P2560" s="13">
        <f t="shared" si="249"/>
        <v>0.25703999999999999</v>
      </c>
      <c r="Q2560" s="32"/>
      <c r="R2560" s="32"/>
      <c r="S2560" s="32"/>
    </row>
    <row r="2561" spans="1:22">
      <c r="A2561" s="45" t="s">
        <v>136</v>
      </c>
      <c r="B2561" s="48" t="s">
        <v>171</v>
      </c>
      <c r="C2561" s="32">
        <v>119</v>
      </c>
      <c r="D2561" s="32"/>
      <c r="E2561" s="48" t="s">
        <v>106</v>
      </c>
      <c r="F2561" s="48" t="s">
        <v>15</v>
      </c>
      <c r="G2561" s="48" t="s">
        <v>56</v>
      </c>
      <c r="H2561" s="11">
        <v>25.2</v>
      </c>
      <c r="I2561" s="8">
        <v>10.6</v>
      </c>
      <c r="J2561" s="7">
        <v>1</v>
      </c>
      <c r="K2561" s="10">
        <f t="shared" si="246"/>
        <v>0.26712000000000002</v>
      </c>
      <c r="L2561" s="32"/>
      <c r="M2561" s="32"/>
      <c r="N2561" s="18">
        <f t="shared" si="247"/>
        <v>0</v>
      </c>
      <c r="O2561" s="19">
        <f t="shared" si="248"/>
        <v>1</v>
      </c>
      <c r="P2561" s="13">
        <f t="shared" si="249"/>
        <v>0.26712000000000002</v>
      </c>
      <c r="Q2561" s="32"/>
      <c r="R2561" s="32"/>
      <c r="S2561" s="32"/>
    </row>
    <row r="2562" spans="1:22">
      <c r="A2562" s="45" t="s">
        <v>136</v>
      </c>
      <c r="B2562" s="48" t="s">
        <v>171</v>
      </c>
      <c r="C2562" s="32">
        <v>120</v>
      </c>
      <c r="D2562" s="32"/>
      <c r="E2562" s="48" t="s">
        <v>141</v>
      </c>
      <c r="F2562" s="48" t="s">
        <v>15</v>
      </c>
      <c r="G2562" s="48" t="s">
        <v>57</v>
      </c>
      <c r="H2562" s="11">
        <v>33.72</v>
      </c>
      <c r="I2562" s="52">
        <v>8.3000000000000007</v>
      </c>
      <c r="J2562" s="7">
        <v>2</v>
      </c>
      <c r="K2562" s="10">
        <f t="shared" si="246"/>
        <v>0.55975200000000003</v>
      </c>
      <c r="L2562" s="32"/>
      <c r="M2562" s="32">
        <v>2</v>
      </c>
      <c r="N2562" s="18">
        <f t="shared" si="247"/>
        <v>0.55975200000000003</v>
      </c>
      <c r="O2562" s="19">
        <f t="shared" si="248"/>
        <v>0</v>
      </c>
      <c r="P2562" s="13">
        <f t="shared" si="249"/>
        <v>0</v>
      </c>
      <c r="Q2562" s="32"/>
      <c r="R2562" s="32"/>
      <c r="S2562" s="32"/>
    </row>
    <row r="2563" spans="1:22">
      <c r="A2563" s="45" t="s">
        <v>136</v>
      </c>
      <c r="B2563" s="48" t="s">
        <v>171</v>
      </c>
      <c r="C2563" s="32">
        <v>120</v>
      </c>
      <c r="D2563" s="32"/>
      <c r="E2563" s="48" t="s">
        <v>141</v>
      </c>
      <c r="F2563" s="48" t="s">
        <v>15</v>
      </c>
      <c r="G2563" s="48" t="s">
        <v>57</v>
      </c>
      <c r="H2563" s="11">
        <v>33.72</v>
      </c>
      <c r="I2563" s="52">
        <v>8.5</v>
      </c>
      <c r="J2563" s="7">
        <v>1</v>
      </c>
      <c r="K2563" s="10">
        <f t="shared" si="246"/>
        <v>0.28661999999999999</v>
      </c>
      <c r="L2563" s="32"/>
      <c r="M2563" s="32">
        <v>1</v>
      </c>
      <c r="N2563" s="18">
        <f t="shared" si="247"/>
        <v>0.28661999999999999</v>
      </c>
      <c r="O2563" s="19">
        <f t="shared" si="248"/>
        <v>0</v>
      </c>
      <c r="P2563" s="13">
        <f t="shared" si="249"/>
        <v>0</v>
      </c>
      <c r="Q2563" s="32"/>
      <c r="R2563" s="32"/>
      <c r="S2563" s="32"/>
    </row>
    <row r="2564" spans="1:22">
      <c r="A2564" s="45" t="s">
        <v>136</v>
      </c>
      <c r="B2564" s="48" t="s">
        <v>171</v>
      </c>
      <c r="C2564" s="32">
        <v>121</v>
      </c>
      <c r="D2564" s="32"/>
      <c r="E2564" s="48" t="s">
        <v>106</v>
      </c>
      <c r="F2564" s="48" t="s">
        <v>15</v>
      </c>
      <c r="G2564" s="48" t="s">
        <v>58</v>
      </c>
      <c r="H2564" s="11">
        <v>27.29</v>
      </c>
      <c r="I2564" s="8">
        <v>5.8</v>
      </c>
      <c r="J2564" s="7">
        <v>1</v>
      </c>
      <c r="K2564" s="10">
        <f t="shared" si="246"/>
        <v>0.15828199999999998</v>
      </c>
      <c r="L2564" s="32"/>
      <c r="M2564" s="32"/>
      <c r="N2564" s="18">
        <f t="shared" si="247"/>
        <v>0</v>
      </c>
      <c r="O2564" s="19">
        <f t="shared" si="248"/>
        <v>1</v>
      </c>
      <c r="P2564" s="13">
        <f t="shared" si="249"/>
        <v>0.15828199999999998</v>
      </c>
      <c r="Q2564" s="32"/>
      <c r="R2564" s="32"/>
      <c r="S2564" s="32"/>
    </row>
    <row r="2565" spans="1:22">
      <c r="A2565" s="45" t="s">
        <v>136</v>
      </c>
      <c r="B2565" s="48" t="s">
        <v>171</v>
      </c>
      <c r="C2565" s="32">
        <v>121</v>
      </c>
      <c r="D2565" s="32"/>
      <c r="E2565" s="48" t="s">
        <v>106</v>
      </c>
      <c r="F2565" s="48" t="s">
        <v>15</v>
      </c>
      <c r="G2565" s="48" t="s">
        <v>58</v>
      </c>
      <c r="H2565" s="11">
        <v>27.29</v>
      </c>
      <c r="I2565" s="8">
        <v>5.9</v>
      </c>
      <c r="J2565" s="7">
        <v>1</v>
      </c>
      <c r="K2565" s="10">
        <f t="shared" si="246"/>
        <v>0.16101099999999999</v>
      </c>
      <c r="L2565" s="32"/>
      <c r="M2565" s="32"/>
      <c r="N2565" s="18">
        <f t="shared" si="247"/>
        <v>0</v>
      </c>
      <c r="O2565" s="19">
        <f t="shared" si="248"/>
        <v>1</v>
      </c>
      <c r="P2565" s="13">
        <f t="shared" si="249"/>
        <v>0.16101099999999999</v>
      </c>
      <c r="Q2565" s="32"/>
      <c r="R2565" s="32"/>
      <c r="S2565" s="32"/>
    </row>
    <row r="2566" spans="1:22">
      <c r="A2566" s="45" t="s">
        <v>136</v>
      </c>
      <c r="B2566" s="48" t="s">
        <v>171</v>
      </c>
      <c r="C2566" s="32">
        <v>122</v>
      </c>
      <c r="D2566" s="32"/>
      <c r="E2566" s="48" t="s">
        <v>17</v>
      </c>
      <c r="F2566" s="48" t="s">
        <v>15</v>
      </c>
      <c r="G2566" s="48" t="s">
        <v>30</v>
      </c>
      <c r="H2566" s="11">
        <v>9.26</v>
      </c>
      <c r="I2566" s="184">
        <v>12</v>
      </c>
      <c r="J2566" s="7">
        <v>5</v>
      </c>
      <c r="K2566" s="10">
        <f t="shared" ref="K2566:K2628" si="251">(H2566*I2566*J2566/1000)</f>
        <v>0.55559999999999998</v>
      </c>
      <c r="L2566" s="32"/>
      <c r="M2566" s="32">
        <v>5</v>
      </c>
      <c r="N2566" s="18">
        <f t="shared" ref="N2566:N2628" si="252">I2566*M2566*H2566/1000</f>
        <v>0.55559999999999998</v>
      </c>
      <c r="O2566" s="19">
        <f t="shared" ref="O2566:O2628" si="253">J2566-M2566</f>
        <v>0</v>
      </c>
      <c r="P2566" s="13">
        <f t="shared" ref="P2566:P2628" si="254">I2566*O2566*H2566/1000</f>
        <v>0</v>
      </c>
      <c r="Q2566" s="32">
        <v>12</v>
      </c>
      <c r="R2566" s="45">
        <v>5</v>
      </c>
      <c r="S2566" s="2" t="s">
        <v>267</v>
      </c>
    </row>
    <row r="2567" spans="1:22">
      <c r="A2567" s="45" t="s">
        <v>136</v>
      </c>
      <c r="B2567" s="48" t="s">
        <v>171</v>
      </c>
      <c r="C2567" s="32">
        <v>123</v>
      </c>
      <c r="D2567" s="32"/>
      <c r="E2567" s="48" t="s">
        <v>174</v>
      </c>
      <c r="F2567" s="48" t="s">
        <v>15</v>
      </c>
      <c r="G2567" s="48" t="s">
        <v>42</v>
      </c>
      <c r="H2567" s="11">
        <v>19.72</v>
      </c>
      <c r="I2567" s="8">
        <v>7.2</v>
      </c>
      <c r="J2567" s="7">
        <v>1</v>
      </c>
      <c r="K2567" s="10">
        <f t="shared" si="251"/>
        <v>0.141984</v>
      </c>
      <c r="L2567" s="32"/>
      <c r="M2567" s="32">
        <v>1</v>
      </c>
      <c r="N2567" s="18">
        <f t="shared" si="252"/>
        <v>0.141984</v>
      </c>
      <c r="O2567" s="19">
        <f t="shared" si="253"/>
        <v>0</v>
      </c>
      <c r="P2567" s="13">
        <f t="shared" si="254"/>
        <v>0</v>
      </c>
      <c r="Q2567" s="33">
        <v>7.1</v>
      </c>
      <c r="R2567" s="32">
        <v>1</v>
      </c>
      <c r="S2567" s="2" t="s">
        <v>313</v>
      </c>
    </row>
    <row r="2568" spans="1:22">
      <c r="A2568" s="45" t="s">
        <v>136</v>
      </c>
      <c r="B2568" s="48" t="s">
        <v>171</v>
      </c>
      <c r="C2568" s="32">
        <v>123</v>
      </c>
      <c r="D2568" s="32"/>
      <c r="E2568" s="48" t="s">
        <v>175</v>
      </c>
      <c r="F2568" s="48" t="s">
        <v>15</v>
      </c>
      <c r="G2568" s="48" t="s">
        <v>42</v>
      </c>
      <c r="H2568" s="11">
        <v>19.72</v>
      </c>
      <c r="I2568" s="8">
        <v>11</v>
      </c>
      <c r="J2568" s="7">
        <v>4</v>
      </c>
      <c r="K2568" s="10">
        <f t="shared" si="251"/>
        <v>0.8676799999999999</v>
      </c>
      <c r="L2568" s="32"/>
      <c r="M2568" s="32">
        <v>4</v>
      </c>
      <c r="N2568" s="18">
        <f t="shared" si="252"/>
        <v>0.8676799999999999</v>
      </c>
      <c r="O2568" s="19">
        <f t="shared" si="253"/>
        <v>0</v>
      </c>
      <c r="P2568" s="13">
        <f t="shared" si="254"/>
        <v>0</v>
      </c>
      <c r="Q2568" s="32"/>
      <c r="R2568" s="45">
        <v>4</v>
      </c>
      <c r="S2568" s="32" t="s">
        <v>542</v>
      </c>
    </row>
    <row r="2569" spans="1:22">
      <c r="A2569" s="45" t="s">
        <v>136</v>
      </c>
      <c r="B2569" s="48" t="s">
        <v>171</v>
      </c>
      <c r="C2569" s="32">
        <v>124</v>
      </c>
      <c r="D2569" s="32"/>
      <c r="E2569" s="48" t="s">
        <v>20</v>
      </c>
      <c r="F2569" s="48" t="s">
        <v>15</v>
      </c>
      <c r="G2569" s="48" t="s">
        <v>58</v>
      </c>
      <c r="H2569" s="11">
        <v>27.29</v>
      </c>
      <c r="I2569" s="8">
        <v>7.4</v>
      </c>
      <c r="J2569" s="7">
        <v>1</v>
      </c>
      <c r="K2569" s="10">
        <f t="shared" si="251"/>
        <v>0.20194599999999999</v>
      </c>
      <c r="L2569" s="32"/>
      <c r="M2569" s="32">
        <v>1</v>
      </c>
      <c r="N2569" s="18">
        <f t="shared" si="252"/>
        <v>0.20194599999999999</v>
      </c>
      <c r="O2569" s="19">
        <f t="shared" si="253"/>
        <v>0</v>
      </c>
      <c r="P2569" s="13">
        <f t="shared" si="254"/>
        <v>0</v>
      </c>
      <c r="Q2569" s="55">
        <v>6.7</v>
      </c>
      <c r="R2569" s="32">
        <v>1</v>
      </c>
      <c r="S2569" s="32" t="s">
        <v>215</v>
      </c>
    </row>
    <row r="2570" spans="1:22">
      <c r="A2570" s="45" t="s">
        <v>136</v>
      </c>
      <c r="B2570" s="48" t="s">
        <v>171</v>
      </c>
      <c r="C2570" s="32">
        <v>124</v>
      </c>
      <c r="D2570" s="32"/>
      <c r="E2570" s="48" t="s">
        <v>20</v>
      </c>
      <c r="F2570" s="48" t="s">
        <v>15</v>
      </c>
      <c r="G2570" s="48" t="s">
        <v>48</v>
      </c>
      <c r="H2570" s="11">
        <v>23.6</v>
      </c>
      <c r="I2570" s="8">
        <v>10.9</v>
      </c>
      <c r="J2570" s="7">
        <v>1</v>
      </c>
      <c r="K2570" s="10">
        <f t="shared" si="251"/>
        <v>0.25724000000000002</v>
      </c>
      <c r="L2570" s="32"/>
      <c r="M2570" s="32">
        <v>1</v>
      </c>
      <c r="N2570" s="18">
        <f t="shared" si="252"/>
        <v>0.25724000000000002</v>
      </c>
      <c r="O2570" s="19">
        <f t="shared" si="253"/>
        <v>0</v>
      </c>
      <c r="P2570" s="13">
        <f t="shared" si="254"/>
        <v>0</v>
      </c>
      <c r="Q2570" s="32">
        <v>10.4</v>
      </c>
      <c r="R2570" s="32">
        <v>1</v>
      </c>
      <c r="S2570" s="32" t="s">
        <v>317</v>
      </c>
    </row>
    <row r="2571" spans="1:22">
      <c r="A2571" s="45" t="s">
        <v>136</v>
      </c>
      <c r="B2571" s="48" t="s">
        <v>171</v>
      </c>
      <c r="C2571" s="32">
        <v>125</v>
      </c>
      <c r="D2571" s="32"/>
      <c r="E2571" s="48" t="s">
        <v>20</v>
      </c>
      <c r="F2571" s="48" t="s">
        <v>15</v>
      </c>
      <c r="G2571" s="48" t="s">
        <v>40</v>
      </c>
      <c r="H2571" s="11">
        <v>16.5</v>
      </c>
      <c r="I2571" s="8">
        <v>11.5</v>
      </c>
      <c r="J2571" s="7">
        <v>1</v>
      </c>
      <c r="K2571" s="10">
        <f t="shared" si="251"/>
        <v>0.18975</v>
      </c>
      <c r="L2571" s="32"/>
      <c r="M2571" s="32">
        <v>1</v>
      </c>
      <c r="N2571" s="18">
        <f t="shared" si="252"/>
        <v>0.18975</v>
      </c>
      <c r="O2571" s="19">
        <f t="shared" si="253"/>
        <v>0</v>
      </c>
      <c r="P2571" s="13">
        <f t="shared" si="254"/>
        <v>0</v>
      </c>
      <c r="Q2571" s="32"/>
      <c r="R2571" s="32">
        <v>1</v>
      </c>
      <c r="S2571" s="2" t="s">
        <v>278</v>
      </c>
    </row>
    <row r="2572" spans="1:22">
      <c r="A2572" s="45" t="s">
        <v>136</v>
      </c>
      <c r="B2572" s="48" t="s">
        <v>171</v>
      </c>
      <c r="C2572" s="32">
        <v>126</v>
      </c>
      <c r="D2572" s="32"/>
      <c r="E2572" s="48" t="s">
        <v>20</v>
      </c>
      <c r="F2572" s="48" t="s">
        <v>15</v>
      </c>
      <c r="G2572" s="48" t="s">
        <v>32</v>
      </c>
      <c r="H2572" s="11">
        <v>8.3000000000000007</v>
      </c>
      <c r="I2572" s="52">
        <v>10.3</v>
      </c>
      <c r="J2572" s="7">
        <v>4</v>
      </c>
      <c r="K2572" s="10">
        <f t="shared" si="251"/>
        <v>0.34196000000000004</v>
      </c>
      <c r="L2572" s="32"/>
      <c r="M2572" s="32">
        <v>4</v>
      </c>
      <c r="N2572" s="18">
        <f t="shared" si="252"/>
        <v>0.34196000000000004</v>
      </c>
      <c r="O2572" s="19">
        <f t="shared" si="253"/>
        <v>0</v>
      </c>
      <c r="P2572" s="13">
        <f t="shared" si="254"/>
        <v>0</v>
      </c>
      <c r="Q2572" s="32">
        <v>8.15</v>
      </c>
      <c r="R2572" s="32">
        <v>4</v>
      </c>
      <c r="S2572" s="32"/>
    </row>
    <row r="2573" spans="1:22">
      <c r="A2573" s="45" t="s">
        <v>136</v>
      </c>
      <c r="B2573" s="48" t="s">
        <v>171</v>
      </c>
      <c r="C2573" s="32">
        <v>127</v>
      </c>
      <c r="D2573" s="32"/>
      <c r="E2573" s="48" t="s">
        <v>17</v>
      </c>
      <c r="F2573" s="48" t="s">
        <v>15</v>
      </c>
      <c r="G2573" s="48" t="s">
        <v>22</v>
      </c>
      <c r="H2573" s="11">
        <v>10.73</v>
      </c>
      <c r="I2573" s="8">
        <v>8</v>
      </c>
      <c r="J2573" s="7">
        <v>2</v>
      </c>
      <c r="K2573" s="10">
        <f t="shared" si="251"/>
        <v>0.17168</v>
      </c>
      <c r="L2573" s="32"/>
      <c r="M2573" s="32">
        <v>2</v>
      </c>
      <c r="N2573" s="18">
        <f t="shared" si="252"/>
        <v>0.17168</v>
      </c>
      <c r="O2573" s="19">
        <f t="shared" si="253"/>
        <v>0</v>
      </c>
      <c r="P2573" s="13">
        <f t="shared" si="254"/>
        <v>0</v>
      </c>
      <c r="Q2573" s="32">
        <v>6.5</v>
      </c>
      <c r="R2573" s="32">
        <v>2</v>
      </c>
      <c r="S2573" s="32" t="s">
        <v>249</v>
      </c>
    </row>
    <row r="2574" spans="1:22">
      <c r="A2574" s="45" t="s">
        <v>136</v>
      </c>
      <c r="B2574" s="48" t="s">
        <v>171</v>
      </c>
      <c r="C2574" s="32">
        <v>127</v>
      </c>
      <c r="D2574" s="32"/>
      <c r="E2574" s="48" t="s">
        <v>17</v>
      </c>
      <c r="F2574" s="48" t="s">
        <v>15</v>
      </c>
      <c r="G2574" s="48" t="s">
        <v>22</v>
      </c>
      <c r="H2574" s="11">
        <v>10.73</v>
      </c>
      <c r="I2574" s="8">
        <v>8.6999999999999993</v>
      </c>
      <c r="J2574" s="7">
        <v>1</v>
      </c>
      <c r="K2574" s="10">
        <f t="shared" si="251"/>
        <v>9.3351000000000003E-2</v>
      </c>
      <c r="L2574" s="32"/>
      <c r="M2574" s="32">
        <v>1</v>
      </c>
      <c r="N2574" s="18">
        <f t="shared" si="252"/>
        <v>9.3351000000000003E-2</v>
      </c>
      <c r="O2574" s="19">
        <f t="shared" si="253"/>
        <v>0</v>
      </c>
      <c r="P2574" s="13">
        <f t="shared" si="254"/>
        <v>0</v>
      </c>
      <c r="Q2574" s="32">
        <v>6.5</v>
      </c>
      <c r="R2574" s="32">
        <v>1</v>
      </c>
      <c r="S2574" s="32" t="s">
        <v>249</v>
      </c>
      <c r="T2574">
        <v>11.4</v>
      </c>
      <c r="U2574">
        <v>2</v>
      </c>
      <c r="V2574" t="s">
        <v>265</v>
      </c>
    </row>
    <row r="2575" spans="1:22">
      <c r="A2575" s="45" t="s">
        <v>136</v>
      </c>
      <c r="B2575" s="48" t="s">
        <v>171</v>
      </c>
      <c r="C2575" s="32">
        <v>127</v>
      </c>
      <c r="D2575" s="32"/>
      <c r="E2575" s="48" t="s">
        <v>17</v>
      </c>
      <c r="F2575" s="48" t="s">
        <v>15</v>
      </c>
      <c r="G2575" s="48" t="s">
        <v>22</v>
      </c>
      <c r="H2575" s="11">
        <v>10.73</v>
      </c>
      <c r="I2575" s="8">
        <v>11.6</v>
      </c>
      <c r="J2575" s="7">
        <v>2</v>
      </c>
      <c r="K2575" s="10">
        <f t="shared" si="251"/>
        <v>0.24893600000000002</v>
      </c>
      <c r="L2575" s="32"/>
      <c r="M2575" s="32">
        <v>2</v>
      </c>
      <c r="N2575" s="18">
        <f t="shared" si="252"/>
        <v>0.24893600000000002</v>
      </c>
      <c r="O2575" s="19">
        <f t="shared" si="253"/>
        <v>0</v>
      </c>
      <c r="P2575" s="13">
        <f t="shared" si="254"/>
        <v>0</v>
      </c>
      <c r="Q2575" s="32"/>
      <c r="R2575" s="32"/>
      <c r="S2575" s="32"/>
    </row>
    <row r="2576" spans="1:22">
      <c r="A2576" s="45" t="s">
        <v>136</v>
      </c>
      <c r="B2576" s="48" t="s">
        <v>171</v>
      </c>
      <c r="C2576" s="32">
        <v>128</v>
      </c>
      <c r="D2576" s="32"/>
      <c r="E2576" s="48" t="s">
        <v>89</v>
      </c>
      <c r="F2576" s="48" t="s">
        <v>15</v>
      </c>
      <c r="G2576" s="48" t="s">
        <v>28</v>
      </c>
      <c r="H2576" s="11">
        <v>12.18</v>
      </c>
      <c r="I2576" s="52">
        <v>8.6999999999999993</v>
      </c>
      <c r="J2576" s="7">
        <v>4</v>
      </c>
      <c r="K2576" s="10">
        <f t="shared" si="251"/>
        <v>0.42386399999999996</v>
      </c>
      <c r="L2576" s="32"/>
      <c r="M2576" s="32">
        <v>4</v>
      </c>
      <c r="N2576" s="18">
        <f t="shared" si="252"/>
        <v>0.42386399999999996</v>
      </c>
      <c r="O2576" s="19">
        <f t="shared" si="253"/>
        <v>0</v>
      </c>
      <c r="P2576" s="13">
        <f t="shared" si="254"/>
        <v>0</v>
      </c>
      <c r="Q2576" s="92" t="s">
        <v>369</v>
      </c>
      <c r="R2576" s="93">
        <v>4</v>
      </c>
      <c r="S2576" s="32"/>
    </row>
    <row r="2577" spans="1:19">
      <c r="A2577" s="45" t="s">
        <v>136</v>
      </c>
      <c r="B2577" s="48" t="s">
        <v>171</v>
      </c>
      <c r="C2577" s="32">
        <v>128</v>
      </c>
      <c r="D2577" s="32"/>
      <c r="E2577" s="48" t="s">
        <v>89</v>
      </c>
      <c r="F2577" s="48" t="s">
        <v>15</v>
      </c>
      <c r="G2577" s="48" t="s">
        <v>28</v>
      </c>
      <c r="H2577" s="11">
        <v>12.18</v>
      </c>
      <c r="I2577" s="52">
        <v>7</v>
      </c>
      <c r="J2577" s="7">
        <v>2</v>
      </c>
      <c r="K2577" s="10">
        <f t="shared" si="251"/>
        <v>0.17051999999999998</v>
      </c>
      <c r="L2577" s="32"/>
      <c r="M2577" s="32">
        <v>2</v>
      </c>
      <c r="N2577" s="18">
        <f t="shared" si="252"/>
        <v>0.17051999999999998</v>
      </c>
      <c r="O2577" s="19">
        <f t="shared" si="253"/>
        <v>0</v>
      </c>
      <c r="P2577" s="13">
        <f t="shared" si="254"/>
        <v>0</v>
      </c>
      <c r="Q2577" s="92" t="s">
        <v>369</v>
      </c>
      <c r="R2577" s="93">
        <v>2</v>
      </c>
      <c r="S2577" s="32"/>
    </row>
    <row r="2578" spans="1:19">
      <c r="A2578" s="45" t="s">
        <v>136</v>
      </c>
      <c r="B2578" s="48" t="s">
        <v>171</v>
      </c>
      <c r="C2578" s="32">
        <v>129</v>
      </c>
      <c r="D2578" s="32"/>
      <c r="E2578" s="48" t="s">
        <v>106</v>
      </c>
      <c r="F2578" s="48" t="s">
        <v>15</v>
      </c>
      <c r="G2578" s="48" t="s">
        <v>57</v>
      </c>
      <c r="H2578" s="11">
        <v>33.72</v>
      </c>
      <c r="I2578" s="52">
        <v>7.2</v>
      </c>
      <c r="J2578" s="7">
        <v>1</v>
      </c>
      <c r="K2578" s="10">
        <f t="shared" si="251"/>
        <v>0.242784</v>
      </c>
      <c r="L2578" s="32"/>
      <c r="M2578" s="32">
        <v>1</v>
      </c>
      <c r="N2578" s="18">
        <f t="shared" si="252"/>
        <v>0.242784</v>
      </c>
      <c r="O2578" s="310">
        <f t="shared" si="253"/>
        <v>0</v>
      </c>
      <c r="P2578" s="13">
        <f t="shared" si="254"/>
        <v>0</v>
      </c>
      <c r="Q2578" s="32"/>
      <c r="R2578" s="32">
        <v>1</v>
      </c>
      <c r="S2578" s="2" t="s">
        <v>514</v>
      </c>
    </row>
    <row r="2579" spans="1:19">
      <c r="A2579" s="45" t="s">
        <v>136</v>
      </c>
      <c r="B2579" s="48" t="s">
        <v>171</v>
      </c>
      <c r="C2579" s="32">
        <v>129</v>
      </c>
      <c r="D2579" s="32"/>
      <c r="E2579" s="48" t="s">
        <v>106</v>
      </c>
      <c r="F2579" s="48" t="s">
        <v>15</v>
      </c>
      <c r="G2579" s="48" t="s">
        <v>57</v>
      </c>
      <c r="H2579" s="11">
        <v>33.72</v>
      </c>
      <c r="I2579" s="52">
        <v>7.5</v>
      </c>
      <c r="J2579" s="7">
        <v>3</v>
      </c>
      <c r="K2579" s="10">
        <f t="shared" si="251"/>
        <v>0.75869999999999993</v>
      </c>
      <c r="L2579" s="32"/>
      <c r="M2579" s="32">
        <v>3</v>
      </c>
      <c r="N2579" s="18">
        <f t="shared" si="252"/>
        <v>0.75869999999999993</v>
      </c>
      <c r="O2579" s="310">
        <f t="shared" si="253"/>
        <v>0</v>
      </c>
      <c r="P2579" s="13">
        <f t="shared" si="254"/>
        <v>0</v>
      </c>
      <c r="Q2579" s="32"/>
      <c r="R2579" s="32">
        <v>3</v>
      </c>
      <c r="S2579" s="2" t="s">
        <v>514</v>
      </c>
    </row>
    <row r="2580" spans="1:19">
      <c r="A2580" s="45" t="s">
        <v>136</v>
      </c>
      <c r="B2580" s="48" t="s">
        <v>171</v>
      </c>
      <c r="C2580" s="32">
        <v>129</v>
      </c>
      <c r="D2580" s="32"/>
      <c r="E2580" s="48" t="s">
        <v>106</v>
      </c>
      <c r="F2580" s="48" t="s">
        <v>15</v>
      </c>
      <c r="G2580" s="48" t="s">
        <v>57</v>
      </c>
      <c r="H2580" s="11">
        <v>33.72</v>
      </c>
      <c r="I2580" s="52">
        <v>7.8</v>
      </c>
      <c r="J2580" s="7">
        <v>4</v>
      </c>
      <c r="K2580" s="10">
        <f t="shared" si="251"/>
        <v>1.0520639999999999</v>
      </c>
      <c r="L2580" s="32"/>
      <c r="M2580" s="32">
        <v>4</v>
      </c>
      <c r="N2580" s="18">
        <f t="shared" si="252"/>
        <v>1.0520639999999999</v>
      </c>
      <c r="O2580" s="310">
        <f t="shared" si="253"/>
        <v>0</v>
      </c>
      <c r="P2580" s="13">
        <f t="shared" si="254"/>
        <v>0</v>
      </c>
      <c r="Q2580" s="32"/>
      <c r="R2580" s="32">
        <v>4</v>
      </c>
      <c r="S2580" s="2" t="s">
        <v>514</v>
      </c>
    </row>
    <row r="2581" spans="1:19">
      <c r="A2581" s="45" t="s">
        <v>136</v>
      </c>
      <c r="B2581" s="48" t="s">
        <v>171</v>
      </c>
      <c r="C2581" s="32">
        <v>129</v>
      </c>
      <c r="D2581" s="32"/>
      <c r="E2581" s="48" t="s">
        <v>106</v>
      </c>
      <c r="F2581" s="48" t="s">
        <v>15</v>
      </c>
      <c r="G2581" s="48" t="s">
        <v>57</v>
      </c>
      <c r="H2581" s="11">
        <v>33.72</v>
      </c>
      <c r="I2581" s="52">
        <v>10</v>
      </c>
      <c r="J2581" s="7">
        <v>3</v>
      </c>
      <c r="K2581" s="10">
        <f t="shared" si="251"/>
        <v>1.0115999999999998</v>
      </c>
      <c r="L2581" s="32"/>
      <c r="M2581" s="32">
        <v>3</v>
      </c>
      <c r="N2581" s="18">
        <f t="shared" si="252"/>
        <v>1.0115999999999998</v>
      </c>
      <c r="O2581" s="310">
        <f t="shared" si="253"/>
        <v>0</v>
      </c>
      <c r="P2581" s="13">
        <f t="shared" si="254"/>
        <v>0</v>
      </c>
      <c r="Q2581" s="32"/>
      <c r="R2581" s="32">
        <v>3</v>
      </c>
      <c r="S2581" s="2" t="s">
        <v>514</v>
      </c>
    </row>
    <row r="2582" spans="1:19">
      <c r="A2582" s="45" t="s">
        <v>136</v>
      </c>
      <c r="B2582" s="48" t="s">
        <v>171</v>
      </c>
      <c r="C2582" s="32">
        <v>130</v>
      </c>
      <c r="D2582" s="32"/>
      <c r="E2582" s="48" t="s">
        <v>106</v>
      </c>
      <c r="F2582" s="48" t="s">
        <v>15</v>
      </c>
      <c r="G2582" s="48" t="s">
        <v>32</v>
      </c>
      <c r="H2582" s="11">
        <v>8.3000000000000007</v>
      </c>
      <c r="I2582" s="52">
        <v>5.6</v>
      </c>
      <c r="J2582" s="7">
        <v>1</v>
      </c>
      <c r="K2582" s="10">
        <f t="shared" si="251"/>
        <v>4.6480000000000007E-2</v>
      </c>
      <c r="L2582" s="32"/>
      <c r="M2582" s="32">
        <v>1</v>
      </c>
      <c r="N2582" s="18">
        <f t="shared" si="252"/>
        <v>4.6480000000000007E-2</v>
      </c>
      <c r="O2582" s="19">
        <f t="shared" si="253"/>
        <v>0</v>
      </c>
      <c r="P2582" s="13">
        <f t="shared" si="254"/>
        <v>0</v>
      </c>
      <c r="Q2582" s="32"/>
      <c r="R2582" s="32">
        <v>1</v>
      </c>
      <c r="S2582" s="32" t="s">
        <v>456</v>
      </c>
    </row>
    <row r="2583" spans="1:19">
      <c r="A2583" s="45" t="s">
        <v>136</v>
      </c>
      <c r="B2583" s="48" t="s">
        <v>171</v>
      </c>
      <c r="C2583" s="32">
        <v>130</v>
      </c>
      <c r="D2583" s="32"/>
      <c r="E2583" s="48" t="s">
        <v>106</v>
      </c>
      <c r="F2583" s="48" t="s">
        <v>15</v>
      </c>
      <c r="G2583" s="48" t="s">
        <v>32</v>
      </c>
      <c r="H2583" s="11">
        <v>8.3000000000000007</v>
      </c>
      <c r="I2583" s="52">
        <v>9.8000000000000007</v>
      </c>
      <c r="J2583" s="7">
        <v>1</v>
      </c>
      <c r="K2583" s="10">
        <f t="shared" si="251"/>
        <v>8.1340000000000023E-2</v>
      </c>
      <c r="L2583" s="32"/>
      <c r="M2583" s="32">
        <v>1</v>
      </c>
      <c r="N2583" s="18">
        <f t="shared" si="252"/>
        <v>8.1340000000000023E-2</v>
      </c>
      <c r="O2583" s="19">
        <f t="shared" si="253"/>
        <v>0</v>
      </c>
      <c r="P2583" s="13">
        <f t="shared" si="254"/>
        <v>0</v>
      </c>
      <c r="Q2583" s="32"/>
      <c r="R2583" s="32">
        <v>1</v>
      </c>
      <c r="S2583" s="32" t="s">
        <v>456</v>
      </c>
    </row>
    <row r="2584" spans="1:19">
      <c r="A2584" s="45" t="s">
        <v>136</v>
      </c>
      <c r="B2584" s="48" t="s">
        <v>171</v>
      </c>
      <c r="C2584" s="32">
        <v>130</v>
      </c>
      <c r="D2584" s="32"/>
      <c r="E2584" s="48" t="s">
        <v>106</v>
      </c>
      <c r="F2584" s="48" t="s">
        <v>15</v>
      </c>
      <c r="G2584" s="48" t="s">
        <v>32</v>
      </c>
      <c r="H2584" s="11">
        <v>8.3000000000000007</v>
      </c>
      <c r="I2584" s="52">
        <v>7</v>
      </c>
      <c r="J2584" s="7">
        <v>1</v>
      </c>
      <c r="K2584" s="10">
        <f t="shared" si="251"/>
        <v>5.8100000000000006E-2</v>
      </c>
      <c r="L2584" s="32"/>
      <c r="M2584" s="32">
        <v>1</v>
      </c>
      <c r="N2584" s="18">
        <f t="shared" si="252"/>
        <v>5.8100000000000006E-2</v>
      </c>
      <c r="O2584" s="19">
        <f t="shared" si="253"/>
        <v>0</v>
      </c>
      <c r="P2584" s="13">
        <f t="shared" si="254"/>
        <v>0</v>
      </c>
      <c r="Q2584" s="32"/>
      <c r="R2584" s="32">
        <v>1</v>
      </c>
      <c r="S2584" s="32" t="s">
        <v>456</v>
      </c>
    </row>
    <row r="2585" spans="1:19">
      <c r="A2585" s="45" t="s">
        <v>136</v>
      </c>
      <c r="B2585" s="48" t="s">
        <v>171</v>
      </c>
      <c r="C2585" s="32">
        <v>130</v>
      </c>
      <c r="D2585" s="32"/>
      <c r="E2585" s="48" t="s">
        <v>106</v>
      </c>
      <c r="F2585" s="48" t="s">
        <v>15</v>
      </c>
      <c r="G2585" s="48" t="s">
        <v>32</v>
      </c>
      <c r="H2585" s="11">
        <v>8.3000000000000007</v>
      </c>
      <c r="I2585" s="52">
        <v>8</v>
      </c>
      <c r="J2585" s="7">
        <v>1</v>
      </c>
      <c r="K2585" s="10">
        <f t="shared" si="251"/>
        <v>6.6400000000000001E-2</v>
      </c>
      <c r="L2585" s="32"/>
      <c r="M2585" s="32">
        <v>1</v>
      </c>
      <c r="N2585" s="18">
        <f t="shared" si="252"/>
        <v>6.6400000000000001E-2</v>
      </c>
      <c r="O2585" s="19">
        <f t="shared" si="253"/>
        <v>0</v>
      </c>
      <c r="P2585" s="13">
        <f t="shared" si="254"/>
        <v>0</v>
      </c>
      <c r="Q2585" s="32"/>
      <c r="R2585" s="32">
        <v>1</v>
      </c>
      <c r="S2585" s="32" t="s">
        <v>456</v>
      </c>
    </row>
    <row r="2586" spans="1:19">
      <c r="A2586" s="45" t="s">
        <v>136</v>
      </c>
      <c r="B2586" s="48" t="s">
        <v>171</v>
      </c>
      <c r="C2586" s="32">
        <v>130</v>
      </c>
      <c r="D2586" s="32"/>
      <c r="E2586" s="48" t="s">
        <v>106</v>
      </c>
      <c r="F2586" s="48" t="s">
        <v>15</v>
      </c>
      <c r="G2586" s="48" t="s">
        <v>32</v>
      </c>
      <c r="H2586" s="11">
        <v>8.3000000000000007</v>
      </c>
      <c r="I2586" s="52">
        <v>12</v>
      </c>
      <c r="J2586" s="7">
        <v>1</v>
      </c>
      <c r="K2586" s="10">
        <f t="shared" si="251"/>
        <v>9.9600000000000008E-2</v>
      </c>
      <c r="L2586" s="32"/>
      <c r="M2586" s="32">
        <v>1</v>
      </c>
      <c r="N2586" s="18">
        <f t="shared" si="252"/>
        <v>9.9600000000000008E-2</v>
      </c>
      <c r="O2586" s="19">
        <f t="shared" si="253"/>
        <v>0</v>
      </c>
      <c r="P2586" s="13">
        <f t="shared" si="254"/>
        <v>0</v>
      </c>
      <c r="Q2586" s="32"/>
      <c r="R2586" s="32">
        <v>1</v>
      </c>
      <c r="S2586" s="32" t="s">
        <v>456</v>
      </c>
    </row>
    <row r="2587" spans="1:19">
      <c r="A2587" s="45" t="s">
        <v>136</v>
      </c>
      <c r="B2587" s="48" t="s">
        <v>171</v>
      </c>
      <c r="C2587" s="32">
        <v>131</v>
      </c>
      <c r="D2587" s="32"/>
      <c r="E2587" s="48" t="s">
        <v>19</v>
      </c>
      <c r="F2587" s="48" t="s">
        <v>14</v>
      </c>
      <c r="G2587" s="48" t="s">
        <v>16</v>
      </c>
      <c r="H2587" s="11">
        <v>5.77</v>
      </c>
      <c r="I2587" s="52">
        <v>11.5</v>
      </c>
      <c r="J2587" s="7">
        <v>5</v>
      </c>
      <c r="K2587" s="10">
        <f t="shared" si="251"/>
        <v>0.33177499999999999</v>
      </c>
      <c r="L2587" s="32"/>
      <c r="M2587" s="32">
        <v>5</v>
      </c>
      <c r="N2587" s="18">
        <f t="shared" si="252"/>
        <v>0.33177499999999999</v>
      </c>
      <c r="O2587" s="19">
        <f t="shared" si="253"/>
        <v>0</v>
      </c>
      <c r="P2587" s="13">
        <f t="shared" si="254"/>
        <v>0</v>
      </c>
      <c r="Q2587" s="55">
        <v>11</v>
      </c>
      <c r="R2587" s="32">
        <v>5</v>
      </c>
      <c r="S2587" s="2" t="s">
        <v>279</v>
      </c>
    </row>
    <row r="2588" spans="1:19">
      <c r="A2588" s="45" t="s">
        <v>136</v>
      </c>
      <c r="B2588" s="48" t="s">
        <v>171</v>
      </c>
      <c r="C2588" s="32">
        <v>131</v>
      </c>
      <c r="D2588" s="32"/>
      <c r="E2588" s="48" t="s">
        <v>19</v>
      </c>
      <c r="F2588" s="48" t="s">
        <v>14</v>
      </c>
      <c r="G2588" s="48" t="s">
        <v>16</v>
      </c>
      <c r="H2588" s="11">
        <v>5.77</v>
      </c>
      <c r="I2588" s="52">
        <v>10.5</v>
      </c>
      <c r="J2588" s="7">
        <v>2</v>
      </c>
      <c r="K2588" s="10">
        <f t="shared" si="251"/>
        <v>0.12116999999999999</v>
      </c>
      <c r="L2588" s="32"/>
      <c r="M2588" s="32">
        <v>2</v>
      </c>
      <c r="N2588" s="18">
        <f t="shared" si="252"/>
        <v>0.12116999999999999</v>
      </c>
      <c r="O2588" s="19">
        <f t="shared" si="253"/>
        <v>0</v>
      </c>
      <c r="P2588" s="13">
        <f t="shared" si="254"/>
        <v>0</v>
      </c>
      <c r="Q2588" s="32">
        <v>7.25</v>
      </c>
      <c r="R2588" s="45">
        <v>2</v>
      </c>
      <c r="S2588" s="32" t="s">
        <v>542</v>
      </c>
    </row>
    <row r="2589" spans="1:19">
      <c r="A2589" s="45" t="s">
        <v>136</v>
      </c>
      <c r="B2589" s="48" t="s">
        <v>171</v>
      </c>
      <c r="C2589" s="32">
        <v>131</v>
      </c>
      <c r="D2589" s="32"/>
      <c r="E2589" s="48" t="s">
        <v>19</v>
      </c>
      <c r="F2589" s="48" t="s">
        <v>14</v>
      </c>
      <c r="G2589" s="48" t="s">
        <v>16</v>
      </c>
      <c r="H2589" s="11">
        <v>5.77</v>
      </c>
      <c r="I2589" s="52">
        <v>10</v>
      </c>
      <c r="J2589" s="7">
        <v>1</v>
      </c>
      <c r="K2589" s="10">
        <f t="shared" si="251"/>
        <v>5.7699999999999994E-2</v>
      </c>
      <c r="L2589" s="32"/>
      <c r="M2589" s="32">
        <v>1</v>
      </c>
      <c r="N2589" s="18">
        <f t="shared" si="252"/>
        <v>5.7699999999999994E-2</v>
      </c>
      <c r="O2589" s="19">
        <f t="shared" si="253"/>
        <v>0</v>
      </c>
      <c r="P2589" s="13">
        <f t="shared" si="254"/>
        <v>0</v>
      </c>
      <c r="Q2589" s="32">
        <v>7.25</v>
      </c>
      <c r="R2589" s="45">
        <v>1</v>
      </c>
      <c r="S2589" s="32" t="s">
        <v>542</v>
      </c>
    </row>
    <row r="2590" spans="1:19">
      <c r="A2590" s="45" t="s">
        <v>136</v>
      </c>
      <c r="B2590" s="48" t="s">
        <v>171</v>
      </c>
      <c r="C2590" s="32">
        <v>131</v>
      </c>
      <c r="D2590" s="32"/>
      <c r="E2590" s="48" t="s">
        <v>19</v>
      </c>
      <c r="F2590" s="48" t="s">
        <v>14</v>
      </c>
      <c r="G2590" s="48" t="s">
        <v>16</v>
      </c>
      <c r="H2590" s="11">
        <v>5.77</v>
      </c>
      <c r="I2590" s="52">
        <v>9.6999999999999993</v>
      </c>
      <c r="J2590" s="7">
        <v>1</v>
      </c>
      <c r="K2590" s="10">
        <f t="shared" si="251"/>
        <v>5.5968999999999991E-2</v>
      </c>
      <c r="L2590" s="32"/>
      <c r="M2590" s="32">
        <v>1</v>
      </c>
      <c r="N2590" s="18">
        <f t="shared" si="252"/>
        <v>5.5968999999999991E-2</v>
      </c>
      <c r="O2590" s="19">
        <f t="shared" si="253"/>
        <v>0</v>
      </c>
      <c r="P2590" s="13">
        <f t="shared" si="254"/>
        <v>0</v>
      </c>
      <c r="Q2590" s="32"/>
      <c r="R2590" s="32">
        <v>1</v>
      </c>
      <c r="S2590" s="32" t="s">
        <v>278</v>
      </c>
    </row>
    <row r="2591" spans="1:19">
      <c r="A2591" s="45" t="s">
        <v>136</v>
      </c>
      <c r="B2591" s="48" t="s">
        <v>171</v>
      </c>
      <c r="C2591" s="32">
        <v>131</v>
      </c>
      <c r="D2591" s="32"/>
      <c r="E2591" s="48" t="s">
        <v>19</v>
      </c>
      <c r="F2591" s="48" t="s">
        <v>14</v>
      </c>
      <c r="G2591" s="48" t="s">
        <v>16</v>
      </c>
      <c r="H2591" s="11">
        <v>5.77</v>
      </c>
      <c r="I2591" s="52">
        <v>9.5</v>
      </c>
      <c r="J2591" s="7">
        <v>3</v>
      </c>
      <c r="K2591" s="10">
        <f t="shared" si="251"/>
        <v>0.16444499999999998</v>
      </c>
      <c r="L2591" s="32"/>
      <c r="M2591" s="32">
        <v>3</v>
      </c>
      <c r="N2591" s="18">
        <f t="shared" si="252"/>
        <v>0.16444499999999998</v>
      </c>
      <c r="O2591" s="19">
        <f t="shared" si="253"/>
        <v>0</v>
      </c>
      <c r="P2591" s="13">
        <f t="shared" si="254"/>
        <v>0</v>
      </c>
      <c r="Q2591" s="32"/>
      <c r="R2591" s="32">
        <v>3</v>
      </c>
      <c r="S2591" s="32" t="s">
        <v>278</v>
      </c>
    </row>
    <row r="2592" spans="1:19">
      <c r="A2592" s="45" t="s">
        <v>136</v>
      </c>
      <c r="B2592" s="48" t="s">
        <v>171</v>
      </c>
      <c r="C2592" s="32">
        <v>131</v>
      </c>
      <c r="D2592" s="32"/>
      <c r="E2592" s="48" t="s">
        <v>19</v>
      </c>
      <c r="F2592" s="48" t="s">
        <v>14</v>
      </c>
      <c r="G2592" s="48" t="s">
        <v>16</v>
      </c>
      <c r="H2592" s="11">
        <v>5.77</v>
      </c>
      <c r="I2592" s="52">
        <v>7.8</v>
      </c>
      <c r="J2592" s="7">
        <v>2</v>
      </c>
      <c r="K2592" s="10">
        <f t="shared" si="251"/>
        <v>9.0011999999999981E-2</v>
      </c>
      <c r="L2592" s="32"/>
      <c r="M2592" s="32">
        <v>2</v>
      </c>
      <c r="N2592" s="18">
        <f t="shared" si="252"/>
        <v>9.0011999999999981E-2</v>
      </c>
      <c r="O2592" s="19">
        <f t="shared" si="253"/>
        <v>0</v>
      </c>
      <c r="P2592" s="13">
        <f t="shared" si="254"/>
        <v>0</v>
      </c>
      <c r="Q2592" s="32"/>
      <c r="R2592" s="32">
        <v>2</v>
      </c>
      <c r="S2592" s="32" t="s">
        <v>278</v>
      </c>
    </row>
    <row r="2593" spans="1:19">
      <c r="A2593" s="45" t="s">
        <v>136</v>
      </c>
      <c r="B2593" s="48" t="s">
        <v>171</v>
      </c>
      <c r="C2593" s="32">
        <v>131</v>
      </c>
      <c r="D2593" s="32"/>
      <c r="E2593" s="48" t="s">
        <v>19</v>
      </c>
      <c r="F2593" s="48" t="s">
        <v>14</v>
      </c>
      <c r="G2593" s="48" t="s">
        <v>16</v>
      </c>
      <c r="H2593" s="11">
        <v>5.77</v>
      </c>
      <c r="I2593" s="52">
        <v>6.3</v>
      </c>
      <c r="J2593" s="7">
        <v>1</v>
      </c>
      <c r="K2593" s="10">
        <f t="shared" si="251"/>
        <v>3.6351000000000001E-2</v>
      </c>
      <c r="L2593" s="32"/>
      <c r="M2593" s="32"/>
      <c r="N2593" s="18">
        <f t="shared" si="252"/>
        <v>0</v>
      </c>
      <c r="O2593" s="19">
        <f t="shared" si="253"/>
        <v>1</v>
      </c>
      <c r="P2593" s="13">
        <f t="shared" si="254"/>
        <v>3.6351000000000001E-2</v>
      </c>
      <c r="Q2593" s="32"/>
      <c r="R2593" s="32"/>
      <c r="S2593" s="32"/>
    </row>
    <row r="2594" spans="1:19">
      <c r="A2594" s="45" t="s">
        <v>136</v>
      </c>
      <c r="B2594" s="48" t="s">
        <v>171</v>
      </c>
      <c r="C2594" s="32">
        <v>132</v>
      </c>
      <c r="D2594" s="32"/>
      <c r="E2594" s="48" t="s">
        <v>17</v>
      </c>
      <c r="F2594" s="48" t="s">
        <v>15</v>
      </c>
      <c r="G2594" s="48" t="s">
        <v>44</v>
      </c>
      <c r="H2594" s="11">
        <v>13.4</v>
      </c>
      <c r="I2594" s="8">
        <v>9.6</v>
      </c>
      <c r="J2594" s="7">
        <v>1</v>
      </c>
      <c r="K2594" s="10">
        <f t="shared" si="251"/>
        <v>0.12863999999999998</v>
      </c>
      <c r="L2594" s="32"/>
      <c r="M2594" s="32">
        <v>1</v>
      </c>
      <c r="N2594" s="18">
        <f t="shared" si="252"/>
        <v>0.12863999999999998</v>
      </c>
      <c r="O2594" s="19">
        <f t="shared" si="253"/>
        <v>0</v>
      </c>
      <c r="P2594" s="13">
        <f t="shared" si="254"/>
        <v>0</v>
      </c>
      <c r="Q2594" s="9">
        <v>8.6</v>
      </c>
      <c r="R2594" s="32">
        <v>1</v>
      </c>
      <c r="S2594" s="2" t="s">
        <v>197</v>
      </c>
    </row>
    <row r="2595" spans="1:19">
      <c r="A2595" s="45" t="s">
        <v>136</v>
      </c>
      <c r="B2595" s="48" t="s">
        <v>171</v>
      </c>
      <c r="C2595" s="32">
        <v>132</v>
      </c>
      <c r="D2595" s="32"/>
      <c r="E2595" s="48" t="s">
        <v>19</v>
      </c>
      <c r="F2595" s="48" t="s">
        <v>14</v>
      </c>
      <c r="G2595" s="48" t="s">
        <v>41</v>
      </c>
      <c r="H2595" s="11">
        <v>11.8</v>
      </c>
      <c r="I2595" s="52">
        <v>12</v>
      </c>
      <c r="J2595" s="7">
        <v>1</v>
      </c>
      <c r="K2595" s="10">
        <f t="shared" si="251"/>
        <v>0.14160000000000003</v>
      </c>
      <c r="L2595" s="32"/>
      <c r="M2595" s="32">
        <v>1</v>
      </c>
      <c r="N2595" s="18">
        <f t="shared" si="252"/>
        <v>0.14160000000000003</v>
      </c>
      <c r="O2595" s="19">
        <f t="shared" si="253"/>
        <v>0</v>
      </c>
      <c r="P2595" s="13">
        <f t="shared" si="254"/>
        <v>0</v>
      </c>
      <c r="Q2595" s="33">
        <v>12</v>
      </c>
      <c r="R2595" s="32">
        <v>1</v>
      </c>
      <c r="S2595" s="2" t="s">
        <v>192</v>
      </c>
    </row>
    <row r="2596" spans="1:19">
      <c r="A2596" s="45" t="s">
        <v>136</v>
      </c>
      <c r="B2596" s="48" t="s">
        <v>171</v>
      </c>
      <c r="C2596" s="32">
        <v>132</v>
      </c>
      <c r="D2596" s="32"/>
      <c r="E2596" s="48" t="s">
        <v>19</v>
      </c>
      <c r="F2596" s="48" t="s">
        <v>14</v>
      </c>
      <c r="G2596" s="48" t="s">
        <v>41</v>
      </c>
      <c r="H2596" s="11">
        <v>11.8</v>
      </c>
      <c r="I2596" s="52">
        <v>12.4</v>
      </c>
      <c r="J2596" s="7">
        <v>2</v>
      </c>
      <c r="K2596" s="10">
        <f t="shared" si="251"/>
        <v>0.29264000000000007</v>
      </c>
      <c r="L2596" s="32"/>
      <c r="M2596" s="32">
        <v>2</v>
      </c>
      <c r="N2596" s="18">
        <f t="shared" si="252"/>
        <v>0.29264000000000007</v>
      </c>
      <c r="O2596" s="19">
        <f t="shared" si="253"/>
        <v>0</v>
      </c>
      <c r="P2596" s="13">
        <f t="shared" si="254"/>
        <v>0</v>
      </c>
      <c r="Q2596" s="33">
        <v>12</v>
      </c>
      <c r="R2596" s="32">
        <v>2</v>
      </c>
      <c r="S2596" s="2" t="s">
        <v>192</v>
      </c>
    </row>
    <row r="2597" spans="1:19">
      <c r="A2597" s="45" t="s">
        <v>136</v>
      </c>
      <c r="B2597" s="48" t="s">
        <v>171</v>
      </c>
      <c r="C2597" s="32">
        <v>133</v>
      </c>
      <c r="D2597" s="32"/>
      <c r="E2597" s="48" t="s">
        <v>17</v>
      </c>
      <c r="F2597" s="48" t="s">
        <v>15</v>
      </c>
      <c r="G2597" s="48" t="s">
        <v>36</v>
      </c>
      <c r="H2597" s="11">
        <v>10.199999999999999</v>
      </c>
      <c r="I2597" s="52">
        <v>9.1999999999999993</v>
      </c>
      <c r="J2597" s="7">
        <v>1</v>
      </c>
      <c r="K2597" s="10">
        <f t="shared" si="251"/>
        <v>9.3839999999999993E-2</v>
      </c>
      <c r="L2597" s="32"/>
      <c r="M2597" s="32">
        <v>1</v>
      </c>
      <c r="N2597" s="18">
        <f t="shared" si="252"/>
        <v>9.3839999999999993E-2</v>
      </c>
      <c r="O2597" s="19">
        <f t="shared" si="253"/>
        <v>0</v>
      </c>
      <c r="P2597" s="13">
        <f t="shared" si="254"/>
        <v>0</v>
      </c>
      <c r="Q2597" s="55">
        <v>8.25</v>
      </c>
      <c r="R2597" s="32">
        <v>1</v>
      </c>
      <c r="S2597" s="2" t="s">
        <v>196</v>
      </c>
    </row>
    <row r="2598" spans="1:19">
      <c r="A2598" s="45" t="s">
        <v>136</v>
      </c>
      <c r="B2598" s="48" t="s">
        <v>171</v>
      </c>
      <c r="C2598" s="32">
        <v>133</v>
      </c>
      <c r="D2598" s="32"/>
      <c r="E2598" s="48" t="s">
        <v>17</v>
      </c>
      <c r="F2598" s="48" t="s">
        <v>15</v>
      </c>
      <c r="G2598" s="48" t="s">
        <v>36</v>
      </c>
      <c r="H2598" s="11">
        <v>10.199999999999999</v>
      </c>
      <c r="I2598" s="52">
        <v>10</v>
      </c>
      <c r="J2598" s="7">
        <v>2</v>
      </c>
      <c r="K2598" s="10">
        <f t="shared" si="251"/>
        <v>0.20399999999999999</v>
      </c>
      <c r="L2598" s="32"/>
      <c r="M2598" s="32">
        <v>2</v>
      </c>
      <c r="N2598" s="18">
        <f t="shared" si="252"/>
        <v>0.20399999999999999</v>
      </c>
      <c r="O2598" s="19">
        <f t="shared" si="253"/>
        <v>0</v>
      </c>
      <c r="P2598" s="13">
        <f t="shared" si="254"/>
        <v>0</v>
      </c>
      <c r="Q2598" s="55">
        <v>10</v>
      </c>
      <c r="R2598" s="32">
        <v>2</v>
      </c>
      <c r="S2598" s="2" t="s">
        <v>196</v>
      </c>
    </row>
    <row r="2599" spans="1:19">
      <c r="A2599" s="45" t="s">
        <v>136</v>
      </c>
      <c r="B2599" s="48" t="s">
        <v>171</v>
      </c>
      <c r="C2599" s="32">
        <v>134</v>
      </c>
      <c r="D2599" s="32"/>
      <c r="E2599" s="48" t="s">
        <v>20</v>
      </c>
      <c r="F2599" s="48" t="s">
        <v>15</v>
      </c>
      <c r="G2599" s="48" t="s">
        <v>55</v>
      </c>
      <c r="H2599" s="11">
        <v>4.6500000000000004</v>
      </c>
      <c r="I2599" s="8">
        <v>10.3</v>
      </c>
      <c r="J2599" s="7">
        <v>2</v>
      </c>
      <c r="K2599" s="10">
        <f t="shared" si="251"/>
        <v>9.5790000000000014E-2</v>
      </c>
      <c r="L2599" s="32"/>
      <c r="M2599" s="32"/>
      <c r="N2599" s="18">
        <f t="shared" si="252"/>
        <v>0</v>
      </c>
      <c r="O2599" s="19">
        <f t="shared" si="253"/>
        <v>2</v>
      </c>
      <c r="P2599" s="13">
        <f t="shared" si="254"/>
        <v>9.5790000000000014E-2</v>
      </c>
      <c r="Q2599" s="32"/>
      <c r="R2599" s="32"/>
      <c r="S2599" s="32"/>
    </row>
    <row r="2600" spans="1:19">
      <c r="A2600" s="45" t="s">
        <v>136</v>
      </c>
      <c r="B2600" s="48" t="s">
        <v>171</v>
      </c>
      <c r="C2600" s="32">
        <v>134</v>
      </c>
      <c r="D2600" s="32"/>
      <c r="E2600" s="48" t="s">
        <v>20</v>
      </c>
      <c r="F2600" s="48" t="s">
        <v>15</v>
      </c>
      <c r="G2600" s="48" t="s">
        <v>55</v>
      </c>
      <c r="H2600" s="11">
        <v>4.6500000000000004</v>
      </c>
      <c r="I2600" s="8">
        <v>7.3</v>
      </c>
      <c r="J2600" s="7">
        <v>1</v>
      </c>
      <c r="K2600" s="10">
        <f t="shared" si="251"/>
        <v>3.3945000000000003E-2</v>
      </c>
      <c r="L2600" s="32"/>
      <c r="M2600" s="32"/>
      <c r="N2600" s="18">
        <f t="shared" si="252"/>
        <v>0</v>
      </c>
      <c r="O2600" s="19">
        <f t="shared" si="253"/>
        <v>1</v>
      </c>
      <c r="P2600" s="13">
        <f t="shared" si="254"/>
        <v>3.3945000000000003E-2</v>
      </c>
      <c r="Q2600" s="32"/>
      <c r="R2600" s="32"/>
      <c r="S2600" s="32"/>
    </row>
    <row r="2601" spans="1:19">
      <c r="A2601" s="45" t="s">
        <v>136</v>
      </c>
      <c r="B2601" s="48" t="s">
        <v>171</v>
      </c>
      <c r="C2601" s="32">
        <v>135</v>
      </c>
      <c r="D2601" s="32"/>
      <c r="E2601" s="48" t="s">
        <v>20</v>
      </c>
      <c r="F2601" s="48" t="s">
        <v>15</v>
      </c>
      <c r="G2601" s="48" t="s">
        <v>29</v>
      </c>
      <c r="H2601" s="11">
        <v>10.92</v>
      </c>
      <c r="I2601" s="52">
        <v>10.5</v>
      </c>
      <c r="J2601" s="7">
        <v>1</v>
      </c>
      <c r="K2601" s="10">
        <f t="shared" si="251"/>
        <v>0.11466</v>
      </c>
      <c r="L2601" s="32"/>
      <c r="M2601" s="32"/>
      <c r="N2601" s="18">
        <f t="shared" si="252"/>
        <v>0</v>
      </c>
      <c r="O2601" s="19">
        <f t="shared" si="253"/>
        <v>1</v>
      </c>
      <c r="P2601" s="13">
        <f t="shared" si="254"/>
        <v>0.11466</v>
      </c>
      <c r="Q2601" s="32"/>
      <c r="R2601" s="32"/>
      <c r="S2601" s="32"/>
    </row>
    <row r="2602" spans="1:19">
      <c r="A2602" s="45" t="s">
        <v>136</v>
      </c>
      <c r="B2602" s="48" t="s">
        <v>171</v>
      </c>
      <c r="C2602" s="32">
        <v>135</v>
      </c>
      <c r="D2602" s="32"/>
      <c r="E2602" s="48" t="s">
        <v>20</v>
      </c>
      <c r="F2602" s="48" t="s">
        <v>15</v>
      </c>
      <c r="G2602" s="48" t="s">
        <v>29</v>
      </c>
      <c r="H2602" s="11">
        <v>10.92</v>
      </c>
      <c r="I2602" s="52">
        <v>11.4</v>
      </c>
      <c r="J2602" s="7">
        <v>1</v>
      </c>
      <c r="K2602" s="10">
        <f t="shared" si="251"/>
        <v>0.124488</v>
      </c>
      <c r="L2602" s="32"/>
      <c r="M2602" s="32"/>
      <c r="N2602" s="18">
        <f t="shared" si="252"/>
        <v>0</v>
      </c>
      <c r="O2602" s="19">
        <f t="shared" si="253"/>
        <v>1</v>
      </c>
      <c r="P2602" s="13">
        <f t="shared" si="254"/>
        <v>0.124488</v>
      </c>
      <c r="Q2602" s="32"/>
      <c r="R2602" s="32"/>
      <c r="S2602" s="32"/>
    </row>
    <row r="2603" spans="1:19">
      <c r="A2603" s="45" t="s">
        <v>136</v>
      </c>
      <c r="B2603" s="48" t="s">
        <v>171</v>
      </c>
      <c r="C2603" s="32">
        <v>136</v>
      </c>
      <c r="D2603" s="32"/>
      <c r="E2603" s="48" t="s">
        <v>20</v>
      </c>
      <c r="F2603" s="48" t="s">
        <v>15</v>
      </c>
      <c r="G2603" s="48" t="s">
        <v>55</v>
      </c>
      <c r="H2603" s="11">
        <v>4.6500000000000004</v>
      </c>
      <c r="I2603" s="8">
        <v>9.9</v>
      </c>
      <c r="J2603" s="7">
        <v>1</v>
      </c>
      <c r="K2603" s="10">
        <f t="shared" si="251"/>
        <v>4.6035000000000006E-2</v>
      </c>
      <c r="L2603" s="32"/>
      <c r="M2603" s="32"/>
      <c r="N2603" s="18">
        <f t="shared" si="252"/>
        <v>0</v>
      </c>
      <c r="O2603" s="19">
        <f t="shared" si="253"/>
        <v>1</v>
      </c>
      <c r="P2603" s="13">
        <f t="shared" si="254"/>
        <v>4.6035000000000006E-2</v>
      </c>
      <c r="Q2603" s="32"/>
      <c r="R2603" s="32"/>
      <c r="S2603" s="32"/>
    </row>
    <row r="2604" spans="1:19">
      <c r="A2604" s="45" t="s">
        <v>136</v>
      </c>
      <c r="B2604" s="48" t="s">
        <v>171</v>
      </c>
      <c r="C2604" s="32">
        <v>136</v>
      </c>
      <c r="D2604" s="32"/>
      <c r="E2604" s="48" t="s">
        <v>20</v>
      </c>
      <c r="F2604" s="48" t="s">
        <v>15</v>
      </c>
      <c r="G2604" s="48" t="s">
        <v>55</v>
      </c>
      <c r="H2604" s="11">
        <v>4.6500000000000004</v>
      </c>
      <c r="I2604" s="8">
        <v>9.6999999999999993</v>
      </c>
      <c r="J2604" s="7">
        <v>1</v>
      </c>
      <c r="K2604" s="10">
        <f t="shared" si="251"/>
        <v>4.5104999999999999E-2</v>
      </c>
      <c r="L2604" s="32"/>
      <c r="M2604" s="32"/>
      <c r="N2604" s="18">
        <f t="shared" si="252"/>
        <v>0</v>
      </c>
      <c r="O2604" s="19">
        <f t="shared" si="253"/>
        <v>1</v>
      </c>
      <c r="P2604" s="13">
        <f t="shared" si="254"/>
        <v>4.5104999999999999E-2</v>
      </c>
      <c r="Q2604" s="32"/>
      <c r="R2604" s="32"/>
      <c r="S2604" s="32"/>
    </row>
    <row r="2605" spans="1:19">
      <c r="A2605" s="45" t="s">
        <v>136</v>
      </c>
      <c r="B2605" s="48" t="s">
        <v>171</v>
      </c>
      <c r="C2605" s="32">
        <v>136</v>
      </c>
      <c r="D2605" s="32"/>
      <c r="E2605" s="48" t="s">
        <v>20</v>
      </c>
      <c r="F2605" s="48" t="s">
        <v>15</v>
      </c>
      <c r="G2605" s="48" t="s">
        <v>55</v>
      </c>
      <c r="H2605" s="11">
        <v>4.6500000000000004</v>
      </c>
      <c r="I2605" s="8">
        <v>8.3000000000000007</v>
      </c>
      <c r="J2605" s="7">
        <v>1</v>
      </c>
      <c r="K2605" s="10">
        <f t="shared" si="251"/>
        <v>3.8595000000000004E-2</v>
      </c>
      <c r="L2605" s="32"/>
      <c r="M2605" s="32"/>
      <c r="N2605" s="18">
        <f t="shared" si="252"/>
        <v>0</v>
      </c>
      <c r="O2605" s="19">
        <f t="shared" si="253"/>
        <v>1</v>
      </c>
      <c r="P2605" s="13">
        <f t="shared" si="254"/>
        <v>3.8595000000000004E-2</v>
      </c>
      <c r="Q2605" s="32"/>
      <c r="R2605" s="32"/>
      <c r="S2605" s="32"/>
    </row>
    <row r="2606" spans="1:19">
      <c r="A2606" s="45" t="s">
        <v>136</v>
      </c>
      <c r="B2606" s="48" t="s">
        <v>171</v>
      </c>
      <c r="C2606" s="32">
        <v>136</v>
      </c>
      <c r="D2606" s="32"/>
      <c r="E2606" s="48" t="s">
        <v>20</v>
      </c>
      <c r="F2606" s="48" t="s">
        <v>15</v>
      </c>
      <c r="G2606" s="48" t="s">
        <v>55</v>
      </c>
      <c r="H2606" s="11">
        <v>4.6500000000000004</v>
      </c>
      <c r="I2606" s="8">
        <v>8.6999999999999993</v>
      </c>
      <c r="J2606" s="7">
        <v>1</v>
      </c>
      <c r="K2606" s="10">
        <f t="shared" si="251"/>
        <v>4.0454999999999998E-2</v>
      </c>
      <c r="L2606" s="32"/>
      <c r="M2606" s="32"/>
      <c r="N2606" s="18">
        <f t="shared" si="252"/>
        <v>0</v>
      </c>
      <c r="O2606" s="19">
        <f t="shared" si="253"/>
        <v>1</v>
      </c>
      <c r="P2606" s="13">
        <f t="shared" si="254"/>
        <v>4.0454999999999998E-2</v>
      </c>
      <c r="Q2606" s="32"/>
      <c r="R2606" s="32"/>
      <c r="S2606" s="32"/>
    </row>
    <row r="2607" spans="1:19">
      <c r="A2607" s="45" t="s">
        <v>136</v>
      </c>
      <c r="B2607" s="48" t="s">
        <v>171</v>
      </c>
      <c r="C2607" s="32">
        <v>136</v>
      </c>
      <c r="D2607" s="32"/>
      <c r="E2607" s="48" t="s">
        <v>20</v>
      </c>
      <c r="F2607" s="48" t="s">
        <v>15</v>
      </c>
      <c r="G2607" s="48" t="s">
        <v>55</v>
      </c>
      <c r="H2607" s="11">
        <v>4.6500000000000004</v>
      </c>
      <c r="I2607" s="8">
        <v>7.8</v>
      </c>
      <c r="J2607" s="7">
        <v>1</v>
      </c>
      <c r="K2607" s="10">
        <f t="shared" si="251"/>
        <v>3.6270000000000004E-2</v>
      </c>
      <c r="L2607" s="32"/>
      <c r="M2607" s="32"/>
      <c r="N2607" s="18">
        <f t="shared" si="252"/>
        <v>0</v>
      </c>
      <c r="O2607" s="19">
        <f t="shared" si="253"/>
        <v>1</v>
      </c>
      <c r="P2607" s="13">
        <f t="shared" si="254"/>
        <v>3.6270000000000004E-2</v>
      </c>
      <c r="Q2607" s="32"/>
      <c r="R2607" s="32"/>
      <c r="S2607" s="32"/>
    </row>
    <row r="2608" spans="1:19">
      <c r="A2608" s="45" t="s">
        <v>136</v>
      </c>
      <c r="B2608" s="48" t="s">
        <v>171</v>
      </c>
      <c r="C2608" s="32">
        <v>136</v>
      </c>
      <c r="D2608" s="32"/>
      <c r="E2608" s="48" t="s">
        <v>20</v>
      </c>
      <c r="F2608" s="48" t="s">
        <v>15</v>
      </c>
      <c r="G2608" s="48" t="s">
        <v>55</v>
      </c>
      <c r="H2608" s="11">
        <v>4.6500000000000004</v>
      </c>
      <c r="I2608" s="8">
        <v>6.9</v>
      </c>
      <c r="J2608" s="7">
        <v>1</v>
      </c>
      <c r="K2608" s="10">
        <f t="shared" si="251"/>
        <v>3.2085000000000002E-2</v>
      </c>
      <c r="L2608" s="32"/>
      <c r="M2608" s="32"/>
      <c r="N2608" s="18">
        <f t="shared" si="252"/>
        <v>0</v>
      </c>
      <c r="O2608" s="19">
        <f t="shared" si="253"/>
        <v>1</v>
      </c>
      <c r="P2608" s="13">
        <f t="shared" si="254"/>
        <v>3.2085000000000002E-2</v>
      </c>
      <c r="Q2608" s="32"/>
      <c r="R2608" s="32"/>
      <c r="S2608" s="32"/>
    </row>
    <row r="2609" spans="1:21">
      <c r="A2609" s="45" t="s">
        <v>136</v>
      </c>
      <c r="B2609" s="48" t="s">
        <v>171</v>
      </c>
      <c r="C2609" s="32">
        <v>137</v>
      </c>
      <c r="D2609" s="32"/>
      <c r="E2609" s="48" t="s">
        <v>20</v>
      </c>
      <c r="F2609" s="48" t="s">
        <v>15</v>
      </c>
      <c r="G2609" s="48" t="s">
        <v>27</v>
      </c>
      <c r="H2609" s="11">
        <v>6.17</v>
      </c>
      <c r="I2609" s="8">
        <v>7</v>
      </c>
      <c r="J2609" s="7">
        <v>1</v>
      </c>
      <c r="K2609" s="10">
        <f t="shared" si="251"/>
        <v>4.3189999999999999E-2</v>
      </c>
      <c r="L2609" s="32"/>
      <c r="M2609" s="32">
        <v>1</v>
      </c>
      <c r="N2609" s="18">
        <f t="shared" si="252"/>
        <v>4.3189999999999999E-2</v>
      </c>
      <c r="O2609" s="19">
        <f t="shared" si="253"/>
        <v>0</v>
      </c>
      <c r="P2609" s="13">
        <f t="shared" si="254"/>
        <v>0</v>
      </c>
      <c r="Q2609" s="32"/>
      <c r="R2609" s="32"/>
      <c r="S2609" s="33"/>
      <c r="T2609" s="213"/>
      <c r="U2609" s="213"/>
    </row>
    <row r="2610" spans="1:21">
      <c r="A2610" s="45" t="s">
        <v>136</v>
      </c>
      <c r="B2610" s="48" t="s">
        <v>171</v>
      </c>
      <c r="C2610" s="32">
        <v>137</v>
      </c>
      <c r="D2610" s="32"/>
      <c r="E2610" s="48" t="s">
        <v>20</v>
      </c>
      <c r="F2610" s="48" t="s">
        <v>15</v>
      </c>
      <c r="G2610" s="48" t="s">
        <v>27</v>
      </c>
      <c r="H2610" s="11">
        <v>6.17</v>
      </c>
      <c r="I2610" s="8">
        <v>10.5</v>
      </c>
      <c r="J2610" s="7">
        <v>1</v>
      </c>
      <c r="K2610" s="10">
        <f t="shared" si="251"/>
        <v>6.4784999999999995E-2</v>
      </c>
      <c r="L2610" s="32"/>
      <c r="M2610" s="32">
        <v>1</v>
      </c>
      <c r="N2610" s="18">
        <f t="shared" si="252"/>
        <v>6.4784999999999995E-2</v>
      </c>
      <c r="O2610" s="19">
        <f t="shared" si="253"/>
        <v>0</v>
      </c>
      <c r="P2610" s="13">
        <f t="shared" si="254"/>
        <v>0</v>
      </c>
      <c r="Q2610" s="9"/>
      <c r="R2610" s="32"/>
      <c r="S2610" s="32"/>
    </row>
    <row r="2611" spans="1:21">
      <c r="A2611" s="45" t="s">
        <v>136</v>
      </c>
      <c r="B2611" s="48" t="s">
        <v>171</v>
      </c>
      <c r="C2611" s="32">
        <v>137</v>
      </c>
      <c r="D2611" s="32"/>
      <c r="E2611" s="48" t="s">
        <v>20</v>
      </c>
      <c r="F2611" s="48" t="s">
        <v>15</v>
      </c>
      <c r="G2611" s="48" t="s">
        <v>32</v>
      </c>
      <c r="H2611" s="11">
        <v>8.23</v>
      </c>
      <c r="I2611" s="8">
        <v>12</v>
      </c>
      <c r="J2611" s="7">
        <v>1</v>
      </c>
      <c r="K2611" s="10">
        <f t="shared" si="251"/>
        <v>9.8760000000000001E-2</v>
      </c>
      <c r="L2611" s="32"/>
      <c r="M2611" s="32">
        <v>1</v>
      </c>
      <c r="N2611" s="18">
        <f t="shared" si="252"/>
        <v>9.8760000000000001E-2</v>
      </c>
      <c r="O2611" s="19">
        <f t="shared" si="253"/>
        <v>0</v>
      </c>
      <c r="P2611" s="13">
        <f t="shared" si="254"/>
        <v>0</v>
      </c>
      <c r="Q2611" s="32"/>
      <c r="R2611" s="32"/>
      <c r="S2611" s="33"/>
      <c r="T2611" s="213"/>
      <c r="U2611" s="213"/>
    </row>
    <row r="2612" spans="1:21">
      <c r="A2612" s="45" t="s">
        <v>136</v>
      </c>
      <c r="B2612" s="48" t="s">
        <v>171</v>
      </c>
      <c r="C2612" s="32">
        <v>138</v>
      </c>
      <c r="D2612" s="32"/>
      <c r="E2612" s="48" t="s">
        <v>20</v>
      </c>
      <c r="F2612" s="48" t="s">
        <v>15</v>
      </c>
      <c r="G2612" s="48" t="s">
        <v>25</v>
      </c>
      <c r="H2612" s="11">
        <v>7.34</v>
      </c>
      <c r="I2612" s="8">
        <v>6.8</v>
      </c>
      <c r="J2612" s="7">
        <v>1</v>
      </c>
      <c r="K2612" s="10">
        <f t="shared" si="251"/>
        <v>4.9911999999999998E-2</v>
      </c>
      <c r="L2612" s="32"/>
      <c r="M2612" s="32">
        <v>1</v>
      </c>
      <c r="N2612" s="18">
        <f t="shared" si="252"/>
        <v>4.9911999999999998E-2</v>
      </c>
      <c r="O2612" s="19">
        <f t="shared" si="253"/>
        <v>0</v>
      </c>
      <c r="P2612" s="13">
        <f t="shared" si="254"/>
        <v>0</v>
      </c>
      <c r="Q2612" s="33">
        <v>6</v>
      </c>
      <c r="R2612" s="45">
        <v>1</v>
      </c>
      <c r="S2612" s="32" t="s">
        <v>702</v>
      </c>
    </row>
    <row r="2613" spans="1:21">
      <c r="A2613" s="45" t="s">
        <v>136</v>
      </c>
      <c r="B2613" s="48" t="s">
        <v>171</v>
      </c>
      <c r="C2613" s="32">
        <v>139</v>
      </c>
      <c r="D2613" s="32"/>
      <c r="E2613" s="48" t="s">
        <v>19</v>
      </c>
      <c r="F2613" s="48" t="s">
        <v>14</v>
      </c>
      <c r="G2613" s="48" t="s">
        <v>25</v>
      </c>
      <c r="H2613" s="11">
        <v>7.34</v>
      </c>
      <c r="I2613" s="8">
        <v>11.4</v>
      </c>
      <c r="J2613" s="7">
        <v>1</v>
      </c>
      <c r="K2613" s="10">
        <f t="shared" si="251"/>
        <v>8.3676E-2</v>
      </c>
      <c r="L2613" s="32"/>
      <c r="M2613" s="32">
        <v>1</v>
      </c>
      <c r="N2613" s="18">
        <f t="shared" si="252"/>
        <v>8.3676E-2</v>
      </c>
      <c r="O2613" s="19">
        <f t="shared" si="253"/>
        <v>0</v>
      </c>
      <c r="P2613" s="13">
        <f t="shared" si="254"/>
        <v>0</v>
      </c>
      <c r="Q2613" s="32">
        <v>10.15</v>
      </c>
      <c r="R2613" s="32">
        <v>1</v>
      </c>
      <c r="S2613" s="2" t="s">
        <v>335</v>
      </c>
    </row>
    <row r="2614" spans="1:21">
      <c r="A2614" s="45" t="s">
        <v>136</v>
      </c>
      <c r="B2614" s="48" t="s">
        <v>171</v>
      </c>
      <c r="C2614" s="32">
        <v>139</v>
      </c>
      <c r="D2614" s="32"/>
      <c r="E2614" s="48" t="s">
        <v>19</v>
      </c>
      <c r="F2614" s="48" t="s">
        <v>14</v>
      </c>
      <c r="G2614" s="48" t="s">
        <v>25</v>
      </c>
      <c r="H2614" s="11">
        <v>7.34</v>
      </c>
      <c r="I2614" s="8">
        <v>10.5</v>
      </c>
      <c r="J2614" s="7">
        <v>2</v>
      </c>
      <c r="K2614" s="10">
        <f t="shared" si="251"/>
        <v>0.15414</v>
      </c>
      <c r="L2614" s="32"/>
      <c r="M2614" s="32">
        <v>2</v>
      </c>
      <c r="N2614" s="18">
        <f t="shared" si="252"/>
        <v>0.15414</v>
      </c>
      <c r="O2614" s="19">
        <f t="shared" si="253"/>
        <v>0</v>
      </c>
      <c r="P2614" s="13">
        <f t="shared" si="254"/>
        <v>0</v>
      </c>
      <c r="Q2614" s="32">
        <v>7.55</v>
      </c>
      <c r="R2614" s="32">
        <v>2</v>
      </c>
      <c r="S2614" s="2" t="s">
        <v>335</v>
      </c>
    </row>
    <row r="2615" spans="1:21">
      <c r="A2615" s="45" t="s">
        <v>136</v>
      </c>
      <c r="B2615" s="48" t="s">
        <v>171</v>
      </c>
      <c r="C2615" s="32">
        <v>140</v>
      </c>
      <c r="D2615" s="32"/>
      <c r="E2615" s="48" t="s">
        <v>96</v>
      </c>
      <c r="F2615" s="48" t="s">
        <v>15</v>
      </c>
      <c r="G2615" s="48" t="s">
        <v>48</v>
      </c>
      <c r="H2615" s="11">
        <v>23.6</v>
      </c>
      <c r="I2615" s="8">
        <v>7.6</v>
      </c>
      <c r="J2615" s="7">
        <v>3</v>
      </c>
      <c r="K2615" s="10">
        <f t="shared" si="251"/>
        <v>0.53808</v>
      </c>
      <c r="L2615" s="32"/>
      <c r="M2615" s="32">
        <v>3</v>
      </c>
      <c r="N2615" s="18">
        <f t="shared" si="252"/>
        <v>0.53807999999999989</v>
      </c>
      <c r="O2615" s="19">
        <f t="shared" si="253"/>
        <v>0</v>
      </c>
      <c r="P2615" s="13">
        <f t="shared" si="254"/>
        <v>0</v>
      </c>
      <c r="Q2615" s="33">
        <v>7</v>
      </c>
      <c r="R2615" s="32">
        <v>3</v>
      </c>
      <c r="S2615" s="2" t="s">
        <v>457</v>
      </c>
    </row>
    <row r="2616" spans="1:21">
      <c r="A2616" s="45" t="s">
        <v>136</v>
      </c>
      <c r="B2616" s="48" t="s">
        <v>171</v>
      </c>
      <c r="C2616" s="32">
        <v>141</v>
      </c>
      <c r="D2616" s="32" t="s">
        <v>142</v>
      </c>
      <c r="E2616" s="48" t="s">
        <v>89</v>
      </c>
      <c r="F2616" s="48" t="s">
        <v>15</v>
      </c>
      <c r="G2616" s="48" t="s">
        <v>16</v>
      </c>
      <c r="H2616" s="11">
        <v>5.77</v>
      </c>
      <c r="I2616" s="52">
        <v>8.9</v>
      </c>
      <c r="J2616" s="7">
        <v>1</v>
      </c>
      <c r="K2616" s="10">
        <f t="shared" si="251"/>
        <v>5.1353000000000003E-2</v>
      </c>
      <c r="L2616" s="32"/>
      <c r="M2616" s="32">
        <v>1</v>
      </c>
      <c r="N2616" s="18">
        <f t="shared" si="252"/>
        <v>5.1353000000000003E-2</v>
      </c>
      <c r="O2616" s="19">
        <f t="shared" si="253"/>
        <v>0</v>
      </c>
      <c r="P2616" s="13">
        <f t="shared" si="254"/>
        <v>0</v>
      </c>
      <c r="Q2616" s="32">
        <v>7.1</v>
      </c>
      <c r="R2616" s="32">
        <v>1</v>
      </c>
      <c r="S2616" s="32" t="s">
        <v>739</v>
      </c>
    </row>
    <row r="2617" spans="1:21">
      <c r="A2617" s="45" t="s">
        <v>136</v>
      </c>
      <c r="B2617" s="48" t="s">
        <v>171</v>
      </c>
      <c r="C2617" s="32">
        <v>141</v>
      </c>
      <c r="D2617" s="32" t="s">
        <v>142</v>
      </c>
      <c r="E2617" s="48" t="s">
        <v>89</v>
      </c>
      <c r="F2617" s="48" t="s">
        <v>15</v>
      </c>
      <c r="G2617" s="48" t="s">
        <v>16</v>
      </c>
      <c r="H2617" s="11">
        <v>5.77</v>
      </c>
      <c r="I2617" s="52">
        <v>10</v>
      </c>
      <c r="J2617" s="7">
        <v>1</v>
      </c>
      <c r="K2617" s="10">
        <f t="shared" si="251"/>
        <v>5.7699999999999994E-2</v>
      </c>
      <c r="L2617" s="32"/>
      <c r="M2617" s="32">
        <v>1</v>
      </c>
      <c r="N2617" s="18">
        <f t="shared" si="252"/>
        <v>5.7699999999999994E-2</v>
      </c>
      <c r="O2617" s="19">
        <f t="shared" si="253"/>
        <v>0</v>
      </c>
      <c r="P2617" s="13">
        <f t="shared" si="254"/>
        <v>0</v>
      </c>
      <c r="Q2617" s="32">
        <v>7.1</v>
      </c>
      <c r="R2617" s="32">
        <v>1</v>
      </c>
      <c r="S2617" s="32" t="s">
        <v>739</v>
      </c>
    </row>
    <row r="2618" spans="1:21">
      <c r="A2618" s="45" t="s">
        <v>136</v>
      </c>
      <c r="B2618" s="48" t="s">
        <v>171</v>
      </c>
      <c r="C2618" s="32">
        <v>141</v>
      </c>
      <c r="D2618" s="32" t="s">
        <v>142</v>
      </c>
      <c r="E2618" s="48" t="s">
        <v>89</v>
      </c>
      <c r="F2618" s="48" t="s">
        <v>15</v>
      </c>
      <c r="G2618" s="48" t="s">
        <v>16</v>
      </c>
      <c r="H2618" s="11">
        <v>5.77</v>
      </c>
      <c r="I2618" s="52">
        <v>10.5</v>
      </c>
      <c r="J2618" s="7">
        <v>1</v>
      </c>
      <c r="K2618" s="10">
        <f t="shared" si="251"/>
        <v>6.0584999999999993E-2</v>
      </c>
      <c r="L2618" s="32"/>
      <c r="M2618" s="32">
        <v>1</v>
      </c>
      <c r="N2618" s="18">
        <f t="shared" si="252"/>
        <v>6.0584999999999993E-2</v>
      </c>
      <c r="O2618" s="19">
        <f t="shared" si="253"/>
        <v>0</v>
      </c>
      <c r="P2618" s="13">
        <f t="shared" si="254"/>
        <v>0</v>
      </c>
      <c r="Q2618" s="32">
        <v>7.1</v>
      </c>
      <c r="R2618" s="32">
        <v>1</v>
      </c>
      <c r="S2618" s="32" t="s">
        <v>739</v>
      </c>
    </row>
    <row r="2619" spans="1:21">
      <c r="A2619" s="45" t="s">
        <v>136</v>
      </c>
      <c r="B2619" s="48" t="s">
        <v>171</v>
      </c>
      <c r="C2619" s="32">
        <v>142</v>
      </c>
      <c r="D2619" s="32"/>
      <c r="E2619" s="48" t="s">
        <v>94</v>
      </c>
      <c r="F2619" s="48" t="s">
        <v>15</v>
      </c>
      <c r="G2619" s="48" t="s">
        <v>55</v>
      </c>
      <c r="H2619" s="11">
        <v>4.6500000000000004</v>
      </c>
      <c r="I2619" s="8">
        <v>10.5</v>
      </c>
      <c r="J2619" s="7">
        <v>1</v>
      </c>
      <c r="K2619" s="10">
        <f t="shared" si="251"/>
        <v>4.8825E-2</v>
      </c>
      <c r="L2619" s="32"/>
      <c r="M2619" s="32"/>
      <c r="N2619" s="18">
        <f t="shared" si="252"/>
        <v>0</v>
      </c>
      <c r="O2619" s="19">
        <f t="shared" si="253"/>
        <v>1</v>
      </c>
      <c r="P2619" s="13">
        <f t="shared" si="254"/>
        <v>4.8825E-2</v>
      </c>
      <c r="Q2619" s="32"/>
      <c r="R2619" s="32"/>
      <c r="S2619" s="32"/>
    </row>
    <row r="2620" spans="1:21">
      <c r="A2620" s="45" t="s">
        <v>136</v>
      </c>
      <c r="B2620" s="48" t="s">
        <v>171</v>
      </c>
      <c r="C2620" s="32">
        <v>142</v>
      </c>
      <c r="D2620" s="32"/>
      <c r="E2620" s="48" t="s">
        <v>94</v>
      </c>
      <c r="F2620" s="48" t="s">
        <v>15</v>
      </c>
      <c r="G2620" s="48" t="s">
        <v>55</v>
      </c>
      <c r="H2620" s="11">
        <v>4.6500000000000004</v>
      </c>
      <c r="I2620" s="8">
        <v>11.4</v>
      </c>
      <c r="J2620" s="7">
        <v>1</v>
      </c>
      <c r="K2620" s="10">
        <f t="shared" si="251"/>
        <v>5.3010000000000009E-2</v>
      </c>
      <c r="L2620" s="32"/>
      <c r="M2620" s="32">
        <v>1</v>
      </c>
      <c r="N2620" s="18">
        <f t="shared" si="252"/>
        <v>5.3010000000000009E-2</v>
      </c>
      <c r="O2620" s="19">
        <f t="shared" si="253"/>
        <v>0</v>
      </c>
      <c r="P2620" s="13">
        <f t="shared" si="254"/>
        <v>0</v>
      </c>
      <c r="Q2620" s="32"/>
      <c r="R2620" s="32">
        <v>1</v>
      </c>
      <c r="S2620" s="32" t="s">
        <v>222</v>
      </c>
    </row>
    <row r="2621" spans="1:21">
      <c r="A2621" s="45" t="s">
        <v>136</v>
      </c>
      <c r="B2621" s="48" t="s">
        <v>171</v>
      </c>
      <c r="C2621" s="32">
        <v>142</v>
      </c>
      <c r="D2621" s="32"/>
      <c r="E2621" s="48" t="s">
        <v>94</v>
      </c>
      <c r="F2621" s="48" t="s">
        <v>15</v>
      </c>
      <c r="G2621" s="48" t="s">
        <v>55</v>
      </c>
      <c r="H2621" s="11">
        <v>4.6500000000000004</v>
      </c>
      <c r="I2621" s="8">
        <v>11.5</v>
      </c>
      <c r="J2621" s="7">
        <v>8</v>
      </c>
      <c r="K2621" s="10">
        <f t="shared" si="251"/>
        <v>0.42780000000000001</v>
      </c>
      <c r="L2621" s="32"/>
      <c r="M2621" s="32">
        <v>8</v>
      </c>
      <c r="N2621" s="18">
        <f t="shared" si="252"/>
        <v>0.42780000000000001</v>
      </c>
      <c r="O2621" s="19">
        <f t="shared" si="253"/>
        <v>0</v>
      </c>
      <c r="P2621" s="13">
        <f t="shared" si="254"/>
        <v>0</v>
      </c>
      <c r="Q2621" s="32"/>
      <c r="R2621" s="32">
        <v>8</v>
      </c>
      <c r="S2621" s="32" t="s">
        <v>222</v>
      </c>
    </row>
    <row r="2622" spans="1:21">
      <c r="A2622" s="45" t="s">
        <v>136</v>
      </c>
      <c r="B2622" s="48" t="s">
        <v>171</v>
      </c>
      <c r="C2622" s="32">
        <v>143</v>
      </c>
      <c r="D2622" s="32"/>
      <c r="E2622" s="48" t="s">
        <v>19</v>
      </c>
      <c r="F2622" s="48" t="s">
        <v>14</v>
      </c>
      <c r="G2622" s="48" t="s">
        <v>32</v>
      </c>
      <c r="H2622" s="11">
        <v>8.3000000000000007</v>
      </c>
      <c r="I2622" s="52">
        <v>9.3000000000000007</v>
      </c>
      <c r="J2622" s="7">
        <v>3</v>
      </c>
      <c r="K2622" s="10">
        <f t="shared" si="251"/>
        <v>0.23157000000000005</v>
      </c>
      <c r="L2622" s="32"/>
      <c r="M2622" s="32">
        <v>3</v>
      </c>
      <c r="N2622" s="18">
        <f t="shared" si="252"/>
        <v>0.23157000000000005</v>
      </c>
      <c r="O2622" s="19">
        <f t="shared" si="253"/>
        <v>0</v>
      </c>
      <c r="P2622" s="13">
        <f t="shared" si="254"/>
        <v>0</v>
      </c>
      <c r="Q2622" s="32"/>
      <c r="R2622" s="32">
        <v>3</v>
      </c>
      <c r="S2622" s="2" t="s">
        <v>278</v>
      </c>
    </row>
    <row r="2623" spans="1:21">
      <c r="A2623" s="45" t="s">
        <v>136</v>
      </c>
      <c r="B2623" s="48" t="s">
        <v>171</v>
      </c>
      <c r="C2623" s="32">
        <v>144</v>
      </c>
      <c r="D2623" s="32"/>
      <c r="E2623" s="48" t="s">
        <v>24</v>
      </c>
      <c r="F2623" s="48" t="s">
        <v>14</v>
      </c>
      <c r="G2623" s="48" t="s">
        <v>16</v>
      </c>
      <c r="H2623" s="11">
        <v>5.77</v>
      </c>
      <c r="I2623" s="52">
        <v>9.5</v>
      </c>
      <c r="J2623" s="7">
        <v>3</v>
      </c>
      <c r="K2623" s="10">
        <f t="shared" si="251"/>
        <v>0.16444499999999998</v>
      </c>
      <c r="L2623" s="32"/>
      <c r="M2623" s="7">
        <v>3</v>
      </c>
      <c r="N2623" s="18">
        <f t="shared" si="252"/>
        <v>0.16444499999999998</v>
      </c>
      <c r="O2623" s="19">
        <f t="shared" si="253"/>
        <v>0</v>
      </c>
      <c r="P2623" s="13">
        <f t="shared" si="254"/>
        <v>0</v>
      </c>
      <c r="Q2623" s="32">
        <v>6.5</v>
      </c>
      <c r="R2623" s="32">
        <v>3</v>
      </c>
      <c r="S2623" s="32" t="s">
        <v>374</v>
      </c>
    </row>
    <row r="2624" spans="1:21">
      <c r="A2624" s="45" t="s">
        <v>136</v>
      </c>
      <c r="B2624" s="48" t="s">
        <v>171</v>
      </c>
      <c r="C2624" s="32">
        <v>144</v>
      </c>
      <c r="D2624" s="32"/>
      <c r="E2624" s="48" t="s">
        <v>24</v>
      </c>
      <c r="F2624" s="48" t="s">
        <v>14</v>
      </c>
      <c r="G2624" s="48" t="s">
        <v>16</v>
      </c>
      <c r="H2624" s="11">
        <v>5.77</v>
      </c>
      <c r="I2624" s="52">
        <v>9.3000000000000007</v>
      </c>
      <c r="J2624" s="7">
        <v>1</v>
      </c>
      <c r="K2624" s="10">
        <f t="shared" si="251"/>
        <v>5.3661E-2</v>
      </c>
      <c r="L2624" s="32"/>
      <c r="M2624" s="32">
        <v>1</v>
      </c>
      <c r="N2624" s="18">
        <f t="shared" si="252"/>
        <v>5.3661E-2</v>
      </c>
      <c r="O2624" s="19">
        <f t="shared" si="253"/>
        <v>0</v>
      </c>
      <c r="P2624" s="13">
        <f t="shared" si="254"/>
        <v>0</v>
      </c>
      <c r="Q2624" s="32">
        <v>6.5</v>
      </c>
      <c r="R2624" s="32">
        <v>1</v>
      </c>
      <c r="S2624" s="32" t="s">
        <v>374</v>
      </c>
    </row>
    <row r="2625" spans="1:20">
      <c r="A2625" s="45" t="s">
        <v>136</v>
      </c>
      <c r="B2625" s="48" t="s">
        <v>171</v>
      </c>
      <c r="C2625" s="32">
        <v>144</v>
      </c>
      <c r="D2625" s="32"/>
      <c r="E2625" s="48" t="s">
        <v>24</v>
      </c>
      <c r="F2625" s="48" t="s">
        <v>14</v>
      </c>
      <c r="G2625" s="48" t="s">
        <v>16</v>
      </c>
      <c r="H2625" s="11">
        <v>5.77</v>
      </c>
      <c r="I2625" s="52">
        <v>8.5</v>
      </c>
      <c r="J2625" s="7">
        <v>1</v>
      </c>
      <c r="K2625" s="10">
        <f t="shared" si="251"/>
        <v>4.9044999999999991E-2</v>
      </c>
      <c r="L2625" s="32"/>
      <c r="M2625" s="32">
        <v>1</v>
      </c>
      <c r="N2625" s="18">
        <f t="shared" si="252"/>
        <v>4.9044999999999991E-2</v>
      </c>
      <c r="O2625" s="19">
        <f t="shared" si="253"/>
        <v>0</v>
      </c>
      <c r="P2625" s="13">
        <f t="shared" si="254"/>
        <v>0</v>
      </c>
      <c r="Q2625" s="32">
        <v>6.5</v>
      </c>
      <c r="R2625" s="32">
        <v>1</v>
      </c>
      <c r="S2625" s="32" t="s">
        <v>374</v>
      </c>
    </row>
    <row r="2626" spans="1:20">
      <c r="A2626" s="45" t="s">
        <v>136</v>
      </c>
      <c r="B2626" s="48" t="s">
        <v>171</v>
      </c>
      <c r="C2626" s="32">
        <v>145</v>
      </c>
      <c r="D2626" s="32"/>
      <c r="E2626" s="48" t="s">
        <v>106</v>
      </c>
      <c r="F2626" s="48" t="s">
        <v>15</v>
      </c>
      <c r="G2626" s="48" t="s">
        <v>18</v>
      </c>
      <c r="H2626" s="11">
        <v>6.86</v>
      </c>
      <c r="I2626" s="8">
        <v>9</v>
      </c>
      <c r="J2626" s="7">
        <v>2</v>
      </c>
      <c r="K2626" s="10">
        <f t="shared" si="251"/>
        <v>0.12348000000000001</v>
      </c>
      <c r="L2626" s="32"/>
      <c r="M2626" s="32">
        <v>2</v>
      </c>
      <c r="N2626" s="18">
        <f t="shared" si="252"/>
        <v>0.12348000000000001</v>
      </c>
      <c r="O2626" s="19">
        <f t="shared" si="253"/>
        <v>0</v>
      </c>
      <c r="P2626" s="13">
        <f t="shared" si="254"/>
        <v>0</v>
      </c>
      <c r="Q2626" s="55">
        <v>8</v>
      </c>
      <c r="R2626" s="32">
        <v>2</v>
      </c>
      <c r="S2626" s="2" t="s">
        <v>735</v>
      </c>
    </row>
    <row r="2627" spans="1:20">
      <c r="A2627" s="45" t="s">
        <v>136</v>
      </c>
      <c r="B2627" s="48" t="s">
        <v>171</v>
      </c>
      <c r="C2627" s="32">
        <v>145</v>
      </c>
      <c r="D2627" s="32"/>
      <c r="E2627" s="48" t="s">
        <v>106</v>
      </c>
      <c r="F2627" s="48" t="s">
        <v>15</v>
      </c>
      <c r="G2627" s="48" t="s">
        <v>18</v>
      </c>
      <c r="H2627" s="11">
        <v>6.86</v>
      </c>
      <c r="I2627" s="9">
        <v>9.5</v>
      </c>
      <c r="J2627" s="7">
        <v>2</v>
      </c>
      <c r="K2627" s="10">
        <f t="shared" si="251"/>
        <v>0.13034000000000001</v>
      </c>
      <c r="L2627" s="32"/>
      <c r="M2627" s="32">
        <v>2</v>
      </c>
      <c r="N2627" s="18">
        <f t="shared" si="252"/>
        <v>0.13034000000000001</v>
      </c>
      <c r="O2627" s="19">
        <f t="shared" si="253"/>
        <v>0</v>
      </c>
      <c r="P2627" s="13">
        <f t="shared" si="254"/>
        <v>0</v>
      </c>
      <c r="Q2627" s="55">
        <v>8.9</v>
      </c>
      <c r="R2627" s="32">
        <v>2</v>
      </c>
      <c r="S2627" s="2" t="s">
        <v>735</v>
      </c>
    </row>
    <row r="2628" spans="1:20">
      <c r="A2628" s="45" t="s">
        <v>136</v>
      </c>
      <c r="B2628" s="48" t="s">
        <v>171</v>
      </c>
      <c r="C2628" s="32">
        <v>145</v>
      </c>
      <c r="D2628" s="32"/>
      <c r="E2628" s="48" t="s">
        <v>106</v>
      </c>
      <c r="F2628" s="48" t="s">
        <v>15</v>
      </c>
      <c r="G2628" s="48" t="s">
        <v>18</v>
      </c>
      <c r="H2628" s="11">
        <v>6.86</v>
      </c>
      <c r="I2628" s="9">
        <v>9.6999999999999993</v>
      </c>
      <c r="J2628" s="7">
        <v>5</v>
      </c>
      <c r="K2628" s="10">
        <f t="shared" si="251"/>
        <v>0.33271000000000006</v>
      </c>
      <c r="L2628" s="32"/>
      <c r="M2628" s="32">
        <v>5</v>
      </c>
      <c r="N2628" s="18">
        <f t="shared" si="252"/>
        <v>0.33271000000000006</v>
      </c>
      <c r="O2628" s="19">
        <f t="shared" si="253"/>
        <v>0</v>
      </c>
      <c r="P2628" s="13">
        <f t="shared" si="254"/>
        <v>0</v>
      </c>
      <c r="Q2628" s="55">
        <v>7.8</v>
      </c>
      <c r="R2628" s="32">
        <v>5</v>
      </c>
      <c r="S2628" s="32" t="s">
        <v>733</v>
      </c>
    </row>
    <row r="2629" spans="1:20">
      <c r="A2629" s="45" t="s">
        <v>136</v>
      </c>
      <c r="B2629" s="48" t="s">
        <v>171</v>
      </c>
      <c r="C2629" s="32">
        <v>146</v>
      </c>
      <c r="D2629" s="32"/>
      <c r="E2629" s="48" t="s">
        <v>19</v>
      </c>
      <c r="F2629" s="48" t="s">
        <v>14</v>
      </c>
      <c r="G2629" s="48" t="s">
        <v>16</v>
      </c>
      <c r="H2629" s="11">
        <v>5.77</v>
      </c>
      <c r="I2629" s="9">
        <v>9</v>
      </c>
      <c r="J2629" s="7">
        <v>1</v>
      </c>
      <c r="K2629" s="10">
        <f t="shared" ref="K2629:K2678" si="255">(H2629*I2629*J2629/1000)</f>
        <v>5.192999999999999E-2</v>
      </c>
      <c r="L2629" s="67" t="s">
        <v>625</v>
      </c>
      <c r="M2629" s="32">
        <v>1</v>
      </c>
      <c r="N2629" s="18">
        <f t="shared" ref="N2629:N2678" si="256">I2629*M2629*H2629/1000</f>
        <v>5.192999999999999E-2</v>
      </c>
      <c r="O2629" s="19">
        <f t="shared" ref="O2629:O2678" si="257">J2629-M2629</f>
        <v>0</v>
      </c>
      <c r="P2629" s="13">
        <f t="shared" ref="P2629:P2678" si="258">I2629*O2629*H2629/1000</f>
        <v>0</v>
      </c>
      <c r="Q2629" s="32">
        <v>7.25</v>
      </c>
      <c r="R2629" s="45">
        <v>1</v>
      </c>
      <c r="S2629" s="32" t="s">
        <v>542</v>
      </c>
    </row>
    <row r="2630" spans="1:20">
      <c r="A2630" s="45" t="s">
        <v>136</v>
      </c>
      <c r="B2630" s="48" t="s">
        <v>171</v>
      </c>
      <c r="C2630" s="32">
        <v>146</v>
      </c>
      <c r="D2630" s="32"/>
      <c r="E2630" s="48" t="s">
        <v>19</v>
      </c>
      <c r="F2630" s="48" t="s">
        <v>14</v>
      </c>
      <c r="G2630" s="48" t="s">
        <v>16</v>
      </c>
      <c r="H2630" s="11">
        <v>5.77</v>
      </c>
      <c r="I2630" s="9">
        <v>9.5</v>
      </c>
      <c r="J2630" s="7">
        <v>1</v>
      </c>
      <c r="K2630" s="10">
        <f t="shared" si="255"/>
        <v>5.4814999999999996E-2</v>
      </c>
      <c r="L2630" s="67" t="s">
        <v>625</v>
      </c>
      <c r="M2630" s="32">
        <v>1</v>
      </c>
      <c r="N2630" s="18">
        <f t="shared" si="256"/>
        <v>5.4814999999999996E-2</v>
      </c>
      <c r="O2630" s="19">
        <f t="shared" si="257"/>
        <v>0</v>
      </c>
      <c r="P2630" s="13">
        <f t="shared" si="258"/>
        <v>0</v>
      </c>
      <c r="Q2630" s="32">
        <v>7.25</v>
      </c>
      <c r="R2630" s="45">
        <v>1</v>
      </c>
      <c r="S2630" s="32" t="s">
        <v>542</v>
      </c>
    </row>
    <row r="2631" spans="1:20">
      <c r="A2631" s="45" t="s">
        <v>136</v>
      </c>
      <c r="B2631" s="48" t="s">
        <v>171</v>
      </c>
      <c r="C2631" s="32">
        <v>146</v>
      </c>
      <c r="D2631" s="32"/>
      <c r="E2631" s="48" t="s">
        <v>19</v>
      </c>
      <c r="F2631" s="48" t="s">
        <v>14</v>
      </c>
      <c r="G2631" s="48" t="s">
        <v>16</v>
      </c>
      <c r="H2631" s="11">
        <v>5.77</v>
      </c>
      <c r="I2631" s="9">
        <v>12</v>
      </c>
      <c r="J2631" s="7">
        <v>1</v>
      </c>
      <c r="K2631" s="10">
        <f t="shared" si="255"/>
        <v>6.9239999999999996E-2</v>
      </c>
      <c r="L2631" s="67" t="s">
        <v>625</v>
      </c>
      <c r="M2631" s="32">
        <v>1</v>
      </c>
      <c r="N2631" s="18">
        <f t="shared" si="256"/>
        <v>6.9239999999999996E-2</v>
      </c>
      <c r="O2631" s="19">
        <f t="shared" si="257"/>
        <v>0</v>
      </c>
      <c r="P2631" s="13">
        <f t="shared" si="258"/>
        <v>0</v>
      </c>
      <c r="Q2631" s="32">
        <v>12</v>
      </c>
      <c r="R2631" s="45">
        <v>1</v>
      </c>
      <c r="S2631" s="32" t="s">
        <v>542</v>
      </c>
    </row>
    <row r="2632" spans="1:20">
      <c r="A2632" s="45" t="s">
        <v>136</v>
      </c>
      <c r="B2632" s="48" t="s">
        <v>171</v>
      </c>
      <c r="C2632" s="32">
        <v>146</v>
      </c>
      <c r="D2632" s="32"/>
      <c r="E2632" s="48" t="s">
        <v>19</v>
      </c>
      <c r="F2632" s="48" t="s">
        <v>14</v>
      </c>
      <c r="G2632" s="48" t="s">
        <v>16</v>
      </c>
      <c r="H2632" s="11">
        <v>5.77</v>
      </c>
      <c r="I2632" s="9">
        <v>10.8</v>
      </c>
      <c r="J2632" s="7">
        <v>1</v>
      </c>
      <c r="K2632" s="10">
        <f t="shared" si="255"/>
        <v>6.2316000000000003E-2</v>
      </c>
      <c r="L2632" s="67" t="s">
        <v>625</v>
      </c>
      <c r="M2632" s="32">
        <v>1</v>
      </c>
      <c r="N2632" s="18">
        <f t="shared" si="256"/>
        <v>6.2316000000000003E-2</v>
      </c>
      <c r="O2632" s="19">
        <f t="shared" si="257"/>
        <v>0</v>
      </c>
      <c r="P2632" s="13">
        <f t="shared" si="258"/>
        <v>0</v>
      </c>
      <c r="Q2632" s="32">
        <v>7.25</v>
      </c>
      <c r="R2632" s="45">
        <v>1</v>
      </c>
      <c r="S2632" s="32" t="s">
        <v>542</v>
      </c>
    </row>
    <row r="2633" spans="1:20">
      <c r="A2633" s="45" t="s">
        <v>136</v>
      </c>
      <c r="B2633" s="48" t="s">
        <v>171</v>
      </c>
      <c r="C2633" s="32">
        <v>147</v>
      </c>
      <c r="D2633" s="32"/>
      <c r="E2633" s="48" t="s">
        <v>89</v>
      </c>
      <c r="F2633" s="48" t="s">
        <v>15</v>
      </c>
      <c r="G2633" s="48" t="s">
        <v>57</v>
      </c>
      <c r="H2633" s="11">
        <v>33.72</v>
      </c>
      <c r="I2633" s="9">
        <v>9.8000000000000007</v>
      </c>
      <c r="J2633" s="7">
        <v>1</v>
      </c>
      <c r="K2633" s="10">
        <f t="shared" si="255"/>
        <v>0.33045600000000003</v>
      </c>
      <c r="L2633" s="32"/>
      <c r="M2633" s="32">
        <v>1</v>
      </c>
      <c r="N2633" s="18">
        <f t="shared" si="256"/>
        <v>0.33045600000000003</v>
      </c>
      <c r="O2633" s="19">
        <f t="shared" si="257"/>
        <v>0</v>
      </c>
      <c r="P2633" s="13">
        <f t="shared" si="258"/>
        <v>0</v>
      </c>
      <c r="Q2633" s="32">
        <v>7.8</v>
      </c>
      <c r="R2633" s="32">
        <v>1</v>
      </c>
      <c r="S2633" s="32" t="s">
        <v>195</v>
      </c>
    </row>
    <row r="2634" spans="1:20">
      <c r="A2634" s="45" t="s">
        <v>136</v>
      </c>
      <c r="B2634" s="48" t="s">
        <v>171</v>
      </c>
      <c r="C2634" s="32">
        <v>148</v>
      </c>
      <c r="D2634" s="32"/>
      <c r="E2634" s="48" t="s">
        <v>89</v>
      </c>
      <c r="F2634" s="48" t="s">
        <v>15</v>
      </c>
      <c r="G2634" s="48" t="s">
        <v>42</v>
      </c>
      <c r="H2634" s="11">
        <v>19.72</v>
      </c>
      <c r="I2634" s="9">
        <v>11.2</v>
      </c>
      <c r="J2634" s="7">
        <v>1</v>
      </c>
      <c r="K2634" s="10">
        <f t="shared" si="255"/>
        <v>0.22086399999999998</v>
      </c>
      <c r="L2634" s="32"/>
      <c r="M2634" s="32">
        <v>1</v>
      </c>
      <c r="N2634" s="18">
        <f t="shared" si="256"/>
        <v>0.22086399999999998</v>
      </c>
      <c r="O2634" s="19">
        <f t="shared" si="257"/>
        <v>0</v>
      </c>
      <c r="P2634" s="13">
        <f t="shared" si="258"/>
        <v>0</v>
      </c>
      <c r="Q2634" s="32"/>
      <c r="R2634" s="45">
        <v>1</v>
      </c>
      <c r="S2634" s="32" t="s">
        <v>542</v>
      </c>
    </row>
    <row r="2635" spans="1:20">
      <c r="A2635" s="45" t="s">
        <v>136</v>
      </c>
      <c r="B2635" s="48" t="s">
        <v>171</v>
      </c>
      <c r="C2635" s="32">
        <v>149</v>
      </c>
      <c r="D2635" s="32"/>
      <c r="E2635" s="48" t="s">
        <v>94</v>
      </c>
      <c r="F2635" s="48" t="s">
        <v>15</v>
      </c>
      <c r="G2635" s="48" t="s">
        <v>30</v>
      </c>
      <c r="H2635" s="11">
        <v>9.26</v>
      </c>
      <c r="I2635" s="10">
        <v>11</v>
      </c>
      <c r="J2635" s="7">
        <v>4</v>
      </c>
      <c r="K2635" s="10">
        <f t="shared" si="255"/>
        <v>0.40744000000000002</v>
      </c>
      <c r="L2635" s="32"/>
      <c r="M2635" s="17">
        <v>4</v>
      </c>
      <c r="N2635" s="18">
        <f t="shared" si="256"/>
        <v>0.40744000000000002</v>
      </c>
      <c r="O2635" s="19">
        <f t="shared" si="257"/>
        <v>0</v>
      </c>
      <c r="P2635" s="13">
        <f t="shared" si="258"/>
        <v>0</v>
      </c>
      <c r="Q2635" s="9">
        <v>10.85</v>
      </c>
      <c r="R2635" s="35">
        <v>4</v>
      </c>
      <c r="S2635" s="2" t="s">
        <v>739</v>
      </c>
    </row>
    <row r="2636" spans="1:20">
      <c r="A2636" s="45" t="s">
        <v>136</v>
      </c>
      <c r="B2636" s="48" t="s">
        <v>171</v>
      </c>
      <c r="C2636" s="32">
        <v>150</v>
      </c>
      <c r="D2636" s="32"/>
      <c r="E2636" s="48" t="s">
        <v>94</v>
      </c>
      <c r="F2636" s="48" t="s">
        <v>15</v>
      </c>
      <c r="G2636" s="48" t="s">
        <v>55</v>
      </c>
      <c r="H2636" s="11">
        <v>4.6500000000000004</v>
      </c>
      <c r="I2636" s="9">
        <v>11</v>
      </c>
      <c r="J2636" s="7">
        <v>1</v>
      </c>
      <c r="K2636" s="10">
        <f t="shared" si="255"/>
        <v>5.1150000000000008E-2</v>
      </c>
      <c r="L2636" s="32"/>
      <c r="M2636" s="32">
        <v>1</v>
      </c>
      <c r="N2636" s="18">
        <f t="shared" si="256"/>
        <v>5.1150000000000008E-2</v>
      </c>
      <c r="O2636" s="19">
        <f t="shared" si="257"/>
        <v>0</v>
      </c>
      <c r="P2636" s="13">
        <f t="shared" si="258"/>
        <v>0</v>
      </c>
      <c r="Q2636" s="32"/>
      <c r="R2636" s="32">
        <v>1</v>
      </c>
      <c r="S2636" s="32" t="s">
        <v>222</v>
      </c>
    </row>
    <row r="2637" spans="1:20">
      <c r="A2637" s="45" t="s">
        <v>136</v>
      </c>
      <c r="B2637" s="48" t="s">
        <v>171</v>
      </c>
      <c r="C2637" s="32">
        <v>150</v>
      </c>
      <c r="D2637" s="32"/>
      <c r="E2637" s="48" t="s">
        <v>94</v>
      </c>
      <c r="F2637" s="48" t="s">
        <v>15</v>
      </c>
      <c r="G2637" s="48" t="s">
        <v>55</v>
      </c>
      <c r="H2637" s="11">
        <v>4.6500000000000004</v>
      </c>
      <c r="I2637" s="9">
        <v>11.5</v>
      </c>
      <c r="J2637" s="7">
        <v>6</v>
      </c>
      <c r="K2637" s="10">
        <f t="shared" si="255"/>
        <v>0.32085000000000002</v>
      </c>
      <c r="L2637" s="32"/>
      <c r="M2637" s="32">
        <v>6</v>
      </c>
      <c r="N2637" s="18">
        <f t="shared" si="256"/>
        <v>0.32085000000000002</v>
      </c>
      <c r="O2637" s="19">
        <f t="shared" si="257"/>
        <v>0</v>
      </c>
      <c r="P2637" s="13">
        <f t="shared" si="258"/>
        <v>0</v>
      </c>
      <c r="Q2637" s="32"/>
      <c r="R2637" s="32">
        <v>6</v>
      </c>
      <c r="S2637" s="32" t="s">
        <v>222</v>
      </c>
    </row>
    <row r="2638" spans="1:20">
      <c r="A2638" s="45" t="s">
        <v>136</v>
      </c>
      <c r="B2638" s="48" t="s">
        <v>171</v>
      </c>
      <c r="C2638" s="32">
        <v>151</v>
      </c>
      <c r="D2638" s="32"/>
      <c r="E2638" s="48" t="s">
        <v>20</v>
      </c>
      <c r="F2638" s="48" t="s">
        <v>15</v>
      </c>
      <c r="G2638" s="48" t="s">
        <v>43</v>
      </c>
      <c r="H2638" s="11">
        <v>15.04</v>
      </c>
      <c r="I2638" s="9">
        <v>12</v>
      </c>
      <c r="J2638" s="7">
        <v>1</v>
      </c>
      <c r="K2638" s="10">
        <f t="shared" si="255"/>
        <v>0.18048</v>
      </c>
      <c r="L2638" s="32"/>
      <c r="M2638" s="32">
        <v>1</v>
      </c>
      <c r="N2638" s="18">
        <f t="shared" si="256"/>
        <v>0.18048</v>
      </c>
      <c r="O2638" s="106">
        <f t="shared" si="257"/>
        <v>0</v>
      </c>
      <c r="P2638" s="13">
        <f t="shared" si="258"/>
        <v>0</v>
      </c>
      <c r="Q2638" s="111" t="s">
        <v>367</v>
      </c>
      <c r="R2638" s="32"/>
      <c r="S2638" s="162">
        <v>11</v>
      </c>
      <c r="T2638">
        <v>1</v>
      </c>
    </row>
    <row r="2639" spans="1:20">
      <c r="A2639" s="45" t="s">
        <v>136</v>
      </c>
      <c r="B2639" s="48" t="s">
        <v>171</v>
      </c>
      <c r="C2639" s="32">
        <v>152</v>
      </c>
      <c r="D2639" s="32"/>
      <c r="E2639" s="48" t="s">
        <v>106</v>
      </c>
      <c r="F2639" s="48" t="s">
        <v>15</v>
      </c>
      <c r="G2639" s="48" t="s">
        <v>34</v>
      </c>
      <c r="H2639" s="11">
        <v>9.61</v>
      </c>
      <c r="I2639" s="50">
        <v>8.5</v>
      </c>
      <c r="J2639" s="7">
        <v>1</v>
      </c>
      <c r="K2639" s="10">
        <f t="shared" si="255"/>
        <v>8.1685000000000008E-2</v>
      </c>
      <c r="L2639" s="32"/>
      <c r="M2639" s="32">
        <v>1</v>
      </c>
      <c r="N2639" s="18">
        <f t="shared" si="256"/>
        <v>8.1685000000000008E-2</v>
      </c>
      <c r="O2639" s="19">
        <f t="shared" si="257"/>
        <v>0</v>
      </c>
      <c r="P2639" s="13">
        <f t="shared" si="258"/>
        <v>0</v>
      </c>
      <c r="Q2639" s="32"/>
      <c r="R2639" s="32">
        <v>1</v>
      </c>
      <c r="S2639" s="32" t="s">
        <v>456</v>
      </c>
    </row>
    <row r="2640" spans="1:20">
      <c r="A2640" s="45" t="s">
        <v>136</v>
      </c>
      <c r="B2640" s="48" t="s">
        <v>171</v>
      </c>
      <c r="C2640" s="32">
        <v>152</v>
      </c>
      <c r="D2640" s="32"/>
      <c r="E2640" s="48" t="s">
        <v>106</v>
      </c>
      <c r="F2640" s="48" t="s">
        <v>15</v>
      </c>
      <c r="G2640" s="48" t="s">
        <v>34</v>
      </c>
      <c r="H2640" s="11">
        <v>9.61</v>
      </c>
      <c r="I2640" s="50">
        <v>10</v>
      </c>
      <c r="J2640" s="7">
        <v>1</v>
      </c>
      <c r="K2640" s="10">
        <f t="shared" si="255"/>
        <v>9.6099999999999991E-2</v>
      </c>
      <c r="L2640" s="32"/>
      <c r="M2640" s="32">
        <v>1</v>
      </c>
      <c r="N2640" s="18">
        <f t="shared" si="256"/>
        <v>9.6099999999999991E-2</v>
      </c>
      <c r="O2640" s="19">
        <f t="shared" si="257"/>
        <v>0</v>
      </c>
      <c r="P2640" s="13">
        <f t="shared" si="258"/>
        <v>0</v>
      </c>
      <c r="Q2640" s="32"/>
      <c r="R2640" s="32">
        <v>1</v>
      </c>
      <c r="S2640" s="32" t="s">
        <v>456</v>
      </c>
    </row>
    <row r="2641" spans="1:21">
      <c r="A2641" s="45" t="s">
        <v>136</v>
      </c>
      <c r="B2641" s="48" t="s">
        <v>171</v>
      </c>
      <c r="C2641" s="32">
        <v>152</v>
      </c>
      <c r="D2641" s="32"/>
      <c r="E2641" s="48" t="s">
        <v>106</v>
      </c>
      <c r="F2641" s="48" t="s">
        <v>15</v>
      </c>
      <c r="G2641" s="48" t="s">
        <v>34</v>
      </c>
      <c r="H2641" s="11">
        <v>9.61</v>
      </c>
      <c r="I2641" s="50">
        <v>12</v>
      </c>
      <c r="J2641" s="7">
        <v>1</v>
      </c>
      <c r="K2641" s="10">
        <f t="shared" si="255"/>
        <v>0.11531999999999999</v>
      </c>
      <c r="L2641" s="32"/>
      <c r="M2641" s="32">
        <v>1</v>
      </c>
      <c r="N2641" s="18">
        <f t="shared" si="256"/>
        <v>0.11531999999999999</v>
      </c>
      <c r="O2641" s="19">
        <f t="shared" si="257"/>
        <v>0</v>
      </c>
      <c r="P2641" s="13">
        <f t="shared" si="258"/>
        <v>0</v>
      </c>
      <c r="Q2641" s="32"/>
      <c r="R2641" s="32">
        <v>1</v>
      </c>
      <c r="S2641" s="32" t="s">
        <v>456</v>
      </c>
    </row>
    <row r="2642" spans="1:21">
      <c r="A2642" s="45" t="s">
        <v>136</v>
      </c>
      <c r="B2642" s="48" t="s">
        <v>171</v>
      </c>
      <c r="C2642" s="32">
        <v>152</v>
      </c>
      <c r="D2642" s="32"/>
      <c r="E2642" s="48" t="s">
        <v>89</v>
      </c>
      <c r="F2642" s="48" t="s">
        <v>15</v>
      </c>
      <c r="G2642" s="48" t="s">
        <v>34</v>
      </c>
      <c r="H2642" s="11">
        <v>9.61</v>
      </c>
      <c r="I2642" s="9">
        <v>9.6999999999999993</v>
      </c>
      <c r="J2642" s="7">
        <v>1</v>
      </c>
      <c r="K2642" s="10">
        <f t="shared" si="255"/>
        <v>9.321699999999998E-2</v>
      </c>
      <c r="L2642" s="32"/>
      <c r="M2642" s="32">
        <v>1</v>
      </c>
      <c r="N2642" s="18">
        <f t="shared" si="256"/>
        <v>9.321699999999998E-2</v>
      </c>
      <c r="O2642" s="19">
        <f t="shared" si="257"/>
        <v>0</v>
      </c>
      <c r="P2642" s="13">
        <f t="shared" si="258"/>
        <v>0</v>
      </c>
      <c r="Q2642" s="32"/>
      <c r="R2642" s="32">
        <v>1</v>
      </c>
      <c r="S2642" s="32" t="s">
        <v>278</v>
      </c>
    </row>
    <row r="2643" spans="1:21">
      <c r="A2643" s="45" t="s">
        <v>136</v>
      </c>
      <c r="B2643" s="48" t="s">
        <v>171</v>
      </c>
      <c r="C2643" s="32">
        <v>152</v>
      </c>
      <c r="D2643" s="32"/>
      <c r="E2643" s="48" t="s">
        <v>89</v>
      </c>
      <c r="F2643" s="48" t="s">
        <v>15</v>
      </c>
      <c r="G2643" s="48" t="s">
        <v>34</v>
      </c>
      <c r="H2643" s="11">
        <v>9.61</v>
      </c>
      <c r="I2643" s="9">
        <v>8.8000000000000007</v>
      </c>
      <c r="J2643" s="7">
        <v>1</v>
      </c>
      <c r="K2643" s="10">
        <f t="shared" si="255"/>
        <v>8.4568000000000004E-2</v>
      </c>
      <c r="L2643" s="32"/>
      <c r="M2643" s="32">
        <v>1</v>
      </c>
      <c r="N2643" s="18">
        <f t="shared" si="256"/>
        <v>8.4568000000000004E-2</v>
      </c>
      <c r="O2643" s="19">
        <f t="shared" si="257"/>
        <v>0</v>
      </c>
      <c r="P2643" s="13">
        <f t="shared" si="258"/>
        <v>0</v>
      </c>
      <c r="Q2643" s="32"/>
      <c r="R2643" s="32">
        <v>1</v>
      </c>
      <c r="S2643" s="32" t="s">
        <v>278</v>
      </c>
    </row>
    <row r="2644" spans="1:21">
      <c r="A2644" s="45" t="s">
        <v>136</v>
      </c>
      <c r="B2644" s="48" t="s">
        <v>171</v>
      </c>
      <c r="C2644" s="32">
        <v>152</v>
      </c>
      <c r="D2644" s="32"/>
      <c r="E2644" s="48" t="s">
        <v>89</v>
      </c>
      <c r="F2644" s="48" t="s">
        <v>15</v>
      </c>
      <c r="G2644" s="48" t="s">
        <v>34</v>
      </c>
      <c r="H2644" s="11">
        <v>9.61</v>
      </c>
      <c r="I2644" s="9">
        <v>8.5</v>
      </c>
      <c r="J2644" s="7">
        <v>1</v>
      </c>
      <c r="K2644" s="10">
        <f t="shared" si="255"/>
        <v>8.1685000000000008E-2</v>
      </c>
      <c r="L2644" s="32"/>
      <c r="M2644" s="32">
        <v>1</v>
      </c>
      <c r="N2644" s="18">
        <f t="shared" si="256"/>
        <v>8.1685000000000008E-2</v>
      </c>
      <c r="O2644" s="19">
        <f t="shared" si="257"/>
        <v>0</v>
      </c>
      <c r="P2644" s="13">
        <f t="shared" si="258"/>
        <v>0</v>
      </c>
      <c r="Q2644" s="32"/>
      <c r="R2644" s="32">
        <v>1</v>
      </c>
      <c r="S2644" s="32" t="s">
        <v>278</v>
      </c>
    </row>
    <row r="2645" spans="1:21">
      <c r="A2645" s="45" t="s">
        <v>136</v>
      </c>
      <c r="B2645" s="48" t="s">
        <v>171</v>
      </c>
      <c r="C2645" s="32">
        <v>152</v>
      </c>
      <c r="D2645" s="32"/>
      <c r="E2645" s="48" t="s">
        <v>89</v>
      </c>
      <c r="F2645" s="48" t="s">
        <v>15</v>
      </c>
      <c r="G2645" s="48" t="s">
        <v>34</v>
      </c>
      <c r="H2645" s="11">
        <v>9.61</v>
      </c>
      <c r="I2645" s="9">
        <v>7.2</v>
      </c>
      <c r="J2645" s="7">
        <v>3</v>
      </c>
      <c r="K2645" s="10">
        <f t="shared" si="255"/>
        <v>0.20757599999999995</v>
      </c>
      <c r="L2645" s="32"/>
      <c r="M2645" s="32">
        <v>3</v>
      </c>
      <c r="N2645" s="18">
        <f t="shared" si="256"/>
        <v>0.20757599999999998</v>
      </c>
      <c r="O2645" s="19">
        <f t="shared" si="257"/>
        <v>0</v>
      </c>
      <c r="P2645" s="13">
        <f t="shared" si="258"/>
        <v>0</v>
      </c>
      <c r="Q2645" s="32"/>
      <c r="R2645" s="32">
        <v>3</v>
      </c>
      <c r="S2645" s="32" t="s">
        <v>278</v>
      </c>
    </row>
    <row r="2646" spans="1:21">
      <c r="A2646" s="45" t="s">
        <v>136</v>
      </c>
      <c r="B2646" s="48" t="s">
        <v>171</v>
      </c>
      <c r="C2646" s="32">
        <v>153</v>
      </c>
      <c r="D2646" s="32"/>
      <c r="E2646" s="48" t="s">
        <v>89</v>
      </c>
      <c r="F2646" s="48" t="s">
        <v>15</v>
      </c>
      <c r="G2646" s="48" t="s">
        <v>27</v>
      </c>
      <c r="H2646" s="11">
        <v>6.17</v>
      </c>
      <c r="I2646" s="9">
        <v>8</v>
      </c>
      <c r="J2646" s="7">
        <v>1</v>
      </c>
      <c r="K2646" s="10">
        <f t="shared" si="255"/>
        <v>4.9360000000000001E-2</v>
      </c>
      <c r="L2646" s="32"/>
      <c r="M2646" s="32">
        <v>1</v>
      </c>
      <c r="N2646" s="18">
        <f t="shared" si="256"/>
        <v>4.9360000000000001E-2</v>
      </c>
      <c r="O2646" s="19">
        <f t="shared" si="257"/>
        <v>0</v>
      </c>
      <c r="P2646" s="13">
        <f t="shared" si="258"/>
        <v>0</v>
      </c>
      <c r="Q2646" s="32"/>
      <c r="R2646" s="32">
        <v>1</v>
      </c>
      <c r="S2646" s="2" t="s">
        <v>700</v>
      </c>
      <c r="T2646" s="213"/>
      <c r="U2646" s="213"/>
    </row>
    <row r="2647" spans="1:21">
      <c r="A2647" s="45" t="s">
        <v>136</v>
      </c>
      <c r="B2647" s="48" t="s">
        <v>171</v>
      </c>
      <c r="C2647" s="32">
        <v>153</v>
      </c>
      <c r="D2647" s="32"/>
      <c r="E2647" s="48" t="s">
        <v>89</v>
      </c>
      <c r="F2647" s="48" t="s">
        <v>15</v>
      </c>
      <c r="G2647" s="48" t="s">
        <v>27</v>
      </c>
      <c r="H2647" s="11">
        <v>6.17</v>
      </c>
      <c r="I2647" s="9">
        <v>8.1</v>
      </c>
      <c r="J2647" s="7">
        <v>1</v>
      </c>
      <c r="K2647" s="10">
        <f t="shared" si="255"/>
        <v>4.9976999999999994E-2</v>
      </c>
      <c r="L2647" s="32"/>
      <c r="M2647" s="32">
        <v>1</v>
      </c>
      <c r="N2647" s="18">
        <f t="shared" si="256"/>
        <v>4.9976999999999994E-2</v>
      </c>
      <c r="O2647" s="19">
        <f t="shared" si="257"/>
        <v>0</v>
      </c>
      <c r="P2647" s="13">
        <f t="shared" si="258"/>
        <v>0</v>
      </c>
      <c r="Q2647" s="32"/>
      <c r="R2647" s="32">
        <v>1</v>
      </c>
      <c r="S2647" s="2" t="s">
        <v>700</v>
      </c>
      <c r="T2647" s="213"/>
      <c r="U2647" s="213"/>
    </row>
    <row r="2648" spans="1:21">
      <c r="A2648" s="45" t="s">
        <v>136</v>
      </c>
      <c r="B2648" s="48" t="s">
        <v>171</v>
      </c>
      <c r="C2648" s="32">
        <v>153</v>
      </c>
      <c r="D2648" s="32"/>
      <c r="E2648" s="48" t="s">
        <v>89</v>
      </c>
      <c r="F2648" s="48" t="s">
        <v>15</v>
      </c>
      <c r="G2648" s="48" t="s">
        <v>27</v>
      </c>
      <c r="H2648" s="11">
        <v>6.17</v>
      </c>
      <c r="I2648" s="9">
        <v>8.9</v>
      </c>
      <c r="J2648" s="7">
        <v>1</v>
      </c>
      <c r="K2648" s="10">
        <f t="shared" si="255"/>
        <v>5.4913000000000003E-2</v>
      </c>
      <c r="L2648" s="32"/>
      <c r="M2648" s="32">
        <v>1</v>
      </c>
      <c r="N2648" s="18">
        <f t="shared" si="256"/>
        <v>5.4913000000000003E-2</v>
      </c>
      <c r="O2648" s="19">
        <f t="shared" si="257"/>
        <v>0</v>
      </c>
      <c r="P2648" s="13">
        <f t="shared" si="258"/>
        <v>0</v>
      </c>
      <c r="Q2648" s="32"/>
      <c r="R2648" s="32">
        <v>1</v>
      </c>
      <c r="S2648" s="2" t="s">
        <v>700</v>
      </c>
      <c r="T2648" s="213"/>
      <c r="U2648" s="213"/>
    </row>
    <row r="2649" spans="1:21">
      <c r="A2649" s="45" t="s">
        <v>136</v>
      </c>
      <c r="B2649" s="48" t="s">
        <v>171</v>
      </c>
      <c r="C2649" s="32">
        <v>154</v>
      </c>
      <c r="D2649" s="32"/>
      <c r="E2649" s="48" t="s">
        <v>177</v>
      </c>
      <c r="F2649" s="48" t="s">
        <v>14</v>
      </c>
      <c r="G2649" s="48" t="s">
        <v>25</v>
      </c>
      <c r="H2649" s="11">
        <v>7.34</v>
      </c>
      <c r="I2649" s="9">
        <v>12</v>
      </c>
      <c r="J2649" s="7">
        <v>20</v>
      </c>
      <c r="K2649" s="10">
        <f t="shared" si="255"/>
        <v>1.7615999999999998</v>
      </c>
      <c r="L2649" s="32"/>
      <c r="M2649" s="32">
        <v>1</v>
      </c>
      <c r="N2649" s="18">
        <f t="shared" si="256"/>
        <v>8.8079999999999992E-2</v>
      </c>
      <c r="O2649" s="19">
        <f t="shared" si="257"/>
        <v>19</v>
      </c>
      <c r="P2649" s="13">
        <f t="shared" si="258"/>
        <v>1.6735199999999999</v>
      </c>
      <c r="Q2649" s="32">
        <v>12</v>
      </c>
      <c r="R2649" s="45">
        <v>1</v>
      </c>
      <c r="S2649" s="32" t="s">
        <v>709</v>
      </c>
    </row>
    <row r="2650" spans="1:21">
      <c r="A2650" s="45" t="s">
        <v>136</v>
      </c>
      <c r="B2650" s="48" t="s">
        <v>171</v>
      </c>
      <c r="C2650" s="32">
        <v>155</v>
      </c>
      <c r="D2650" s="32"/>
      <c r="E2650" s="48" t="s">
        <v>19</v>
      </c>
      <c r="F2650" s="48" t="s">
        <v>14</v>
      </c>
      <c r="G2650" s="48" t="s">
        <v>55</v>
      </c>
      <c r="H2650" s="11">
        <v>4.6500000000000004</v>
      </c>
      <c r="I2650" s="9">
        <v>11.5</v>
      </c>
      <c r="J2650" s="7">
        <v>19</v>
      </c>
      <c r="K2650" s="10">
        <f t="shared" si="255"/>
        <v>1.016025</v>
      </c>
      <c r="L2650" s="32"/>
      <c r="M2650" s="32"/>
      <c r="N2650" s="18">
        <f t="shared" si="256"/>
        <v>0</v>
      </c>
      <c r="O2650" s="19">
        <f t="shared" si="257"/>
        <v>19</v>
      </c>
      <c r="P2650" s="13">
        <f t="shared" si="258"/>
        <v>1.0160250000000002</v>
      </c>
      <c r="Q2650" s="32"/>
      <c r="R2650" s="32"/>
      <c r="S2650" s="32"/>
    </row>
    <row r="2651" spans="1:21">
      <c r="A2651" s="45" t="s">
        <v>136</v>
      </c>
      <c r="B2651" s="48" t="s">
        <v>171</v>
      </c>
      <c r="C2651" s="32">
        <v>156</v>
      </c>
      <c r="D2651" s="32"/>
      <c r="E2651" s="48" t="s">
        <v>178</v>
      </c>
      <c r="F2651" s="48" t="s">
        <v>14</v>
      </c>
      <c r="G2651" s="48" t="s">
        <v>18</v>
      </c>
      <c r="H2651" s="11">
        <v>6.86</v>
      </c>
      <c r="I2651" s="9">
        <v>4.3</v>
      </c>
      <c r="J2651" s="7">
        <v>1</v>
      </c>
      <c r="K2651" s="10">
        <f t="shared" si="255"/>
        <v>2.9498E-2</v>
      </c>
      <c r="L2651" s="32"/>
      <c r="M2651" s="32"/>
      <c r="N2651" s="18">
        <f t="shared" si="256"/>
        <v>0</v>
      </c>
      <c r="O2651" s="19">
        <f t="shared" si="257"/>
        <v>1</v>
      </c>
      <c r="P2651" s="13">
        <f t="shared" si="258"/>
        <v>2.9498E-2</v>
      </c>
      <c r="Q2651" s="111"/>
      <c r="R2651" s="32"/>
      <c r="S2651" s="32"/>
    </row>
    <row r="2652" spans="1:21">
      <c r="A2652" s="45" t="s">
        <v>136</v>
      </c>
      <c r="B2652" s="48" t="s">
        <v>171</v>
      </c>
      <c r="C2652" s="32">
        <v>156</v>
      </c>
      <c r="D2652" s="32"/>
      <c r="E2652" s="48" t="s">
        <v>178</v>
      </c>
      <c r="F2652" s="48" t="s">
        <v>14</v>
      </c>
      <c r="G2652" s="48" t="s">
        <v>18</v>
      </c>
      <c r="H2652" s="11">
        <v>6.86</v>
      </c>
      <c r="I2652" s="9">
        <v>6.15</v>
      </c>
      <c r="J2652" s="7">
        <v>2</v>
      </c>
      <c r="K2652" s="10">
        <f t="shared" si="255"/>
        <v>8.4378000000000009E-2</v>
      </c>
      <c r="L2652" s="32"/>
      <c r="M2652" s="32">
        <v>2</v>
      </c>
      <c r="N2652" s="18">
        <f t="shared" si="256"/>
        <v>8.4378000000000009E-2</v>
      </c>
      <c r="O2652" s="19">
        <f t="shared" si="257"/>
        <v>0</v>
      </c>
      <c r="P2652" s="13">
        <f t="shared" si="258"/>
        <v>0</v>
      </c>
      <c r="Q2652" s="159">
        <v>6</v>
      </c>
      <c r="R2652" s="32">
        <v>2</v>
      </c>
      <c r="S2652" s="32" t="s">
        <v>459</v>
      </c>
    </row>
    <row r="2653" spans="1:21">
      <c r="A2653" s="45" t="s">
        <v>136</v>
      </c>
      <c r="B2653" s="48" t="s">
        <v>171</v>
      </c>
      <c r="C2653" s="32">
        <v>156</v>
      </c>
      <c r="D2653" s="32"/>
      <c r="E2653" s="48" t="s">
        <v>178</v>
      </c>
      <c r="F2653" s="48" t="s">
        <v>14</v>
      </c>
      <c r="G2653" s="48" t="s">
        <v>18</v>
      </c>
      <c r="H2653" s="11">
        <v>6.86</v>
      </c>
      <c r="I2653" s="9">
        <v>9</v>
      </c>
      <c r="J2653" s="7">
        <v>2</v>
      </c>
      <c r="K2653" s="10">
        <f t="shared" si="255"/>
        <v>0.12348000000000001</v>
      </c>
      <c r="L2653" s="32"/>
      <c r="M2653" s="32">
        <v>2</v>
      </c>
      <c r="N2653" s="18">
        <f t="shared" si="256"/>
        <v>0.12348000000000001</v>
      </c>
      <c r="O2653" s="19">
        <f t="shared" si="257"/>
        <v>0</v>
      </c>
      <c r="P2653" s="13">
        <f t="shared" si="258"/>
        <v>0</v>
      </c>
      <c r="Q2653" s="159">
        <v>8</v>
      </c>
      <c r="R2653" s="32">
        <v>2</v>
      </c>
      <c r="S2653" s="32" t="s">
        <v>314</v>
      </c>
    </row>
    <row r="2654" spans="1:21">
      <c r="A2654" s="45" t="s">
        <v>136</v>
      </c>
      <c r="B2654" s="48" t="s">
        <v>171</v>
      </c>
      <c r="C2654" s="32">
        <v>156</v>
      </c>
      <c r="D2654" s="32"/>
      <c r="E2654" s="48" t="s">
        <v>178</v>
      </c>
      <c r="F2654" s="48" t="s">
        <v>14</v>
      </c>
      <c r="G2654" s="48" t="s">
        <v>18</v>
      </c>
      <c r="H2654" s="11">
        <v>6.86</v>
      </c>
      <c r="I2654" s="9">
        <v>10</v>
      </c>
      <c r="J2654" s="7">
        <v>2</v>
      </c>
      <c r="K2654" s="10">
        <f t="shared" si="255"/>
        <v>0.13720000000000002</v>
      </c>
      <c r="L2654" s="32"/>
      <c r="M2654" s="32">
        <v>2</v>
      </c>
      <c r="N2654" s="18">
        <f t="shared" si="256"/>
        <v>0.13720000000000002</v>
      </c>
      <c r="O2654" s="19">
        <f t="shared" si="257"/>
        <v>0</v>
      </c>
      <c r="P2654" s="13">
        <f t="shared" si="258"/>
        <v>0</v>
      </c>
      <c r="Q2654" s="159">
        <v>8</v>
      </c>
      <c r="R2654" s="32">
        <v>2</v>
      </c>
      <c r="S2654" s="32" t="s">
        <v>314</v>
      </c>
    </row>
    <row r="2655" spans="1:21">
      <c r="A2655" s="45" t="s">
        <v>136</v>
      </c>
      <c r="B2655" s="48" t="s">
        <v>171</v>
      </c>
      <c r="C2655" s="32">
        <v>156</v>
      </c>
      <c r="D2655" s="32"/>
      <c r="E2655" s="48" t="s">
        <v>178</v>
      </c>
      <c r="F2655" s="48" t="s">
        <v>14</v>
      </c>
      <c r="G2655" s="48" t="s">
        <v>18</v>
      </c>
      <c r="H2655" s="11">
        <v>6.86</v>
      </c>
      <c r="I2655" s="9">
        <v>10.5</v>
      </c>
      <c r="J2655" s="7">
        <v>1</v>
      </c>
      <c r="K2655" s="10">
        <f t="shared" si="255"/>
        <v>7.2029999999999997E-2</v>
      </c>
      <c r="L2655" s="32"/>
      <c r="M2655" s="32">
        <v>1</v>
      </c>
      <c r="N2655" s="18">
        <f t="shared" si="256"/>
        <v>7.2029999999999997E-2</v>
      </c>
      <c r="O2655" s="19">
        <f t="shared" si="257"/>
        <v>0</v>
      </c>
      <c r="P2655" s="13">
        <f t="shared" si="258"/>
        <v>0</v>
      </c>
      <c r="Q2655" s="159">
        <v>8</v>
      </c>
      <c r="R2655" s="32">
        <v>1</v>
      </c>
      <c r="S2655" s="32" t="s">
        <v>314</v>
      </c>
    </row>
    <row r="2656" spans="1:21">
      <c r="A2656" s="45" t="s">
        <v>136</v>
      </c>
      <c r="B2656" s="48" t="s">
        <v>171</v>
      </c>
      <c r="C2656" s="32">
        <v>156</v>
      </c>
      <c r="D2656" s="32"/>
      <c r="E2656" s="48" t="s">
        <v>178</v>
      </c>
      <c r="F2656" s="48" t="s">
        <v>14</v>
      </c>
      <c r="G2656" s="48" t="s">
        <v>18</v>
      </c>
      <c r="H2656" s="11">
        <v>6.86</v>
      </c>
      <c r="I2656" s="9">
        <v>11.5</v>
      </c>
      <c r="J2656" s="7">
        <v>1</v>
      </c>
      <c r="K2656" s="10">
        <f t="shared" si="255"/>
        <v>7.8890000000000002E-2</v>
      </c>
      <c r="L2656" s="32"/>
      <c r="M2656" s="32">
        <v>1</v>
      </c>
      <c r="N2656" s="18">
        <f t="shared" si="256"/>
        <v>7.8890000000000002E-2</v>
      </c>
      <c r="O2656" s="19">
        <f t="shared" si="257"/>
        <v>0</v>
      </c>
      <c r="P2656" s="13">
        <f t="shared" si="258"/>
        <v>0</v>
      </c>
      <c r="Q2656" s="159">
        <v>8</v>
      </c>
      <c r="R2656" s="32">
        <v>1</v>
      </c>
      <c r="S2656" s="32" t="s">
        <v>314</v>
      </c>
    </row>
    <row r="2657" spans="1:19">
      <c r="A2657" s="45" t="s">
        <v>136</v>
      </c>
      <c r="B2657" s="48" t="s">
        <v>171</v>
      </c>
      <c r="C2657" s="32">
        <v>157</v>
      </c>
      <c r="D2657" s="32"/>
      <c r="E2657" s="48" t="s">
        <v>178</v>
      </c>
      <c r="F2657" s="48" t="s">
        <v>14</v>
      </c>
      <c r="G2657" s="48" t="s">
        <v>55</v>
      </c>
      <c r="H2657" s="11">
        <v>4.6500000000000004</v>
      </c>
      <c r="I2657" s="9">
        <v>8.5</v>
      </c>
      <c r="J2657" s="7">
        <v>1</v>
      </c>
      <c r="K2657" s="10">
        <f t="shared" si="255"/>
        <v>3.9525000000000005E-2</v>
      </c>
      <c r="L2657" s="32"/>
      <c r="M2657" s="32"/>
      <c r="N2657" s="18">
        <f t="shared" si="256"/>
        <v>0</v>
      </c>
      <c r="O2657" s="19">
        <f t="shared" si="257"/>
        <v>1</v>
      </c>
      <c r="P2657" s="13">
        <f t="shared" si="258"/>
        <v>3.9525000000000005E-2</v>
      </c>
      <c r="Q2657" s="32"/>
      <c r="R2657" s="32"/>
      <c r="S2657" s="32"/>
    </row>
    <row r="2658" spans="1:19">
      <c r="A2658" s="45" t="s">
        <v>136</v>
      </c>
      <c r="B2658" s="48" t="s">
        <v>171</v>
      </c>
      <c r="C2658" s="32">
        <v>157</v>
      </c>
      <c r="D2658" s="32"/>
      <c r="E2658" s="48" t="s">
        <v>178</v>
      </c>
      <c r="F2658" s="48" t="s">
        <v>14</v>
      </c>
      <c r="G2658" s="48" t="s">
        <v>55</v>
      </c>
      <c r="H2658" s="11">
        <v>4.6500000000000004</v>
      </c>
      <c r="I2658" s="9">
        <v>9</v>
      </c>
      <c r="J2658" s="7">
        <v>1</v>
      </c>
      <c r="K2658" s="10">
        <f t="shared" si="255"/>
        <v>4.1849999999999998E-2</v>
      </c>
      <c r="L2658" s="32"/>
      <c r="M2658" s="32"/>
      <c r="N2658" s="18">
        <f t="shared" si="256"/>
        <v>0</v>
      </c>
      <c r="O2658" s="19">
        <f t="shared" si="257"/>
        <v>1</v>
      </c>
      <c r="P2658" s="13">
        <f t="shared" si="258"/>
        <v>4.1849999999999998E-2</v>
      </c>
      <c r="Q2658" s="32"/>
      <c r="R2658" s="32"/>
      <c r="S2658" s="32"/>
    </row>
    <row r="2659" spans="1:19">
      <c r="A2659" s="45" t="s">
        <v>136</v>
      </c>
      <c r="B2659" s="48" t="s">
        <v>171</v>
      </c>
      <c r="C2659" s="32">
        <v>157</v>
      </c>
      <c r="D2659" s="32"/>
      <c r="E2659" s="48" t="s">
        <v>178</v>
      </c>
      <c r="F2659" s="48" t="s">
        <v>14</v>
      </c>
      <c r="G2659" s="48" t="s">
        <v>55</v>
      </c>
      <c r="H2659" s="11">
        <v>4.6500000000000004</v>
      </c>
      <c r="I2659" s="9">
        <v>9.6999999999999993</v>
      </c>
      <c r="J2659" s="7">
        <v>2</v>
      </c>
      <c r="K2659" s="10">
        <f t="shared" si="255"/>
        <v>9.0209999999999999E-2</v>
      </c>
      <c r="L2659" s="32"/>
      <c r="M2659" s="32"/>
      <c r="N2659" s="18">
        <f t="shared" si="256"/>
        <v>0</v>
      </c>
      <c r="O2659" s="19">
        <f t="shared" si="257"/>
        <v>2</v>
      </c>
      <c r="P2659" s="13">
        <f t="shared" si="258"/>
        <v>9.0209999999999999E-2</v>
      </c>
      <c r="Q2659" s="32"/>
      <c r="R2659" s="32"/>
      <c r="S2659" s="32"/>
    </row>
    <row r="2660" spans="1:19">
      <c r="A2660" s="45" t="s">
        <v>136</v>
      </c>
      <c r="B2660" s="48" t="s">
        <v>171</v>
      </c>
      <c r="C2660" s="32">
        <v>157</v>
      </c>
      <c r="D2660" s="32"/>
      <c r="E2660" s="48" t="s">
        <v>178</v>
      </c>
      <c r="F2660" s="48" t="s">
        <v>14</v>
      </c>
      <c r="G2660" s="48" t="s">
        <v>55</v>
      </c>
      <c r="H2660" s="11">
        <v>4.6500000000000004</v>
      </c>
      <c r="I2660" s="9">
        <v>10</v>
      </c>
      <c r="J2660" s="7">
        <v>1</v>
      </c>
      <c r="K2660" s="10">
        <f t="shared" si="255"/>
        <v>4.65E-2</v>
      </c>
      <c r="L2660" s="32"/>
      <c r="M2660" s="32"/>
      <c r="N2660" s="18">
        <f t="shared" si="256"/>
        <v>0</v>
      </c>
      <c r="O2660" s="19">
        <f t="shared" si="257"/>
        <v>1</v>
      </c>
      <c r="P2660" s="13">
        <f t="shared" si="258"/>
        <v>4.65E-2</v>
      </c>
      <c r="Q2660" s="32"/>
      <c r="R2660" s="32"/>
      <c r="S2660" s="32"/>
    </row>
    <row r="2661" spans="1:19">
      <c r="A2661" s="45" t="s">
        <v>136</v>
      </c>
      <c r="B2661" s="48" t="s">
        <v>171</v>
      </c>
      <c r="C2661" s="32">
        <v>157</v>
      </c>
      <c r="D2661" s="32"/>
      <c r="E2661" s="48" t="s">
        <v>178</v>
      </c>
      <c r="F2661" s="48" t="s">
        <v>14</v>
      </c>
      <c r="G2661" s="48" t="s">
        <v>55</v>
      </c>
      <c r="H2661" s="11">
        <v>4.6500000000000004</v>
      </c>
      <c r="I2661" s="9">
        <v>10.4</v>
      </c>
      <c r="J2661" s="7">
        <v>1</v>
      </c>
      <c r="K2661" s="10">
        <f t="shared" si="255"/>
        <v>4.8360000000000007E-2</v>
      </c>
      <c r="L2661" s="32"/>
      <c r="M2661" s="32"/>
      <c r="N2661" s="18">
        <f t="shared" si="256"/>
        <v>0</v>
      </c>
      <c r="O2661" s="19">
        <f t="shared" si="257"/>
        <v>1</v>
      </c>
      <c r="P2661" s="13">
        <f t="shared" si="258"/>
        <v>4.8360000000000007E-2</v>
      </c>
      <c r="Q2661" s="32"/>
      <c r="R2661" s="32"/>
      <c r="S2661" s="32"/>
    </row>
    <row r="2662" spans="1:19">
      <c r="A2662" s="45" t="s">
        <v>136</v>
      </c>
      <c r="B2662" s="48" t="s">
        <v>171</v>
      </c>
      <c r="C2662" s="32">
        <v>157</v>
      </c>
      <c r="D2662" s="32"/>
      <c r="E2662" s="48" t="s">
        <v>178</v>
      </c>
      <c r="F2662" s="48" t="s">
        <v>14</v>
      </c>
      <c r="G2662" s="48" t="s">
        <v>55</v>
      </c>
      <c r="H2662" s="11">
        <v>4.6500000000000004</v>
      </c>
      <c r="I2662" s="9">
        <v>10.5</v>
      </c>
      <c r="J2662" s="7">
        <v>2</v>
      </c>
      <c r="K2662" s="10">
        <f t="shared" si="255"/>
        <v>9.7650000000000001E-2</v>
      </c>
      <c r="L2662" s="32"/>
      <c r="M2662" s="32"/>
      <c r="N2662" s="18">
        <f t="shared" si="256"/>
        <v>0</v>
      </c>
      <c r="O2662" s="19">
        <f t="shared" si="257"/>
        <v>2</v>
      </c>
      <c r="P2662" s="13">
        <f t="shared" si="258"/>
        <v>9.7650000000000001E-2</v>
      </c>
      <c r="Q2662" s="32"/>
      <c r="R2662" s="32"/>
      <c r="S2662" s="32"/>
    </row>
    <row r="2663" spans="1:19">
      <c r="A2663" s="45" t="s">
        <v>136</v>
      </c>
      <c r="B2663" s="48" t="s">
        <v>171</v>
      </c>
      <c r="C2663" s="32">
        <v>157</v>
      </c>
      <c r="D2663" s="32"/>
      <c r="E2663" s="48" t="s">
        <v>178</v>
      </c>
      <c r="F2663" s="48" t="s">
        <v>14</v>
      </c>
      <c r="G2663" s="48" t="s">
        <v>55</v>
      </c>
      <c r="H2663" s="11">
        <v>4.6500000000000004</v>
      </c>
      <c r="I2663" s="9">
        <v>11</v>
      </c>
      <c r="J2663" s="7">
        <v>1</v>
      </c>
      <c r="K2663" s="10">
        <f t="shared" si="255"/>
        <v>5.1150000000000008E-2</v>
      </c>
      <c r="L2663" s="32"/>
      <c r="M2663" s="32"/>
      <c r="N2663" s="18">
        <f t="shared" si="256"/>
        <v>0</v>
      </c>
      <c r="O2663" s="19">
        <f t="shared" si="257"/>
        <v>1</v>
      </c>
      <c r="P2663" s="13">
        <f t="shared" si="258"/>
        <v>5.1150000000000008E-2</v>
      </c>
      <c r="Q2663" s="32"/>
      <c r="R2663" s="32"/>
      <c r="S2663" s="32"/>
    </row>
    <row r="2664" spans="1:19">
      <c r="A2664" s="45" t="s">
        <v>136</v>
      </c>
      <c r="B2664" s="48" t="s">
        <v>171</v>
      </c>
      <c r="C2664" s="32">
        <v>157</v>
      </c>
      <c r="D2664" s="32"/>
      <c r="E2664" s="48" t="s">
        <v>178</v>
      </c>
      <c r="F2664" s="48" t="s">
        <v>14</v>
      </c>
      <c r="G2664" s="48" t="s">
        <v>55</v>
      </c>
      <c r="H2664" s="11">
        <v>4.6500000000000004</v>
      </c>
      <c r="I2664" s="9">
        <v>11.8</v>
      </c>
      <c r="J2664" s="7">
        <v>1</v>
      </c>
      <c r="K2664" s="10">
        <f t="shared" si="255"/>
        <v>5.4870000000000002E-2</v>
      </c>
      <c r="L2664" s="32"/>
      <c r="M2664" s="32"/>
      <c r="N2664" s="18">
        <f t="shared" si="256"/>
        <v>0</v>
      </c>
      <c r="O2664" s="19">
        <f t="shared" si="257"/>
        <v>1</v>
      </c>
      <c r="P2664" s="13">
        <f t="shared" si="258"/>
        <v>5.4870000000000002E-2</v>
      </c>
      <c r="Q2664" s="32"/>
      <c r="R2664" s="32"/>
      <c r="S2664" s="32"/>
    </row>
    <row r="2665" spans="1:19">
      <c r="A2665" s="45" t="s">
        <v>136</v>
      </c>
      <c r="B2665" s="48" t="s">
        <v>171</v>
      </c>
      <c r="C2665" s="32">
        <v>158</v>
      </c>
      <c r="D2665" s="32"/>
      <c r="E2665" s="48" t="s">
        <v>19</v>
      </c>
      <c r="F2665" s="48" t="s">
        <v>14</v>
      </c>
      <c r="G2665" s="48" t="s">
        <v>32</v>
      </c>
      <c r="H2665" s="11">
        <v>8.3000000000000007</v>
      </c>
      <c r="I2665" s="52">
        <v>7.2</v>
      </c>
      <c r="J2665" s="7">
        <v>2</v>
      </c>
      <c r="K2665" s="10">
        <f t="shared" si="255"/>
        <v>0.11952000000000002</v>
      </c>
      <c r="L2665" s="32"/>
      <c r="M2665" s="32">
        <v>2</v>
      </c>
      <c r="N2665" s="18">
        <f t="shared" si="256"/>
        <v>0.11952000000000002</v>
      </c>
      <c r="O2665" s="19">
        <f t="shared" si="257"/>
        <v>0</v>
      </c>
      <c r="P2665" s="13">
        <f t="shared" si="258"/>
        <v>0</v>
      </c>
      <c r="Q2665" s="32"/>
      <c r="R2665" s="32">
        <v>2</v>
      </c>
      <c r="S2665" s="2" t="s">
        <v>278</v>
      </c>
    </row>
    <row r="2666" spans="1:19">
      <c r="A2666" s="45" t="s">
        <v>136</v>
      </c>
      <c r="B2666" s="48" t="s">
        <v>171</v>
      </c>
      <c r="C2666" s="32">
        <v>159</v>
      </c>
      <c r="D2666" s="32"/>
      <c r="E2666" s="48" t="s">
        <v>89</v>
      </c>
      <c r="F2666" s="48" t="s">
        <v>15</v>
      </c>
      <c r="G2666" s="48" t="s">
        <v>42</v>
      </c>
      <c r="H2666" s="11">
        <v>19.72</v>
      </c>
      <c r="I2666" s="8">
        <v>9.5</v>
      </c>
      <c r="J2666" s="7">
        <v>1</v>
      </c>
      <c r="K2666" s="10">
        <f t="shared" si="255"/>
        <v>0.18733999999999998</v>
      </c>
      <c r="L2666" s="32"/>
      <c r="M2666" s="32">
        <v>1</v>
      </c>
      <c r="N2666" s="18">
        <f t="shared" si="256"/>
        <v>0.18733999999999998</v>
      </c>
      <c r="O2666" s="19">
        <f t="shared" si="257"/>
        <v>0</v>
      </c>
      <c r="P2666" s="13">
        <f t="shared" si="258"/>
        <v>0</v>
      </c>
      <c r="Q2666" s="32"/>
      <c r="R2666" s="45">
        <v>1</v>
      </c>
      <c r="S2666" s="32" t="s">
        <v>542</v>
      </c>
    </row>
    <row r="2667" spans="1:19">
      <c r="A2667" s="45" t="s">
        <v>136</v>
      </c>
      <c r="B2667" s="48" t="s">
        <v>171</v>
      </c>
      <c r="C2667" s="32">
        <v>159</v>
      </c>
      <c r="D2667" s="32"/>
      <c r="E2667" s="48" t="s">
        <v>89</v>
      </c>
      <c r="F2667" s="48" t="s">
        <v>15</v>
      </c>
      <c r="G2667" s="48" t="s">
        <v>42</v>
      </c>
      <c r="H2667" s="11">
        <v>19.72</v>
      </c>
      <c r="I2667" s="8">
        <v>10.5</v>
      </c>
      <c r="J2667" s="7">
        <v>1</v>
      </c>
      <c r="K2667" s="10">
        <f t="shared" si="255"/>
        <v>0.20705999999999999</v>
      </c>
      <c r="L2667" s="32"/>
      <c r="M2667" s="32">
        <v>1</v>
      </c>
      <c r="N2667" s="18">
        <f t="shared" si="256"/>
        <v>0.20705999999999999</v>
      </c>
      <c r="O2667" s="19">
        <f t="shared" si="257"/>
        <v>0</v>
      </c>
      <c r="P2667" s="13">
        <f t="shared" si="258"/>
        <v>0</v>
      </c>
      <c r="Q2667" s="32"/>
      <c r="R2667" s="45">
        <v>1</v>
      </c>
      <c r="S2667" s="32" t="s">
        <v>542</v>
      </c>
    </row>
    <row r="2668" spans="1:19">
      <c r="A2668" s="45" t="s">
        <v>136</v>
      </c>
      <c r="B2668" s="48" t="s">
        <v>171</v>
      </c>
      <c r="C2668" s="32">
        <v>159</v>
      </c>
      <c r="D2668" s="32"/>
      <c r="E2668" s="48" t="s">
        <v>89</v>
      </c>
      <c r="F2668" s="48" t="s">
        <v>15</v>
      </c>
      <c r="G2668" s="48" t="s">
        <v>42</v>
      </c>
      <c r="H2668" s="11">
        <v>19.72</v>
      </c>
      <c r="I2668" s="8">
        <v>11.3</v>
      </c>
      <c r="J2668" s="7">
        <v>1</v>
      </c>
      <c r="K2668" s="10">
        <f t="shared" si="255"/>
        <v>0.22283600000000001</v>
      </c>
      <c r="L2668" s="32"/>
      <c r="M2668" s="32">
        <v>1</v>
      </c>
      <c r="N2668" s="18">
        <f t="shared" si="256"/>
        <v>0.22283600000000001</v>
      </c>
      <c r="O2668" s="19">
        <f t="shared" si="257"/>
        <v>0</v>
      </c>
      <c r="P2668" s="13">
        <f t="shared" si="258"/>
        <v>0</v>
      </c>
      <c r="Q2668" s="32"/>
      <c r="R2668" s="45">
        <v>1</v>
      </c>
      <c r="S2668" s="32" t="s">
        <v>542</v>
      </c>
    </row>
    <row r="2669" spans="1:19">
      <c r="A2669" s="45" t="s">
        <v>136</v>
      </c>
      <c r="B2669" s="48" t="s">
        <v>171</v>
      </c>
      <c r="C2669" s="32">
        <v>160</v>
      </c>
      <c r="D2669" s="32"/>
      <c r="E2669" s="48" t="s">
        <v>139</v>
      </c>
      <c r="F2669" s="48" t="s">
        <v>15</v>
      </c>
      <c r="G2669" s="48" t="s">
        <v>40</v>
      </c>
      <c r="H2669" s="11">
        <v>16.5</v>
      </c>
      <c r="I2669" s="8">
        <v>6.7</v>
      </c>
      <c r="J2669" s="7">
        <v>1</v>
      </c>
      <c r="K2669" s="10">
        <f t="shared" si="255"/>
        <v>0.11055</v>
      </c>
      <c r="L2669" s="32"/>
      <c r="M2669" s="32">
        <v>1</v>
      </c>
      <c r="N2669" s="18">
        <f t="shared" si="256"/>
        <v>0.11055</v>
      </c>
      <c r="O2669" s="19">
        <f t="shared" si="257"/>
        <v>0</v>
      </c>
      <c r="P2669" s="13">
        <f t="shared" si="258"/>
        <v>0</v>
      </c>
      <c r="Q2669" s="32"/>
      <c r="R2669" s="32">
        <v>1</v>
      </c>
      <c r="S2669" s="2" t="s">
        <v>278</v>
      </c>
    </row>
    <row r="2670" spans="1:19">
      <c r="A2670" s="45" t="s">
        <v>136</v>
      </c>
      <c r="B2670" s="48" t="s">
        <v>171</v>
      </c>
      <c r="C2670" s="32">
        <v>160</v>
      </c>
      <c r="D2670" s="32"/>
      <c r="E2670" s="48" t="s">
        <v>89</v>
      </c>
      <c r="F2670" s="48" t="s">
        <v>15</v>
      </c>
      <c r="G2670" s="48" t="s">
        <v>48</v>
      </c>
      <c r="H2670" s="11">
        <v>23.6</v>
      </c>
      <c r="I2670" s="8">
        <v>12</v>
      </c>
      <c r="J2670" s="7">
        <v>1</v>
      </c>
      <c r="K2670" s="10">
        <f t="shared" si="255"/>
        <v>0.28320000000000006</v>
      </c>
      <c r="L2670" s="32"/>
      <c r="M2670" s="32">
        <v>1</v>
      </c>
      <c r="N2670" s="18">
        <f t="shared" si="256"/>
        <v>0.28320000000000006</v>
      </c>
      <c r="O2670" s="19">
        <f t="shared" si="257"/>
        <v>0</v>
      </c>
      <c r="P2670" s="13">
        <f t="shared" si="258"/>
        <v>0</v>
      </c>
      <c r="Q2670" s="32">
        <v>10.4</v>
      </c>
      <c r="R2670" s="32">
        <v>1</v>
      </c>
      <c r="S2670" s="32" t="s">
        <v>317</v>
      </c>
    </row>
    <row r="2671" spans="1:19">
      <c r="A2671" s="45" t="s">
        <v>136</v>
      </c>
      <c r="B2671" s="48" t="s">
        <v>171</v>
      </c>
      <c r="C2671" s="32">
        <v>161</v>
      </c>
      <c r="D2671" s="32"/>
      <c r="E2671" s="48" t="s">
        <v>19</v>
      </c>
      <c r="F2671" s="48" t="s">
        <v>14</v>
      </c>
      <c r="G2671" s="48" t="s">
        <v>35</v>
      </c>
      <c r="H2671" s="11">
        <v>16.579999999999998</v>
      </c>
      <c r="I2671" s="52">
        <v>8.3000000000000007</v>
      </c>
      <c r="J2671" s="7">
        <v>2</v>
      </c>
      <c r="K2671" s="10">
        <f t="shared" si="255"/>
        <v>0.27522800000000003</v>
      </c>
      <c r="L2671" s="32"/>
      <c r="M2671" s="32"/>
      <c r="N2671" s="18">
        <f t="shared" si="256"/>
        <v>0</v>
      </c>
      <c r="O2671" s="19">
        <f t="shared" si="257"/>
        <v>2</v>
      </c>
      <c r="P2671" s="13">
        <f t="shared" si="258"/>
        <v>0.27522800000000003</v>
      </c>
      <c r="Q2671" s="32"/>
      <c r="R2671" s="32"/>
      <c r="S2671" s="32"/>
    </row>
    <row r="2672" spans="1:19">
      <c r="A2672" s="45" t="s">
        <v>136</v>
      </c>
      <c r="B2672" s="48" t="s">
        <v>171</v>
      </c>
      <c r="C2672" s="32">
        <v>162</v>
      </c>
      <c r="D2672" s="32"/>
      <c r="E2672" s="48" t="s">
        <v>94</v>
      </c>
      <c r="F2672" s="48" t="s">
        <v>15</v>
      </c>
      <c r="G2672" s="48" t="s">
        <v>22</v>
      </c>
      <c r="H2672" s="11">
        <v>10.73</v>
      </c>
      <c r="I2672" s="8">
        <v>6.1</v>
      </c>
      <c r="J2672" s="7">
        <v>1</v>
      </c>
      <c r="K2672" s="10">
        <f t="shared" si="255"/>
        <v>6.5452999999999997E-2</v>
      </c>
      <c r="L2672" s="32"/>
      <c r="M2672" s="32">
        <v>1</v>
      </c>
      <c r="N2672" s="18">
        <f t="shared" si="256"/>
        <v>6.5452999999999997E-2</v>
      </c>
      <c r="O2672" s="19">
        <f t="shared" si="257"/>
        <v>0</v>
      </c>
      <c r="P2672" s="13">
        <f t="shared" si="258"/>
        <v>0</v>
      </c>
      <c r="Q2672" s="9">
        <v>6.1</v>
      </c>
      <c r="R2672" s="32">
        <v>1</v>
      </c>
      <c r="S2672" s="2" t="s">
        <v>741</v>
      </c>
    </row>
    <row r="2673" spans="1:19">
      <c r="A2673" s="45" t="s">
        <v>136</v>
      </c>
      <c r="B2673" s="48" t="s">
        <v>171</v>
      </c>
      <c r="C2673" s="32">
        <v>162</v>
      </c>
      <c r="D2673" s="32"/>
      <c r="E2673" s="48" t="s">
        <v>94</v>
      </c>
      <c r="F2673" s="48" t="s">
        <v>15</v>
      </c>
      <c r="G2673" s="48" t="s">
        <v>22</v>
      </c>
      <c r="H2673" s="11">
        <v>10.73</v>
      </c>
      <c r="I2673" s="8">
        <v>6.3</v>
      </c>
      <c r="J2673" s="7">
        <v>1</v>
      </c>
      <c r="K2673" s="10">
        <f t="shared" si="255"/>
        <v>6.7599000000000006E-2</v>
      </c>
      <c r="L2673" s="32"/>
      <c r="M2673" s="32">
        <v>1</v>
      </c>
      <c r="N2673" s="18">
        <f t="shared" si="256"/>
        <v>6.7599000000000006E-2</v>
      </c>
      <c r="O2673" s="19">
        <f t="shared" si="257"/>
        <v>0</v>
      </c>
      <c r="P2673" s="13">
        <f t="shared" si="258"/>
        <v>0</v>
      </c>
      <c r="Q2673" s="9">
        <v>6.1</v>
      </c>
      <c r="R2673" s="32">
        <v>1</v>
      </c>
      <c r="S2673" s="2" t="s">
        <v>741</v>
      </c>
    </row>
    <row r="2674" spans="1:19">
      <c r="A2674" s="45" t="s">
        <v>136</v>
      </c>
      <c r="B2674" s="48" t="s">
        <v>171</v>
      </c>
      <c r="C2674" s="32">
        <v>162</v>
      </c>
      <c r="D2674" s="32"/>
      <c r="E2674" s="48" t="s">
        <v>94</v>
      </c>
      <c r="F2674" s="48" t="s">
        <v>15</v>
      </c>
      <c r="G2674" s="48" t="s">
        <v>22</v>
      </c>
      <c r="H2674" s="11">
        <v>10.73</v>
      </c>
      <c r="I2674" s="8">
        <v>11.5</v>
      </c>
      <c r="J2674" s="7">
        <v>5</v>
      </c>
      <c r="K2674" s="10">
        <f t="shared" si="255"/>
        <v>0.61697500000000005</v>
      </c>
      <c r="L2674" s="32"/>
      <c r="M2674" s="32">
        <v>5</v>
      </c>
      <c r="N2674" s="18">
        <f t="shared" si="256"/>
        <v>0.61697500000000005</v>
      </c>
      <c r="O2674" s="19">
        <f t="shared" si="257"/>
        <v>0</v>
      </c>
      <c r="P2674" s="13">
        <f t="shared" si="258"/>
        <v>0</v>
      </c>
      <c r="Q2674" s="33">
        <v>11.5</v>
      </c>
      <c r="R2674" s="32">
        <v>5</v>
      </c>
      <c r="S2674" s="35" t="s">
        <v>224</v>
      </c>
    </row>
    <row r="2675" spans="1:19">
      <c r="A2675" s="45" t="s">
        <v>136</v>
      </c>
      <c r="B2675" s="48" t="s">
        <v>171</v>
      </c>
      <c r="C2675" s="32">
        <v>162</v>
      </c>
      <c r="D2675" s="32"/>
      <c r="E2675" s="48" t="s">
        <v>94</v>
      </c>
      <c r="F2675" s="48" t="s">
        <v>15</v>
      </c>
      <c r="G2675" s="48" t="s">
        <v>22</v>
      </c>
      <c r="H2675" s="11">
        <v>10.73</v>
      </c>
      <c r="I2675" s="8">
        <v>12</v>
      </c>
      <c r="J2675" s="7">
        <v>1</v>
      </c>
      <c r="K2675" s="10">
        <f t="shared" si="255"/>
        <v>0.12875999999999999</v>
      </c>
      <c r="L2675" s="32"/>
      <c r="M2675" s="32">
        <v>1</v>
      </c>
      <c r="N2675" s="18">
        <f t="shared" si="256"/>
        <v>0.12875999999999999</v>
      </c>
      <c r="O2675" s="19">
        <f t="shared" si="257"/>
        <v>0</v>
      </c>
      <c r="P2675" s="13">
        <f t="shared" si="258"/>
        <v>0</v>
      </c>
      <c r="Q2675" s="33">
        <v>12</v>
      </c>
      <c r="R2675" s="32">
        <v>1</v>
      </c>
      <c r="S2675" s="35" t="s">
        <v>224</v>
      </c>
    </row>
    <row r="2676" spans="1:19">
      <c r="A2676" s="45" t="s">
        <v>136</v>
      </c>
      <c r="B2676" s="48" t="s">
        <v>171</v>
      </c>
      <c r="C2676" s="32">
        <v>163</v>
      </c>
      <c r="D2676" s="32"/>
      <c r="E2676" s="48" t="s">
        <v>94</v>
      </c>
      <c r="F2676" s="48" t="s">
        <v>15</v>
      </c>
      <c r="G2676" s="48" t="s">
        <v>28</v>
      </c>
      <c r="H2676" s="11">
        <v>12.18</v>
      </c>
      <c r="I2676" s="52">
        <v>11.7</v>
      </c>
      <c r="J2676" s="7">
        <v>1</v>
      </c>
      <c r="K2676" s="10">
        <f t="shared" si="255"/>
        <v>0.14250599999999999</v>
      </c>
      <c r="L2676" s="32"/>
      <c r="M2676" s="32">
        <v>1</v>
      </c>
      <c r="N2676" s="18">
        <f t="shared" si="256"/>
        <v>0.14250599999999999</v>
      </c>
      <c r="O2676" s="106">
        <f t="shared" si="257"/>
        <v>0</v>
      </c>
      <c r="P2676" s="13">
        <f t="shared" si="258"/>
        <v>0</v>
      </c>
      <c r="Q2676" s="9">
        <v>10.5</v>
      </c>
      <c r="R2676" s="90">
        <v>1</v>
      </c>
      <c r="S2676" s="2" t="s">
        <v>466</v>
      </c>
    </row>
    <row r="2677" spans="1:19">
      <c r="A2677" s="45" t="s">
        <v>136</v>
      </c>
      <c r="B2677" s="48" t="s">
        <v>171</v>
      </c>
      <c r="C2677" s="32">
        <v>163</v>
      </c>
      <c r="D2677" s="32"/>
      <c r="E2677" s="48" t="s">
        <v>94</v>
      </c>
      <c r="F2677" s="48" t="s">
        <v>15</v>
      </c>
      <c r="G2677" s="48" t="s">
        <v>28</v>
      </c>
      <c r="H2677" s="11">
        <v>12.18</v>
      </c>
      <c r="I2677" s="52">
        <v>9.6</v>
      </c>
      <c r="J2677" s="7">
        <v>2</v>
      </c>
      <c r="K2677" s="10">
        <f t="shared" si="255"/>
        <v>0.23385600000000001</v>
      </c>
      <c r="L2677" s="32"/>
      <c r="M2677" s="32">
        <v>2</v>
      </c>
      <c r="N2677" s="18">
        <f t="shared" si="256"/>
        <v>0.23385600000000001</v>
      </c>
      <c r="O2677" s="106">
        <f t="shared" si="257"/>
        <v>0</v>
      </c>
      <c r="P2677" s="13">
        <f t="shared" si="258"/>
        <v>0</v>
      </c>
      <c r="Q2677" s="9">
        <v>7.13</v>
      </c>
      <c r="R2677" s="91">
        <v>2</v>
      </c>
      <c r="S2677" s="2" t="s">
        <v>467</v>
      </c>
    </row>
    <row r="2678" spans="1:19">
      <c r="A2678" s="45" t="s">
        <v>136</v>
      </c>
      <c r="B2678" s="48" t="s">
        <v>171</v>
      </c>
      <c r="C2678" s="32">
        <v>163</v>
      </c>
      <c r="D2678" s="32"/>
      <c r="E2678" s="48" t="s">
        <v>94</v>
      </c>
      <c r="F2678" s="48" t="s">
        <v>15</v>
      </c>
      <c r="G2678" s="48" t="s">
        <v>28</v>
      </c>
      <c r="H2678" s="11">
        <v>12.18</v>
      </c>
      <c r="I2678" s="52">
        <v>9</v>
      </c>
      <c r="J2678" s="7">
        <v>1</v>
      </c>
      <c r="K2678" s="10">
        <f t="shared" si="255"/>
        <v>0.10962000000000001</v>
      </c>
      <c r="L2678" s="32"/>
      <c r="M2678" s="32">
        <v>1</v>
      </c>
      <c r="N2678" s="18">
        <f t="shared" si="256"/>
        <v>0.10962000000000001</v>
      </c>
      <c r="O2678" s="106">
        <f t="shared" si="257"/>
        <v>0</v>
      </c>
      <c r="P2678" s="13">
        <f t="shared" si="258"/>
        <v>0</v>
      </c>
      <c r="Q2678" s="9">
        <v>7.13</v>
      </c>
      <c r="R2678" s="91">
        <v>1</v>
      </c>
      <c r="S2678" s="2" t="s">
        <v>467</v>
      </c>
    </row>
    <row r="2679" spans="1:19">
      <c r="I2679" s="182"/>
      <c r="O2679" s="163"/>
      <c r="R2679" s="163"/>
    </row>
  </sheetData>
  <pageMargins left="0.27" right="0.2" top="0.16" bottom="0.24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6689"/>
  <sheetViews>
    <sheetView topLeftCell="A6473" workbookViewId="0">
      <selection activeCell="M6648" sqref="M6648"/>
    </sheetView>
  </sheetViews>
  <sheetFormatPr defaultRowHeight="14.4"/>
  <cols>
    <col min="1" max="1" width="12.6640625" customWidth="1"/>
    <col min="2" max="2" width="17.88671875" customWidth="1"/>
    <col min="3" max="3" width="8.33203125" customWidth="1"/>
    <col min="4" max="4" width="14.5546875" customWidth="1"/>
    <col min="5" max="5" width="13.44140625" customWidth="1"/>
    <col min="6" max="6" width="15.5546875" customWidth="1"/>
    <col min="7" max="7" width="15.33203125" customWidth="1"/>
    <col min="9" max="9" width="11.44140625" customWidth="1"/>
    <col min="12" max="12" width="14.6640625" customWidth="1"/>
    <col min="16" max="16" width="20.44140625" customWidth="1"/>
    <col min="17" max="17" width="26.109375" customWidth="1"/>
    <col min="19" max="19" width="9.109375" customWidth="1"/>
    <col min="20" max="20" width="10.88671875" customWidth="1"/>
    <col min="21" max="21" width="9.5546875" customWidth="1"/>
    <col min="22" max="22" width="9" customWidth="1"/>
  </cols>
  <sheetData>
    <row r="3" spans="1:19" ht="27.6">
      <c r="A3" s="14" t="s">
        <v>12</v>
      </c>
      <c r="B3" s="15" t="s">
        <v>0</v>
      </c>
      <c r="C3" s="15" t="s">
        <v>67</v>
      </c>
      <c r="D3" s="15" t="s">
        <v>13</v>
      </c>
      <c r="E3" s="16" t="s">
        <v>1</v>
      </c>
      <c r="F3" s="15" t="s">
        <v>2</v>
      </c>
      <c r="G3" s="15" t="s">
        <v>3</v>
      </c>
      <c r="H3" s="15" t="s">
        <v>10</v>
      </c>
      <c r="I3" s="15" t="s">
        <v>4</v>
      </c>
      <c r="J3" s="25" t="s">
        <v>5</v>
      </c>
      <c r="K3" s="15" t="s">
        <v>6</v>
      </c>
      <c r="L3" s="15" t="s">
        <v>7</v>
      </c>
      <c r="M3" s="15" t="s">
        <v>5</v>
      </c>
      <c r="N3" s="15" t="s">
        <v>6</v>
      </c>
      <c r="O3" s="15" t="s">
        <v>5</v>
      </c>
      <c r="P3" s="15" t="s">
        <v>6</v>
      </c>
      <c r="Q3" s="15" t="s">
        <v>8</v>
      </c>
      <c r="R3" s="15" t="s">
        <v>9</v>
      </c>
      <c r="S3" s="15" t="s">
        <v>11</v>
      </c>
    </row>
    <row r="4" spans="1:19">
      <c r="A4" s="47" t="s">
        <v>147</v>
      </c>
      <c r="B4" s="48" t="s">
        <v>148</v>
      </c>
      <c r="C4" s="32">
        <v>281</v>
      </c>
      <c r="D4" s="32"/>
      <c r="E4" s="48" t="s">
        <v>19</v>
      </c>
      <c r="F4" s="48" t="s">
        <v>14</v>
      </c>
      <c r="G4" s="48" t="s">
        <v>36</v>
      </c>
      <c r="H4" s="11">
        <v>10.199999999999999</v>
      </c>
      <c r="I4" s="52">
        <v>12</v>
      </c>
      <c r="J4" s="7">
        <v>1</v>
      </c>
      <c r="K4" s="10">
        <f t="shared" ref="K4" si="0">(H4*I4*J4/1000)</f>
        <v>0.12239999999999999</v>
      </c>
      <c r="L4" s="32"/>
      <c r="M4" s="32">
        <v>1</v>
      </c>
      <c r="N4" s="18">
        <f t="shared" ref="N4" si="1">I4*M4*H4/1000</f>
        <v>0.12239999999999999</v>
      </c>
      <c r="O4" s="19">
        <f t="shared" ref="O4" si="2">J4-M4</f>
        <v>0</v>
      </c>
      <c r="P4" s="13">
        <f t="shared" ref="P4" si="3">I4*O4*H4/1000</f>
        <v>0</v>
      </c>
      <c r="Q4" s="72">
        <v>11.5</v>
      </c>
      <c r="R4" s="72">
        <v>1</v>
      </c>
      <c r="S4" s="72" t="s">
        <v>191</v>
      </c>
    </row>
    <row r="7" spans="1:19">
      <c r="A7" s="42" t="s">
        <v>77</v>
      </c>
      <c r="B7" s="3" t="s">
        <v>68</v>
      </c>
      <c r="C7" s="3">
        <v>145</v>
      </c>
      <c r="D7" s="1"/>
      <c r="E7" s="20" t="s">
        <v>24</v>
      </c>
      <c r="F7" s="7" t="s">
        <v>14</v>
      </c>
      <c r="G7" s="7" t="s">
        <v>41</v>
      </c>
      <c r="H7" s="11">
        <v>11.8</v>
      </c>
      <c r="I7" s="8">
        <v>6.9</v>
      </c>
      <c r="J7" s="26">
        <v>3</v>
      </c>
      <c r="K7" s="10">
        <v>0.24426000000000006</v>
      </c>
      <c r="L7" s="4"/>
      <c r="M7" s="17">
        <v>3</v>
      </c>
      <c r="N7" s="18">
        <v>0.24426000000000006</v>
      </c>
      <c r="O7" s="19">
        <v>0</v>
      </c>
      <c r="P7" s="13">
        <v>0</v>
      </c>
      <c r="Q7" s="73">
        <v>6.75</v>
      </c>
      <c r="R7" s="74">
        <v>3</v>
      </c>
      <c r="S7" s="74" t="s">
        <v>192</v>
      </c>
    </row>
    <row r="8" spans="1:19">
      <c r="A8" s="42" t="s">
        <v>77</v>
      </c>
      <c r="B8" s="3" t="s">
        <v>68</v>
      </c>
      <c r="C8" s="3">
        <v>145</v>
      </c>
      <c r="D8" s="1"/>
      <c r="E8" s="20" t="s">
        <v>24</v>
      </c>
      <c r="F8" s="7" t="s">
        <v>14</v>
      </c>
      <c r="G8" s="7" t="s">
        <v>41</v>
      </c>
      <c r="H8" s="11">
        <v>11.8</v>
      </c>
      <c r="I8" s="8">
        <v>9.3000000000000007</v>
      </c>
      <c r="J8" s="26">
        <v>1</v>
      </c>
      <c r="K8" s="10">
        <v>0.10974</v>
      </c>
      <c r="L8" s="4"/>
      <c r="M8" s="17">
        <v>1</v>
      </c>
      <c r="N8" s="18">
        <v>0.10974</v>
      </c>
      <c r="O8" s="19">
        <v>0</v>
      </c>
      <c r="P8" s="13">
        <v>0</v>
      </c>
      <c r="Q8" s="73">
        <v>8.25</v>
      </c>
      <c r="R8" s="74">
        <v>1</v>
      </c>
      <c r="S8" s="74" t="s">
        <v>192</v>
      </c>
    </row>
    <row r="9" spans="1:19">
      <c r="A9" s="42" t="s">
        <v>90</v>
      </c>
      <c r="B9" s="3"/>
      <c r="C9" s="3">
        <v>190</v>
      </c>
      <c r="D9" s="1"/>
      <c r="E9" s="12" t="s">
        <v>19</v>
      </c>
      <c r="F9" s="7" t="s">
        <v>14</v>
      </c>
      <c r="G9" s="7" t="s">
        <v>41</v>
      </c>
      <c r="H9" s="11">
        <v>11.8</v>
      </c>
      <c r="I9" s="8">
        <v>12</v>
      </c>
      <c r="J9" s="26">
        <v>3</v>
      </c>
      <c r="K9" s="10">
        <v>0.42480000000000007</v>
      </c>
      <c r="L9" s="4"/>
      <c r="M9" s="17">
        <v>3</v>
      </c>
      <c r="N9" s="18">
        <v>0.42480000000000001</v>
      </c>
      <c r="O9" s="19">
        <v>0</v>
      </c>
      <c r="P9" s="13">
        <v>0</v>
      </c>
      <c r="Q9" s="73">
        <v>12</v>
      </c>
      <c r="R9" s="74">
        <v>3</v>
      </c>
      <c r="S9" s="74" t="s">
        <v>192</v>
      </c>
    </row>
    <row r="10" spans="1:19">
      <c r="A10" s="42" t="s">
        <v>90</v>
      </c>
      <c r="B10" s="3"/>
      <c r="C10" s="3">
        <v>190</v>
      </c>
      <c r="D10" s="1"/>
      <c r="E10" s="12" t="s">
        <v>19</v>
      </c>
      <c r="F10" s="7" t="s">
        <v>14</v>
      </c>
      <c r="G10" s="7" t="s">
        <v>41</v>
      </c>
      <c r="H10" s="11">
        <v>11.8</v>
      </c>
      <c r="I10" s="8">
        <v>9.6999999999999993</v>
      </c>
      <c r="J10" s="26">
        <v>1</v>
      </c>
      <c r="K10" s="10">
        <v>0.11445999999999999</v>
      </c>
      <c r="L10" s="4"/>
      <c r="M10" s="17">
        <v>1</v>
      </c>
      <c r="N10" s="18">
        <v>0.11445999999999999</v>
      </c>
      <c r="O10" s="19">
        <v>0</v>
      </c>
      <c r="P10" s="13">
        <v>0</v>
      </c>
      <c r="Q10" s="73">
        <v>8.25</v>
      </c>
      <c r="R10" s="74">
        <v>1</v>
      </c>
      <c r="S10" s="74" t="s">
        <v>192</v>
      </c>
    </row>
    <row r="11" spans="1:19">
      <c r="A11" s="42" t="s">
        <v>90</v>
      </c>
      <c r="B11" s="3"/>
      <c r="C11" s="3">
        <v>190</v>
      </c>
      <c r="D11" s="1"/>
      <c r="E11" s="12" t="s">
        <v>19</v>
      </c>
      <c r="F11" s="7" t="s">
        <v>14</v>
      </c>
      <c r="G11" s="7" t="s">
        <v>41</v>
      </c>
      <c r="H11" s="11">
        <v>11.8</v>
      </c>
      <c r="I11" s="8">
        <v>10</v>
      </c>
      <c r="J11" s="26">
        <v>1</v>
      </c>
      <c r="K11" s="10">
        <v>0.11799999999999999</v>
      </c>
      <c r="L11" s="4"/>
      <c r="M11" s="17">
        <v>1</v>
      </c>
      <c r="N11" s="18">
        <v>0.11799999999999999</v>
      </c>
      <c r="O11" s="19">
        <v>0</v>
      </c>
      <c r="P11" s="13">
        <v>0</v>
      </c>
      <c r="Q11" s="73">
        <v>10</v>
      </c>
      <c r="R11" s="74">
        <v>1</v>
      </c>
      <c r="S11" s="74" t="s">
        <v>192</v>
      </c>
    </row>
    <row r="12" spans="1:19">
      <c r="A12" s="42" t="s">
        <v>90</v>
      </c>
      <c r="B12" s="3"/>
      <c r="C12" s="3">
        <v>205</v>
      </c>
      <c r="D12" s="1"/>
      <c r="E12" s="30" t="s">
        <v>19</v>
      </c>
      <c r="F12" s="7" t="s">
        <v>14</v>
      </c>
      <c r="G12" s="7" t="s">
        <v>41</v>
      </c>
      <c r="H12" s="11">
        <v>11.8</v>
      </c>
      <c r="I12" s="31">
        <v>11</v>
      </c>
      <c r="J12" s="17">
        <v>1</v>
      </c>
      <c r="K12" s="10">
        <v>0.1298</v>
      </c>
      <c r="L12" s="32"/>
      <c r="M12" s="32">
        <v>1</v>
      </c>
      <c r="N12" s="18">
        <v>0.1298</v>
      </c>
      <c r="O12" s="19">
        <v>0</v>
      </c>
      <c r="P12" s="13">
        <v>0</v>
      </c>
      <c r="Q12" s="75">
        <v>10</v>
      </c>
      <c r="R12" s="72">
        <v>1</v>
      </c>
      <c r="S12" s="74" t="s">
        <v>192</v>
      </c>
    </row>
    <row r="13" spans="1:19">
      <c r="A13" s="47" t="s">
        <v>147</v>
      </c>
      <c r="B13" s="48" t="s">
        <v>148</v>
      </c>
      <c r="C13" s="32">
        <v>280</v>
      </c>
      <c r="D13" s="32"/>
      <c r="E13" s="48" t="s">
        <v>24</v>
      </c>
      <c r="F13" s="48" t="s">
        <v>14</v>
      </c>
      <c r="G13" s="48" t="s">
        <v>41</v>
      </c>
      <c r="H13" s="11">
        <v>11.8</v>
      </c>
      <c r="I13" s="52">
        <v>12</v>
      </c>
      <c r="J13" s="7">
        <v>13</v>
      </c>
      <c r="K13" s="10">
        <v>1.8408000000000002</v>
      </c>
      <c r="L13" s="32"/>
      <c r="M13" s="32">
        <v>13</v>
      </c>
      <c r="N13" s="18">
        <v>1.8408000000000002</v>
      </c>
      <c r="O13" s="19">
        <v>0</v>
      </c>
      <c r="P13" s="13">
        <v>0</v>
      </c>
      <c r="Q13" s="75">
        <v>12</v>
      </c>
      <c r="R13" s="72">
        <v>10</v>
      </c>
      <c r="S13" s="74" t="s">
        <v>192</v>
      </c>
    </row>
    <row r="14" spans="1:19">
      <c r="A14" s="45" t="s">
        <v>136</v>
      </c>
      <c r="B14" s="32" t="s">
        <v>137</v>
      </c>
      <c r="C14" s="3">
        <v>45</v>
      </c>
      <c r="D14" s="32"/>
      <c r="E14" s="20" t="s">
        <v>19</v>
      </c>
      <c r="F14" s="7" t="s">
        <v>14</v>
      </c>
      <c r="G14" s="7" t="s">
        <v>41</v>
      </c>
      <c r="H14" s="11">
        <v>11.8</v>
      </c>
      <c r="I14" s="33">
        <v>11.4</v>
      </c>
      <c r="J14" s="40">
        <v>1</v>
      </c>
      <c r="K14" s="10">
        <v>0.13452</v>
      </c>
      <c r="L14" s="4"/>
      <c r="M14" s="17">
        <v>1</v>
      </c>
      <c r="N14" s="18">
        <v>0.13452</v>
      </c>
      <c r="O14" s="19">
        <v>0</v>
      </c>
      <c r="P14" s="13">
        <v>0</v>
      </c>
      <c r="Q14" s="75">
        <v>10</v>
      </c>
      <c r="R14" s="72">
        <v>1</v>
      </c>
      <c r="S14" s="74" t="s">
        <v>192</v>
      </c>
    </row>
    <row r="15" spans="1:19">
      <c r="A15" s="45" t="s">
        <v>136</v>
      </c>
      <c r="B15" s="48" t="s">
        <v>171</v>
      </c>
      <c r="C15" s="32">
        <v>132</v>
      </c>
      <c r="D15" s="32"/>
      <c r="E15" s="48" t="s">
        <v>19</v>
      </c>
      <c r="F15" s="48" t="s">
        <v>14</v>
      </c>
      <c r="G15" s="48" t="s">
        <v>41</v>
      </c>
      <c r="H15" s="11">
        <v>11.8</v>
      </c>
      <c r="I15" s="52">
        <v>12</v>
      </c>
      <c r="J15" s="7">
        <v>1</v>
      </c>
      <c r="K15" s="10">
        <v>0.14160000000000003</v>
      </c>
      <c r="L15" s="32"/>
      <c r="M15" s="32">
        <v>1</v>
      </c>
      <c r="N15" s="18">
        <v>0.14160000000000003</v>
      </c>
      <c r="O15" s="19">
        <v>0</v>
      </c>
      <c r="P15" s="13">
        <v>0</v>
      </c>
      <c r="Q15" s="75">
        <v>12</v>
      </c>
      <c r="R15" s="72">
        <v>1</v>
      </c>
      <c r="S15" s="74" t="s">
        <v>192</v>
      </c>
    </row>
    <row r="16" spans="1:19">
      <c r="A16" s="45" t="s">
        <v>136</v>
      </c>
      <c r="B16" s="48" t="s">
        <v>171</v>
      </c>
      <c r="C16" s="32">
        <v>132</v>
      </c>
      <c r="D16" s="32"/>
      <c r="E16" s="48" t="s">
        <v>19</v>
      </c>
      <c r="F16" s="48" t="s">
        <v>14</v>
      </c>
      <c r="G16" s="48" t="s">
        <v>41</v>
      </c>
      <c r="H16" s="11">
        <v>11.8</v>
      </c>
      <c r="I16" s="52">
        <v>12.4</v>
      </c>
      <c r="J16" s="7">
        <v>2</v>
      </c>
      <c r="K16" s="10">
        <v>0.29264000000000007</v>
      </c>
      <c r="L16" s="32"/>
      <c r="M16" s="32">
        <v>2</v>
      </c>
      <c r="N16" s="18">
        <v>0.29264000000000007</v>
      </c>
      <c r="O16" s="19">
        <v>0</v>
      </c>
      <c r="P16" s="13">
        <v>0</v>
      </c>
      <c r="Q16" s="75">
        <v>12</v>
      </c>
      <c r="R16" s="72">
        <v>2</v>
      </c>
      <c r="S16" s="74" t="s">
        <v>192</v>
      </c>
    </row>
    <row r="17" spans="1:20">
      <c r="R17" s="76">
        <f>SUM(R7:R16)</f>
        <v>24</v>
      </c>
    </row>
    <row r="19" spans="1:20">
      <c r="A19" s="42" t="s">
        <v>77</v>
      </c>
      <c r="B19" s="3" t="s">
        <v>68</v>
      </c>
      <c r="C19" s="3">
        <v>64</v>
      </c>
      <c r="D19" s="1"/>
      <c r="E19" s="20" t="s">
        <v>24</v>
      </c>
      <c r="F19" s="7" t="s">
        <v>14</v>
      </c>
      <c r="G19" s="7" t="s">
        <v>44</v>
      </c>
      <c r="H19" s="11">
        <v>13.4</v>
      </c>
      <c r="I19" s="8">
        <v>6.2</v>
      </c>
      <c r="J19" s="26">
        <v>1</v>
      </c>
      <c r="K19" s="10">
        <v>8.3080000000000001E-2</v>
      </c>
      <c r="L19" s="4"/>
      <c r="M19" s="17">
        <v>1</v>
      </c>
      <c r="N19" s="18">
        <v>8.3080000000000001E-2</v>
      </c>
      <c r="O19" s="19">
        <v>0</v>
      </c>
      <c r="P19" s="13">
        <v>0</v>
      </c>
      <c r="Q19" s="73">
        <v>6.25</v>
      </c>
      <c r="R19" s="74">
        <v>1</v>
      </c>
      <c r="S19" s="74" t="s">
        <v>194</v>
      </c>
      <c r="T19" s="77"/>
    </row>
    <row r="20" spans="1:20">
      <c r="A20" s="42" t="s">
        <v>77</v>
      </c>
      <c r="B20" s="3" t="s">
        <v>68</v>
      </c>
      <c r="C20" s="3">
        <v>64</v>
      </c>
      <c r="D20" s="1"/>
      <c r="E20" s="20" t="s">
        <v>24</v>
      </c>
      <c r="F20" s="7" t="s">
        <v>14</v>
      </c>
      <c r="G20" s="7" t="s">
        <v>44</v>
      </c>
      <c r="H20" s="11">
        <v>13.4</v>
      </c>
      <c r="I20" s="8">
        <v>10</v>
      </c>
      <c r="J20" s="26">
        <v>2</v>
      </c>
      <c r="K20" s="10">
        <v>0.26800000000000002</v>
      </c>
      <c r="L20" s="4"/>
      <c r="M20" s="17">
        <v>2</v>
      </c>
      <c r="N20" s="18">
        <v>0.26800000000000002</v>
      </c>
      <c r="O20" s="19">
        <v>0</v>
      </c>
      <c r="P20" s="13">
        <v>0</v>
      </c>
      <c r="Q20" s="73">
        <v>7.5</v>
      </c>
      <c r="R20" s="74">
        <v>2</v>
      </c>
      <c r="S20" s="74" t="s">
        <v>193</v>
      </c>
      <c r="T20" s="77"/>
    </row>
    <row r="21" spans="1:20">
      <c r="A21" s="42" t="s">
        <v>77</v>
      </c>
      <c r="B21" s="3" t="s">
        <v>68</v>
      </c>
      <c r="C21" s="3">
        <v>70</v>
      </c>
      <c r="D21" s="1"/>
      <c r="E21" s="20" t="s">
        <v>24</v>
      </c>
      <c r="F21" s="7" t="s">
        <v>14</v>
      </c>
      <c r="G21" s="7" t="s">
        <v>44</v>
      </c>
      <c r="H21" s="11">
        <v>13.4</v>
      </c>
      <c r="I21" s="8">
        <v>8.0500000000000007</v>
      </c>
      <c r="J21" s="56">
        <v>2</v>
      </c>
      <c r="K21" s="10">
        <v>0.21574000000000004</v>
      </c>
      <c r="L21" s="4"/>
      <c r="M21" s="17">
        <v>2</v>
      </c>
      <c r="N21" s="18">
        <v>0.21574000000000004</v>
      </c>
      <c r="O21" s="19">
        <v>0</v>
      </c>
      <c r="P21" s="13">
        <v>0</v>
      </c>
      <c r="Q21" s="9"/>
      <c r="R21" s="2"/>
      <c r="S21" s="2"/>
    </row>
    <row r="22" spans="1:20">
      <c r="A22" s="42" t="s">
        <v>77</v>
      </c>
      <c r="B22" s="3" t="s">
        <v>68</v>
      </c>
      <c r="C22" s="3">
        <v>70</v>
      </c>
      <c r="D22" s="1"/>
      <c r="E22" s="20" t="s">
        <v>24</v>
      </c>
      <c r="F22" s="7" t="s">
        <v>14</v>
      </c>
      <c r="G22" s="7" t="s">
        <v>44</v>
      </c>
      <c r="H22" s="11">
        <v>13.4</v>
      </c>
      <c r="I22" s="8">
        <v>8.0500000000000007</v>
      </c>
      <c r="J22" s="56">
        <v>1</v>
      </c>
      <c r="K22" s="10">
        <v>0.10787000000000002</v>
      </c>
      <c r="L22" s="4"/>
      <c r="M22" s="17">
        <v>1</v>
      </c>
      <c r="N22" s="18">
        <v>0.10787000000000002</v>
      </c>
      <c r="O22" s="19">
        <v>0</v>
      </c>
      <c r="P22" s="13">
        <v>0</v>
      </c>
      <c r="Q22" s="9"/>
      <c r="R22" s="2"/>
      <c r="S22" s="2"/>
    </row>
    <row r="23" spans="1:20">
      <c r="A23" s="42" t="s">
        <v>77</v>
      </c>
      <c r="B23" s="3" t="s">
        <v>68</v>
      </c>
      <c r="C23" s="3">
        <v>70</v>
      </c>
      <c r="D23" s="1"/>
      <c r="E23" s="20" t="s">
        <v>24</v>
      </c>
      <c r="F23" s="7" t="s">
        <v>14</v>
      </c>
      <c r="G23" s="7" t="s">
        <v>44</v>
      </c>
      <c r="H23" s="11">
        <v>13.4</v>
      </c>
      <c r="I23" s="8">
        <v>8.5500000000000007</v>
      </c>
      <c r="J23" s="56">
        <v>3</v>
      </c>
      <c r="K23" s="10">
        <v>0.34371000000000002</v>
      </c>
      <c r="L23" s="4"/>
      <c r="M23" s="17">
        <v>3</v>
      </c>
      <c r="N23" s="18">
        <v>0.34371000000000002</v>
      </c>
      <c r="O23" s="19">
        <v>0</v>
      </c>
      <c r="P23" s="13">
        <v>0</v>
      </c>
      <c r="Q23" s="9"/>
      <c r="R23" s="2"/>
      <c r="S23" s="2"/>
    </row>
    <row r="24" spans="1:20">
      <c r="A24" s="42" t="s">
        <v>77</v>
      </c>
      <c r="B24" s="3" t="s">
        <v>68</v>
      </c>
      <c r="C24" s="3">
        <v>70</v>
      </c>
      <c r="D24" s="1"/>
      <c r="E24" s="20" t="s">
        <v>24</v>
      </c>
      <c r="F24" s="7" t="s">
        <v>14</v>
      </c>
      <c r="G24" s="7" t="s">
        <v>44</v>
      </c>
      <c r="H24" s="11">
        <v>13.4</v>
      </c>
      <c r="I24" s="8">
        <v>8.0500000000000007</v>
      </c>
      <c r="J24" s="56">
        <v>3</v>
      </c>
      <c r="K24" s="10">
        <v>0.32361000000000006</v>
      </c>
      <c r="L24" s="4"/>
      <c r="M24" s="17">
        <v>3</v>
      </c>
      <c r="N24" s="18">
        <v>0.32361000000000001</v>
      </c>
      <c r="O24" s="19">
        <v>0</v>
      </c>
      <c r="P24" s="13">
        <v>0</v>
      </c>
      <c r="Q24" s="9"/>
      <c r="R24" s="2"/>
      <c r="S24" s="2"/>
    </row>
    <row r="25" spans="1:20">
      <c r="A25" s="42" t="s">
        <v>78</v>
      </c>
      <c r="B25" s="3"/>
      <c r="C25" s="3">
        <v>42</v>
      </c>
      <c r="D25" s="1"/>
      <c r="E25" s="20" t="s">
        <v>24</v>
      </c>
      <c r="F25" s="7" t="s">
        <v>14</v>
      </c>
      <c r="G25" s="7" t="s">
        <v>44</v>
      </c>
      <c r="H25" s="11">
        <v>13.4</v>
      </c>
      <c r="I25" s="8">
        <v>12</v>
      </c>
      <c r="J25" s="26">
        <v>13</v>
      </c>
      <c r="K25" s="10">
        <v>2.0904000000000003</v>
      </c>
      <c r="L25" s="4"/>
      <c r="M25" s="17">
        <v>13</v>
      </c>
      <c r="N25" s="18">
        <v>2.0904000000000003</v>
      </c>
      <c r="O25" s="19">
        <v>0</v>
      </c>
      <c r="P25" s="13">
        <v>0</v>
      </c>
      <c r="Q25" s="9"/>
      <c r="R25" s="2"/>
      <c r="S25" s="2"/>
    </row>
    <row r="26" spans="1:20">
      <c r="A26" s="42" t="s">
        <v>78</v>
      </c>
      <c r="B26" s="3"/>
      <c r="C26" s="3">
        <v>43</v>
      </c>
      <c r="D26" s="1"/>
      <c r="E26" s="20" t="s">
        <v>24</v>
      </c>
      <c r="F26" s="7" t="s">
        <v>14</v>
      </c>
      <c r="G26" s="7" t="s">
        <v>44</v>
      </c>
      <c r="H26" s="11">
        <v>13.4</v>
      </c>
      <c r="I26" s="8">
        <v>11.2</v>
      </c>
      <c r="J26" s="26">
        <v>3</v>
      </c>
      <c r="K26" s="10">
        <v>0.45023999999999997</v>
      </c>
      <c r="L26" s="4"/>
      <c r="M26" s="17"/>
      <c r="N26" s="18">
        <v>0</v>
      </c>
      <c r="O26" s="19">
        <v>3</v>
      </c>
      <c r="P26" s="13">
        <v>0.45023999999999997</v>
      </c>
      <c r="Q26" s="9"/>
      <c r="R26" s="2"/>
      <c r="S26" s="2"/>
    </row>
    <row r="27" spans="1:20">
      <c r="A27" s="42" t="s">
        <v>78</v>
      </c>
      <c r="B27" s="3"/>
      <c r="C27" s="3">
        <v>43</v>
      </c>
      <c r="D27" s="1"/>
      <c r="E27" s="20" t="s">
        <v>24</v>
      </c>
      <c r="F27" s="7" t="s">
        <v>14</v>
      </c>
      <c r="G27" s="7" t="s">
        <v>44</v>
      </c>
      <c r="H27" s="11">
        <v>13.4</v>
      </c>
      <c r="I27" s="8">
        <v>11.6</v>
      </c>
      <c r="J27" s="26">
        <v>1</v>
      </c>
      <c r="K27" s="10">
        <v>0.15543999999999999</v>
      </c>
      <c r="L27" s="4"/>
      <c r="M27" s="17">
        <v>1</v>
      </c>
      <c r="N27" s="18">
        <v>0.15543999999999999</v>
      </c>
      <c r="O27" s="19">
        <v>0</v>
      </c>
      <c r="P27" s="13">
        <v>0</v>
      </c>
      <c r="Q27" s="9"/>
      <c r="R27" s="2"/>
      <c r="S27" s="2"/>
    </row>
    <row r="28" spans="1:20">
      <c r="A28" s="47" t="s">
        <v>147</v>
      </c>
      <c r="B28" s="48" t="s">
        <v>148</v>
      </c>
      <c r="C28" s="32">
        <v>362</v>
      </c>
      <c r="D28" s="32"/>
      <c r="E28" s="48" t="s">
        <v>24</v>
      </c>
      <c r="F28" s="48" t="s">
        <v>14</v>
      </c>
      <c r="G28" s="48" t="s">
        <v>44</v>
      </c>
      <c r="H28" s="11">
        <v>13.4</v>
      </c>
      <c r="I28" s="8">
        <v>10.199999999999999</v>
      </c>
      <c r="J28" s="7">
        <v>3</v>
      </c>
      <c r="K28" s="10">
        <v>0.41004000000000002</v>
      </c>
      <c r="L28" s="32"/>
      <c r="M28" s="32"/>
      <c r="N28" s="18">
        <v>0</v>
      </c>
      <c r="O28" s="19">
        <v>3</v>
      </c>
      <c r="P28" s="13">
        <v>0.41003999999999996</v>
      </c>
      <c r="Q28" s="32"/>
      <c r="R28" s="32"/>
      <c r="S28" s="32"/>
    </row>
    <row r="29" spans="1:20">
      <c r="R29" s="76">
        <f>SUM(R19:R28)</f>
        <v>3</v>
      </c>
    </row>
    <row r="31" spans="1:20">
      <c r="A31" s="42" t="s">
        <v>90</v>
      </c>
      <c r="B31" s="48" t="s">
        <v>148</v>
      </c>
      <c r="C31" s="32">
        <v>41</v>
      </c>
      <c r="D31" s="32"/>
      <c r="E31" s="48" t="s">
        <v>155</v>
      </c>
      <c r="F31" s="48" t="s">
        <v>15</v>
      </c>
      <c r="G31" s="48" t="s">
        <v>44</v>
      </c>
      <c r="H31" s="11">
        <v>13.4</v>
      </c>
      <c r="I31" s="52">
        <v>9.5</v>
      </c>
      <c r="J31" s="7">
        <v>2</v>
      </c>
      <c r="K31" s="10">
        <v>0.25459999999999999</v>
      </c>
      <c r="L31" s="32"/>
      <c r="M31" s="32"/>
      <c r="N31" s="18">
        <v>0</v>
      </c>
      <c r="O31" s="19">
        <v>2</v>
      </c>
      <c r="P31" s="13">
        <v>0.25459999999999999</v>
      </c>
      <c r="Q31" s="32"/>
      <c r="R31" s="32"/>
      <c r="S31" s="32"/>
    </row>
    <row r="32" spans="1:20">
      <c r="A32" s="42" t="s">
        <v>90</v>
      </c>
      <c r="B32" s="3"/>
      <c r="C32" s="3">
        <v>160</v>
      </c>
      <c r="D32" s="1"/>
      <c r="E32" s="12" t="s">
        <v>20</v>
      </c>
      <c r="F32" s="7" t="s">
        <v>15</v>
      </c>
      <c r="G32" s="7" t="s">
        <v>44</v>
      </c>
      <c r="H32" s="11">
        <v>13.4</v>
      </c>
      <c r="I32" s="8">
        <v>10.3</v>
      </c>
      <c r="J32" s="26">
        <v>1</v>
      </c>
      <c r="K32" s="10">
        <v>0.13802</v>
      </c>
      <c r="L32" s="4"/>
      <c r="M32" s="17"/>
      <c r="N32" s="18">
        <v>0</v>
      </c>
      <c r="O32" s="19">
        <v>1</v>
      </c>
      <c r="P32" s="13">
        <v>0.13802</v>
      </c>
      <c r="Q32" s="9"/>
      <c r="R32" s="2"/>
      <c r="S32" s="2"/>
    </row>
    <row r="33" spans="1:19">
      <c r="A33" s="42" t="s">
        <v>90</v>
      </c>
      <c r="B33" s="3"/>
      <c r="C33" s="3">
        <v>170</v>
      </c>
      <c r="D33" s="1"/>
      <c r="E33" s="12" t="s">
        <v>20</v>
      </c>
      <c r="F33" s="7" t="s">
        <v>15</v>
      </c>
      <c r="G33" s="7" t="s">
        <v>44</v>
      </c>
      <c r="H33" s="11">
        <v>13.4</v>
      </c>
      <c r="I33" s="8">
        <v>10.5</v>
      </c>
      <c r="J33" s="26">
        <v>2</v>
      </c>
      <c r="K33" s="10">
        <v>0.28140000000000004</v>
      </c>
      <c r="L33" s="4"/>
      <c r="M33" s="17"/>
      <c r="N33" s="18">
        <v>0</v>
      </c>
      <c r="O33" s="19">
        <v>2</v>
      </c>
      <c r="P33" s="13">
        <v>0.28140000000000004</v>
      </c>
      <c r="Q33" s="9"/>
      <c r="R33" s="2"/>
      <c r="S33" s="2"/>
    </row>
    <row r="34" spans="1:19">
      <c r="A34" s="42" t="s">
        <v>90</v>
      </c>
      <c r="B34" s="3"/>
      <c r="C34" s="3">
        <v>170</v>
      </c>
      <c r="D34" s="1"/>
      <c r="E34" s="12" t="s">
        <v>20</v>
      </c>
      <c r="F34" s="7" t="s">
        <v>15</v>
      </c>
      <c r="G34" s="7" t="s">
        <v>44</v>
      </c>
      <c r="H34" s="11">
        <v>13.4</v>
      </c>
      <c r="I34" s="8">
        <v>12</v>
      </c>
      <c r="J34" s="26">
        <v>1</v>
      </c>
      <c r="K34" s="10">
        <v>0.1608</v>
      </c>
      <c r="L34" s="4"/>
      <c r="M34" s="22"/>
      <c r="N34" s="18">
        <v>0</v>
      </c>
      <c r="O34" s="19">
        <v>1</v>
      </c>
      <c r="P34" s="13">
        <v>0.1608</v>
      </c>
      <c r="Q34" s="9"/>
      <c r="R34" s="2"/>
      <c r="S34" s="2"/>
    </row>
    <row r="35" spans="1:19">
      <c r="A35" s="42" t="s">
        <v>90</v>
      </c>
      <c r="B35" s="3"/>
      <c r="C35" s="3">
        <v>176</v>
      </c>
      <c r="D35" s="1"/>
      <c r="E35" s="20" t="s">
        <v>20</v>
      </c>
      <c r="F35" s="7" t="s">
        <v>15</v>
      </c>
      <c r="G35" s="7" t="s">
        <v>44</v>
      </c>
      <c r="H35" s="11">
        <v>13.4</v>
      </c>
      <c r="I35" s="8">
        <v>9</v>
      </c>
      <c r="J35" s="26">
        <v>2</v>
      </c>
      <c r="K35" s="10">
        <v>0.24120000000000003</v>
      </c>
      <c r="L35" s="4"/>
      <c r="M35" s="17"/>
      <c r="N35" s="18">
        <v>0</v>
      </c>
      <c r="O35" s="19">
        <v>2</v>
      </c>
      <c r="P35" s="13">
        <v>0.24120000000000003</v>
      </c>
      <c r="Q35" s="9"/>
      <c r="R35" s="2"/>
      <c r="S35" s="2"/>
    </row>
    <row r="36" spans="1:19">
      <c r="A36" s="42" t="s">
        <v>90</v>
      </c>
      <c r="B36" s="3"/>
      <c r="C36" s="3">
        <v>177</v>
      </c>
      <c r="D36" s="1"/>
      <c r="E36" s="20" t="s">
        <v>20</v>
      </c>
      <c r="F36" s="7" t="s">
        <v>15</v>
      </c>
      <c r="G36" s="7" t="s">
        <v>44</v>
      </c>
      <c r="H36" s="11">
        <v>13.4</v>
      </c>
      <c r="I36" s="8">
        <v>6.5</v>
      </c>
      <c r="J36" s="26">
        <v>3</v>
      </c>
      <c r="K36" s="10">
        <v>0.26130000000000003</v>
      </c>
      <c r="L36" s="4"/>
      <c r="M36" s="17"/>
      <c r="N36" s="18">
        <v>0</v>
      </c>
      <c r="O36" s="19">
        <v>3</v>
      </c>
      <c r="P36" s="13">
        <v>0.26130000000000003</v>
      </c>
      <c r="Q36" s="9"/>
      <c r="R36" s="2"/>
      <c r="S36" s="2"/>
    </row>
    <row r="37" spans="1:19">
      <c r="A37" s="42" t="s">
        <v>90</v>
      </c>
      <c r="B37" s="3"/>
      <c r="C37" s="3">
        <v>177</v>
      </c>
      <c r="D37" s="1"/>
      <c r="E37" s="20" t="s">
        <v>20</v>
      </c>
      <c r="F37" s="7" t="s">
        <v>15</v>
      </c>
      <c r="G37" s="7" t="s">
        <v>44</v>
      </c>
      <c r="H37" s="11">
        <v>13.4</v>
      </c>
      <c r="I37" s="8">
        <v>6.4</v>
      </c>
      <c r="J37" s="26">
        <v>2</v>
      </c>
      <c r="K37" s="10">
        <v>0.17152000000000001</v>
      </c>
      <c r="L37" s="4"/>
      <c r="M37" s="17"/>
      <c r="N37" s="18">
        <v>0</v>
      </c>
      <c r="O37" s="19">
        <v>2</v>
      </c>
      <c r="P37" s="13">
        <v>0.17152000000000001</v>
      </c>
      <c r="Q37" s="9"/>
      <c r="R37" s="2"/>
      <c r="S37" s="2"/>
    </row>
    <row r="38" spans="1:19">
      <c r="A38" s="42" t="s">
        <v>90</v>
      </c>
      <c r="B38" s="3"/>
      <c r="C38" s="3">
        <v>183</v>
      </c>
      <c r="D38" s="1"/>
      <c r="E38" s="12" t="s">
        <v>20</v>
      </c>
      <c r="F38" s="7" t="s">
        <v>15</v>
      </c>
      <c r="G38" s="7" t="s">
        <v>44</v>
      </c>
      <c r="H38" s="11">
        <v>13.4</v>
      </c>
      <c r="I38" s="8">
        <v>11</v>
      </c>
      <c r="J38" s="26">
        <v>1</v>
      </c>
      <c r="K38" s="10">
        <v>0.1474</v>
      </c>
      <c r="L38" s="4"/>
      <c r="M38" s="17">
        <v>1</v>
      </c>
      <c r="N38" s="18">
        <v>0.1474</v>
      </c>
      <c r="O38" s="19">
        <v>0</v>
      </c>
      <c r="P38" s="13">
        <v>0</v>
      </c>
      <c r="Q38" s="73">
        <v>10.6</v>
      </c>
      <c r="R38" s="74">
        <v>1</v>
      </c>
      <c r="S38" s="72" t="s">
        <v>195</v>
      </c>
    </row>
    <row r="39" spans="1:19">
      <c r="A39" s="42" t="s">
        <v>90</v>
      </c>
      <c r="B39" s="3"/>
      <c r="C39" s="3">
        <v>183</v>
      </c>
      <c r="D39" s="1"/>
      <c r="E39" s="12" t="s">
        <v>20</v>
      </c>
      <c r="F39" s="7" t="s">
        <v>15</v>
      </c>
      <c r="G39" s="7" t="s">
        <v>44</v>
      </c>
      <c r="H39" s="11">
        <v>13.4</v>
      </c>
      <c r="I39" s="8">
        <v>11.7</v>
      </c>
      <c r="J39" s="26">
        <v>1</v>
      </c>
      <c r="K39" s="10">
        <v>0.15678</v>
      </c>
      <c r="L39" s="4"/>
      <c r="M39" s="17"/>
      <c r="N39" s="18">
        <v>0</v>
      </c>
      <c r="O39" s="19">
        <v>1</v>
      </c>
      <c r="P39" s="13">
        <v>0.15678</v>
      </c>
      <c r="Q39" s="9"/>
      <c r="R39" s="2"/>
      <c r="S39" s="2"/>
    </row>
    <row r="40" spans="1:19">
      <c r="A40" s="42" t="s">
        <v>90</v>
      </c>
      <c r="B40" s="3"/>
      <c r="C40" s="3">
        <v>184</v>
      </c>
      <c r="D40" s="1"/>
      <c r="E40" s="12" t="s">
        <v>20</v>
      </c>
      <c r="F40" s="7" t="s">
        <v>15</v>
      </c>
      <c r="G40" s="7" t="s">
        <v>44</v>
      </c>
      <c r="H40" s="11">
        <v>13.4</v>
      </c>
      <c r="I40" s="8">
        <v>12</v>
      </c>
      <c r="J40" s="26">
        <v>3</v>
      </c>
      <c r="K40" s="10">
        <v>0.48240000000000005</v>
      </c>
      <c r="L40" s="4"/>
      <c r="M40" s="17">
        <v>3</v>
      </c>
      <c r="N40" s="18">
        <v>0.48240000000000005</v>
      </c>
      <c r="O40" s="19">
        <v>0</v>
      </c>
      <c r="P40" s="13">
        <v>0</v>
      </c>
      <c r="Q40" s="73">
        <v>10.6</v>
      </c>
      <c r="R40" s="74">
        <v>3</v>
      </c>
      <c r="S40" s="72" t="s">
        <v>195</v>
      </c>
    </row>
    <row r="41" spans="1:19">
      <c r="A41" s="42" t="s">
        <v>90</v>
      </c>
      <c r="B41" s="3"/>
      <c r="C41" s="3">
        <v>191</v>
      </c>
      <c r="D41" s="1" t="s">
        <v>102</v>
      </c>
      <c r="E41" s="12" t="s">
        <v>76</v>
      </c>
      <c r="F41" s="7" t="s">
        <v>15</v>
      </c>
      <c r="G41" s="7" t="s">
        <v>44</v>
      </c>
      <c r="H41" s="11">
        <v>13.4</v>
      </c>
      <c r="I41" s="8">
        <v>9.9</v>
      </c>
      <c r="J41" s="26">
        <v>1</v>
      </c>
      <c r="K41" s="10">
        <v>0.13266</v>
      </c>
      <c r="L41" s="4"/>
      <c r="M41" s="17"/>
      <c r="N41" s="18">
        <v>0</v>
      </c>
      <c r="O41" s="19">
        <v>1</v>
      </c>
      <c r="P41" s="13">
        <v>0.13266</v>
      </c>
      <c r="Q41" s="9"/>
      <c r="R41" s="2"/>
      <c r="S41" s="2"/>
    </row>
    <row r="42" spans="1:19">
      <c r="A42" s="42" t="s">
        <v>90</v>
      </c>
      <c r="B42" s="3"/>
      <c r="C42" s="3">
        <v>191</v>
      </c>
      <c r="D42" s="1" t="s">
        <v>102</v>
      </c>
      <c r="E42" s="12" t="s">
        <v>76</v>
      </c>
      <c r="F42" s="7" t="s">
        <v>15</v>
      </c>
      <c r="G42" s="7" t="s">
        <v>44</v>
      </c>
      <c r="H42" s="11">
        <v>13.4</v>
      </c>
      <c r="I42" s="8">
        <v>9.5</v>
      </c>
      <c r="J42" s="26">
        <v>1</v>
      </c>
      <c r="K42" s="10">
        <v>0.1273</v>
      </c>
      <c r="L42" s="4"/>
      <c r="M42" s="17"/>
      <c r="N42" s="18">
        <v>0</v>
      </c>
      <c r="O42" s="19">
        <v>1</v>
      </c>
      <c r="P42" s="13">
        <v>0.1273</v>
      </c>
      <c r="Q42" s="9"/>
      <c r="R42" s="2"/>
      <c r="S42" s="2"/>
    </row>
    <row r="43" spans="1:19">
      <c r="A43" s="47" t="s">
        <v>147</v>
      </c>
      <c r="B43" s="48" t="s">
        <v>148</v>
      </c>
      <c r="C43" s="32">
        <v>339</v>
      </c>
      <c r="D43" s="32"/>
      <c r="E43" s="48" t="s">
        <v>163</v>
      </c>
      <c r="F43" s="48" t="s">
        <v>160</v>
      </c>
      <c r="G43" s="48" t="s">
        <v>44</v>
      </c>
      <c r="H43" s="11">
        <v>13.4</v>
      </c>
      <c r="I43" s="52">
        <v>9.1999999999999993</v>
      </c>
      <c r="J43" s="7">
        <v>14</v>
      </c>
      <c r="K43" s="10">
        <v>1.7259199999999999</v>
      </c>
      <c r="L43" s="32"/>
      <c r="M43" s="32">
        <v>14</v>
      </c>
      <c r="N43" s="18">
        <v>1.7259199999999999</v>
      </c>
      <c r="O43" s="19">
        <v>0</v>
      </c>
      <c r="P43" s="13">
        <v>0</v>
      </c>
      <c r="Q43" s="32"/>
      <c r="R43" s="32"/>
      <c r="S43" s="32"/>
    </row>
    <row r="44" spans="1:19">
      <c r="A44" s="47" t="s">
        <v>147</v>
      </c>
      <c r="B44" s="48" t="s">
        <v>148</v>
      </c>
      <c r="C44" s="32">
        <v>280</v>
      </c>
      <c r="D44" s="32"/>
      <c r="E44" s="69" t="s">
        <v>20</v>
      </c>
      <c r="F44" s="69" t="s">
        <v>160</v>
      </c>
      <c r="G44" s="69" t="s">
        <v>44</v>
      </c>
      <c r="H44" s="61">
        <v>13.4</v>
      </c>
      <c r="I44" s="70">
        <v>7.8</v>
      </c>
      <c r="J44" s="60">
        <v>1</v>
      </c>
      <c r="K44" s="62">
        <v>0.10452</v>
      </c>
      <c r="L44" s="67" t="s">
        <v>46</v>
      </c>
      <c r="M44" s="67"/>
      <c r="N44" s="63">
        <v>0</v>
      </c>
      <c r="O44" s="64">
        <v>1</v>
      </c>
      <c r="P44" s="65">
        <v>0.10452</v>
      </c>
      <c r="Q44" s="32"/>
      <c r="R44" s="32"/>
      <c r="S44" s="32"/>
    </row>
    <row r="45" spans="1:19">
      <c r="A45" s="47" t="s">
        <v>147</v>
      </c>
      <c r="B45" s="48" t="s">
        <v>148</v>
      </c>
      <c r="C45" s="32">
        <v>280</v>
      </c>
      <c r="D45" s="32"/>
      <c r="E45" s="69" t="s">
        <v>20</v>
      </c>
      <c r="F45" s="69" t="s">
        <v>160</v>
      </c>
      <c r="G45" s="69" t="s">
        <v>44</v>
      </c>
      <c r="H45" s="61">
        <v>13.4</v>
      </c>
      <c r="I45" s="70">
        <v>10.9</v>
      </c>
      <c r="J45" s="60">
        <v>1</v>
      </c>
      <c r="K45" s="62">
        <v>0.14606</v>
      </c>
      <c r="L45" s="67" t="s">
        <v>46</v>
      </c>
      <c r="M45" s="67"/>
      <c r="N45" s="63">
        <v>0</v>
      </c>
      <c r="O45" s="64">
        <v>1</v>
      </c>
      <c r="P45" s="65">
        <v>0.14606</v>
      </c>
      <c r="Q45" s="32"/>
      <c r="R45" s="32"/>
      <c r="S45" s="32"/>
    </row>
    <row r="46" spans="1:19">
      <c r="A46" s="44" t="s">
        <v>78</v>
      </c>
      <c r="B46" s="3" t="s">
        <v>80</v>
      </c>
      <c r="C46" s="3">
        <v>13</v>
      </c>
      <c r="D46" s="1"/>
      <c r="E46" s="20" t="s">
        <v>76</v>
      </c>
      <c r="F46" s="7" t="s">
        <v>15</v>
      </c>
      <c r="G46" s="7" t="s">
        <v>44</v>
      </c>
      <c r="H46" s="11">
        <v>13.4</v>
      </c>
      <c r="I46" s="8">
        <v>8.6999999999999993</v>
      </c>
      <c r="J46" s="26">
        <v>3</v>
      </c>
      <c r="K46" s="10">
        <v>0.34974</v>
      </c>
      <c r="L46" s="4"/>
      <c r="M46" s="17"/>
      <c r="N46" s="18">
        <v>0</v>
      </c>
      <c r="O46" s="19">
        <v>3</v>
      </c>
      <c r="P46" s="13">
        <v>0.34974</v>
      </c>
      <c r="Q46" s="9"/>
      <c r="R46" s="32"/>
      <c r="S46" s="32"/>
    </row>
    <row r="47" spans="1:19">
      <c r="A47" s="44" t="s">
        <v>78</v>
      </c>
      <c r="B47" s="3" t="s">
        <v>80</v>
      </c>
      <c r="C47" s="3">
        <v>13</v>
      </c>
      <c r="D47" s="1"/>
      <c r="E47" s="20" t="s">
        <v>76</v>
      </c>
      <c r="F47" s="7" t="s">
        <v>15</v>
      </c>
      <c r="G47" s="7" t="s">
        <v>44</v>
      </c>
      <c r="H47" s="11">
        <v>13.4</v>
      </c>
      <c r="I47" s="8">
        <v>8.5</v>
      </c>
      <c r="J47" s="26">
        <v>1</v>
      </c>
      <c r="K47" s="10">
        <v>0.1139</v>
      </c>
      <c r="L47" s="4"/>
      <c r="M47" s="17"/>
      <c r="N47" s="18">
        <v>0</v>
      </c>
      <c r="O47" s="19">
        <v>1</v>
      </c>
      <c r="P47" s="13">
        <v>0.1139</v>
      </c>
      <c r="Q47" s="9"/>
      <c r="R47" s="32"/>
      <c r="S47" s="32"/>
    </row>
    <row r="48" spans="1:19">
      <c r="A48" s="44" t="s">
        <v>78</v>
      </c>
      <c r="B48" s="3" t="s">
        <v>80</v>
      </c>
      <c r="C48" s="3">
        <v>13</v>
      </c>
      <c r="D48" s="1"/>
      <c r="E48" s="20" t="s">
        <v>76</v>
      </c>
      <c r="F48" s="7" t="s">
        <v>15</v>
      </c>
      <c r="G48" s="7" t="s">
        <v>44</v>
      </c>
      <c r="H48" s="11">
        <v>13.4</v>
      </c>
      <c r="I48" s="8">
        <v>8.3000000000000007</v>
      </c>
      <c r="J48" s="26">
        <v>2</v>
      </c>
      <c r="K48" s="10">
        <v>0.22244000000000003</v>
      </c>
      <c r="L48" s="4"/>
      <c r="M48" s="17"/>
      <c r="N48" s="18">
        <v>0</v>
      </c>
      <c r="O48" s="19">
        <v>2</v>
      </c>
      <c r="P48" s="13">
        <v>0.22244000000000003</v>
      </c>
      <c r="Q48" s="9"/>
      <c r="R48" s="32"/>
      <c r="S48" s="32"/>
    </row>
    <row r="49" spans="1:19">
      <c r="A49" s="44" t="s">
        <v>78</v>
      </c>
      <c r="B49" s="3" t="s">
        <v>80</v>
      </c>
      <c r="C49" s="3">
        <v>13</v>
      </c>
      <c r="D49" s="1"/>
      <c r="E49" s="20" t="s">
        <v>76</v>
      </c>
      <c r="F49" s="7" t="s">
        <v>15</v>
      </c>
      <c r="G49" s="7" t="s">
        <v>44</v>
      </c>
      <c r="H49" s="11">
        <v>13.4</v>
      </c>
      <c r="I49" s="8">
        <v>8.1</v>
      </c>
      <c r="J49" s="26">
        <v>2</v>
      </c>
      <c r="K49" s="10">
        <v>0.21708</v>
      </c>
      <c r="L49" s="4"/>
      <c r="M49" s="17"/>
      <c r="N49" s="18">
        <v>0</v>
      </c>
      <c r="O49" s="19">
        <v>2</v>
      </c>
      <c r="P49" s="13">
        <v>0.21708</v>
      </c>
      <c r="Q49" s="9"/>
      <c r="R49" s="32"/>
      <c r="S49" s="32"/>
    </row>
    <row r="50" spans="1:19">
      <c r="A50" s="44" t="s">
        <v>78</v>
      </c>
      <c r="B50" s="3" t="s">
        <v>80</v>
      </c>
      <c r="C50" s="3">
        <v>13</v>
      </c>
      <c r="D50" s="1"/>
      <c r="E50" s="20" t="s">
        <v>76</v>
      </c>
      <c r="F50" s="7" t="s">
        <v>15</v>
      </c>
      <c r="G50" s="7" t="s">
        <v>44</v>
      </c>
      <c r="H50" s="11">
        <v>13.4</v>
      </c>
      <c r="I50" s="8">
        <v>6.4</v>
      </c>
      <c r="J50" s="26">
        <v>1</v>
      </c>
      <c r="K50" s="10">
        <v>8.5760000000000003E-2</v>
      </c>
      <c r="L50" s="4"/>
      <c r="M50" s="17"/>
      <c r="N50" s="18">
        <v>0</v>
      </c>
      <c r="O50" s="19">
        <v>1</v>
      </c>
      <c r="P50" s="13">
        <v>8.5760000000000003E-2</v>
      </c>
      <c r="Q50" s="9"/>
      <c r="R50" s="32"/>
      <c r="S50" s="32"/>
    </row>
    <row r="51" spans="1:19">
      <c r="A51" s="44" t="s">
        <v>78</v>
      </c>
      <c r="B51" s="32" t="s">
        <v>109</v>
      </c>
      <c r="C51" s="3">
        <v>3</v>
      </c>
      <c r="D51" s="1"/>
      <c r="E51" s="20" t="s">
        <v>20</v>
      </c>
      <c r="F51" s="7" t="s">
        <v>15</v>
      </c>
      <c r="G51" s="7" t="s">
        <v>44</v>
      </c>
      <c r="H51" s="11">
        <v>13.4</v>
      </c>
      <c r="I51" s="33">
        <v>12</v>
      </c>
      <c r="J51" s="40">
        <v>3</v>
      </c>
      <c r="K51" s="10">
        <v>0.48240000000000005</v>
      </c>
      <c r="L51" s="4"/>
      <c r="M51" s="17">
        <v>3</v>
      </c>
      <c r="N51" s="18">
        <v>0.48240000000000005</v>
      </c>
      <c r="O51" s="19">
        <v>0</v>
      </c>
      <c r="P51" s="13">
        <v>0</v>
      </c>
      <c r="Q51" s="72">
        <v>10.6</v>
      </c>
      <c r="R51" s="72">
        <v>3</v>
      </c>
      <c r="S51" s="72" t="s">
        <v>195</v>
      </c>
    </row>
    <row r="52" spans="1:19">
      <c r="A52" s="44" t="s">
        <v>78</v>
      </c>
      <c r="B52" s="32" t="s">
        <v>109</v>
      </c>
      <c r="C52" s="3">
        <v>3</v>
      </c>
      <c r="D52" s="1"/>
      <c r="E52" s="20" t="s">
        <v>20</v>
      </c>
      <c r="F52" s="7" t="s">
        <v>15</v>
      </c>
      <c r="G52" s="7" t="s">
        <v>44</v>
      </c>
      <c r="H52" s="11">
        <v>13.4</v>
      </c>
      <c r="I52" s="55">
        <v>7.6</v>
      </c>
      <c r="J52" s="40">
        <v>2</v>
      </c>
      <c r="K52" s="10">
        <v>0.20368</v>
      </c>
      <c r="L52" s="4"/>
      <c r="M52" s="17"/>
      <c r="N52" s="18">
        <v>0</v>
      </c>
      <c r="O52" s="19">
        <v>2</v>
      </c>
      <c r="P52" s="13">
        <v>0.20368</v>
      </c>
      <c r="Q52" s="32"/>
      <c r="R52" s="32"/>
      <c r="S52" s="32"/>
    </row>
    <row r="53" spans="1:19">
      <c r="A53" s="44" t="s">
        <v>78</v>
      </c>
      <c r="B53" s="32" t="s">
        <v>109</v>
      </c>
      <c r="C53" s="3">
        <v>3</v>
      </c>
      <c r="D53" s="1"/>
      <c r="E53" s="20" t="s">
        <v>20</v>
      </c>
      <c r="F53" s="7" t="s">
        <v>15</v>
      </c>
      <c r="G53" s="7" t="s">
        <v>44</v>
      </c>
      <c r="H53" s="11">
        <v>13.4</v>
      </c>
      <c r="I53" s="55">
        <v>11.5</v>
      </c>
      <c r="J53" s="40">
        <v>1</v>
      </c>
      <c r="K53" s="10">
        <v>0.15409999999999999</v>
      </c>
      <c r="L53" s="4"/>
      <c r="M53" s="17">
        <v>1</v>
      </c>
      <c r="N53" s="18">
        <v>0.15409999999999999</v>
      </c>
      <c r="O53" s="19">
        <v>0</v>
      </c>
      <c r="P53" s="13">
        <v>0</v>
      </c>
      <c r="Q53" s="72">
        <v>10.6</v>
      </c>
      <c r="R53" s="72">
        <v>1</v>
      </c>
      <c r="S53" s="72" t="s">
        <v>195</v>
      </c>
    </row>
    <row r="54" spans="1:19">
      <c r="A54" s="44" t="s">
        <v>78</v>
      </c>
      <c r="B54" s="32" t="s">
        <v>109</v>
      </c>
      <c r="C54" s="3">
        <v>3</v>
      </c>
      <c r="D54" s="1"/>
      <c r="E54" s="20" t="s">
        <v>20</v>
      </c>
      <c r="F54" s="7" t="s">
        <v>15</v>
      </c>
      <c r="G54" s="7" t="s">
        <v>44</v>
      </c>
      <c r="H54" s="11">
        <v>13.4</v>
      </c>
      <c r="I54" s="55">
        <v>6.8</v>
      </c>
      <c r="J54" s="40">
        <v>1</v>
      </c>
      <c r="K54" s="10">
        <v>9.1120000000000007E-2</v>
      </c>
      <c r="L54" s="4"/>
      <c r="M54" s="17"/>
      <c r="N54" s="18">
        <v>0</v>
      </c>
      <c r="O54" s="19">
        <v>1</v>
      </c>
      <c r="P54" s="13">
        <v>9.1120000000000007E-2</v>
      </c>
      <c r="Q54" s="32"/>
      <c r="R54" s="32"/>
      <c r="S54" s="32"/>
    </row>
    <row r="55" spans="1:19">
      <c r="A55" s="45" t="s">
        <v>136</v>
      </c>
      <c r="B55" s="32" t="s">
        <v>137</v>
      </c>
      <c r="C55" s="3">
        <v>38</v>
      </c>
      <c r="D55" s="32"/>
      <c r="E55" s="20" t="s">
        <v>113</v>
      </c>
      <c r="F55" s="7" t="s">
        <v>15</v>
      </c>
      <c r="G55" s="7" t="s">
        <v>44</v>
      </c>
      <c r="H55" s="11">
        <v>13.4</v>
      </c>
      <c r="I55" s="55">
        <v>11.75</v>
      </c>
      <c r="J55" s="40">
        <v>1</v>
      </c>
      <c r="K55" s="10">
        <v>0.15745000000000001</v>
      </c>
      <c r="L55" s="4"/>
      <c r="M55" s="17"/>
      <c r="N55" s="18">
        <v>0</v>
      </c>
      <c r="O55" s="19">
        <v>1</v>
      </c>
      <c r="P55" s="13">
        <v>0.15745000000000001</v>
      </c>
      <c r="Q55" s="32"/>
      <c r="R55" s="32"/>
      <c r="S55" s="32"/>
    </row>
    <row r="56" spans="1:19">
      <c r="A56" s="45" t="s">
        <v>136</v>
      </c>
      <c r="B56" s="32" t="s">
        <v>137</v>
      </c>
      <c r="C56" s="3">
        <v>54</v>
      </c>
      <c r="D56" s="32"/>
      <c r="E56" s="20" t="s">
        <v>20</v>
      </c>
      <c r="F56" s="7" t="s">
        <v>15</v>
      </c>
      <c r="G56" s="7" t="s">
        <v>44</v>
      </c>
      <c r="H56" s="11">
        <v>13.4</v>
      </c>
      <c r="I56" s="55">
        <v>6.5</v>
      </c>
      <c r="J56" s="40">
        <v>1</v>
      </c>
      <c r="K56" s="10">
        <v>8.7100000000000011E-2</v>
      </c>
      <c r="L56" s="4"/>
      <c r="M56" s="17"/>
      <c r="N56" s="18">
        <v>0</v>
      </c>
      <c r="O56" s="19">
        <v>1</v>
      </c>
      <c r="P56" s="13">
        <v>8.7100000000000011E-2</v>
      </c>
      <c r="Q56" s="32"/>
      <c r="R56" s="32"/>
      <c r="S56" s="32"/>
    </row>
    <row r="57" spans="1:19">
      <c r="A57" s="45" t="s">
        <v>136</v>
      </c>
      <c r="B57" s="32" t="s">
        <v>137</v>
      </c>
      <c r="C57" s="3">
        <v>54</v>
      </c>
      <c r="D57" s="32"/>
      <c r="E57" s="20" t="s">
        <v>20</v>
      </c>
      <c r="F57" s="7" t="s">
        <v>15</v>
      </c>
      <c r="G57" s="7" t="s">
        <v>44</v>
      </c>
      <c r="H57" s="11">
        <v>13.4</v>
      </c>
      <c r="I57" s="55">
        <v>12</v>
      </c>
      <c r="J57" s="40">
        <v>3</v>
      </c>
      <c r="K57" s="10">
        <v>0.48240000000000005</v>
      </c>
      <c r="L57" s="4"/>
      <c r="M57" s="17"/>
      <c r="N57" s="18">
        <v>0</v>
      </c>
      <c r="O57" s="19">
        <v>3</v>
      </c>
      <c r="P57" s="13">
        <v>0.48240000000000005</v>
      </c>
      <c r="Q57" s="32"/>
      <c r="R57" s="32"/>
      <c r="S57" s="32"/>
    </row>
    <row r="58" spans="1:19">
      <c r="O58" s="6">
        <f>SUM(O31:O57)</f>
        <v>35</v>
      </c>
      <c r="R58" s="6">
        <f>SUM(R31:R57)</f>
        <v>8</v>
      </c>
    </row>
    <row r="60" spans="1:19">
      <c r="A60" s="42" t="s">
        <v>78</v>
      </c>
      <c r="B60" s="3" t="s">
        <v>79</v>
      </c>
      <c r="C60" s="3">
        <v>1</v>
      </c>
      <c r="D60" s="1"/>
      <c r="E60" s="20" t="s">
        <v>17</v>
      </c>
      <c r="F60" s="7" t="s">
        <v>15</v>
      </c>
      <c r="G60" s="7" t="s">
        <v>44</v>
      </c>
      <c r="H60" s="11">
        <v>13.4</v>
      </c>
      <c r="I60" s="8">
        <v>10</v>
      </c>
      <c r="J60" s="26">
        <v>4</v>
      </c>
      <c r="K60" s="10">
        <v>0.53600000000000003</v>
      </c>
      <c r="L60" s="4"/>
      <c r="M60" s="17">
        <v>4</v>
      </c>
      <c r="N60" s="18">
        <v>0.53600000000000003</v>
      </c>
      <c r="O60" s="19">
        <v>0</v>
      </c>
      <c r="P60" s="13">
        <v>0</v>
      </c>
      <c r="Q60" s="73">
        <v>8.6</v>
      </c>
      <c r="R60" s="74">
        <v>4</v>
      </c>
      <c r="S60" s="74" t="s">
        <v>197</v>
      </c>
    </row>
    <row r="61" spans="1:19">
      <c r="A61" s="42" t="s">
        <v>78</v>
      </c>
      <c r="B61" s="3" t="s">
        <v>79</v>
      </c>
      <c r="C61" s="3">
        <v>2</v>
      </c>
      <c r="D61" s="1"/>
      <c r="E61" s="20" t="s">
        <v>17</v>
      </c>
      <c r="F61" s="7" t="s">
        <v>15</v>
      </c>
      <c r="G61" s="7" t="s">
        <v>44</v>
      </c>
      <c r="H61" s="11">
        <v>13.4</v>
      </c>
      <c r="I61" s="8">
        <v>9.5</v>
      </c>
      <c r="J61" s="26">
        <v>7</v>
      </c>
      <c r="K61" s="10">
        <v>0.8911</v>
      </c>
      <c r="L61" s="4"/>
      <c r="M61" s="17">
        <v>7</v>
      </c>
      <c r="N61" s="18">
        <v>0.8911</v>
      </c>
      <c r="O61" s="19">
        <v>0</v>
      </c>
      <c r="P61" s="13">
        <v>0</v>
      </c>
      <c r="Q61" s="73">
        <v>8.6</v>
      </c>
      <c r="R61" s="74">
        <v>3</v>
      </c>
      <c r="S61" s="74" t="s">
        <v>197</v>
      </c>
    </row>
    <row r="62" spans="1:19">
      <c r="A62" s="42" t="s">
        <v>78</v>
      </c>
      <c r="B62" s="3" t="s">
        <v>79</v>
      </c>
      <c r="C62" s="3">
        <v>2</v>
      </c>
      <c r="D62" s="1"/>
      <c r="E62" s="20" t="s">
        <v>17</v>
      </c>
      <c r="F62" s="7" t="s">
        <v>15</v>
      </c>
      <c r="G62" s="7" t="s">
        <v>44</v>
      </c>
      <c r="H62" s="11">
        <v>13.4</v>
      </c>
      <c r="I62" s="8">
        <v>9.9</v>
      </c>
      <c r="J62" s="26">
        <v>1</v>
      </c>
      <c r="K62" s="10">
        <v>0.13266</v>
      </c>
      <c r="L62" s="4"/>
      <c r="M62" s="17">
        <v>1</v>
      </c>
      <c r="N62" s="18">
        <v>0.13266</v>
      </c>
      <c r="O62" s="19">
        <v>0</v>
      </c>
      <c r="P62" s="13">
        <v>0</v>
      </c>
      <c r="Q62" s="73">
        <v>8.6</v>
      </c>
      <c r="R62" s="74">
        <v>1</v>
      </c>
      <c r="S62" s="74" t="s">
        <v>197</v>
      </c>
    </row>
    <row r="63" spans="1:19">
      <c r="A63" s="42" t="s">
        <v>78</v>
      </c>
      <c r="B63" s="3"/>
      <c r="C63" s="3"/>
      <c r="D63" s="1"/>
      <c r="E63" s="20" t="s">
        <v>17</v>
      </c>
      <c r="F63" s="7" t="s">
        <v>15</v>
      </c>
      <c r="G63" s="7" t="s">
        <v>44</v>
      </c>
      <c r="H63" s="11">
        <v>13.4</v>
      </c>
      <c r="I63" s="8">
        <v>11.7</v>
      </c>
      <c r="J63" s="26">
        <v>2</v>
      </c>
      <c r="K63" s="10">
        <v>0.31356000000000001</v>
      </c>
      <c r="L63" s="4"/>
      <c r="M63" s="17">
        <v>2</v>
      </c>
      <c r="N63" s="18">
        <v>0.31356000000000001</v>
      </c>
      <c r="O63" s="19">
        <v>0</v>
      </c>
      <c r="P63" s="13">
        <v>0</v>
      </c>
      <c r="Q63" s="73">
        <v>10.5</v>
      </c>
      <c r="R63" s="74">
        <v>2</v>
      </c>
      <c r="S63" s="74" t="s">
        <v>196</v>
      </c>
    </row>
    <row r="64" spans="1:19">
      <c r="A64" s="42" t="s">
        <v>78</v>
      </c>
      <c r="B64" s="3"/>
      <c r="C64" s="3"/>
      <c r="D64" s="1"/>
      <c r="E64" s="20" t="s">
        <v>17</v>
      </c>
      <c r="F64" s="7" t="s">
        <v>15</v>
      </c>
      <c r="G64" s="7" t="s">
        <v>44</v>
      </c>
      <c r="H64" s="11">
        <v>13.4</v>
      </c>
      <c r="I64" s="8">
        <v>6.1</v>
      </c>
      <c r="J64" s="26">
        <v>1</v>
      </c>
      <c r="K64" s="10">
        <v>8.1739999999999993E-2</v>
      </c>
      <c r="L64" s="4"/>
      <c r="M64" s="17"/>
      <c r="N64" s="18">
        <v>0</v>
      </c>
      <c r="O64" s="19">
        <v>1</v>
      </c>
      <c r="P64" s="13">
        <v>8.1739999999999993E-2</v>
      </c>
      <c r="Q64" s="73"/>
      <c r="R64" s="74"/>
      <c r="S64" s="74"/>
    </row>
    <row r="65" spans="1:19">
      <c r="A65" s="42" t="s">
        <v>78</v>
      </c>
      <c r="B65" s="3"/>
      <c r="C65" s="3"/>
      <c r="D65" s="1"/>
      <c r="E65" s="20" t="s">
        <v>17</v>
      </c>
      <c r="F65" s="7" t="s">
        <v>15</v>
      </c>
      <c r="G65" s="7" t="s">
        <v>44</v>
      </c>
      <c r="H65" s="11">
        <v>13.4</v>
      </c>
      <c r="I65" s="8">
        <v>6.6</v>
      </c>
      <c r="J65" s="26">
        <v>4</v>
      </c>
      <c r="K65" s="10">
        <v>0.35375999999999996</v>
      </c>
      <c r="L65" s="4"/>
      <c r="M65" s="17"/>
      <c r="N65" s="18">
        <v>0</v>
      </c>
      <c r="O65" s="19">
        <v>4</v>
      </c>
      <c r="P65" s="13">
        <v>0.35375999999999996</v>
      </c>
      <c r="Q65" s="73"/>
      <c r="R65" s="74"/>
      <c r="S65" s="74"/>
    </row>
    <row r="66" spans="1:19">
      <c r="A66" s="42" t="s">
        <v>78</v>
      </c>
      <c r="B66" s="3"/>
      <c r="C66" s="3"/>
      <c r="D66" s="1"/>
      <c r="E66" s="20" t="s">
        <v>17</v>
      </c>
      <c r="F66" s="7" t="s">
        <v>15</v>
      </c>
      <c r="G66" s="7" t="s">
        <v>44</v>
      </c>
      <c r="H66" s="11">
        <v>13.4</v>
      </c>
      <c r="I66" s="8">
        <v>6.8</v>
      </c>
      <c r="J66" s="26">
        <v>2</v>
      </c>
      <c r="K66" s="10">
        <v>0.18224000000000001</v>
      </c>
      <c r="L66" s="4"/>
      <c r="M66" s="17">
        <v>2</v>
      </c>
      <c r="N66" s="18">
        <v>0.18224000000000001</v>
      </c>
      <c r="O66" s="19">
        <v>0</v>
      </c>
      <c r="P66" s="13">
        <v>0</v>
      </c>
      <c r="Q66" s="73">
        <v>6.7</v>
      </c>
      <c r="R66" s="74">
        <v>2</v>
      </c>
      <c r="S66" s="74" t="s">
        <v>197</v>
      </c>
    </row>
    <row r="67" spans="1:19">
      <c r="A67" s="42" t="s">
        <v>84</v>
      </c>
      <c r="B67" s="3" t="s">
        <v>122</v>
      </c>
      <c r="C67" s="3">
        <v>1</v>
      </c>
      <c r="D67" s="1"/>
      <c r="E67" s="20" t="s">
        <v>17</v>
      </c>
      <c r="F67" s="7" t="s">
        <v>15</v>
      </c>
      <c r="G67" s="7" t="s">
        <v>44</v>
      </c>
      <c r="H67" s="11">
        <v>13.4</v>
      </c>
      <c r="I67" s="8">
        <v>6</v>
      </c>
      <c r="J67" s="26">
        <v>1</v>
      </c>
      <c r="K67" s="10">
        <v>8.0399999999999999E-2</v>
      </c>
      <c r="L67" s="4"/>
      <c r="M67" s="17"/>
      <c r="N67" s="18">
        <v>0</v>
      </c>
      <c r="O67" s="19">
        <v>1</v>
      </c>
      <c r="P67" s="13">
        <v>8.0399999999999999E-2</v>
      </c>
      <c r="Q67" s="73"/>
      <c r="R67" s="74"/>
      <c r="S67" s="74"/>
    </row>
    <row r="68" spans="1:19">
      <c r="A68" s="42" t="s">
        <v>84</v>
      </c>
      <c r="B68" s="3" t="s">
        <v>122</v>
      </c>
      <c r="C68" s="3">
        <v>1</v>
      </c>
      <c r="D68" s="1"/>
      <c r="E68" s="20" t="s">
        <v>17</v>
      </c>
      <c r="F68" s="7" t="s">
        <v>15</v>
      </c>
      <c r="G68" s="7" t="s">
        <v>44</v>
      </c>
      <c r="H68" s="11">
        <v>13.4</v>
      </c>
      <c r="I68" s="8">
        <v>6.25</v>
      </c>
      <c r="J68" s="26">
        <v>3</v>
      </c>
      <c r="K68" s="10">
        <v>0.25124999999999997</v>
      </c>
      <c r="L68" s="4"/>
      <c r="M68" s="17"/>
      <c r="N68" s="18">
        <v>0</v>
      </c>
      <c r="O68" s="19">
        <v>3</v>
      </c>
      <c r="P68" s="13">
        <v>0.25124999999999997</v>
      </c>
      <c r="Q68" s="73"/>
      <c r="R68" s="74"/>
      <c r="S68" s="74"/>
    </row>
    <row r="69" spans="1:19">
      <c r="A69" s="42" t="s">
        <v>84</v>
      </c>
      <c r="B69" s="3" t="s">
        <v>122</v>
      </c>
      <c r="C69" s="3">
        <v>1</v>
      </c>
      <c r="D69" s="1"/>
      <c r="E69" s="20" t="s">
        <v>17</v>
      </c>
      <c r="F69" s="7" t="s">
        <v>15</v>
      </c>
      <c r="G69" s="7" t="s">
        <v>44</v>
      </c>
      <c r="H69" s="11">
        <v>13.4</v>
      </c>
      <c r="I69" s="8">
        <v>6.5</v>
      </c>
      <c r="J69" s="26">
        <v>3</v>
      </c>
      <c r="K69" s="10">
        <v>0.26130000000000003</v>
      </c>
      <c r="L69" s="4"/>
      <c r="M69" s="17"/>
      <c r="N69" s="18">
        <v>0</v>
      </c>
      <c r="O69" s="19">
        <v>3</v>
      </c>
      <c r="P69" s="13">
        <v>0.26130000000000003</v>
      </c>
      <c r="Q69" s="73"/>
      <c r="R69" s="74"/>
      <c r="S69" s="74"/>
    </row>
    <row r="70" spans="1:19">
      <c r="A70" s="42" t="s">
        <v>90</v>
      </c>
      <c r="B70" s="3"/>
      <c r="C70" s="3">
        <v>144</v>
      </c>
      <c r="D70" s="1"/>
      <c r="E70" s="20" t="s">
        <v>17</v>
      </c>
      <c r="F70" s="7" t="s">
        <v>15</v>
      </c>
      <c r="G70" s="7" t="s">
        <v>44</v>
      </c>
      <c r="H70" s="11">
        <v>13.4</v>
      </c>
      <c r="I70" s="8">
        <v>8.25</v>
      </c>
      <c r="J70" s="26">
        <v>1</v>
      </c>
      <c r="K70" s="10">
        <v>0.11055</v>
      </c>
      <c r="L70" s="4"/>
      <c r="M70" s="17">
        <v>1</v>
      </c>
      <c r="N70" s="18">
        <v>0.11055</v>
      </c>
      <c r="O70" s="19">
        <v>0</v>
      </c>
      <c r="P70" s="13">
        <v>0</v>
      </c>
      <c r="Q70" s="73">
        <v>7.8</v>
      </c>
      <c r="R70" s="74">
        <v>1</v>
      </c>
      <c r="S70" s="74" t="s">
        <v>197</v>
      </c>
    </row>
    <row r="71" spans="1:19">
      <c r="A71" s="42" t="s">
        <v>90</v>
      </c>
      <c r="B71" s="3"/>
      <c r="C71" s="3"/>
      <c r="D71" s="1"/>
      <c r="E71" s="20" t="s">
        <v>17</v>
      </c>
      <c r="F71" s="7" t="s">
        <v>15</v>
      </c>
      <c r="G71" s="7" t="s">
        <v>44</v>
      </c>
      <c r="H71" s="11">
        <v>13.4</v>
      </c>
      <c r="I71" s="8">
        <v>6.3</v>
      </c>
      <c r="J71" s="26">
        <v>1</v>
      </c>
      <c r="K71" s="10">
        <v>8.4419999999999995E-2</v>
      </c>
      <c r="L71" s="4"/>
      <c r="M71" s="17"/>
      <c r="N71" s="18">
        <v>0</v>
      </c>
      <c r="O71" s="19">
        <v>1</v>
      </c>
      <c r="P71" s="13">
        <v>8.4419999999999995E-2</v>
      </c>
      <c r="Q71" s="73"/>
      <c r="R71" s="74"/>
      <c r="S71" s="74"/>
    </row>
    <row r="72" spans="1:19">
      <c r="A72" s="42" t="s">
        <v>90</v>
      </c>
      <c r="B72" s="3"/>
      <c r="C72" s="3">
        <v>192</v>
      </c>
      <c r="D72" s="1"/>
      <c r="E72" s="20" t="s">
        <v>17</v>
      </c>
      <c r="F72" s="7" t="s">
        <v>15</v>
      </c>
      <c r="G72" s="7" t="s">
        <v>44</v>
      </c>
      <c r="H72" s="11">
        <v>13.4</v>
      </c>
      <c r="I72" s="8">
        <v>10</v>
      </c>
      <c r="J72" s="26">
        <v>3</v>
      </c>
      <c r="K72" s="10">
        <v>0.40200000000000002</v>
      </c>
      <c r="L72" s="4"/>
      <c r="M72" s="17">
        <v>3</v>
      </c>
      <c r="N72" s="18">
        <v>0.40200000000000002</v>
      </c>
      <c r="O72" s="19">
        <v>0</v>
      </c>
      <c r="P72" s="13">
        <v>0</v>
      </c>
      <c r="Q72" s="73">
        <v>8.6</v>
      </c>
      <c r="R72" s="74">
        <v>3</v>
      </c>
      <c r="S72" s="74" t="s">
        <v>197</v>
      </c>
    </row>
    <row r="73" spans="1:19">
      <c r="A73" s="42" t="s">
        <v>90</v>
      </c>
      <c r="B73" s="3"/>
      <c r="C73" s="3">
        <v>192</v>
      </c>
      <c r="D73" s="1"/>
      <c r="E73" s="20" t="s">
        <v>17</v>
      </c>
      <c r="F73" s="7" t="s">
        <v>15</v>
      </c>
      <c r="G73" s="7" t="s">
        <v>44</v>
      </c>
      <c r="H73" s="11">
        <v>13.4</v>
      </c>
      <c r="I73" s="8">
        <v>8.8000000000000007</v>
      </c>
      <c r="J73" s="26">
        <v>1</v>
      </c>
      <c r="K73" s="10">
        <v>0.11792000000000001</v>
      </c>
      <c r="L73" s="4"/>
      <c r="M73" s="17">
        <v>1</v>
      </c>
      <c r="N73" s="18">
        <v>0.11792000000000001</v>
      </c>
      <c r="O73" s="19">
        <v>0</v>
      </c>
      <c r="P73" s="13">
        <v>0</v>
      </c>
      <c r="Q73" s="73">
        <v>8.6</v>
      </c>
      <c r="R73" s="74">
        <v>1</v>
      </c>
      <c r="S73" s="74" t="s">
        <v>197</v>
      </c>
    </row>
    <row r="74" spans="1:19">
      <c r="A74" s="44" t="s">
        <v>78</v>
      </c>
      <c r="B74" s="3" t="s">
        <v>80</v>
      </c>
      <c r="C74" s="3">
        <v>9</v>
      </c>
      <c r="D74" s="1"/>
      <c r="E74" s="20" t="s">
        <v>17</v>
      </c>
      <c r="F74" s="7" t="s">
        <v>15</v>
      </c>
      <c r="G74" s="7" t="s">
        <v>44</v>
      </c>
      <c r="H74" s="11">
        <v>13.4</v>
      </c>
      <c r="I74" s="8">
        <v>9.1999999999999993</v>
      </c>
      <c r="J74" s="26">
        <v>1</v>
      </c>
      <c r="K74" s="10">
        <v>0.12327999999999999</v>
      </c>
      <c r="L74" s="4"/>
      <c r="M74" s="17">
        <v>1</v>
      </c>
      <c r="N74" s="18">
        <v>0.12327999999999999</v>
      </c>
      <c r="O74" s="19">
        <v>0</v>
      </c>
      <c r="P74" s="13">
        <v>0</v>
      </c>
      <c r="Q74" s="73">
        <v>8.6</v>
      </c>
      <c r="R74" s="72">
        <v>1</v>
      </c>
      <c r="S74" s="74" t="s">
        <v>197</v>
      </c>
    </row>
    <row r="75" spans="1:19">
      <c r="A75" s="44" t="s">
        <v>78</v>
      </c>
      <c r="B75" s="3" t="s">
        <v>80</v>
      </c>
      <c r="C75" s="3">
        <v>9</v>
      </c>
      <c r="D75" s="1"/>
      <c r="E75" s="20" t="s">
        <v>17</v>
      </c>
      <c r="F75" s="7" t="s">
        <v>15</v>
      </c>
      <c r="G75" s="7" t="s">
        <v>44</v>
      </c>
      <c r="H75" s="11">
        <v>13.4</v>
      </c>
      <c r="I75" s="8">
        <v>8.3000000000000007</v>
      </c>
      <c r="J75" s="26">
        <v>1</v>
      </c>
      <c r="K75" s="10">
        <v>0.11122000000000001</v>
      </c>
      <c r="L75" s="4"/>
      <c r="M75" s="17">
        <v>1</v>
      </c>
      <c r="N75" s="18">
        <v>0.11122000000000001</v>
      </c>
      <c r="O75" s="19">
        <v>0</v>
      </c>
      <c r="P75" s="13">
        <v>0</v>
      </c>
      <c r="Q75" s="73">
        <v>7.8</v>
      </c>
      <c r="R75" s="72">
        <v>1</v>
      </c>
      <c r="S75" s="74" t="s">
        <v>197</v>
      </c>
    </row>
    <row r="76" spans="1:19">
      <c r="A76" s="44" t="s">
        <v>78</v>
      </c>
      <c r="B76" s="3" t="s">
        <v>80</v>
      </c>
      <c r="C76" s="3">
        <v>9</v>
      </c>
      <c r="D76" s="1"/>
      <c r="E76" s="20" t="s">
        <v>17</v>
      </c>
      <c r="F76" s="7" t="s">
        <v>15</v>
      </c>
      <c r="G76" s="7" t="s">
        <v>44</v>
      </c>
      <c r="H76" s="11">
        <v>13.4</v>
      </c>
      <c r="I76" s="8">
        <v>6.9</v>
      </c>
      <c r="J76" s="26">
        <v>1</v>
      </c>
      <c r="K76" s="10">
        <v>9.2460000000000014E-2</v>
      </c>
      <c r="L76" s="4"/>
      <c r="M76" s="17">
        <v>1</v>
      </c>
      <c r="N76" s="18">
        <v>9.2460000000000014E-2</v>
      </c>
      <c r="O76" s="19">
        <v>0</v>
      </c>
      <c r="P76" s="13">
        <v>0</v>
      </c>
      <c r="Q76" s="73">
        <v>6.65</v>
      </c>
      <c r="R76" s="72">
        <v>1</v>
      </c>
      <c r="S76" s="74" t="s">
        <v>198</v>
      </c>
    </row>
    <row r="77" spans="1:19">
      <c r="A77" s="45" t="s">
        <v>136</v>
      </c>
      <c r="B77" s="48" t="s">
        <v>171</v>
      </c>
      <c r="C77" s="32">
        <v>132</v>
      </c>
      <c r="D77" s="32"/>
      <c r="E77" s="48" t="s">
        <v>17</v>
      </c>
      <c r="F77" s="48" t="s">
        <v>15</v>
      </c>
      <c r="G77" s="48" t="s">
        <v>44</v>
      </c>
      <c r="H77" s="11">
        <v>13.4</v>
      </c>
      <c r="I77" s="8">
        <v>9.6</v>
      </c>
      <c r="J77" s="7">
        <v>1</v>
      </c>
      <c r="K77" s="10">
        <v>0.12863999999999998</v>
      </c>
      <c r="L77" s="32"/>
      <c r="M77" s="32">
        <v>1</v>
      </c>
      <c r="N77" s="18">
        <v>0.12863999999999998</v>
      </c>
      <c r="O77" s="19">
        <v>0</v>
      </c>
      <c r="P77" s="13">
        <v>0</v>
      </c>
      <c r="Q77" s="73">
        <v>8.6</v>
      </c>
      <c r="R77" s="72">
        <v>1</v>
      </c>
      <c r="S77" s="74" t="s">
        <v>197</v>
      </c>
    </row>
    <row r="78" spans="1:19">
      <c r="O78" s="78">
        <f>SUM(O60:O77)</f>
        <v>13</v>
      </c>
      <c r="R78" s="6">
        <f>SUM(R60:R77)</f>
        <v>21</v>
      </c>
    </row>
    <row r="80" spans="1:19">
      <c r="A80" s="42" t="s">
        <v>77</v>
      </c>
      <c r="B80" s="3" t="s">
        <v>68</v>
      </c>
      <c r="C80" s="3">
        <v>107</v>
      </c>
      <c r="D80" s="1"/>
      <c r="E80" s="20" t="s">
        <v>17</v>
      </c>
      <c r="F80" s="7" t="s">
        <v>15</v>
      </c>
      <c r="G80" s="7" t="s">
        <v>36</v>
      </c>
      <c r="H80" s="11">
        <v>10.199999999999999</v>
      </c>
      <c r="I80" s="8">
        <v>7</v>
      </c>
      <c r="J80" s="26">
        <v>1</v>
      </c>
      <c r="K80" s="10">
        <v>7.1399999999999991E-2</v>
      </c>
      <c r="L80" s="4"/>
      <c r="M80" s="17">
        <v>1</v>
      </c>
      <c r="N80" s="18">
        <v>7.1399999999999991E-2</v>
      </c>
      <c r="O80" s="19">
        <v>0</v>
      </c>
      <c r="P80" s="13">
        <v>0</v>
      </c>
      <c r="Q80" s="73">
        <v>6.6</v>
      </c>
      <c r="R80" s="74">
        <v>1</v>
      </c>
      <c r="S80" s="74" t="s">
        <v>200</v>
      </c>
    </row>
    <row r="81" spans="1:19">
      <c r="A81" s="42" t="s">
        <v>77</v>
      </c>
      <c r="B81" s="3" t="s">
        <v>68</v>
      </c>
      <c r="C81" s="3">
        <v>107</v>
      </c>
      <c r="D81" s="1"/>
      <c r="E81" s="20" t="s">
        <v>17</v>
      </c>
      <c r="F81" s="7" t="s">
        <v>15</v>
      </c>
      <c r="G81" s="7" t="s">
        <v>36</v>
      </c>
      <c r="H81" s="11">
        <v>10.199999999999999</v>
      </c>
      <c r="I81" s="8">
        <v>9</v>
      </c>
      <c r="J81" s="26">
        <v>1</v>
      </c>
      <c r="K81" s="10">
        <v>9.1799999999999993E-2</v>
      </c>
      <c r="L81" s="4"/>
      <c r="M81" s="17">
        <v>1</v>
      </c>
      <c r="N81" s="18">
        <v>9.1799999999999993E-2</v>
      </c>
      <c r="O81" s="19">
        <v>0</v>
      </c>
      <c r="P81" s="13">
        <v>0</v>
      </c>
      <c r="Q81" s="73">
        <v>8.25</v>
      </c>
      <c r="R81" s="74">
        <v>1</v>
      </c>
      <c r="S81" s="74" t="s">
        <v>196</v>
      </c>
    </row>
    <row r="82" spans="1:19">
      <c r="A82" s="42" t="s">
        <v>77</v>
      </c>
      <c r="B82" s="3" t="s">
        <v>68</v>
      </c>
      <c r="C82" s="3">
        <v>107</v>
      </c>
      <c r="D82" s="1"/>
      <c r="E82" s="20" t="s">
        <v>17</v>
      </c>
      <c r="F82" s="7" t="s">
        <v>15</v>
      </c>
      <c r="G82" s="7" t="s">
        <v>36</v>
      </c>
      <c r="H82" s="11">
        <v>10.199999999999999</v>
      </c>
      <c r="I82" s="8">
        <v>10.9</v>
      </c>
      <c r="J82" s="26">
        <v>3</v>
      </c>
      <c r="K82" s="10">
        <v>0.33353999999999995</v>
      </c>
      <c r="L82" s="4"/>
      <c r="M82" s="17">
        <v>3</v>
      </c>
      <c r="N82" s="18">
        <v>0.33354</v>
      </c>
      <c r="O82" s="19">
        <v>0</v>
      </c>
      <c r="P82" s="13">
        <v>0</v>
      </c>
      <c r="Q82" s="73">
        <v>10.5</v>
      </c>
      <c r="R82" s="74">
        <v>3</v>
      </c>
      <c r="S82" s="74" t="s">
        <v>196</v>
      </c>
    </row>
    <row r="83" spans="1:19">
      <c r="A83" s="42" t="s">
        <v>77</v>
      </c>
      <c r="B83" s="3" t="s">
        <v>68</v>
      </c>
      <c r="C83" s="3">
        <v>109</v>
      </c>
      <c r="D83" s="1"/>
      <c r="E83" s="20" t="s">
        <v>17</v>
      </c>
      <c r="F83" s="7" t="s">
        <v>15</v>
      </c>
      <c r="G83" s="7" t="s">
        <v>36</v>
      </c>
      <c r="H83" s="11">
        <v>10.199999999999999</v>
      </c>
      <c r="I83" s="8">
        <v>7</v>
      </c>
      <c r="J83" s="26">
        <v>3</v>
      </c>
      <c r="K83" s="10">
        <v>0.2142</v>
      </c>
      <c r="L83" s="4"/>
      <c r="M83" s="17">
        <v>3</v>
      </c>
      <c r="N83" s="18">
        <v>0.2142</v>
      </c>
      <c r="O83" s="19">
        <v>0</v>
      </c>
      <c r="P83" s="13">
        <v>0</v>
      </c>
      <c r="Q83" s="73">
        <v>6.6</v>
      </c>
      <c r="R83" s="74">
        <v>3</v>
      </c>
      <c r="S83" s="74" t="s">
        <v>200</v>
      </c>
    </row>
    <row r="84" spans="1:19">
      <c r="A84" s="42" t="s">
        <v>77</v>
      </c>
      <c r="B84" s="3" t="s">
        <v>68</v>
      </c>
      <c r="C84" s="3">
        <v>109</v>
      </c>
      <c r="D84" s="1"/>
      <c r="E84" s="20" t="s">
        <v>17</v>
      </c>
      <c r="F84" s="7" t="s">
        <v>15</v>
      </c>
      <c r="G84" s="7" t="s">
        <v>36</v>
      </c>
      <c r="H84" s="11">
        <v>10.199999999999999</v>
      </c>
      <c r="I84" s="8">
        <v>8.4</v>
      </c>
      <c r="J84" s="26">
        <v>2</v>
      </c>
      <c r="K84" s="10">
        <v>0.17135999999999998</v>
      </c>
      <c r="L84" s="4"/>
      <c r="M84" s="17">
        <v>2</v>
      </c>
      <c r="N84" s="18">
        <v>0.17135999999999998</v>
      </c>
      <c r="O84" s="19">
        <v>0</v>
      </c>
      <c r="P84" s="13">
        <v>0</v>
      </c>
      <c r="Q84" s="73">
        <v>8.25</v>
      </c>
      <c r="R84" s="74">
        <v>2</v>
      </c>
      <c r="S84" s="74" t="s">
        <v>196</v>
      </c>
    </row>
    <row r="85" spans="1:19">
      <c r="A85" s="42" t="s">
        <v>77</v>
      </c>
      <c r="B85" s="3" t="s">
        <v>68</v>
      </c>
      <c r="C85" s="3">
        <v>109</v>
      </c>
      <c r="D85" s="1"/>
      <c r="E85" s="20" t="s">
        <v>17</v>
      </c>
      <c r="F85" s="7" t="s">
        <v>15</v>
      </c>
      <c r="G85" s="7" t="s">
        <v>36</v>
      </c>
      <c r="H85" s="11">
        <v>10.199999999999999</v>
      </c>
      <c r="I85" s="8">
        <v>11.2</v>
      </c>
      <c r="J85" s="26">
        <v>4</v>
      </c>
      <c r="K85" s="10">
        <v>0.45695999999999992</v>
      </c>
      <c r="L85" s="4"/>
      <c r="M85" s="17">
        <v>4</v>
      </c>
      <c r="N85" s="18">
        <v>0.45695999999999992</v>
      </c>
      <c r="O85" s="19">
        <v>0</v>
      </c>
      <c r="P85" s="13">
        <v>0</v>
      </c>
      <c r="Q85" s="73">
        <v>10.5</v>
      </c>
      <c r="R85" s="74">
        <v>4</v>
      </c>
      <c r="S85" s="74" t="s">
        <v>196</v>
      </c>
    </row>
    <row r="86" spans="1:19">
      <c r="A86" s="42" t="s">
        <v>77</v>
      </c>
      <c r="B86" s="3" t="s">
        <v>68</v>
      </c>
      <c r="C86" s="3">
        <v>205</v>
      </c>
      <c r="D86" s="1"/>
      <c r="E86" s="20" t="s">
        <v>17</v>
      </c>
      <c r="F86" s="7" t="s">
        <v>15</v>
      </c>
      <c r="G86" s="7" t="s">
        <v>36</v>
      </c>
      <c r="H86" s="11">
        <v>10.199999999999999</v>
      </c>
      <c r="I86" s="8">
        <v>5.3</v>
      </c>
      <c r="J86" s="26">
        <v>1</v>
      </c>
      <c r="K86" s="10">
        <v>5.4059999999999997E-2</v>
      </c>
      <c r="L86" s="4"/>
      <c r="M86" s="17"/>
      <c r="N86" s="18">
        <v>0</v>
      </c>
      <c r="O86" s="19">
        <v>1</v>
      </c>
      <c r="P86" s="13">
        <v>5.4059999999999997E-2</v>
      </c>
      <c r="Q86" s="73"/>
      <c r="R86" s="74"/>
      <c r="S86" s="74"/>
    </row>
    <row r="87" spans="1:19">
      <c r="A87" s="42" t="s">
        <v>77</v>
      </c>
      <c r="B87" s="3" t="s">
        <v>68</v>
      </c>
      <c r="C87" s="3">
        <v>205</v>
      </c>
      <c r="D87" s="1"/>
      <c r="E87" s="20" t="s">
        <v>17</v>
      </c>
      <c r="F87" s="7" t="s">
        <v>15</v>
      </c>
      <c r="G87" s="7" t="s">
        <v>36</v>
      </c>
      <c r="H87" s="11">
        <v>10.199999999999999</v>
      </c>
      <c r="I87" s="8">
        <v>10.6</v>
      </c>
      <c r="J87" s="26">
        <v>1</v>
      </c>
      <c r="K87" s="10">
        <v>0.10811999999999999</v>
      </c>
      <c r="L87" s="4"/>
      <c r="M87" s="17">
        <v>1</v>
      </c>
      <c r="N87" s="18">
        <v>0.10811999999999999</v>
      </c>
      <c r="O87" s="19">
        <v>0</v>
      </c>
      <c r="P87" s="13">
        <v>0</v>
      </c>
      <c r="Q87" s="73">
        <v>10.5</v>
      </c>
      <c r="R87" s="74">
        <v>1</v>
      </c>
      <c r="S87" s="74" t="s">
        <v>196</v>
      </c>
    </row>
    <row r="88" spans="1:19">
      <c r="A88" s="42" t="s">
        <v>77</v>
      </c>
      <c r="B88" s="3" t="s">
        <v>68</v>
      </c>
      <c r="C88" s="3">
        <v>205</v>
      </c>
      <c r="D88" s="1"/>
      <c r="E88" s="20" t="s">
        <v>17</v>
      </c>
      <c r="F88" s="7" t="s">
        <v>15</v>
      </c>
      <c r="G88" s="7" t="s">
        <v>36</v>
      </c>
      <c r="H88" s="11">
        <v>10.199999999999999</v>
      </c>
      <c r="I88" s="8">
        <v>11</v>
      </c>
      <c r="J88" s="26">
        <v>4</v>
      </c>
      <c r="K88" s="10">
        <v>0.44879999999999998</v>
      </c>
      <c r="L88" s="4"/>
      <c r="M88" s="17">
        <v>4</v>
      </c>
      <c r="N88" s="18">
        <v>0.44879999999999998</v>
      </c>
      <c r="O88" s="19">
        <v>0</v>
      </c>
      <c r="P88" s="13">
        <v>0</v>
      </c>
      <c r="Q88" s="73">
        <v>10.5</v>
      </c>
      <c r="R88" s="74">
        <v>4</v>
      </c>
      <c r="S88" s="74" t="s">
        <v>196</v>
      </c>
    </row>
    <row r="89" spans="1:19">
      <c r="A89" s="42" t="s">
        <v>77</v>
      </c>
      <c r="B89" s="3" t="s">
        <v>68</v>
      </c>
      <c r="C89" s="3">
        <v>209</v>
      </c>
      <c r="D89" s="1"/>
      <c r="E89" s="20" t="s">
        <v>17</v>
      </c>
      <c r="F89" s="7" t="s">
        <v>15</v>
      </c>
      <c r="G89" s="7" t="s">
        <v>36</v>
      </c>
      <c r="H89" s="11">
        <v>10.199999999999999</v>
      </c>
      <c r="I89" s="8">
        <v>7.9</v>
      </c>
      <c r="J89" s="26">
        <v>2</v>
      </c>
      <c r="K89" s="10">
        <v>0.16116</v>
      </c>
      <c r="L89" s="4"/>
      <c r="M89" s="22">
        <v>2</v>
      </c>
      <c r="N89" s="18">
        <v>0.16116</v>
      </c>
      <c r="O89" s="19">
        <v>0</v>
      </c>
      <c r="P89" s="13">
        <v>0</v>
      </c>
      <c r="Q89" s="73">
        <v>7.25</v>
      </c>
      <c r="R89" s="74">
        <v>2</v>
      </c>
      <c r="S89" s="74" t="s">
        <v>196</v>
      </c>
    </row>
    <row r="90" spans="1:19">
      <c r="A90" s="42" t="s">
        <v>77</v>
      </c>
      <c r="B90" s="3" t="s">
        <v>68</v>
      </c>
      <c r="C90" s="3">
        <v>209</v>
      </c>
      <c r="D90" s="1"/>
      <c r="E90" s="20" t="s">
        <v>17</v>
      </c>
      <c r="F90" s="7" t="s">
        <v>15</v>
      </c>
      <c r="G90" s="7" t="s">
        <v>36</v>
      </c>
      <c r="H90" s="11">
        <v>10.199999999999999</v>
      </c>
      <c r="I90" s="8">
        <v>8.3000000000000007</v>
      </c>
      <c r="J90" s="26">
        <v>1</v>
      </c>
      <c r="K90" s="10">
        <v>8.4659999999999999E-2</v>
      </c>
      <c r="L90" s="4"/>
      <c r="M90" s="22">
        <v>1</v>
      </c>
      <c r="N90" s="18">
        <v>8.4659999999999999E-2</v>
      </c>
      <c r="O90" s="19">
        <v>0</v>
      </c>
      <c r="P90" s="13">
        <v>0</v>
      </c>
      <c r="Q90" s="73">
        <v>8.25</v>
      </c>
      <c r="R90" s="74">
        <v>1</v>
      </c>
      <c r="S90" s="74" t="s">
        <v>196</v>
      </c>
    </row>
    <row r="91" spans="1:19">
      <c r="A91" s="42" t="s">
        <v>77</v>
      </c>
      <c r="B91" s="3" t="s">
        <v>68</v>
      </c>
      <c r="C91" s="3">
        <v>209</v>
      </c>
      <c r="D91" s="1"/>
      <c r="E91" s="20" t="s">
        <v>17</v>
      </c>
      <c r="F91" s="7" t="s">
        <v>15</v>
      </c>
      <c r="G91" s="7" t="s">
        <v>36</v>
      </c>
      <c r="H91" s="11">
        <v>10.199999999999999</v>
      </c>
      <c r="I91" s="8">
        <v>11.6</v>
      </c>
      <c r="J91" s="26">
        <v>1</v>
      </c>
      <c r="K91" s="10">
        <v>0.11831999999999999</v>
      </c>
      <c r="L91" s="4"/>
      <c r="M91" s="17">
        <v>1</v>
      </c>
      <c r="N91" s="18">
        <v>0.11831999999999999</v>
      </c>
      <c r="O91" s="19">
        <v>0</v>
      </c>
      <c r="P91" s="13">
        <v>0</v>
      </c>
      <c r="Q91" s="73">
        <v>11.25</v>
      </c>
      <c r="R91" s="74">
        <v>1</v>
      </c>
      <c r="S91" s="74" t="s">
        <v>199</v>
      </c>
    </row>
    <row r="92" spans="1:19">
      <c r="A92" s="42" t="s">
        <v>77</v>
      </c>
      <c r="B92" s="3" t="s">
        <v>68</v>
      </c>
      <c r="C92" s="3">
        <v>209</v>
      </c>
      <c r="D92" s="1"/>
      <c r="E92" s="20" t="s">
        <v>17</v>
      </c>
      <c r="F92" s="7" t="s">
        <v>15</v>
      </c>
      <c r="G92" s="7" t="s">
        <v>36</v>
      </c>
      <c r="H92" s="11">
        <v>10.199999999999999</v>
      </c>
      <c r="I92" s="8">
        <v>11.7</v>
      </c>
      <c r="J92" s="26">
        <v>1</v>
      </c>
      <c r="K92" s="10">
        <v>0.11933999999999999</v>
      </c>
      <c r="L92" s="4"/>
      <c r="M92" s="17">
        <v>1</v>
      </c>
      <c r="N92" s="18">
        <v>0.11933999999999999</v>
      </c>
      <c r="O92" s="19">
        <v>0</v>
      </c>
      <c r="P92" s="13">
        <v>0</v>
      </c>
      <c r="Q92" s="73">
        <v>11.25</v>
      </c>
      <c r="R92" s="74">
        <v>1</v>
      </c>
      <c r="S92" s="74" t="s">
        <v>199</v>
      </c>
    </row>
    <row r="93" spans="1:19">
      <c r="A93" s="42" t="s">
        <v>77</v>
      </c>
      <c r="B93" s="3" t="s">
        <v>68</v>
      </c>
      <c r="C93" s="3">
        <v>209</v>
      </c>
      <c r="D93" s="1"/>
      <c r="E93" s="20" t="s">
        <v>17</v>
      </c>
      <c r="F93" s="7" t="s">
        <v>15</v>
      </c>
      <c r="G93" s="7" t="s">
        <v>36</v>
      </c>
      <c r="H93" s="11">
        <v>10.199999999999999</v>
      </c>
      <c r="I93" s="8">
        <v>11.9</v>
      </c>
      <c r="J93" s="26">
        <v>1</v>
      </c>
      <c r="K93" s="10">
        <v>0.12138</v>
      </c>
      <c r="L93" s="4"/>
      <c r="M93" s="17">
        <v>1</v>
      </c>
      <c r="N93" s="18">
        <v>0.12138</v>
      </c>
      <c r="O93" s="19">
        <v>0</v>
      </c>
      <c r="P93" s="13">
        <v>0</v>
      </c>
      <c r="Q93" s="73">
        <v>11.25</v>
      </c>
      <c r="R93" s="74">
        <v>1</v>
      </c>
      <c r="S93" s="74" t="s">
        <v>199</v>
      </c>
    </row>
    <row r="94" spans="1:19">
      <c r="A94" s="42" t="s">
        <v>78</v>
      </c>
      <c r="B94" s="3" t="s">
        <v>79</v>
      </c>
      <c r="C94" s="3">
        <v>1</v>
      </c>
      <c r="D94" s="1"/>
      <c r="E94" s="20" t="s">
        <v>17</v>
      </c>
      <c r="F94" s="7" t="s">
        <v>15</v>
      </c>
      <c r="G94" s="7" t="s">
        <v>36</v>
      </c>
      <c r="H94" s="11">
        <v>10.199999999999999</v>
      </c>
      <c r="I94" s="8">
        <v>12</v>
      </c>
      <c r="J94" s="26">
        <v>1</v>
      </c>
      <c r="K94" s="10">
        <v>0.12239999999999999</v>
      </c>
      <c r="L94" s="4"/>
      <c r="M94" s="17">
        <v>1</v>
      </c>
      <c r="N94" s="18">
        <v>0.12239999999999999</v>
      </c>
      <c r="O94" s="19">
        <v>0</v>
      </c>
      <c r="P94" s="13">
        <v>0</v>
      </c>
      <c r="Q94" s="73">
        <v>12</v>
      </c>
      <c r="R94" s="74">
        <v>1</v>
      </c>
      <c r="S94" s="74" t="s">
        <v>196</v>
      </c>
    </row>
    <row r="95" spans="1:19">
      <c r="A95" s="42" t="s">
        <v>78</v>
      </c>
      <c r="B95" s="3" t="s">
        <v>79</v>
      </c>
      <c r="C95" s="3">
        <v>4</v>
      </c>
      <c r="D95" s="1"/>
      <c r="E95" s="20" t="s">
        <v>17</v>
      </c>
      <c r="F95" s="7" t="s">
        <v>15</v>
      </c>
      <c r="G95" s="7" t="s">
        <v>36</v>
      </c>
      <c r="H95" s="11">
        <v>10.199999999999999</v>
      </c>
      <c r="I95" s="8">
        <v>12</v>
      </c>
      <c r="J95" s="26">
        <v>3</v>
      </c>
      <c r="K95" s="10">
        <v>0.36719999999999997</v>
      </c>
      <c r="L95" s="4"/>
      <c r="M95" s="17">
        <v>3</v>
      </c>
      <c r="N95" s="18">
        <v>0.36719999999999997</v>
      </c>
      <c r="O95" s="19">
        <v>0</v>
      </c>
      <c r="P95" s="13">
        <v>0</v>
      </c>
      <c r="Q95" s="73">
        <v>12</v>
      </c>
      <c r="R95" s="74">
        <v>3</v>
      </c>
      <c r="S95" s="74" t="s">
        <v>196</v>
      </c>
    </row>
    <row r="96" spans="1:19">
      <c r="A96" s="42" t="s">
        <v>78</v>
      </c>
      <c r="B96" s="3" t="s">
        <v>79</v>
      </c>
      <c r="C96" s="3">
        <v>4</v>
      </c>
      <c r="D96" s="1"/>
      <c r="E96" s="20" t="s">
        <v>17</v>
      </c>
      <c r="F96" s="7" t="s">
        <v>15</v>
      </c>
      <c r="G96" s="7" t="s">
        <v>36</v>
      </c>
      <c r="H96" s="11">
        <v>10.199999999999999</v>
      </c>
      <c r="I96" s="8">
        <v>9</v>
      </c>
      <c r="J96" s="26">
        <v>1</v>
      </c>
      <c r="K96" s="10">
        <v>9.1799999999999993E-2</v>
      </c>
      <c r="L96" s="4"/>
      <c r="M96" s="17">
        <v>1</v>
      </c>
      <c r="N96" s="18">
        <v>9.1799999999999993E-2</v>
      </c>
      <c r="O96" s="19">
        <v>0</v>
      </c>
      <c r="P96" s="13">
        <v>0</v>
      </c>
      <c r="Q96" s="73">
        <v>8.25</v>
      </c>
      <c r="R96" s="74">
        <v>1</v>
      </c>
      <c r="S96" s="74" t="s">
        <v>196</v>
      </c>
    </row>
    <row r="97" spans="1:19">
      <c r="A97" s="42" t="s">
        <v>78</v>
      </c>
      <c r="B97" s="3" t="s">
        <v>79</v>
      </c>
      <c r="C97" s="3">
        <v>4</v>
      </c>
      <c r="D97" s="1"/>
      <c r="E97" s="20" t="s">
        <v>17</v>
      </c>
      <c r="F97" s="7" t="s">
        <v>15</v>
      </c>
      <c r="G97" s="7" t="s">
        <v>36</v>
      </c>
      <c r="H97" s="11">
        <v>10.199999999999999</v>
      </c>
      <c r="I97" s="8">
        <v>6</v>
      </c>
      <c r="J97" s="26">
        <v>1</v>
      </c>
      <c r="K97" s="10">
        <v>6.1199999999999997E-2</v>
      </c>
      <c r="L97" s="4"/>
      <c r="M97" s="17">
        <v>1</v>
      </c>
      <c r="N97" s="18">
        <v>6.1199999999999997E-2</v>
      </c>
      <c r="O97" s="19">
        <v>0</v>
      </c>
      <c r="P97" s="13">
        <v>0</v>
      </c>
      <c r="Q97" s="73">
        <v>6</v>
      </c>
      <c r="R97" s="74">
        <v>1</v>
      </c>
      <c r="S97" s="74" t="s">
        <v>199</v>
      </c>
    </row>
    <row r="98" spans="1:19">
      <c r="A98" s="42" t="s">
        <v>78</v>
      </c>
      <c r="B98" s="3" t="s">
        <v>79</v>
      </c>
      <c r="C98" s="3">
        <v>7</v>
      </c>
      <c r="D98" s="1"/>
      <c r="E98" s="20" t="s">
        <v>17</v>
      </c>
      <c r="F98" s="7" t="s">
        <v>15</v>
      </c>
      <c r="G98" s="7" t="s">
        <v>36</v>
      </c>
      <c r="H98" s="11">
        <v>10.199999999999999</v>
      </c>
      <c r="I98" s="8">
        <v>9.5</v>
      </c>
      <c r="J98" s="26">
        <v>1</v>
      </c>
      <c r="K98" s="10">
        <v>9.6899999999999986E-2</v>
      </c>
      <c r="L98" s="4"/>
      <c r="M98" s="17">
        <v>1</v>
      </c>
      <c r="N98" s="18">
        <v>9.6899999999999986E-2</v>
      </c>
      <c r="O98" s="19">
        <v>0</v>
      </c>
      <c r="P98" s="13">
        <v>0</v>
      </c>
      <c r="Q98" s="73">
        <v>8.25</v>
      </c>
      <c r="R98" s="74">
        <v>1</v>
      </c>
      <c r="S98" s="74" t="s">
        <v>196</v>
      </c>
    </row>
    <row r="99" spans="1:19">
      <c r="A99" s="42" t="s">
        <v>78</v>
      </c>
      <c r="B99" s="3" t="s">
        <v>79</v>
      </c>
      <c r="C99" s="3">
        <v>7</v>
      </c>
      <c r="D99" s="1"/>
      <c r="E99" s="20" t="s">
        <v>17</v>
      </c>
      <c r="F99" s="7" t="s">
        <v>15</v>
      </c>
      <c r="G99" s="7" t="s">
        <v>36</v>
      </c>
      <c r="H99" s="11">
        <v>10.199999999999999</v>
      </c>
      <c r="I99" s="8">
        <v>8.1999999999999993</v>
      </c>
      <c r="J99" s="26">
        <v>1</v>
      </c>
      <c r="K99" s="10">
        <v>8.3639999999999992E-2</v>
      </c>
      <c r="L99" s="4"/>
      <c r="M99" s="17">
        <v>1</v>
      </c>
      <c r="N99" s="18">
        <v>8.3639999999999992E-2</v>
      </c>
      <c r="O99" s="19">
        <v>0</v>
      </c>
      <c r="P99" s="13">
        <v>0</v>
      </c>
      <c r="Q99" s="73">
        <v>8.25</v>
      </c>
      <c r="R99" s="74">
        <v>1</v>
      </c>
      <c r="S99" s="74" t="s">
        <v>196</v>
      </c>
    </row>
    <row r="100" spans="1:19">
      <c r="A100" s="42" t="s">
        <v>78</v>
      </c>
      <c r="B100" s="3" t="s">
        <v>79</v>
      </c>
      <c r="C100" s="3">
        <v>7</v>
      </c>
      <c r="D100" s="1"/>
      <c r="E100" s="20" t="s">
        <v>17</v>
      </c>
      <c r="F100" s="7" t="s">
        <v>15</v>
      </c>
      <c r="G100" s="7" t="s">
        <v>36</v>
      </c>
      <c r="H100" s="11">
        <v>10.199999999999999</v>
      </c>
      <c r="I100" s="8">
        <v>8</v>
      </c>
      <c r="J100" s="26">
        <v>2</v>
      </c>
      <c r="K100" s="10">
        <v>0.16319999999999998</v>
      </c>
      <c r="L100" s="4"/>
      <c r="M100" s="17">
        <v>2</v>
      </c>
      <c r="N100" s="18">
        <v>0.16319999999999998</v>
      </c>
      <c r="O100" s="19">
        <v>0</v>
      </c>
      <c r="P100" s="13">
        <v>0</v>
      </c>
      <c r="Q100" s="73">
        <v>7.25</v>
      </c>
      <c r="R100" s="74">
        <v>2</v>
      </c>
      <c r="S100" s="74" t="s">
        <v>196</v>
      </c>
    </row>
    <row r="101" spans="1:19">
      <c r="A101" s="42" t="s">
        <v>78</v>
      </c>
      <c r="B101" s="3" t="s">
        <v>79</v>
      </c>
      <c r="C101" s="3">
        <v>7</v>
      </c>
      <c r="D101" s="1"/>
      <c r="E101" s="20" t="s">
        <v>17</v>
      </c>
      <c r="F101" s="7" t="s">
        <v>15</v>
      </c>
      <c r="G101" s="7" t="s">
        <v>36</v>
      </c>
      <c r="H101" s="11">
        <v>10.199999999999999</v>
      </c>
      <c r="I101" s="8">
        <v>7.9</v>
      </c>
      <c r="J101" s="26">
        <v>1</v>
      </c>
      <c r="K101" s="10">
        <v>8.0579999999999999E-2</v>
      </c>
      <c r="L101" s="4"/>
      <c r="M101" s="17">
        <v>1</v>
      </c>
      <c r="N101" s="18">
        <v>8.0579999999999999E-2</v>
      </c>
      <c r="O101" s="19">
        <v>0</v>
      </c>
      <c r="P101" s="13">
        <v>0</v>
      </c>
      <c r="Q101" s="73">
        <v>7.25</v>
      </c>
      <c r="R101" s="74">
        <v>1</v>
      </c>
      <c r="S101" s="74" t="s">
        <v>196</v>
      </c>
    </row>
    <row r="102" spans="1:19">
      <c r="A102" s="42" t="s">
        <v>78</v>
      </c>
      <c r="B102" s="3" t="s">
        <v>79</v>
      </c>
      <c r="C102" s="3">
        <v>7</v>
      </c>
      <c r="D102" s="1"/>
      <c r="E102" s="20" t="s">
        <v>17</v>
      </c>
      <c r="F102" s="7" t="s">
        <v>15</v>
      </c>
      <c r="G102" s="7" t="s">
        <v>36</v>
      </c>
      <c r="H102" s="11">
        <v>10.199999999999999</v>
      </c>
      <c r="I102" s="8">
        <v>7</v>
      </c>
      <c r="J102" s="26">
        <v>1</v>
      </c>
      <c r="K102" s="10">
        <v>7.1399999999999991E-2</v>
      </c>
      <c r="L102" s="4"/>
      <c r="M102" s="17">
        <v>1</v>
      </c>
      <c r="N102" s="18">
        <v>7.1399999999999991E-2</v>
      </c>
      <c r="O102" s="19">
        <v>0</v>
      </c>
      <c r="P102" s="13">
        <v>0</v>
      </c>
      <c r="Q102" s="73">
        <v>6.6</v>
      </c>
      <c r="R102" s="74">
        <v>1</v>
      </c>
      <c r="S102" s="74" t="s">
        <v>200</v>
      </c>
    </row>
    <row r="103" spans="1:19">
      <c r="A103" s="42" t="s">
        <v>78</v>
      </c>
      <c r="B103" s="3"/>
      <c r="C103" s="3">
        <v>41</v>
      </c>
      <c r="D103" s="1"/>
      <c r="E103" s="20" t="s">
        <v>17</v>
      </c>
      <c r="F103" s="7" t="s">
        <v>15</v>
      </c>
      <c r="G103" s="7" t="s">
        <v>36</v>
      </c>
      <c r="H103" s="11">
        <v>10.199999999999999</v>
      </c>
      <c r="I103" s="8">
        <v>11</v>
      </c>
      <c r="J103" s="26">
        <v>11</v>
      </c>
      <c r="K103" s="10">
        <v>1.2341999999999997</v>
      </c>
      <c r="L103" s="4"/>
      <c r="M103" s="17">
        <v>11</v>
      </c>
      <c r="N103" s="18">
        <v>1.2341999999999997</v>
      </c>
      <c r="O103" s="19">
        <v>0</v>
      </c>
      <c r="P103" s="13">
        <v>0</v>
      </c>
      <c r="Q103" s="73">
        <v>10.5</v>
      </c>
      <c r="R103" s="74">
        <v>11</v>
      </c>
      <c r="S103" s="74" t="s">
        <v>196</v>
      </c>
    </row>
    <row r="104" spans="1:19">
      <c r="A104" s="42" t="s">
        <v>90</v>
      </c>
      <c r="B104" s="3"/>
      <c r="C104" s="3">
        <v>180</v>
      </c>
      <c r="D104" s="1" t="s">
        <v>93</v>
      </c>
      <c r="E104" s="20" t="s">
        <v>17</v>
      </c>
      <c r="F104" s="7" t="s">
        <v>15</v>
      </c>
      <c r="G104" s="7" t="s">
        <v>36</v>
      </c>
      <c r="H104" s="11">
        <v>10.199999999999999</v>
      </c>
      <c r="I104" s="8">
        <v>6</v>
      </c>
      <c r="J104" s="26">
        <v>7</v>
      </c>
      <c r="K104" s="10">
        <v>0.4284</v>
      </c>
      <c r="L104" s="4"/>
      <c r="M104" s="17">
        <v>7</v>
      </c>
      <c r="N104" s="18">
        <v>0.4284</v>
      </c>
      <c r="O104" s="19">
        <v>0</v>
      </c>
      <c r="P104" s="13">
        <v>0</v>
      </c>
      <c r="Q104" s="73">
        <v>6</v>
      </c>
      <c r="R104" s="74">
        <v>7</v>
      </c>
      <c r="S104" s="74" t="s">
        <v>196</v>
      </c>
    </row>
    <row r="105" spans="1:19">
      <c r="A105" s="42" t="s">
        <v>90</v>
      </c>
      <c r="B105" s="3"/>
      <c r="C105" s="3">
        <v>180</v>
      </c>
      <c r="D105" s="1" t="s">
        <v>93</v>
      </c>
      <c r="E105" s="20" t="s">
        <v>17</v>
      </c>
      <c r="F105" s="7" t="s">
        <v>15</v>
      </c>
      <c r="G105" s="7" t="s">
        <v>36</v>
      </c>
      <c r="H105" s="11">
        <v>10.199999999999999</v>
      </c>
      <c r="I105" s="8">
        <v>6.25</v>
      </c>
      <c r="J105" s="26">
        <v>1</v>
      </c>
      <c r="K105" s="10">
        <v>6.3749999999999987E-2</v>
      </c>
      <c r="L105" s="4"/>
      <c r="M105" s="17">
        <v>1</v>
      </c>
      <c r="N105" s="18">
        <v>6.3749999999999987E-2</v>
      </c>
      <c r="O105" s="19">
        <v>0</v>
      </c>
      <c r="P105" s="13">
        <v>0</v>
      </c>
      <c r="Q105" s="73">
        <v>6</v>
      </c>
      <c r="R105" s="74">
        <v>1</v>
      </c>
      <c r="S105" s="74" t="s">
        <v>196</v>
      </c>
    </row>
    <row r="106" spans="1:19">
      <c r="A106" s="42" t="s">
        <v>90</v>
      </c>
      <c r="B106" s="3"/>
      <c r="C106" s="3">
        <v>206</v>
      </c>
      <c r="D106" s="1"/>
      <c r="E106" s="20" t="s">
        <v>17</v>
      </c>
      <c r="F106" s="7" t="s">
        <v>15</v>
      </c>
      <c r="G106" s="7" t="s">
        <v>36</v>
      </c>
      <c r="H106" s="11">
        <v>10.199999999999999</v>
      </c>
      <c r="I106" s="31">
        <v>10.5</v>
      </c>
      <c r="J106" s="17">
        <v>4</v>
      </c>
      <c r="K106" s="10">
        <v>0.4284</v>
      </c>
      <c r="L106" s="32"/>
      <c r="M106" s="32">
        <v>4</v>
      </c>
      <c r="N106" s="18">
        <v>0.4284</v>
      </c>
      <c r="O106" s="19">
        <v>0</v>
      </c>
      <c r="P106" s="13">
        <v>0</v>
      </c>
      <c r="Q106" s="79">
        <v>10.3</v>
      </c>
      <c r="R106" s="72">
        <v>4</v>
      </c>
      <c r="S106" s="74" t="s">
        <v>200</v>
      </c>
    </row>
    <row r="107" spans="1:19">
      <c r="A107" s="47" t="s">
        <v>147</v>
      </c>
      <c r="B107" s="48" t="s">
        <v>148</v>
      </c>
      <c r="C107" s="32">
        <v>301</v>
      </c>
      <c r="D107" s="32"/>
      <c r="E107" s="48" t="s">
        <v>17</v>
      </c>
      <c r="F107" s="48" t="s">
        <v>160</v>
      </c>
      <c r="G107" s="48" t="s">
        <v>36</v>
      </c>
      <c r="H107" s="11">
        <v>10.199999999999999</v>
      </c>
      <c r="I107" s="52">
        <v>12</v>
      </c>
      <c r="J107" s="7">
        <v>3</v>
      </c>
      <c r="K107" s="10">
        <v>0.36719999999999997</v>
      </c>
      <c r="L107" s="32"/>
      <c r="M107" s="32">
        <v>3</v>
      </c>
      <c r="N107" s="18">
        <v>0.36719999999999997</v>
      </c>
      <c r="O107" s="19">
        <v>0</v>
      </c>
      <c r="P107" s="13">
        <v>0</v>
      </c>
      <c r="Q107" s="79">
        <v>12</v>
      </c>
      <c r="R107" s="72">
        <v>3</v>
      </c>
      <c r="S107" s="74" t="s">
        <v>196</v>
      </c>
    </row>
    <row r="108" spans="1:19">
      <c r="A108" s="47" t="s">
        <v>147</v>
      </c>
      <c r="B108" s="48" t="s">
        <v>148</v>
      </c>
      <c r="C108" s="32">
        <v>310</v>
      </c>
      <c r="D108" s="32"/>
      <c r="E108" s="48" t="s">
        <v>17</v>
      </c>
      <c r="F108" s="48" t="s">
        <v>160</v>
      </c>
      <c r="G108" s="48" t="s">
        <v>36</v>
      </c>
      <c r="H108" s="11">
        <v>10.199999999999999</v>
      </c>
      <c r="I108" s="52">
        <v>12</v>
      </c>
      <c r="J108" s="7">
        <v>4</v>
      </c>
      <c r="K108" s="10">
        <v>0.48959999999999998</v>
      </c>
      <c r="L108" s="32"/>
      <c r="M108" s="32">
        <v>4</v>
      </c>
      <c r="N108" s="18">
        <v>0.48959999999999998</v>
      </c>
      <c r="O108" s="19">
        <v>0</v>
      </c>
      <c r="P108" s="13">
        <v>0</v>
      </c>
      <c r="Q108" s="79">
        <v>12</v>
      </c>
      <c r="R108" s="72">
        <v>4</v>
      </c>
      <c r="S108" s="74" t="s">
        <v>196</v>
      </c>
    </row>
    <row r="109" spans="1:19">
      <c r="A109" s="47" t="s">
        <v>147</v>
      </c>
      <c r="B109" s="48" t="s">
        <v>148</v>
      </c>
      <c r="C109" s="32">
        <v>311</v>
      </c>
      <c r="D109" s="32"/>
      <c r="E109" s="48" t="s">
        <v>17</v>
      </c>
      <c r="F109" s="48" t="s">
        <v>160</v>
      </c>
      <c r="G109" s="48" t="s">
        <v>36</v>
      </c>
      <c r="H109" s="11">
        <v>10.199999999999999</v>
      </c>
      <c r="I109" s="52">
        <v>11.9</v>
      </c>
      <c r="J109" s="7">
        <v>1</v>
      </c>
      <c r="K109" s="10">
        <v>0.12138</v>
      </c>
      <c r="L109" s="32"/>
      <c r="M109" s="32">
        <v>1</v>
      </c>
      <c r="N109" s="18">
        <v>0.12138</v>
      </c>
      <c r="O109" s="19">
        <v>0</v>
      </c>
      <c r="P109" s="13">
        <v>0</v>
      </c>
      <c r="Q109" s="79">
        <v>11.8</v>
      </c>
      <c r="R109" s="72">
        <v>1</v>
      </c>
      <c r="S109" s="74" t="s">
        <v>200</v>
      </c>
    </row>
    <row r="110" spans="1:19">
      <c r="A110" s="47" t="s">
        <v>147</v>
      </c>
      <c r="B110" s="48" t="s">
        <v>148</v>
      </c>
      <c r="C110" s="32">
        <v>311</v>
      </c>
      <c r="D110" s="32"/>
      <c r="E110" s="48" t="s">
        <v>17</v>
      </c>
      <c r="F110" s="48" t="s">
        <v>160</v>
      </c>
      <c r="G110" s="48" t="s">
        <v>36</v>
      </c>
      <c r="H110" s="11">
        <v>10.199999999999999</v>
      </c>
      <c r="I110" s="52">
        <v>9.1999999999999993</v>
      </c>
      <c r="J110" s="7">
        <v>4</v>
      </c>
      <c r="K110" s="10">
        <v>0.37535999999999997</v>
      </c>
      <c r="L110" s="32"/>
      <c r="M110" s="32">
        <v>4</v>
      </c>
      <c r="N110" s="18">
        <v>0.37535999999999997</v>
      </c>
      <c r="O110" s="19">
        <v>0</v>
      </c>
      <c r="P110" s="13">
        <v>0</v>
      </c>
      <c r="Q110" s="79">
        <v>8.25</v>
      </c>
      <c r="R110" s="72">
        <v>4</v>
      </c>
      <c r="S110" s="74" t="s">
        <v>196</v>
      </c>
    </row>
    <row r="111" spans="1:19">
      <c r="A111" s="44" t="s">
        <v>78</v>
      </c>
      <c r="B111" s="32" t="s">
        <v>109</v>
      </c>
      <c r="C111" s="3">
        <v>2</v>
      </c>
      <c r="D111" s="1"/>
      <c r="E111" s="20" t="s">
        <v>17</v>
      </c>
      <c r="F111" s="7" t="s">
        <v>15</v>
      </c>
      <c r="G111" s="7" t="s">
        <v>36</v>
      </c>
      <c r="H111" s="11">
        <v>10.199999999999999</v>
      </c>
      <c r="I111" s="33">
        <v>12</v>
      </c>
      <c r="J111" s="40">
        <v>3</v>
      </c>
      <c r="K111" s="10">
        <v>0.36719999999999997</v>
      </c>
      <c r="L111" s="4"/>
      <c r="M111" s="17">
        <v>3</v>
      </c>
      <c r="N111" s="18">
        <v>0.36719999999999997</v>
      </c>
      <c r="O111" s="19">
        <v>0</v>
      </c>
      <c r="P111" s="13">
        <v>0</v>
      </c>
      <c r="Q111" s="79">
        <v>12</v>
      </c>
      <c r="R111" s="72">
        <v>3</v>
      </c>
      <c r="S111" s="74" t="s">
        <v>196</v>
      </c>
    </row>
    <row r="112" spans="1:19">
      <c r="A112" s="45" t="s">
        <v>136</v>
      </c>
      <c r="B112" s="48" t="s">
        <v>171</v>
      </c>
      <c r="C112" s="32">
        <v>133</v>
      </c>
      <c r="D112" s="32"/>
      <c r="E112" s="48" t="s">
        <v>17</v>
      </c>
      <c r="F112" s="48" t="s">
        <v>15</v>
      </c>
      <c r="G112" s="48" t="s">
        <v>36</v>
      </c>
      <c r="H112" s="11">
        <v>10.199999999999999</v>
      </c>
      <c r="I112" s="52">
        <v>9.1999999999999993</v>
      </c>
      <c r="J112" s="7">
        <v>1</v>
      </c>
      <c r="K112" s="10">
        <v>9.3839999999999993E-2</v>
      </c>
      <c r="L112" s="32"/>
      <c r="M112" s="32">
        <v>1</v>
      </c>
      <c r="N112" s="18">
        <v>9.3839999999999993E-2</v>
      </c>
      <c r="O112" s="19">
        <v>0</v>
      </c>
      <c r="P112" s="13">
        <v>0</v>
      </c>
      <c r="Q112" s="79">
        <v>8.25</v>
      </c>
      <c r="R112" s="72">
        <v>1</v>
      </c>
      <c r="S112" s="74" t="s">
        <v>196</v>
      </c>
    </row>
    <row r="113" spans="1:19">
      <c r="A113" s="45" t="s">
        <v>136</v>
      </c>
      <c r="B113" s="48" t="s">
        <v>171</v>
      </c>
      <c r="C113" s="32">
        <v>133</v>
      </c>
      <c r="D113" s="32"/>
      <c r="E113" s="48" t="s">
        <v>17</v>
      </c>
      <c r="F113" s="48" t="s">
        <v>15</v>
      </c>
      <c r="G113" s="48" t="s">
        <v>36</v>
      </c>
      <c r="H113" s="11">
        <v>10.199999999999999</v>
      </c>
      <c r="I113" s="52">
        <v>10</v>
      </c>
      <c r="J113" s="7">
        <v>2</v>
      </c>
      <c r="K113" s="10">
        <v>0.20399999999999999</v>
      </c>
      <c r="L113" s="32"/>
      <c r="M113" s="32">
        <v>2</v>
      </c>
      <c r="N113" s="18">
        <v>0.20399999999999999</v>
      </c>
      <c r="O113" s="19">
        <v>0</v>
      </c>
      <c r="P113" s="13">
        <v>0</v>
      </c>
      <c r="Q113" s="79">
        <v>10</v>
      </c>
      <c r="R113" s="72">
        <v>2</v>
      </c>
      <c r="S113" s="74" t="s">
        <v>196</v>
      </c>
    </row>
    <row r="114" spans="1:19">
      <c r="O114" s="78">
        <f>SUM(O80:O113)</f>
        <v>1</v>
      </c>
      <c r="R114" s="80">
        <f>SUM(R80:R113)</f>
        <v>78</v>
      </c>
    </row>
    <row r="116" spans="1:19">
      <c r="A116" s="42" t="s">
        <v>90</v>
      </c>
      <c r="B116" s="3"/>
      <c r="C116" s="3">
        <v>104</v>
      </c>
      <c r="D116" s="1" t="s">
        <v>92</v>
      </c>
      <c r="E116" s="12" t="s">
        <v>184</v>
      </c>
      <c r="F116" s="7" t="s">
        <v>15</v>
      </c>
      <c r="G116" s="7" t="s">
        <v>36</v>
      </c>
      <c r="H116" s="11">
        <v>10.199999999999999</v>
      </c>
      <c r="I116" s="8">
        <v>10.5</v>
      </c>
      <c r="J116" s="26">
        <v>2</v>
      </c>
      <c r="K116" s="10">
        <v>0.2142</v>
      </c>
      <c r="L116" s="4"/>
      <c r="M116" s="17">
        <v>2</v>
      </c>
      <c r="N116" s="18">
        <v>0.2142</v>
      </c>
      <c r="O116" s="19">
        <v>0</v>
      </c>
      <c r="P116" s="13">
        <v>0</v>
      </c>
      <c r="Q116" s="73">
        <v>8</v>
      </c>
      <c r="R116" s="74">
        <v>2</v>
      </c>
      <c r="S116" s="74" t="s">
        <v>198</v>
      </c>
    </row>
    <row r="117" spans="1:19">
      <c r="A117" s="42" t="s">
        <v>90</v>
      </c>
      <c r="B117" s="3"/>
      <c r="C117" s="3">
        <v>104</v>
      </c>
      <c r="D117" s="1" t="s">
        <v>92</v>
      </c>
      <c r="E117" s="12" t="s">
        <v>184</v>
      </c>
      <c r="F117" s="7" t="s">
        <v>15</v>
      </c>
      <c r="G117" s="7" t="s">
        <v>36</v>
      </c>
      <c r="H117" s="11">
        <v>10.199999999999999</v>
      </c>
      <c r="I117" s="8">
        <v>11</v>
      </c>
      <c r="J117" s="26">
        <v>1</v>
      </c>
      <c r="K117" s="10">
        <v>0.11219999999999999</v>
      </c>
      <c r="L117" s="4"/>
      <c r="M117" s="17">
        <v>1</v>
      </c>
      <c r="N117" s="18">
        <v>0.11219999999999999</v>
      </c>
      <c r="O117" s="19">
        <v>0</v>
      </c>
      <c r="P117" s="13">
        <v>0</v>
      </c>
      <c r="Q117" s="73">
        <v>8</v>
      </c>
      <c r="R117" s="74">
        <v>1</v>
      </c>
      <c r="S117" s="74" t="s">
        <v>198</v>
      </c>
    </row>
    <row r="118" spans="1:19">
      <c r="A118" s="42" t="s">
        <v>90</v>
      </c>
      <c r="B118" s="3"/>
      <c r="C118" s="3">
        <v>105</v>
      </c>
      <c r="D118" s="1" t="s">
        <v>93</v>
      </c>
      <c r="E118" s="12" t="s">
        <v>20</v>
      </c>
      <c r="F118" s="7" t="s">
        <v>15</v>
      </c>
      <c r="G118" s="7" t="s">
        <v>36</v>
      </c>
      <c r="H118" s="11">
        <v>10.199999999999999</v>
      </c>
      <c r="I118" s="8">
        <v>6</v>
      </c>
      <c r="J118" s="26">
        <v>1</v>
      </c>
      <c r="K118" s="10">
        <v>6.1199999999999997E-2</v>
      </c>
      <c r="L118" s="4"/>
      <c r="M118" s="17">
        <v>1</v>
      </c>
      <c r="N118" s="18">
        <v>6.1199999999999997E-2</v>
      </c>
      <c r="O118" s="19">
        <v>0</v>
      </c>
      <c r="P118" s="13">
        <v>0</v>
      </c>
      <c r="Q118" s="73">
        <v>6</v>
      </c>
      <c r="R118" s="74">
        <v>1</v>
      </c>
      <c r="S118" s="74" t="s">
        <v>198</v>
      </c>
    </row>
    <row r="119" spans="1:19">
      <c r="A119" s="42" t="s">
        <v>90</v>
      </c>
      <c r="B119" s="3"/>
      <c r="C119" s="3">
        <v>105</v>
      </c>
      <c r="D119" s="1" t="s">
        <v>93</v>
      </c>
      <c r="E119" s="12" t="s">
        <v>20</v>
      </c>
      <c r="F119" s="7" t="s">
        <v>15</v>
      </c>
      <c r="G119" s="7" t="s">
        <v>36</v>
      </c>
      <c r="H119" s="11">
        <v>10.199999999999999</v>
      </c>
      <c r="I119" s="8">
        <v>9</v>
      </c>
      <c r="J119" s="26">
        <v>1</v>
      </c>
      <c r="K119" s="10">
        <v>9.1799999999999993E-2</v>
      </c>
      <c r="L119" s="4"/>
      <c r="M119" s="17">
        <v>1</v>
      </c>
      <c r="N119" s="18">
        <v>9.1799999999999993E-2</v>
      </c>
      <c r="O119" s="19">
        <v>0</v>
      </c>
      <c r="P119" s="13">
        <v>0</v>
      </c>
      <c r="Q119" s="73">
        <v>8</v>
      </c>
      <c r="R119" s="74">
        <v>1</v>
      </c>
      <c r="S119" s="74" t="s">
        <v>198</v>
      </c>
    </row>
    <row r="120" spans="1:19">
      <c r="A120" s="42" t="s">
        <v>90</v>
      </c>
      <c r="B120" s="3"/>
      <c r="C120" s="3">
        <v>105</v>
      </c>
      <c r="D120" s="1" t="s">
        <v>93</v>
      </c>
      <c r="E120" s="12" t="s">
        <v>20</v>
      </c>
      <c r="F120" s="7" t="s">
        <v>15</v>
      </c>
      <c r="G120" s="7" t="s">
        <v>36</v>
      </c>
      <c r="H120" s="11">
        <v>10.199999999999999</v>
      </c>
      <c r="I120" s="8">
        <v>10.3</v>
      </c>
      <c r="J120" s="26">
        <v>1</v>
      </c>
      <c r="K120" s="10">
        <v>0.10506</v>
      </c>
      <c r="L120" s="4"/>
      <c r="M120" s="17">
        <v>1</v>
      </c>
      <c r="N120" s="18">
        <v>0.10506</v>
      </c>
      <c r="O120" s="19">
        <v>0</v>
      </c>
      <c r="P120" s="13">
        <v>0</v>
      </c>
      <c r="Q120" s="73">
        <v>8</v>
      </c>
      <c r="R120" s="74">
        <v>1</v>
      </c>
      <c r="S120" s="74" t="s">
        <v>198</v>
      </c>
    </row>
    <row r="121" spans="1:19">
      <c r="A121" s="42" t="s">
        <v>90</v>
      </c>
      <c r="B121" s="3"/>
      <c r="C121" s="3">
        <v>167</v>
      </c>
      <c r="D121" s="1"/>
      <c r="E121" s="12" t="s">
        <v>20</v>
      </c>
      <c r="F121" s="7" t="s">
        <v>15</v>
      </c>
      <c r="G121" s="7" t="s">
        <v>36</v>
      </c>
      <c r="H121" s="11">
        <v>10.199999999999999</v>
      </c>
      <c r="I121" s="8">
        <v>5.5</v>
      </c>
      <c r="J121" s="26">
        <v>1</v>
      </c>
      <c r="K121" s="10">
        <v>5.6099999999999997E-2</v>
      </c>
      <c r="L121" s="4"/>
      <c r="M121" s="17"/>
      <c r="N121" s="18">
        <v>0</v>
      </c>
      <c r="O121" s="19">
        <v>1</v>
      </c>
      <c r="P121" s="13">
        <v>5.6099999999999997E-2</v>
      </c>
      <c r="Q121" s="9"/>
      <c r="R121" s="2"/>
      <c r="S121" s="2"/>
    </row>
    <row r="122" spans="1:19">
      <c r="A122" s="42" t="s">
        <v>90</v>
      </c>
      <c r="B122" s="3"/>
      <c r="C122" s="3">
        <v>168</v>
      </c>
      <c r="D122" s="1" t="s">
        <v>98</v>
      </c>
      <c r="E122" s="12" t="s">
        <v>20</v>
      </c>
      <c r="F122" s="7" t="s">
        <v>15</v>
      </c>
      <c r="G122" s="7" t="s">
        <v>36</v>
      </c>
      <c r="H122" s="11">
        <v>10.199999999999999</v>
      </c>
      <c r="I122" s="8">
        <v>10.4</v>
      </c>
      <c r="J122" s="26">
        <v>1</v>
      </c>
      <c r="K122" s="10">
        <v>0.10607999999999999</v>
      </c>
      <c r="L122" s="4"/>
      <c r="M122" s="17">
        <v>1</v>
      </c>
      <c r="N122" s="18">
        <v>0.10607999999999999</v>
      </c>
      <c r="O122" s="19">
        <v>0</v>
      </c>
      <c r="P122" s="13">
        <v>0</v>
      </c>
      <c r="Q122" s="73">
        <v>8</v>
      </c>
      <c r="R122" s="74">
        <v>1</v>
      </c>
      <c r="S122" s="74" t="s">
        <v>198</v>
      </c>
    </row>
    <row r="123" spans="1:19">
      <c r="O123" s="6">
        <f>SUM(O116:O122)</f>
        <v>1</v>
      </c>
      <c r="R123" s="6">
        <f>SUM(R116:R122)</f>
        <v>7</v>
      </c>
    </row>
    <row r="125" spans="1:19">
      <c r="A125" s="42" t="s">
        <v>78</v>
      </c>
      <c r="B125" s="3" t="s">
        <v>79</v>
      </c>
      <c r="C125" s="3"/>
      <c r="D125" s="1"/>
      <c r="E125" s="20" t="s">
        <v>17</v>
      </c>
      <c r="F125" s="7" t="s">
        <v>15</v>
      </c>
      <c r="G125" s="7" t="s">
        <v>41</v>
      </c>
      <c r="H125" s="11">
        <v>11.8</v>
      </c>
      <c r="I125" s="8">
        <v>8.3000000000000007</v>
      </c>
      <c r="J125" s="26">
        <v>1</v>
      </c>
      <c r="K125" s="10">
        <v>9.7940000000000013E-2</v>
      </c>
      <c r="L125" s="4"/>
      <c r="M125" s="17">
        <v>1</v>
      </c>
      <c r="N125" s="18">
        <v>9.7940000000000013E-2</v>
      </c>
      <c r="O125" s="19">
        <v>0</v>
      </c>
      <c r="P125" s="13">
        <v>0</v>
      </c>
      <c r="Q125" s="73">
        <v>7.5</v>
      </c>
      <c r="R125" s="74">
        <v>1</v>
      </c>
      <c r="S125" s="74" t="s">
        <v>202</v>
      </c>
    </row>
    <row r="126" spans="1:19">
      <c r="A126" s="42" t="s">
        <v>78</v>
      </c>
      <c r="B126" s="3" t="s">
        <v>79</v>
      </c>
      <c r="C126" s="3"/>
      <c r="D126" s="1"/>
      <c r="E126" s="20" t="s">
        <v>17</v>
      </c>
      <c r="F126" s="7" t="s">
        <v>15</v>
      </c>
      <c r="G126" s="7" t="s">
        <v>41</v>
      </c>
      <c r="H126" s="11">
        <v>11.8</v>
      </c>
      <c r="I126" s="8">
        <v>8.1</v>
      </c>
      <c r="J126" s="26">
        <v>2</v>
      </c>
      <c r="K126" s="10">
        <v>0.19116</v>
      </c>
      <c r="L126" s="4"/>
      <c r="M126" s="17">
        <v>2</v>
      </c>
      <c r="N126" s="18">
        <v>0.19116</v>
      </c>
      <c r="O126" s="19">
        <v>0</v>
      </c>
      <c r="P126" s="13">
        <v>0</v>
      </c>
      <c r="Q126" s="73">
        <v>7.5</v>
      </c>
      <c r="R126" s="74">
        <v>2</v>
      </c>
      <c r="S126" s="74" t="s">
        <v>202</v>
      </c>
    </row>
    <row r="127" spans="1:19">
      <c r="A127" s="42" t="s">
        <v>90</v>
      </c>
      <c r="B127" s="3"/>
      <c r="C127" s="3">
        <v>174</v>
      </c>
      <c r="D127" s="1"/>
      <c r="E127" s="20" t="s">
        <v>17</v>
      </c>
      <c r="F127" s="7" t="s">
        <v>15</v>
      </c>
      <c r="G127" s="7" t="s">
        <v>41</v>
      </c>
      <c r="H127" s="11">
        <v>11.8</v>
      </c>
      <c r="I127" s="8">
        <v>9</v>
      </c>
      <c r="J127" s="26">
        <v>1</v>
      </c>
      <c r="K127" s="10">
        <v>0.1062</v>
      </c>
      <c r="L127" s="4"/>
      <c r="M127" s="17">
        <v>1</v>
      </c>
      <c r="N127" s="18">
        <v>0.1062</v>
      </c>
      <c r="O127" s="19">
        <v>0</v>
      </c>
      <c r="P127" s="13">
        <v>0</v>
      </c>
      <c r="Q127" s="73">
        <v>7.5</v>
      </c>
      <c r="R127" s="74">
        <v>1</v>
      </c>
      <c r="S127" s="74" t="s">
        <v>202</v>
      </c>
    </row>
    <row r="128" spans="1:19">
      <c r="A128" s="42" t="s">
        <v>90</v>
      </c>
      <c r="B128" s="3"/>
      <c r="C128" s="3">
        <v>174</v>
      </c>
      <c r="D128" s="1"/>
      <c r="E128" s="20" t="s">
        <v>17</v>
      </c>
      <c r="F128" s="7" t="s">
        <v>15</v>
      </c>
      <c r="G128" s="7" t="s">
        <v>41</v>
      </c>
      <c r="H128" s="11">
        <v>11.8</v>
      </c>
      <c r="I128" s="8">
        <v>10.5</v>
      </c>
      <c r="J128" s="26">
        <v>1</v>
      </c>
      <c r="K128" s="10">
        <v>0.12390000000000001</v>
      </c>
      <c r="L128" s="4"/>
      <c r="M128" s="17">
        <v>1</v>
      </c>
      <c r="N128" s="18">
        <v>0.12390000000000001</v>
      </c>
      <c r="O128" s="19">
        <v>0</v>
      </c>
      <c r="P128" s="13">
        <v>0</v>
      </c>
      <c r="Q128" s="73">
        <v>7.5</v>
      </c>
      <c r="R128" s="74">
        <v>1</v>
      </c>
      <c r="S128" s="74" t="s">
        <v>202</v>
      </c>
    </row>
    <row r="129" spans="1:19">
      <c r="A129" s="44" t="s">
        <v>78</v>
      </c>
      <c r="B129" s="3" t="s">
        <v>80</v>
      </c>
      <c r="C129" s="3">
        <v>10</v>
      </c>
      <c r="D129" s="1"/>
      <c r="E129" s="20" t="s">
        <v>17</v>
      </c>
      <c r="F129" s="7" t="s">
        <v>15</v>
      </c>
      <c r="G129" s="7" t="s">
        <v>41</v>
      </c>
      <c r="H129" s="11">
        <v>11.8</v>
      </c>
      <c r="I129" s="8">
        <v>11</v>
      </c>
      <c r="J129" s="26">
        <v>1</v>
      </c>
      <c r="K129" s="10">
        <v>0.1298</v>
      </c>
      <c r="L129" s="4"/>
      <c r="M129" s="17">
        <v>1</v>
      </c>
      <c r="N129" s="18">
        <v>0.1298</v>
      </c>
      <c r="O129" s="19">
        <v>0</v>
      </c>
      <c r="P129" s="13">
        <v>0</v>
      </c>
      <c r="Q129" s="73">
        <v>7.5</v>
      </c>
      <c r="R129" s="72">
        <v>1</v>
      </c>
      <c r="S129" s="74" t="s">
        <v>202</v>
      </c>
    </row>
    <row r="130" spans="1:19">
      <c r="A130" s="44"/>
      <c r="B130" s="3"/>
      <c r="C130" s="3"/>
      <c r="D130" s="1"/>
      <c r="E130" s="20"/>
      <c r="F130" s="7"/>
      <c r="G130" s="7"/>
      <c r="H130" s="11"/>
      <c r="I130" s="8"/>
      <c r="J130" s="26"/>
      <c r="K130" s="10"/>
      <c r="L130" s="4"/>
      <c r="M130" s="17"/>
      <c r="N130" s="18"/>
      <c r="O130" s="19"/>
      <c r="P130" s="13"/>
      <c r="Q130" s="9"/>
      <c r="R130" s="32"/>
      <c r="S130" s="2"/>
    </row>
    <row r="131" spans="1:19">
      <c r="A131" s="45" t="s">
        <v>136</v>
      </c>
      <c r="B131" s="48" t="s">
        <v>171</v>
      </c>
      <c r="C131" s="32">
        <v>111</v>
      </c>
      <c r="D131" s="32"/>
      <c r="E131" s="48" t="s">
        <v>17</v>
      </c>
      <c r="F131" s="48" t="s">
        <v>15</v>
      </c>
      <c r="G131" s="48" t="s">
        <v>41</v>
      </c>
      <c r="H131" s="11">
        <v>11.8</v>
      </c>
      <c r="I131" s="52">
        <v>6.1</v>
      </c>
      <c r="J131" s="7">
        <v>1</v>
      </c>
      <c r="K131" s="10">
        <v>7.1980000000000002E-2</v>
      </c>
      <c r="L131" s="32"/>
      <c r="M131" s="32">
        <v>1</v>
      </c>
      <c r="N131" s="18">
        <v>7.1980000000000002E-2</v>
      </c>
      <c r="O131" s="19">
        <v>0</v>
      </c>
      <c r="P131" s="13">
        <v>0</v>
      </c>
      <c r="Q131" s="75">
        <v>6.2</v>
      </c>
      <c r="R131" s="72">
        <v>1</v>
      </c>
      <c r="S131" s="72" t="s">
        <v>201</v>
      </c>
    </row>
    <row r="132" spans="1:19">
      <c r="A132" s="45" t="s">
        <v>136</v>
      </c>
      <c r="B132" s="48" t="s">
        <v>171</v>
      </c>
      <c r="C132" s="32">
        <v>111</v>
      </c>
      <c r="D132" s="32"/>
      <c r="E132" s="48" t="s">
        <v>17</v>
      </c>
      <c r="F132" s="48" t="s">
        <v>15</v>
      </c>
      <c r="G132" s="48" t="s">
        <v>41</v>
      </c>
      <c r="H132" s="11">
        <v>11.8</v>
      </c>
      <c r="I132" s="52">
        <v>7</v>
      </c>
      <c r="J132" s="7">
        <v>1</v>
      </c>
      <c r="K132" s="10">
        <v>8.2600000000000007E-2</v>
      </c>
      <c r="L132" s="32"/>
      <c r="M132" s="32">
        <v>1</v>
      </c>
      <c r="N132" s="18">
        <v>8.2600000000000007E-2</v>
      </c>
      <c r="O132" s="19">
        <v>0</v>
      </c>
      <c r="P132" s="13">
        <v>0</v>
      </c>
      <c r="Q132" s="75">
        <v>6.2</v>
      </c>
      <c r="R132" s="72">
        <v>1</v>
      </c>
      <c r="S132" s="72" t="s">
        <v>201</v>
      </c>
    </row>
    <row r="133" spans="1:19">
      <c r="A133" s="45" t="s">
        <v>136</v>
      </c>
      <c r="B133" s="48" t="s">
        <v>171</v>
      </c>
      <c r="C133" s="32">
        <v>114</v>
      </c>
      <c r="D133" s="32"/>
      <c r="E133" s="48" t="s">
        <v>17</v>
      </c>
      <c r="F133" s="48" t="s">
        <v>15</v>
      </c>
      <c r="G133" s="48" t="s">
        <v>41</v>
      </c>
      <c r="H133" s="11">
        <v>11.8</v>
      </c>
      <c r="I133" s="52">
        <v>9.1999999999999993</v>
      </c>
      <c r="J133" s="7">
        <v>1</v>
      </c>
      <c r="K133" s="10">
        <v>0.10856</v>
      </c>
      <c r="L133" s="32"/>
      <c r="M133" s="32">
        <v>1</v>
      </c>
      <c r="N133" s="18">
        <v>0.10856</v>
      </c>
      <c r="O133" s="19">
        <v>0</v>
      </c>
      <c r="P133" s="13">
        <v>0</v>
      </c>
      <c r="Q133" s="81">
        <v>7.4</v>
      </c>
      <c r="R133" s="72">
        <v>1</v>
      </c>
      <c r="S133" s="72" t="s">
        <v>201</v>
      </c>
    </row>
    <row r="134" spans="1:19">
      <c r="A134" s="45" t="s">
        <v>136</v>
      </c>
      <c r="B134" s="48" t="s">
        <v>171</v>
      </c>
      <c r="C134" s="32">
        <v>114</v>
      </c>
      <c r="D134" s="32"/>
      <c r="E134" s="48" t="s">
        <v>17</v>
      </c>
      <c r="F134" s="48" t="s">
        <v>15</v>
      </c>
      <c r="G134" s="48" t="s">
        <v>41</v>
      </c>
      <c r="H134" s="11">
        <v>11.8</v>
      </c>
      <c r="I134" s="52">
        <v>10.5</v>
      </c>
      <c r="J134" s="7">
        <v>1</v>
      </c>
      <c r="K134" s="10">
        <v>0.12390000000000001</v>
      </c>
      <c r="L134" s="32"/>
      <c r="M134" s="32">
        <v>1</v>
      </c>
      <c r="N134" s="18">
        <v>0.12390000000000001</v>
      </c>
      <c r="O134" s="19">
        <v>0</v>
      </c>
      <c r="P134" s="13">
        <v>0</v>
      </c>
      <c r="Q134" s="81">
        <v>10</v>
      </c>
      <c r="R134" s="72">
        <v>1</v>
      </c>
      <c r="S134" s="72" t="s">
        <v>201</v>
      </c>
    </row>
    <row r="135" spans="1:19">
      <c r="O135" s="82">
        <f>SUM(O125:O134)</f>
        <v>0</v>
      </c>
      <c r="P135" s="29"/>
      <c r="Q135" s="29"/>
      <c r="R135" s="83">
        <f>SUM(R125:R134)</f>
        <v>10</v>
      </c>
    </row>
    <row r="137" spans="1:19">
      <c r="A137" s="42" t="s">
        <v>77</v>
      </c>
      <c r="B137" s="3" t="s">
        <v>68</v>
      </c>
      <c r="C137" s="3">
        <v>251</v>
      </c>
      <c r="D137" s="1"/>
      <c r="E137" s="12" t="s">
        <v>20</v>
      </c>
      <c r="F137" s="7" t="s">
        <v>15</v>
      </c>
      <c r="G137" s="7" t="s">
        <v>41</v>
      </c>
      <c r="H137" s="11">
        <v>11.8</v>
      </c>
      <c r="I137" s="8">
        <v>6.2</v>
      </c>
      <c r="J137" s="26">
        <v>1</v>
      </c>
      <c r="K137" s="10">
        <v>7.3160000000000017E-2</v>
      </c>
      <c r="L137" s="4"/>
      <c r="M137" s="17"/>
      <c r="N137" s="18">
        <v>0</v>
      </c>
      <c r="O137" s="19">
        <v>1</v>
      </c>
      <c r="P137" s="13">
        <v>7.3160000000000017E-2</v>
      </c>
      <c r="Q137" s="9"/>
      <c r="R137" s="2"/>
      <c r="S137" s="2"/>
    </row>
    <row r="138" spans="1:19">
      <c r="A138" s="42" t="s">
        <v>77</v>
      </c>
      <c r="B138" s="3" t="s">
        <v>68</v>
      </c>
      <c r="C138" s="3">
        <v>251</v>
      </c>
      <c r="D138" s="1"/>
      <c r="E138" s="12" t="s">
        <v>20</v>
      </c>
      <c r="F138" s="7" t="s">
        <v>15</v>
      </c>
      <c r="G138" s="7" t="s">
        <v>41</v>
      </c>
      <c r="H138" s="11">
        <v>11.8</v>
      </c>
      <c r="I138" s="8">
        <v>6.4</v>
      </c>
      <c r="J138" s="26">
        <v>1</v>
      </c>
      <c r="K138" s="10">
        <v>7.5520000000000004E-2</v>
      </c>
      <c r="L138" s="4"/>
      <c r="M138" s="17"/>
      <c r="N138" s="18">
        <v>0</v>
      </c>
      <c r="O138" s="19">
        <v>1</v>
      </c>
      <c r="P138" s="13">
        <v>7.5520000000000004E-2</v>
      </c>
      <c r="Q138" s="9"/>
      <c r="R138" s="2"/>
      <c r="S138" s="2"/>
    </row>
    <row r="139" spans="1:19">
      <c r="A139" s="42" t="s">
        <v>90</v>
      </c>
      <c r="B139" s="48" t="s">
        <v>148</v>
      </c>
      <c r="C139" s="32">
        <v>77</v>
      </c>
      <c r="D139" s="32"/>
      <c r="E139" s="48" t="s">
        <v>20</v>
      </c>
      <c r="F139" s="48" t="s">
        <v>15</v>
      </c>
      <c r="G139" s="48" t="s">
        <v>41</v>
      </c>
      <c r="H139" s="11">
        <v>11.8</v>
      </c>
      <c r="I139" s="52">
        <v>10.199999999999999</v>
      </c>
      <c r="J139" s="7">
        <v>1</v>
      </c>
      <c r="K139" s="10">
        <v>0.12035999999999999</v>
      </c>
      <c r="L139" s="32"/>
      <c r="M139" s="32">
        <v>1</v>
      </c>
      <c r="N139" s="18">
        <v>0.12035999999999999</v>
      </c>
      <c r="O139" s="19">
        <v>0</v>
      </c>
      <c r="P139" s="13">
        <v>0</v>
      </c>
      <c r="Q139" s="75">
        <v>7.5</v>
      </c>
      <c r="R139" s="72">
        <v>1</v>
      </c>
      <c r="S139" s="72" t="s">
        <v>198</v>
      </c>
    </row>
    <row r="140" spans="1:19">
      <c r="A140" s="42" t="s">
        <v>90</v>
      </c>
      <c r="B140" s="48" t="s">
        <v>148</v>
      </c>
      <c r="C140" s="32">
        <v>77</v>
      </c>
      <c r="D140" s="32"/>
      <c r="E140" s="48" t="s">
        <v>20</v>
      </c>
      <c r="F140" s="48" t="s">
        <v>15</v>
      </c>
      <c r="G140" s="48" t="s">
        <v>41</v>
      </c>
      <c r="H140" s="11">
        <v>11.8</v>
      </c>
      <c r="I140" s="52">
        <v>10.6</v>
      </c>
      <c r="J140" s="7">
        <v>1</v>
      </c>
      <c r="K140" s="10">
        <v>0.12508</v>
      </c>
      <c r="L140" s="32"/>
      <c r="M140" s="32">
        <v>1</v>
      </c>
      <c r="N140" s="18">
        <v>0.12508</v>
      </c>
      <c r="O140" s="19">
        <v>0</v>
      </c>
      <c r="P140" s="13">
        <v>0</v>
      </c>
      <c r="Q140" s="75">
        <v>7.5</v>
      </c>
      <c r="R140" s="72">
        <v>1</v>
      </c>
      <c r="S140" s="72" t="s">
        <v>198</v>
      </c>
    </row>
    <row r="141" spans="1:19">
      <c r="A141" s="42" t="s">
        <v>90</v>
      </c>
      <c r="B141" s="3"/>
      <c r="C141" s="3">
        <v>163</v>
      </c>
      <c r="D141" s="1"/>
      <c r="E141" s="12" t="s">
        <v>114</v>
      </c>
      <c r="F141" s="7" t="s">
        <v>15</v>
      </c>
      <c r="G141" s="7" t="s">
        <v>41</v>
      </c>
      <c r="H141" s="11">
        <v>11.8</v>
      </c>
      <c r="I141" s="8">
        <v>12</v>
      </c>
      <c r="J141" s="26">
        <v>3</v>
      </c>
      <c r="K141" s="10">
        <v>0.42480000000000007</v>
      </c>
      <c r="L141" s="4"/>
      <c r="M141" s="22">
        <v>3</v>
      </c>
      <c r="N141" s="18">
        <v>0.42480000000000001</v>
      </c>
      <c r="O141" s="19">
        <v>0</v>
      </c>
      <c r="P141" s="13">
        <v>0</v>
      </c>
      <c r="Q141" s="81">
        <v>11.5</v>
      </c>
      <c r="R141" s="74">
        <v>3</v>
      </c>
      <c r="S141" s="72" t="s">
        <v>198</v>
      </c>
    </row>
    <row r="142" spans="1:19">
      <c r="A142" s="42" t="s">
        <v>90</v>
      </c>
      <c r="B142" s="3"/>
      <c r="C142" s="3">
        <v>203</v>
      </c>
      <c r="D142" s="1" t="s">
        <v>98</v>
      </c>
      <c r="E142" s="30" t="s">
        <v>20</v>
      </c>
      <c r="F142" s="7" t="s">
        <v>15</v>
      </c>
      <c r="G142" s="7" t="s">
        <v>41</v>
      </c>
      <c r="H142" s="11">
        <v>11.8</v>
      </c>
      <c r="I142" s="31">
        <v>10.5</v>
      </c>
      <c r="J142" s="32">
        <v>1</v>
      </c>
      <c r="K142" s="10">
        <v>0.12390000000000001</v>
      </c>
      <c r="L142" s="32"/>
      <c r="M142" s="32">
        <v>1</v>
      </c>
      <c r="N142" s="18">
        <v>0.12390000000000001</v>
      </c>
      <c r="O142" s="19">
        <v>0</v>
      </c>
      <c r="P142" s="13">
        <v>0</v>
      </c>
      <c r="Q142" s="75">
        <v>7.5</v>
      </c>
      <c r="R142" s="72">
        <v>1</v>
      </c>
      <c r="S142" s="72" t="s">
        <v>198</v>
      </c>
    </row>
    <row r="143" spans="1:19">
      <c r="A143" s="42" t="s">
        <v>90</v>
      </c>
      <c r="B143" s="3"/>
      <c r="C143" s="3">
        <v>208</v>
      </c>
      <c r="D143" s="1"/>
      <c r="E143" s="30" t="s">
        <v>20</v>
      </c>
      <c r="F143" s="7" t="s">
        <v>15</v>
      </c>
      <c r="G143" s="7" t="s">
        <v>41</v>
      </c>
      <c r="H143" s="11">
        <v>11.8</v>
      </c>
      <c r="I143" s="31">
        <v>10.1</v>
      </c>
      <c r="J143" s="17">
        <v>1</v>
      </c>
      <c r="K143" s="10">
        <v>0.11918000000000001</v>
      </c>
      <c r="L143" s="32"/>
      <c r="M143" s="32">
        <v>1</v>
      </c>
      <c r="N143" s="18">
        <v>0.11918000000000001</v>
      </c>
      <c r="O143" s="19">
        <v>0</v>
      </c>
      <c r="P143" s="13">
        <v>0</v>
      </c>
      <c r="Q143" s="75">
        <v>7.5</v>
      </c>
      <c r="R143" s="72">
        <v>1</v>
      </c>
      <c r="S143" s="72" t="s">
        <v>198</v>
      </c>
    </row>
    <row r="144" spans="1:19">
      <c r="A144" s="42" t="s">
        <v>90</v>
      </c>
      <c r="B144" s="3"/>
      <c r="C144" s="3">
        <v>209</v>
      </c>
      <c r="D144" s="1"/>
      <c r="E144" s="30" t="s">
        <v>20</v>
      </c>
      <c r="F144" s="7" t="s">
        <v>15</v>
      </c>
      <c r="G144" s="7" t="s">
        <v>41</v>
      </c>
      <c r="H144" s="11">
        <v>11.8</v>
      </c>
      <c r="I144" s="33">
        <v>12</v>
      </c>
      <c r="J144" s="32">
        <v>1</v>
      </c>
      <c r="K144" s="10">
        <v>0.14160000000000003</v>
      </c>
      <c r="L144" s="32" t="s">
        <v>104</v>
      </c>
      <c r="M144" s="32">
        <v>1</v>
      </c>
      <c r="N144" s="18">
        <v>0.14160000000000003</v>
      </c>
      <c r="O144" s="19">
        <v>0</v>
      </c>
      <c r="P144" s="13">
        <v>0</v>
      </c>
      <c r="Q144" s="73">
        <v>11.5</v>
      </c>
      <c r="R144" s="72">
        <v>1</v>
      </c>
      <c r="S144" s="72" t="s">
        <v>198</v>
      </c>
    </row>
    <row r="145" spans="1:19">
      <c r="A145" s="47" t="s">
        <v>147</v>
      </c>
      <c r="B145" s="48" t="s">
        <v>148</v>
      </c>
      <c r="C145" s="32">
        <v>287</v>
      </c>
      <c r="D145" s="32"/>
      <c r="E145" s="48" t="s">
        <v>20</v>
      </c>
      <c r="F145" s="48" t="s">
        <v>160</v>
      </c>
      <c r="G145" s="48" t="s">
        <v>41</v>
      </c>
      <c r="H145" s="11">
        <v>11.8</v>
      </c>
      <c r="I145" s="52">
        <v>12</v>
      </c>
      <c r="J145" s="7">
        <v>2</v>
      </c>
      <c r="K145" s="10">
        <v>0.28320000000000006</v>
      </c>
      <c r="L145" s="32"/>
      <c r="M145" s="32">
        <v>2</v>
      </c>
      <c r="N145" s="18">
        <v>0.28320000000000006</v>
      </c>
      <c r="O145" s="19">
        <v>0</v>
      </c>
      <c r="P145" s="13">
        <v>0</v>
      </c>
      <c r="Q145" s="73">
        <v>11.5</v>
      </c>
      <c r="R145" s="72">
        <v>2</v>
      </c>
      <c r="S145" s="72" t="s">
        <v>198</v>
      </c>
    </row>
    <row r="146" spans="1:19">
      <c r="A146" s="44" t="s">
        <v>78</v>
      </c>
      <c r="B146" s="32" t="s">
        <v>109</v>
      </c>
      <c r="C146" s="3">
        <v>1</v>
      </c>
      <c r="D146" s="1"/>
      <c r="E146" s="20" t="s">
        <v>20</v>
      </c>
      <c r="F146" s="7" t="s">
        <v>15</v>
      </c>
      <c r="G146" s="7" t="s">
        <v>41</v>
      </c>
      <c r="H146" s="11">
        <v>11.8</v>
      </c>
      <c r="I146" s="33">
        <v>11.8</v>
      </c>
      <c r="J146" s="40">
        <v>1</v>
      </c>
      <c r="K146" s="10">
        <v>0.13924</v>
      </c>
      <c r="L146" s="4"/>
      <c r="M146" s="17">
        <v>1</v>
      </c>
      <c r="N146" s="18">
        <v>0.13924</v>
      </c>
      <c r="O146" s="19">
        <v>0</v>
      </c>
      <c r="P146" s="13">
        <v>0</v>
      </c>
      <c r="Q146" s="73">
        <v>11.5</v>
      </c>
      <c r="R146" s="72">
        <v>1</v>
      </c>
      <c r="S146" s="72" t="s">
        <v>198</v>
      </c>
    </row>
    <row r="147" spans="1:19">
      <c r="A147" s="44" t="s">
        <v>78</v>
      </c>
      <c r="B147" s="32" t="s">
        <v>109</v>
      </c>
      <c r="C147" s="3">
        <v>1</v>
      </c>
      <c r="D147" s="1"/>
      <c r="E147" s="20" t="s">
        <v>20</v>
      </c>
      <c r="F147" s="7" t="s">
        <v>15</v>
      </c>
      <c r="G147" s="7" t="s">
        <v>41</v>
      </c>
      <c r="H147" s="11">
        <v>11.8</v>
      </c>
      <c r="I147" s="33">
        <v>11.5</v>
      </c>
      <c r="J147" s="40">
        <v>1</v>
      </c>
      <c r="K147" s="10">
        <v>0.13570000000000002</v>
      </c>
      <c r="L147" s="4"/>
      <c r="M147" s="17">
        <v>1</v>
      </c>
      <c r="N147" s="18">
        <v>0.13570000000000002</v>
      </c>
      <c r="O147" s="19">
        <v>0</v>
      </c>
      <c r="P147" s="13">
        <v>0</v>
      </c>
      <c r="Q147" s="73">
        <v>11.5</v>
      </c>
      <c r="R147" s="72">
        <v>1</v>
      </c>
      <c r="S147" s="72" t="s">
        <v>198</v>
      </c>
    </row>
    <row r="148" spans="1:19">
      <c r="A148" s="44" t="s">
        <v>78</v>
      </c>
      <c r="B148" s="32" t="s">
        <v>109</v>
      </c>
      <c r="C148" s="3">
        <v>1</v>
      </c>
      <c r="D148" s="1"/>
      <c r="E148" s="20" t="s">
        <v>20</v>
      </c>
      <c r="F148" s="7" t="s">
        <v>15</v>
      </c>
      <c r="G148" s="7" t="s">
        <v>41</v>
      </c>
      <c r="H148" s="11">
        <v>11.8</v>
      </c>
      <c r="I148" s="33">
        <v>12</v>
      </c>
      <c r="J148" s="40">
        <v>1</v>
      </c>
      <c r="K148" s="10">
        <v>0.14160000000000003</v>
      </c>
      <c r="L148" s="4"/>
      <c r="M148" s="17">
        <v>1</v>
      </c>
      <c r="N148" s="18">
        <v>0.14160000000000003</v>
      </c>
      <c r="O148" s="19">
        <v>0</v>
      </c>
      <c r="P148" s="13">
        <v>0</v>
      </c>
      <c r="Q148" s="73">
        <v>11.5</v>
      </c>
      <c r="R148" s="72">
        <v>1</v>
      </c>
      <c r="S148" s="72" t="s">
        <v>198</v>
      </c>
    </row>
    <row r="149" spans="1:19">
      <c r="A149" s="44" t="s">
        <v>78</v>
      </c>
      <c r="B149" s="32" t="s">
        <v>109</v>
      </c>
      <c r="C149" s="3">
        <v>1</v>
      </c>
      <c r="D149" s="1"/>
      <c r="E149" s="20" t="s">
        <v>20</v>
      </c>
      <c r="F149" s="7" t="s">
        <v>15</v>
      </c>
      <c r="G149" s="7" t="s">
        <v>41</v>
      </c>
      <c r="H149" s="11">
        <v>11.8</v>
      </c>
      <c r="I149" s="33">
        <v>12.1</v>
      </c>
      <c r="J149" s="40">
        <v>1</v>
      </c>
      <c r="K149" s="10">
        <v>0.14277999999999999</v>
      </c>
      <c r="L149" s="4"/>
      <c r="M149" s="17">
        <v>1</v>
      </c>
      <c r="N149" s="18">
        <v>0.14277999999999999</v>
      </c>
      <c r="O149" s="19">
        <v>0</v>
      </c>
      <c r="P149" s="13">
        <v>0</v>
      </c>
      <c r="Q149" s="73">
        <v>11.5</v>
      </c>
      <c r="R149" s="72">
        <v>1</v>
      </c>
      <c r="S149" s="72" t="s">
        <v>198</v>
      </c>
    </row>
    <row r="150" spans="1:19">
      <c r="O150" s="78">
        <f>SUM(O137:O149)</f>
        <v>2</v>
      </c>
      <c r="R150" s="80">
        <f>SUM(R137:R149)</f>
        <v>14</v>
      </c>
    </row>
    <row r="153" spans="1:19">
      <c r="A153" s="44" t="s">
        <v>78</v>
      </c>
      <c r="B153" s="32" t="s">
        <v>80</v>
      </c>
      <c r="C153" s="3">
        <v>1</v>
      </c>
      <c r="D153" s="32"/>
      <c r="E153" s="39" t="s">
        <v>17</v>
      </c>
      <c r="F153" s="7" t="s">
        <v>15</v>
      </c>
      <c r="G153" s="7" t="s">
        <v>57</v>
      </c>
      <c r="H153" s="11">
        <v>33.72</v>
      </c>
      <c r="I153" s="55">
        <v>9.5</v>
      </c>
      <c r="J153" s="40">
        <v>1</v>
      </c>
      <c r="K153" s="10">
        <f t="shared" ref="K153:K154" si="4">(H153*I153*J153/1000)</f>
        <v>0.32033999999999996</v>
      </c>
      <c r="L153" s="4"/>
      <c r="M153" s="17">
        <v>1</v>
      </c>
      <c r="N153" s="18">
        <f t="shared" ref="N153:N154" si="5">I153*M153*H153/1000</f>
        <v>0.32033999999999996</v>
      </c>
      <c r="O153" s="19">
        <f t="shared" ref="O153:O154" si="6">J153-M153</f>
        <v>0</v>
      </c>
      <c r="P153" s="13">
        <f t="shared" ref="P153:P154" si="7">I153*O153*H153/1000</f>
        <v>0</v>
      </c>
      <c r="Q153" s="91">
        <v>9.5</v>
      </c>
      <c r="R153" s="91">
        <v>1</v>
      </c>
      <c r="S153" s="90" t="s">
        <v>207</v>
      </c>
    </row>
    <row r="154" spans="1:19">
      <c r="A154" s="44" t="s">
        <v>78</v>
      </c>
      <c r="B154" s="32" t="s">
        <v>80</v>
      </c>
      <c r="C154" s="3">
        <v>1</v>
      </c>
      <c r="D154" s="32"/>
      <c r="E154" s="39" t="s">
        <v>17</v>
      </c>
      <c r="F154" s="7" t="s">
        <v>15</v>
      </c>
      <c r="G154" s="7" t="s">
        <v>57</v>
      </c>
      <c r="H154" s="11">
        <v>33.72</v>
      </c>
      <c r="I154" s="55">
        <v>9.6</v>
      </c>
      <c r="J154" s="40">
        <v>1</v>
      </c>
      <c r="K154" s="10">
        <f t="shared" si="4"/>
        <v>0.323712</v>
      </c>
      <c r="L154" s="4"/>
      <c r="M154" s="17"/>
      <c r="N154" s="18">
        <f t="shared" si="5"/>
        <v>0</v>
      </c>
      <c r="O154" s="19">
        <f t="shared" si="6"/>
        <v>1</v>
      </c>
      <c r="P154" s="13">
        <f t="shared" si="7"/>
        <v>0.323712</v>
      </c>
      <c r="Q154" s="91"/>
      <c r="R154" s="91"/>
      <c r="S154" s="91"/>
    </row>
    <row r="157" spans="1:19">
      <c r="A157" s="42" t="s">
        <v>77</v>
      </c>
      <c r="B157" s="3" t="s">
        <v>68</v>
      </c>
      <c r="C157" s="3">
        <v>346</v>
      </c>
      <c r="D157" s="1"/>
      <c r="E157" s="20" t="s">
        <v>17</v>
      </c>
      <c r="F157" s="7" t="s">
        <v>15</v>
      </c>
      <c r="G157" s="7" t="s">
        <v>54</v>
      </c>
      <c r="H157" s="11">
        <v>31.6</v>
      </c>
      <c r="I157" s="8">
        <v>10.6</v>
      </c>
      <c r="J157" s="26">
        <v>1</v>
      </c>
      <c r="K157" s="10">
        <v>0.33495999999999998</v>
      </c>
      <c r="L157" s="4"/>
      <c r="M157" s="17">
        <v>1</v>
      </c>
      <c r="N157" s="18">
        <v>0.33495999999999998</v>
      </c>
      <c r="O157" s="19">
        <v>0</v>
      </c>
      <c r="P157" s="13">
        <v>0</v>
      </c>
      <c r="Q157" s="92">
        <v>10.6</v>
      </c>
      <c r="R157" s="47">
        <v>1</v>
      </c>
      <c r="S157" s="47" t="s">
        <v>207</v>
      </c>
    </row>
    <row r="158" spans="1:19">
      <c r="A158" s="45" t="s">
        <v>136</v>
      </c>
      <c r="B158" s="32" t="s">
        <v>137</v>
      </c>
      <c r="C158" s="3">
        <v>10</v>
      </c>
      <c r="D158" s="32"/>
      <c r="E158" s="39" t="s">
        <v>17</v>
      </c>
      <c r="F158" s="7" t="s">
        <v>15</v>
      </c>
      <c r="G158" s="7" t="s">
        <v>54</v>
      </c>
      <c r="H158" s="11">
        <v>31.6</v>
      </c>
      <c r="I158" s="33">
        <v>5.8</v>
      </c>
      <c r="J158" s="40">
        <v>1</v>
      </c>
      <c r="K158" s="10">
        <v>0.18328</v>
      </c>
      <c r="L158" s="4"/>
      <c r="M158" s="17"/>
      <c r="N158" s="18">
        <v>0</v>
      </c>
      <c r="O158" s="19">
        <v>1</v>
      </c>
      <c r="P158" s="13">
        <v>0.18328</v>
      </c>
      <c r="Q158" s="32"/>
      <c r="R158" s="32"/>
      <c r="S158" s="32"/>
    </row>
    <row r="159" spans="1:19">
      <c r="A159" s="45" t="s">
        <v>136</v>
      </c>
      <c r="B159" s="32" t="s">
        <v>137</v>
      </c>
      <c r="C159" s="3">
        <v>10</v>
      </c>
      <c r="D159" s="32"/>
      <c r="E159" s="39" t="s">
        <v>17</v>
      </c>
      <c r="F159" s="7" t="s">
        <v>15</v>
      </c>
      <c r="G159" s="7" t="s">
        <v>54</v>
      </c>
      <c r="H159" s="11">
        <v>31.6</v>
      </c>
      <c r="I159" s="33">
        <v>7</v>
      </c>
      <c r="J159" s="40">
        <v>2</v>
      </c>
      <c r="K159" s="10">
        <v>0.44240000000000002</v>
      </c>
      <c r="L159" s="4"/>
      <c r="M159" s="17">
        <v>2</v>
      </c>
      <c r="N159" s="18">
        <v>0.44240000000000002</v>
      </c>
      <c r="O159" s="19">
        <v>0</v>
      </c>
      <c r="P159" s="13">
        <v>0</v>
      </c>
      <c r="Q159" s="94">
        <v>7</v>
      </c>
      <c r="R159" s="93">
        <v>2</v>
      </c>
      <c r="S159" s="47" t="s">
        <v>207</v>
      </c>
    </row>
    <row r="160" spans="1:19">
      <c r="O160" s="6">
        <f>SUM(O157:O159)</f>
        <v>1</v>
      </c>
      <c r="R160" s="6">
        <f>SUM(R157:R159)</f>
        <v>3</v>
      </c>
    </row>
    <row r="163" spans="1:19">
      <c r="A163" s="42" t="s">
        <v>77</v>
      </c>
      <c r="B163" s="3" t="s">
        <v>68</v>
      </c>
      <c r="C163" s="3">
        <v>221</v>
      </c>
      <c r="D163" s="1"/>
      <c r="E163" s="20" t="s">
        <v>63</v>
      </c>
      <c r="F163" s="7" t="s">
        <v>15</v>
      </c>
      <c r="G163" s="7" t="s">
        <v>60</v>
      </c>
      <c r="H163" s="11">
        <v>22.93</v>
      </c>
      <c r="I163" s="8">
        <v>6.4</v>
      </c>
      <c r="J163" s="26">
        <v>1</v>
      </c>
      <c r="K163" s="10">
        <v>0.14675200000000002</v>
      </c>
      <c r="L163" s="4"/>
      <c r="M163" s="17">
        <v>1</v>
      </c>
      <c r="N163" s="18">
        <v>0.14675200000000002</v>
      </c>
      <c r="O163" s="19">
        <v>0</v>
      </c>
      <c r="P163" s="13">
        <v>0</v>
      </c>
      <c r="Q163" s="89">
        <v>6.3</v>
      </c>
      <c r="R163" s="90">
        <v>1</v>
      </c>
      <c r="S163" s="90" t="s">
        <v>209</v>
      </c>
    </row>
    <row r="164" spans="1:19">
      <c r="A164" s="42" t="s">
        <v>77</v>
      </c>
      <c r="B164" s="3" t="s">
        <v>68</v>
      </c>
      <c r="C164" s="3">
        <v>221</v>
      </c>
      <c r="D164" s="1"/>
      <c r="E164" s="20" t="s">
        <v>63</v>
      </c>
      <c r="F164" s="7" t="s">
        <v>15</v>
      </c>
      <c r="G164" s="7" t="s">
        <v>60</v>
      </c>
      <c r="H164" s="11">
        <v>22.93</v>
      </c>
      <c r="I164" s="8">
        <v>7</v>
      </c>
      <c r="J164" s="26">
        <v>2</v>
      </c>
      <c r="K164" s="10">
        <v>0.32101999999999997</v>
      </c>
      <c r="L164" s="4"/>
      <c r="M164" s="17">
        <v>2</v>
      </c>
      <c r="N164" s="18">
        <v>0.32101999999999997</v>
      </c>
      <c r="O164" s="19">
        <v>0</v>
      </c>
      <c r="P164" s="13">
        <v>0</v>
      </c>
      <c r="Q164" s="89">
        <v>6.3</v>
      </c>
      <c r="R164" s="90">
        <v>2</v>
      </c>
      <c r="S164" s="90" t="s">
        <v>209</v>
      </c>
    </row>
    <row r="165" spans="1:19">
      <c r="A165" s="42" t="s">
        <v>77</v>
      </c>
      <c r="B165" s="3" t="s">
        <v>68</v>
      </c>
      <c r="C165" s="3">
        <v>221</v>
      </c>
      <c r="D165" s="1"/>
      <c r="E165" s="20" t="s">
        <v>63</v>
      </c>
      <c r="F165" s="7" t="s">
        <v>15</v>
      </c>
      <c r="G165" s="7" t="s">
        <v>60</v>
      </c>
      <c r="H165" s="11">
        <v>22.93</v>
      </c>
      <c r="I165" s="21">
        <v>8.6999999999999993</v>
      </c>
      <c r="J165" s="26">
        <v>2</v>
      </c>
      <c r="K165" s="10">
        <v>0.39898199999999995</v>
      </c>
      <c r="L165" s="23"/>
      <c r="M165" s="17">
        <v>2</v>
      </c>
      <c r="N165" s="18">
        <v>0.39898199999999995</v>
      </c>
      <c r="O165" s="19">
        <v>0</v>
      </c>
      <c r="P165" s="13">
        <v>0</v>
      </c>
      <c r="Q165" s="89">
        <v>7.6</v>
      </c>
      <c r="R165" s="90">
        <v>2</v>
      </c>
      <c r="S165" s="90" t="s">
        <v>209</v>
      </c>
    </row>
    <row r="166" spans="1:19">
      <c r="A166" s="42" t="s">
        <v>77</v>
      </c>
      <c r="B166" s="3" t="s">
        <v>68</v>
      </c>
      <c r="C166" s="3">
        <v>221</v>
      </c>
      <c r="D166" s="1"/>
      <c r="E166" s="20" t="s">
        <v>63</v>
      </c>
      <c r="F166" s="7" t="s">
        <v>15</v>
      </c>
      <c r="G166" s="7" t="s">
        <v>60</v>
      </c>
      <c r="H166" s="11">
        <v>22.93</v>
      </c>
      <c r="I166" s="8">
        <v>9</v>
      </c>
      <c r="J166" s="26">
        <v>1</v>
      </c>
      <c r="K166" s="10">
        <v>0.20637</v>
      </c>
      <c r="L166" s="4"/>
      <c r="M166" s="17">
        <v>1</v>
      </c>
      <c r="N166" s="18">
        <v>0.20637</v>
      </c>
      <c r="O166" s="19">
        <v>0</v>
      </c>
      <c r="P166" s="13">
        <v>0</v>
      </c>
      <c r="Q166" s="89">
        <v>7.6</v>
      </c>
      <c r="R166" s="90">
        <v>1</v>
      </c>
      <c r="S166" s="90" t="s">
        <v>209</v>
      </c>
    </row>
    <row r="167" spans="1:19">
      <c r="A167" s="42" t="s">
        <v>77</v>
      </c>
      <c r="B167" s="3" t="s">
        <v>68</v>
      </c>
      <c r="C167" s="3">
        <v>221</v>
      </c>
      <c r="D167" s="1"/>
      <c r="E167" s="20" t="s">
        <v>63</v>
      </c>
      <c r="F167" s="7" t="s">
        <v>15</v>
      </c>
      <c r="G167" s="7" t="s">
        <v>60</v>
      </c>
      <c r="H167" s="11">
        <v>22.93</v>
      </c>
      <c r="I167" s="8">
        <v>10.5</v>
      </c>
      <c r="J167" s="26">
        <v>1</v>
      </c>
      <c r="K167" s="10">
        <v>0.24076499999999998</v>
      </c>
      <c r="L167" s="4"/>
      <c r="M167" s="17">
        <v>1</v>
      </c>
      <c r="N167" s="18">
        <v>0.24076499999999998</v>
      </c>
      <c r="O167" s="19">
        <v>0</v>
      </c>
      <c r="P167" s="13">
        <v>0</v>
      </c>
      <c r="Q167" s="89">
        <v>7.6</v>
      </c>
      <c r="R167" s="90">
        <v>1</v>
      </c>
      <c r="S167" s="90" t="s">
        <v>209</v>
      </c>
    </row>
    <row r="168" spans="1:19">
      <c r="A168" s="48" t="s">
        <v>179</v>
      </c>
      <c r="B168" s="48" t="s">
        <v>180</v>
      </c>
      <c r="C168" s="32"/>
      <c r="D168" s="32"/>
      <c r="E168" s="48" t="s">
        <v>63</v>
      </c>
      <c r="F168" s="48" t="s">
        <v>15</v>
      </c>
      <c r="G168" s="48" t="s">
        <v>60</v>
      </c>
      <c r="H168" s="11">
        <v>22.93</v>
      </c>
      <c r="I168" s="52">
        <v>9.5</v>
      </c>
      <c r="J168" s="7">
        <v>1</v>
      </c>
      <c r="K168" s="10">
        <v>0.217835</v>
      </c>
      <c r="L168" s="32"/>
      <c r="M168" s="32">
        <v>1</v>
      </c>
      <c r="N168" s="18">
        <v>0.217835</v>
      </c>
      <c r="O168" s="19">
        <v>0</v>
      </c>
      <c r="P168" s="13">
        <v>0</v>
      </c>
      <c r="Q168" s="98">
        <v>7.6</v>
      </c>
      <c r="R168" s="91">
        <v>1</v>
      </c>
      <c r="S168" s="90" t="s">
        <v>209</v>
      </c>
    </row>
    <row r="169" spans="1:19">
      <c r="A169" s="48" t="s">
        <v>179</v>
      </c>
      <c r="B169" s="48" t="s">
        <v>180</v>
      </c>
      <c r="C169" s="32"/>
      <c r="D169" s="32"/>
      <c r="E169" s="48" t="s">
        <v>63</v>
      </c>
      <c r="F169" s="48" t="s">
        <v>15</v>
      </c>
      <c r="G169" s="48" t="s">
        <v>60</v>
      </c>
      <c r="H169" s="11">
        <v>22.93</v>
      </c>
      <c r="I169" s="52">
        <v>7.3</v>
      </c>
      <c r="J169" s="7">
        <v>1</v>
      </c>
      <c r="K169" s="10">
        <v>0.16738899999999998</v>
      </c>
      <c r="L169" s="32"/>
      <c r="M169" s="32">
        <v>1</v>
      </c>
      <c r="N169" s="18">
        <v>0.16738899999999998</v>
      </c>
      <c r="O169" s="19">
        <v>0</v>
      </c>
      <c r="P169" s="13">
        <v>0</v>
      </c>
      <c r="Q169" s="98">
        <v>6.3</v>
      </c>
      <c r="R169" s="91">
        <v>1</v>
      </c>
      <c r="S169" s="90" t="s">
        <v>209</v>
      </c>
    </row>
    <row r="170" spans="1:19">
      <c r="A170" s="48" t="s">
        <v>179</v>
      </c>
      <c r="B170" s="48" t="s">
        <v>180</v>
      </c>
      <c r="C170" s="32"/>
      <c r="D170" s="32"/>
      <c r="E170" s="48" t="s">
        <v>181</v>
      </c>
      <c r="F170" s="48" t="s">
        <v>15</v>
      </c>
      <c r="G170" s="48" t="s">
        <v>60</v>
      </c>
      <c r="H170" s="11">
        <v>22.93</v>
      </c>
      <c r="I170" s="9">
        <v>6</v>
      </c>
      <c r="J170" s="7">
        <v>2</v>
      </c>
      <c r="K170" s="10">
        <v>0.27515999999999996</v>
      </c>
      <c r="L170" s="32"/>
      <c r="M170" s="32"/>
      <c r="N170" s="18">
        <v>0</v>
      </c>
      <c r="O170" s="19">
        <v>2</v>
      </c>
      <c r="P170" s="13">
        <v>0.27515999999999996</v>
      </c>
      <c r="Q170" s="91"/>
      <c r="R170" s="91"/>
      <c r="S170" s="91"/>
    </row>
    <row r="171" spans="1:19">
      <c r="A171" s="45" t="s">
        <v>136</v>
      </c>
      <c r="B171" s="32" t="s">
        <v>137</v>
      </c>
      <c r="C171" s="3">
        <v>8</v>
      </c>
      <c r="D171" s="32"/>
      <c r="E171" s="20" t="s">
        <v>106</v>
      </c>
      <c r="F171" s="7" t="s">
        <v>15</v>
      </c>
      <c r="G171" s="7" t="s">
        <v>60</v>
      </c>
      <c r="H171" s="11">
        <v>22.93</v>
      </c>
      <c r="I171" s="33">
        <v>5.8</v>
      </c>
      <c r="J171" s="40">
        <v>1</v>
      </c>
      <c r="K171" s="10">
        <v>0.132994</v>
      </c>
      <c r="L171" s="4"/>
      <c r="M171" s="17"/>
      <c r="N171" s="18">
        <v>0</v>
      </c>
      <c r="O171" s="19">
        <v>1</v>
      </c>
      <c r="P171" s="13">
        <v>0.132994</v>
      </c>
      <c r="Q171" s="91"/>
      <c r="R171" s="91"/>
      <c r="S171" s="91"/>
    </row>
    <row r="172" spans="1:19">
      <c r="A172" s="45" t="s">
        <v>136</v>
      </c>
      <c r="B172" s="32" t="s">
        <v>137</v>
      </c>
      <c r="C172" s="3">
        <v>8</v>
      </c>
      <c r="D172" s="32"/>
      <c r="E172" s="20" t="s">
        <v>106</v>
      </c>
      <c r="F172" s="7" t="s">
        <v>15</v>
      </c>
      <c r="G172" s="7" t="s">
        <v>60</v>
      </c>
      <c r="H172" s="11">
        <v>22.93</v>
      </c>
      <c r="I172" s="33">
        <v>6.1</v>
      </c>
      <c r="J172" s="40">
        <v>2</v>
      </c>
      <c r="K172" s="10">
        <v>0.27974599999999999</v>
      </c>
      <c r="L172" s="4"/>
      <c r="M172" s="17"/>
      <c r="N172" s="18">
        <v>0</v>
      </c>
      <c r="O172" s="19">
        <v>2</v>
      </c>
      <c r="P172" s="13">
        <v>0.27974599999999999</v>
      </c>
      <c r="Q172" s="91"/>
      <c r="R172" s="91"/>
      <c r="S172" s="91"/>
    </row>
    <row r="173" spans="1:19">
      <c r="R173" s="76">
        <f>SUM(R163:R172)</f>
        <v>9</v>
      </c>
    </row>
    <row r="175" spans="1:19">
      <c r="A175" s="42" t="s">
        <v>77</v>
      </c>
      <c r="B175" s="3" t="s">
        <v>68</v>
      </c>
      <c r="C175" s="3">
        <v>140</v>
      </c>
      <c r="D175" s="1"/>
      <c r="E175" s="24" t="s">
        <v>20</v>
      </c>
      <c r="F175" s="60" t="s">
        <v>15</v>
      </c>
      <c r="G175" s="60" t="s">
        <v>60</v>
      </c>
      <c r="H175" s="61">
        <v>22.93</v>
      </c>
      <c r="I175" s="21">
        <v>4.7</v>
      </c>
      <c r="J175" s="22">
        <v>1</v>
      </c>
      <c r="K175" s="62">
        <v>0.10777100000000001</v>
      </c>
      <c r="L175" s="23" t="s">
        <v>69</v>
      </c>
      <c r="M175" s="22"/>
      <c r="N175" s="63">
        <v>0</v>
      </c>
      <c r="O175" s="64">
        <v>1</v>
      </c>
      <c r="P175" s="65">
        <v>0.10777100000000001</v>
      </c>
      <c r="Q175" s="9"/>
      <c r="R175" s="2"/>
      <c r="S175" s="2"/>
    </row>
    <row r="176" spans="1:19">
      <c r="A176" s="42" t="s">
        <v>77</v>
      </c>
      <c r="B176" s="3" t="s">
        <v>68</v>
      </c>
      <c r="C176" s="3">
        <v>140</v>
      </c>
      <c r="D176" s="1"/>
      <c r="E176" s="24" t="s">
        <v>20</v>
      </c>
      <c r="F176" s="60" t="s">
        <v>15</v>
      </c>
      <c r="G176" s="60" t="s">
        <v>60</v>
      </c>
      <c r="H176" s="61">
        <v>22.93</v>
      </c>
      <c r="I176" s="21">
        <v>7.3</v>
      </c>
      <c r="J176" s="22">
        <v>1</v>
      </c>
      <c r="K176" s="62">
        <v>0.16738899999999998</v>
      </c>
      <c r="L176" s="23" t="s">
        <v>69</v>
      </c>
      <c r="M176" s="22"/>
      <c r="N176" s="63">
        <v>0</v>
      </c>
      <c r="O176" s="64">
        <v>1</v>
      </c>
      <c r="P176" s="65">
        <v>0.16738899999999998</v>
      </c>
      <c r="Q176" s="9"/>
      <c r="R176" s="2"/>
      <c r="S176" s="2"/>
    </row>
    <row r="177" spans="1:19">
      <c r="A177" s="42" t="s">
        <v>77</v>
      </c>
      <c r="B177" s="3" t="s">
        <v>68</v>
      </c>
      <c r="C177" s="3">
        <v>193</v>
      </c>
      <c r="D177" s="1"/>
      <c r="E177" s="12" t="s">
        <v>20</v>
      </c>
      <c r="F177" s="7" t="s">
        <v>15</v>
      </c>
      <c r="G177" s="7" t="s">
        <v>60</v>
      </c>
      <c r="H177" s="11">
        <v>22.93</v>
      </c>
      <c r="I177" s="8">
        <v>6.6</v>
      </c>
      <c r="J177" s="26">
        <v>1</v>
      </c>
      <c r="K177" s="10">
        <v>0.151338</v>
      </c>
      <c r="L177" s="4"/>
      <c r="M177" s="17">
        <v>1</v>
      </c>
      <c r="N177" s="18">
        <v>0.151338</v>
      </c>
      <c r="O177" s="19">
        <v>0</v>
      </c>
      <c r="P177" s="13">
        <v>0</v>
      </c>
      <c r="Q177" s="73">
        <v>6.1</v>
      </c>
      <c r="R177" s="74">
        <v>1</v>
      </c>
      <c r="S177" s="74" t="s">
        <v>212</v>
      </c>
    </row>
    <row r="178" spans="1:19">
      <c r="A178" s="42" t="s">
        <v>77</v>
      </c>
      <c r="B178" s="3" t="s">
        <v>68</v>
      </c>
      <c r="C178" s="3">
        <v>214</v>
      </c>
      <c r="D178" s="1"/>
      <c r="E178" s="20" t="s">
        <v>51</v>
      </c>
      <c r="F178" s="7" t="s">
        <v>15</v>
      </c>
      <c r="G178" s="7" t="s">
        <v>60</v>
      </c>
      <c r="H178" s="11">
        <v>22.93</v>
      </c>
      <c r="I178" s="8">
        <v>7.9</v>
      </c>
      <c r="J178" s="26">
        <v>3</v>
      </c>
      <c r="K178" s="10">
        <v>0.54344100000000006</v>
      </c>
      <c r="L178" s="4"/>
      <c r="M178" s="17">
        <v>2</v>
      </c>
      <c r="N178" s="18">
        <v>0.36229400000000006</v>
      </c>
      <c r="O178" s="19">
        <v>1</v>
      </c>
      <c r="P178" s="13">
        <v>0.18114700000000003</v>
      </c>
      <c r="Q178" s="73">
        <v>6.1</v>
      </c>
      <c r="R178" s="74">
        <v>2</v>
      </c>
      <c r="S178" s="74" t="s">
        <v>212</v>
      </c>
    </row>
    <row r="179" spans="1:19">
      <c r="A179" s="42" t="s">
        <v>77</v>
      </c>
      <c r="B179" s="3" t="s">
        <v>68</v>
      </c>
      <c r="C179" s="3">
        <v>234</v>
      </c>
      <c r="D179" s="1"/>
      <c r="E179" s="20" t="s">
        <v>17</v>
      </c>
      <c r="F179" s="7" t="s">
        <v>15</v>
      </c>
      <c r="G179" s="7" t="s">
        <v>60</v>
      </c>
      <c r="H179" s="11">
        <v>22.93</v>
      </c>
      <c r="I179" s="8">
        <v>6</v>
      </c>
      <c r="J179" s="26">
        <v>1</v>
      </c>
      <c r="K179" s="10">
        <v>0.13757999999999998</v>
      </c>
      <c r="L179" s="4"/>
      <c r="M179" s="17"/>
      <c r="N179" s="18">
        <v>0</v>
      </c>
      <c r="O179" s="19">
        <v>1</v>
      </c>
      <c r="P179" s="13">
        <v>0.13757999999999998</v>
      </c>
      <c r="Q179" s="9"/>
      <c r="R179" s="2"/>
      <c r="S179" s="2"/>
    </row>
    <row r="180" spans="1:19">
      <c r="A180" s="42" t="s">
        <v>77</v>
      </c>
      <c r="B180" s="3" t="s">
        <v>68</v>
      </c>
      <c r="C180" s="3">
        <v>234</v>
      </c>
      <c r="D180" s="1"/>
      <c r="E180" s="20" t="s">
        <v>17</v>
      </c>
      <c r="F180" s="7" t="s">
        <v>15</v>
      </c>
      <c r="G180" s="7" t="s">
        <v>60</v>
      </c>
      <c r="H180" s="11">
        <v>22.93</v>
      </c>
      <c r="I180" s="8">
        <v>6.9</v>
      </c>
      <c r="J180" s="26">
        <v>1</v>
      </c>
      <c r="K180" s="10">
        <v>0.15821700000000002</v>
      </c>
      <c r="L180" s="4"/>
      <c r="M180" s="17"/>
      <c r="N180" s="18">
        <v>0</v>
      </c>
      <c r="O180" s="19">
        <v>1</v>
      </c>
      <c r="P180" s="13">
        <v>0.15821700000000002</v>
      </c>
      <c r="Q180" s="9"/>
      <c r="R180" s="2"/>
      <c r="S180" s="2"/>
    </row>
    <row r="181" spans="1:19">
      <c r="A181" s="42" t="s">
        <v>77</v>
      </c>
      <c r="B181" s="3" t="s">
        <v>68</v>
      </c>
      <c r="C181" s="3">
        <v>234</v>
      </c>
      <c r="D181" s="1"/>
      <c r="E181" s="20" t="s">
        <v>17</v>
      </c>
      <c r="F181" s="7" t="s">
        <v>15</v>
      </c>
      <c r="G181" s="7" t="s">
        <v>60</v>
      </c>
      <c r="H181" s="11">
        <v>22.93</v>
      </c>
      <c r="I181" s="8">
        <v>7.6</v>
      </c>
      <c r="J181" s="26">
        <v>1</v>
      </c>
      <c r="K181" s="10">
        <v>0.17426800000000001</v>
      </c>
      <c r="L181" s="4"/>
      <c r="M181" s="17">
        <v>1</v>
      </c>
      <c r="N181" s="18">
        <v>0.17426800000000001</v>
      </c>
      <c r="O181" s="19">
        <v>0</v>
      </c>
      <c r="P181" s="13">
        <v>0</v>
      </c>
      <c r="Q181" s="73">
        <v>7.6</v>
      </c>
      <c r="R181" s="74">
        <v>1</v>
      </c>
      <c r="S181" s="74" t="s">
        <v>210</v>
      </c>
    </row>
    <row r="182" spans="1:19">
      <c r="A182" s="42" t="s">
        <v>77</v>
      </c>
      <c r="B182" s="3" t="s">
        <v>68</v>
      </c>
      <c r="C182" s="3">
        <v>234</v>
      </c>
      <c r="D182" s="1"/>
      <c r="E182" s="20" t="s">
        <v>17</v>
      </c>
      <c r="F182" s="7" t="s">
        <v>15</v>
      </c>
      <c r="G182" s="7" t="s">
        <v>60</v>
      </c>
      <c r="H182" s="11">
        <v>22.93</v>
      </c>
      <c r="I182" s="8">
        <v>9.5</v>
      </c>
      <c r="J182" s="26">
        <v>1</v>
      </c>
      <c r="K182" s="10">
        <v>0.217835</v>
      </c>
      <c r="L182" s="4"/>
      <c r="M182" s="17"/>
      <c r="N182" s="18">
        <v>0</v>
      </c>
      <c r="O182" s="19">
        <v>1</v>
      </c>
      <c r="P182" s="13">
        <v>0.217835</v>
      </c>
      <c r="Q182" s="9"/>
      <c r="R182" s="2"/>
      <c r="S182" s="2"/>
    </row>
    <row r="183" spans="1:19">
      <c r="A183" s="42" t="s">
        <v>77</v>
      </c>
      <c r="B183" s="3" t="s">
        <v>68</v>
      </c>
      <c r="C183" s="3">
        <v>234</v>
      </c>
      <c r="D183" s="1"/>
      <c r="E183" s="20" t="s">
        <v>17</v>
      </c>
      <c r="F183" s="7" t="s">
        <v>15</v>
      </c>
      <c r="G183" s="7" t="s">
        <v>60</v>
      </c>
      <c r="H183" s="11">
        <v>22.93</v>
      </c>
      <c r="I183" s="8">
        <v>10</v>
      </c>
      <c r="J183" s="26">
        <v>1</v>
      </c>
      <c r="K183" s="10">
        <v>0.2293</v>
      </c>
      <c r="L183" s="4"/>
      <c r="M183" s="17"/>
      <c r="N183" s="18">
        <v>0</v>
      </c>
      <c r="O183" s="19">
        <v>1</v>
      </c>
      <c r="P183" s="13">
        <v>0.2293</v>
      </c>
      <c r="Q183" s="9"/>
      <c r="R183" s="2"/>
      <c r="S183" s="2"/>
    </row>
    <row r="184" spans="1:19">
      <c r="A184" s="42" t="s">
        <v>77</v>
      </c>
      <c r="B184" s="3" t="s">
        <v>68</v>
      </c>
      <c r="C184" s="3">
        <v>234</v>
      </c>
      <c r="D184" s="1"/>
      <c r="E184" s="20" t="s">
        <v>17</v>
      </c>
      <c r="F184" s="7" t="s">
        <v>15</v>
      </c>
      <c r="G184" s="7" t="s">
        <v>60</v>
      </c>
      <c r="H184" s="11">
        <v>22.93</v>
      </c>
      <c r="I184" s="8">
        <v>10.5</v>
      </c>
      <c r="J184" s="26">
        <v>1</v>
      </c>
      <c r="K184" s="10">
        <v>0.24076499999999998</v>
      </c>
      <c r="L184" s="4"/>
      <c r="M184" s="17"/>
      <c r="N184" s="18">
        <v>0</v>
      </c>
      <c r="O184" s="19">
        <v>1</v>
      </c>
      <c r="P184" s="13">
        <v>0.24076499999999998</v>
      </c>
      <c r="Q184" s="9"/>
      <c r="R184" s="2"/>
      <c r="S184" s="2"/>
    </row>
    <row r="185" spans="1:19">
      <c r="A185" s="42" t="s">
        <v>77</v>
      </c>
      <c r="B185" s="3" t="s">
        <v>68</v>
      </c>
      <c r="C185" s="3">
        <v>234</v>
      </c>
      <c r="D185" s="1"/>
      <c r="E185" s="20" t="s">
        <v>17</v>
      </c>
      <c r="F185" s="7" t="s">
        <v>15</v>
      </c>
      <c r="G185" s="7" t="s">
        <v>60</v>
      </c>
      <c r="H185" s="11">
        <v>22.93</v>
      </c>
      <c r="I185" s="8">
        <v>11.5</v>
      </c>
      <c r="J185" s="26">
        <v>1</v>
      </c>
      <c r="K185" s="10">
        <v>0.26369500000000001</v>
      </c>
      <c r="L185" s="4"/>
      <c r="M185" s="17">
        <v>1</v>
      </c>
      <c r="N185" s="18">
        <v>0.26369500000000001</v>
      </c>
      <c r="O185" s="19">
        <v>0</v>
      </c>
      <c r="P185" s="13">
        <v>0</v>
      </c>
      <c r="Q185" s="73">
        <v>11.25</v>
      </c>
      <c r="R185" s="74">
        <v>1</v>
      </c>
      <c r="S185" s="74" t="s">
        <v>211</v>
      </c>
    </row>
    <row r="186" spans="1:19">
      <c r="A186" s="42" t="s">
        <v>77</v>
      </c>
      <c r="B186" s="3" t="s">
        <v>68</v>
      </c>
      <c r="C186" s="3">
        <v>234</v>
      </c>
      <c r="D186" s="1"/>
      <c r="E186" s="20" t="s">
        <v>17</v>
      </c>
      <c r="F186" s="7" t="s">
        <v>15</v>
      </c>
      <c r="G186" s="7" t="s">
        <v>60</v>
      </c>
      <c r="H186" s="11">
        <v>22.93</v>
      </c>
      <c r="I186" s="8">
        <v>11.7</v>
      </c>
      <c r="J186" s="26">
        <v>1</v>
      </c>
      <c r="K186" s="10">
        <v>0.26828099999999999</v>
      </c>
      <c r="L186" s="4"/>
      <c r="M186" s="17">
        <v>1</v>
      </c>
      <c r="N186" s="18">
        <v>0.26828099999999999</v>
      </c>
      <c r="O186" s="19">
        <v>0</v>
      </c>
      <c r="P186" s="13">
        <v>0</v>
      </c>
      <c r="Q186" s="73">
        <v>11.25</v>
      </c>
      <c r="R186" s="74">
        <v>1</v>
      </c>
      <c r="S186" s="74" t="s">
        <v>211</v>
      </c>
    </row>
    <row r="187" spans="1:19">
      <c r="A187" s="42" t="s">
        <v>77</v>
      </c>
      <c r="B187" s="3" t="s">
        <v>68</v>
      </c>
      <c r="C187" s="3">
        <v>235</v>
      </c>
      <c r="D187" s="1"/>
      <c r="E187" s="20" t="s">
        <v>17</v>
      </c>
      <c r="F187" s="7" t="s">
        <v>15</v>
      </c>
      <c r="G187" s="7" t="s">
        <v>60</v>
      </c>
      <c r="H187" s="11">
        <v>22.93</v>
      </c>
      <c r="I187" s="8">
        <v>5.25</v>
      </c>
      <c r="J187" s="26">
        <v>1</v>
      </c>
      <c r="K187" s="10">
        <v>0.12038249999999999</v>
      </c>
      <c r="L187" s="4"/>
      <c r="M187" s="17"/>
      <c r="N187" s="18">
        <v>0</v>
      </c>
      <c r="O187" s="19">
        <v>1</v>
      </c>
      <c r="P187" s="13">
        <v>0.12038249999999999</v>
      </c>
      <c r="Q187" s="9"/>
      <c r="R187" s="2"/>
      <c r="S187" s="2"/>
    </row>
    <row r="188" spans="1:19">
      <c r="A188" s="42" t="s">
        <v>77</v>
      </c>
      <c r="B188" s="3" t="s">
        <v>68</v>
      </c>
      <c r="C188" s="3">
        <v>235</v>
      </c>
      <c r="D188" s="1"/>
      <c r="E188" s="20" t="s">
        <v>17</v>
      </c>
      <c r="F188" s="7" t="s">
        <v>15</v>
      </c>
      <c r="G188" s="7" t="s">
        <v>60</v>
      </c>
      <c r="H188" s="11">
        <v>22.93</v>
      </c>
      <c r="I188" s="8">
        <v>6</v>
      </c>
      <c r="J188" s="26">
        <v>1</v>
      </c>
      <c r="K188" s="10">
        <v>0.13757999999999998</v>
      </c>
      <c r="L188" s="4"/>
      <c r="M188" s="17"/>
      <c r="N188" s="18">
        <v>0</v>
      </c>
      <c r="O188" s="19">
        <v>1</v>
      </c>
      <c r="P188" s="13">
        <v>0.13757999999999998</v>
      </c>
      <c r="Q188" s="9"/>
      <c r="R188" s="2"/>
      <c r="S188" s="2"/>
    </row>
    <row r="189" spans="1:19">
      <c r="A189" s="42" t="s">
        <v>77</v>
      </c>
      <c r="B189" s="3" t="s">
        <v>68</v>
      </c>
      <c r="C189" s="3">
        <v>235</v>
      </c>
      <c r="D189" s="1"/>
      <c r="E189" s="20" t="s">
        <v>17</v>
      </c>
      <c r="F189" s="7" t="s">
        <v>15</v>
      </c>
      <c r="G189" s="7" t="s">
        <v>60</v>
      </c>
      <c r="H189" s="11">
        <v>22.93</v>
      </c>
      <c r="I189" s="8">
        <v>7.6</v>
      </c>
      <c r="J189" s="26">
        <v>3</v>
      </c>
      <c r="K189" s="10">
        <v>0.52280399999999994</v>
      </c>
      <c r="L189" s="4"/>
      <c r="M189" s="17">
        <v>3</v>
      </c>
      <c r="N189" s="18">
        <v>0.52280399999999994</v>
      </c>
      <c r="O189" s="19">
        <v>0</v>
      </c>
      <c r="P189" s="13">
        <v>0</v>
      </c>
      <c r="Q189" s="73">
        <v>7.6</v>
      </c>
      <c r="R189" s="74">
        <v>3</v>
      </c>
      <c r="S189" s="74" t="s">
        <v>210</v>
      </c>
    </row>
    <row r="190" spans="1:19">
      <c r="A190" s="42" t="s">
        <v>77</v>
      </c>
      <c r="B190" s="3" t="s">
        <v>68</v>
      </c>
      <c r="C190" s="3">
        <v>235</v>
      </c>
      <c r="D190" s="1"/>
      <c r="E190" s="20" t="s">
        <v>17</v>
      </c>
      <c r="F190" s="7" t="s">
        <v>15</v>
      </c>
      <c r="G190" s="7" t="s">
        <v>60</v>
      </c>
      <c r="H190" s="11">
        <v>22.93</v>
      </c>
      <c r="I190" s="8">
        <v>10.1</v>
      </c>
      <c r="J190" s="26">
        <v>1</v>
      </c>
      <c r="K190" s="10">
        <v>0.23159299999999999</v>
      </c>
      <c r="L190" s="4"/>
      <c r="M190" s="17"/>
      <c r="N190" s="18">
        <v>0</v>
      </c>
      <c r="O190" s="19">
        <v>1</v>
      </c>
      <c r="P190" s="13">
        <v>0.23159299999999999</v>
      </c>
      <c r="Q190" s="9"/>
      <c r="R190" s="2"/>
      <c r="S190" s="2"/>
    </row>
    <row r="191" spans="1:19">
      <c r="A191" s="42" t="s">
        <v>77</v>
      </c>
      <c r="B191" s="3" t="s">
        <v>68</v>
      </c>
      <c r="C191" s="3">
        <v>235</v>
      </c>
      <c r="D191" s="1"/>
      <c r="E191" s="20" t="s">
        <v>17</v>
      </c>
      <c r="F191" s="7" t="s">
        <v>15</v>
      </c>
      <c r="G191" s="7" t="s">
        <v>60</v>
      </c>
      <c r="H191" s="11">
        <v>22.93</v>
      </c>
      <c r="I191" s="8">
        <v>11.7</v>
      </c>
      <c r="J191" s="26">
        <v>1</v>
      </c>
      <c r="K191" s="10">
        <v>0.26828099999999999</v>
      </c>
      <c r="L191" s="4"/>
      <c r="M191" s="17">
        <v>1</v>
      </c>
      <c r="N191" s="18">
        <v>0.26828099999999999</v>
      </c>
      <c r="O191" s="19">
        <v>0</v>
      </c>
      <c r="P191" s="13">
        <v>0</v>
      </c>
      <c r="Q191" s="73">
        <v>11.25</v>
      </c>
      <c r="R191" s="74">
        <v>1</v>
      </c>
      <c r="S191" s="74" t="s">
        <v>211</v>
      </c>
    </row>
    <row r="192" spans="1:19">
      <c r="A192" s="48" t="s">
        <v>179</v>
      </c>
      <c r="B192" s="48" t="s">
        <v>180</v>
      </c>
      <c r="C192" s="32"/>
      <c r="D192" s="32"/>
      <c r="E192" s="48" t="s">
        <v>152</v>
      </c>
      <c r="F192" s="48" t="s">
        <v>15</v>
      </c>
      <c r="G192" s="48" t="s">
        <v>60</v>
      </c>
      <c r="H192" s="11">
        <v>22.93</v>
      </c>
      <c r="I192" s="52">
        <v>4.9000000000000004</v>
      </c>
      <c r="J192" s="7">
        <v>1</v>
      </c>
      <c r="K192" s="10">
        <v>0.11235700000000001</v>
      </c>
      <c r="L192" s="32"/>
      <c r="M192" s="32"/>
      <c r="N192" s="18">
        <v>0</v>
      </c>
      <c r="O192" s="19">
        <v>1</v>
      </c>
      <c r="P192" s="13">
        <v>0.11235700000000001</v>
      </c>
      <c r="Q192" s="32"/>
      <c r="R192" s="32"/>
      <c r="S192" s="32"/>
    </row>
    <row r="193" spans="1:19">
      <c r="A193" s="48" t="s">
        <v>179</v>
      </c>
      <c r="B193" s="48" t="s">
        <v>180</v>
      </c>
      <c r="C193" s="32"/>
      <c r="D193" s="32"/>
      <c r="E193" s="48" t="s">
        <v>152</v>
      </c>
      <c r="F193" s="48" t="s">
        <v>15</v>
      </c>
      <c r="G193" s="48" t="s">
        <v>60</v>
      </c>
      <c r="H193" s="11">
        <v>22.93</v>
      </c>
      <c r="I193" s="52">
        <v>6.1</v>
      </c>
      <c r="J193" s="7">
        <v>1</v>
      </c>
      <c r="K193" s="10">
        <v>0.139873</v>
      </c>
      <c r="L193" s="32"/>
      <c r="M193" s="32">
        <v>1</v>
      </c>
      <c r="N193" s="18">
        <v>0.139873</v>
      </c>
      <c r="O193" s="19">
        <v>0</v>
      </c>
      <c r="P193" s="13">
        <v>0</v>
      </c>
      <c r="Q193" s="72">
        <v>6.1</v>
      </c>
      <c r="R193" s="72">
        <v>1</v>
      </c>
      <c r="S193" s="74" t="s">
        <v>212</v>
      </c>
    </row>
    <row r="194" spans="1:19">
      <c r="A194" s="48" t="s">
        <v>179</v>
      </c>
      <c r="B194" s="48" t="s">
        <v>180</v>
      </c>
      <c r="C194" s="32"/>
      <c r="D194" s="32"/>
      <c r="E194" s="48" t="s">
        <v>152</v>
      </c>
      <c r="F194" s="48" t="s">
        <v>15</v>
      </c>
      <c r="G194" s="48" t="s">
        <v>60</v>
      </c>
      <c r="H194" s="11">
        <v>22.93</v>
      </c>
      <c r="I194" s="9">
        <v>6</v>
      </c>
      <c r="J194" s="7">
        <v>2</v>
      </c>
      <c r="K194" s="10">
        <v>0.27515999999999996</v>
      </c>
      <c r="L194" s="32"/>
      <c r="M194" s="32"/>
      <c r="N194" s="18">
        <v>0</v>
      </c>
      <c r="O194" s="19">
        <v>2</v>
      </c>
      <c r="P194" s="13">
        <v>0.27515999999999996</v>
      </c>
      <c r="Q194" s="32"/>
      <c r="R194" s="32"/>
      <c r="S194" s="32"/>
    </row>
    <row r="195" spans="1:19">
      <c r="A195" s="48" t="s">
        <v>179</v>
      </c>
      <c r="B195" s="48" t="s">
        <v>180</v>
      </c>
      <c r="C195" s="32"/>
      <c r="D195" s="32"/>
      <c r="E195" s="48" t="s">
        <v>152</v>
      </c>
      <c r="F195" s="48" t="s">
        <v>15</v>
      </c>
      <c r="G195" s="48" t="s">
        <v>60</v>
      </c>
      <c r="H195" s="11">
        <v>22.93</v>
      </c>
      <c r="I195" s="9">
        <v>6.3</v>
      </c>
      <c r="J195" s="7">
        <v>2</v>
      </c>
      <c r="K195" s="10">
        <v>0.28891800000000001</v>
      </c>
      <c r="L195" s="32"/>
      <c r="M195" s="32">
        <v>2</v>
      </c>
      <c r="N195" s="18">
        <v>0.28891800000000001</v>
      </c>
      <c r="O195" s="19">
        <v>0</v>
      </c>
      <c r="P195" s="13">
        <v>0</v>
      </c>
      <c r="Q195" s="72">
        <v>6.1</v>
      </c>
      <c r="R195" s="72">
        <v>2</v>
      </c>
      <c r="S195" s="74" t="s">
        <v>212</v>
      </c>
    </row>
    <row r="196" spans="1:19">
      <c r="A196" s="44" t="s">
        <v>78</v>
      </c>
      <c r="B196" s="3" t="s">
        <v>80</v>
      </c>
      <c r="C196" s="3">
        <v>1</v>
      </c>
      <c r="D196" s="1"/>
      <c r="E196" s="20" t="s">
        <v>20</v>
      </c>
      <c r="F196" s="7" t="s">
        <v>15</v>
      </c>
      <c r="G196" s="7" t="s">
        <v>60</v>
      </c>
      <c r="H196" s="11">
        <v>22.93</v>
      </c>
      <c r="I196" s="8">
        <v>12</v>
      </c>
      <c r="J196" s="26">
        <v>1</v>
      </c>
      <c r="K196" s="10">
        <v>0.27515999999999996</v>
      </c>
      <c r="L196" s="4"/>
      <c r="M196" s="17">
        <v>1</v>
      </c>
      <c r="N196" s="18">
        <v>0.27515999999999996</v>
      </c>
      <c r="O196" s="19">
        <v>0</v>
      </c>
      <c r="P196" s="13">
        <v>0</v>
      </c>
      <c r="Q196" s="73">
        <v>11.25</v>
      </c>
      <c r="R196" s="72">
        <v>1</v>
      </c>
      <c r="S196" s="74" t="s">
        <v>211</v>
      </c>
    </row>
    <row r="197" spans="1:19">
      <c r="A197" s="45" t="s">
        <v>136</v>
      </c>
      <c r="B197" s="32" t="s">
        <v>137</v>
      </c>
      <c r="C197" s="3">
        <v>81</v>
      </c>
      <c r="D197" s="32"/>
      <c r="E197" s="39" t="s">
        <v>17</v>
      </c>
      <c r="F197" s="7" t="s">
        <v>15</v>
      </c>
      <c r="G197" s="7" t="s">
        <v>60</v>
      </c>
      <c r="H197" s="11">
        <v>22.93</v>
      </c>
      <c r="I197" s="33">
        <v>11.8</v>
      </c>
      <c r="J197" s="40">
        <v>1</v>
      </c>
      <c r="K197" s="10">
        <v>0.27057400000000004</v>
      </c>
      <c r="L197" s="4"/>
      <c r="M197" s="17">
        <v>1</v>
      </c>
      <c r="N197" s="18">
        <v>0.27057400000000004</v>
      </c>
      <c r="O197" s="19">
        <v>0</v>
      </c>
      <c r="P197" s="13">
        <v>0</v>
      </c>
      <c r="Q197" s="73">
        <v>11.25</v>
      </c>
      <c r="R197" s="72">
        <v>1</v>
      </c>
      <c r="S197" s="74" t="s">
        <v>211</v>
      </c>
    </row>
    <row r="198" spans="1:19">
      <c r="A198" s="45" t="s">
        <v>136</v>
      </c>
      <c r="B198" s="32" t="s">
        <v>137</v>
      </c>
      <c r="C198" s="3">
        <v>96</v>
      </c>
      <c r="D198" s="32"/>
      <c r="E198" s="20" t="s">
        <v>20</v>
      </c>
      <c r="F198" s="7" t="s">
        <v>15</v>
      </c>
      <c r="G198" s="7" t="s">
        <v>60</v>
      </c>
      <c r="H198" s="11">
        <v>22.93</v>
      </c>
      <c r="I198" s="33">
        <v>6</v>
      </c>
      <c r="J198" s="41">
        <v>1</v>
      </c>
      <c r="K198" s="10">
        <v>0.13757999999999998</v>
      </c>
      <c r="L198" s="4"/>
      <c r="M198" s="17"/>
      <c r="N198" s="18">
        <v>0</v>
      </c>
      <c r="O198" s="19">
        <v>1</v>
      </c>
      <c r="P198" s="13">
        <v>0.13757999999999998</v>
      </c>
      <c r="Q198" s="32"/>
      <c r="R198" s="32"/>
      <c r="S198" s="32"/>
    </row>
    <row r="199" spans="1:19">
      <c r="O199" s="6">
        <f>SUM(O175:O198)</f>
        <v>15</v>
      </c>
      <c r="R199" s="6">
        <f>SUM(R175:R198)</f>
        <v>15</v>
      </c>
    </row>
    <row r="201" spans="1:19">
      <c r="A201" s="42" t="s">
        <v>77</v>
      </c>
      <c r="B201" s="3" t="s">
        <v>68</v>
      </c>
      <c r="C201" s="3">
        <v>202</v>
      </c>
      <c r="D201" s="1"/>
      <c r="E201" s="20" t="s">
        <v>17</v>
      </c>
      <c r="F201" s="7" t="s">
        <v>15</v>
      </c>
      <c r="G201" s="7" t="s">
        <v>56</v>
      </c>
      <c r="H201" s="11">
        <v>25.2</v>
      </c>
      <c r="I201" s="8">
        <v>5.5</v>
      </c>
      <c r="J201" s="26">
        <v>5</v>
      </c>
      <c r="K201" s="10">
        <v>0.69299999999999995</v>
      </c>
      <c r="L201" s="4"/>
      <c r="M201" s="17"/>
      <c r="N201" s="18">
        <v>0</v>
      </c>
      <c r="O201" s="19">
        <v>5</v>
      </c>
      <c r="P201" s="13">
        <v>0.69299999999999995</v>
      </c>
      <c r="Q201" s="9"/>
      <c r="R201" s="2"/>
      <c r="S201" s="2"/>
    </row>
    <row r="202" spans="1:19">
      <c r="A202" s="42" t="s">
        <v>77</v>
      </c>
      <c r="B202" s="3" t="s">
        <v>68</v>
      </c>
      <c r="C202" s="3">
        <v>202</v>
      </c>
      <c r="D202" s="1"/>
      <c r="E202" s="20" t="s">
        <v>17</v>
      </c>
      <c r="F202" s="7" t="s">
        <v>15</v>
      </c>
      <c r="G202" s="7" t="s">
        <v>56</v>
      </c>
      <c r="H202" s="11">
        <v>25.2</v>
      </c>
      <c r="I202" s="8">
        <v>5.8</v>
      </c>
      <c r="J202" s="26">
        <v>5</v>
      </c>
      <c r="K202" s="10">
        <v>0.73080000000000001</v>
      </c>
      <c r="L202" s="4"/>
      <c r="M202" s="17"/>
      <c r="N202" s="18">
        <v>0</v>
      </c>
      <c r="O202" s="19">
        <v>5</v>
      </c>
      <c r="P202" s="13">
        <v>0.73080000000000001</v>
      </c>
      <c r="Q202" s="9"/>
      <c r="R202" s="2"/>
      <c r="S202" s="2"/>
    </row>
    <row r="203" spans="1:19">
      <c r="A203" s="42" t="s">
        <v>77</v>
      </c>
      <c r="B203" s="3" t="s">
        <v>68</v>
      </c>
      <c r="C203" s="3">
        <v>232</v>
      </c>
      <c r="D203" s="1"/>
      <c r="E203" s="20" t="s">
        <v>17</v>
      </c>
      <c r="F203" s="7" t="s">
        <v>15</v>
      </c>
      <c r="G203" s="7" t="s">
        <v>56</v>
      </c>
      <c r="H203" s="11">
        <v>25.2</v>
      </c>
      <c r="I203" s="8">
        <v>6</v>
      </c>
      <c r="J203" s="26">
        <v>3</v>
      </c>
      <c r="K203" s="10">
        <v>0.45359999999999995</v>
      </c>
      <c r="L203" s="4"/>
      <c r="M203" s="17"/>
      <c r="N203" s="18">
        <v>0</v>
      </c>
      <c r="O203" s="19">
        <v>3</v>
      </c>
      <c r="P203" s="13">
        <v>0.45359999999999995</v>
      </c>
      <c r="Q203" s="9"/>
      <c r="R203" s="2"/>
      <c r="S203" s="2"/>
    </row>
    <row r="204" spans="1:19">
      <c r="A204" s="42" t="s">
        <v>77</v>
      </c>
      <c r="B204" s="3" t="s">
        <v>68</v>
      </c>
      <c r="C204" s="3">
        <v>232</v>
      </c>
      <c r="D204" s="1"/>
      <c r="E204" s="20" t="s">
        <v>17</v>
      </c>
      <c r="F204" s="7" t="s">
        <v>15</v>
      </c>
      <c r="G204" s="7" t="s">
        <v>56</v>
      </c>
      <c r="H204" s="11">
        <v>25.2</v>
      </c>
      <c r="I204" s="8">
        <v>9.3000000000000007</v>
      </c>
      <c r="J204" s="26">
        <v>1</v>
      </c>
      <c r="K204" s="10">
        <v>0.23436000000000001</v>
      </c>
      <c r="L204" s="4"/>
      <c r="M204" s="17">
        <v>1</v>
      </c>
      <c r="N204" s="18">
        <v>0.23436000000000001</v>
      </c>
      <c r="O204" s="19">
        <v>0</v>
      </c>
      <c r="P204" s="13">
        <v>0</v>
      </c>
      <c r="Q204" s="73">
        <v>9.1</v>
      </c>
      <c r="R204" s="74">
        <v>1</v>
      </c>
      <c r="S204" s="74" t="s">
        <v>213</v>
      </c>
    </row>
    <row r="205" spans="1:19">
      <c r="A205" s="42" t="s">
        <v>77</v>
      </c>
      <c r="B205" s="3" t="s">
        <v>68</v>
      </c>
      <c r="C205" s="3">
        <v>312</v>
      </c>
      <c r="D205" s="1"/>
      <c r="E205" s="20" t="s">
        <v>17</v>
      </c>
      <c r="F205" s="7" t="s">
        <v>15</v>
      </c>
      <c r="G205" s="7" t="s">
        <v>56</v>
      </c>
      <c r="H205" s="11">
        <v>25.2</v>
      </c>
      <c r="I205" s="8">
        <v>8.5</v>
      </c>
      <c r="J205" s="26">
        <v>1</v>
      </c>
      <c r="K205" s="10">
        <v>0.2142</v>
      </c>
      <c r="L205" s="4"/>
      <c r="M205" s="17"/>
      <c r="N205" s="18">
        <v>0</v>
      </c>
      <c r="O205" s="19">
        <v>1</v>
      </c>
      <c r="P205" s="13">
        <v>0.2142</v>
      </c>
      <c r="Q205" s="9"/>
      <c r="R205" s="2"/>
      <c r="S205" s="2"/>
    </row>
    <row r="206" spans="1:19">
      <c r="A206" s="42" t="s">
        <v>77</v>
      </c>
      <c r="B206" s="3" t="s">
        <v>68</v>
      </c>
      <c r="C206" s="3">
        <v>312</v>
      </c>
      <c r="D206" s="1"/>
      <c r="E206" s="20" t="s">
        <v>17</v>
      </c>
      <c r="F206" s="7" t="s">
        <v>15</v>
      </c>
      <c r="G206" s="7" t="s">
        <v>56</v>
      </c>
      <c r="H206" s="11">
        <v>25.2</v>
      </c>
      <c r="I206" s="8">
        <v>9.1999999999999993</v>
      </c>
      <c r="J206" s="26">
        <v>1</v>
      </c>
      <c r="K206" s="10">
        <v>0.23183999999999996</v>
      </c>
      <c r="L206" s="4"/>
      <c r="M206" s="17">
        <v>1</v>
      </c>
      <c r="N206" s="18">
        <v>0.23183999999999996</v>
      </c>
      <c r="O206" s="19">
        <v>0</v>
      </c>
      <c r="P206" s="13">
        <v>0</v>
      </c>
      <c r="Q206" s="73">
        <v>9.1</v>
      </c>
      <c r="R206" s="74">
        <v>1</v>
      </c>
      <c r="S206" s="74" t="s">
        <v>213</v>
      </c>
    </row>
    <row r="207" spans="1:19">
      <c r="A207" s="42" t="s">
        <v>77</v>
      </c>
      <c r="B207" s="3" t="s">
        <v>68</v>
      </c>
      <c r="C207" s="3">
        <v>312</v>
      </c>
      <c r="D207" s="1"/>
      <c r="E207" s="20" t="s">
        <v>17</v>
      </c>
      <c r="F207" s="7" t="s">
        <v>15</v>
      </c>
      <c r="G207" s="7" t="s">
        <v>56</v>
      </c>
      <c r="H207" s="11">
        <v>25.2</v>
      </c>
      <c r="I207" s="8">
        <v>9.4</v>
      </c>
      <c r="J207" s="26">
        <v>3</v>
      </c>
      <c r="K207" s="10">
        <v>0.71063999999999994</v>
      </c>
      <c r="L207" s="4"/>
      <c r="M207" s="17">
        <v>3</v>
      </c>
      <c r="N207" s="18">
        <v>0.71064000000000005</v>
      </c>
      <c r="O207" s="19">
        <v>0</v>
      </c>
      <c r="P207" s="13">
        <v>0</v>
      </c>
      <c r="Q207" s="73">
        <v>9.1</v>
      </c>
      <c r="R207" s="74">
        <v>3</v>
      </c>
      <c r="S207" s="74" t="s">
        <v>213</v>
      </c>
    </row>
    <row r="208" spans="1:19">
      <c r="A208" s="42" t="s">
        <v>77</v>
      </c>
      <c r="B208" s="3" t="s">
        <v>68</v>
      </c>
      <c r="C208" s="3">
        <v>348</v>
      </c>
      <c r="D208" s="1"/>
      <c r="E208" s="20" t="s">
        <v>17</v>
      </c>
      <c r="F208" s="7" t="s">
        <v>15</v>
      </c>
      <c r="G208" s="7" t="s">
        <v>56</v>
      </c>
      <c r="H208" s="11">
        <v>25.2</v>
      </c>
      <c r="I208" s="8">
        <v>11.2</v>
      </c>
      <c r="J208" s="26">
        <v>1</v>
      </c>
      <c r="K208" s="10">
        <v>0.28223999999999994</v>
      </c>
      <c r="L208" s="4"/>
      <c r="M208" s="17">
        <v>1</v>
      </c>
      <c r="N208" s="18">
        <v>0.28223999999999994</v>
      </c>
      <c r="O208" s="19">
        <v>0</v>
      </c>
      <c r="P208" s="13">
        <v>0</v>
      </c>
      <c r="Q208" s="73">
        <v>10.5</v>
      </c>
      <c r="R208" s="74">
        <v>1</v>
      </c>
      <c r="S208" s="74" t="s">
        <v>196</v>
      </c>
    </row>
    <row r="209" spans="1:19">
      <c r="A209" s="44" t="s">
        <v>78</v>
      </c>
      <c r="B209" s="3" t="s">
        <v>80</v>
      </c>
      <c r="C209" s="3">
        <v>7</v>
      </c>
      <c r="D209" s="1"/>
      <c r="E209" s="20" t="s">
        <v>17</v>
      </c>
      <c r="F209" s="7" t="s">
        <v>15</v>
      </c>
      <c r="G209" s="7" t="s">
        <v>56</v>
      </c>
      <c r="H209" s="11">
        <v>25.2</v>
      </c>
      <c r="I209" s="8">
        <v>10.5</v>
      </c>
      <c r="J209" s="26">
        <v>1</v>
      </c>
      <c r="K209" s="10">
        <v>0.26459999999999995</v>
      </c>
      <c r="L209" s="4"/>
      <c r="M209" s="17">
        <v>1</v>
      </c>
      <c r="N209" s="18">
        <v>0.26459999999999995</v>
      </c>
      <c r="O209" s="19">
        <v>0</v>
      </c>
      <c r="P209" s="13">
        <v>0</v>
      </c>
      <c r="Q209" s="73">
        <v>10.5</v>
      </c>
      <c r="R209" s="72">
        <v>1</v>
      </c>
      <c r="S209" s="74" t="s">
        <v>196</v>
      </c>
    </row>
    <row r="210" spans="1:19">
      <c r="A210" s="44" t="s">
        <v>78</v>
      </c>
      <c r="B210" s="3" t="s">
        <v>80</v>
      </c>
      <c r="C210" s="3">
        <v>7</v>
      </c>
      <c r="D210" s="1"/>
      <c r="E210" s="20" t="s">
        <v>17</v>
      </c>
      <c r="F210" s="7" t="s">
        <v>15</v>
      </c>
      <c r="G210" s="7" t="s">
        <v>56</v>
      </c>
      <c r="H210" s="11">
        <v>25.2</v>
      </c>
      <c r="I210" s="8">
        <v>11.6</v>
      </c>
      <c r="J210" s="26">
        <v>2</v>
      </c>
      <c r="K210" s="10">
        <v>0.58463999999999994</v>
      </c>
      <c r="L210" s="4"/>
      <c r="M210" s="17">
        <v>2</v>
      </c>
      <c r="N210" s="18">
        <v>0.58463999999999994</v>
      </c>
      <c r="O210" s="19">
        <v>0</v>
      </c>
      <c r="P210" s="13">
        <v>0</v>
      </c>
      <c r="Q210" s="73">
        <v>10.5</v>
      </c>
      <c r="R210" s="72">
        <v>2</v>
      </c>
      <c r="S210" s="74" t="s">
        <v>196</v>
      </c>
    </row>
    <row r="211" spans="1:19">
      <c r="A211" s="44" t="s">
        <v>78</v>
      </c>
      <c r="B211" s="32" t="s">
        <v>80</v>
      </c>
      <c r="C211" s="3">
        <v>1</v>
      </c>
      <c r="D211" s="32"/>
      <c r="E211" s="39" t="s">
        <v>17</v>
      </c>
      <c r="F211" s="7" t="s">
        <v>15</v>
      </c>
      <c r="G211" s="7" t="s">
        <v>56</v>
      </c>
      <c r="H211" s="11">
        <v>25.2</v>
      </c>
      <c r="I211" s="33">
        <v>5.5</v>
      </c>
      <c r="J211" s="40">
        <v>3</v>
      </c>
      <c r="K211" s="10">
        <v>0.41579999999999995</v>
      </c>
      <c r="L211" s="4"/>
      <c r="M211" s="17"/>
      <c r="N211" s="18">
        <v>0</v>
      </c>
      <c r="O211" s="19">
        <v>3</v>
      </c>
      <c r="P211" s="13">
        <v>0.4158</v>
      </c>
      <c r="Q211" s="32"/>
      <c r="R211" s="32"/>
      <c r="S211" s="32"/>
    </row>
    <row r="212" spans="1:19">
      <c r="A212" s="44" t="s">
        <v>78</v>
      </c>
      <c r="B212" s="32" t="s">
        <v>80</v>
      </c>
      <c r="C212" s="3">
        <v>1</v>
      </c>
      <c r="D212" s="32"/>
      <c r="E212" s="39" t="s">
        <v>17</v>
      </c>
      <c r="F212" s="7" t="s">
        <v>15</v>
      </c>
      <c r="G212" s="7" t="s">
        <v>56</v>
      </c>
      <c r="H212" s="11">
        <v>25.2</v>
      </c>
      <c r="I212" s="33">
        <v>6</v>
      </c>
      <c r="J212" s="40">
        <v>2</v>
      </c>
      <c r="K212" s="10">
        <v>0.3024</v>
      </c>
      <c r="L212" s="4"/>
      <c r="M212" s="17"/>
      <c r="N212" s="18">
        <v>0</v>
      </c>
      <c r="O212" s="19">
        <v>2</v>
      </c>
      <c r="P212" s="13">
        <v>0.3024</v>
      </c>
      <c r="Q212" s="32"/>
      <c r="R212" s="32"/>
      <c r="S212" s="32"/>
    </row>
    <row r="213" spans="1:19">
      <c r="O213" s="6">
        <f>SUM(O201:O212)</f>
        <v>19</v>
      </c>
      <c r="R213" s="6">
        <f>SUM(R201:R212)</f>
        <v>9</v>
      </c>
    </row>
    <row r="215" spans="1:19">
      <c r="A215" s="48" t="s">
        <v>179</v>
      </c>
      <c r="B215" s="48" t="s">
        <v>180</v>
      </c>
      <c r="C215" s="32"/>
      <c r="D215" s="32"/>
      <c r="E215" s="48" t="s">
        <v>152</v>
      </c>
      <c r="F215" s="48" t="s">
        <v>15</v>
      </c>
      <c r="G215" s="48" t="s">
        <v>58</v>
      </c>
      <c r="H215" s="11">
        <v>27.29</v>
      </c>
      <c r="I215" s="8">
        <v>6.2</v>
      </c>
      <c r="J215" s="7">
        <v>1</v>
      </c>
      <c r="K215" s="10">
        <v>0.16919800000000002</v>
      </c>
      <c r="L215" s="32"/>
      <c r="M215" s="32">
        <v>1</v>
      </c>
      <c r="N215" s="18">
        <v>0.16919800000000002</v>
      </c>
      <c r="O215" s="19">
        <v>0</v>
      </c>
      <c r="P215" s="13">
        <v>0</v>
      </c>
      <c r="Q215" s="102">
        <v>6.25</v>
      </c>
      <c r="R215" s="91">
        <v>1</v>
      </c>
      <c r="S215" s="91" t="s">
        <v>212</v>
      </c>
    </row>
    <row r="216" spans="1:19">
      <c r="A216" s="48" t="s">
        <v>179</v>
      </c>
      <c r="B216" s="48" t="s">
        <v>180</v>
      </c>
      <c r="C216" s="32"/>
      <c r="D216" s="32"/>
      <c r="E216" s="48" t="s">
        <v>152</v>
      </c>
      <c r="F216" s="48" t="s">
        <v>15</v>
      </c>
      <c r="G216" s="48" t="s">
        <v>58</v>
      </c>
      <c r="H216" s="11">
        <v>27.29</v>
      </c>
      <c r="I216" s="9">
        <v>6</v>
      </c>
      <c r="J216" s="7">
        <v>2</v>
      </c>
      <c r="K216" s="10">
        <v>0.32747999999999999</v>
      </c>
      <c r="L216" s="32"/>
      <c r="M216" s="32"/>
      <c r="N216" s="18">
        <v>0</v>
      </c>
      <c r="O216" s="19">
        <v>2</v>
      </c>
      <c r="P216" s="13">
        <v>0.32747999999999999</v>
      </c>
      <c r="Q216" s="55"/>
      <c r="R216" s="32"/>
      <c r="S216" s="32"/>
    </row>
    <row r="217" spans="1:19">
      <c r="A217" s="48" t="s">
        <v>179</v>
      </c>
      <c r="B217" s="48" t="s">
        <v>169</v>
      </c>
      <c r="C217" s="32"/>
      <c r="D217" s="32"/>
      <c r="E217" s="69" t="s">
        <v>152</v>
      </c>
      <c r="F217" s="69" t="s">
        <v>15</v>
      </c>
      <c r="G217" s="69" t="s">
        <v>58</v>
      </c>
      <c r="H217" s="61">
        <v>27.29</v>
      </c>
      <c r="I217" s="99">
        <v>6.6</v>
      </c>
      <c r="J217" s="60">
        <v>1</v>
      </c>
      <c r="K217" s="62">
        <v>0.18011399999999997</v>
      </c>
      <c r="L217" s="69" t="s">
        <v>46</v>
      </c>
      <c r="M217" s="67"/>
      <c r="N217" s="63">
        <v>0</v>
      </c>
      <c r="O217" s="64">
        <v>1</v>
      </c>
      <c r="P217" s="65">
        <v>0.18011399999999997</v>
      </c>
      <c r="Q217" s="100"/>
      <c r="R217" s="67"/>
      <c r="S217" s="67"/>
    </row>
    <row r="218" spans="1:19">
      <c r="A218" s="48" t="s">
        <v>179</v>
      </c>
      <c r="B218" s="48" t="s">
        <v>169</v>
      </c>
      <c r="C218" s="32"/>
      <c r="D218" s="32"/>
      <c r="E218" s="69" t="s">
        <v>152</v>
      </c>
      <c r="F218" s="69" t="s">
        <v>15</v>
      </c>
      <c r="G218" s="69" t="s">
        <v>58</v>
      </c>
      <c r="H218" s="61">
        <v>27.29</v>
      </c>
      <c r="I218" s="99">
        <v>6.8</v>
      </c>
      <c r="J218" s="60">
        <v>1</v>
      </c>
      <c r="K218" s="62">
        <v>0.18557200000000001</v>
      </c>
      <c r="L218" s="69" t="s">
        <v>46</v>
      </c>
      <c r="M218" s="67"/>
      <c r="N218" s="63">
        <v>0</v>
      </c>
      <c r="O218" s="64">
        <v>1</v>
      </c>
      <c r="P218" s="65">
        <v>0.18557200000000001</v>
      </c>
      <c r="Q218" s="100"/>
      <c r="R218" s="67"/>
      <c r="S218" s="67"/>
    </row>
    <row r="219" spans="1:19">
      <c r="A219" s="44" t="s">
        <v>78</v>
      </c>
      <c r="B219" s="3" t="s">
        <v>80</v>
      </c>
      <c r="C219" s="3">
        <v>12</v>
      </c>
      <c r="D219" s="1"/>
      <c r="E219" s="20" t="s">
        <v>20</v>
      </c>
      <c r="F219" s="7" t="s">
        <v>15</v>
      </c>
      <c r="G219" s="7" t="s">
        <v>58</v>
      </c>
      <c r="H219" s="11">
        <v>27.29</v>
      </c>
      <c r="I219" s="8">
        <v>7.5</v>
      </c>
      <c r="J219" s="26">
        <v>1</v>
      </c>
      <c r="K219" s="10">
        <v>0.204675</v>
      </c>
      <c r="L219" s="4"/>
      <c r="M219" s="17">
        <v>1</v>
      </c>
      <c r="N219" s="18">
        <v>0.204675</v>
      </c>
      <c r="O219" s="19">
        <v>0</v>
      </c>
      <c r="P219" s="13">
        <v>0</v>
      </c>
      <c r="Q219" s="89">
        <v>6.7</v>
      </c>
      <c r="R219" s="91">
        <v>1</v>
      </c>
      <c r="S219" s="91" t="s">
        <v>215</v>
      </c>
    </row>
    <row r="220" spans="1:19">
      <c r="A220" s="44" t="s">
        <v>78</v>
      </c>
      <c r="B220" s="3" t="s">
        <v>80</v>
      </c>
      <c r="C220" s="3">
        <v>12</v>
      </c>
      <c r="D220" s="1"/>
      <c r="E220" s="20" t="s">
        <v>20</v>
      </c>
      <c r="F220" s="7" t="s">
        <v>15</v>
      </c>
      <c r="G220" s="7" t="s">
        <v>58</v>
      </c>
      <c r="H220" s="11">
        <v>27.29</v>
      </c>
      <c r="I220" s="8">
        <v>6.8</v>
      </c>
      <c r="J220" s="26">
        <v>1</v>
      </c>
      <c r="K220" s="10">
        <v>0.18557200000000001</v>
      </c>
      <c r="L220" s="4"/>
      <c r="M220" s="17">
        <v>1</v>
      </c>
      <c r="N220" s="18">
        <v>0.18557200000000001</v>
      </c>
      <c r="O220" s="19">
        <v>0</v>
      </c>
      <c r="P220" s="13">
        <v>0</v>
      </c>
      <c r="Q220" s="89">
        <v>6.7</v>
      </c>
      <c r="R220" s="91">
        <v>1</v>
      </c>
      <c r="S220" s="91" t="s">
        <v>215</v>
      </c>
    </row>
    <row r="221" spans="1:19">
      <c r="A221" s="44" t="s">
        <v>78</v>
      </c>
      <c r="B221" s="3" t="s">
        <v>80</v>
      </c>
      <c r="C221" s="3">
        <v>12</v>
      </c>
      <c r="D221" s="1"/>
      <c r="E221" s="20" t="s">
        <v>20</v>
      </c>
      <c r="F221" s="7" t="s">
        <v>15</v>
      </c>
      <c r="G221" s="7" t="s">
        <v>58</v>
      </c>
      <c r="H221" s="11">
        <v>27.29</v>
      </c>
      <c r="I221" s="8">
        <v>9.6999999999999993</v>
      </c>
      <c r="J221" s="26">
        <v>1</v>
      </c>
      <c r="K221" s="10">
        <v>0.26471299999999998</v>
      </c>
      <c r="L221" s="4"/>
      <c r="M221" s="17">
        <v>1</v>
      </c>
      <c r="N221" s="18">
        <v>0.26471299999999998</v>
      </c>
      <c r="O221" s="19">
        <v>0</v>
      </c>
      <c r="P221" s="13">
        <v>0</v>
      </c>
      <c r="Q221" s="89">
        <v>8.9</v>
      </c>
      <c r="R221" s="91">
        <v>1</v>
      </c>
      <c r="S221" s="91" t="s">
        <v>215</v>
      </c>
    </row>
    <row r="222" spans="1:19">
      <c r="A222" s="44" t="s">
        <v>78</v>
      </c>
      <c r="B222" s="3" t="s">
        <v>80</v>
      </c>
      <c r="C222" s="3">
        <v>12</v>
      </c>
      <c r="D222" s="1"/>
      <c r="E222" s="20" t="s">
        <v>20</v>
      </c>
      <c r="F222" s="7" t="s">
        <v>15</v>
      </c>
      <c r="G222" s="7" t="s">
        <v>58</v>
      </c>
      <c r="H222" s="11">
        <v>27.29</v>
      </c>
      <c r="I222" s="8">
        <v>7.6</v>
      </c>
      <c r="J222" s="26">
        <v>1</v>
      </c>
      <c r="K222" s="10">
        <v>0.20740400000000001</v>
      </c>
      <c r="L222" s="4"/>
      <c r="M222" s="17">
        <v>1</v>
      </c>
      <c r="N222" s="18">
        <v>0.20740400000000001</v>
      </c>
      <c r="O222" s="19">
        <v>0</v>
      </c>
      <c r="P222" s="13">
        <v>0</v>
      </c>
      <c r="Q222" s="89">
        <v>6.7</v>
      </c>
      <c r="R222" s="91">
        <v>1</v>
      </c>
      <c r="S222" s="91" t="s">
        <v>215</v>
      </c>
    </row>
    <row r="223" spans="1:19">
      <c r="A223" s="44" t="s">
        <v>78</v>
      </c>
      <c r="B223" s="3" t="s">
        <v>80</v>
      </c>
      <c r="C223" s="3">
        <v>8</v>
      </c>
      <c r="D223" s="1"/>
      <c r="E223" s="20" t="s">
        <v>20</v>
      </c>
      <c r="F223" s="7" t="s">
        <v>15</v>
      </c>
      <c r="G223" s="7" t="s">
        <v>58</v>
      </c>
      <c r="H223" s="11">
        <v>27.29</v>
      </c>
      <c r="I223" s="55">
        <v>7.8</v>
      </c>
      <c r="J223" s="40">
        <v>1</v>
      </c>
      <c r="K223" s="10">
        <v>0.212862</v>
      </c>
      <c r="L223" s="4"/>
      <c r="M223" s="17">
        <v>1</v>
      </c>
      <c r="N223" s="18">
        <v>0.212862</v>
      </c>
      <c r="O223" s="19">
        <v>0</v>
      </c>
      <c r="P223" s="13">
        <v>0</v>
      </c>
      <c r="Q223" s="102">
        <v>6.7</v>
      </c>
      <c r="R223" s="91">
        <v>1</v>
      </c>
      <c r="S223" s="91" t="s">
        <v>215</v>
      </c>
    </row>
    <row r="224" spans="1:19">
      <c r="A224" s="44" t="s">
        <v>78</v>
      </c>
      <c r="B224" s="32" t="s">
        <v>111</v>
      </c>
      <c r="C224" s="3">
        <v>3</v>
      </c>
      <c r="D224" s="1"/>
      <c r="E224" s="20" t="s">
        <v>20</v>
      </c>
      <c r="F224" s="7" t="s">
        <v>15</v>
      </c>
      <c r="G224" s="7" t="s">
        <v>58</v>
      </c>
      <c r="H224" s="11">
        <v>27.29</v>
      </c>
      <c r="I224" s="55">
        <v>11.7</v>
      </c>
      <c r="J224" s="40">
        <v>2</v>
      </c>
      <c r="K224" s="10">
        <v>0.63858599999999988</v>
      </c>
      <c r="L224" s="4"/>
      <c r="M224" s="17">
        <v>2</v>
      </c>
      <c r="N224" s="18">
        <v>0.63858599999999988</v>
      </c>
      <c r="O224" s="19">
        <v>0</v>
      </c>
      <c r="P224" s="13">
        <v>0</v>
      </c>
      <c r="Q224" s="102">
        <v>11.1</v>
      </c>
      <c r="R224" s="91">
        <v>2</v>
      </c>
      <c r="S224" s="91" t="s">
        <v>215</v>
      </c>
    </row>
    <row r="225" spans="1:19">
      <c r="A225" s="44" t="s">
        <v>78</v>
      </c>
      <c r="B225" s="32" t="s">
        <v>111</v>
      </c>
      <c r="C225" s="3">
        <v>3</v>
      </c>
      <c r="D225" s="1"/>
      <c r="E225" s="20" t="s">
        <v>20</v>
      </c>
      <c r="F225" s="7" t="s">
        <v>15</v>
      </c>
      <c r="G225" s="7" t="s">
        <v>58</v>
      </c>
      <c r="H225" s="11">
        <v>27.29</v>
      </c>
      <c r="I225" s="55">
        <v>9.5</v>
      </c>
      <c r="J225" s="40">
        <v>1</v>
      </c>
      <c r="K225" s="10">
        <v>0.25925500000000001</v>
      </c>
      <c r="L225" s="4"/>
      <c r="M225" s="17">
        <v>1</v>
      </c>
      <c r="N225" s="18">
        <v>0.25925500000000001</v>
      </c>
      <c r="O225" s="19">
        <v>0</v>
      </c>
      <c r="P225" s="13">
        <v>0</v>
      </c>
      <c r="Q225" s="102">
        <v>9.5</v>
      </c>
      <c r="R225" s="91">
        <v>1</v>
      </c>
      <c r="S225" s="91" t="s">
        <v>212</v>
      </c>
    </row>
    <row r="226" spans="1:19">
      <c r="A226" s="44" t="s">
        <v>78</v>
      </c>
      <c r="B226" s="32" t="s">
        <v>111</v>
      </c>
      <c r="C226" s="3">
        <v>3</v>
      </c>
      <c r="D226" s="1"/>
      <c r="E226" s="20" t="s">
        <v>20</v>
      </c>
      <c r="F226" s="7" t="s">
        <v>15</v>
      </c>
      <c r="G226" s="7" t="s">
        <v>58</v>
      </c>
      <c r="H226" s="11">
        <v>27.29</v>
      </c>
      <c r="I226" s="55">
        <v>6.2</v>
      </c>
      <c r="J226" s="40">
        <v>1</v>
      </c>
      <c r="K226" s="10">
        <v>0.16919800000000002</v>
      </c>
      <c r="L226" s="4"/>
      <c r="M226" s="17">
        <v>1</v>
      </c>
      <c r="N226" s="18">
        <v>0.16919800000000002</v>
      </c>
      <c r="O226" s="19">
        <v>0</v>
      </c>
      <c r="P226" s="13">
        <v>0</v>
      </c>
      <c r="Q226" s="102">
        <v>6.25</v>
      </c>
      <c r="R226" s="91">
        <v>1</v>
      </c>
      <c r="S226" s="91" t="s">
        <v>212</v>
      </c>
    </row>
    <row r="227" spans="1:19">
      <c r="A227" s="44" t="s">
        <v>78</v>
      </c>
      <c r="B227" s="32" t="s">
        <v>80</v>
      </c>
      <c r="C227" s="3">
        <v>1</v>
      </c>
      <c r="D227" s="32"/>
      <c r="E227" s="24" t="s">
        <v>130</v>
      </c>
      <c r="F227" s="7" t="s">
        <v>15</v>
      </c>
      <c r="G227" s="7" t="s">
        <v>58</v>
      </c>
      <c r="H227" s="11">
        <v>27.29</v>
      </c>
      <c r="I227" s="55">
        <v>7.5</v>
      </c>
      <c r="J227" s="40">
        <v>1</v>
      </c>
      <c r="K227" s="10">
        <v>0.204675</v>
      </c>
      <c r="L227" s="4"/>
      <c r="M227" s="17">
        <v>1</v>
      </c>
      <c r="N227" s="18">
        <v>0.204675</v>
      </c>
      <c r="O227" s="19">
        <v>0</v>
      </c>
      <c r="P227" s="13">
        <v>0</v>
      </c>
      <c r="Q227" s="102">
        <v>6.7</v>
      </c>
      <c r="R227" s="91">
        <v>1</v>
      </c>
      <c r="S227" s="91" t="s">
        <v>215</v>
      </c>
    </row>
    <row r="228" spans="1:19">
      <c r="A228" s="44" t="s">
        <v>78</v>
      </c>
      <c r="B228" s="32" t="s">
        <v>80</v>
      </c>
      <c r="C228" s="3">
        <v>1</v>
      </c>
      <c r="D228" s="32"/>
      <c r="E228" s="24" t="s">
        <v>130</v>
      </c>
      <c r="F228" s="7" t="s">
        <v>15</v>
      </c>
      <c r="G228" s="7" t="s">
        <v>58</v>
      </c>
      <c r="H228" s="11">
        <v>27.29</v>
      </c>
      <c r="I228" s="55">
        <v>10.5</v>
      </c>
      <c r="J228" s="40">
        <v>1</v>
      </c>
      <c r="K228" s="10">
        <v>0.28654499999999999</v>
      </c>
      <c r="L228" s="4"/>
      <c r="M228" s="17">
        <v>1</v>
      </c>
      <c r="N228" s="18">
        <v>0.28654499999999999</v>
      </c>
      <c r="O228" s="19">
        <v>0</v>
      </c>
      <c r="P228" s="13">
        <v>0</v>
      </c>
      <c r="Q228" s="102">
        <v>9.5</v>
      </c>
      <c r="R228" s="91">
        <v>1</v>
      </c>
      <c r="S228" s="91" t="s">
        <v>212</v>
      </c>
    </row>
    <row r="229" spans="1:19">
      <c r="A229" s="45" t="s">
        <v>136</v>
      </c>
      <c r="B229" s="32" t="s">
        <v>137</v>
      </c>
      <c r="C229" s="32">
        <v>2</v>
      </c>
      <c r="D229" s="32"/>
      <c r="E229" s="20" t="s">
        <v>20</v>
      </c>
      <c r="F229" s="7" t="s">
        <v>15</v>
      </c>
      <c r="G229" s="7" t="s">
        <v>58</v>
      </c>
      <c r="H229" s="11">
        <v>27.29</v>
      </c>
      <c r="I229" s="55">
        <v>6.8</v>
      </c>
      <c r="J229" s="40">
        <v>1</v>
      </c>
      <c r="K229" s="10">
        <v>0.18557200000000001</v>
      </c>
      <c r="L229" s="4"/>
      <c r="M229" s="17">
        <v>1</v>
      </c>
      <c r="N229" s="18">
        <v>0.18557200000000001</v>
      </c>
      <c r="O229" s="19">
        <v>0</v>
      </c>
      <c r="P229" s="13">
        <v>0</v>
      </c>
      <c r="Q229" s="102">
        <v>6.7</v>
      </c>
      <c r="R229" s="91">
        <v>1</v>
      </c>
      <c r="S229" s="91" t="s">
        <v>215</v>
      </c>
    </row>
    <row r="230" spans="1:19">
      <c r="A230" s="45" t="s">
        <v>136</v>
      </c>
      <c r="B230" s="32" t="s">
        <v>137</v>
      </c>
      <c r="C230" s="3">
        <v>19</v>
      </c>
      <c r="D230" s="32"/>
      <c r="E230" s="20" t="s">
        <v>89</v>
      </c>
      <c r="F230" s="7" t="s">
        <v>15</v>
      </c>
      <c r="G230" s="7" t="s">
        <v>58</v>
      </c>
      <c r="H230" s="11">
        <v>27.29</v>
      </c>
      <c r="I230" s="55">
        <v>12.75</v>
      </c>
      <c r="J230" s="40">
        <v>1</v>
      </c>
      <c r="K230" s="10">
        <v>0.34794749999999997</v>
      </c>
      <c r="L230" s="4"/>
      <c r="M230" s="17">
        <v>1</v>
      </c>
      <c r="N230" s="18">
        <v>0.34794749999999997</v>
      </c>
      <c r="O230" s="19">
        <v>0</v>
      </c>
      <c r="P230" s="13">
        <v>0</v>
      </c>
      <c r="Q230" s="102">
        <v>12.75</v>
      </c>
      <c r="R230" s="91">
        <v>1</v>
      </c>
      <c r="S230" s="91" t="s">
        <v>215</v>
      </c>
    </row>
    <row r="231" spans="1:19">
      <c r="A231" s="45" t="s">
        <v>136</v>
      </c>
      <c r="B231" s="32" t="s">
        <v>137</v>
      </c>
      <c r="C231" s="3">
        <v>21</v>
      </c>
      <c r="D231" s="32"/>
      <c r="E231" s="20" t="s">
        <v>20</v>
      </c>
      <c r="F231" s="7" t="s">
        <v>15</v>
      </c>
      <c r="G231" s="7" t="s">
        <v>58</v>
      </c>
      <c r="H231" s="11">
        <v>27.29</v>
      </c>
      <c r="I231" s="55">
        <v>6.5</v>
      </c>
      <c r="J231" s="40">
        <v>1</v>
      </c>
      <c r="K231" s="10">
        <v>0.17738499999999999</v>
      </c>
      <c r="L231" s="4"/>
      <c r="M231" s="17">
        <v>1</v>
      </c>
      <c r="N231" s="18">
        <v>0.17738499999999999</v>
      </c>
      <c r="O231" s="19">
        <v>0</v>
      </c>
      <c r="P231" s="13">
        <v>0</v>
      </c>
      <c r="Q231" s="102">
        <v>6.25</v>
      </c>
      <c r="R231" s="91">
        <v>1</v>
      </c>
      <c r="S231" s="91" t="s">
        <v>214</v>
      </c>
    </row>
    <row r="232" spans="1:19">
      <c r="A232" s="45" t="s">
        <v>136</v>
      </c>
      <c r="B232" s="32" t="s">
        <v>137</v>
      </c>
      <c r="C232" s="3">
        <v>21</v>
      </c>
      <c r="D232" s="32"/>
      <c r="E232" s="20" t="s">
        <v>20</v>
      </c>
      <c r="F232" s="7" t="s">
        <v>15</v>
      </c>
      <c r="G232" s="7" t="s">
        <v>58</v>
      </c>
      <c r="H232" s="11">
        <v>27.29</v>
      </c>
      <c r="I232" s="55">
        <v>6.6</v>
      </c>
      <c r="J232" s="40">
        <v>1</v>
      </c>
      <c r="K232" s="10">
        <v>0.18011399999999997</v>
      </c>
      <c r="L232" s="4"/>
      <c r="M232" s="17">
        <v>1</v>
      </c>
      <c r="N232" s="18">
        <v>0.18011399999999997</v>
      </c>
      <c r="O232" s="19">
        <v>0</v>
      </c>
      <c r="P232" s="13">
        <v>0</v>
      </c>
      <c r="Q232" s="102">
        <v>6.25</v>
      </c>
      <c r="R232" s="91">
        <v>1</v>
      </c>
      <c r="S232" s="91" t="s">
        <v>214</v>
      </c>
    </row>
    <row r="233" spans="1:19">
      <c r="A233" s="45" t="s">
        <v>136</v>
      </c>
      <c r="B233" s="32" t="s">
        <v>137</v>
      </c>
      <c r="C233" s="3">
        <v>21</v>
      </c>
      <c r="D233" s="32"/>
      <c r="E233" s="20" t="s">
        <v>20</v>
      </c>
      <c r="F233" s="7" t="s">
        <v>15</v>
      </c>
      <c r="G233" s="7" t="s">
        <v>58</v>
      </c>
      <c r="H233" s="11">
        <v>27.29</v>
      </c>
      <c r="I233" s="55">
        <v>10.7</v>
      </c>
      <c r="J233" s="40">
        <v>1</v>
      </c>
      <c r="K233" s="10">
        <v>0.29200300000000001</v>
      </c>
      <c r="L233" s="4"/>
      <c r="M233" s="17">
        <v>1</v>
      </c>
      <c r="N233" s="18">
        <v>0.29200300000000001</v>
      </c>
      <c r="O233" s="19">
        <v>0</v>
      </c>
      <c r="P233" s="13">
        <v>0</v>
      </c>
      <c r="Q233" s="102">
        <v>10.5</v>
      </c>
      <c r="R233" s="91">
        <v>1</v>
      </c>
      <c r="S233" s="91" t="s">
        <v>195</v>
      </c>
    </row>
    <row r="234" spans="1:19">
      <c r="A234" s="45" t="s">
        <v>136</v>
      </c>
      <c r="B234" s="32" t="s">
        <v>137</v>
      </c>
      <c r="C234" s="3">
        <v>28</v>
      </c>
      <c r="D234" s="32"/>
      <c r="E234" s="20" t="s">
        <v>20</v>
      </c>
      <c r="F234" s="7" t="s">
        <v>15</v>
      </c>
      <c r="G234" s="7" t="s">
        <v>58</v>
      </c>
      <c r="H234" s="11">
        <v>27.29</v>
      </c>
      <c r="I234" s="55">
        <v>6</v>
      </c>
      <c r="J234" s="40">
        <v>2</v>
      </c>
      <c r="K234" s="10">
        <v>0.32747999999999999</v>
      </c>
      <c r="L234" s="4"/>
      <c r="M234" s="17"/>
      <c r="N234" s="18">
        <v>0</v>
      </c>
      <c r="O234" s="19">
        <v>2</v>
      </c>
      <c r="P234" s="13">
        <v>0.32747999999999999</v>
      </c>
      <c r="Q234" s="55"/>
      <c r="R234" s="32"/>
      <c r="S234" s="32"/>
    </row>
    <row r="235" spans="1:19">
      <c r="A235" s="45" t="s">
        <v>136</v>
      </c>
      <c r="B235" s="32" t="s">
        <v>137</v>
      </c>
      <c r="C235" s="3">
        <v>29</v>
      </c>
      <c r="D235" s="32"/>
      <c r="E235" s="20" t="s">
        <v>20</v>
      </c>
      <c r="F235" s="7" t="s">
        <v>15</v>
      </c>
      <c r="G235" s="7" t="s">
        <v>58</v>
      </c>
      <c r="H235" s="11">
        <v>27.29</v>
      </c>
      <c r="I235" s="55">
        <v>5.6</v>
      </c>
      <c r="J235" s="40">
        <v>1</v>
      </c>
      <c r="K235" s="10">
        <v>0.15282399999999999</v>
      </c>
      <c r="L235" s="4"/>
      <c r="M235" s="17"/>
      <c r="N235" s="18">
        <v>0</v>
      </c>
      <c r="O235" s="19">
        <v>1</v>
      </c>
      <c r="P235" s="13">
        <v>0.15282399999999999</v>
      </c>
      <c r="Q235" s="55"/>
      <c r="R235" s="32"/>
      <c r="S235" s="32"/>
    </row>
    <row r="236" spans="1:19">
      <c r="A236" s="45" t="s">
        <v>136</v>
      </c>
      <c r="B236" s="32" t="s">
        <v>137</v>
      </c>
      <c r="C236" s="3">
        <v>29</v>
      </c>
      <c r="D236" s="32"/>
      <c r="E236" s="20" t="s">
        <v>20</v>
      </c>
      <c r="F236" s="7" t="s">
        <v>15</v>
      </c>
      <c r="G236" s="7" t="s">
        <v>58</v>
      </c>
      <c r="H236" s="11">
        <v>27.29</v>
      </c>
      <c r="I236" s="55">
        <v>6</v>
      </c>
      <c r="J236" s="40">
        <v>1</v>
      </c>
      <c r="K236" s="10">
        <v>0.16374</v>
      </c>
      <c r="L236" s="4"/>
      <c r="M236" s="17"/>
      <c r="N236" s="18">
        <v>0</v>
      </c>
      <c r="O236" s="19">
        <v>1</v>
      </c>
      <c r="P236" s="13">
        <v>0.16374</v>
      </c>
      <c r="Q236" s="55"/>
      <c r="R236" s="32"/>
      <c r="S236" s="32"/>
    </row>
    <row r="237" spans="1:19">
      <c r="A237" s="45" t="s">
        <v>136</v>
      </c>
      <c r="B237" s="32" t="s">
        <v>137</v>
      </c>
      <c r="C237" s="3">
        <v>67</v>
      </c>
      <c r="D237" s="32"/>
      <c r="E237" s="20" t="s">
        <v>20</v>
      </c>
      <c r="F237" s="7" t="s">
        <v>15</v>
      </c>
      <c r="G237" s="7" t="s">
        <v>58</v>
      </c>
      <c r="H237" s="11">
        <v>27.29</v>
      </c>
      <c r="I237" s="55">
        <v>7</v>
      </c>
      <c r="J237" s="40">
        <v>1</v>
      </c>
      <c r="K237" s="10">
        <v>0.19103000000000001</v>
      </c>
      <c r="L237" s="4"/>
      <c r="M237" s="17">
        <v>1</v>
      </c>
      <c r="N237" s="18">
        <v>0.19103000000000001</v>
      </c>
      <c r="O237" s="19">
        <v>0</v>
      </c>
      <c r="P237" s="13">
        <v>0</v>
      </c>
      <c r="Q237" s="102">
        <v>6.25</v>
      </c>
      <c r="R237" s="91">
        <v>1</v>
      </c>
      <c r="S237" s="91" t="s">
        <v>212</v>
      </c>
    </row>
    <row r="238" spans="1:19">
      <c r="A238" s="45" t="s">
        <v>136</v>
      </c>
      <c r="B238" s="32" t="s">
        <v>137</v>
      </c>
      <c r="C238" s="3">
        <v>71</v>
      </c>
      <c r="D238" s="32"/>
      <c r="E238" s="20" t="s">
        <v>20</v>
      </c>
      <c r="F238" s="7" t="s">
        <v>15</v>
      </c>
      <c r="G238" s="7" t="s">
        <v>58</v>
      </c>
      <c r="H238" s="11">
        <v>27.29</v>
      </c>
      <c r="I238" s="55">
        <v>10.1</v>
      </c>
      <c r="J238" s="40">
        <v>1</v>
      </c>
      <c r="K238" s="10">
        <v>0.27562899999999996</v>
      </c>
      <c r="L238" s="4"/>
      <c r="M238" s="17">
        <v>1</v>
      </c>
      <c r="N238" s="18">
        <v>0.27562899999999996</v>
      </c>
      <c r="O238" s="19">
        <v>0</v>
      </c>
      <c r="P238" s="13">
        <v>0</v>
      </c>
      <c r="Q238" s="102">
        <v>9.5</v>
      </c>
      <c r="R238" s="91">
        <v>1</v>
      </c>
      <c r="S238" s="91" t="s">
        <v>212</v>
      </c>
    </row>
    <row r="239" spans="1:19">
      <c r="A239" s="45" t="s">
        <v>136</v>
      </c>
      <c r="B239" s="32" t="s">
        <v>137</v>
      </c>
      <c r="C239" s="3">
        <v>80</v>
      </c>
      <c r="D239" s="32"/>
      <c r="E239" s="20" t="s">
        <v>89</v>
      </c>
      <c r="F239" s="7" t="s">
        <v>15</v>
      </c>
      <c r="G239" s="7" t="s">
        <v>58</v>
      </c>
      <c r="H239" s="11">
        <v>27.29</v>
      </c>
      <c r="I239" s="55">
        <v>6</v>
      </c>
      <c r="J239" s="40">
        <v>1</v>
      </c>
      <c r="K239" s="10">
        <v>0.16374</v>
      </c>
      <c r="L239" s="4"/>
      <c r="M239" s="17"/>
      <c r="N239" s="18">
        <v>0</v>
      </c>
      <c r="O239" s="19">
        <v>1</v>
      </c>
      <c r="P239" s="13">
        <v>0.16374</v>
      </c>
      <c r="Q239" s="55"/>
      <c r="R239" s="32"/>
      <c r="S239" s="32"/>
    </row>
    <row r="240" spans="1:19">
      <c r="A240" s="45" t="s">
        <v>136</v>
      </c>
      <c r="B240" s="32" t="s">
        <v>137</v>
      </c>
      <c r="C240" s="3">
        <v>80</v>
      </c>
      <c r="D240" s="32"/>
      <c r="E240" s="20" t="s">
        <v>89</v>
      </c>
      <c r="F240" s="7" t="s">
        <v>15</v>
      </c>
      <c r="G240" s="7" t="s">
        <v>58</v>
      </c>
      <c r="H240" s="11">
        <v>27.29</v>
      </c>
      <c r="I240" s="55">
        <v>6.2</v>
      </c>
      <c r="J240" s="40">
        <v>1</v>
      </c>
      <c r="K240" s="10">
        <v>0.16919800000000002</v>
      </c>
      <c r="L240" s="4"/>
      <c r="M240" s="17"/>
      <c r="N240" s="18">
        <v>0</v>
      </c>
      <c r="O240" s="19">
        <v>1</v>
      </c>
      <c r="P240" s="13">
        <v>0.16919800000000002</v>
      </c>
      <c r="Q240" s="55"/>
      <c r="R240" s="32"/>
      <c r="S240" s="32"/>
    </row>
    <row r="241" spans="1:19">
      <c r="A241" s="45" t="s">
        <v>136</v>
      </c>
      <c r="B241" s="32" t="s">
        <v>137</v>
      </c>
      <c r="C241" s="3">
        <v>80</v>
      </c>
      <c r="D241" s="32"/>
      <c r="E241" s="20" t="s">
        <v>89</v>
      </c>
      <c r="F241" s="7" t="s">
        <v>15</v>
      </c>
      <c r="G241" s="7" t="s">
        <v>58</v>
      </c>
      <c r="H241" s="11">
        <v>27.29</v>
      </c>
      <c r="I241" s="55">
        <v>6.7</v>
      </c>
      <c r="J241" s="40">
        <v>1</v>
      </c>
      <c r="K241" s="10">
        <v>0.18284299999999998</v>
      </c>
      <c r="L241" s="4"/>
      <c r="M241" s="17">
        <v>1</v>
      </c>
      <c r="N241" s="18">
        <v>0.18284299999999998</v>
      </c>
      <c r="O241" s="19">
        <v>0</v>
      </c>
      <c r="P241" s="13">
        <v>0</v>
      </c>
      <c r="Q241" s="102">
        <v>6.7</v>
      </c>
      <c r="R241" s="91">
        <v>1</v>
      </c>
      <c r="S241" s="91" t="s">
        <v>215</v>
      </c>
    </row>
    <row r="242" spans="1:19">
      <c r="A242" s="45" t="s">
        <v>136</v>
      </c>
      <c r="B242" s="48" t="s">
        <v>171</v>
      </c>
      <c r="C242" s="32">
        <v>115</v>
      </c>
      <c r="D242" s="32"/>
      <c r="E242" s="48" t="s">
        <v>89</v>
      </c>
      <c r="F242" s="48" t="s">
        <v>15</v>
      </c>
      <c r="G242" s="48" t="s">
        <v>58</v>
      </c>
      <c r="H242" s="11">
        <v>27.29</v>
      </c>
      <c r="I242" s="8">
        <v>11.7</v>
      </c>
      <c r="J242" s="7">
        <v>1</v>
      </c>
      <c r="K242" s="10">
        <v>0.31929299999999994</v>
      </c>
      <c r="L242" s="32"/>
      <c r="M242" s="32">
        <v>1</v>
      </c>
      <c r="N242" s="18">
        <v>0.31929299999999994</v>
      </c>
      <c r="O242" s="19">
        <v>0</v>
      </c>
      <c r="P242" s="13">
        <v>0</v>
      </c>
      <c r="Q242" s="102">
        <v>10.5</v>
      </c>
      <c r="R242" s="91">
        <v>1</v>
      </c>
      <c r="S242" s="91" t="s">
        <v>195</v>
      </c>
    </row>
    <row r="243" spans="1:19">
      <c r="A243" s="45" t="s">
        <v>136</v>
      </c>
      <c r="B243" s="48" t="s">
        <v>171</v>
      </c>
      <c r="C243" s="32">
        <v>124</v>
      </c>
      <c r="D243" s="32"/>
      <c r="E243" s="48" t="s">
        <v>20</v>
      </c>
      <c r="F243" s="48" t="s">
        <v>15</v>
      </c>
      <c r="G243" s="48" t="s">
        <v>58</v>
      </c>
      <c r="H243" s="11">
        <v>27.29</v>
      </c>
      <c r="I243" s="8">
        <v>7.4</v>
      </c>
      <c r="J243" s="7">
        <v>1</v>
      </c>
      <c r="K243" s="10">
        <v>0.20194599999999999</v>
      </c>
      <c r="L243" s="32"/>
      <c r="M243" s="32">
        <v>1</v>
      </c>
      <c r="N243" s="18">
        <v>0.20194599999999999</v>
      </c>
      <c r="O243" s="19">
        <v>0</v>
      </c>
      <c r="P243" s="13">
        <v>0</v>
      </c>
      <c r="Q243" s="102">
        <v>6.7</v>
      </c>
      <c r="R243" s="91">
        <v>1</v>
      </c>
      <c r="S243" s="91" t="s">
        <v>215</v>
      </c>
    </row>
    <row r="244" spans="1:19">
      <c r="O244" s="6">
        <f>SUM(O215:O243)</f>
        <v>10</v>
      </c>
      <c r="R244" s="6">
        <f>SUM(R215:R243)</f>
        <v>22</v>
      </c>
    </row>
    <row r="246" spans="1:19">
      <c r="A246" s="44" t="s">
        <v>78</v>
      </c>
      <c r="B246" s="3" t="s">
        <v>80</v>
      </c>
      <c r="C246" s="3">
        <v>8</v>
      </c>
      <c r="D246" s="1"/>
      <c r="E246" s="20" t="s">
        <v>91</v>
      </c>
      <c r="F246" s="7" t="s">
        <v>15</v>
      </c>
      <c r="G246" s="7" t="s">
        <v>66</v>
      </c>
      <c r="H246" s="11">
        <v>29.5</v>
      </c>
      <c r="I246" s="8">
        <v>6.8</v>
      </c>
      <c r="J246" s="26">
        <v>3</v>
      </c>
      <c r="K246" s="10">
        <f t="shared" ref="K246:K251" si="8">(H246*I246*J246/1000)</f>
        <v>0.6018</v>
      </c>
      <c r="L246" s="4"/>
      <c r="M246" s="17"/>
      <c r="N246" s="18">
        <f t="shared" ref="N246:N251" si="9">I246*M246*H246/1000</f>
        <v>0</v>
      </c>
      <c r="O246" s="19">
        <f t="shared" ref="O246:O251" si="10">J246-M246</f>
        <v>3</v>
      </c>
      <c r="P246" s="13">
        <f t="shared" ref="P246:P251" si="11">I246*O246*H246/1000</f>
        <v>0.6018</v>
      </c>
      <c r="Q246" s="9"/>
      <c r="R246" s="32"/>
      <c r="S246" s="32"/>
    </row>
    <row r="247" spans="1:19">
      <c r="A247" s="44" t="s">
        <v>78</v>
      </c>
      <c r="B247" s="3" t="s">
        <v>80</v>
      </c>
      <c r="C247" s="3">
        <v>8</v>
      </c>
      <c r="D247" s="1"/>
      <c r="E247" s="20" t="s">
        <v>91</v>
      </c>
      <c r="F247" s="7" t="s">
        <v>15</v>
      </c>
      <c r="G247" s="7" t="s">
        <v>66</v>
      </c>
      <c r="H247" s="11">
        <v>29.5</v>
      </c>
      <c r="I247" s="8">
        <v>8.5</v>
      </c>
      <c r="J247" s="26">
        <v>1</v>
      </c>
      <c r="K247" s="10">
        <f t="shared" si="8"/>
        <v>0.25074999999999997</v>
      </c>
      <c r="L247" s="4"/>
      <c r="M247" s="17">
        <v>1</v>
      </c>
      <c r="N247" s="18">
        <f t="shared" si="9"/>
        <v>0.25074999999999997</v>
      </c>
      <c r="O247" s="19">
        <f t="shared" si="10"/>
        <v>0</v>
      </c>
      <c r="P247" s="13">
        <f t="shared" si="11"/>
        <v>0</v>
      </c>
      <c r="Q247" s="89">
        <v>7.3</v>
      </c>
      <c r="R247" s="91">
        <v>1</v>
      </c>
      <c r="S247" s="91" t="s">
        <v>217</v>
      </c>
    </row>
    <row r="248" spans="1:19">
      <c r="A248" s="44" t="s">
        <v>78</v>
      </c>
      <c r="B248" s="3" t="s">
        <v>80</v>
      </c>
      <c r="C248" s="3">
        <v>8</v>
      </c>
      <c r="D248" s="1"/>
      <c r="E248" s="20" t="s">
        <v>91</v>
      </c>
      <c r="F248" s="7" t="s">
        <v>15</v>
      </c>
      <c r="G248" s="7" t="s">
        <v>66</v>
      </c>
      <c r="H248" s="11">
        <v>29.5</v>
      </c>
      <c r="I248" s="8">
        <v>6.5</v>
      </c>
      <c r="J248" s="26">
        <v>1</v>
      </c>
      <c r="K248" s="10">
        <f t="shared" si="8"/>
        <v>0.19175</v>
      </c>
      <c r="L248" s="4"/>
      <c r="M248" s="17"/>
      <c r="N248" s="18">
        <f t="shared" si="9"/>
        <v>0</v>
      </c>
      <c r="O248" s="19">
        <f t="shared" si="10"/>
        <v>1</v>
      </c>
      <c r="P248" s="13">
        <f t="shared" si="11"/>
        <v>0.19175</v>
      </c>
      <c r="Q248" s="9"/>
      <c r="R248" s="32"/>
      <c r="S248" s="32"/>
    </row>
    <row r="249" spans="1:19">
      <c r="A249" s="44" t="s">
        <v>78</v>
      </c>
      <c r="B249" s="3" t="s">
        <v>80</v>
      </c>
      <c r="C249" s="3">
        <v>8</v>
      </c>
      <c r="D249" s="1"/>
      <c r="E249" s="20" t="s">
        <v>91</v>
      </c>
      <c r="F249" s="7" t="s">
        <v>15</v>
      </c>
      <c r="G249" s="7" t="s">
        <v>66</v>
      </c>
      <c r="H249" s="11">
        <v>29.5</v>
      </c>
      <c r="I249" s="8">
        <v>8.8000000000000007</v>
      </c>
      <c r="J249" s="26">
        <v>3</v>
      </c>
      <c r="K249" s="10">
        <f t="shared" si="8"/>
        <v>0.77880000000000005</v>
      </c>
      <c r="L249" s="4"/>
      <c r="M249" s="17">
        <v>3</v>
      </c>
      <c r="N249" s="18">
        <f t="shared" si="9"/>
        <v>0.77880000000000005</v>
      </c>
      <c r="O249" s="19">
        <f t="shared" si="10"/>
        <v>0</v>
      </c>
      <c r="P249" s="13">
        <f t="shared" si="11"/>
        <v>0</v>
      </c>
      <c r="Q249" s="89" t="s">
        <v>216</v>
      </c>
      <c r="R249" s="91">
        <v>3</v>
      </c>
      <c r="S249" s="91" t="s">
        <v>217</v>
      </c>
    </row>
    <row r="250" spans="1:19">
      <c r="A250" s="44" t="s">
        <v>78</v>
      </c>
      <c r="B250" s="3" t="s">
        <v>80</v>
      </c>
      <c r="C250" s="3">
        <v>8</v>
      </c>
      <c r="D250" s="1"/>
      <c r="E250" s="20" t="s">
        <v>91</v>
      </c>
      <c r="F250" s="7" t="s">
        <v>15</v>
      </c>
      <c r="G250" s="7" t="s">
        <v>66</v>
      </c>
      <c r="H250" s="11">
        <v>29.5</v>
      </c>
      <c r="I250" s="8">
        <v>10.3</v>
      </c>
      <c r="J250" s="26">
        <v>1</v>
      </c>
      <c r="K250" s="10">
        <f t="shared" si="8"/>
        <v>0.30385000000000001</v>
      </c>
      <c r="L250" s="4"/>
      <c r="M250" s="17"/>
      <c r="N250" s="18">
        <f t="shared" si="9"/>
        <v>0</v>
      </c>
      <c r="O250" s="19">
        <f t="shared" si="10"/>
        <v>1</v>
      </c>
      <c r="P250" s="13">
        <f t="shared" si="11"/>
        <v>0.30385000000000001</v>
      </c>
      <c r="Q250" s="9"/>
      <c r="R250" s="32"/>
      <c r="S250" s="32"/>
    </row>
    <row r="251" spans="1:19">
      <c r="A251" s="44" t="s">
        <v>78</v>
      </c>
      <c r="B251" s="3" t="s">
        <v>80</v>
      </c>
      <c r="C251" s="3">
        <v>8</v>
      </c>
      <c r="D251" s="1"/>
      <c r="E251" s="20" t="s">
        <v>91</v>
      </c>
      <c r="F251" s="7" t="s">
        <v>15</v>
      </c>
      <c r="G251" s="7" t="s">
        <v>66</v>
      </c>
      <c r="H251" s="11">
        <v>29.5</v>
      </c>
      <c r="I251" s="8">
        <v>12</v>
      </c>
      <c r="J251" s="26">
        <v>1</v>
      </c>
      <c r="K251" s="10">
        <f t="shared" si="8"/>
        <v>0.35399999999999998</v>
      </c>
      <c r="L251" s="4"/>
      <c r="M251" s="17"/>
      <c r="N251" s="18">
        <f t="shared" si="9"/>
        <v>0</v>
      </c>
      <c r="O251" s="19">
        <f t="shared" si="10"/>
        <v>1</v>
      </c>
      <c r="P251" s="13">
        <f t="shared" si="11"/>
        <v>0.35399999999999998</v>
      </c>
      <c r="Q251" s="9"/>
      <c r="R251" s="32"/>
      <c r="S251" s="32"/>
    </row>
    <row r="252" spans="1:19">
      <c r="O252" s="6">
        <f>SUM(O246:O251)</f>
        <v>6</v>
      </c>
      <c r="R252" s="6">
        <f>SUM(R246:R251)</f>
        <v>4</v>
      </c>
    </row>
    <row r="254" spans="1:19">
      <c r="A254" s="42" t="s">
        <v>77</v>
      </c>
      <c r="B254" s="3" t="s">
        <v>68</v>
      </c>
      <c r="C254" s="3">
        <v>222</v>
      </c>
      <c r="D254" s="1"/>
      <c r="E254" s="20" t="s">
        <v>17</v>
      </c>
      <c r="F254" s="7" t="s">
        <v>15</v>
      </c>
      <c r="G254" s="7" t="s">
        <v>66</v>
      </c>
      <c r="H254" s="11">
        <v>29.5</v>
      </c>
      <c r="I254" s="8">
        <v>10</v>
      </c>
      <c r="J254" s="26">
        <v>1</v>
      </c>
      <c r="K254" s="10">
        <v>0.29499999999999998</v>
      </c>
      <c r="L254" s="4"/>
      <c r="M254" s="17">
        <v>1</v>
      </c>
      <c r="N254" s="18">
        <v>0.29499999999999998</v>
      </c>
      <c r="O254" s="19">
        <v>0</v>
      </c>
      <c r="P254" s="13">
        <v>0</v>
      </c>
      <c r="Q254" s="89">
        <v>10</v>
      </c>
      <c r="R254" s="90">
        <v>1</v>
      </c>
      <c r="S254" s="90" t="s">
        <v>210</v>
      </c>
    </row>
    <row r="255" spans="1:19">
      <c r="A255" s="42" t="s">
        <v>77</v>
      </c>
      <c r="B255" s="3" t="s">
        <v>68</v>
      </c>
      <c r="C255" s="3">
        <v>222</v>
      </c>
      <c r="D255" s="1"/>
      <c r="E255" s="20" t="s">
        <v>17</v>
      </c>
      <c r="F255" s="7" t="s">
        <v>15</v>
      </c>
      <c r="G255" s="7" t="s">
        <v>66</v>
      </c>
      <c r="H255" s="11">
        <v>29.5</v>
      </c>
      <c r="I255" s="8">
        <v>7.9</v>
      </c>
      <c r="J255" s="26">
        <v>1</v>
      </c>
      <c r="K255" s="10">
        <v>0.23305000000000001</v>
      </c>
      <c r="L255" s="4"/>
      <c r="M255" s="17"/>
      <c r="N255" s="18">
        <v>0</v>
      </c>
      <c r="O255" s="19">
        <v>1</v>
      </c>
      <c r="P255" s="13">
        <v>0.23305000000000001</v>
      </c>
      <c r="Q255" s="9"/>
      <c r="R255" s="2"/>
      <c r="S255" s="2"/>
    </row>
    <row r="256" spans="1:19">
      <c r="A256" s="42" t="s">
        <v>77</v>
      </c>
      <c r="B256" s="3" t="s">
        <v>68</v>
      </c>
      <c r="C256" s="3">
        <v>222</v>
      </c>
      <c r="D256" s="1"/>
      <c r="E256" s="20" t="s">
        <v>17</v>
      </c>
      <c r="F256" s="7" t="s">
        <v>15</v>
      </c>
      <c r="G256" s="7" t="s">
        <v>66</v>
      </c>
      <c r="H256" s="11">
        <v>29.5</v>
      </c>
      <c r="I256" s="8">
        <v>8</v>
      </c>
      <c r="J256" s="26">
        <v>4</v>
      </c>
      <c r="K256" s="10">
        <v>0.94399999999999995</v>
      </c>
      <c r="L256" s="4"/>
      <c r="M256" s="17"/>
      <c r="N256" s="18">
        <v>0</v>
      </c>
      <c r="O256" s="19">
        <v>4</v>
      </c>
      <c r="P256" s="13">
        <v>0.94399999999999995</v>
      </c>
      <c r="Q256" s="9"/>
      <c r="R256" s="2"/>
      <c r="S256" s="2"/>
    </row>
    <row r="257" spans="1:22">
      <c r="A257" s="42" t="s">
        <v>77</v>
      </c>
      <c r="B257" s="3" t="s">
        <v>68</v>
      </c>
      <c r="C257" s="3">
        <v>222</v>
      </c>
      <c r="D257" s="1"/>
      <c r="E257" s="20" t="s">
        <v>17</v>
      </c>
      <c r="F257" s="7" t="s">
        <v>15</v>
      </c>
      <c r="G257" s="7" t="s">
        <v>66</v>
      </c>
      <c r="H257" s="11">
        <v>29.5</v>
      </c>
      <c r="I257" s="8">
        <v>10.6</v>
      </c>
      <c r="J257" s="26">
        <v>1</v>
      </c>
      <c r="K257" s="10">
        <v>0.31269999999999998</v>
      </c>
      <c r="L257" s="4"/>
      <c r="M257" s="17">
        <v>1</v>
      </c>
      <c r="N257" s="18">
        <v>0.31269999999999998</v>
      </c>
      <c r="O257" s="19">
        <v>0</v>
      </c>
      <c r="P257" s="13">
        <v>0</v>
      </c>
      <c r="Q257" s="89">
        <v>10.5</v>
      </c>
      <c r="R257" s="90">
        <v>1</v>
      </c>
      <c r="S257" s="90" t="s">
        <v>210</v>
      </c>
    </row>
    <row r="258" spans="1:22">
      <c r="A258" s="42" t="s">
        <v>77</v>
      </c>
      <c r="B258" s="3" t="s">
        <v>68</v>
      </c>
      <c r="C258" s="3">
        <v>222</v>
      </c>
      <c r="D258" s="1"/>
      <c r="E258" s="20" t="s">
        <v>17</v>
      </c>
      <c r="F258" s="7" t="s">
        <v>15</v>
      </c>
      <c r="G258" s="7" t="s">
        <v>66</v>
      </c>
      <c r="H258" s="11">
        <v>29.5</v>
      </c>
      <c r="I258" s="8">
        <v>7.5</v>
      </c>
      <c r="J258" s="26">
        <v>1</v>
      </c>
      <c r="K258" s="10">
        <v>0.22125</v>
      </c>
      <c r="L258" s="4"/>
      <c r="M258" s="17"/>
      <c r="N258" s="18">
        <v>0</v>
      </c>
      <c r="O258" s="19">
        <v>1</v>
      </c>
      <c r="P258" s="13">
        <v>0.22125</v>
      </c>
      <c r="Q258" s="9"/>
      <c r="R258" s="2"/>
      <c r="S258" s="2"/>
    </row>
    <row r="259" spans="1:22">
      <c r="A259" s="42" t="s">
        <v>77</v>
      </c>
      <c r="B259" s="3" t="s">
        <v>68</v>
      </c>
      <c r="C259" s="3">
        <v>222</v>
      </c>
      <c r="D259" s="1"/>
      <c r="E259" s="20" t="s">
        <v>17</v>
      </c>
      <c r="F259" s="7" t="s">
        <v>15</v>
      </c>
      <c r="G259" s="7" t="s">
        <v>66</v>
      </c>
      <c r="H259" s="11">
        <v>29.5</v>
      </c>
      <c r="I259" s="8">
        <v>11.2</v>
      </c>
      <c r="J259" s="26">
        <v>1</v>
      </c>
      <c r="K259" s="10">
        <v>0.33039999999999997</v>
      </c>
      <c r="L259" s="4"/>
      <c r="M259" s="17">
        <v>1</v>
      </c>
      <c r="N259" s="18">
        <v>0.33039999999999997</v>
      </c>
      <c r="O259" s="19">
        <v>0</v>
      </c>
      <c r="P259" s="13">
        <v>0</v>
      </c>
      <c r="Q259" s="89">
        <v>10.5</v>
      </c>
      <c r="R259" s="90">
        <v>1</v>
      </c>
      <c r="S259" s="90" t="s">
        <v>210</v>
      </c>
    </row>
    <row r="260" spans="1:22">
      <c r="A260" s="42" t="s">
        <v>77</v>
      </c>
      <c r="B260" s="3" t="s">
        <v>68</v>
      </c>
      <c r="C260" s="3">
        <v>222</v>
      </c>
      <c r="D260" s="1"/>
      <c r="E260" s="20" t="s">
        <v>17</v>
      </c>
      <c r="F260" s="7" t="s">
        <v>15</v>
      </c>
      <c r="G260" s="7" t="s">
        <v>66</v>
      </c>
      <c r="H260" s="11">
        <v>29.5</v>
      </c>
      <c r="I260" s="8">
        <v>12</v>
      </c>
      <c r="J260" s="26">
        <v>1</v>
      </c>
      <c r="K260" s="10">
        <v>0.35399999999999998</v>
      </c>
      <c r="L260" s="4"/>
      <c r="M260" s="17">
        <v>1</v>
      </c>
      <c r="N260" s="18">
        <v>0.35399999999999998</v>
      </c>
      <c r="O260" s="19">
        <v>0</v>
      </c>
      <c r="P260" s="13">
        <v>0</v>
      </c>
      <c r="Q260" s="89">
        <v>11.8</v>
      </c>
      <c r="R260" s="90">
        <v>1</v>
      </c>
      <c r="S260" s="90" t="s">
        <v>210</v>
      </c>
    </row>
    <row r="261" spans="1:22">
      <c r="A261" s="44" t="s">
        <v>78</v>
      </c>
      <c r="B261" s="3" t="s">
        <v>80</v>
      </c>
      <c r="C261" s="3">
        <v>2</v>
      </c>
      <c r="D261" s="1"/>
      <c r="E261" s="20" t="s">
        <v>20</v>
      </c>
      <c r="F261" s="7" t="s">
        <v>15</v>
      </c>
      <c r="G261" s="7" t="s">
        <v>66</v>
      </c>
      <c r="H261" s="11">
        <v>29.5</v>
      </c>
      <c r="I261" s="8">
        <v>11</v>
      </c>
      <c r="J261" s="26">
        <v>1</v>
      </c>
      <c r="K261" s="10">
        <v>0.32450000000000001</v>
      </c>
      <c r="L261" s="4"/>
      <c r="M261" s="17"/>
      <c r="N261" s="18">
        <v>0</v>
      </c>
      <c r="O261" s="19">
        <v>1</v>
      </c>
      <c r="P261" s="13">
        <v>0.32450000000000001</v>
      </c>
      <c r="Q261" s="9"/>
      <c r="R261" s="32"/>
      <c r="S261" s="32"/>
    </row>
    <row r="262" spans="1:22">
      <c r="A262" s="45" t="s">
        <v>136</v>
      </c>
      <c r="B262" s="32" t="s">
        <v>137</v>
      </c>
      <c r="C262" s="3">
        <v>1</v>
      </c>
      <c r="D262" s="32"/>
      <c r="E262" s="20" t="s">
        <v>20</v>
      </c>
      <c r="F262" s="7" t="s">
        <v>15</v>
      </c>
      <c r="G262" s="7" t="s">
        <v>66</v>
      </c>
      <c r="H262" s="11">
        <v>29.5</v>
      </c>
      <c r="I262" s="33">
        <v>9.3000000000000007</v>
      </c>
      <c r="J262" s="40">
        <v>1</v>
      </c>
      <c r="K262" s="10">
        <v>0.27435000000000004</v>
      </c>
      <c r="L262" s="4"/>
      <c r="M262" s="17"/>
      <c r="N262" s="18">
        <v>0</v>
      </c>
      <c r="O262" s="19">
        <v>1</v>
      </c>
      <c r="P262" s="13">
        <v>0.27435000000000004</v>
      </c>
      <c r="Q262" s="32"/>
      <c r="R262" s="32"/>
      <c r="S262" s="32"/>
    </row>
    <row r="263" spans="1:22">
      <c r="A263" s="45" t="s">
        <v>136</v>
      </c>
      <c r="B263" s="32" t="s">
        <v>137</v>
      </c>
      <c r="C263" s="3">
        <v>74</v>
      </c>
      <c r="D263" s="32"/>
      <c r="E263" s="20" t="s">
        <v>20</v>
      </c>
      <c r="F263" s="7" t="s">
        <v>15</v>
      </c>
      <c r="G263" s="7" t="s">
        <v>66</v>
      </c>
      <c r="H263" s="11">
        <v>29.5</v>
      </c>
      <c r="I263" s="33">
        <v>8.8000000000000007</v>
      </c>
      <c r="J263" s="40">
        <v>1</v>
      </c>
      <c r="K263" s="10">
        <v>0.2596</v>
      </c>
      <c r="L263" s="4"/>
      <c r="M263" s="17"/>
      <c r="N263" s="18">
        <v>0</v>
      </c>
      <c r="O263" s="19">
        <v>1</v>
      </c>
      <c r="P263" s="13">
        <v>0.2596</v>
      </c>
      <c r="Q263" s="32"/>
      <c r="R263" s="32"/>
      <c r="S263" s="32"/>
    </row>
    <row r="264" spans="1:22">
      <c r="A264" s="45" t="s">
        <v>136</v>
      </c>
      <c r="B264" s="32" t="s">
        <v>137</v>
      </c>
      <c r="C264" s="3">
        <v>74</v>
      </c>
      <c r="D264" s="32"/>
      <c r="E264" s="20" t="s">
        <v>20</v>
      </c>
      <c r="F264" s="7" t="s">
        <v>15</v>
      </c>
      <c r="G264" s="7" t="s">
        <v>66</v>
      </c>
      <c r="H264" s="11">
        <v>29.5</v>
      </c>
      <c r="I264" s="33">
        <v>9</v>
      </c>
      <c r="J264" s="40">
        <v>1</v>
      </c>
      <c r="K264" s="10">
        <v>0.26550000000000001</v>
      </c>
      <c r="L264" s="4"/>
      <c r="M264" s="17"/>
      <c r="N264" s="18">
        <v>0</v>
      </c>
      <c r="O264" s="19">
        <v>1</v>
      </c>
      <c r="P264" s="13">
        <v>0.26550000000000001</v>
      </c>
      <c r="Q264" s="32"/>
      <c r="R264" s="32"/>
      <c r="S264" s="32"/>
    </row>
    <row r="265" spans="1:22">
      <c r="O265" s="6">
        <f>SUM(O254:O264)</f>
        <v>10</v>
      </c>
      <c r="R265" s="6">
        <f>SUM(R254:R264)</f>
        <v>4</v>
      </c>
    </row>
    <row r="267" spans="1:22">
      <c r="A267" s="42" t="s">
        <v>77</v>
      </c>
      <c r="B267" s="3" t="s">
        <v>68</v>
      </c>
      <c r="C267" s="3">
        <v>349</v>
      </c>
      <c r="D267" s="1"/>
      <c r="E267" s="20" t="s">
        <v>17</v>
      </c>
      <c r="F267" s="7" t="s">
        <v>15</v>
      </c>
      <c r="G267" s="7" t="s">
        <v>57</v>
      </c>
      <c r="H267" s="11">
        <v>33.72</v>
      </c>
      <c r="I267" s="8">
        <v>9.75</v>
      </c>
      <c r="J267" s="26">
        <v>4</v>
      </c>
      <c r="K267" s="10">
        <v>1.31508</v>
      </c>
      <c r="L267" s="4"/>
      <c r="M267" s="17">
        <v>4</v>
      </c>
      <c r="N267" s="18">
        <v>1.31508</v>
      </c>
      <c r="O267" s="19">
        <v>0</v>
      </c>
      <c r="P267" s="13">
        <v>0</v>
      </c>
      <c r="Q267" s="9">
        <v>9.75</v>
      </c>
      <c r="R267" s="2">
        <v>4</v>
      </c>
      <c r="S267" s="2" t="s">
        <v>206</v>
      </c>
    </row>
    <row r="268" spans="1:22">
      <c r="A268" s="42" t="s">
        <v>77</v>
      </c>
      <c r="B268" s="3" t="s">
        <v>68</v>
      </c>
      <c r="C268" s="3">
        <v>350</v>
      </c>
      <c r="D268" s="1"/>
      <c r="E268" s="20" t="s">
        <v>17</v>
      </c>
      <c r="F268" s="7" t="s">
        <v>15</v>
      </c>
      <c r="G268" s="7" t="s">
        <v>57</v>
      </c>
      <c r="H268" s="11">
        <v>33.72</v>
      </c>
      <c r="I268" s="8">
        <v>9.5</v>
      </c>
      <c r="J268" s="26">
        <v>6</v>
      </c>
      <c r="K268" s="10">
        <v>1.92204</v>
      </c>
      <c r="L268" s="4"/>
      <c r="M268" s="17">
        <v>6</v>
      </c>
      <c r="N268" s="84">
        <v>1.92204</v>
      </c>
      <c r="O268" s="19">
        <v>0</v>
      </c>
      <c r="P268" s="13">
        <v>0</v>
      </c>
      <c r="Q268" s="9">
        <v>9.5</v>
      </c>
      <c r="R268" s="2">
        <v>6</v>
      </c>
      <c r="S268" s="2" t="s">
        <v>205</v>
      </c>
    </row>
    <row r="269" spans="1:22">
      <c r="A269" s="42" t="s">
        <v>77</v>
      </c>
      <c r="B269" s="3" t="s">
        <v>68</v>
      </c>
      <c r="C269" s="3">
        <v>351</v>
      </c>
      <c r="D269" s="1"/>
      <c r="E269" s="20" t="s">
        <v>17</v>
      </c>
      <c r="F269" s="7" t="s">
        <v>15</v>
      </c>
      <c r="G269" s="7" t="s">
        <v>57</v>
      </c>
      <c r="H269" s="11">
        <v>33.72</v>
      </c>
      <c r="I269" s="8">
        <v>9.3000000000000007</v>
      </c>
      <c r="J269" s="26">
        <v>2</v>
      </c>
      <c r="K269" s="10">
        <v>0.62719199999999997</v>
      </c>
      <c r="L269" s="4"/>
      <c r="M269" s="17">
        <v>2</v>
      </c>
      <c r="N269" s="18">
        <v>0.62719199999999997</v>
      </c>
      <c r="O269" s="19">
        <v>0</v>
      </c>
      <c r="P269" s="13">
        <v>0</v>
      </c>
      <c r="Q269" s="9">
        <v>9.3000000000000007</v>
      </c>
      <c r="R269" s="2">
        <v>1</v>
      </c>
      <c r="S269" s="2" t="s">
        <v>205</v>
      </c>
      <c r="T269" s="77">
        <v>8.3000000000000007</v>
      </c>
      <c r="U269" s="77">
        <v>1</v>
      </c>
      <c r="V269" s="77" t="s">
        <v>218</v>
      </c>
    </row>
    <row r="270" spans="1:22">
      <c r="A270" s="42" t="s">
        <v>77</v>
      </c>
      <c r="B270" s="3" t="s">
        <v>68</v>
      </c>
      <c r="C270" s="3">
        <v>351</v>
      </c>
      <c r="D270" s="1"/>
      <c r="E270" s="20" t="s">
        <v>17</v>
      </c>
      <c r="F270" s="7" t="s">
        <v>15</v>
      </c>
      <c r="G270" s="7" t="s">
        <v>57</v>
      </c>
      <c r="H270" s="11">
        <v>33.72</v>
      </c>
      <c r="I270" s="8">
        <v>9.1</v>
      </c>
      <c r="J270" s="26">
        <v>1</v>
      </c>
      <c r="K270" s="10">
        <v>0.30685199999999996</v>
      </c>
      <c r="L270" s="4"/>
      <c r="M270" s="17">
        <v>1</v>
      </c>
      <c r="N270" s="18">
        <v>0.30685199999999996</v>
      </c>
      <c r="O270" s="19">
        <v>0</v>
      </c>
      <c r="P270" s="13">
        <v>0</v>
      </c>
      <c r="Q270" s="9">
        <v>9.1</v>
      </c>
      <c r="R270" s="2">
        <v>1</v>
      </c>
      <c r="S270" s="2" t="s">
        <v>206</v>
      </c>
    </row>
    <row r="271" spans="1:22">
      <c r="A271" s="42" t="s">
        <v>77</v>
      </c>
      <c r="B271" s="3" t="s">
        <v>68</v>
      </c>
      <c r="C271" s="3">
        <v>351</v>
      </c>
      <c r="D271" s="1"/>
      <c r="E271" s="20" t="s">
        <v>17</v>
      </c>
      <c r="F271" s="7" t="s">
        <v>15</v>
      </c>
      <c r="G271" s="7" t="s">
        <v>57</v>
      </c>
      <c r="H271" s="11">
        <v>33.72</v>
      </c>
      <c r="I271" s="8">
        <v>11.5</v>
      </c>
      <c r="J271" s="26">
        <v>1</v>
      </c>
      <c r="K271" s="10">
        <v>0.38777999999999996</v>
      </c>
      <c r="L271" s="4"/>
      <c r="M271" s="17">
        <v>1</v>
      </c>
      <c r="N271" s="18">
        <v>0.38777999999999996</v>
      </c>
      <c r="O271" s="19">
        <v>0</v>
      </c>
      <c r="P271" s="13">
        <v>0</v>
      </c>
      <c r="Q271" s="9"/>
      <c r="R271" s="2"/>
      <c r="S271" s="2"/>
      <c r="T271" s="77">
        <v>9.6999999999999993</v>
      </c>
      <c r="U271" s="77">
        <v>1</v>
      </c>
      <c r="V271" t="s">
        <v>218</v>
      </c>
    </row>
    <row r="272" spans="1:22">
      <c r="A272" s="42" t="s">
        <v>77</v>
      </c>
      <c r="B272" s="3" t="s">
        <v>68</v>
      </c>
      <c r="C272" s="3">
        <v>351</v>
      </c>
      <c r="D272" s="1"/>
      <c r="E272" s="20" t="s">
        <v>17</v>
      </c>
      <c r="F272" s="7" t="s">
        <v>15</v>
      </c>
      <c r="G272" s="7" t="s">
        <v>57</v>
      </c>
      <c r="H272" s="11">
        <v>33.72</v>
      </c>
      <c r="I272" s="8">
        <v>11.8</v>
      </c>
      <c r="J272" s="26">
        <v>3</v>
      </c>
      <c r="K272" s="10">
        <v>1.1936880000000001</v>
      </c>
      <c r="L272" s="4"/>
      <c r="M272" s="85">
        <v>3</v>
      </c>
      <c r="N272" s="86">
        <v>1.1936880000000001</v>
      </c>
      <c r="O272" s="87">
        <v>0</v>
      </c>
      <c r="P272" s="88">
        <v>0</v>
      </c>
      <c r="Q272" s="89">
        <v>11.8</v>
      </c>
      <c r="R272" s="90">
        <v>3</v>
      </c>
      <c r="S272" s="90" t="s">
        <v>204</v>
      </c>
    </row>
    <row r="273" spans="1:22">
      <c r="A273" s="42" t="s">
        <v>77</v>
      </c>
      <c r="B273" s="3" t="s">
        <v>68</v>
      </c>
      <c r="C273" s="3">
        <v>352</v>
      </c>
      <c r="D273" s="1"/>
      <c r="E273" s="20" t="s">
        <v>17</v>
      </c>
      <c r="F273" s="7" t="s">
        <v>15</v>
      </c>
      <c r="G273" s="7" t="s">
        <v>57</v>
      </c>
      <c r="H273" s="11">
        <v>33.72</v>
      </c>
      <c r="I273" s="8">
        <v>11.8</v>
      </c>
      <c r="J273" s="26">
        <v>5</v>
      </c>
      <c r="K273" s="10">
        <v>1.9894799999999999</v>
      </c>
      <c r="L273" s="4"/>
      <c r="M273" s="17">
        <v>5</v>
      </c>
      <c r="N273" s="18">
        <v>1.9894799999999999</v>
      </c>
      <c r="O273" s="19">
        <v>0</v>
      </c>
      <c r="P273" s="13">
        <v>0</v>
      </c>
      <c r="Q273" s="9">
        <v>11.8</v>
      </c>
      <c r="R273" s="2">
        <v>5</v>
      </c>
      <c r="S273" s="2" t="s">
        <v>206</v>
      </c>
    </row>
    <row r="274" spans="1:22">
      <c r="A274" s="42" t="s">
        <v>77</v>
      </c>
      <c r="B274" s="3" t="s">
        <v>68</v>
      </c>
      <c r="C274" s="3">
        <v>353</v>
      </c>
      <c r="D274" s="1"/>
      <c r="E274" s="20" t="s">
        <v>17</v>
      </c>
      <c r="F274" s="7" t="s">
        <v>15</v>
      </c>
      <c r="G274" s="7" t="s">
        <v>57</v>
      </c>
      <c r="H274" s="11">
        <v>33.72</v>
      </c>
      <c r="I274" s="8">
        <v>9.5</v>
      </c>
      <c r="J274" s="26">
        <v>5</v>
      </c>
      <c r="K274" s="10">
        <v>1.6016999999999999</v>
      </c>
      <c r="L274" s="4"/>
      <c r="M274" s="17">
        <v>5</v>
      </c>
      <c r="N274" s="18">
        <v>1.6017000000000001</v>
      </c>
      <c r="O274" s="19">
        <v>0</v>
      </c>
      <c r="P274" s="13">
        <v>0</v>
      </c>
      <c r="Q274" s="9">
        <v>9.5</v>
      </c>
      <c r="R274" s="2">
        <v>5</v>
      </c>
      <c r="S274" s="2" t="s">
        <v>206</v>
      </c>
    </row>
    <row r="275" spans="1:22">
      <c r="A275" s="42" t="s">
        <v>77</v>
      </c>
      <c r="B275" s="3" t="s">
        <v>68</v>
      </c>
      <c r="C275" s="3">
        <v>353</v>
      </c>
      <c r="D275" s="1"/>
      <c r="E275" s="20" t="s">
        <v>17</v>
      </c>
      <c r="F275" s="7" t="s">
        <v>15</v>
      </c>
      <c r="G275" s="7" t="s">
        <v>57</v>
      </c>
      <c r="H275" s="11">
        <v>33.72</v>
      </c>
      <c r="I275" s="8">
        <v>11.5</v>
      </c>
      <c r="J275" s="26">
        <v>1</v>
      </c>
      <c r="K275" s="10">
        <v>0.38777999999999996</v>
      </c>
      <c r="L275" s="4"/>
      <c r="M275" s="17">
        <v>1</v>
      </c>
      <c r="N275" s="18">
        <v>0.38777999999999996</v>
      </c>
      <c r="O275" s="19">
        <v>0</v>
      </c>
      <c r="P275" s="13">
        <v>0</v>
      </c>
      <c r="Q275" s="9">
        <v>11.5</v>
      </c>
      <c r="R275" s="2">
        <v>1</v>
      </c>
      <c r="S275" s="2" t="s">
        <v>206</v>
      </c>
    </row>
    <row r="276" spans="1:22">
      <c r="A276" s="42" t="s">
        <v>77</v>
      </c>
      <c r="B276" s="3" t="s">
        <v>68</v>
      </c>
      <c r="C276" s="3">
        <v>353</v>
      </c>
      <c r="D276" s="1"/>
      <c r="E276" s="20" t="s">
        <v>17</v>
      </c>
      <c r="F276" s="7" t="s">
        <v>15</v>
      </c>
      <c r="G276" s="7" t="s">
        <v>57</v>
      </c>
      <c r="H276" s="11">
        <v>33.72</v>
      </c>
      <c r="I276" s="8">
        <v>11.4</v>
      </c>
      <c r="J276" s="26">
        <v>1</v>
      </c>
      <c r="K276" s="10">
        <v>0.38440800000000003</v>
      </c>
      <c r="L276" s="4"/>
      <c r="M276" s="17">
        <v>1</v>
      </c>
      <c r="N276" s="18">
        <v>0.38440800000000003</v>
      </c>
      <c r="O276" s="19">
        <v>0</v>
      </c>
      <c r="P276" s="13">
        <v>0</v>
      </c>
      <c r="Q276" s="9">
        <v>11.4</v>
      </c>
      <c r="R276" s="2">
        <v>1</v>
      </c>
      <c r="S276" s="2" t="s">
        <v>206</v>
      </c>
    </row>
    <row r="277" spans="1:22">
      <c r="A277" s="42" t="s">
        <v>77</v>
      </c>
      <c r="B277" s="3" t="s">
        <v>68</v>
      </c>
      <c r="C277" s="3">
        <v>353</v>
      </c>
      <c r="D277" s="1"/>
      <c r="E277" s="20" t="s">
        <v>17</v>
      </c>
      <c r="F277" s="7" t="s">
        <v>15</v>
      </c>
      <c r="G277" s="7" t="s">
        <v>57</v>
      </c>
      <c r="H277" s="11">
        <v>33.72</v>
      </c>
      <c r="I277" s="8">
        <v>11.7</v>
      </c>
      <c r="J277" s="26">
        <v>1</v>
      </c>
      <c r="K277" s="10">
        <v>0.39452399999999993</v>
      </c>
      <c r="L277" s="4"/>
      <c r="M277" s="17">
        <v>1</v>
      </c>
      <c r="N277" s="18">
        <v>0.39452399999999993</v>
      </c>
      <c r="O277" s="19">
        <v>0</v>
      </c>
      <c r="P277" s="13">
        <v>0</v>
      </c>
      <c r="Q277" s="9"/>
      <c r="R277" s="2"/>
      <c r="S277" s="2"/>
      <c r="T277" s="77">
        <v>9.6999999999999993</v>
      </c>
      <c r="U277" s="77">
        <v>1</v>
      </c>
      <c r="V277" s="77" t="s">
        <v>218</v>
      </c>
    </row>
    <row r="278" spans="1:22">
      <c r="A278" s="44" t="s">
        <v>78</v>
      </c>
      <c r="B278" s="32" t="s">
        <v>80</v>
      </c>
      <c r="C278" s="3">
        <v>1</v>
      </c>
      <c r="D278" s="32"/>
      <c r="E278" s="39" t="s">
        <v>17</v>
      </c>
      <c r="F278" s="7" t="s">
        <v>15</v>
      </c>
      <c r="G278" s="7" t="s">
        <v>57</v>
      </c>
      <c r="H278" s="11">
        <v>33.72</v>
      </c>
      <c r="I278" s="55">
        <v>9.5</v>
      </c>
      <c r="J278" s="40">
        <v>1</v>
      </c>
      <c r="K278" s="10">
        <v>0.32033999999999996</v>
      </c>
      <c r="L278" s="4"/>
      <c r="M278" s="17">
        <v>1</v>
      </c>
      <c r="N278" s="18">
        <v>0.32033999999999996</v>
      </c>
      <c r="O278" s="19">
        <v>0</v>
      </c>
      <c r="P278" s="13">
        <v>0</v>
      </c>
      <c r="Q278" s="45">
        <v>9.5</v>
      </c>
      <c r="R278" s="45">
        <v>1</v>
      </c>
      <c r="S278" s="35" t="s">
        <v>207</v>
      </c>
    </row>
    <row r="279" spans="1:22">
      <c r="A279" s="44" t="s">
        <v>78</v>
      </c>
      <c r="B279" s="32" t="s">
        <v>80</v>
      </c>
      <c r="C279" s="3">
        <v>1</v>
      </c>
      <c r="D279" s="32"/>
      <c r="E279" s="39" t="s">
        <v>17</v>
      </c>
      <c r="F279" s="7" t="s">
        <v>15</v>
      </c>
      <c r="G279" s="7" t="s">
        <v>57</v>
      </c>
      <c r="H279" s="11">
        <v>33.72</v>
      </c>
      <c r="I279" s="55">
        <v>9.6</v>
      </c>
      <c r="J279" s="40">
        <v>1</v>
      </c>
      <c r="K279" s="10">
        <v>0.323712</v>
      </c>
      <c r="L279" s="4"/>
      <c r="M279" s="17">
        <v>1</v>
      </c>
      <c r="N279" s="18">
        <v>0.323712</v>
      </c>
      <c r="O279" s="19">
        <v>0</v>
      </c>
      <c r="P279" s="13">
        <v>0</v>
      </c>
      <c r="Q279" s="32"/>
      <c r="R279" s="32"/>
      <c r="S279" s="32"/>
      <c r="T279" s="77">
        <v>8.8000000000000007</v>
      </c>
      <c r="U279" s="77">
        <v>1</v>
      </c>
      <c r="V279" s="77" t="s">
        <v>218</v>
      </c>
    </row>
    <row r="280" spans="1:22">
      <c r="O280" s="6">
        <f>SUM(O267:O279)</f>
        <v>0</v>
      </c>
      <c r="U280" s="6">
        <f>SUM(U267:U279)</f>
        <v>4</v>
      </c>
    </row>
    <row r="282" spans="1:22">
      <c r="A282" s="42" t="s">
        <v>77</v>
      </c>
      <c r="B282" s="3" t="s">
        <v>68</v>
      </c>
      <c r="C282" s="3">
        <v>136</v>
      </c>
      <c r="D282" s="1"/>
      <c r="E282" s="20" t="s">
        <v>20</v>
      </c>
      <c r="F282" s="7" t="s">
        <v>15</v>
      </c>
      <c r="G282" s="7" t="s">
        <v>57</v>
      </c>
      <c r="H282" s="11">
        <v>33.72</v>
      </c>
      <c r="I282" s="8">
        <v>6.1</v>
      </c>
      <c r="J282" s="26">
        <v>2</v>
      </c>
      <c r="K282" s="10">
        <v>0.41138399999999997</v>
      </c>
      <c r="L282" s="4"/>
      <c r="M282" s="17"/>
      <c r="N282" s="18">
        <v>0</v>
      </c>
      <c r="O282" s="19">
        <v>2</v>
      </c>
      <c r="P282" s="13">
        <v>0.41138399999999997</v>
      </c>
      <c r="Q282" s="9"/>
      <c r="R282" s="2"/>
      <c r="S282" s="2"/>
    </row>
    <row r="283" spans="1:22">
      <c r="A283" s="42" t="s">
        <v>77</v>
      </c>
      <c r="B283" s="3" t="s">
        <v>68</v>
      </c>
      <c r="C283" s="3">
        <v>139</v>
      </c>
      <c r="D283" s="1"/>
      <c r="E283" s="20" t="s">
        <v>127</v>
      </c>
      <c r="F283" s="7" t="s">
        <v>15</v>
      </c>
      <c r="G283" s="7" t="s">
        <v>57</v>
      </c>
      <c r="H283" s="11">
        <v>33.72</v>
      </c>
      <c r="I283" s="8">
        <v>6.3</v>
      </c>
      <c r="J283" s="26">
        <v>2</v>
      </c>
      <c r="K283" s="10">
        <v>0.42487199999999997</v>
      </c>
      <c r="L283" s="4"/>
      <c r="M283" s="17"/>
      <c r="N283" s="18">
        <v>0</v>
      </c>
      <c r="O283" s="19">
        <v>2</v>
      </c>
      <c r="P283" s="13">
        <v>0.42487199999999997</v>
      </c>
      <c r="Q283" s="9"/>
      <c r="R283" s="2"/>
      <c r="S283" s="2"/>
    </row>
    <row r="284" spans="1:22">
      <c r="A284" s="42" t="s">
        <v>77</v>
      </c>
      <c r="B284" s="3" t="s">
        <v>68</v>
      </c>
      <c r="C284" s="3">
        <v>139</v>
      </c>
      <c r="D284" s="1"/>
      <c r="E284" s="20" t="s">
        <v>127</v>
      </c>
      <c r="F284" s="7" t="s">
        <v>15</v>
      </c>
      <c r="G284" s="7" t="s">
        <v>57</v>
      </c>
      <c r="H284" s="11">
        <v>33.72</v>
      </c>
      <c r="I284" s="8">
        <v>8.1999999999999993</v>
      </c>
      <c r="J284" s="26">
        <v>1</v>
      </c>
      <c r="K284" s="10">
        <v>0.27650399999999997</v>
      </c>
      <c r="L284" s="4"/>
      <c r="M284" s="17"/>
      <c r="N284" s="18">
        <v>0</v>
      </c>
      <c r="O284" s="19">
        <v>1</v>
      </c>
      <c r="P284" s="13">
        <v>0.27650399999999997</v>
      </c>
      <c r="Q284" s="9"/>
      <c r="R284" s="2"/>
      <c r="S284" s="2"/>
    </row>
    <row r="285" spans="1:22">
      <c r="A285" s="42" t="s">
        <v>77</v>
      </c>
      <c r="B285" s="3" t="s">
        <v>68</v>
      </c>
      <c r="C285" s="3">
        <v>183</v>
      </c>
      <c r="D285" s="1"/>
      <c r="E285" s="12" t="s">
        <v>20</v>
      </c>
      <c r="F285" s="7" t="s">
        <v>15</v>
      </c>
      <c r="G285" s="7" t="s">
        <v>57</v>
      </c>
      <c r="H285" s="11">
        <v>33.72</v>
      </c>
      <c r="I285" s="8">
        <v>7</v>
      </c>
      <c r="J285" s="26">
        <v>5</v>
      </c>
      <c r="K285" s="10">
        <v>1.1802000000000001</v>
      </c>
      <c r="L285" s="4"/>
      <c r="M285" s="17"/>
      <c r="N285" s="18">
        <v>0</v>
      </c>
      <c r="O285" s="19">
        <v>5</v>
      </c>
      <c r="P285" s="13">
        <v>1.1802000000000001</v>
      </c>
      <c r="Q285" s="9"/>
      <c r="R285" s="2"/>
      <c r="S285" s="2"/>
    </row>
    <row r="286" spans="1:22">
      <c r="A286" s="42" t="s">
        <v>77</v>
      </c>
      <c r="B286" s="3" t="s">
        <v>68</v>
      </c>
      <c r="C286" s="3">
        <v>231</v>
      </c>
      <c r="D286" s="1"/>
      <c r="E286" s="20" t="s">
        <v>20</v>
      </c>
      <c r="F286" s="7" t="s">
        <v>15</v>
      </c>
      <c r="G286" s="7" t="s">
        <v>57</v>
      </c>
      <c r="H286" s="11">
        <v>33.72</v>
      </c>
      <c r="I286" s="8">
        <v>9</v>
      </c>
      <c r="J286" s="26">
        <v>1</v>
      </c>
      <c r="K286" s="10">
        <v>0.30348000000000003</v>
      </c>
      <c r="L286" s="4"/>
      <c r="M286" s="17"/>
      <c r="N286" s="18">
        <v>0</v>
      </c>
      <c r="O286" s="19">
        <v>1</v>
      </c>
      <c r="P286" s="13">
        <v>0.30348000000000003</v>
      </c>
      <c r="Q286" s="9"/>
      <c r="R286" s="2"/>
      <c r="S286" s="2"/>
    </row>
    <row r="287" spans="1:22">
      <c r="A287" s="48" t="s">
        <v>179</v>
      </c>
      <c r="B287" s="48" t="s">
        <v>180</v>
      </c>
      <c r="C287" s="32"/>
      <c r="D287" s="32"/>
      <c r="E287" s="48" t="s">
        <v>152</v>
      </c>
      <c r="F287" s="48" t="s">
        <v>15</v>
      </c>
      <c r="G287" s="48" t="s">
        <v>57</v>
      </c>
      <c r="H287" s="11">
        <v>33.72</v>
      </c>
      <c r="I287" s="9">
        <v>8.6</v>
      </c>
      <c r="J287" s="7">
        <v>1</v>
      </c>
      <c r="K287" s="10">
        <v>0.28999199999999997</v>
      </c>
      <c r="L287" s="32"/>
      <c r="M287" s="32"/>
      <c r="N287" s="18">
        <v>0</v>
      </c>
      <c r="O287" s="19">
        <v>1</v>
      </c>
      <c r="P287" s="13">
        <v>0.28999199999999997</v>
      </c>
      <c r="Q287" s="32"/>
      <c r="R287" s="32"/>
      <c r="S287" s="32"/>
    </row>
    <row r="288" spans="1:22">
      <c r="A288" s="48" t="s">
        <v>179</v>
      </c>
      <c r="B288" s="48" t="s">
        <v>180</v>
      </c>
      <c r="C288" s="32"/>
      <c r="D288" s="32"/>
      <c r="E288" s="48" t="s">
        <v>152</v>
      </c>
      <c r="F288" s="48" t="s">
        <v>15</v>
      </c>
      <c r="G288" s="48" t="s">
        <v>57</v>
      </c>
      <c r="H288" s="11">
        <v>33.72</v>
      </c>
      <c r="I288" s="9">
        <v>11.4</v>
      </c>
      <c r="J288" s="7">
        <v>1</v>
      </c>
      <c r="K288" s="10">
        <v>0.38440800000000003</v>
      </c>
      <c r="L288" s="32"/>
      <c r="M288" s="32">
        <v>1</v>
      </c>
      <c r="N288" s="18">
        <v>0.38440800000000003</v>
      </c>
      <c r="O288" s="19">
        <v>0</v>
      </c>
      <c r="P288" s="13">
        <v>0</v>
      </c>
      <c r="Q288" s="104">
        <v>10.1</v>
      </c>
      <c r="R288" s="101">
        <v>1</v>
      </c>
      <c r="S288" s="101" t="s">
        <v>195</v>
      </c>
    </row>
    <row r="289" spans="1:19">
      <c r="A289" s="42" t="s">
        <v>84</v>
      </c>
      <c r="B289" s="3" t="s">
        <v>122</v>
      </c>
      <c r="C289" s="3">
        <v>1</v>
      </c>
      <c r="D289" s="1"/>
      <c r="E289" s="20" t="s">
        <v>20</v>
      </c>
      <c r="F289" s="7" t="s">
        <v>15</v>
      </c>
      <c r="G289" s="7" t="s">
        <v>57</v>
      </c>
      <c r="H289" s="11">
        <v>33.72</v>
      </c>
      <c r="I289" s="8">
        <v>7.5</v>
      </c>
      <c r="J289" s="26">
        <v>1</v>
      </c>
      <c r="K289" s="10">
        <v>0.25289999999999996</v>
      </c>
      <c r="L289" s="4"/>
      <c r="M289" s="17"/>
      <c r="N289" s="18">
        <v>0</v>
      </c>
      <c r="O289" s="19">
        <v>1</v>
      </c>
      <c r="P289" s="13">
        <v>0.25289999999999996</v>
      </c>
      <c r="Q289" s="50"/>
      <c r="R289" s="2"/>
      <c r="S289" s="2"/>
    </row>
    <row r="290" spans="1:19">
      <c r="A290" s="42" t="s">
        <v>84</v>
      </c>
      <c r="B290" s="3" t="s">
        <v>122</v>
      </c>
      <c r="C290" s="3">
        <v>1</v>
      </c>
      <c r="D290" s="1"/>
      <c r="E290" s="20" t="s">
        <v>20</v>
      </c>
      <c r="F290" s="7" t="s">
        <v>15</v>
      </c>
      <c r="G290" s="7" t="s">
        <v>57</v>
      </c>
      <c r="H290" s="11">
        <v>33.72</v>
      </c>
      <c r="I290" s="8">
        <v>7.25</v>
      </c>
      <c r="J290" s="26">
        <v>1</v>
      </c>
      <c r="K290" s="10">
        <v>0.24446999999999999</v>
      </c>
      <c r="L290" s="4"/>
      <c r="M290" s="17"/>
      <c r="N290" s="18">
        <v>0</v>
      </c>
      <c r="O290" s="19">
        <v>1</v>
      </c>
      <c r="P290" s="13">
        <v>0.24446999999999999</v>
      </c>
      <c r="Q290" s="50"/>
      <c r="R290" s="2"/>
      <c r="S290" s="2"/>
    </row>
    <row r="291" spans="1:19">
      <c r="A291" s="42" t="s">
        <v>84</v>
      </c>
      <c r="B291" s="3" t="s">
        <v>122</v>
      </c>
      <c r="C291" s="3">
        <v>1</v>
      </c>
      <c r="D291" s="1"/>
      <c r="E291" s="20" t="s">
        <v>20</v>
      </c>
      <c r="F291" s="7" t="s">
        <v>15</v>
      </c>
      <c r="G291" s="7" t="s">
        <v>57</v>
      </c>
      <c r="H291" s="11">
        <v>33.72</v>
      </c>
      <c r="I291" s="8">
        <v>11.5</v>
      </c>
      <c r="J291" s="26">
        <v>1</v>
      </c>
      <c r="K291" s="10">
        <v>0.38777999999999996</v>
      </c>
      <c r="L291" s="4"/>
      <c r="M291" s="17">
        <v>1</v>
      </c>
      <c r="N291" s="18">
        <v>0.38777999999999996</v>
      </c>
      <c r="O291" s="19">
        <v>0</v>
      </c>
      <c r="P291" s="13">
        <v>0</v>
      </c>
      <c r="Q291" s="104">
        <v>10.1</v>
      </c>
      <c r="R291" s="103">
        <v>1</v>
      </c>
      <c r="S291" s="101" t="s">
        <v>195</v>
      </c>
    </row>
    <row r="292" spans="1:19">
      <c r="A292" s="42" t="s">
        <v>78</v>
      </c>
      <c r="B292" s="3" t="s">
        <v>80</v>
      </c>
      <c r="C292" s="3">
        <v>6</v>
      </c>
      <c r="D292" s="1"/>
      <c r="E292" s="12" t="s">
        <v>20</v>
      </c>
      <c r="F292" s="7" t="s">
        <v>15</v>
      </c>
      <c r="G292" s="7" t="s">
        <v>57</v>
      </c>
      <c r="H292" s="11">
        <v>33.72</v>
      </c>
      <c r="I292" s="8">
        <v>11.1</v>
      </c>
      <c r="J292" s="26">
        <v>1</v>
      </c>
      <c r="K292" s="10">
        <v>0.37429199999999996</v>
      </c>
      <c r="L292" s="4"/>
      <c r="M292" s="17">
        <v>1</v>
      </c>
      <c r="N292" s="18">
        <v>0.37429199999999996</v>
      </c>
      <c r="O292" s="19">
        <v>0</v>
      </c>
      <c r="P292" s="13">
        <v>0</v>
      </c>
      <c r="Q292" s="104">
        <v>10.1</v>
      </c>
      <c r="R292" s="103">
        <v>1</v>
      </c>
      <c r="S292" s="101" t="s">
        <v>195</v>
      </c>
    </row>
    <row r="293" spans="1:19">
      <c r="A293" s="42" t="s">
        <v>78</v>
      </c>
      <c r="B293" s="3" t="s">
        <v>80</v>
      </c>
      <c r="C293" s="3">
        <v>6</v>
      </c>
      <c r="D293" s="1"/>
      <c r="E293" s="12" t="s">
        <v>20</v>
      </c>
      <c r="F293" s="7" t="s">
        <v>15</v>
      </c>
      <c r="G293" s="7" t="s">
        <v>57</v>
      </c>
      <c r="H293" s="11">
        <v>33.72</v>
      </c>
      <c r="I293" s="8">
        <v>6</v>
      </c>
      <c r="J293" s="26">
        <v>2</v>
      </c>
      <c r="K293" s="10">
        <v>0.40464</v>
      </c>
      <c r="L293" s="4"/>
      <c r="M293" s="17"/>
      <c r="N293" s="18">
        <v>0</v>
      </c>
      <c r="O293" s="19">
        <v>2</v>
      </c>
      <c r="P293" s="13">
        <v>0.40464</v>
      </c>
      <c r="Q293" s="50"/>
      <c r="R293" s="2"/>
      <c r="S293" s="2"/>
    </row>
    <row r="294" spans="1:19">
      <c r="A294" s="45" t="s">
        <v>136</v>
      </c>
      <c r="B294" s="32" t="s">
        <v>137</v>
      </c>
      <c r="C294" s="3">
        <v>2</v>
      </c>
      <c r="D294" s="32"/>
      <c r="E294" s="20" t="s">
        <v>20</v>
      </c>
      <c r="F294" s="7" t="s">
        <v>15</v>
      </c>
      <c r="G294" s="7" t="s">
        <v>57</v>
      </c>
      <c r="H294" s="11">
        <v>33.72</v>
      </c>
      <c r="I294" s="33">
        <v>8</v>
      </c>
      <c r="J294" s="40">
        <v>1</v>
      </c>
      <c r="K294" s="10">
        <v>0.26976</v>
      </c>
      <c r="L294" s="4"/>
      <c r="M294" s="17">
        <v>1</v>
      </c>
      <c r="N294" s="18">
        <v>0.26976</v>
      </c>
      <c r="O294" s="19">
        <v>0</v>
      </c>
      <c r="P294" s="13">
        <v>0</v>
      </c>
      <c r="Q294" s="104">
        <v>7.8</v>
      </c>
      <c r="R294" s="101">
        <v>1</v>
      </c>
      <c r="S294" s="101" t="s">
        <v>195</v>
      </c>
    </row>
    <row r="295" spans="1:19">
      <c r="A295" s="45" t="s">
        <v>136</v>
      </c>
      <c r="B295" s="32" t="s">
        <v>137</v>
      </c>
      <c r="C295" s="3">
        <v>15</v>
      </c>
      <c r="D295" s="32"/>
      <c r="E295" s="20" t="s">
        <v>89</v>
      </c>
      <c r="F295" s="7" t="s">
        <v>15</v>
      </c>
      <c r="G295" s="7" t="s">
        <v>57</v>
      </c>
      <c r="H295" s="11">
        <v>33.72</v>
      </c>
      <c r="I295" s="33">
        <v>6.3</v>
      </c>
      <c r="J295" s="40">
        <v>7</v>
      </c>
      <c r="K295" s="10">
        <v>1.4870519999999998</v>
      </c>
      <c r="L295" s="4"/>
      <c r="M295" s="17"/>
      <c r="N295" s="18">
        <v>0</v>
      </c>
      <c r="O295" s="19">
        <v>7</v>
      </c>
      <c r="P295" s="13">
        <v>1.4870519999999998</v>
      </c>
      <c r="Q295" s="33"/>
      <c r="R295" s="32"/>
      <c r="S295" s="32"/>
    </row>
    <row r="296" spans="1:19">
      <c r="A296" s="45" t="s">
        <v>136</v>
      </c>
      <c r="B296" s="32" t="s">
        <v>137</v>
      </c>
      <c r="C296" s="3">
        <v>30</v>
      </c>
      <c r="D296" s="32"/>
      <c r="E296" s="20" t="s">
        <v>20</v>
      </c>
      <c r="F296" s="7" t="s">
        <v>15</v>
      </c>
      <c r="G296" s="7" t="s">
        <v>57</v>
      </c>
      <c r="H296" s="11">
        <v>33.72</v>
      </c>
      <c r="I296" s="33">
        <v>6.4</v>
      </c>
      <c r="J296" s="40">
        <v>1</v>
      </c>
      <c r="K296" s="10">
        <v>0.215808</v>
      </c>
      <c r="L296" s="4"/>
      <c r="M296" s="17"/>
      <c r="N296" s="18">
        <v>0</v>
      </c>
      <c r="O296" s="19">
        <v>1</v>
      </c>
      <c r="P296" s="13">
        <v>0.215808</v>
      </c>
      <c r="Q296" s="33"/>
      <c r="R296" s="32"/>
      <c r="S296" s="32"/>
    </row>
    <row r="297" spans="1:19">
      <c r="A297" s="45" t="s">
        <v>136</v>
      </c>
      <c r="B297" s="32" t="s">
        <v>137</v>
      </c>
      <c r="C297" s="3">
        <v>30</v>
      </c>
      <c r="D297" s="32"/>
      <c r="E297" s="20" t="s">
        <v>20</v>
      </c>
      <c r="F297" s="7" t="s">
        <v>15</v>
      </c>
      <c r="G297" s="7" t="s">
        <v>57</v>
      </c>
      <c r="H297" s="11">
        <v>33.72</v>
      </c>
      <c r="I297" s="33">
        <v>7</v>
      </c>
      <c r="J297" s="40">
        <v>3</v>
      </c>
      <c r="K297" s="10">
        <v>0.70811999999999997</v>
      </c>
      <c r="L297" s="4"/>
      <c r="M297" s="17"/>
      <c r="N297" s="18">
        <v>0</v>
      </c>
      <c r="O297" s="19">
        <v>3</v>
      </c>
      <c r="P297" s="13">
        <v>0.70811999999999997</v>
      </c>
      <c r="Q297" s="33"/>
      <c r="R297" s="32"/>
      <c r="S297" s="32"/>
    </row>
    <row r="298" spans="1:19">
      <c r="A298" s="45" t="s">
        <v>136</v>
      </c>
      <c r="B298" s="32" t="s">
        <v>137</v>
      </c>
      <c r="C298" s="3">
        <v>34</v>
      </c>
      <c r="D298" s="32"/>
      <c r="E298" s="20" t="s">
        <v>20</v>
      </c>
      <c r="F298" s="7" t="s">
        <v>15</v>
      </c>
      <c r="G298" s="7" t="s">
        <v>57</v>
      </c>
      <c r="H298" s="11">
        <v>33.72</v>
      </c>
      <c r="I298" s="33">
        <v>5</v>
      </c>
      <c r="J298" s="40">
        <v>1</v>
      </c>
      <c r="K298" s="10">
        <v>0.1686</v>
      </c>
      <c r="L298" s="4"/>
      <c r="M298" s="17"/>
      <c r="N298" s="18">
        <v>0</v>
      </c>
      <c r="O298" s="19">
        <v>1</v>
      </c>
      <c r="P298" s="13">
        <v>0.1686</v>
      </c>
      <c r="Q298" s="33"/>
      <c r="R298" s="32"/>
      <c r="S298" s="32"/>
    </row>
    <row r="299" spans="1:19">
      <c r="A299" s="45" t="s">
        <v>136</v>
      </c>
      <c r="B299" s="32" t="s">
        <v>137</v>
      </c>
      <c r="C299" s="3">
        <v>34</v>
      </c>
      <c r="D299" s="32"/>
      <c r="E299" s="20" t="s">
        <v>20</v>
      </c>
      <c r="F299" s="7" t="s">
        <v>15</v>
      </c>
      <c r="G299" s="7" t="s">
        <v>57</v>
      </c>
      <c r="H299" s="11">
        <v>33.72</v>
      </c>
      <c r="I299" s="33">
        <v>6.7</v>
      </c>
      <c r="J299" s="40">
        <v>2</v>
      </c>
      <c r="K299" s="10">
        <v>0.45184800000000003</v>
      </c>
      <c r="L299" s="4"/>
      <c r="M299" s="17"/>
      <c r="N299" s="18">
        <v>0</v>
      </c>
      <c r="O299" s="19">
        <v>2</v>
      </c>
      <c r="P299" s="13">
        <v>0.45184800000000003</v>
      </c>
      <c r="Q299" s="33"/>
      <c r="R299" s="32"/>
      <c r="S299" s="32"/>
    </row>
    <row r="300" spans="1:19">
      <c r="A300" s="45" t="s">
        <v>136</v>
      </c>
      <c r="B300" s="32" t="s">
        <v>137</v>
      </c>
      <c r="C300" s="3">
        <v>40</v>
      </c>
      <c r="D300" s="32"/>
      <c r="E300" s="20" t="s">
        <v>20</v>
      </c>
      <c r="F300" s="7" t="s">
        <v>15</v>
      </c>
      <c r="G300" s="7" t="s">
        <v>57</v>
      </c>
      <c r="H300" s="11">
        <v>33.72</v>
      </c>
      <c r="I300" s="33">
        <v>7</v>
      </c>
      <c r="J300" s="40">
        <v>1</v>
      </c>
      <c r="K300" s="10">
        <v>0.23604</v>
      </c>
      <c r="L300" s="4"/>
      <c r="M300" s="17"/>
      <c r="N300" s="18">
        <v>0</v>
      </c>
      <c r="O300" s="19">
        <v>1</v>
      </c>
      <c r="P300" s="13">
        <v>0.23604</v>
      </c>
      <c r="Q300" s="33"/>
      <c r="R300" s="32"/>
      <c r="S300" s="32"/>
    </row>
    <row r="301" spans="1:19">
      <c r="A301" s="45" t="s">
        <v>136</v>
      </c>
      <c r="B301" s="32" t="s">
        <v>137</v>
      </c>
      <c r="C301" s="3">
        <v>40</v>
      </c>
      <c r="D301" s="32"/>
      <c r="E301" s="20" t="s">
        <v>20</v>
      </c>
      <c r="F301" s="7" t="s">
        <v>15</v>
      </c>
      <c r="G301" s="7" t="s">
        <v>57</v>
      </c>
      <c r="H301" s="11">
        <v>33.72</v>
      </c>
      <c r="I301" s="33">
        <v>7.5</v>
      </c>
      <c r="J301" s="40">
        <v>1</v>
      </c>
      <c r="K301" s="10">
        <v>0.25289999999999996</v>
      </c>
      <c r="L301" s="4"/>
      <c r="M301" s="17"/>
      <c r="N301" s="18">
        <v>0</v>
      </c>
      <c r="O301" s="19">
        <v>1</v>
      </c>
      <c r="P301" s="13">
        <v>0.25289999999999996</v>
      </c>
      <c r="Q301" s="33"/>
      <c r="R301" s="32"/>
      <c r="S301" s="32"/>
    </row>
    <row r="302" spans="1:19">
      <c r="A302" s="45" t="s">
        <v>136</v>
      </c>
      <c r="B302" s="32" t="s">
        <v>137</v>
      </c>
      <c r="C302" s="3">
        <v>42</v>
      </c>
      <c r="D302" s="32"/>
      <c r="E302" s="20" t="s">
        <v>20</v>
      </c>
      <c r="F302" s="7" t="s">
        <v>15</v>
      </c>
      <c r="G302" s="7" t="s">
        <v>57</v>
      </c>
      <c r="H302" s="11">
        <v>33.72</v>
      </c>
      <c r="I302" s="33">
        <v>10.6</v>
      </c>
      <c r="J302" s="40">
        <v>2</v>
      </c>
      <c r="K302" s="10">
        <v>0.71486399999999994</v>
      </c>
      <c r="L302" s="4"/>
      <c r="M302" s="17">
        <v>2</v>
      </c>
      <c r="N302" s="18">
        <v>0.71486399999999994</v>
      </c>
      <c r="O302" s="19">
        <v>0</v>
      </c>
      <c r="P302" s="13">
        <v>0</v>
      </c>
      <c r="Q302" s="104">
        <v>10.1</v>
      </c>
      <c r="R302" s="101">
        <v>2</v>
      </c>
      <c r="S302" s="101" t="s">
        <v>195</v>
      </c>
    </row>
    <row r="303" spans="1:19">
      <c r="A303" s="45" t="s">
        <v>136</v>
      </c>
      <c r="B303" s="32" t="s">
        <v>137</v>
      </c>
      <c r="C303" s="3">
        <v>60</v>
      </c>
      <c r="D303" s="32"/>
      <c r="E303" s="20" t="s">
        <v>20</v>
      </c>
      <c r="F303" s="7" t="s">
        <v>15</v>
      </c>
      <c r="G303" s="7" t="s">
        <v>57</v>
      </c>
      <c r="H303" s="11">
        <v>33.72</v>
      </c>
      <c r="I303" s="33">
        <v>8</v>
      </c>
      <c r="J303" s="40">
        <v>1</v>
      </c>
      <c r="K303" s="10">
        <v>0.26976</v>
      </c>
      <c r="L303" s="4"/>
      <c r="M303" s="17">
        <v>1</v>
      </c>
      <c r="N303" s="18">
        <v>0.26976</v>
      </c>
      <c r="O303" s="19">
        <v>0</v>
      </c>
      <c r="P303" s="13">
        <v>0</v>
      </c>
      <c r="Q303" s="104">
        <v>7.8</v>
      </c>
      <c r="R303" s="101">
        <v>1</v>
      </c>
      <c r="S303" s="101" t="s">
        <v>195</v>
      </c>
    </row>
    <row r="304" spans="1:19">
      <c r="A304" s="45" t="s">
        <v>136</v>
      </c>
      <c r="B304" s="32" t="s">
        <v>137</v>
      </c>
      <c r="C304" s="3">
        <v>60</v>
      </c>
      <c r="D304" s="32"/>
      <c r="E304" s="20" t="s">
        <v>20</v>
      </c>
      <c r="F304" s="7" t="s">
        <v>15</v>
      </c>
      <c r="G304" s="7" t="s">
        <v>57</v>
      </c>
      <c r="H304" s="11">
        <v>33.72</v>
      </c>
      <c r="I304" s="33">
        <v>8.1</v>
      </c>
      <c r="J304" s="40">
        <v>2</v>
      </c>
      <c r="K304" s="10">
        <v>0.54626399999999997</v>
      </c>
      <c r="L304" s="4"/>
      <c r="M304" s="17">
        <v>2</v>
      </c>
      <c r="N304" s="18">
        <v>0.54626399999999997</v>
      </c>
      <c r="O304" s="19">
        <v>0</v>
      </c>
      <c r="P304" s="13">
        <v>0</v>
      </c>
      <c r="Q304" s="104">
        <v>7.8</v>
      </c>
      <c r="R304" s="101">
        <v>2</v>
      </c>
      <c r="S304" s="101" t="s">
        <v>195</v>
      </c>
    </row>
    <row r="305" spans="1:19">
      <c r="A305" s="45" t="s">
        <v>136</v>
      </c>
      <c r="B305" s="32" t="s">
        <v>137</v>
      </c>
      <c r="C305" s="3">
        <v>60</v>
      </c>
      <c r="D305" s="32"/>
      <c r="E305" s="20" t="s">
        <v>20</v>
      </c>
      <c r="F305" s="7" t="s">
        <v>15</v>
      </c>
      <c r="G305" s="7" t="s">
        <v>57</v>
      </c>
      <c r="H305" s="11">
        <v>33.72</v>
      </c>
      <c r="I305" s="33">
        <v>8.3000000000000007</v>
      </c>
      <c r="J305" s="40">
        <v>1</v>
      </c>
      <c r="K305" s="10">
        <v>0.27987600000000001</v>
      </c>
      <c r="L305" s="4"/>
      <c r="M305" s="17">
        <v>1</v>
      </c>
      <c r="N305" s="18">
        <v>0.27987600000000001</v>
      </c>
      <c r="O305" s="19">
        <v>0</v>
      </c>
      <c r="P305" s="13">
        <v>0</v>
      </c>
      <c r="Q305" s="104">
        <v>7.8</v>
      </c>
      <c r="R305" s="101">
        <v>1</v>
      </c>
      <c r="S305" s="101" t="s">
        <v>195</v>
      </c>
    </row>
    <row r="306" spans="1:19">
      <c r="A306" s="45" t="s">
        <v>136</v>
      </c>
      <c r="B306" s="32" t="s">
        <v>137</v>
      </c>
      <c r="C306" s="3">
        <v>60</v>
      </c>
      <c r="D306" s="32"/>
      <c r="E306" s="20" t="s">
        <v>20</v>
      </c>
      <c r="F306" s="7" t="s">
        <v>15</v>
      </c>
      <c r="G306" s="7" t="s">
        <v>57</v>
      </c>
      <c r="H306" s="11">
        <v>33.72</v>
      </c>
      <c r="I306" s="33">
        <v>9.3000000000000007</v>
      </c>
      <c r="J306" s="40">
        <v>1</v>
      </c>
      <c r="K306" s="10">
        <v>0.31359599999999999</v>
      </c>
      <c r="L306" s="4"/>
      <c r="M306" s="17">
        <v>1</v>
      </c>
      <c r="N306" s="18">
        <v>0.31359599999999999</v>
      </c>
      <c r="O306" s="19">
        <v>0</v>
      </c>
      <c r="P306" s="13">
        <v>0</v>
      </c>
      <c r="Q306" s="104">
        <v>7.8</v>
      </c>
      <c r="R306" s="101">
        <v>1</v>
      </c>
      <c r="S306" s="101" t="s">
        <v>195</v>
      </c>
    </row>
    <row r="307" spans="1:19">
      <c r="A307" s="45" t="s">
        <v>136</v>
      </c>
      <c r="B307" s="32" t="s">
        <v>137</v>
      </c>
      <c r="C307" s="3">
        <v>77</v>
      </c>
      <c r="D307" s="32"/>
      <c r="E307" s="20" t="s">
        <v>20</v>
      </c>
      <c r="F307" s="7" t="s">
        <v>15</v>
      </c>
      <c r="G307" s="7" t="s">
        <v>57</v>
      </c>
      <c r="H307" s="11">
        <v>33.72</v>
      </c>
      <c r="I307" s="33">
        <v>5.7</v>
      </c>
      <c r="J307" s="40">
        <v>1</v>
      </c>
      <c r="K307" s="10">
        <v>0.19220400000000001</v>
      </c>
      <c r="L307" s="4"/>
      <c r="M307" s="17"/>
      <c r="N307" s="18">
        <v>0</v>
      </c>
      <c r="O307" s="19">
        <v>1</v>
      </c>
      <c r="P307" s="13">
        <v>0.19220400000000001</v>
      </c>
      <c r="Q307" s="33"/>
      <c r="R307" s="32"/>
      <c r="S307" s="32"/>
    </row>
    <row r="308" spans="1:19">
      <c r="A308" s="45" t="s">
        <v>136</v>
      </c>
      <c r="B308" s="32" t="s">
        <v>137</v>
      </c>
      <c r="C308" s="3">
        <v>77</v>
      </c>
      <c r="D308" s="32"/>
      <c r="E308" s="20" t="s">
        <v>20</v>
      </c>
      <c r="F308" s="7" t="s">
        <v>15</v>
      </c>
      <c r="G308" s="7" t="s">
        <v>57</v>
      </c>
      <c r="H308" s="11">
        <v>33.72</v>
      </c>
      <c r="I308" s="33">
        <v>6</v>
      </c>
      <c r="J308" s="40">
        <v>1</v>
      </c>
      <c r="K308" s="10">
        <v>0.20232</v>
      </c>
      <c r="L308" s="4"/>
      <c r="M308" s="17"/>
      <c r="N308" s="18">
        <v>0</v>
      </c>
      <c r="O308" s="19">
        <v>1</v>
      </c>
      <c r="P308" s="13">
        <v>0.20232</v>
      </c>
      <c r="Q308" s="33"/>
      <c r="R308" s="32"/>
      <c r="S308" s="32"/>
    </row>
    <row r="309" spans="1:19">
      <c r="A309" s="45" t="s">
        <v>136</v>
      </c>
      <c r="B309" s="32" t="s">
        <v>137</v>
      </c>
      <c r="C309" s="3">
        <v>86</v>
      </c>
      <c r="D309" s="32"/>
      <c r="E309" s="20" t="s">
        <v>20</v>
      </c>
      <c r="F309" s="7" t="s">
        <v>15</v>
      </c>
      <c r="G309" s="7" t="s">
        <v>57</v>
      </c>
      <c r="H309" s="11">
        <v>33.72</v>
      </c>
      <c r="I309" s="33">
        <v>6.3</v>
      </c>
      <c r="J309" s="40">
        <v>1</v>
      </c>
      <c r="K309" s="10">
        <v>0.21243599999999999</v>
      </c>
      <c r="L309" s="4"/>
      <c r="M309" s="17"/>
      <c r="N309" s="18">
        <v>0</v>
      </c>
      <c r="O309" s="19">
        <v>1</v>
      </c>
      <c r="P309" s="13">
        <v>0.21243599999999999</v>
      </c>
      <c r="Q309" s="33"/>
      <c r="R309" s="32"/>
      <c r="S309" s="32"/>
    </row>
    <row r="310" spans="1:19">
      <c r="A310" s="45" t="s">
        <v>136</v>
      </c>
      <c r="B310" s="48" t="s">
        <v>171</v>
      </c>
      <c r="C310" s="32">
        <v>118</v>
      </c>
      <c r="D310" s="32"/>
      <c r="E310" s="48" t="s">
        <v>20</v>
      </c>
      <c r="F310" s="48" t="s">
        <v>15</v>
      </c>
      <c r="G310" s="48" t="s">
        <v>57</v>
      </c>
      <c r="H310" s="11">
        <v>33.72</v>
      </c>
      <c r="I310" s="52">
        <v>8.6999999999999993</v>
      </c>
      <c r="J310" s="7">
        <v>1</v>
      </c>
      <c r="K310" s="10">
        <v>0.29336399999999996</v>
      </c>
      <c r="L310" s="32"/>
      <c r="M310" s="32">
        <v>1</v>
      </c>
      <c r="N310" s="18">
        <v>0.29336399999999996</v>
      </c>
      <c r="O310" s="19">
        <v>0</v>
      </c>
      <c r="P310" s="13">
        <v>0</v>
      </c>
      <c r="Q310" s="104">
        <v>7.8</v>
      </c>
      <c r="R310" s="101">
        <v>1</v>
      </c>
      <c r="S310" s="101" t="s">
        <v>195</v>
      </c>
    </row>
    <row r="311" spans="1:19">
      <c r="A311" s="45" t="s">
        <v>136</v>
      </c>
      <c r="B311" s="48" t="s">
        <v>171</v>
      </c>
      <c r="C311" s="32">
        <v>118</v>
      </c>
      <c r="D311" s="32"/>
      <c r="E311" s="48" t="s">
        <v>20</v>
      </c>
      <c r="F311" s="48" t="s">
        <v>15</v>
      </c>
      <c r="G311" s="48" t="s">
        <v>57</v>
      </c>
      <c r="H311" s="11">
        <v>33.72</v>
      </c>
      <c r="I311" s="52">
        <v>7.2</v>
      </c>
      <c r="J311" s="7">
        <v>1</v>
      </c>
      <c r="K311" s="10">
        <v>0.242784</v>
      </c>
      <c r="L311" s="32"/>
      <c r="M311" s="32"/>
      <c r="N311" s="18">
        <v>0</v>
      </c>
      <c r="O311" s="19">
        <v>1</v>
      </c>
      <c r="P311" s="13">
        <v>0.242784</v>
      </c>
      <c r="Q311" s="33"/>
      <c r="R311" s="32"/>
      <c r="S311" s="32"/>
    </row>
    <row r="312" spans="1:19">
      <c r="A312" s="45" t="s">
        <v>136</v>
      </c>
      <c r="B312" s="48" t="s">
        <v>171</v>
      </c>
      <c r="C312" s="32">
        <v>147</v>
      </c>
      <c r="D312" s="32"/>
      <c r="E312" s="48" t="s">
        <v>89</v>
      </c>
      <c r="F312" s="48" t="s">
        <v>15</v>
      </c>
      <c r="G312" s="48" t="s">
        <v>57</v>
      </c>
      <c r="H312" s="11">
        <v>33.72</v>
      </c>
      <c r="I312" s="9">
        <v>9.8000000000000007</v>
      </c>
      <c r="J312" s="7">
        <v>1</v>
      </c>
      <c r="K312" s="10">
        <v>0.33045600000000003</v>
      </c>
      <c r="L312" s="32"/>
      <c r="M312" s="32">
        <v>1</v>
      </c>
      <c r="N312" s="18">
        <v>0.33045600000000003</v>
      </c>
      <c r="O312" s="19">
        <v>0</v>
      </c>
      <c r="P312" s="13">
        <v>0</v>
      </c>
      <c r="Q312" s="104">
        <v>7.8</v>
      </c>
      <c r="R312" s="101">
        <v>1</v>
      </c>
      <c r="S312" s="101" t="s">
        <v>195</v>
      </c>
    </row>
    <row r="313" spans="1:19">
      <c r="O313" s="78">
        <f>SUM(O282:O312)</f>
        <v>36</v>
      </c>
      <c r="R313" s="6">
        <f>SUM(R282:R312)</f>
        <v>13</v>
      </c>
    </row>
    <row r="315" spans="1:19">
      <c r="A315" s="42" t="s">
        <v>77</v>
      </c>
      <c r="B315" s="3" t="s">
        <v>68</v>
      </c>
      <c r="C315" s="3">
        <v>211</v>
      </c>
      <c r="D315" s="1"/>
      <c r="E315" s="20" t="s">
        <v>63</v>
      </c>
      <c r="F315" s="7" t="s">
        <v>15</v>
      </c>
      <c r="G315" s="7" t="s">
        <v>53</v>
      </c>
      <c r="H315" s="11">
        <v>35.840000000000003</v>
      </c>
      <c r="I315" s="8">
        <v>7.4</v>
      </c>
      <c r="J315" s="26">
        <v>1</v>
      </c>
      <c r="K315" s="10">
        <v>0.26521600000000006</v>
      </c>
      <c r="L315" s="4"/>
      <c r="M315" s="17"/>
      <c r="N315" s="18">
        <v>0</v>
      </c>
      <c r="O315" s="19">
        <v>1</v>
      </c>
      <c r="P315" s="13">
        <v>0.26521600000000006</v>
      </c>
      <c r="Q315" s="9"/>
      <c r="R315" s="2"/>
      <c r="S315" s="2"/>
    </row>
    <row r="316" spans="1:19">
      <c r="A316" s="42" t="s">
        <v>77</v>
      </c>
      <c r="B316" s="3" t="s">
        <v>68</v>
      </c>
      <c r="C316" s="3">
        <v>211</v>
      </c>
      <c r="D316" s="1"/>
      <c r="E316" s="20" t="s">
        <v>63</v>
      </c>
      <c r="F316" s="7" t="s">
        <v>15</v>
      </c>
      <c r="G316" s="7" t="s">
        <v>53</v>
      </c>
      <c r="H316" s="11">
        <v>35.840000000000003</v>
      </c>
      <c r="I316" s="8">
        <v>8.1</v>
      </c>
      <c r="J316" s="26">
        <v>1</v>
      </c>
      <c r="K316" s="10">
        <v>0.29030400000000001</v>
      </c>
      <c r="L316" s="4"/>
      <c r="M316" s="17">
        <v>1</v>
      </c>
      <c r="N316" s="18">
        <v>0.29030400000000001</v>
      </c>
      <c r="O316" s="19">
        <v>0</v>
      </c>
      <c r="P316" s="13">
        <v>0</v>
      </c>
      <c r="Q316" s="92">
        <v>8.1</v>
      </c>
      <c r="R316" s="47">
        <v>1</v>
      </c>
      <c r="S316" s="47" t="s">
        <v>209</v>
      </c>
    </row>
    <row r="317" spans="1:19">
      <c r="A317" s="42" t="s">
        <v>77</v>
      </c>
      <c r="B317" s="3" t="s">
        <v>68</v>
      </c>
      <c r="C317" s="3">
        <v>211</v>
      </c>
      <c r="D317" s="1"/>
      <c r="E317" s="20" t="s">
        <v>63</v>
      </c>
      <c r="F317" s="7" t="s">
        <v>15</v>
      </c>
      <c r="G317" s="7" t="s">
        <v>53</v>
      </c>
      <c r="H317" s="11">
        <v>35.840000000000003</v>
      </c>
      <c r="I317" s="8">
        <v>8.4</v>
      </c>
      <c r="J317" s="26">
        <v>2</v>
      </c>
      <c r="K317" s="10">
        <v>0.60211200000000009</v>
      </c>
      <c r="L317" s="4"/>
      <c r="M317" s="17">
        <v>2</v>
      </c>
      <c r="N317" s="18">
        <v>0.60211200000000009</v>
      </c>
      <c r="O317" s="19">
        <v>0</v>
      </c>
      <c r="P317" s="13">
        <v>0</v>
      </c>
      <c r="Q317" s="92">
        <v>8.1</v>
      </c>
      <c r="R317" s="47">
        <v>2</v>
      </c>
      <c r="S317" s="47" t="s">
        <v>209</v>
      </c>
    </row>
    <row r="318" spans="1:19">
      <c r="A318" s="45" t="s">
        <v>136</v>
      </c>
      <c r="B318" s="32" t="s">
        <v>137</v>
      </c>
      <c r="C318" s="3">
        <v>1</v>
      </c>
      <c r="D318" s="32"/>
      <c r="E318" s="20" t="s">
        <v>88</v>
      </c>
      <c r="F318" s="7" t="s">
        <v>15</v>
      </c>
      <c r="G318" s="7" t="s">
        <v>53</v>
      </c>
      <c r="H318" s="11">
        <v>35.840000000000003</v>
      </c>
      <c r="I318" s="33">
        <v>7.5</v>
      </c>
      <c r="J318" s="40">
        <v>1</v>
      </c>
      <c r="K318" s="10">
        <v>0.26880000000000004</v>
      </c>
      <c r="L318" s="4"/>
      <c r="M318" s="17"/>
      <c r="N318" s="18">
        <v>0</v>
      </c>
      <c r="O318" s="19">
        <v>1</v>
      </c>
      <c r="P318" s="13">
        <v>0.26880000000000004</v>
      </c>
      <c r="Q318" s="32"/>
      <c r="R318" s="32"/>
      <c r="S318" s="32"/>
    </row>
    <row r="319" spans="1:19">
      <c r="R319" s="76">
        <f>SUM(R316:R318)</f>
        <v>3</v>
      </c>
    </row>
    <row r="322" spans="1:19">
      <c r="A322" s="42" t="s">
        <v>77</v>
      </c>
      <c r="B322" s="3" t="s">
        <v>68</v>
      </c>
      <c r="C322" s="3">
        <v>156</v>
      </c>
      <c r="D322" s="1"/>
      <c r="E322" s="20" t="s">
        <v>17</v>
      </c>
      <c r="F322" s="7" t="s">
        <v>15</v>
      </c>
      <c r="G322" s="7" t="s">
        <v>53</v>
      </c>
      <c r="H322" s="11">
        <v>35.840000000000003</v>
      </c>
      <c r="I322" s="8">
        <v>9.5</v>
      </c>
      <c r="J322" s="26">
        <v>1</v>
      </c>
      <c r="K322" s="10">
        <f t="shared" ref="K322:K324" si="12">(H322*I322*J322/1000)</f>
        <v>0.34048</v>
      </c>
      <c r="L322" s="4"/>
      <c r="M322" s="17">
        <v>1</v>
      </c>
      <c r="N322" s="18">
        <f t="shared" ref="N322:N324" si="13">I322*M322*H322/1000</f>
        <v>0.34048</v>
      </c>
      <c r="O322" s="19">
        <f t="shared" ref="O322:O324" si="14">J322-M322</f>
        <v>0</v>
      </c>
      <c r="P322" s="13">
        <f t="shared" ref="P322:P324" si="15">I322*O322*H322/1000</f>
        <v>0</v>
      </c>
      <c r="Q322" s="92">
        <v>8</v>
      </c>
      <c r="R322" s="47">
        <v>1</v>
      </c>
      <c r="S322" s="47" t="s">
        <v>213</v>
      </c>
    </row>
    <row r="323" spans="1:19">
      <c r="A323" s="42" t="s">
        <v>77</v>
      </c>
      <c r="B323" s="3" t="s">
        <v>68</v>
      </c>
      <c r="C323" s="3">
        <v>156</v>
      </c>
      <c r="D323" s="1"/>
      <c r="E323" s="20" t="s">
        <v>17</v>
      </c>
      <c r="F323" s="7" t="s">
        <v>15</v>
      </c>
      <c r="G323" s="7" t="s">
        <v>53</v>
      </c>
      <c r="H323" s="11">
        <v>35.840000000000003</v>
      </c>
      <c r="I323" s="8">
        <v>10</v>
      </c>
      <c r="J323" s="26">
        <v>1</v>
      </c>
      <c r="K323" s="10">
        <f t="shared" si="12"/>
        <v>0.35840000000000005</v>
      </c>
      <c r="L323" s="4"/>
      <c r="M323" s="17">
        <v>1</v>
      </c>
      <c r="N323" s="18">
        <f t="shared" si="13"/>
        <v>0.35840000000000005</v>
      </c>
      <c r="O323" s="19">
        <f t="shared" si="14"/>
        <v>0</v>
      </c>
      <c r="P323" s="13">
        <f t="shared" si="15"/>
        <v>0</v>
      </c>
      <c r="Q323" s="92">
        <v>10</v>
      </c>
      <c r="R323" s="47">
        <v>1</v>
      </c>
      <c r="S323" s="47" t="s">
        <v>213</v>
      </c>
    </row>
    <row r="324" spans="1:19">
      <c r="A324" s="42" t="s">
        <v>77</v>
      </c>
      <c r="B324" s="3" t="s">
        <v>68</v>
      </c>
      <c r="C324" s="3">
        <v>156</v>
      </c>
      <c r="D324" s="1"/>
      <c r="E324" s="20" t="s">
        <v>17</v>
      </c>
      <c r="F324" s="7" t="s">
        <v>15</v>
      </c>
      <c r="G324" s="7" t="s">
        <v>53</v>
      </c>
      <c r="H324" s="11">
        <v>35.840000000000003</v>
      </c>
      <c r="I324" s="8">
        <v>11</v>
      </c>
      <c r="J324" s="26">
        <v>2</v>
      </c>
      <c r="K324" s="10">
        <f t="shared" si="12"/>
        <v>0.78848000000000007</v>
      </c>
      <c r="L324" s="4"/>
      <c r="M324" s="17">
        <v>2</v>
      </c>
      <c r="N324" s="18">
        <f t="shared" si="13"/>
        <v>0.78848000000000007</v>
      </c>
      <c r="O324" s="19">
        <f t="shared" si="14"/>
        <v>0</v>
      </c>
      <c r="P324" s="13">
        <f t="shared" si="15"/>
        <v>0</v>
      </c>
      <c r="Q324" s="92">
        <v>10.7</v>
      </c>
      <c r="R324" s="47">
        <v>2</v>
      </c>
      <c r="S324" s="47" t="s">
        <v>213</v>
      </c>
    </row>
    <row r="325" spans="1:19">
      <c r="R325" s="76">
        <f>SUM(R322:R324)</f>
        <v>4</v>
      </c>
    </row>
    <row r="328" spans="1:19">
      <c r="A328" s="42" t="s">
        <v>77</v>
      </c>
      <c r="B328" s="3" t="s">
        <v>68</v>
      </c>
      <c r="C328" s="3">
        <v>204</v>
      </c>
      <c r="D328" s="1"/>
      <c r="E328" s="20" t="s">
        <v>17</v>
      </c>
      <c r="F328" s="7" t="s">
        <v>15</v>
      </c>
      <c r="G328" s="7" t="s">
        <v>59</v>
      </c>
      <c r="H328" s="11">
        <v>38</v>
      </c>
      <c r="I328" s="8">
        <v>9.6</v>
      </c>
      <c r="J328" s="26">
        <v>1</v>
      </c>
      <c r="K328" s="10">
        <v>0.36480000000000001</v>
      </c>
      <c r="L328" s="4"/>
      <c r="M328" s="17">
        <v>1</v>
      </c>
      <c r="N328" s="18">
        <v>0.36480000000000001</v>
      </c>
      <c r="O328" s="19">
        <v>0</v>
      </c>
      <c r="P328" s="13">
        <v>0</v>
      </c>
      <c r="Q328" s="73">
        <v>7.6</v>
      </c>
      <c r="R328" s="74">
        <v>1</v>
      </c>
      <c r="S328" s="72" t="s">
        <v>220</v>
      </c>
    </row>
    <row r="329" spans="1:19">
      <c r="A329" s="42" t="s">
        <v>77</v>
      </c>
      <c r="B329" s="3" t="s">
        <v>68</v>
      </c>
      <c r="C329" s="3">
        <v>204</v>
      </c>
      <c r="D329" s="1"/>
      <c r="E329" s="20" t="s">
        <v>17</v>
      </c>
      <c r="F329" s="7" t="s">
        <v>15</v>
      </c>
      <c r="G329" s="7" t="s">
        <v>59</v>
      </c>
      <c r="H329" s="11">
        <v>38</v>
      </c>
      <c r="I329" s="8">
        <v>9.6999999999999993</v>
      </c>
      <c r="J329" s="26">
        <v>1</v>
      </c>
      <c r="K329" s="10">
        <v>0.36859999999999998</v>
      </c>
      <c r="L329" s="4"/>
      <c r="M329" s="17">
        <v>1</v>
      </c>
      <c r="N329" s="18">
        <v>0.36859999999999998</v>
      </c>
      <c r="O329" s="19">
        <v>0</v>
      </c>
      <c r="P329" s="13">
        <v>0</v>
      </c>
      <c r="Q329" s="73">
        <v>7.6</v>
      </c>
      <c r="R329" s="74">
        <v>1</v>
      </c>
      <c r="S329" s="72" t="s">
        <v>220</v>
      </c>
    </row>
    <row r="330" spans="1:19">
      <c r="A330" s="42" t="s">
        <v>77</v>
      </c>
      <c r="B330" s="3" t="s">
        <v>68</v>
      </c>
      <c r="C330" s="3">
        <v>204</v>
      </c>
      <c r="D330" s="1"/>
      <c r="E330" s="20" t="s">
        <v>17</v>
      </c>
      <c r="F330" s="7" t="s">
        <v>15</v>
      </c>
      <c r="G330" s="7" t="s">
        <v>59</v>
      </c>
      <c r="H330" s="11">
        <v>38</v>
      </c>
      <c r="I330" s="8">
        <v>9.8000000000000007</v>
      </c>
      <c r="J330" s="26">
        <v>2</v>
      </c>
      <c r="K330" s="10">
        <v>0.74480000000000002</v>
      </c>
      <c r="L330" s="4"/>
      <c r="M330" s="17">
        <v>2</v>
      </c>
      <c r="N330" s="18">
        <v>0.74480000000000002</v>
      </c>
      <c r="O330" s="19">
        <v>0</v>
      </c>
      <c r="P330" s="13">
        <v>0</v>
      </c>
      <c r="Q330" s="73">
        <v>7.6</v>
      </c>
      <c r="R330" s="74">
        <v>2</v>
      </c>
      <c r="S330" s="72" t="s">
        <v>220</v>
      </c>
    </row>
    <row r="331" spans="1:19">
      <c r="A331" s="42" t="s">
        <v>77</v>
      </c>
      <c r="B331" s="3" t="s">
        <v>68</v>
      </c>
      <c r="C331" s="3">
        <v>207</v>
      </c>
      <c r="D331" s="1"/>
      <c r="E331" s="20" t="s">
        <v>17</v>
      </c>
      <c r="F331" s="7" t="s">
        <v>15</v>
      </c>
      <c r="G331" s="7" t="s">
        <v>59</v>
      </c>
      <c r="H331" s="11">
        <v>38</v>
      </c>
      <c r="I331" s="8">
        <v>10</v>
      </c>
      <c r="J331" s="26">
        <v>1</v>
      </c>
      <c r="K331" s="10">
        <v>0.38</v>
      </c>
      <c r="L331" s="4"/>
      <c r="M331" s="17">
        <v>1</v>
      </c>
      <c r="N331" s="18">
        <v>0.38</v>
      </c>
      <c r="O331" s="19">
        <v>0</v>
      </c>
      <c r="P331" s="13">
        <v>0</v>
      </c>
      <c r="Q331" s="73">
        <v>7.6</v>
      </c>
      <c r="R331" s="74">
        <v>1</v>
      </c>
      <c r="S331" s="72" t="s">
        <v>220</v>
      </c>
    </row>
    <row r="332" spans="1:19">
      <c r="A332" s="42" t="s">
        <v>77</v>
      </c>
      <c r="B332" s="3" t="s">
        <v>68</v>
      </c>
      <c r="C332" s="3">
        <v>212</v>
      </c>
      <c r="D332" s="1"/>
      <c r="E332" s="20" t="s">
        <v>17</v>
      </c>
      <c r="F332" s="7" t="s">
        <v>15</v>
      </c>
      <c r="G332" s="7" t="s">
        <v>59</v>
      </c>
      <c r="H332" s="11">
        <v>38</v>
      </c>
      <c r="I332" s="8">
        <v>5.2</v>
      </c>
      <c r="J332" s="26">
        <v>3</v>
      </c>
      <c r="K332" s="10">
        <v>0.59279999999999999</v>
      </c>
      <c r="L332" s="4"/>
      <c r="M332" s="17"/>
      <c r="N332" s="18">
        <v>0</v>
      </c>
      <c r="O332" s="19">
        <v>3</v>
      </c>
      <c r="P332" s="13">
        <v>0.5928000000000001</v>
      </c>
      <c r="Q332" s="9"/>
      <c r="R332" s="2"/>
      <c r="S332" s="2"/>
    </row>
    <row r="333" spans="1:19">
      <c r="A333" s="42" t="s">
        <v>77</v>
      </c>
      <c r="B333" s="3" t="s">
        <v>68</v>
      </c>
      <c r="C333" s="3">
        <v>213</v>
      </c>
      <c r="D333" s="1"/>
      <c r="E333" s="20" t="s">
        <v>17</v>
      </c>
      <c r="F333" s="7" t="s">
        <v>15</v>
      </c>
      <c r="G333" s="7" t="s">
        <v>59</v>
      </c>
      <c r="H333" s="11">
        <v>38</v>
      </c>
      <c r="I333" s="8">
        <v>6.4</v>
      </c>
      <c r="J333" s="26">
        <v>1</v>
      </c>
      <c r="K333" s="10">
        <v>0.24320000000000003</v>
      </c>
      <c r="L333" s="4"/>
      <c r="M333" s="17">
        <v>1</v>
      </c>
      <c r="N333" s="18">
        <v>0.24320000000000003</v>
      </c>
      <c r="O333" s="19">
        <v>0</v>
      </c>
      <c r="P333" s="13">
        <v>0</v>
      </c>
      <c r="Q333" s="73">
        <v>6</v>
      </c>
      <c r="R333" s="74">
        <v>1</v>
      </c>
      <c r="S333" s="74" t="s">
        <v>219</v>
      </c>
    </row>
    <row r="334" spans="1:19">
      <c r="A334" s="44" t="s">
        <v>78</v>
      </c>
      <c r="B334" s="32" t="s">
        <v>80</v>
      </c>
      <c r="C334" s="3">
        <v>1</v>
      </c>
      <c r="D334" s="32"/>
      <c r="E334" s="24" t="s">
        <v>17</v>
      </c>
      <c r="F334" s="7" t="s">
        <v>15</v>
      </c>
      <c r="G334" s="7" t="s">
        <v>59</v>
      </c>
      <c r="H334" s="11">
        <v>38</v>
      </c>
      <c r="I334" s="33">
        <v>9.8000000000000007</v>
      </c>
      <c r="J334" s="40">
        <v>6</v>
      </c>
      <c r="K334" s="10">
        <v>2.2343999999999999</v>
      </c>
      <c r="L334" s="4"/>
      <c r="M334" s="17">
        <v>6</v>
      </c>
      <c r="N334" s="18">
        <v>2.2343999999999999</v>
      </c>
      <c r="O334" s="19">
        <v>0</v>
      </c>
      <c r="P334" s="13">
        <v>0</v>
      </c>
      <c r="Q334" s="72">
        <v>7.6</v>
      </c>
      <c r="R334" s="72">
        <v>6</v>
      </c>
      <c r="S334" s="72" t="s">
        <v>220</v>
      </c>
    </row>
    <row r="335" spans="1:19">
      <c r="A335" s="44" t="s">
        <v>78</v>
      </c>
      <c r="B335" s="32" t="s">
        <v>80</v>
      </c>
      <c r="C335" s="3">
        <v>2</v>
      </c>
      <c r="D335" s="32"/>
      <c r="E335" s="24" t="s">
        <v>17</v>
      </c>
      <c r="F335" s="7" t="s">
        <v>15</v>
      </c>
      <c r="G335" s="7" t="s">
        <v>59</v>
      </c>
      <c r="H335" s="11">
        <v>38</v>
      </c>
      <c r="I335" s="33">
        <v>9.1999999999999993</v>
      </c>
      <c r="J335" s="40">
        <v>2</v>
      </c>
      <c r="K335" s="10">
        <v>0.69919999999999993</v>
      </c>
      <c r="L335" s="4"/>
      <c r="M335" s="17">
        <v>2</v>
      </c>
      <c r="N335" s="18">
        <v>0.69919999999999993</v>
      </c>
      <c r="O335" s="19">
        <v>0</v>
      </c>
      <c r="P335" s="13">
        <v>0</v>
      </c>
      <c r="Q335" s="72">
        <v>7.6</v>
      </c>
      <c r="R335" s="72">
        <v>2</v>
      </c>
      <c r="S335" s="72" t="s">
        <v>220</v>
      </c>
    </row>
    <row r="336" spans="1:19">
      <c r="A336" s="44" t="s">
        <v>78</v>
      </c>
      <c r="B336" s="32" t="s">
        <v>80</v>
      </c>
      <c r="C336" s="3">
        <v>2</v>
      </c>
      <c r="D336" s="32"/>
      <c r="E336" s="24" t="s">
        <v>17</v>
      </c>
      <c r="F336" s="7" t="s">
        <v>15</v>
      </c>
      <c r="G336" s="7" t="s">
        <v>59</v>
      </c>
      <c r="H336" s="11">
        <v>38</v>
      </c>
      <c r="I336" s="33">
        <v>9.4</v>
      </c>
      <c r="J336" s="40">
        <v>2</v>
      </c>
      <c r="K336" s="10">
        <v>0.71439999999999992</v>
      </c>
      <c r="L336" s="4"/>
      <c r="M336" s="17">
        <v>2</v>
      </c>
      <c r="N336" s="18">
        <v>0.71439999999999992</v>
      </c>
      <c r="O336" s="19">
        <v>0</v>
      </c>
      <c r="P336" s="13">
        <v>0</v>
      </c>
      <c r="Q336" s="72">
        <v>7.6</v>
      </c>
      <c r="R336" s="72">
        <v>2</v>
      </c>
      <c r="S336" s="72" t="s">
        <v>220</v>
      </c>
    </row>
    <row r="337" spans="1:19">
      <c r="A337" s="44" t="s">
        <v>78</v>
      </c>
      <c r="B337" s="32" t="s">
        <v>80</v>
      </c>
      <c r="C337" s="3">
        <v>1</v>
      </c>
      <c r="D337" s="32"/>
      <c r="E337" s="39" t="s">
        <v>17</v>
      </c>
      <c r="F337" s="7" t="s">
        <v>15</v>
      </c>
      <c r="G337" s="7" t="s">
        <v>59</v>
      </c>
      <c r="H337" s="11">
        <v>38</v>
      </c>
      <c r="I337" s="33">
        <v>9.8000000000000007</v>
      </c>
      <c r="J337" s="40">
        <v>2</v>
      </c>
      <c r="K337" s="10">
        <v>0.74480000000000002</v>
      </c>
      <c r="L337" s="4"/>
      <c r="M337" s="17">
        <v>2</v>
      </c>
      <c r="N337" s="18">
        <v>0.74480000000000002</v>
      </c>
      <c r="O337" s="19">
        <v>0</v>
      </c>
      <c r="P337" s="13">
        <v>0</v>
      </c>
      <c r="Q337" s="72">
        <v>7.6</v>
      </c>
      <c r="R337" s="72">
        <v>2</v>
      </c>
      <c r="S337" s="72" t="s">
        <v>220</v>
      </c>
    </row>
    <row r="338" spans="1:19">
      <c r="A338" s="44" t="s">
        <v>78</v>
      </c>
      <c r="B338" s="32" t="s">
        <v>80</v>
      </c>
      <c r="C338" s="3">
        <v>1</v>
      </c>
      <c r="D338" s="32"/>
      <c r="E338" s="39" t="s">
        <v>17</v>
      </c>
      <c r="F338" s="7" t="s">
        <v>15</v>
      </c>
      <c r="G338" s="7" t="s">
        <v>59</v>
      </c>
      <c r="H338" s="11">
        <v>38</v>
      </c>
      <c r="I338" s="33">
        <v>9.5</v>
      </c>
      <c r="J338" s="40">
        <v>1</v>
      </c>
      <c r="K338" s="10">
        <v>0.36099999999999999</v>
      </c>
      <c r="L338" s="4"/>
      <c r="M338" s="17">
        <v>1</v>
      </c>
      <c r="N338" s="18">
        <v>0.36099999999999999</v>
      </c>
      <c r="O338" s="19">
        <v>0</v>
      </c>
      <c r="P338" s="13">
        <v>0</v>
      </c>
      <c r="Q338" s="72">
        <v>7.6</v>
      </c>
      <c r="R338" s="72">
        <v>1</v>
      </c>
      <c r="S338" s="72" t="s">
        <v>220</v>
      </c>
    </row>
    <row r="339" spans="1:19">
      <c r="O339" s="6">
        <f>SUM(O328:O338)</f>
        <v>3</v>
      </c>
      <c r="R339" s="6">
        <f>SUM(R328:R338)</f>
        <v>19</v>
      </c>
    </row>
    <row r="341" spans="1:19">
      <c r="A341" s="42" t="s">
        <v>77</v>
      </c>
      <c r="B341" s="3" t="s">
        <v>68</v>
      </c>
      <c r="C341" s="3">
        <v>311</v>
      </c>
      <c r="D341" s="1"/>
      <c r="E341" s="20" t="s">
        <v>17</v>
      </c>
      <c r="F341" s="7" t="s">
        <v>15</v>
      </c>
      <c r="G341" s="7" t="s">
        <v>64</v>
      </c>
      <c r="H341" s="11">
        <v>40.1</v>
      </c>
      <c r="I341" s="8">
        <v>6</v>
      </c>
      <c r="J341" s="26">
        <v>1</v>
      </c>
      <c r="K341" s="10">
        <f t="shared" ref="K341:K343" si="16">(H341*I341*J341/1000)</f>
        <v>0.24060000000000004</v>
      </c>
      <c r="L341" s="4"/>
      <c r="M341" s="17">
        <v>1</v>
      </c>
      <c r="N341" s="18">
        <f t="shared" ref="N341:N343" si="17">I341*M341*H341/1000</f>
        <v>0.24060000000000004</v>
      </c>
      <c r="O341" s="19">
        <f t="shared" ref="O341:O343" si="18">J341-M341</f>
        <v>0</v>
      </c>
      <c r="P341" s="13">
        <f t="shared" ref="P341:P343" si="19">I341*O341*H341/1000</f>
        <v>0</v>
      </c>
      <c r="Q341" s="73">
        <v>6</v>
      </c>
      <c r="R341" s="74">
        <v>1</v>
      </c>
      <c r="S341" s="74" t="s">
        <v>196</v>
      </c>
    </row>
    <row r="342" spans="1:19">
      <c r="A342" s="42" t="s">
        <v>77</v>
      </c>
      <c r="B342" s="3" t="s">
        <v>68</v>
      </c>
      <c r="C342" s="3">
        <v>311</v>
      </c>
      <c r="D342" s="1"/>
      <c r="E342" s="20" t="s">
        <v>17</v>
      </c>
      <c r="F342" s="7" t="s">
        <v>15</v>
      </c>
      <c r="G342" s="7" t="s">
        <v>64</v>
      </c>
      <c r="H342" s="11">
        <v>40.1</v>
      </c>
      <c r="I342" s="8">
        <v>8.5</v>
      </c>
      <c r="J342" s="26">
        <v>1</v>
      </c>
      <c r="K342" s="10">
        <f t="shared" si="16"/>
        <v>0.34085000000000004</v>
      </c>
      <c r="L342" s="4"/>
      <c r="M342" s="17">
        <v>1</v>
      </c>
      <c r="N342" s="18">
        <f t="shared" si="17"/>
        <v>0.34085000000000004</v>
      </c>
      <c r="O342" s="19">
        <f t="shared" si="18"/>
        <v>0</v>
      </c>
      <c r="P342" s="13">
        <f t="shared" si="19"/>
        <v>0</v>
      </c>
      <c r="Q342" s="73">
        <v>8</v>
      </c>
      <c r="R342" s="74">
        <v>1</v>
      </c>
      <c r="S342" s="74" t="s">
        <v>213</v>
      </c>
    </row>
    <row r="343" spans="1:19">
      <c r="A343" s="42" t="s">
        <v>77</v>
      </c>
      <c r="B343" s="3" t="s">
        <v>68</v>
      </c>
      <c r="C343" s="3">
        <v>311</v>
      </c>
      <c r="D343" s="1"/>
      <c r="E343" s="20" t="s">
        <v>17</v>
      </c>
      <c r="F343" s="7" t="s">
        <v>15</v>
      </c>
      <c r="G343" s="7" t="s">
        <v>64</v>
      </c>
      <c r="H343" s="11">
        <v>40.1</v>
      </c>
      <c r="I343" s="8">
        <v>9.1</v>
      </c>
      <c r="J343" s="26">
        <v>1</v>
      </c>
      <c r="K343" s="10">
        <f t="shared" si="16"/>
        <v>0.36491000000000001</v>
      </c>
      <c r="L343" s="4"/>
      <c r="M343" s="17">
        <v>1</v>
      </c>
      <c r="N343" s="18">
        <f t="shared" si="17"/>
        <v>0.36491000000000001</v>
      </c>
      <c r="O343" s="19">
        <f t="shared" si="18"/>
        <v>0</v>
      </c>
      <c r="P343" s="13">
        <f t="shared" si="19"/>
        <v>0</v>
      </c>
      <c r="Q343" s="73">
        <v>8</v>
      </c>
      <c r="R343" s="74">
        <v>1</v>
      </c>
      <c r="S343" s="74" t="s">
        <v>213</v>
      </c>
    </row>
    <row r="344" spans="1:19">
      <c r="R344" s="76">
        <f>SUM(R341:R343)</f>
        <v>3</v>
      </c>
    </row>
    <row r="349" spans="1:19">
      <c r="A349" s="42" t="s">
        <v>90</v>
      </c>
      <c r="B349" s="48" t="s">
        <v>148</v>
      </c>
      <c r="C349" s="32">
        <v>26</v>
      </c>
      <c r="D349" s="32"/>
      <c r="E349" s="48" t="s">
        <v>19</v>
      </c>
      <c r="F349" s="48" t="s">
        <v>14</v>
      </c>
      <c r="G349" s="48" t="s">
        <v>154</v>
      </c>
      <c r="H349" s="49">
        <v>4.9800000000000004</v>
      </c>
      <c r="I349" s="52">
        <v>12</v>
      </c>
      <c r="J349" s="7">
        <v>64</v>
      </c>
      <c r="K349" s="10">
        <v>3.8246400000000005</v>
      </c>
      <c r="L349" s="32"/>
      <c r="M349" s="32">
        <v>60</v>
      </c>
      <c r="N349" s="18">
        <v>3.5856000000000003</v>
      </c>
      <c r="O349" s="19">
        <v>4</v>
      </c>
      <c r="P349" s="13">
        <v>0.23904000000000003</v>
      </c>
      <c r="Q349" s="32"/>
      <c r="R349" s="91">
        <v>60</v>
      </c>
      <c r="S349" s="91" t="s">
        <v>223</v>
      </c>
    </row>
    <row r="350" spans="1:19">
      <c r="A350" s="42" t="s">
        <v>90</v>
      </c>
      <c r="B350" s="48" t="s">
        <v>148</v>
      </c>
      <c r="C350" s="32">
        <v>44</v>
      </c>
      <c r="D350" s="32"/>
      <c r="E350" s="48" t="s">
        <v>19</v>
      </c>
      <c r="F350" s="48" t="s">
        <v>14</v>
      </c>
      <c r="G350" s="48" t="s">
        <v>154</v>
      </c>
      <c r="H350" s="49">
        <v>4.9800000000000004</v>
      </c>
      <c r="I350" s="52">
        <v>12</v>
      </c>
      <c r="J350" s="7">
        <v>11</v>
      </c>
      <c r="K350" s="10">
        <v>0.65736000000000006</v>
      </c>
      <c r="L350" s="32"/>
      <c r="M350" s="32">
        <v>11</v>
      </c>
      <c r="N350" s="18">
        <v>0.65736000000000006</v>
      </c>
      <c r="O350" s="19">
        <v>0</v>
      </c>
      <c r="P350" s="13">
        <v>0</v>
      </c>
      <c r="Q350" s="32"/>
      <c r="R350" s="91">
        <v>11</v>
      </c>
      <c r="S350" s="91" t="s">
        <v>223</v>
      </c>
    </row>
    <row r="351" spans="1:19">
      <c r="A351" s="42" t="s">
        <v>90</v>
      </c>
      <c r="B351" s="48" t="s">
        <v>148</v>
      </c>
      <c r="C351" s="32">
        <v>44</v>
      </c>
      <c r="D351" s="32"/>
      <c r="E351" s="48" t="s">
        <v>19</v>
      </c>
      <c r="F351" s="48" t="s">
        <v>14</v>
      </c>
      <c r="G351" s="48" t="s">
        <v>154</v>
      </c>
      <c r="H351" s="49">
        <v>4.9800000000000004</v>
      </c>
      <c r="I351" s="52">
        <v>10.199999999999999</v>
      </c>
      <c r="J351" s="7">
        <v>1</v>
      </c>
      <c r="K351" s="10">
        <v>5.0796000000000001E-2</v>
      </c>
      <c r="L351" s="32"/>
      <c r="M351" s="32">
        <v>1</v>
      </c>
      <c r="N351" s="18">
        <v>5.0796000000000001E-2</v>
      </c>
      <c r="O351" s="19">
        <v>0</v>
      </c>
      <c r="P351" s="13">
        <v>0</v>
      </c>
      <c r="Q351" s="32"/>
      <c r="R351" s="91">
        <v>1</v>
      </c>
      <c r="S351" s="91" t="s">
        <v>223</v>
      </c>
    </row>
    <row r="352" spans="1:19">
      <c r="A352" s="42" t="s">
        <v>90</v>
      </c>
      <c r="B352" s="48" t="s">
        <v>148</v>
      </c>
      <c r="C352" s="32">
        <v>44</v>
      </c>
      <c r="D352" s="32"/>
      <c r="E352" s="48" t="s">
        <v>19</v>
      </c>
      <c r="F352" s="48" t="s">
        <v>14</v>
      </c>
      <c r="G352" s="48" t="s">
        <v>154</v>
      </c>
      <c r="H352" s="49">
        <v>4.9800000000000004</v>
      </c>
      <c r="I352" s="52">
        <v>8.6</v>
      </c>
      <c r="J352" s="7">
        <v>2</v>
      </c>
      <c r="K352" s="10">
        <v>8.565600000000001E-2</v>
      </c>
      <c r="L352" s="32"/>
      <c r="M352" s="32">
        <v>1</v>
      </c>
      <c r="N352" s="18">
        <v>4.2828000000000005E-2</v>
      </c>
      <c r="O352" s="19">
        <v>1</v>
      </c>
      <c r="P352" s="13">
        <v>4.2828000000000005E-2</v>
      </c>
      <c r="Q352" s="32"/>
      <c r="R352" s="91">
        <v>1</v>
      </c>
      <c r="S352" s="91" t="s">
        <v>223</v>
      </c>
    </row>
    <row r="353" spans="1:19">
      <c r="A353" s="42" t="s">
        <v>90</v>
      </c>
      <c r="B353" s="48" t="s">
        <v>148</v>
      </c>
      <c r="C353" s="32">
        <v>45</v>
      </c>
      <c r="D353" s="32"/>
      <c r="E353" s="48" t="s">
        <v>19</v>
      </c>
      <c r="F353" s="48" t="s">
        <v>14</v>
      </c>
      <c r="G353" s="48" t="s">
        <v>154</v>
      </c>
      <c r="H353" s="49">
        <v>4.9800000000000004</v>
      </c>
      <c r="I353" s="52">
        <v>11.5</v>
      </c>
      <c r="J353" s="7">
        <v>4</v>
      </c>
      <c r="K353" s="10">
        <v>0.22908000000000001</v>
      </c>
      <c r="L353" s="32"/>
      <c r="M353" s="32">
        <v>4</v>
      </c>
      <c r="N353" s="18">
        <v>0.22908000000000001</v>
      </c>
      <c r="O353" s="19">
        <v>0</v>
      </c>
      <c r="P353" s="13">
        <v>0</v>
      </c>
      <c r="Q353" s="32"/>
      <c r="R353" s="91">
        <v>4</v>
      </c>
      <c r="S353" s="91" t="s">
        <v>223</v>
      </c>
    </row>
    <row r="354" spans="1:19">
      <c r="A354" s="42" t="s">
        <v>90</v>
      </c>
      <c r="B354" s="48" t="s">
        <v>148</v>
      </c>
      <c r="C354" s="32">
        <v>45</v>
      </c>
      <c r="D354" s="32"/>
      <c r="E354" s="48" t="s">
        <v>19</v>
      </c>
      <c r="F354" s="48" t="s">
        <v>14</v>
      </c>
      <c r="G354" s="48" t="s">
        <v>154</v>
      </c>
      <c r="H354" s="49">
        <v>4.9800000000000004</v>
      </c>
      <c r="I354" s="52">
        <v>10.5</v>
      </c>
      <c r="J354" s="7">
        <v>6</v>
      </c>
      <c r="K354" s="10">
        <v>0.31374000000000002</v>
      </c>
      <c r="L354" s="32"/>
      <c r="M354" s="32">
        <v>6</v>
      </c>
      <c r="N354" s="18">
        <v>0.31374000000000002</v>
      </c>
      <c r="O354" s="19">
        <v>0</v>
      </c>
      <c r="P354" s="13">
        <v>0</v>
      </c>
      <c r="Q354" s="32"/>
      <c r="R354" s="91">
        <v>6</v>
      </c>
      <c r="S354" s="91" t="s">
        <v>223</v>
      </c>
    </row>
    <row r="355" spans="1:19">
      <c r="A355" s="42" t="s">
        <v>90</v>
      </c>
      <c r="B355" s="48" t="s">
        <v>148</v>
      </c>
      <c r="C355" s="32">
        <v>45</v>
      </c>
      <c r="D355" s="32"/>
      <c r="E355" s="48" t="s">
        <v>19</v>
      </c>
      <c r="F355" s="48" t="s">
        <v>14</v>
      </c>
      <c r="G355" s="48" t="s">
        <v>154</v>
      </c>
      <c r="H355" s="49">
        <v>4.9800000000000004</v>
      </c>
      <c r="I355" s="52">
        <v>11</v>
      </c>
      <c r="J355" s="7">
        <v>7</v>
      </c>
      <c r="K355" s="10">
        <v>0.38346000000000002</v>
      </c>
      <c r="L355" s="32"/>
      <c r="M355" s="32">
        <v>7</v>
      </c>
      <c r="N355" s="18">
        <v>0.38346000000000002</v>
      </c>
      <c r="O355" s="19">
        <v>0</v>
      </c>
      <c r="P355" s="13">
        <v>0</v>
      </c>
      <c r="Q355" s="32"/>
      <c r="R355" s="91">
        <v>7</v>
      </c>
      <c r="S355" s="91" t="s">
        <v>223</v>
      </c>
    </row>
    <row r="356" spans="1:19">
      <c r="A356" s="42" t="s">
        <v>90</v>
      </c>
      <c r="B356" s="48" t="s">
        <v>148</v>
      </c>
      <c r="C356" s="32">
        <v>45</v>
      </c>
      <c r="D356" s="32"/>
      <c r="E356" s="48" t="s">
        <v>19</v>
      </c>
      <c r="F356" s="48" t="s">
        <v>14</v>
      </c>
      <c r="G356" s="48" t="s">
        <v>154</v>
      </c>
      <c r="H356" s="49">
        <v>4.9800000000000004</v>
      </c>
      <c r="I356" s="52">
        <v>9</v>
      </c>
      <c r="J356" s="7">
        <v>1</v>
      </c>
      <c r="K356" s="10">
        <v>4.4820000000000006E-2</v>
      </c>
      <c r="L356" s="32"/>
      <c r="M356" s="32">
        <v>1</v>
      </c>
      <c r="N356" s="18">
        <v>4.4820000000000006E-2</v>
      </c>
      <c r="O356" s="19">
        <v>0</v>
      </c>
      <c r="P356" s="13">
        <v>0</v>
      </c>
      <c r="Q356" s="32"/>
      <c r="R356" s="91">
        <v>1</v>
      </c>
      <c r="S356" s="91" t="s">
        <v>223</v>
      </c>
    </row>
    <row r="357" spans="1:19">
      <c r="A357" s="42" t="s">
        <v>90</v>
      </c>
      <c r="B357" s="48" t="s">
        <v>148</v>
      </c>
      <c r="C357" s="32">
        <v>46</v>
      </c>
      <c r="D357" s="32"/>
      <c r="E357" s="48" t="s">
        <v>19</v>
      </c>
      <c r="F357" s="48" t="s">
        <v>14</v>
      </c>
      <c r="G357" s="48" t="s">
        <v>154</v>
      </c>
      <c r="H357" s="49">
        <v>4.9800000000000004</v>
      </c>
      <c r="I357" s="52">
        <v>12</v>
      </c>
      <c r="J357" s="7">
        <v>24</v>
      </c>
      <c r="K357" s="10">
        <v>1.4342400000000002</v>
      </c>
      <c r="L357" s="32"/>
      <c r="M357" s="32">
        <v>24</v>
      </c>
      <c r="N357" s="18">
        <v>1.4342400000000002</v>
      </c>
      <c r="O357" s="19">
        <v>0</v>
      </c>
      <c r="P357" s="13">
        <v>0</v>
      </c>
      <c r="Q357" s="32"/>
      <c r="R357" s="91">
        <v>24</v>
      </c>
      <c r="S357" s="91" t="s">
        <v>223</v>
      </c>
    </row>
    <row r="358" spans="1:19">
      <c r="A358" s="47" t="s">
        <v>147</v>
      </c>
      <c r="B358" s="48" t="s">
        <v>148</v>
      </c>
      <c r="C358" s="32">
        <v>363</v>
      </c>
      <c r="D358" s="32"/>
      <c r="E358" s="48" t="s">
        <v>19</v>
      </c>
      <c r="F358" s="48" t="s">
        <v>14</v>
      </c>
      <c r="G358" s="48" t="s">
        <v>154</v>
      </c>
      <c r="H358" s="49">
        <v>4.9800000000000004</v>
      </c>
      <c r="I358" s="52">
        <v>11.5</v>
      </c>
      <c r="J358" s="7">
        <v>9</v>
      </c>
      <c r="K358" s="10">
        <v>0.51543000000000005</v>
      </c>
      <c r="L358" s="32"/>
      <c r="M358" s="32">
        <v>9</v>
      </c>
      <c r="N358" s="18">
        <v>0.51543000000000005</v>
      </c>
      <c r="O358" s="19">
        <v>0</v>
      </c>
      <c r="P358" s="13">
        <v>0</v>
      </c>
      <c r="Q358" s="32"/>
      <c r="R358" s="91">
        <v>9</v>
      </c>
      <c r="S358" s="91" t="s">
        <v>223</v>
      </c>
    </row>
    <row r="359" spans="1:19">
      <c r="A359" s="47" t="s">
        <v>147</v>
      </c>
      <c r="B359" s="48" t="s">
        <v>148</v>
      </c>
      <c r="C359" s="32">
        <v>363</v>
      </c>
      <c r="D359" s="32"/>
      <c r="E359" s="48" t="s">
        <v>19</v>
      </c>
      <c r="F359" s="48" t="s">
        <v>14</v>
      </c>
      <c r="G359" s="48" t="s">
        <v>154</v>
      </c>
      <c r="H359" s="49">
        <v>4.9800000000000004</v>
      </c>
      <c r="I359" s="52">
        <v>11</v>
      </c>
      <c r="J359" s="7">
        <v>11</v>
      </c>
      <c r="K359" s="10">
        <v>0.60258</v>
      </c>
      <c r="L359" s="32"/>
      <c r="M359" s="32">
        <v>11</v>
      </c>
      <c r="N359" s="18">
        <v>0.60258</v>
      </c>
      <c r="O359" s="19">
        <v>0</v>
      </c>
      <c r="P359" s="13">
        <v>0</v>
      </c>
      <c r="Q359" s="32"/>
      <c r="R359" s="91">
        <v>11</v>
      </c>
      <c r="S359" s="91" t="s">
        <v>223</v>
      </c>
    </row>
    <row r="360" spans="1:19">
      <c r="A360" s="47" t="s">
        <v>147</v>
      </c>
      <c r="B360" s="48" t="s">
        <v>148</v>
      </c>
      <c r="C360" s="32">
        <v>363</v>
      </c>
      <c r="D360" s="32"/>
      <c r="E360" s="48" t="s">
        <v>19</v>
      </c>
      <c r="F360" s="48" t="s">
        <v>14</v>
      </c>
      <c r="G360" s="48" t="s">
        <v>154</v>
      </c>
      <c r="H360" s="49">
        <v>4.9800000000000004</v>
      </c>
      <c r="I360" s="52">
        <v>10.5</v>
      </c>
      <c r="J360" s="7">
        <v>5</v>
      </c>
      <c r="K360" s="10">
        <v>0.26145000000000007</v>
      </c>
      <c r="L360" s="32"/>
      <c r="M360" s="32">
        <v>5</v>
      </c>
      <c r="N360" s="18">
        <v>0.26145000000000007</v>
      </c>
      <c r="O360" s="19">
        <v>0</v>
      </c>
      <c r="P360" s="13">
        <v>0</v>
      </c>
      <c r="Q360" s="32"/>
      <c r="R360" s="91">
        <v>5</v>
      </c>
      <c r="S360" s="91" t="s">
        <v>223</v>
      </c>
    </row>
    <row r="361" spans="1:19">
      <c r="A361" s="47" t="s">
        <v>147</v>
      </c>
      <c r="B361" s="48" t="s">
        <v>148</v>
      </c>
      <c r="C361" s="32">
        <v>364</v>
      </c>
      <c r="D361" s="32"/>
      <c r="E361" s="48" t="s">
        <v>19</v>
      </c>
      <c r="F361" s="48" t="s">
        <v>14</v>
      </c>
      <c r="G361" s="48" t="s">
        <v>154</v>
      </c>
      <c r="H361" s="49">
        <v>4.9800000000000004</v>
      </c>
      <c r="I361" s="52">
        <v>8.5</v>
      </c>
      <c r="J361" s="7">
        <v>1</v>
      </c>
      <c r="K361" s="10">
        <v>4.2330000000000007E-2</v>
      </c>
      <c r="L361" s="32"/>
      <c r="M361" s="32">
        <v>1</v>
      </c>
      <c r="N361" s="18">
        <v>4.2330000000000007E-2</v>
      </c>
      <c r="O361" s="19">
        <v>0</v>
      </c>
      <c r="P361" s="13">
        <v>0</v>
      </c>
      <c r="Q361" s="32"/>
      <c r="R361" s="91">
        <v>1</v>
      </c>
      <c r="S361" s="91" t="s">
        <v>223</v>
      </c>
    </row>
    <row r="362" spans="1:19">
      <c r="A362" s="47" t="s">
        <v>147</v>
      </c>
      <c r="B362" s="48" t="s">
        <v>148</v>
      </c>
      <c r="C362" s="32">
        <v>364</v>
      </c>
      <c r="D362" s="32"/>
      <c r="E362" s="48" t="s">
        <v>19</v>
      </c>
      <c r="F362" s="48" t="s">
        <v>14</v>
      </c>
      <c r="G362" s="48" t="s">
        <v>154</v>
      </c>
      <c r="H362" s="49">
        <v>4.9800000000000004</v>
      </c>
      <c r="I362" s="52">
        <v>9</v>
      </c>
      <c r="J362" s="7">
        <v>1</v>
      </c>
      <c r="K362" s="10">
        <v>4.4820000000000006E-2</v>
      </c>
      <c r="L362" s="32"/>
      <c r="M362" s="32">
        <v>1</v>
      </c>
      <c r="N362" s="18">
        <v>4.4820000000000006E-2</v>
      </c>
      <c r="O362" s="19">
        <v>0</v>
      </c>
      <c r="P362" s="13">
        <v>0</v>
      </c>
      <c r="Q362" s="32"/>
      <c r="R362" s="91">
        <v>1</v>
      </c>
      <c r="S362" s="91" t="s">
        <v>223</v>
      </c>
    </row>
    <row r="363" spans="1:19">
      <c r="A363" s="47" t="s">
        <v>147</v>
      </c>
      <c r="B363" s="48" t="s">
        <v>148</v>
      </c>
      <c r="C363" s="32">
        <v>364</v>
      </c>
      <c r="D363" s="32"/>
      <c r="E363" s="48" t="s">
        <v>19</v>
      </c>
      <c r="F363" s="48" t="s">
        <v>14</v>
      </c>
      <c r="G363" s="48" t="s">
        <v>154</v>
      </c>
      <c r="H363" s="49">
        <v>4.9800000000000004</v>
      </c>
      <c r="I363" s="52">
        <v>10</v>
      </c>
      <c r="J363" s="7">
        <v>2</v>
      </c>
      <c r="K363" s="10">
        <v>9.9600000000000008E-2</v>
      </c>
      <c r="L363" s="32"/>
      <c r="M363" s="32">
        <v>2</v>
      </c>
      <c r="N363" s="18">
        <v>9.9600000000000008E-2</v>
      </c>
      <c r="O363" s="19">
        <v>0</v>
      </c>
      <c r="P363" s="13">
        <v>0</v>
      </c>
      <c r="Q363" s="32"/>
      <c r="R363" s="91">
        <v>2</v>
      </c>
      <c r="S363" s="91" t="s">
        <v>223</v>
      </c>
    </row>
    <row r="364" spans="1:19">
      <c r="A364" s="47" t="s">
        <v>147</v>
      </c>
      <c r="B364" s="48" t="s">
        <v>148</v>
      </c>
      <c r="C364" s="32">
        <v>373</v>
      </c>
      <c r="D364" s="32"/>
      <c r="E364" s="48" t="s">
        <v>19</v>
      </c>
      <c r="F364" s="48" t="s">
        <v>14</v>
      </c>
      <c r="G364" s="48" t="s">
        <v>154</v>
      </c>
      <c r="H364" s="49">
        <v>4.9800000000000004</v>
      </c>
      <c r="I364" s="52">
        <v>11.8</v>
      </c>
      <c r="J364" s="7">
        <v>10</v>
      </c>
      <c r="K364" s="10">
        <v>0.58764000000000005</v>
      </c>
      <c r="L364" s="32"/>
      <c r="M364" s="32">
        <v>10</v>
      </c>
      <c r="N364" s="18">
        <v>0.58764000000000005</v>
      </c>
      <c r="O364" s="19">
        <v>0</v>
      </c>
      <c r="P364" s="13">
        <v>0</v>
      </c>
      <c r="Q364" s="32"/>
      <c r="R364" s="91">
        <v>10</v>
      </c>
      <c r="S364" s="91" t="s">
        <v>223</v>
      </c>
    </row>
    <row r="365" spans="1:19">
      <c r="A365" s="47" t="s">
        <v>147</v>
      </c>
      <c r="B365" s="48" t="s">
        <v>148</v>
      </c>
      <c r="C365" s="32">
        <v>373</v>
      </c>
      <c r="D365" s="32"/>
      <c r="E365" s="48" t="s">
        <v>19</v>
      </c>
      <c r="F365" s="48" t="s">
        <v>14</v>
      </c>
      <c r="G365" s="48" t="s">
        <v>154</v>
      </c>
      <c r="H365" s="49">
        <v>4.9800000000000004</v>
      </c>
      <c r="I365" s="52">
        <v>12</v>
      </c>
      <c r="J365" s="7">
        <v>2</v>
      </c>
      <c r="K365" s="10">
        <v>0.11952000000000002</v>
      </c>
      <c r="L365" s="32"/>
      <c r="M365" s="32">
        <v>2</v>
      </c>
      <c r="N365" s="18">
        <v>0.11952000000000002</v>
      </c>
      <c r="O365" s="19">
        <v>0</v>
      </c>
      <c r="P365" s="13">
        <v>0</v>
      </c>
      <c r="Q365" s="32"/>
      <c r="R365" s="91">
        <v>2</v>
      </c>
      <c r="S365" s="91" t="s">
        <v>223</v>
      </c>
    </row>
    <row r="366" spans="1:19">
      <c r="A366" s="47" t="s">
        <v>147</v>
      </c>
      <c r="B366" s="48" t="s">
        <v>148</v>
      </c>
      <c r="C366" s="32">
        <v>373</v>
      </c>
      <c r="D366" s="32"/>
      <c r="E366" s="48" t="s">
        <v>19</v>
      </c>
      <c r="F366" s="48" t="s">
        <v>14</v>
      </c>
      <c r="G366" s="48" t="s">
        <v>154</v>
      </c>
      <c r="H366" s="49">
        <v>4.9800000000000004</v>
      </c>
      <c r="I366" s="52">
        <v>10.9</v>
      </c>
      <c r="J366" s="7">
        <v>1</v>
      </c>
      <c r="K366" s="10">
        <v>5.4282000000000004E-2</v>
      </c>
      <c r="L366" s="32"/>
      <c r="M366" s="32">
        <v>1</v>
      </c>
      <c r="N366" s="18">
        <v>5.4282000000000004E-2</v>
      </c>
      <c r="O366" s="19">
        <v>0</v>
      </c>
      <c r="P366" s="13">
        <v>0</v>
      </c>
      <c r="Q366" s="32"/>
      <c r="R366" s="91">
        <v>1</v>
      </c>
      <c r="S366" s="91" t="s">
        <v>223</v>
      </c>
    </row>
    <row r="367" spans="1:19">
      <c r="A367" s="47" t="s">
        <v>147</v>
      </c>
      <c r="B367" s="48" t="s">
        <v>148</v>
      </c>
      <c r="C367" s="32">
        <v>373</v>
      </c>
      <c r="D367" s="32"/>
      <c r="E367" s="48" t="s">
        <v>19</v>
      </c>
      <c r="F367" s="48" t="s">
        <v>14</v>
      </c>
      <c r="G367" s="48" t="s">
        <v>154</v>
      </c>
      <c r="H367" s="49">
        <v>4.9800000000000004</v>
      </c>
      <c r="I367" s="52">
        <v>11</v>
      </c>
      <c r="J367" s="7">
        <v>1</v>
      </c>
      <c r="K367" s="10">
        <v>5.4780000000000002E-2</v>
      </c>
      <c r="L367" s="32"/>
      <c r="M367" s="32">
        <v>1</v>
      </c>
      <c r="N367" s="18">
        <v>5.4780000000000002E-2</v>
      </c>
      <c r="O367" s="19">
        <v>0</v>
      </c>
      <c r="P367" s="13">
        <v>0</v>
      </c>
      <c r="Q367" s="32"/>
      <c r="R367" s="91">
        <v>1</v>
      </c>
      <c r="S367" s="91" t="s">
        <v>223</v>
      </c>
    </row>
    <row r="368" spans="1:19">
      <c r="R368" s="76">
        <f>SUM(R349:R367)</f>
        <v>158</v>
      </c>
    </row>
    <row r="370" spans="1:19">
      <c r="A370" s="42" t="s">
        <v>77</v>
      </c>
      <c r="B370" s="3" t="s">
        <v>68</v>
      </c>
      <c r="C370" s="3">
        <v>128</v>
      </c>
      <c r="D370" s="1"/>
      <c r="E370" s="20" t="s">
        <v>24</v>
      </c>
      <c r="F370" s="7" t="s">
        <v>14</v>
      </c>
      <c r="G370" s="7" t="s">
        <v>22</v>
      </c>
      <c r="H370" s="11">
        <v>10.73</v>
      </c>
      <c r="I370" s="8">
        <v>6.9</v>
      </c>
      <c r="J370" s="26">
        <v>1</v>
      </c>
      <c r="K370" s="10">
        <v>7.4037000000000006E-2</v>
      </c>
      <c r="L370" s="4"/>
      <c r="M370" s="17"/>
      <c r="N370" s="18">
        <v>0</v>
      </c>
      <c r="O370" s="19">
        <v>1</v>
      </c>
      <c r="P370" s="13">
        <v>7.4037000000000006E-2</v>
      </c>
      <c r="Q370" s="9"/>
      <c r="R370" s="2"/>
      <c r="S370" s="2"/>
    </row>
    <row r="371" spans="1:19">
      <c r="A371" s="42" t="s">
        <v>77</v>
      </c>
      <c r="B371" s="3" t="s">
        <v>68</v>
      </c>
      <c r="C371" s="3">
        <v>128</v>
      </c>
      <c r="D371" s="1"/>
      <c r="E371" s="20" t="s">
        <v>24</v>
      </c>
      <c r="F371" s="7" t="s">
        <v>14</v>
      </c>
      <c r="G371" s="7" t="s">
        <v>22</v>
      </c>
      <c r="H371" s="11">
        <v>10.73</v>
      </c>
      <c r="I371" s="8">
        <v>7</v>
      </c>
      <c r="J371" s="26">
        <v>3</v>
      </c>
      <c r="K371" s="10">
        <v>0.22532999999999997</v>
      </c>
      <c r="L371" s="4"/>
      <c r="M371" s="17"/>
      <c r="N371" s="18">
        <v>0</v>
      </c>
      <c r="O371" s="19">
        <v>3</v>
      </c>
      <c r="P371" s="13">
        <v>0.22533</v>
      </c>
      <c r="Q371" s="9"/>
      <c r="R371" s="2"/>
      <c r="S371" s="2"/>
    </row>
    <row r="372" spans="1:19">
      <c r="A372" s="42" t="s">
        <v>77</v>
      </c>
      <c r="B372" s="3" t="s">
        <v>68</v>
      </c>
      <c r="C372" s="3">
        <v>133</v>
      </c>
      <c r="D372" s="1"/>
      <c r="E372" s="20" t="s">
        <v>24</v>
      </c>
      <c r="F372" s="7" t="s">
        <v>14</v>
      </c>
      <c r="G372" s="7" t="s">
        <v>22</v>
      </c>
      <c r="H372" s="11">
        <v>10.73</v>
      </c>
      <c r="I372" s="8">
        <v>9.5</v>
      </c>
      <c r="J372" s="26">
        <v>1</v>
      </c>
      <c r="K372" s="10">
        <v>0.101935</v>
      </c>
      <c r="L372" s="4"/>
      <c r="M372" s="17">
        <v>1</v>
      </c>
      <c r="N372" s="18">
        <v>0.101935</v>
      </c>
      <c r="O372" s="19">
        <v>0</v>
      </c>
      <c r="P372" s="13">
        <v>0</v>
      </c>
      <c r="Q372" s="9"/>
      <c r="R372" s="90">
        <v>1</v>
      </c>
      <c r="S372" s="90" t="s">
        <v>223</v>
      </c>
    </row>
    <row r="373" spans="1:19">
      <c r="A373" s="42" t="s">
        <v>77</v>
      </c>
      <c r="B373" s="3" t="s">
        <v>68</v>
      </c>
      <c r="C373" s="3">
        <v>133</v>
      </c>
      <c r="D373" s="1"/>
      <c r="E373" s="20" t="s">
        <v>24</v>
      </c>
      <c r="F373" s="7" t="s">
        <v>14</v>
      </c>
      <c r="G373" s="7" t="s">
        <v>22</v>
      </c>
      <c r="H373" s="11">
        <v>10.73</v>
      </c>
      <c r="I373" s="8">
        <v>10</v>
      </c>
      <c r="J373" s="26">
        <v>2</v>
      </c>
      <c r="K373" s="10">
        <v>0.21460000000000001</v>
      </c>
      <c r="L373" s="4"/>
      <c r="M373" s="17"/>
      <c r="N373" s="18">
        <v>0</v>
      </c>
      <c r="O373" s="19">
        <v>2</v>
      </c>
      <c r="P373" s="13">
        <v>0.21460000000000001</v>
      </c>
      <c r="Q373" s="9"/>
      <c r="R373" s="90"/>
      <c r="S373" s="90"/>
    </row>
    <row r="374" spans="1:19">
      <c r="A374" s="42" t="s">
        <v>77</v>
      </c>
      <c r="B374" s="3" t="s">
        <v>68</v>
      </c>
      <c r="C374" s="3">
        <v>133</v>
      </c>
      <c r="D374" s="1"/>
      <c r="E374" s="20" t="s">
        <v>24</v>
      </c>
      <c r="F374" s="7" t="s">
        <v>14</v>
      </c>
      <c r="G374" s="7" t="s">
        <v>22</v>
      </c>
      <c r="H374" s="11">
        <v>10.73</v>
      </c>
      <c r="I374" s="8">
        <v>11</v>
      </c>
      <c r="J374" s="26">
        <v>4</v>
      </c>
      <c r="K374" s="10">
        <v>0.47211999999999998</v>
      </c>
      <c r="L374" s="4"/>
      <c r="M374" s="17">
        <v>4</v>
      </c>
      <c r="N374" s="18">
        <v>0.47211999999999998</v>
      </c>
      <c r="O374" s="19">
        <v>0</v>
      </c>
      <c r="P374" s="13">
        <v>0</v>
      </c>
      <c r="Q374" s="9"/>
      <c r="R374" s="90">
        <v>4</v>
      </c>
      <c r="S374" s="90" t="s">
        <v>223</v>
      </c>
    </row>
    <row r="375" spans="1:19">
      <c r="A375" s="42" t="s">
        <v>77</v>
      </c>
      <c r="B375" s="3" t="s">
        <v>68</v>
      </c>
      <c r="C375" s="3">
        <v>133</v>
      </c>
      <c r="D375" s="1"/>
      <c r="E375" s="20" t="s">
        <v>24</v>
      </c>
      <c r="F375" s="7" t="s">
        <v>14</v>
      </c>
      <c r="G375" s="7" t="s">
        <v>22</v>
      </c>
      <c r="H375" s="11">
        <v>10.73</v>
      </c>
      <c r="I375" s="8">
        <v>12</v>
      </c>
      <c r="J375" s="26">
        <v>7</v>
      </c>
      <c r="K375" s="10">
        <v>0.9013199999999999</v>
      </c>
      <c r="L375" s="4"/>
      <c r="M375" s="17">
        <v>7</v>
      </c>
      <c r="N375" s="18">
        <v>0.90132000000000001</v>
      </c>
      <c r="O375" s="19">
        <v>0</v>
      </c>
      <c r="P375" s="13">
        <v>0</v>
      </c>
      <c r="Q375" s="9"/>
      <c r="R375" s="90">
        <v>7</v>
      </c>
      <c r="S375" s="90" t="s">
        <v>223</v>
      </c>
    </row>
    <row r="376" spans="1:19">
      <c r="A376" s="48" t="s">
        <v>179</v>
      </c>
      <c r="B376" s="48" t="s">
        <v>180</v>
      </c>
      <c r="C376" s="32"/>
      <c r="D376" s="32"/>
      <c r="E376" s="48" t="s">
        <v>19</v>
      </c>
      <c r="F376" s="48" t="s">
        <v>14</v>
      </c>
      <c r="G376" s="48" t="s">
        <v>22</v>
      </c>
      <c r="H376" s="11">
        <v>10.73</v>
      </c>
      <c r="I376" s="9">
        <v>8</v>
      </c>
      <c r="J376" s="7">
        <v>1</v>
      </c>
      <c r="K376" s="10">
        <v>8.584E-2</v>
      </c>
      <c r="L376" s="32"/>
      <c r="M376" s="32"/>
      <c r="N376" s="18">
        <v>0</v>
      </c>
      <c r="O376" s="19">
        <v>1</v>
      </c>
      <c r="P376" s="13">
        <v>8.584E-2</v>
      </c>
      <c r="Q376" s="32"/>
      <c r="R376" s="91"/>
      <c r="S376" s="91"/>
    </row>
    <row r="377" spans="1:19">
      <c r="A377" s="48" t="s">
        <v>179</v>
      </c>
      <c r="B377" s="48" t="s">
        <v>180</v>
      </c>
      <c r="C377" s="32"/>
      <c r="D377" s="32"/>
      <c r="E377" s="48" t="s">
        <v>19</v>
      </c>
      <c r="F377" s="48" t="s">
        <v>14</v>
      </c>
      <c r="G377" s="48" t="s">
        <v>22</v>
      </c>
      <c r="H377" s="11">
        <v>10.73</v>
      </c>
      <c r="I377" s="9">
        <v>9.6999999999999993</v>
      </c>
      <c r="J377" s="7">
        <v>1</v>
      </c>
      <c r="K377" s="10">
        <v>0.10408100000000001</v>
      </c>
      <c r="L377" s="32"/>
      <c r="M377" s="32">
        <v>1</v>
      </c>
      <c r="N377" s="18">
        <v>0.10408100000000001</v>
      </c>
      <c r="O377" s="19">
        <v>0</v>
      </c>
      <c r="P377" s="13">
        <v>0</v>
      </c>
      <c r="Q377" s="32"/>
      <c r="R377" s="91">
        <v>1</v>
      </c>
      <c r="S377" s="90" t="s">
        <v>223</v>
      </c>
    </row>
    <row r="378" spans="1:19">
      <c r="A378" s="48" t="s">
        <v>179</v>
      </c>
      <c r="B378" s="48" t="s">
        <v>180</v>
      </c>
      <c r="C378" s="32"/>
      <c r="D378" s="32"/>
      <c r="E378" s="48" t="s">
        <v>19</v>
      </c>
      <c r="F378" s="48" t="s">
        <v>14</v>
      </c>
      <c r="G378" s="48" t="s">
        <v>22</v>
      </c>
      <c r="H378" s="11">
        <v>10.73</v>
      </c>
      <c r="I378" s="9">
        <v>10</v>
      </c>
      <c r="J378" s="7">
        <v>1</v>
      </c>
      <c r="K378" s="10">
        <v>0.10730000000000001</v>
      </c>
      <c r="L378" s="32"/>
      <c r="M378" s="32"/>
      <c r="N378" s="18">
        <v>0</v>
      </c>
      <c r="O378" s="19">
        <v>1</v>
      </c>
      <c r="P378" s="13">
        <v>0.10730000000000001</v>
      </c>
      <c r="Q378" s="32"/>
      <c r="R378" s="91"/>
      <c r="S378" s="91"/>
    </row>
    <row r="379" spans="1:19">
      <c r="A379" s="48" t="s">
        <v>179</v>
      </c>
      <c r="B379" s="48" t="s">
        <v>180</v>
      </c>
      <c r="C379" s="32"/>
      <c r="D379" s="32"/>
      <c r="E379" s="48" t="s">
        <v>19</v>
      </c>
      <c r="F379" s="48" t="s">
        <v>14</v>
      </c>
      <c r="G379" s="48" t="s">
        <v>22</v>
      </c>
      <c r="H379" s="11">
        <v>10.73</v>
      </c>
      <c r="I379" s="9">
        <v>11.5</v>
      </c>
      <c r="J379" s="7">
        <v>1</v>
      </c>
      <c r="K379" s="10">
        <v>0.123395</v>
      </c>
      <c r="L379" s="32"/>
      <c r="M379" s="32">
        <v>1</v>
      </c>
      <c r="N379" s="18">
        <v>0.123395</v>
      </c>
      <c r="O379" s="19">
        <v>0</v>
      </c>
      <c r="P379" s="13">
        <v>0</v>
      </c>
      <c r="Q379" s="32"/>
      <c r="R379" s="91">
        <v>1</v>
      </c>
      <c r="S379" s="90" t="s">
        <v>223</v>
      </c>
    </row>
    <row r="380" spans="1:19">
      <c r="A380" s="42" t="s">
        <v>78</v>
      </c>
      <c r="B380" s="3" t="s">
        <v>79</v>
      </c>
      <c r="C380" s="3">
        <v>8</v>
      </c>
      <c r="D380" s="1"/>
      <c r="E380" s="20" t="s">
        <v>19</v>
      </c>
      <c r="F380" s="7" t="s">
        <v>14</v>
      </c>
      <c r="G380" s="7" t="s">
        <v>22</v>
      </c>
      <c r="H380" s="11">
        <v>10.73</v>
      </c>
      <c r="I380" s="8">
        <v>12</v>
      </c>
      <c r="J380" s="26">
        <v>1</v>
      </c>
      <c r="K380" s="10">
        <v>0.12875999999999999</v>
      </c>
      <c r="L380" s="4"/>
      <c r="M380" s="17">
        <v>1</v>
      </c>
      <c r="N380" s="18">
        <v>0.12875999999999999</v>
      </c>
      <c r="O380" s="19">
        <v>0</v>
      </c>
      <c r="P380" s="13">
        <v>0</v>
      </c>
      <c r="Q380" s="9"/>
      <c r="R380" s="90">
        <v>1</v>
      </c>
      <c r="S380" s="90" t="s">
        <v>223</v>
      </c>
    </row>
    <row r="381" spans="1:19">
      <c r="A381" s="42" t="s">
        <v>78</v>
      </c>
      <c r="B381" s="3" t="s">
        <v>79</v>
      </c>
      <c r="C381" s="3">
        <v>8</v>
      </c>
      <c r="D381" s="1"/>
      <c r="E381" s="20" t="s">
        <v>19</v>
      </c>
      <c r="F381" s="7" t="s">
        <v>14</v>
      </c>
      <c r="G381" s="7" t="s">
        <v>22</v>
      </c>
      <c r="H381" s="11">
        <v>10.73</v>
      </c>
      <c r="I381" s="8">
        <v>9</v>
      </c>
      <c r="J381" s="26">
        <v>2</v>
      </c>
      <c r="K381" s="10">
        <v>0.19314000000000001</v>
      </c>
      <c r="L381" s="4"/>
      <c r="M381" s="17"/>
      <c r="N381" s="18">
        <v>0</v>
      </c>
      <c r="O381" s="19">
        <v>2</v>
      </c>
      <c r="P381" s="13">
        <v>0.19314000000000001</v>
      </c>
      <c r="Q381" s="9"/>
      <c r="R381" s="90"/>
      <c r="S381" s="90"/>
    </row>
    <row r="382" spans="1:19">
      <c r="A382" s="42" t="s">
        <v>78</v>
      </c>
      <c r="B382" s="3" t="s">
        <v>79</v>
      </c>
      <c r="C382" s="3">
        <v>9</v>
      </c>
      <c r="D382" s="1"/>
      <c r="E382" s="20" t="s">
        <v>19</v>
      </c>
      <c r="F382" s="7" t="s">
        <v>14</v>
      </c>
      <c r="G382" s="7" t="s">
        <v>22</v>
      </c>
      <c r="H382" s="11">
        <v>10.73</v>
      </c>
      <c r="I382" s="8">
        <v>8.8000000000000007</v>
      </c>
      <c r="J382" s="26">
        <v>1</v>
      </c>
      <c r="K382" s="10">
        <v>9.4424000000000008E-2</v>
      </c>
      <c r="L382" s="4"/>
      <c r="M382" s="17">
        <v>1</v>
      </c>
      <c r="N382" s="18">
        <v>9.4424000000000008E-2</v>
      </c>
      <c r="O382" s="19">
        <v>0</v>
      </c>
      <c r="P382" s="13">
        <v>0</v>
      </c>
      <c r="Q382" s="9"/>
      <c r="R382" s="90">
        <v>1</v>
      </c>
      <c r="S382" s="90" t="s">
        <v>223</v>
      </c>
    </row>
    <row r="383" spans="1:19">
      <c r="A383" s="42" t="s">
        <v>78</v>
      </c>
      <c r="B383" s="3" t="s">
        <v>79</v>
      </c>
      <c r="C383" s="3">
        <v>9</v>
      </c>
      <c r="D383" s="1"/>
      <c r="E383" s="20" t="s">
        <v>19</v>
      </c>
      <c r="F383" s="7" t="s">
        <v>14</v>
      </c>
      <c r="G383" s="7" t="s">
        <v>22</v>
      </c>
      <c r="H383" s="11">
        <v>10.73</v>
      </c>
      <c r="I383" s="8">
        <v>8.5</v>
      </c>
      <c r="J383" s="26">
        <v>1</v>
      </c>
      <c r="K383" s="10">
        <v>9.1204999999999994E-2</v>
      </c>
      <c r="L383" s="4"/>
      <c r="M383" s="17"/>
      <c r="N383" s="18">
        <v>0</v>
      </c>
      <c r="O383" s="19">
        <v>1</v>
      </c>
      <c r="P383" s="13">
        <v>9.1204999999999994E-2</v>
      </c>
      <c r="Q383" s="9"/>
      <c r="R383" s="90"/>
      <c r="S383" s="90"/>
    </row>
    <row r="384" spans="1:19">
      <c r="A384" s="42" t="s">
        <v>84</v>
      </c>
      <c r="B384" s="3" t="s">
        <v>122</v>
      </c>
      <c r="C384" s="3">
        <v>1</v>
      </c>
      <c r="D384" s="1"/>
      <c r="E384" s="20" t="s">
        <v>19</v>
      </c>
      <c r="F384" s="7" t="s">
        <v>14</v>
      </c>
      <c r="G384" s="7" t="s">
        <v>22</v>
      </c>
      <c r="H384" s="11">
        <v>10.73</v>
      </c>
      <c r="I384" s="8">
        <v>11.5</v>
      </c>
      <c r="J384" s="26">
        <v>1</v>
      </c>
      <c r="K384" s="10">
        <v>0.123395</v>
      </c>
      <c r="L384" s="4" t="s">
        <v>123</v>
      </c>
      <c r="M384" s="17"/>
      <c r="N384" s="18">
        <v>0</v>
      </c>
      <c r="O384" s="19">
        <v>1</v>
      </c>
      <c r="P384" s="13">
        <v>0.123395</v>
      </c>
      <c r="Q384" s="9"/>
      <c r="R384" s="90"/>
      <c r="S384" s="90"/>
    </row>
    <row r="385" spans="1:19">
      <c r="A385" s="42" t="s">
        <v>84</v>
      </c>
      <c r="B385" s="3" t="s">
        <v>122</v>
      </c>
      <c r="C385" s="3">
        <v>1</v>
      </c>
      <c r="D385" s="1"/>
      <c r="E385" s="20" t="s">
        <v>19</v>
      </c>
      <c r="F385" s="7" t="s">
        <v>14</v>
      </c>
      <c r="G385" s="7" t="s">
        <v>22</v>
      </c>
      <c r="H385" s="11">
        <v>10.73</v>
      </c>
      <c r="I385" s="8">
        <v>12</v>
      </c>
      <c r="J385" s="26">
        <v>1</v>
      </c>
      <c r="K385" s="10">
        <v>0.12875999999999999</v>
      </c>
      <c r="L385" s="4" t="s">
        <v>123</v>
      </c>
      <c r="M385" s="17"/>
      <c r="N385" s="18">
        <v>0</v>
      </c>
      <c r="O385" s="19">
        <v>1</v>
      </c>
      <c r="P385" s="13">
        <v>0.12875999999999999</v>
      </c>
      <c r="Q385" s="9"/>
      <c r="R385" s="90"/>
      <c r="S385" s="90"/>
    </row>
    <row r="386" spans="1:19">
      <c r="A386" s="42" t="s">
        <v>90</v>
      </c>
      <c r="B386" s="48" t="s">
        <v>148</v>
      </c>
      <c r="C386" s="32">
        <v>61</v>
      </c>
      <c r="D386" s="32"/>
      <c r="E386" s="48" t="s">
        <v>19</v>
      </c>
      <c r="F386" s="48" t="s">
        <v>14</v>
      </c>
      <c r="G386" s="48" t="s">
        <v>22</v>
      </c>
      <c r="H386" s="11">
        <v>10.73</v>
      </c>
      <c r="I386" s="52">
        <v>7.2</v>
      </c>
      <c r="J386" s="7">
        <v>1</v>
      </c>
      <c r="K386" s="10">
        <v>7.7256000000000005E-2</v>
      </c>
      <c r="L386" s="32"/>
      <c r="M386" s="32"/>
      <c r="N386" s="18">
        <v>0</v>
      </c>
      <c r="O386" s="19">
        <v>1</v>
      </c>
      <c r="P386" s="13">
        <v>7.7256000000000005E-2</v>
      </c>
      <c r="Q386" s="32"/>
      <c r="R386" s="91"/>
      <c r="S386" s="91"/>
    </row>
    <row r="387" spans="1:19">
      <c r="A387" s="42" t="s">
        <v>90</v>
      </c>
      <c r="B387" s="48" t="s">
        <v>148</v>
      </c>
      <c r="C387" s="32">
        <v>61</v>
      </c>
      <c r="D387" s="32"/>
      <c r="E387" s="48" t="s">
        <v>19</v>
      </c>
      <c r="F387" s="48" t="s">
        <v>14</v>
      </c>
      <c r="G387" s="48" t="s">
        <v>22</v>
      </c>
      <c r="H387" s="11">
        <v>10.73</v>
      </c>
      <c r="I387" s="52">
        <v>7.8</v>
      </c>
      <c r="J387" s="7">
        <v>2</v>
      </c>
      <c r="K387" s="10">
        <v>0.16738800000000001</v>
      </c>
      <c r="L387" s="32"/>
      <c r="M387" s="32"/>
      <c r="N387" s="18">
        <v>0</v>
      </c>
      <c r="O387" s="19">
        <v>2</v>
      </c>
      <c r="P387" s="13">
        <v>0.16738800000000001</v>
      </c>
      <c r="Q387" s="32"/>
      <c r="R387" s="91"/>
      <c r="S387" s="91"/>
    </row>
    <row r="388" spans="1:19">
      <c r="A388" s="42" t="s">
        <v>90</v>
      </c>
      <c r="B388" s="3"/>
      <c r="C388" s="3">
        <v>131</v>
      </c>
      <c r="D388" s="1"/>
      <c r="E388" s="20" t="s">
        <v>19</v>
      </c>
      <c r="F388" s="7" t="s">
        <v>14</v>
      </c>
      <c r="G388" s="7" t="s">
        <v>22</v>
      </c>
      <c r="H388" s="11">
        <v>10.73</v>
      </c>
      <c r="I388" s="8">
        <v>7.5</v>
      </c>
      <c r="J388" s="26">
        <v>1</v>
      </c>
      <c r="K388" s="10">
        <v>8.0475000000000005E-2</v>
      </c>
      <c r="L388" s="4"/>
      <c r="M388" s="17"/>
      <c r="N388" s="18">
        <v>0</v>
      </c>
      <c r="O388" s="19">
        <v>1</v>
      </c>
      <c r="P388" s="13">
        <v>8.0475000000000005E-2</v>
      </c>
      <c r="Q388" s="9"/>
      <c r="R388" s="90"/>
      <c r="S388" s="90"/>
    </row>
    <row r="389" spans="1:19">
      <c r="A389" s="42" t="s">
        <v>90</v>
      </c>
      <c r="B389" s="3"/>
      <c r="C389" s="3">
        <v>186</v>
      </c>
      <c r="D389" s="1"/>
      <c r="E389" s="12" t="s">
        <v>19</v>
      </c>
      <c r="F389" s="7" t="s">
        <v>14</v>
      </c>
      <c r="G389" s="7" t="s">
        <v>22</v>
      </c>
      <c r="H389" s="11">
        <v>10.73</v>
      </c>
      <c r="I389" s="8">
        <v>10.1</v>
      </c>
      <c r="J389" s="26">
        <v>2</v>
      </c>
      <c r="K389" s="10">
        <v>0.21674600000000002</v>
      </c>
      <c r="L389" s="4"/>
      <c r="M389" s="17"/>
      <c r="N389" s="18">
        <v>0</v>
      </c>
      <c r="O389" s="19">
        <v>2</v>
      </c>
      <c r="P389" s="13">
        <v>0.21674600000000002</v>
      </c>
      <c r="Q389" s="9"/>
      <c r="R389" s="90"/>
      <c r="S389" s="90"/>
    </row>
    <row r="390" spans="1:19">
      <c r="A390" s="42" t="s">
        <v>90</v>
      </c>
      <c r="B390" s="3"/>
      <c r="C390" s="3">
        <v>186</v>
      </c>
      <c r="D390" s="1"/>
      <c r="E390" s="12" t="s">
        <v>19</v>
      </c>
      <c r="F390" s="7" t="s">
        <v>14</v>
      </c>
      <c r="G390" s="7" t="s">
        <v>22</v>
      </c>
      <c r="H390" s="11">
        <v>10.73</v>
      </c>
      <c r="I390" s="8">
        <v>8.5</v>
      </c>
      <c r="J390" s="26">
        <v>1</v>
      </c>
      <c r="K390" s="10">
        <v>9.1204999999999994E-2</v>
      </c>
      <c r="L390" s="4"/>
      <c r="M390" s="17"/>
      <c r="N390" s="18">
        <v>0</v>
      </c>
      <c r="O390" s="19">
        <v>1</v>
      </c>
      <c r="P390" s="13">
        <v>9.1204999999999994E-2</v>
      </c>
      <c r="Q390" s="9"/>
      <c r="R390" s="90"/>
      <c r="S390" s="90"/>
    </row>
    <row r="391" spans="1:19">
      <c r="A391" s="42" t="s">
        <v>90</v>
      </c>
      <c r="B391" s="3"/>
      <c r="C391" s="3">
        <v>225</v>
      </c>
      <c r="D391" s="1"/>
      <c r="E391" s="20" t="s">
        <v>19</v>
      </c>
      <c r="F391" s="7" t="s">
        <v>14</v>
      </c>
      <c r="G391" s="7" t="s">
        <v>22</v>
      </c>
      <c r="H391" s="11">
        <v>10.73</v>
      </c>
      <c r="I391" s="8">
        <v>8.6</v>
      </c>
      <c r="J391" s="26">
        <v>1</v>
      </c>
      <c r="K391" s="10">
        <v>9.2277999999999999E-2</v>
      </c>
      <c r="L391" s="4"/>
      <c r="M391" s="17"/>
      <c r="N391" s="18">
        <v>0</v>
      </c>
      <c r="O391" s="19">
        <v>1</v>
      </c>
      <c r="P391" s="13">
        <v>9.2277999999999999E-2</v>
      </c>
      <c r="Q391" s="9"/>
      <c r="R391" s="91"/>
      <c r="S391" s="91"/>
    </row>
    <row r="392" spans="1:19">
      <c r="A392" s="42" t="s">
        <v>90</v>
      </c>
      <c r="B392" s="3"/>
      <c r="C392" s="3">
        <v>225</v>
      </c>
      <c r="D392" s="1"/>
      <c r="E392" s="20" t="s">
        <v>19</v>
      </c>
      <c r="F392" s="7" t="s">
        <v>14</v>
      </c>
      <c r="G392" s="7" t="s">
        <v>22</v>
      </c>
      <c r="H392" s="11">
        <v>10.73</v>
      </c>
      <c r="I392" s="8">
        <v>11.5</v>
      </c>
      <c r="J392" s="26">
        <v>1</v>
      </c>
      <c r="K392" s="10">
        <v>0.123395</v>
      </c>
      <c r="L392" s="4"/>
      <c r="M392" s="17"/>
      <c r="N392" s="18">
        <v>0</v>
      </c>
      <c r="O392" s="19">
        <v>1</v>
      </c>
      <c r="P392" s="13">
        <v>0.123395</v>
      </c>
      <c r="Q392" s="9"/>
      <c r="R392" s="91"/>
      <c r="S392" s="91"/>
    </row>
    <row r="393" spans="1:19">
      <c r="A393" s="42" t="s">
        <v>90</v>
      </c>
      <c r="B393" s="3"/>
      <c r="C393" s="3">
        <v>229</v>
      </c>
      <c r="D393" s="1"/>
      <c r="E393" s="20" t="s">
        <v>19</v>
      </c>
      <c r="F393" s="7" t="s">
        <v>14</v>
      </c>
      <c r="G393" s="7" t="s">
        <v>22</v>
      </c>
      <c r="H393" s="11">
        <v>10.73</v>
      </c>
      <c r="I393" s="8">
        <v>5.3</v>
      </c>
      <c r="J393" s="26">
        <v>1</v>
      </c>
      <c r="K393" s="10">
        <v>5.6869000000000003E-2</v>
      </c>
      <c r="L393" s="4"/>
      <c r="M393" s="17"/>
      <c r="N393" s="18">
        <v>0</v>
      </c>
      <c r="O393" s="19">
        <v>1</v>
      </c>
      <c r="P393" s="13">
        <v>5.6869000000000003E-2</v>
      </c>
      <c r="Q393" s="9"/>
      <c r="R393" s="91"/>
      <c r="S393" s="91"/>
    </row>
    <row r="394" spans="1:19">
      <c r="A394" s="42" t="s">
        <v>90</v>
      </c>
      <c r="B394" s="3"/>
      <c r="C394" s="3">
        <v>229</v>
      </c>
      <c r="D394" s="1"/>
      <c r="E394" s="20" t="s">
        <v>19</v>
      </c>
      <c r="F394" s="7" t="s">
        <v>14</v>
      </c>
      <c r="G394" s="7" t="s">
        <v>22</v>
      </c>
      <c r="H394" s="11">
        <v>10.73</v>
      </c>
      <c r="I394" s="8">
        <v>5</v>
      </c>
      <c r="J394" s="26">
        <v>1</v>
      </c>
      <c r="K394" s="10">
        <v>5.3650000000000003E-2</v>
      </c>
      <c r="L394" s="4"/>
      <c r="M394" s="17"/>
      <c r="N394" s="18">
        <v>0</v>
      </c>
      <c r="O394" s="19">
        <v>1</v>
      </c>
      <c r="P394" s="13">
        <v>5.3650000000000003E-2</v>
      </c>
      <c r="Q394" s="9"/>
      <c r="R394" s="91"/>
      <c r="S394" s="91"/>
    </row>
    <row r="395" spans="1:19">
      <c r="A395" s="47" t="s">
        <v>147</v>
      </c>
      <c r="B395" s="48" t="s">
        <v>148</v>
      </c>
      <c r="C395" s="32">
        <v>269</v>
      </c>
      <c r="D395" s="32"/>
      <c r="E395" s="48" t="s">
        <v>19</v>
      </c>
      <c r="F395" s="48" t="s">
        <v>14</v>
      </c>
      <c r="G395" s="48" t="s">
        <v>22</v>
      </c>
      <c r="H395" s="11">
        <v>10.73</v>
      </c>
      <c r="I395" s="52">
        <v>6.3</v>
      </c>
      <c r="J395" s="7">
        <v>9</v>
      </c>
      <c r="K395" s="10">
        <v>0.60839100000000013</v>
      </c>
      <c r="L395" s="32"/>
      <c r="M395" s="32"/>
      <c r="N395" s="18">
        <v>0</v>
      </c>
      <c r="O395" s="19">
        <v>9</v>
      </c>
      <c r="P395" s="13">
        <v>0.60839100000000002</v>
      </c>
      <c r="Q395" s="32"/>
      <c r="R395" s="91"/>
      <c r="S395" s="91"/>
    </row>
    <row r="396" spans="1:19">
      <c r="A396" s="44" t="s">
        <v>78</v>
      </c>
      <c r="B396" s="3" t="s">
        <v>80</v>
      </c>
      <c r="C396" s="3">
        <v>7</v>
      </c>
      <c r="D396" s="1"/>
      <c r="E396" s="20" t="s">
        <v>81</v>
      </c>
      <c r="F396" s="7" t="s">
        <v>14</v>
      </c>
      <c r="G396" s="7" t="s">
        <v>22</v>
      </c>
      <c r="H396" s="11">
        <v>10.73</v>
      </c>
      <c r="I396" s="8">
        <v>8</v>
      </c>
      <c r="J396" s="26">
        <v>2</v>
      </c>
      <c r="K396" s="10">
        <v>0.17168</v>
      </c>
      <c r="L396" s="4"/>
      <c r="M396" s="17"/>
      <c r="N396" s="18">
        <v>0</v>
      </c>
      <c r="O396" s="19">
        <v>2</v>
      </c>
      <c r="P396" s="13">
        <v>0.17168</v>
      </c>
      <c r="Q396" s="9"/>
      <c r="R396" s="91"/>
      <c r="S396" s="91"/>
    </row>
    <row r="397" spans="1:19">
      <c r="A397" s="44" t="s">
        <v>78</v>
      </c>
      <c r="B397" s="3" t="s">
        <v>80</v>
      </c>
      <c r="C397" s="3">
        <v>7</v>
      </c>
      <c r="D397" s="1"/>
      <c r="E397" s="20" t="s">
        <v>81</v>
      </c>
      <c r="F397" s="7" t="s">
        <v>14</v>
      </c>
      <c r="G397" s="7" t="s">
        <v>22</v>
      </c>
      <c r="H397" s="11">
        <v>10.73</v>
      </c>
      <c r="I397" s="33">
        <v>11</v>
      </c>
      <c r="J397" s="40">
        <v>1</v>
      </c>
      <c r="K397" s="10">
        <v>0.11803</v>
      </c>
      <c r="L397" s="4"/>
      <c r="M397" s="17"/>
      <c r="N397" s="18">
        <v>0</v>
      </c>
      <c r="O397" s="19">
        <v>1</v>
      </c>
      <c r="P397" s="13">
        <v>0.11803</v>
      </c>
      <c r="Q397" s="32"/>
      <c r="R397" s="91"/>
      <c r="S397" s="91"/>
    </row>
    <row r="398" spans="1:19">
      <c r="A398" s="45" t="s">
        <v>136</v>
      </c>
      <c r="B398" s="32" t="s">
        <v>137</v>
      </c>
      <c r="C398" s="32">
        <v>104</v>
      </c>
      <c r="D398" s="32"/>
      <c r="E398" s="39" t="s">
        <v>24</v>
      </c>
      <c r="F398" s="46" t="s">
        <v>14</v>
      </c>
      <c r="G398" s="7" t="s">
        <v>22</v>
      </c>
      <c r="H398" s="11">
        <v>10.73</v>
      </c>
      <c r="I398" s="33">
        <v>8.3000000000000007</v>
      </c>
      <c r="J398" s="41">
        <v>1</v>
      </c>
      <c r="K398" s="10">
        <v>8.9059000000000013E-2</v>
      </c>
      <c r="L398" s="4"/>
      <c r="M398" s="17"/>
      <c r="N398" s="18">
        <v>0</v>
      </c>
      <c r="O398" s="19">
        <v>1</v>
      </c>
      <c r="P398" s="13">
        <v>8.9059000000000013E-2</v>
      </c>
      <c r="Q398" s="32"/>
      <c r="R398" s="91"/>
      <c r="S398" s="91"/>
    </row>
    <row r="399" spans="1:19">
      <c r="A399" s="45" t="s">
        <v>136</v>
      </c>
      <c r="B399" s="32" t="s">
        <v>137</v>
      </c>
      <c r="C399" s="32">
        <v>104</v>
      </c>
      <c r="D399" s="32"/>
      <c r="E399" s="39" t="s">
        <v>24</v>
      </c>
      <c r="F399" s="46" t="s">
        <v>14</v>
      </c>
      <c r="G399" s="7" t="s">
        <v>22</v>
      </c>
      <c r="H399" s="11">
        <v>10.73</v>
      </c>
      <c r="I399" s="33">
        <v>12</v>
      </c>
      <c r="J399" s="41">
        <v>1</v>
      </c>
      <c r="K399" s="10">
        <v>0.12875999999999999</v>
      </c>
      <c r="L399" s="4"/>
      <c r="M399" s="17">
        <v>1</v>
      </c>
      <c r="N399" s="18">
        <v>0.12875999999999999</v>
      </c>
      <c r="O399" s="19">
        <v>0</v>
      </c>
      <c r="P399" s="13">
        <v>0</v>
      </c>
      <c r="Q399" s="32"/>
      <c r="R399" s="91">
        <v>1</v>
      </c>
      <c r="S399" s="90" t="s">
        <v>223</v>
      </c>
    </row>
    <row r="400" spans="1:19">
      <c r="A400" s="45" t="s">
        <v>136</v>
      </c>
      <c r="B400" s="48" t="s">
        <v>171</v>
      </c>
      <c r="C400" s="32">
        <v>117</v>
      </c>
      <c r="D400" s="32"/>
      <c r="E400" s="48" t="s">
        <v>19</v>
      </c>
      <c r="F400" s="48" t="s">
        <v>14</v>
      </c>
      <c r="G400" s="48" t="s">
        <v>22</v>
      </c>
      <c r="H400" s="11">
        <v>10.73</v>
      </c>
      <c r="I400" s="52">
        <v>12</v>
      </c>
      <c r="J400" s="7">
        <v>3</v>
      </c>
      <c r="K400" s="10">
        <v>0.38627999999999996</v>
      </c>
      <c r="L400" s="32"/>
      <c r="M400" s="32">
        <v>3</v>
      </c>
      <c r="N400" s="18">
        <v>0.38628000000000001</v>
      </c>
      <c r="O400" s="19">
        <v>0</v>
      </c>
      <c r="P400" s="13">
        <v>0</v>
      </c>
      <c r="Q400" s="32"/>
      <c r="R400" s="91">
        <v>3</v>
      </c>
      <c r="S400" s="90" t="s">
        <v>223</v>
      </c>
    </row>
    <row r="401" spans="1:19">
      <c r="O401" s="78">
        <f>SUM(O370:O400)</f>
        <v>37</v>
      </c>
      <c r="R401" s="6">
        <f>SUM(R370:R400)</f>
        <v>20</v>
      </c>
    </row>
    <row r="404" spans="1:19">
      <c r="A404" s="42" t="s">
        <v>90</v>
      </c>
      <c r="B404" s="3"/>
      <c r="C404" s="3">
        <v>243</v>
      </c>
      <c r="D404" s="1"/>
      <c r="E404" s="20" t="s">
        <v>17</v>
      </c>
      <c r="F404" s="7" t="s">
        <v>15</v>
      </c>
      <c r="G404" s="7" t="s">
        <v>30</v>
      </c>
      <c r="H404" s="11">
        <v>9.26</v>
      </c>
      <c r="I404" s="8">
        <v>12</v>
      </c>
      <c r="J404" s="26">
        <v>14</v>
      </c>
      <c r="K404" s="10">
        <f t="shared" ref="K404" si="20">(H404*I404*J404/1000)</f>
        <v>1.5556800000000002</v>
      </c>
      <c r="L404" s="4"/>
      <c r="M404" s="17">
        <v>5</v>
      </c>
      <c r="N404" s="18">
        <f t="shared" ref="N404" si="21">I404*M404*H404/1000</f>
        <v>0.55559999999999998</v>
      </c>
      <c r="O404" s="19">
        <f t="shared" ref="O404" si="22">J404-M404</f>
        <v>9</v>
      </c>
      <c r="P404" s="13">
        <f t="shared" ref="P404" si="23">I404*O404*H404/1000</f>
        <v>1.0000799999999999</v>
      </c>
      <c r="Q404" s="89">
        <v>12</v>
      </c>
      <c r="R404" s="91">
        <v>5</v>
      </c>
      <c r="S404" s="91" t="s">
        <v>207</v>
      </c>
    </row>
    <row r="405" spans="1:19">
      <c r="R405" s="76">
        <f>SUM(R404)</f>
        <v>5</v>
      </c>
    </row>
    <row r="407" spans="1:19">
      <c r="A407" s="42" t="s">
        <v>90</v>
      </c>
      <c r="B407" s="3"/>
      <c r="C407" s="3">
        <v>153</v>
      </c>
      <c r="D407" s="1"/>
      <c r="E407" s="20" t="s">
        <v>17</v>
      </c>
      <c r="F407" s="7" t="s">
        <v>15</v>
      </c>
      <c r="G407" s="7" t="s">
        <v>22</v>
      </c>
      <c r="H407" s="11">
        <v>10.73</v>
      </c>
      <c r="I407" s="8">
        <v>11.3</v>
      </c>
      <c r="J407" s="26">
        <v>8</v>
      </c>
      <c r="K407" s="10">
        <v>0.96999200000000008</v>
      </c>
      <c r="L407" s="4"/>
      <c r="M407" s="17">
        <v>8</v>
      </c>
      <c r="N407" s="18">
        <v>0.96999200000000008</v>
      </c>
      <c r="O407" s="19">
        <v>0</v>
      </c>
      <c r="P407" s="13">
        <v>0</v>
      </c>
      <c r="Q407" s="73">
        <v>11.3</v>
      </c>
      <c r="R407" s="74">
        <v>8</v>
      </c>
      <c r="S407" s="74" t="s">
        <v>224</v>
      </c>
    </row>
    <row r="408" spans="1:19">
      <c r="A408" s="42" t="s">
        <v>90</v>
      </c>
      <c r="B408" s="3"/>
      <c r="C408" s="3">
        <v>175</v>
      </c>
      <c r="D408" s="1"/>
      <c r="E408" s="20" t="s">
        <v>20</v>
      </c>
      <c r="F408" s="7" t="s">
        <v>15</v>
      </c>
      <c r="G408" s="7" t="s">
        <v>22</v>
      </c>
      <c r="H408" s="11">
        <v>10.73</v>
      </c>
      <c r="I408" s="8">
        <v>5.4</v>
      </c>
      <c r="J408" s="26">
        <v>1</v>
      </c>
      <c r="K408" s="10">
        <v>5.7942000000000007E-2</v>
      </c>
      <c r="L408" s="4"/>
      <c r="M408" s="17"/>
      <c r="N408" s="18">
        <v>0</v>
      </c>
      <c r="O408" s="19">
        <v>1</v>
      </c>
      <c r="P408" s="13">
        <v>5.7942000000000007E-2</v>
      </c>
      <c r="Q408" s="9"/>
      <c r="R408" s="2"/>
      <c r="S408" s="2"/>
    </row>
    <row r="409" spans="1:19">
      <c r="A409" s="42" t="s">
        <v>90</v>
      </c>
      <c r="B409" s="3"/>
      <c r="C409" s="3">
        <v>175</v>
      </c>
      <c r="D409" s="1"/>
      <c r="E409" s="20" t="s">
        <v>20</v>
      </c>
      <c r="F409" s="7" t="s">
        <v>15</v>
      </c>
      <c r="G409" s="7" t="s">
        <v>22</v>
      </c>
      <c r="H409" s="11">
        <v>10.73</v>
      </c>
      <c r="I409" s="8">
        <v>5.3</v>
      </c>
      <c r="J409" s="26">
        <v>1</v>
      </c>
      <c r="K409" s="10">
        <v>5.6869000000000003E-2</v>
      </c>
      <c r="L409" s="4"/>
      <c r="M409" s="17"/>
      <c r="N409" s="18">
        <v>0</v>
      </c>
      <c r="O409" s="19">
        <v>1</v>
      </c>
      <c r="P409" s="13">
        <v>5.6869000000000003E-2</v>
      </c>
      <c r="Q409" s="9"/>
      <c r="R409" s="2"/>
      <c r="S409" s="2"/>
    </row>
    <row r="410" spans="1:19">
      <c r="A410" s="42" t="s">
        <v>90</v>
      </c>
      <c r="B410" s="3"/>
      <c r="C410" s="3">
        <v>214</v>
      </c>
      <c r="D410" s="1"/>
      <c r="E410" s="20" t="s">
        <v>20</v>
      </c>
      <c r="F410" s="7" t="s">
        <v>15</v>
      </c>
      <c r="G410" s="7" t="s">
        <v>22</v>
      </c>
      <c r="H410" s="11">
        <v>10.73</v>
      </c>
      <c r="I410" s="8">
        <v>11.9</v>
      </c>
      <c r="J410" s="26">
        <v>1</v>
      </c>
      <c r="K410" s="10">
        <v>0.12768700000000002</v>
      </c>
      <c r="L410" s="4"/>
      <c r="M410" s="17"/>
      <c r="N410" s="18">
        <v>0</v>
      </c>
      <c r="O410" s="19">
        <v>1</v>
      </c>
      <c r="P410" s="13">
        <v>0.12768700000000002</v>
      </c>
      <c r="Q410" s="9"/>
      <c r="R410" s="32"/>
      <c r="S410" s="32"/>
    </row>
    <row r="411" spans="1:19">
      <c r="A411" s="42" t="s">
        <v>90</v>
      </c>
      <c r="B411" s="3"/>
      <c r="C411" s="3">
        <v>217</v>
      </c>
      <c r="D411" s="1"/>
      <c r="E411" s="20" t="s">
        <v>20</v>
      </c>
      <c r="F411" s="7" t="s">
        <v>15</v>
      </c>
      <c r="G411" s="7" t="s">
        <v>22</v>
      </c>
      <c r="H411" s="11">
        <v>10.73</v>
      </c>
      <c r="I411" s="8">
        <v>7.4</v>
      </c>
      <c r="J411" s="26">
        <v>1</v>
      </c>
      <c r="K411" s="10">
        <v>7.9402E-2</v>
      </c>
      <c r="L411" s="4"/>
      <c r="M411" s="17"/>
      <c r="N411" s="18">
        <v>0</v>
      </c>
      <c r="O411" s="19">
        <v>1</v>
      </c>
      <c r="P411" s="13">
        <v>7.9402E-2</v>
      </c>
      <c r="Q411" s="9"/>
      <c r="R411" s="32"/>
      <c r="S411" s="32"/>
    </row>
    <row r="412" spans="1:19">
      <c r="A412" s="42" t="s">
        <v>90</v>
      </c>
      <c r="B412" s="3"/>
      <c r="C412" s="3">
        <v>222</v>
      </c>
      <c r="D412" s="1"/>
      <c r="E412" s="20" t="s">
        <v>96</v>
      </c>
      <c r="F412" s="7" t="s">
        <v>15</v>
      </c>
      <c r="G412" s="7" t="s">
        <v>22</v>
      </c>
      <c r="H412" s="11">
        <v>10.73</v>
      </c>
      <c r="I412" s="8">
        <v>7.8</v>
      </c>
      <c r="J412" s="26">
        <v>1</v>
      </c>
      <c r="K412" s="10">
        <v>8.3694000000000005E-2</v>
      </c>
      <c r="L412" s="4"/>
      <c r="M412" s="17"/>
      <c r="N412" s="18">
        <v>0</v>
      </c>
      <c r="O412" s="19">
        <v>1</v>
      </c>
      <c r="P412" s="13">
        <v>8.3694000000000005E-2</v>
      </c>
      <c r="Q412" s="9"/>
      <c r="R412" s="32"/>
      <c r="S412" s="32"/>
    </row>
    <row r="413" spans="1:19">
      <c r="A413" s="42" t="s">
        <v>90</v>
      </c>
      <c r="B413" s="3"/>
      <c r="C413" s="3">
        <v>222</v>
      </c>
      <c r="D413" s="1"/>
      <c r="E413" s="20" t="s">
        <v>96</v>
      </c>
      <c r="F413" s="7" t="s">
        <v>15</v>
      </c>
      <c r="G413" s="7" t="s">
        <v>22</v>
      </c>
      <c r="H413" s="11">
        <v>10.73</v>
      </c>
      <c r="I413" s="8">
        <v>9.5</v>
      </c>
      <c r="J413" s="26">
        <v>1</v>
      </c>
      <c r="K413" s="10">
        <v>0.101935</v>
      </c>
      <c r="L413" s="4"/>
      <c r="M413" s="17"/>
      <c r="N413" s="18">
        <v>0</v>
      </c>
      <c r="O413" s="19">
        <v>1</v>
      </c>
      <c r="P413" s="13">
        <v>0.101935</v>
      </c>
      <c r="Q413" s="9"/>
      <c r="R413" s="32"/>
      <c r="S413" s="32"/>
    </row>
    <row r="414" spans="1:19">
      <c r="A414" s="47" t="s">
        <v>147</v>
      </c>
      <c r="B414" s="48" t="s">
        <v>148</v>
      </c>
      <c r="C414" s="32">
        <v>295</v>
      </c>
      <c r="D414" s="32"/>
      <c r="E414" s="48" t="s">
        <v>20</v>
      </c>
      <c r="F414" s="48" t="s">
        <v>160</v>
      </c>
      <c r="G414" s="48" t="s">
        <v>22</v>
      </c>
      <c r="H414" s="11">
        <v>10.73</v>
      </c>
      <c r="I414" s="52">
        <v>10.5</v>
      </c>
      <c r="J414" s="7">
        <v>1</v>
      </c>
      <c r="K414" s="10">
        <v>0.112665</v>
      </c>
      <c r="L414" s="32"/>
      <c r="M414" s="32"/>
      <c r="N414" s="18">
        <v>0</v>
      </c>
      <c r="O414" s="19">
        <v>1</v>
      </c>
      <c r="P414" s="13">
        <v>0.112665</v>
      </c>
      <c r="Q414" s="32"/>
      <c r="R414" s="32"/>
      <c r="S414" s="32"/>
    </row>
    <row r="415" spans="1:19">
      <c r="A415" s="44" t="s">
        <v>78</v>
      </c>
      <c r="B415" s="32" t="s">
        <v>109</v>
      </c>
      <c r="C415" s="3">
        <v>4</v>
      </c>
      <c r="D415" s="1"/>
      <c r="E415" s="20" t="s">
        <v>17</v>
      </c>
      <c r="F415" s="7" t="s">
        <v>15</v>
      </c>
      <c r="G415" s="7" t="s">
        <v>22</v>
      </c>
      <c r="H415" s="11">
        <v>10.73</v>
      </c>
      <c r="I415" s="33">
        <v>8</v>
      </c>
      <c r="J415" s="40">
        <v>2</v>
      </c>
      <c r="K415" s="10">
        <v>0.17168</v>
      </c>
      <c r="L415" s="4"/>
      <c r="M415" s="17"/>
      <c r="N415" s="18">
        <v>0</v>
      </c>
      <c r="O415" s="19">
        <v>2</v>
      </c>
      <c r="P415" s="13">
        <v>0.17168</v>
      </c>
      <c r="Q415" s="32"/>
      <c r="R415" s="32"/>
      <c r="S415" s="32"/>
    </row>
    <row r="416" spans="1:19">
      <c r="A416" s="45" t="s">
        <v>136</v>
      </c>
      <c r="B416" s="32" t="s">
        <v>137</v>
      </c>
      <c r="C416" s="3">
        <v>50</v>
      </c>
      <c r="D416" s="32"/>
      <c r="E416" s="20" t="s">
        <v>20</v>
      </c>
      <c r="F416" s="7" t="s">
        <v>15</v>
      </c>
      <c r="G416" s="7" t="s">
        <v>22</v>
      </c>
      <c r="H416" s="11">
        <v>10.73</v>
      </c>
      <c r="I416" s="33">
        <v>10.5</v>
      </c>
      <c r="J416" s="40">
        <v>5</v>
      </c>
      <c r="K416" s="10">
        <v>0.56332500000000008</v>
      </c>
      <c r="L416" s="4"/>
      <c r="M416" s="17"/>
      <c r="N416" s="18">
        <v>0</v>
      </c>
      <c r="O416" s="19">
        <v>5</v>
      </c>
      <c r="P416" s="13">
        <v>0.56332500000000008</v>
      </c>
      <c r="Q416" s="32"/>
      <c r="R416" s="32"/>
      <c r="S416" s="32"/>
    </row>
    <row r="417" spans="1:19">
      <c r="A417" s="45" t="s">
        <v>136</v>
      </c>
      <c r="B417" s="32" t="s">
        <v>137</v>
      </c>
      <c r="C417" s="3">
        <v>50</v>
      </c>
      <c r="D417" s="32"/>
      <c r="E417" s="20" t="s">
        <v>20</v>
      </c>
      <c r="F417" s="7" t="s">
        <v>15</v>
      </c>
      <c r="G417" s="7" t="s">
        <v>22</v>
      </c>
      <c r="H417" s="11">
        <v>10.73</v>
      </c>
      <c r="I417" s="33">
        <v>12</v>
      </c>
      <c r="J417" s="40">
        <v>1</v>
      </c>
      <c r="K417" s="10">
        <v>0.12875999999999999</v>
      </c>
      <c r="L417" s="4"/>
      <c r="M417" s="17"/>
      <c r="N417" s="18">
        <v>0</v>
      </c>
      <c r="O417" s="19">
        <v>1</v>
      </c>
      <c r="P417" s="13">
        <v>0.12875999999999999</v>
      </c>
      <c r="Q417" s="32"/>
      <c r="R417" s="32"/>
      <c r="S417" s="32"/>
    </row>
    <row r="418" spans="1:19">
      <c r="A418" s="45" t="s">
        <v>136</v>
      </c>
      <c r="B418" s="32" t="s">
        <v>137</v>
      </c>
      <c r="C418" s="3">
        <v>52</v>
      </c>
      <c r="D418" s="32"/>
      <c r="E418" s="39" t="s">
        <v>17</v>
      </c>
      <c r="F418" s="7" t="s">
        <v>15</v>
      </c>
      <c r="G418" s="7" t="s">
        <v>22</v>
      </c>
      <c r="H418" s="11">
        <v>10.73</v>
      </c>
      <c r="I418" s="33">
        <v>11.3</v>
      </c>
      <c r="J418" s="40">
        <v>3</v>
      </c>
      <c r="K418" s="10">
        <v>0.36374699999999999</v>
      </c>
      <c r="L418" s="4"/>
      <c r="M418" s="17">
        <v>3</v>
      </c>
      <c r="N418" s="18">
        <v>0.3637470000000001</v>
      </c>
      <c r="O418" s="19">
        <v>0</v>
      </c>
      <c r="P418" s="13">
        <v>0</v>
      </c>
      <c r="Q418" s="75">
        <v>11.3</v>
      </c>
      <c r="R418" s="72">
        <v>3</v>
      </c>
      <c r="S418" s="74" t="s">
        <v>224</v>
      </c>
    </row>
    <row r="419" spans="1:19">
      <c r="A419" s="45" t="s">
        <v>136</v>
      </c>
      <c r="B419" s="32" t="s">
        <v>137</v>
      </c>
      <c r="C419" s="3">
        <v>63</v>
      </c>
      <c r="D419" s="32"/>
      <c r="E419" s="20" t="s">
        <v>20</v>
      </c>
      <c r="F419" s="7" t="s">
        <v>15</v>
      </c>
      <c r="G419" s="7" t="s">
        <v>22</v>
      </c>
      <c r="H419" s="11">
        <v>10.73</v>
      </c>
      <c r="I419" s="33">
        <v>7.5</v>
      </c>
      <c r="J419" s="40">
        <v>1</v>
      </c>
      <c r="K419" s="10">
        <v>8.0475000000000005E-2</v>
      </c>
      <c r="L419" s="4"/>
      <c r="M419" s="17"/>
      <c r="N419" s="18">
        <v>0</v>
      </c>
      <c r="O419" s="19">
        <v>1</v>
      </c>
      <c r="P419" s="13">
        <v>8.0475000000000005E-2</v>
      </c>
      <c r="Q419" s="32"/>
      <c r="R419" s="32"/>
      <c r="S419" s="32"/>
    </row>
    <row r="420" spans="1:19">
      <c r="A420" s="45" t="s">
        <v>136</v>
      </c>
      <c r="B420" s="32" t="s">
        <v>137</v>
      </c>
      <c r="C420" s="3">
        <v>63</v>
      </c>
      <c r="D420" s="32"/>
      <c r="E420" s="20" t="s">
        <v>20</v>
      </c>
      <c r="F420" s="7" t="s">
        <v>15</v>
      </c>
      <c r="G420" s="7" t="s">
        <v>22</v>
      </c>
      <c r="H420" s="11">
        <v>10.73</v>
      </c>
      <c r="I420" s="33">
        <v>11.5</v>
      </c>
      <c r="J420" s="40">
        <v>1</v>
      </c>
      <c r="K420" s="10">
        <v>0.123395</v>
      </c>
      <c r="L420" s="4"/>
      <c r="M420" s="17"/>
      <c r="N420" s="18">
        <v>0</v>
      </c>
      <c r="O420" s="19">
        <v>1</v>
      </c>
      <c r="P420" s="13">
        <v>0.123395</v>
      </c>
      <c r="Q420" s="32"/>
      <c r="R420" s="32"/>
      <c r="S420" s="32"/>
    </row>
    <row r="421" spans="1:19">
      <c r="A421" s="45" t="s">
        <v>136</v>
      </c>
      <c r="B421" s="32" t="s">
        <v>137</v>
      </c>
      <c r="C421" s="32">
        <v>103</v>
      </c>
      <c r="D421" s="32"/>
      <c r="E421" s="39" t="s">
        <v>17</v>
      </c>
      <c r="F421" s="7" t="s">
        <v>15</v>
      </c>
      <c r="G421" s="7" t="s">
        <v>22</v>
      </c>
      <c r="H421" s="11">
        <v>10.73</v>
      </c>
      <c r="I421" s="33">
        <v>7.5</v>
      </c>
      <c r="J421" s="41">
        <v>2</v>
      </c>
      <c r="K421" s="10">
        <v>0.16095000000000001</v>
      </c>
      <c r="L421" s="4"/>
      <c r="M421" s="17"/>
      <c r="N421" s="18">
        <v>0</v>
      </c>
      <c r="O421" s="19">
        <v>2</v>
      </c>
      <c r="P421" s="13">
        <v>0.16095000000000001</v>
      </c>
      <c r="Q421" s="32"/>
      <c r="R421" s="32"/>
      <c r="S421" s="32"/>
    </row>
    <row r="422" spans="1:19">
      <c r="A422" s="45" t="s">
        <v>136</v>
      </c>
      <c r="B422" s="32" t="s">
        <v>137</v>
      </c>
      <c r="C422" s="32">
        <v>103</v>
      </c>
      <c r="D422" s="32"/>
      <c r="E422" s="39" t="s">
        <v>17</v>
      </c>
      <c r="F422" s="7" t="s">
        <v>15</v>
      </c>
      <c r="G422" s="7" t="s">
        <v>22</v>
      </c>
      <c r="H422" s="11">
        <v>10.73</v>
      </c>
      <c r="I422" s="33">
        <v>8.5</v>
      </c>
      <c r="J422" s="41">
        <v>2</v>
      </c>
      <c r="K422" s="10">
        <v>0.18240999999999999</v>
      </c>
      <c r="L422" s="4"/>
      <c r="M422" s="17"/>
      <c r="N422" s="18">
        <v>0</v>
      </c>
      <c r="O422" s="19">
        <v>2</v>
      </c>
      <c r="P422" s="13">
        <v>0.18240999999999999</v>
      </c>
      <c r="Q422" s="32"/>
      <c r="R422" s="32"/>
      <c r="S422" s="32"/>
    </row>
    <row r="423" spans="1:19">
      <c r="A423" s="45" t="s">
        <v>136</v>
      </c>
      <c r="B423" s="32" t="s">
        <v>137</v>
      </c>
      <c r="C423" s="32">
        <v>103</v>
      </c>
      <c r="D423" s="32"/>
      <c r="E423" s="39" t="s">
        <v>17</v>
      </c>
      <c r="F423" s="7" t="s">
        <v>15</v>
      </c>
      <c r="G423" s="7" t="s">
        <v>22</v>
      </c>
      <c r="H423" s="11">
        <v>10.73</v>
      </c>
      <c r="I423" s="33">
        <v>10.7</v>
      </c>
      <c r="J423" s="41">
        <v>1</v>
      </c>
      <c r="K423" s="10">
        <v>0.114811</v>
      </c>
      <c r="L423" s="4"/>
      <c r="M423" s="17"/>
      <c r="N423" s="18">
        <v>0</v>
      </c>
      <c r="O423" s="19">
        <v>1</v>
      </c>
      <c r="P423" s="13">
        <v>0.114811</v>
      </c>
      <c r="Q423" s="32"/>
      <c r="R423" s="32"/>
      <c r="S423" s="32"/>
    </row>
    <row r="424" spans="1:19">
      <c r="A424" s="45" t="s">
        <v>136</v>
      </c>
      <c r="B424" s="32" t="s">
        <v>137</v>
      </c>
      <c r="C424" s="32">
        <v>103</v>
      </c>
      <c r="D424" s="32"/>
      <c r="E424" s="39" t="s">
        <v>17</v>
      </c>
      <c r="F424" s="7" t="s">
        <v>15</v>
      </c>
      <c r="G424" s="7" t="s">
        <v>22</v>
      </c>
      <c r="H424" s="11">
        <v>10.73</v>
      </c>
      <c r="I424" s="33">
        <v>11.7</v>
      </c>
      <c r="J424" s="41">
        <v>1</v>
      </c>
      <c r="K424" s="10">
        <v>0.12554099999999999</v>
      </c>
      <c r="L424" s="4"/>
      <c r="M424" s="17"/>
      <c r="N424" s="18">
        <v>0</v>
      </c>
      <c r="O424" s="19">
        <v>1</v>
      </c>
      <c r="P424" s="13">
        <v>0.12554099999999999</v>
      </c>
      <c r="Q424" s="32"/>
      <c r="R424" s="32"/>
      <c r="S424" s="32"/>
    </row>
    <row r="425" spans="1:19">
      <c r="A425" s="45" t="s">
        <v>136</v>
      </c>
      <c r="B425" s="32" t="s">
        <v>137</v>
      </c>
      <c r="C425" s="32">
        <v>103</v>
      </c>
      <c r="D425" s="32"/>
      <c r="E425" s="39" t="s">
        <v>17</v>
      </c>
      <c r="F425" s="7" t="s">
        <v>15</v>
      </c>
      <c r="G425" s="7" t="s">
        <v>22</v>
      </c>
      <c r="H425" s="11">
        <v>10.73</v>
      </c>
      <c r="I425" s="33">
        <v>12</v>
      </c>
      <c r="J425" s="41">
        <v>2</v>
      </c>
      <c r="K425" s="10">
        <v>0.25751999999999997</v>
      </c>
      <c r="L425" s="4"/>
      <c r="M425" s="17"/>
      <c r="N425" s="18">
        <v>0</v>
      </c>
      <c r="O425" s="19">
        <v>2</v>
      </c>
      <c r="P425" s="13">
        <v>0.25751999999999997</v>
      </c>
      <c r="Q425" s="32"/>
      <c r="R425" s="32"/>
      <c r="S425" s="32"/>
    </row>
    <row r="426" spans="1:19">
      <c r="A426" s="45" t="s">
        <v>136</v>
      </c>
      <c r="B426" s="48" t="s">
        <v>171</v>
      </c>
      <c r="C426" s="32">
        <v>127</v>
      </c>
      <c r="D426" s="32"/>
      <c r="E426" s="48" t="s">
        <v>17</v>
      </c>
      <c r="F426" s="48" t="s">
        <v>15</v>
      </c>
      <c r="G426" s="48" t="s">
        <v>22</v>
      </c>
      <c r="H426" s="11">
        <v>10.73</v>
      </c>
      <c r="I426" s="52">
        <v>8</v>
      </c>
      <c r="J426" s="7">
        <v>2</v>
      </c>
      <c r="K426" s="10">
        <v>0.17168</v>
      </c>
      <c r="L426" s="32"/>
      <c r="M426" s="32"/>
      <c r="N426" s="18">
        <v>0</v>
      </c>
      <c r="O426" s="19">
        <v>2</v>
      </c>
      <c r="P426" s="13">
        <v>0.17168</v>
      </c>
      <c r="Q426" s="32"/>
      <c r="R426" s="32"/>
      <c r="S426" s="32"/>
    </row>
    <row r="427" spans="1:19">
      <c r="A427" s="45" t="s">
        <v>136</v>
      </c>
      <c r="B427" s="48" t="s">
        <v>171</v>
      </c>
      <c r="C427" s="32">
        <v>127</v>
      </c>
      <c r="D427" s="32"/>
      <c r="E427" s="48" t="s">
        <v>17</v>
      </c>
      <c r="F427" s="48" t="s">
        <v>15</v>
      </c>
      <c r="G427" s="48" t="s">
        <v>22</v>
      </c>
      <c r="H427" s="11">
        <v>10.73</v>
      </c>
      <c r="I427" s="52">
        <v>8.6999999999999993</v>
      </c>
      <c r="J427" s="7">
        <v>1</v>
      </c>
      <c r="K427" s="10">
        <v>9.3351000000000003E-2</v>
      </c>
      <c r="L427" s="32"/>
      <c r="M427" s="32"/>
      <c r="N427" s="18">
        <v>0</v>
      </c>
      <c r="O427" s="19">
        <v>1</v>
      </c>
      <c r="P427" s="13">
        <v>9.3351000000000003E-2</v>
      </c>
      <c r="Q427" s="32"/>
      <c r="R427" s="32"/>
      <c r="S427" s="32"/>
    </row>
    <row r="428" spans="1:19">
      <c r="A428" s="45" t="s">
        <v>136</v>
      </c>
      <c r="B428" s="48" t="s">
        <v>171</v>
      </c>
      <c r="C428" s="32">
        <v>127</v>
      </c>
      <c r="D428" s="32"/>
      <c r="E428" s="48" t="s">
        <v>17</v>
      </c>
      <c r="F428" s="48" t="s">
        <v>15</v>
      </c>
      <c r="G428" s="48" t="s">
        <v>22</v>
      </c>
      <c r="H428" s="11">
        <v>10.73</v>
      </c>
      <c r="I428" s="52">
        <v>11.6</v>
      </c>
      <c r="J428" s="7">
        <v>2</v>
      </c>
      <c r="K428" s="10">
        <v>0.24893600000000002</v>
      </c>
      <c r="L428" s="32"/>
      <c r="M428" s="32"/>
      <c r="N428" s="18">
        <v>0</v>
      </c>
      <c r="O428" s="19">
        <v>2</v>
      </c>
      <c r="P428" s="13">
        <v>0.24893600000000002</v>
      </c>
      <c r="Q428" s="32"/>
      <c r="R428" s="32"/>
      <c r="S428" s="32"/>
    </row>
    <row r="429" spans="1:19">
      <c r="A429" s="45" t="s">
        <v>136</v>
      </c>
      <c r="B429" s="48" t="s">
        <v>171</v>
      </c>
      <c r="C429" s="32">
        <v>162</v>
      </c>
      <c r="D429" s="32"/>
      <c r="E429" s="48" t="s">
        <v>94</v>
      </c>
      <c r="F429" s="48" t="s">
        <v>15</v>
      </c>
      <c r="G429" s="48" t="s">
        <v>22</v>
      </c>
      <c r="H429" s="11">
        <v>10.73</v>
      </c>
      <c r="I429" s="52">
        <v>6.1</v>
      </c>
      <c r="J429" s="7">
        <v>1</v>
      </c>
      <c r="K429" s="10">
        <v>6.5452999999999997E-2</v>
      </c>
      <c r="L429" s="32"/>
      <c r="M429" s="32"/>
      <c r="N429" s="18">
        <v>0</v>
      </c>
      <c r="O429" s="19">
        <v>1</v>
      </c>
      <c r="P429" s="13">
        <v>6.5452999999999997E-2</v>
      </c>
      <c r="Q429" s="32"/>
      <c r="R429" s="32"/>
      <c r="S429" s="32"/>
    </row>
    <row r="430" spans="1:19">
      <c r="A430" s="45" t="s">
        <v>136</v>
      </c>
      <c r="B430" s="48" t="s">
        <v>171</v>
      </c>
      <c r="C430" s="32">
        <v>162</v>
      </c>
      <c r="D430" s="32"/>
      <c r="E430" s="48" t="s">
        <v>94</v>
      </c>
      <c r="F430" s="48" t="s">
        <v>15</v>
      </c>
      <c r="G430" s="48" t="s">
        <v>22</v>
      </c>
      <c r="H430" s="11">
        <v>10.73</v>
      </c>
      <c r="I430" s="52">
        <v>6.3</v>
      </c>
      <c r="J430" s="7">
        <v>1</v>
      </c>
      <c r="K430" s="10">
        <v>6.7599000000000006E-2</v>
      </c>
      <c r="L430" s="32"/>
      <c r="M430" s="32"/>
      <c r="N430" s="18">
        <v>0</v>
      </c>
      <c r="O430" s="19">
        <v>1</v>
      </c>
      <c r="P430" s="13">
        <v>6.7599000000000006E-2</v>
      </c>
      <c r="Q430" s="32"/>
      <c r="R430" s="32"/>
      <c r="S430" s="32"/>
    </row>
    <row r="431" spans="1:19">
      <c r="A431" s="45" t="s">
        <v>136</v>
      </c>
      <c r="B431" s="48" t="s">
        <v>171</v>
      </c>
      <c r="C431" s="32">
        <v>162</v>
      </c>
      <c r="D431" s="32"/>
      <c r="E431" s="48" t="s">
        <v>94</v>
      </c>
      <c r="F431" s="48" t="s">
        <v>15</v>
      </c>
      <c r="G431" s="48" t="s">
        <v>22</v>
      </c>
      <c r="H431" s="11">
        <v>10.73</v>
      </c>
      <c r="I431" s="52">
        <v>11.5</v>
      </c>
      <c r="J431" s="7">
        <v>5</v>
      </c>
      <c r="K431" s="10">
        <v>0.61697500000000005</v>
      </c>
      <c r="L431" s="32"/>
      <c r="M431" s="32">
        <v>5</v>
      </c>
      <c r="N431" s="18">
        <v>0.61697500000000005</v>
      </c>
      <c r="O431" s="19">
        <v>0</v>
      </c>
      <c r="P431" s="13">
        <v>0</v>
      </c>
      <c r="Q431" s="72">
        <v>11.5</v>
      </c>
      <c r="R431" s="72">
        <v>5</v>
      </c>
      <c r="S431" s="74" t="s">
        <v>224</v>
      </c>
    </row>
    <row r="432" spans="1:19">
      <c r="A432" s="45" t="s">
        <v>136</v>
      </c>
      <c r="B432" s="48" t="s">
        <v>171</v>
      </c>
      <c r="C432" s="32">
        <v>162</v>
      </c>
      <c r="D432" s="32"/>
      <c r="E432" s="48" t="s">
        <v>94</v>
      </c>
      <c r="F432" s="48" t="s">
        <v>15</v>
      </c>
      <c r="G432" s="48" t="s">
        <v>22</v>
      </c>
      <c r="H432" s="11">
        <v>10.73</v>
      </c>
      <c r="I432" s="52">
        <v>12</v>
      </c>
      <c r="J432" s="7">
        <v>1</v>
      </c>
      <c r="K432" s="10">
        <v>0.12875999999999999</v>
      </c>
      <c r="L432" s="32"/>
      <c r="M432" s="32">
        <v>1</v>
      </c>
      <c r="N432" s="18">
        <v>0.12875999999999999</v>
      </c>
      <c r="O432" s="19">
        <v>0</v>
      </c>
      <c r="P432" s="13">
        <v>0</v>
      </c>
      <c r="Q432" s="72">
        <v>12</v>
      </c>
      <c r="R432" s="72">
        <v>1</v>
      </c>
      <c r="S432" s="74" t="s">
        <v>224</v>
      </c>
    </row>
    <row r="433" spans="1:19">
      <c r="O433" s="6">
        <f>SUM(O407:O432)</f>
        <v>32</v>
      </c>
      <c r="R433" s="6">
        <f>SUM(R407:R432)</f>
        <v>17</v>
      </c>
    </row>
    <row r="436" spans="1:19">
      <c r="A436" s="42" t="s">
        <v>90</v>
      </c>
      <c r="B436" s="3"/>
      <c r="C436" s="3">
        <v>128</v>
      </c>
      <c r="D436" s="1"/>
      <c r="E436" s="20" t="s">
        <v>17</v>
      </c>
      <c r="F436" s="7" t="s">
        <v>15</v>
      </c>
      <c r="G436" s="7" t="s">
        <v>38</v>
      </c>
      <c r="H436" s="11">
        <v>12.9</v>
      </c>
      <c r="I436" s="8">
        <v>9.5</v>
      </c>
      <c r="J436" s="26">
        <v>3</v>
      </c>
      <c r="K436" s="10">
        <v>0.36764999999999998</v>
      </c>
      <c r="L436" s="4"/>
      <c r="M436" s="17">
        <v>3</v>
      </c>
      <c r="N436" s="18">
        <v>0.36765000000000003</v>
      </c>
      <c r="O436" s="19">
        <v>0</v>
      </c>
      <c r="P436" s="13">
        <v>0</v>
      </c>
      <c r="Q436" s="9"/>
      <c r="R436" s="74">
        <v>3</v>
      </c>
      <c r="S436" s="74" t="s">
        <v>222</v>
      </c>
    </row>
    <row r="437" spans="1:19">
      <c r="A437" s="42" t="s">
        <v>90</v>
      </c>
      <c r="B437" s="3"/>
      <c r="C437" s="3">
        <v>128</v>
      </c>
      <c r="D437" s="1"/>
      <c r="E437" s="20" t="s">
        <v>17</v>
      </c>
      <c r="F437" s="7" t="s">
        <v>15</v>
      </c>
      <c r="G437" s="7" t="s">
        <v>38</v>
      </c>
      <c r="H437" s="11">
        <v>12.9</v>
      </c>
      <c r="I437" s="8">
        <v>7.4</v>
      </c>
      <c r="J437" s="26">
        <v>1</v>
      </c>
      <c r="K437" s="10">
        <v>9.5460000000000003E-2</v>
      </c>
      <c r="L437" s="4"/>
      <c r="M437" s="22"/>
      <c r="N437" s="18">
        <v>0</v>
      </c>
      <c r="O437" s="19">
        <v>1</v>
      </c>
      <c r="P437" s="13">
        <v>9.5460000000000003E-2</v>
      </c>
      <c r="Q437" s="9"/>
      <c r="R437" s="2"/>
      <c r="S437" s="2"/>
    </row>
    <row r="438" spans="1:19">
      <c r="A438" s="42" t="s">
        <v>90</v>
      </c>
      <c r="B438" s="3"/>
      <c r="C438" s="3">
        <v>128</v>
      </c>
      <c r="D438" s="1"/>
      <c r="E438" s="20" t="s">
        <v>17</v>
      </c>
      <c r="F438" s="7" t="s">
        <v>15</v>
      </c>
      <c r="G438" s="7" t="s">
        <v>38</v>
      </c>
      <c r="H438" s="11">
        <v>12.9</v>
      </c>
      <c r="I438" s="8">
        <v>7</v>
      </c>
      <c r="J438" s="26">
        <v>1</v>
      </c>
      <c r="K438" s="10">
        <v>9.0299999999999991E-2</v>
      </c>
      <c r="L438" s="4"/>
      <c r="M438" s="17"/>
      <c r="N438" s="18">
        <v>0</v>
      </c>
      <c r="O438" s="19">
        <v>1</v>
      </c>
      <c r="P438" s="13">
        <v>9.0299999999999991E-2</v>
      </c>
      <c r="Q438" s="9"/>
      <c r="R438" s="2"/>
      <c r="S438" s="2"/>
    </row>
    <row r="439" spans="1:19">
      <c r="A439" s="42" t="s">
        <v>90</v>
      </c>
      <c r="B439" s="3"/>
      <c r="C439" s="3">
        <v>128</v>
      </c>
      <c r="D439" s="1"/>
      <c r="E439" s="20" t="s">
        <v>17</v>
      </c>
      <c r="F439" s="7" t="s">
        <v>15</v>
      </c>
      <c r="G439" s="7" t="s">
        <v>38</v>
      </c>
      <c r="H439" s="11">
        <v>12.9</v>
      </c>
      <c r="I439" s="8">
        <v>6.3</v>
      </c>
      <c r="J439" s="26">
        <v>1</v>
      </c>
      <c r="K439" s="10">
        <v>8.1269999999999995E-2</v>
      </c>
      <c r="L439" s="4"/>
      <c r="M439" s="17"/>
      <c r="N439" s="18">
        <v>0</v>
      </c>
      <c r="O439" s="19">
        <v>1</v>
      </c>
      <c r="P439" s="13">
        <v>8.1269999999999995E-2</v>
      </c>
      <c r="Q439" s="9"/>
      <c r="R439" s="2"/>
      <c r="S439" s="2"/>
    </row>
    <row r="440" spans="1:19">
      <c r="A440" s="42" t="s">
        <v>90</v>
      </c>
      <c r="B440" s="3"/>
      <c r="C440" s="3">
        <v>129</v>
      </c>
      <c r="D440" s="1"/>
      <c r="E440" s="20" t="s">
        <v>17</v>
      </c>
      <c r="F440" s="7" t="s">
        <v>15</v>
      </c>
      <c r="G440" s="7" t="s">
        <v>38</v>
      </c>
      <c r="H440" s="11">
        <v>12.9</v>
      </c>
      <c r="I440" s="8">
        <v>10.6</v>
      </c>
      <c r="J440" s="26">
        <v>2</v>
      </c>
      <c r="K440" s="10">
        <v>0.27348</v>
      </c>
      <c r="L440" s="4"/>
      <c r="M440" s="17"/>
      <c r="N440" s="18">
        <v>0</v>
      </c>
      <c r="O440" s="19">
        <v>2</v>
      </c>
      <c r="P440" s="13">
        <v>0.27348</v>
      </c>
      <c r="Q440" s="9"/>
      <c r="R440" s="2"/>
      <c r="S440" s="2"/>
    </row>
    <row r="441" spans="1:19">
      <c r="A441" s="45" t="s">
        <v>136</v>
      </c>
      <c r="B441" s="32" t="s">
        <v>137</v>
      </c>
      <c r="C441" s="3">
        <v>5</v>
      </c>
      <c r="D441" s="32"/>
      <c r="E441" s="39" t="s">
        <v>17</v>
      </c>
      <c r="F441" s="7" t="s">
        <v>15</v>
      </c>
      <c r="G441" s="7" t="s">
        <v>38</v>
      </c>
      <c r="H441" s="11">
        <v>12.9</v>
      </c>
      <c r="I441" s="33">
        <v>6.5</v>
      </c>
      <c r="J441" s="40">
        <v>1</v>
      </c>
      <c r="K441" s="10">
        <v>8.3850000000000008E-2</v>
      </c>
      <c r="L441" s="4"/>
      <c r="M441" s="17"/>
      <c r="N441" s="18">
        <v>0</v>
      </c>
      <c r="O441" s="19">
        <v>1</v>
      </c>
      <c r="P441" s="13">
        <v>8.3850000000000008E-2</v>
      </c>
      <c r="Q441" s="32"/>
      <c r="R441" s="32"/>
      <c r="S441" s="32"/>
    </row>
    <row r="442" spans="1:19">
      <c r="A442" s="45" t="s">
        <v>136</v>
      </c>
      <c r="B442" s="32" t="s">
        <v>137</v>
      </c>
      <c r="C442" s="3">
        <v>5</v>
      </c>
      <c r="D442" s="32"/>
      <c r="E442" s="39" t="s">
        <v>17</v>
      </c>
      <c r="F442" s="7" t="s">
        <v>15</v>
      </c>
      <c r="G442" s="7" t="s">
        <v>38</v>
      </c>
      <c r="H442" s="11">
        <v>12.9</v>
      </c>
      <c r="I442" s="33">
        <v>6.9</v>
      </c>
      <c r="J442" s="40">
        <v>1</v>
      </c>
      <c r="K442" s="10">
        <v>8.9010000000000006E-2</v>
      </c>
      <c r="L442" s="4"/>
      <c r="M442" s="17"/>
      <c r="N442" s="18">
        <v>0</v>
      </c>
      <c r="O442" s="19">
        <v>1</v>
      </c>
      <c r="P442" s="13">
        <v>8.9010000000000006E-2</v>
      </c>
      <c r="Q442" s="32"/>
      <c r="R442" s="32"/>
      <c r="S442" s="32"/>
    </row>
    <row r="443" spans="1:19">
      <c r="A443" s="45" t="s">
        <v>136</v>
      </c>
      <c r="B443" s="32" t="s">
        <v>137</v>
      </c>
      <c r="C443" s="3">
        <v>5</v>
      </c>
      <c r="D443" s="32"/>
      <c r="E443" s="39" t="s">
        <v>17</v>
      </c>
      <c r="F443" s="7" t="s">
        <v>15</v>
      </c>
      <c r="G443" s="7" t="s">
        <v>38</v>
      </c>
      <c r="H443" s="11">
        <v>12.9</v>
      </c>
      <c r="I443" s="33">
        <v>8.9</v>
      </c>
      <c r="J443" s="40">
        <v>1</v>
      </c>
      <c r="K443" s="10">
        <v>0.11481</v>
      </c>
      <c r="L443" s="4"/>
      <c r="M443" s="17"/>
      <c r="N443" s="18">
        <v>0</v>
      </c>
      <c r="O443" s="19">
        <v>1</v>
      </c>
      <c r="P443" s="13">
        <v>0.11481</v>
      </c>
      <c r="Q443" s="32"/>
      <c r="R443" s="32"/>
      <c r="S443" s="32"/>
    </row>
    <row r="444" spans="1:19">
      <c r="A444" s="45" t="s">
        <v>136</v>
      </c>
      <c r="B444" s="32" t="s">
        <v>137</v>
      </c>
      <c r="C444" s="3">
        <v>5</v>
      </c>
      <c r="D444" s="32"/>
      <c r="E444" s="39" t="s">
        <v>17</v>
      </c>
      <c r="F444" s="7" t="s">
        <v>15</v>
      </c>
      <c r="G444" s="7" t="s">
        <v>38</v>
      </c>
      <c r="H444" s="11">
        <v>12.9</v>
      </c>
      <c r="I444" s="33">
        <v>9.6</v>
      </c>
      <c r="J444" s="40">
        <v>2</v>
      </c>
      <c r="K444" s="10">
        <v>0.24768000000000001</v>
      </c>
      <c r="L444" s="4"/>
      <c r="M444" s="17">
        <v>2</v>
      </c>
      <c r="N444" s="18">
        <v>0.24768000000000001</v>
      </c>
      <c r="O444" s="19">
        <v>0</v>
      </c>
      <c r="P444" s="13">
        <v>0</v>
      </c>
      <c r="Q444" s="32"/>
      <c r="R444" s="72">
        <v>2</v>
      </c>
      <c r="S444" s="74" t="s">
        <v>222</v>
      </c>
    </row>
    <row r="445" spans="1:19">
      <c r="A445" s="45" t="s">
        <v>136</v>
      </c>
      <c r="B445" s="32" t="s">
        <v>137</v>
      </c>
      <c r="C445" s="3">
        <v>5</v>
      </c>
      <c r="D445" s="32"/>
      <c r="E445" s="39" t="s">
        <v>17</v>
      </c>
      <c r="F445" s="7" t="s">
        <v>15</v>
      </c>
      <c r="G445" s="7" t="s">
        <v>38</v>
      </c>
      <c r="H445" s="11">
        <v>12.9</v>
      </c>
      <c r="I445" s="33">
        <v>9.8000000000000007</v>
      </c>
      <c r="J445" s="40">
        <v>2</v>
      </c>
      <c r="K445" s="10">
        <v>0.25284000000000001</v>
      </c>
      <c r="L445" s="4"/>
      <c r="M445" s="17">
        <v>2</v>
      </c>
      <c r="N445" s="18">
        <v>0.25284000000000001</v>
      </c>
      <c r="O445" s="19">
        <v>0</v>
      </c>
      <c r="P445" s="13">
        <v>0</v>
      </c>
      <c r="Q445" s="32"/>
      <c r="R445" s="72">
        <v>2</v>
      </c>
      <c r="S445" s="74" t="s">
        <v>222</v>
      </c>
    </row>
    <row r="446" spans="1:19">
      <c r="O446" s="6">
        <f>SUM(O436:O445)</f>
        <v>8</v>
      </c>
      <c r="R446" s="6">
        <f>SUM(R436:R445)</f>
        <v>7</v>
      </c>
    </row>
    <row r="448" spans="1:19">
      <c r="A448" s="42" t="s">
        <v>77</v>
      </c>
      <c r="B448" s="3" t="s">
        <v>68</v>
      </c>
      <c r="C448" s="3">
        <v>240</v>
      </c>
      <c r="D448" s="1"/>
      <c r="E448" s="12" t="s">
        <v>20</v>
      </c>
      <c r="F448" s="7" t="s">
        <v>15</v>
      </c>
      <c r="G448" s="7" t="s">
        <v>40</v>
      </c>
      <c r="H448" s="11">
        <v>16.5</v>
      </c>
      <c r="I448" s="8">
        <v>7.6</v>
      </c>
      <c r="J448" s="26">
        <v>1</v>
      </c>
      <c r="K448" s="10">
        <v>0.12539999999999998</v>
      </c>
      <c r="L448" s="4"/>
      <c r="M448" s="17"/>
      <c r="N448" s="18">
        <v>0</v>
      </c>
      <c r="O448" s="19">
        <v>1</v>
      </c>
      <c r="P448" s="13">
        <v>0.12539999999999998</v>
      </c>
      <c r="Q448" s="9"/>
      <c r="R448" s="2"/>
      <c r="S448" s="2"/>
    </row>
    <row r="449" spans="1:19">
      <c r="A449" s="42" t="s">
        <v>90</v>
      </c>
      <c r="B449" s="48" t="s">
        <v>148</v>
      </c>
      <c r="C449" s="32">
        <v>54</v>
      </c>
      <c r="D449" s="32"/>
      <c r="E449" s="48" t="s">
        <v>20</v>
      </c>
      <c r="F449" s="48" t="s">
        <v>15</v>
      </c>
      <c r="G449" s="48" t="s">
        <v>40</v>
      </c>
      <c r="H449" s="11">
        <v>16.5</v>
      </c>
      <c r="I449" s="52">
        <v>8</v>
      </c>
      <c r="J449" s="7">
        <v>1</v>
      </c>
      <c r="K449" s="10">
        <v>0.13200000000000001</v>
      </c>
      <c r="L449" s="32"/>
      <c r="M449" s="32">
        <v>1</v>
      </c>
      <c r="N449" s="18">
        <v>0.13200000000000001</v>
      </c>
      <c r="O449" s="19">
        <v>0</v>
      </c>
      <c r="P449" s="13">
        <v>0</v>
      </c>
      <c r="Q449" s="32"/>
      <c r="R449" s="72">
        <v>1</v>
      </c>
      <c r="S449" s="72" t="s">
        <v>222</v>
      </c>
    </row>
    <row r="450" spans="1:19">
      <c r="A450" s="42" t="s">
        <v>90</v>
      </c>
      <c r="B450" s="3"/>
      <c r="C450" s="3">
        <v>107</v>
      </c>
      <c r="D450" s="1"/>
      <c r="E450" s="20" t="s">
        <v>20</v>
      </c>
      <c r="F450" s="7" t="s">
        <v>15</v>
      </c>
      <c r="G450" s="7" t="s">
        <v>40</v>
      </c>
      <c r="H450" s="11">
        <v>16.5</v>
      </c>
      <c r="I450" s="8">
        <v>8.6999999999999993</v>
      </c>
      <c r="J450" s="26">
        <v>1</v>
      </c>
      <c r="K450" s="10">
        <v>0.14354999999999998</v>
      </c>
      <c r="L450" s="4"/>
      <c r="M450" s="17">
        <v>1</v>
      </c>
      <c r="N450" s="18">
        <v>0.14354999999999998</v>
      </c>
      <c r="O450" s="19">
        <v>0</v>
      </c>
      <c r="P450" s="13">
        <v>0</v>
      </c>
      <c r="Q450" s="9"/>
      <c r="R450" s="74">
        <v>1</v>
      </c>
      <c r="S450" s="72" t="s">
        <v>222</v>
      </c>
    </row>
    <row r="451" spans="1:19">
      <c r="A451" s="42" t="s">
        <v>90</v>
      </c>
      <c r="B451" s="3"/>
      <c r="C451" s="3">
        <v>111</v>
      </c>
      <c r="D451" s="1"/>
      <c r="E451" s="20" t="s">
        <v>20</v>
      </c>
      <c r="F451" s="7" t="s">
        <v>15</v>
      </c>
      <c r="G451" s="7" t="s">
        <v>40</v>
      </c>
      <c r="H451" s="11">
        <v>16.5</v>
      </c>
      <c r="I451" s="8">
        <v>5.7</v>
      </c>
      <c r="J451" s="26">
        <v>1</v>
      </c>
      <c r="K451" s="10">
        <v>9.4049999999999995E-2</v>
      </c>
      <c r="L451" s="4"/>
      <c r="M451" s="17"/>
      <c r="N451" s="18">
        <v>0</v>
      </c>
      <c r="O451" s="19">
        <v>1</v>
      </c>
      <c r="P451" s="13">
        <v>9.4049999999999995E-2</v>
      </c>
      <c r="Q451" s="9"/>
      <c r="R451" s="2"/>
      <c r="S451" s="2"/>
    </row>
    <row r="452" spans="1:19">
      <c r="A452" s="42" t="s">
        <v>90</v>
      </c>
      <c r="B452" s="3"/>
      <c r="C452" s="3">
        <v>116</v>
      </c>
      <c r="D452" s="1"/>
      <c r="E452" s="20" t="s">
        <v>20</v>
      </c>
      <c r="F452" s="7" t="s">
        <v>15</v>
      </c>
      <c r="G452" s="7" t="s">
        <v>40</v>
      </c>
      <c r="H452" s="11">
        <v>16.5</v>
      </c>
      <c r="I452" s="8">
        <v>9.8000000000000007</v>
      </c>
      <c r="J452" s="26">
        <v>1</v>
      </c>
      <c r="K452" s="10">
        <v>0.16170000000000001</v>
      </c>
      <c r="L452" s="4" t="s">
        <v>26</v>
      </c>
      <c r="M452" s="17"/>
      <c r="N452" s="18">
        <v>0</v>
      </c>
      <c r="O452" s="19">
        <v>1</v>
      </c>
      <c r="P452" s="13">
        <v>0.16170000000000001</v>
      </c>
      <c r="Q452" s="9"/>
      <c r="R452" s="2"/>
      <c r="S452" s="2"/>
    </row>
    <row r="453" spans="1:19">
      <c r="A453" s="42" t="s">
        <v>90</v>
      </c>
      <c r="B453" s="3"/>
      <c r="C453" s="3">
        <v>116</v>
      </c>
      <c r="D453" s="1"/>
      <c r="E453" s="20" t="s">
        <v>20</v>
      </c>
      <c r="F453" s="7" t="s">
        <v>15</v>
      </c>
      <c r="G453" s="7" t="s">
        <v>40</v>
      </c>
      <c r="H453" s="11">
        <v>16.5</v>
      </c>
      <c r="I453" s="8">
        <v>8.1999999999999993</v>
      </c>
      <c r="J453" s="26">
        <v>1</v>
      </c>
      <c r="K453" s="10">
        <v>0.13529999999999998</v>
      </c>
      <c r="L453" s="4" t="s">
        <v>26</v>
      </c>
      <c r="M453" s="17"/>
      <c r="N453" s="18">
        <v>0</v>
      </c>
      <c r="O453" s="19">
        <v>1</v>
      </c>
      <c r="P453" s="13">
        <v>0.13529999999999998</v>
      </c>
      <c r="Q453" s="9"/>
      <c r="R453" s="2"/>
      <c r="S453" s="2"/>
    </row>
    <row r="454" spans="1:19">
      <c r="A454" s="42" t="s">
        <v>90</v>
      </c>
      <c r="B454" s="3"/>
      <c r="C454" s="3">
        <v>116</v>
      </c>
      <c r="D454" s="1"/>
      <c r="E454" s="20" t="s">
        <v>20</v>
      </c>
      <c r="F454" s="7" t="s">
        <v>15</v>
      </c>
      <c r="G454" s="7" t="s">
        <v>40</v>
      </c>
      <c r="H454" s="11">
        <v>16.5</v>
      </c>
      <c r="I454" s="8">
        <v>5.7</v>
      </c>
      <c r="J454" s="26">
        <v>1</v>
      </c>
      <c r="K454" s="10">
        <v>9.4049999999999995E-2</v>
      </c>
      <c r="L454" s="4" t="s">
        <v>26</v>
      </c>
      <c r="M454" s="17"/>
      <c r="N454" s="18">
        <v>0</v>
      </c>
      <c r="O454" s="19">
        <v>1</v>
      </c>
      <c r="P454" s="13">
        <v>9.4049999999999995E-2</v>
      </c>
      <c r="Q454" s="9"/>
      <c r="R454" s="2"/>
      <c r="S454" s="2"/>
    </row>
    <row r="455" spans="1:19">
      <c r="A455" s="42" t="s">
        <v>90</v>
      </c>
      <c r="B455" s="3"/>
      <c r="C455" s="3">
        <v>130</v>
      </c>
      <c r="D455" s="1"/>
      <c r="E455" s="20" t="s">
        <v>17</v>
      </c>
      <c r="F455" s="7" t="s">
        <v>15</v>
      </c>
      <c r="G455" s="7" t="s">
        <v>40</v>
      </c>
      <c r="H455" s="11">
        <v>16.5</v>
      </c>
      <c r="I455" s="8">
        <v>8.5</v>
      </c>
      <c r="J455" s="26">
        <v>2</v>
      </c>
      <c r="K455" s="10">
        <v>0.28050000000000003</v>
      </c>
      <c r="L455" s="4"/>
      <c r="M455" s="17"/>
      <c r="N455" s="18">
        <v>0</v>
      </c>
      <c r="O455" s="19">
        <v>2</v>
      </c>
      <c r="P455" s="13">
        <v>0.28050000000000003</v>
      </c>
      <c r="Q455" s="9"/>
      <c r="R455" s="2"/>
      <c r="S455" s="2"/>
    </row>
    <row r="456" spans="1:19">
      <c r="A456" s="42" t="s">
        <v>90</v>
      </c>
      <c r="B456" s="3"/>
      <c r="C456" s="3">
        <v>130</v>
      </c>
      <c r="D456" s="1"/>
      <c r="E456" s="20" t="s">
        <v>17</v>
      </c>
      <c r="F456" s="7" t="s">
        <v>15</v>
      </c>
      <c r="G456" s="7" t="s">
        <v>40</v>
      </c>
      <c r="H456" s="11">
        <v>16.5</v>
      </c>
      <c r="I456" s="8">
        <v>8.3000000000000007</v>
      </c>
      <c r="J456" s="26">
        <v>1</v>
      </c>
      <c r="K456" s="10">
        <v>0.13695000000000002</v>
      </c>
      <c r="L456" s="4"/>
      <c r="M456" s="17"/>
      <c r="N456" s="18">
        <v>0</v>
      </c>
      <c r="O456" s="19">
        <v>1</v>
      </c>
      <c r="P456" s="13">
        <v>0.13695000000000002</v>
      </c>
      <c r="Q456" s="9"/>
      <c r="R456" s="2"/>
      <c r="S456" s="2"/>
    </row>
    <row r="457" spans="1:19">
      <c r="A457" s="42" t="s">
        <v>90</v>
      </c>
      <c r="B457" s="3"/>
      <c r="C457" s="3">
        <v>130</v>
      </c>
      <c r="D457" s="1"/>
      <c r="E457" s="20" t="s">
        <v>17</v>
      </c>
      <c r="F457" s="7" t="s">
        <v>15</v>
      </c>
      <c r="G457" s="7" t="s">
        <v>40</v>
      </c>
      <c r="H457" s="11">
        <v>16.5</v>
      </c>
      <c r="I457" s="8">
        <v>8</v>
      </c>
      <c r="J457" s="26">
        <v>2</v>
      </c>
      <c r="K457" s="10">
        <v>0.26400000000000001</v>
      </c>
      <c r="L457" s="4"/>
      <c r="M457" s="17"/>
      <c r="N457" s="18">
        <v>0</v>
      </c>
      <c r="O457" s="19">
        <v>2</v>
      </c>
      <c r="P457" s="13">
        <v>0.26400000000000001</v>
      </c>
      <c r="Q457" s="9"/>
      <c r="R457" s="2"/>
      <c r="S457" s="2"/>
    </row>
    <row r="458" spans="1:19">
      <c r="A458" s="42" t="s">
        <v>90</v>
      </c>
      <c r="B458" s="3"/>
      <c r="C458" s="3">
        <v>130</v>
      </c>
      <c r="D458" s="1"/>
      <c r="E458" s="20" t="s">
        <v>17</v>
      </c>
      <c r="F458" s="7" t="s">
        <v>15</v>
      </c>
      <c r="G458" s="7" t="s">
        <v>40</v>
      </c>
      <c r="H458" s="11">
        <v>16.5</v>
      </c>
      <c r="I458" s="8">
        <v>7.5</v>
      </c>
      <c r="J458" s="26">
        <v>1</v>
      </c>
      <c r="K458" s="10">
        <v>0.12375</v>
      </c>
      <c r="L458" s="4"/>
      <c r="M458" s="17"/>
      <c r="N458" s="18">
        <v>0</v>
      </c>
      <c r="O458" s="19">
        <v>1</v>
      </c>
      <c r="P458" s="13">
        <v>0.12375</v>
      </c>
      <c r="Q458" s="9"/>
      <c r="R458" s="2"/>
      <c r="S458" s="2"/>
    </row>
    <row r="459" spans="1:19">
      <c r="A459" s="42" t="s">
        <v>90</v>
      </c>
      <c r="B459" s="3"/>
      <c r="C459" s="3">
        <v>157</v>
      </c>
      <c r="D459" s="1" t="s">
        <v>93</v>
      </c>
      <c r="E459" s="12" t="s">
        <v>76</v>
      </c>
      <c r="F459" s="7" t="s">
        <v>15</v>
      </c>
      <c r="G459" s="7" t="s">
        <v>40</v>
      </c>
      <c r="H459" s="11">
        <v>16.5</v>
      </c>
      <c r="I459" s="8">
        <v>8.3000000000000007</v>
      </c>
      <c r="J459" s="26">
        <v>1</v>
      </c>
      <c r="K459" s="10">
        <v>0.13695000000000002</v>
      </c>
      <c r="L459" s="4"/>
      <c r="M459" s="17">
        <v>1</v>
      </c>
      <c r="N459" s="18">
        <v>0.13695000000000002</v>
      </c>
      <c r="O459" s="19">
        <v>0</v>
      </c>
      <c r="P459" s="13">
        <v>0</v>
      </c>
      <c r="Q459" s="9"/>
      <c r="R459" s="74">
        <v>1</v>
      </c>
      <c r="S459" s="72" t="s">
        <v>222</v>
      </c>
    </row>
    <row r="460" spans="1:19">
      <c r="A460" s="42" t="s">
        <v>90</v>
      </c>
      <c r="B460" s="3"/>
      <c r="C460" s="3">
        <v>157</v>
      </c>
      <c r="D460" s="1" t="s">
        <v>93</v>
      </c>
      <c r="E460" s="12" t="s">
        <v>76</v>
      </c>
      <c r="F460" s="7" t="s">
        <v>15</v>
      </c>
      <c r="G460" s="7" t="s">
        <v>40</v>
      </c>
      <c r="H460" s="11">
        <v>16.5</v>
      </c>
      <c r="I460" s="8">
        <v>9.8000000000000007</v>
      </c>
      <c r="J460" s="26">
        <v>1</v>
      </c>
      <c r="K460" s="10">
        <v>0.16170000000000001</v>
      </c>
      <c r="L460" s="4"/>
      <c r="M460" s="17">
        <v>1</v>
      </c>
      <c r="N460" s="18">
        <v>0.16170000000000001</v>
      </c>
      <c r="O460" s="19">
        <v>0</v>
      </c>
      <c r="P460" s="13">
        <v>0</v>
      </c>
      <c r="Q460" s="9"/>
      <c r="R460" s="74">
        <v>1</v>
      </c>
      <c r="S460" s="72" t="s">
        <v>222</v>
      </c>
    </row>
    <row r="461" spans="1:19">
      <c r="A461" s="42" t="s">
        <v>90</v>
      </c>
      <c r="B461" s="3"/>
      <c r="C461" s="3">
        <v>158</v>
      </c>
      <c r="D461" s="1"/>
      <c r="E461" s="12" t="s">
        <v>20</v>
      </c>
      <c r="F461" s="7" t="s">
        <v>15</v>
      </c>
      <c r="G461" s="7" t="s">
        <v>40</v>
      </c>
      <c r="H461" s="11">
        <v>16.5</v>
      </c>
      <c r="I461" s="8">
        <v>6</v>
      </c>
      <c r="J461" s="26">
        <v>1</v>
      </c>
      <c r="K461" s="10">
        <v>9.9000000000000005E-2</v>
      </c>
      <c r="L461" s="4" t="s">
        <v>26</v>
      </c>
      <c r="M461" s="17"/>
      <c r="N461" s="18">
        <v>0</v>
      </c>
      <c r="O461" s="19">
        <v>1</v>
      </c>
      <c r="P461" s="13">
        <v>9.9000000000000005E-2</v>
      </c>
      <c r="Q461" s="9"/>
      <c r="R461" s="2"/>
      <c r="S461" s="2"/>
    </row>
    <row r="462" spans="1:19">
      <c r="A462" s="42" t="s">
        <v>90</v>
      </c>
      <c r="B462" s="3"/>
      <c r="C462" s="3">
        <v>158</v>
      </c>
      <c r="D462" s="1"/>
      <c r="E462" s="12" t="s">
        <v>20</v>
      </c>
      <c r="F462" s="7" t="s">
        <v>15</v>
      </c>
      <c r="G462" s="7" t="s">
        <v>40</v>
      </c>
      <c r="H462" s="11">
        <v>16.5</v>
      </c>
      <c r="I462" s="8">
        <v>10</v>
      </c>
      <c r="J462" s="26">
        <v>1</v>
      </c>
      <c r="K462" s="10">
        <v>0.16500000000000001</v>
      </c>
      <c r="L462" s="4" t="s">
        <v>26</v>
      </c>
      <c r="M462" s="17"/>
      <c r="N462" s="18">
        <v>0</v>
      </c>
      <c r="O462" s="19">
        <v>1</v>
      </c>
      <c r="P462" s="13">
        <v>0.16500000000000001</v>
      </c>
      <c r="Q462" s="9"/>
      <c r="R462" s="2"/>
      <c r="S462" s="2"/>
    </row>
    <row r="463" spans="1:19">
      <c r="A463" s="47" t="s">
        <v>147</v>
      </c>
      <c r="B463" s="48" t="s">
        <v>148</v>
      </c>
      <c r="C463" s="32">
        <v>366</v>
      </c>
      <c r="D463" s="32"/>
      <c r="E463" s="48" t="s">
        <v>20</v>
      </c>
      <c r="F463" s="48" t="s">
        <v>160</v>
      </c>
      <c r="G463" s="48" t="s">
        <v>40</v>
      </c>
      <c r="H463" s="11">
        <v>16.5</v>
      </c>
      <c r="I463" s="52">
        <v>7</v>
      </c>
      <c r="J463" s="7">
        <v>1</v>
      </c>
      <c r="K463" s="10">
        <v>0.11550000000000001</v>
      </c>
      <c r="L463" s="32"/>
      <c r="M463" s="32"/>
      <c r="N463" s="18">
        <v>0</v>
      </c>
      <c r="O463" s="19">
        <v>1</v>
      </c>
      <c r="P463" s="13">
        <v>0.11550000000000001</v>
      </c>
      <c r="Q463" s="32"/>
      <c r="R463" s="32"/>
      <c r="S463" s="32"/>
    </row>
    <row r="464" spans="1:19">
      <c r="A464" s="45" t="s">
        <v>136</v>
      </c>
      <c r="B464" s="48" t="s">
        <v>171</v>
      </c>
      <c r="C464" s="32">
        <v>125</v>
      </c>
      <c r="D464" s="32"/>
      <c r="E464" s="48" t="s">
        <v>20</v>
      </c>
      <c r="F464" s="48" t="s">
        <v>15</v>
      </c>
      <c r="G464" s="48" t="s">
        <v>40</v>
      </c>
      <c r="H464" s="11">
        <v>16.5</v>
      </c>
      <c r="I464" s="52">
        <v>11.5</v>
      </c>
      <c r="J464" s="7">
        <v>1</v>
      </c>
      <c r="K464" s="10">
        <v>0.18975</v>
      </c>
      <c r="L464" s="32"/>
      <c r="M464" s="32"/>
      <c r="N464" s="18">
        <v>0</v>
      </c>
      <c r="O464" s="19">
        <v>1</v>
      </c>
      <c r="P464" s="13">
        <v>0.18975</v>
      </c>
      <c r="Q464" s="32"/>
      <c r="R464" s="32"/>
      <c r="S464" s="32"/>
    </row>
    <row r="465" spans="1:19">
      <c r="A465" s="45" t="s">
        <v>136</v>
      </c>
      <c r="B465" s="48" t="s">
        <v>171</v>
      </c>
      <c r="C465" s="32">
        <v>160</v>
      </c>
      <c r="D465" s="32"/>
      <c r="E465" s="48" t="s">
        <v>139</v>
      </c>
      <c r="F465" s="48" t="s">
        <v>15</v>
      </c>
      <c r="G465" s="48" t="s">
        <v>40</v>
      </c>
      <c r="H465" s="11">
        <v>16.5</v>
      </c>
      <c r="I465" s="52">
        <v>6.7</v>
      </c>
      <c r="J465" s="7">
        <v>1</v>
      </c>
      <c r="K465" s="10">
        <v>0.11055</v>
      </c>
      <c r="L465" s="32"/>
      <c r="M465" s="32"/>
      <c r="N465" s="18">
        <v>0</v>
      </c>
      <c r="O465" s="19">
        <v>1</v>
      </c>
      <c r="P465" s="13">
        <v>0.11055</v>
      </c>
      <c r="Q465" s="32"/>
      <c r="R465" s="32"/>
      <c r="S465" s="32"/>
    </row>
    <row r="466" spans="1:19">
      <c r="O466" s="6">
        <f>SUM(O448:O465)</f>
        <v>16</v>
      </c>
      <c r="R466" s="6">
        <f>SUM(R448:R465)</f>
        <v>4</v>
      </c>
    </row>
    <row r="469" spans="1:19">
      <c r="A469" s="45" t="s">
        <v>136</v>
      </c>
      <c r="B469" s="48" t="s">
        <v>171</v>
      </c>
      <c r="C469" s="32">
        <v>134</v>
      </c>
      <c r="D469" s="32"/>
      <c r="E469" s="48" t="s">
        <v>20</v>
      </c>
      <c r="F469" s="48" t="s">
        <v>15</v>
      </c>
      <c r="G469" s="48" t="s">
        <v>55</v>
      </c>
      <c r="H469" s="11">
        <v>4.6500000000000004</v>
      </c>
      <c r="I469" s="8">
        <v>10.3</v>
      </c>
      <c r="J469" s="7">
        <v>2</v>
      </c>
      <c r="K469" s="10">
        <v>9.5790000000000014E-2</v>
      </c>
      <c r="L469" s="32"/>
      <c r="M469" s="32"/>
      <c r="N469" s="18">
        <v>0</v>
      </c>
      <c r="O469" s="19">
        <v>2</v>
      </c>
      <c r="P469" s="13">
        <v>9.5790000000000014E-2</v>
      </c>
      <c r="Q469" s="32"/>
      <c r="R469" s="32"/>
      <c r="S469" s="32"/>
    </row>
    <row r="470" spans="1:19">
      <c r="A470" s="45" t="s">
        <v>136</v>
      </c>
      <c r="B470" s="48" t="s">
        <v>171</v>
      </c>
      <c r="C470" s="32">
        <v>134</v>
      </c>
      <c r="D470" s="32"/>
      <c r="E470" s="48" t="s">
        <v>20</v>
      </c>
      <c r="F470" s="48" t="s">
        <v>15</v>
      </c>
      <c r="G470" s="48" t="s">
        <v>55</v>
      </c>
      <c r="H470" s="11">
        <v>4.6500000000000004</v>
      </c>
      <c r="I470" s="8">
        <v>7.3</v>
      </c>
      <c r="J470" s="7">
        <v>1</v>
      </c>
      <c r="K470" s="10">
        <v>3.3945000000000003E-2</v>
      </c>
      <c r="L470" s="32"/>
      <c r="M470" s="32"/>
      <c r="N470" s="18">
        <v>0</v>
      </c>
      <c r="O470" s="19">
        <v>1</v>
      </c>
      <c r="P470" s="13">
        <v>3.3945000000000003E-2</v>
      </c>
      <c r="Q470" s="32"/>
      <c r="R470" s="32"/>
      <c r="S470" s="32"/>
    </row>
    <row r="471" spans="1:19">
      <c r="A471" s="45" t="s">
        <v>136</v>
      </c>
      <c r="B471" s="48" t="s">
        <v>171</v>
      </c>
      <c r="C471" s="32">
        <v>136</v>
      </c>
      <c r="D471" s="32"/>
      <c r="E471" s="48" t="s">
        <v>20</v>
      </c>
      <c r="F471" s="48" t="s">
        <v>15</v>
      </c>
      <c r="G471" s="48" t="s">
        <v>55</v>
      </c>
      <c r="H471" s="11">
        <v>4.6500000000000004</v>
      </c>
      <c r="I471" s="8">
        <v>9.9</v>
      </c>
      <c r="J471" s="7">
        <v>1</v>
      </c>
      <c r="K471" s="10">
        <v>4.6035000000000006E-2</v>
      </c>
      <c r="L471" s="32"/>
      <c r="M471" s="32"/>
      <c r="N471" s="18">
        <v>0</v>
      </c>
      <c r="O471" s="19">
        <v>1</v>
      </c>
      <c r="P471" s="13">
        <v>4.6035000000000006E-2</v>
      </c>
      <c r="Q471" s="32"/>
      <c r="R471" s="32"/>
      <c r="S471" s="32"/>
    </row>
    <row r="472" spans="1:19">
      <c r="A472" s="45" t="s">
        <v>136</v>
      </c>
      <c r="B472" s="48" t="s">
        <v>171</v>
      </c>
      <c r="C472" s="32">
        <v>136</v>
      </c>
      <c r="D472" s="32"/>
      <c r="E472" s="48" t="s">
        <v>20</v>
      </c>
      <c r="F472" s="48" t="s">
        <v>15</v>
      </c>
      <c r="G472" s="48" t="s">
        <v>55</v>
      </c>
      <c r="H472" s="11">
        <v>4.6500000000000004</v>
      </c>
      <c r="I472" s="8">
        <v>9.6999999999999993</v>
      </c>
      <c r="J472" s="7">
        <v>1</v>
      </c>
      <c r="K472" s="10">
        <v>4.5104999999999999E-2</v>
      </c>
      <c r="L472" s="32"/>
      <c r="M472" s="32"/>
      <c r="N472" s="18">
        <v>0</v>
      </c>
      <c r="O472" s="19">
        <v>1</v>
      </c>
      <c r="P472" s="13">
        <v>4.5104999999999999E-2</v>
      </c>
      <c r="Q472" s="32"/>
      <c r="R472" s="32"/>
      <c r="S472" s="32"/>
    </row>
    <row r="473" spans="1:19">
      <c r="A473" s="45" t="s">
        <v>136</v>
      </c>
      <c r="B473" s="48" t="s">
        <v>171</v>
      </c>
      <c r="C473" s="32">
        <v>136</v>
      </c>
      <c r="D473" s="32"/>
      <c r="E473" s="48" t="s">
        <v>20</v>
      </c>
      <c r="F473" s="48" t="s">
        <v>15</v>
      </c>
      <c r="G473" s="48" t="s">
        <v>55</v>
      </c>
      <c r="H473" s="11">
        <v>4.6500000000000004</v>
      </c>
      <c r="I473" s="8">
        <v>8.3000000000000007</v>
      </c>
      <c r="J473" s="7">
        <v>1</v>
      </c>
      <c r="K473" s="10">
        <v>3.8595000000000004E-2</v>
      </c>
      <c r="L473" s="32"/>
      <c r="M473" s="32"/>
      <c r="N473" s="18">
        <v>0</v>
      </c>
      <c r="O473" s="19">
        <v>1</v>
      </c>
      <c r="P473" s="13">
        <v>3.8595000000000004E-2</v>
      </c>
      <c r="Q473" s="32"/>
      <c r="R473" s="32"/>
      <c r="S473" s="32"/>
    </row>
    <row r="474" spans="1:19">
      <c r="A474" s="45" t="s">
        <v>136</v>
      </c>
      <c r="B474" s="48" t="s">
        <v>171</v>
      </c>
      <c r="C474" s="32">
        <v>136</v>
      </c>
      <c r="D474" s="32"/>
      <c r="E474" s="48" t="s">
        <v>20</v>
      </c>
      <c r="F474" s="48" t="s">
        <v>15</v>
      </c>
      <c r="G474" s="48" t="s">
        <v>55</v>
      </c>
      <c r="H474" s="11">
        <v>4.6500000000000004</v>
      </c>
      <c r="I474" s="8">
        <v>8.6999999999999993</v>
      </c>
      <c r="J474" s="7">
        <v>1</v>
      </c>
      <c r="K474" s="10">
        <v>4.0454999999999998E-2</v>
      </c>
      <c r="L474" s="32"/>
      <c r="M474" s="32"/>
      <c r="N474" s="18">
        <v>0</v>
      </c>
      <c r="O474" s="19">
        <v>1</v>
      </c>
      <c r="P474" s="13">
        <v>4.0454999999999998E-2</v>
      </c>
      <c r="Q474" s="32"/>
      <c r="R474" s="32"/>
      <c r="S474" s="32"/>
    </row>
    <row r="475" spans="1:19">
      <c r="A475" s="45" t="s">
        <v>136</v>
      </c>
      <c r="B475" s="48" t="s">
        <v>171</v>
      </c>
      <c r="C475" s="32">
        <v>136</v>
      </c>
      <c r="D475" s="32"/>
      <c r="E475" s="48" t="s">
        <v>20</v>
      </c>
      <c r="F475" s="48" t="s">
        <v>15</v>
      </c>
      <c r="G475" s="48" t="s">
        <v>55</v>
      </c>
      <c r="H475" s="11">
        <v>4.6500000000000004</v>
      </c>
      <c r="I475" s="8">
        <v>7.8</v>
      </c>
      <c r="J475" s="7">
        <v>1</v>
      </c>
      <c r="K475" s="10">
        <v>3.6270000000000004E-2</v>
      </c>
      <c r="L475" s="32"/>
      <c r="M475" s="32"/>
      <c r="N475" s="18">
        <v>0</v>
      </c>
      <c r="O475" s="19">
        <v>1</v>
      </c>
      <c r="P475" s="13">
        <v>3.6270000000000004E-2</v>
      </c>
      <c r="Q475" s="32"/>
      <c r="R475" s="32"/>
      <c r="S475" s="32"/>
    </row>
    <row r="476" spans="1:19">
      <c r="A476" s="45" t="s">
        <v>136</v>
      </c>
      <c r="B476" s="48" t="s">
        <v>171</v>
      </c>
      <c r="C476" s="32">
        <v>136</v>
      </c>
      <c r="D476" s="32"/>
      <c r="E476" s="48" t="s">
        <v>20</v>
      </c>
      <c r="F476" s="48" t="s">
        <v>15</v>
      </c>
      <c r="G476" s="48" t="s">
        <v>55</v>
      </c>
      <c r="H476" s="11">
        <v>4.6500000000000004</v>
      </c>
      <c r="I476" s="8">
        <v>6.9</v>
      </c>
      <c r="J476" s="7">
        <v>1</v>
      </c>
      <c r="K476" s="10">
        <v>3.2085000000000002E-2</v>
      </c>
      <c r="L476" s="32"/>
      <c r="M476" s="32"/>
      <c r="N476" s="18">
        <v>0</v>
      </c>
      <c r="O476" s="19">
        <v>1</v>
      </c>
      <c r="P476" s="13">
        <v>3.2085000000000002E-2</v>
      </c>
      <c r="Q476" s="32"/>
      <c r="R476" s="32"/>
      <c r="S476" s="32"/>
    </row>
    <row r="477" spans="1:19">
      <c r="A477" s="45" t="s">
        <v>136</v>
      </c>
      <c r="B477" s="48" t="s">
        <v>171</v>
      </c>
      <c r="C477" s="32">
        <v>142</v>
      </c>
      <c r="D477" s="32"/>
      <c r="E477" s="48" t="s">
        <v>94</v>
      </c>
      <c r="F477" s="48" t="s">
        <v>15</v>
      </c>
      <c r="G477" s="48" t="s">
        <v>55</v>
      </c>
      <c r="H477" s="11">
        <v>4.6500000000000004</v>
      </c>
      <c r="I477" s="8">
        <v>10.5</v>
      </c>
      <c r="J477" s="7">
        <v>1</v>
      </c>
      <c r="K477" s="10">
        <v>4.8825E-2</v>
      </c>
      <c r="L477" s="32"/>
      <c r="M477" s="32"/>
      <c r="N477" s="18">
        <v>0</v>
      </c>
      <c r="O477" s="19">
        <v>1</v>
      </c>
      <c r="P477" s="13">
        <v>4.8825E-2</v>
      </c>
      <c r="Q477" s="32"/>
      <c r="R477" s="32"/>
      <c r="S477" s="32"/>
    </row>
    <row r="478" spans="1:19">
      <c r="A478" s="45" t="s">
        <v>136</v>
      </c>
      <c r="B478" s="48" t="s">
        <v>171</v>
      </c>
      <c r="C478" s="32">
        <v>142</v>
      </c>
      <c r="D478" s="32"/>
      <c r="E478" s="48" t="s">
        <v>94</v>
      </c>
      <c r="F478" s="48" t="s">
        <v>15</v>
      </c>
      <c r="G478" s="48" t="s">
        <v>55</v>
      </c>
      <c r="H478" s="11">
        <v>4.6500000000000004</v>
      </c>
      <c r="I478" s="8">
        <v>11.4</v>
      </c>
      <c r="J478" s="7">
        <v>1</v>
      </c>
      <c r="K478" s="10">
        <v>5.3010000000000009E-2</v>
      </c>
      <c r="L478" s="32"/>
      <c r="M478" s="32">
        <v>1</v>
      </c>
      <c r="N478" s="18">
        <v>5.3010000000000009E-2</v>
      </c>
      <c r="O478" s="19">
        <v>0</v>
      </c>
      <c r="P478" s="13">
        <v>0</v>
      </c>
      <c r="Q478" s="32"/>
      <c r="R478" s="101">
        <v>1</v>
      </c>
      <c r="S478" s="101" t="s">
        <v>222</v>
      </c>
    </row>
    <row r="479" spans="1:19">
      <c r="A479" s="45" t="s">
        <v>136</v>
      </c>
      <c r="B479" s="48" t="s">
        <v>171</v>
      </c>
      <c r="C479" s="32">
        <v>142</v>
      </c>
      <c r="D479" s="32"/>
      <c r="E479" s="48" t="s">
        <v>94</v>
      </c>
      <c r="F479" s="48" t="s">
        <v>15</v>
      </c>
      <c r="G479" s="48" t="s">
        <v>55</v>
      </c>
      <c r="H479" s="11">
        <v>4.6500000000000004</v>
      </c>
      <c r="I479" s="8">
        <v>11.5</v>
      </c>
      <c r="J479" s="7">
        <v>8</v>
      </c>
      <c r="K479" s="10">
        <v>0.42780000000000001</v>
      </c>
      <c r="L479" s="32"/>
      <c r="M479" s="32">
        <v>8</v>
      </c>
      <c r="N479" s="18">
        <v>0.42780000000000001</v>
      </c>
      <c r="O479" s="19">
        <v>0</v>
      </c>
      <c r="P479" s="13">
        <v>0</v>
      </c>
      <c r="Q479" s="32"/>
      <c r="R479" s="101">
        <v>8</v>
      </c>
      <c r="S479" s="101" t="s">
        <v>222</v>
      </c>
    </row>
    <row r="480" spans="1:19">
      <c r="A480" s="45" t="s">
        <v>136</v>
      </c>
      <c r="B480" s="48" t="s">
        <v>171</v>
      </c>
      <c r="C480" s="32">
        <v>150</v>
      </c>
      <c r="D480" s="32"/>
      <c r="E480" s="48" t="s">
        <v>94</v>
      </c>
      <c r="F480" s="48" t="s">
        <v>15</v>
      </c>
      <c r="G480" s="48" t="s">
        <v>55</v>
      </c>
      <c r="H480" s="11">
        <v>4.6500000000000004</v>
      </c>
      <c r="I480" s="9">
        <v>11</v>
      </c>
      <c r="J480" s="7">
        <v>1</v>
      </c>
      <c r="K480" s="10">
        <v>5.1150000000000008E-2</v>
      </c>
      <c r="L480" s="32"/>
      <c r="M480" s="32">
        <v>1</v>
      </c>
      <c r="N480" s="18">
        <v>5.1150000000000008E-2</v>
      </c>
      <c r="O480" s="19">
        <v>0</v>
      </c>
      <c r="P480" s="13">
        <v>0</v>
      </c>
      <c r="Q480" s="32"/>
      <c r="R480" s="101">
        <v>1</v>
      </c>
      <c r="S480" s="101" t="s">
        <v>222</v>
      </c>
    </row>
    <row r="481" spans="1:19">
      <c r="A481" s="45" t="s">
        <v>136</v>
      </c>
      <c r="B481" s="48" t="s">
        <v>171</v>
      </c>
      <c r="C481" s="32">
        <v>150</v>
      </c>
      <c r="D481" s="32"/>
      <c r="E481" s="48" t="s">
        <v>94</v>
      </c>
      <c r="F481" s="48" t="s">
        <v>15</v>
      </c>
      <c r="G481" s="48" t="s">
        <v>55</v>
      </c>
      <c r="H481" s="11">
        <v>4.6500000000000004</v>
      </c>
      <c r="I481" s="9">
        <v>11.5</v>
      </c>
      <c r="J481" s="7">
        <v>6</v>
      </c>
      <c r="K481" s="10">
        <v>0.32085000000000002</v>
      </c>
      <c r="L481" s="32"/>
      <c r="M481" s="32">
        <v>6</v>
      </c>
      <c r="N481" s="18">
        <v>0.32085000000000002</v>
      </c>
      <c r="O481" s="19">
        <v>0</v>
      </c>
      <c r="P481" s="13">
        <v>0</v>
      </c>
      <c r="Q481" s="32"/>
      <c r="R481" s="101">
        <v>6</v>
      </c>
      <c r="S481" s="101" t="s">
        <v>222</v>
      </c>
    </row>
    <row r="482" spans="1:19">
      <c r="R482" s="76">
        <f>SUM(R478:R481)</f>
        <v>16</v>
      </c>
    </row>
    <row r="484" spans="1:19">
      <c r="A484" s="42" t="s">
        <v>77</v>
      </c>
      <c r="B484" s="3" t="s">
        <v>68</v>
      </c>
      <c r="C484" s="3">
        <v>258</v>
      </c>
      <c r="D484" s="1"/>
      <c r="E484" s="20" t="s">
        <v>17</v>
      </c>
      <c r="F484" s="7" t="s">
        <v>15</v>
      </c>
      <c r="G484" s="7" t="s">
        <v>16</v>
      </c>
      <c r="H484" s="11">
        <v>5.77</v>
      </c>
      <c r="I484" s="8">
        <v>8.4</v>
      </c>
      <c r="J484" s="26">
        <v>1</v>
      </c>
      <c r="K484" s="10">
        <v>4.8467999999999997E-2</v>
      </c>
      <c r="L484" s="4"/>
      <c r="M484" s="17"/>
      <c r="N484" s="18">
        <v>0</v>
      </c>
      <c r="O484" s="19">
        <v>1</v>
      </c>
      <c r="P484" s="13">
        <v>4.8467999999999997E-2</v>
      </c>
      <c r="Q484" s="9"/>
      <c r="R484" s="2"/>
      <c r="S484" s="2"/>
    </row>
    <row r="485" spans="1:19">
      <c r="A485" s="42" t="s">
        <v>77</v>
      </c>
      <c r="B485" s="3" t="s">
        <v>68</v>
      </c>
      <c r="C485" s="3">
        <v>258</v>
      </c>
      <c r="D485" s="1"/>
      <c r="E485" s="20" t="s">
        <v>17</v>
      </c>
      <c r="F485" s="7" t="s">
        <v>15</v>
      </c>
      <c r="G485" s="7" t="s">
        <v>16</v>
      </c>
      <c r="H485" s="11">
        <v>5.77</v>
      </c>
      <c r="I485" s="8">
        <v>9.6</v>
      </c>
      <c r="J485" s="26">
        <v>1</v>
      </c>
      <c r="K485" s="10">
        <v>5.5391999999999997E-2</v>
      </c>
      <c r="L485" s="4"/>
      <c r="M485" s="17"/>
      <c r="N485" s="18">
        <v>0</v>
      </c>
      <c r="O485" s="19">
        <v>1</v>
      </c>
      <c r="P485" s="13">
        <v>5.5391999999999997E-2</v>
      </c>
      <c r="Q485" s="9"/>
      <c r="R485" s="2"/>
      <c r="S485" s="2"/>
    </row>
    <row r="486" spans="1:19">
      <c r="A486" s="42" t="s">
        <v>77</v>
      </c>
      <c r="B486" s="3" t="s">
        <v>68</v>
      </c>
      <c r="C486" s="3">
        <v>258</v>
      </c>
      <c r="D486" s="1"/>
      <c r="E486" s="20" t="s">
        <v>17</v>
      </c>
      <c r="F486" s="7" t="s">
        <v>15</v>
      </c>
      <c r="G486" s="7" t="s">
        <v>16</v>
      </c>
      <c r="H486" s="11">
        <v>5.77</v>
      </c>
      <c r="I486" s="8">
        <v>12</v>
      </c>
      <c r="J486" s="26">
        <v>5</v>
      </c>
      <c r="K486" s="10">
        <v>0.34620000000000001</v>
      </c>
      <c r="L486" s="4"/>
      <c r="M486" s="17"/>
      <c r="N486" s="18">
        <v>0</v>
      </c>
      <c r="O486" s="19">
        <v>5</v>
      </c>
      <c r="P486" s="13">
        <v>0.34620000000000001</v>
      </c>
      <c r="Q486" s="9"/>
      <c r="R486" s="2"/>
      <c r="S486" s="2"/>
    </row>
    <row r="487" spans="1:19">
      <c r="A487" s="48" t="s">
        <v>168</v>
      </c>
      <c r="B487" s="48" t="s">
        <v>169</v>
      </c>
      <c r="C487" s="32">
        <v>11</v>
      </c>
      <c r="D487" s="32"/>
      <c r="E487" s="48" t="s">
        <v>20</v>
      </c>
      <c r="F487" s="48" t="s">
        <v>15</v>
      </c>
      <c r="G487" s="48" t="s">
        <v>16</v>
      </c>
      <c r="H487" s="11">
        <v>5.77</v>
      </c>
      <c r="I487" s="52">
        <v>6.3</v>
      </c>
      <c r="J487" s="7">
        <v>1</v>
      </c>
      <c r="K487" s="10">
        <v>3.6351000000000001E-2</v>
      </c>
      <c r="L487" s="32" t="s">
        <v>104</v>
      </c>
      <c r="M487" s="32"/>
      <c r="N487" s="18">
        <v>0</v>
      </c>
      <c r="O487" s="19">
        <v>1</v>
      </c>
      <c r="P487" s="13">
        <v>3.6351000000000001E-2</v>
      </c>
      <c r="Q487" s="32"/>
      <c r="R487" s="32"/>
      <c r="S487" s="32"/>
    </row>
    <row r="488" spans="1:19">
      <c r="A488" s="42" t="s">
        <v>78</v>
      </c>
      <c r="B488" s="3"/>
      <c r="C488" s="3">
        <v>5</v>
      </c>
      <c r="D488" s="1"/>
      <c r="E488" s="20" t="s">
        <v>82</v>
      </c>
      <c r="F488" s="7" t="s">
        <v>15</v>
      </c>
      <c r="G488" s="7" t="s">
        <v>16</v>
      </c>
      <c r="H488" s="11">
        <v>5.77</v>
      </c>
      <c r="I488" s="8">
        <v>11.5</v>
      </c>
      <c r="J488" s="26">
        <v>3</v>
      </c>
      <c r="K488" s="10">
        <v>0.19906499999999996</v>
      </c>
      <c r="L488" s="4"/>
      <c r="M488" s="17"/>
      <c r="N488" s="18">
        <v>0</v>
      </c>
      <c r="O488" s="19">
        <v>3</v>
      </c>
      <c r="P488" s="13">
        <v>0.19906499999999999</v>
      </c>
      <c r="Q488" s="9"/>
      <c r="R488" s="2"/>
      <c r="S488" s="2"/>
    </row>
    <row r="489" spans="1:19">
      <c r="A489" s="42" t="s">
        <v>78</v>
      </c>
      <c r="B489" s="3"/>
      <c r="C489" s="3">
        <v>5</v>
      </c>
      <c r="D489" s="1"/>
      <c r="E489" s="20" t="s">
        <v>82</v>
      </c>
      <c r="F489" s="7" t="s">
        <v>15</v>
      </c>
      <c r="G489" s="7" t="s">
        <v>16</v>
      </c>
      <c r="H489" s="11">
        <v>5.77</v>
      </c>
      <c r="I489" s="8">
        <v>9.4</v>
      </c>
      <c r="J489" s="26">
        <v>2</v>
      </c>
      <c r="K489" s="10">
        <v>0.108476</v>
      </c>
      <c r="L489" s="4"/>
      <c r="M489" s="17">
        <v>2</v>
      </c>
      <c r="N489" s="18">
        <v>0.108476</v>
      </c>
      <c r="O489" s="19">
        <v>0</v>
      </c>
      <c r="P489" s="13">
        <v>0</v>
      </c>
      <c r="Q489" s="9"/>
      <c r="R489" s="103">
        <v>2</v>
      </c>
      <c r="S489" s="103" t="s">
        <v>222</v>
      </c>
    </row>
    <row r="490" spans="1:19">
      <c r="A490" s="42" t="s">
        <v>78</v>
      </c>
      <c r="B490" s="3"/>
      <c r="C490" s="3">
        <v>5</v>
      </c>
      <c r="D490" s="1"/>
      <c r="E490" s="20" t="s">
        <v>82</v>
      </c>
      <c r="F490" s="7" t="s">
        <v>15</v>
      </c>
      <c r="G490" s="7" t="s">
        <v>16</v>
      </c>
      <c r="H490" s="11">
        <v>5.77</v>
      </c>
      <c r="I490" s="8">
        <v>9</v>
      </c>
      <c r="J490" s="26">
        <v>4</v>
      </c>
      <c r="K490" s="10">
        <v>0.20771999999999996</v>
      </c>
      <c r="L490" s="4"/>
      <c r="M490" s="17">
        <v>4</v>
      </c>
      <c r="N490" s="18">
        <v>0.20771999999999996</v>
      </c>
      <c r="O490" s="19">
        <v>0</v>
      </c>
      <c r="P490" s="13">
        <v>0</v>
      </c>
      <c r="Q490" s="9"/>
      <c r="R490" s="103">
        <v>4</v>
      </c>
      <c r="S490" s="103" t="s">
        <v>222</v>
      </c>
    </row>
    <row r="491" spans="1:19">
      <c r="A491" s="42" t="s">
        <v>78</v>
      </c>
      <c r="B491" s="3"/>
      <c r="C491" s="3">
        <v>5</v>
      </c>
      <c r="D491" s="1"/>
      <c r="E491" s="20" t="s">
        <v>82</v>
      </c>
      <c r="F491" s="7" t="s">
        <v>15</v>
      </c>
      <c r="G491" s="7" t="s">
        <v>16</v>
      </c>
      <c r="H491" s="11">
        <v>5.77</v>
      </c>
      <c r="I491" s="8">
        <v>8.5</v>
      </c>
      <c r="J491" s="26">
        <v>1</v>
      </c>
      <c r="K491" s="10">
        <v>4.9044999999999991E-2</v>
      </c>
      <c r="L491" s="4"/>
      <c r="M491" s="17">
        <v>1</v>
      </c>
      <c r="N491" s="18">
        <v>4.9044999999999991E-2</v>
      </c>
      <c r="O491" s="19">
        <v>0</v>
      </c>
      <c r="P491" s="13">
        <v>0</v>
      </c>
      <c r="Q491" s="9"/>
      <c r="R491" s="103">
        <v>1</v>
      </c>
      <c r="S491" s="103" t="s">
        <v>222</v>
      </c>
    </row>
    <row r="492" spans="1:19">
      <c r="A492" s="42" t="s">
        <v>78</v>
      </c>
      <c r="B492" s="3"/>
      <c r="C492" s="3">
        <v>5</v>
      </c>
      <c r="D492" s="1"/>
      <c r="E492" s="20" t="s">
        <v>82</v>
      </c>
      <c r="F492" s="7" t="s">
        <v>15</v>
      </c>
      <c r="G492" s="7" t="s">
        <v>16</v>
      </c>
      <c r="H492" s="11">
        <v>5.77</v>
      </c>
      <c r="I492" s="8">
        <v>7.75</v>
      </c>
      <c r="J492" s="26">
        <v>4</v>
      </c>
      <c r="K492" s="10">
        <v>0.17886999999999997</v>
      </c>
      <c r="L492" s="4"/>
      <c r="M492" s="17">
        <v>4</v>
      </c>
      <c r="N492" s="18">
        <v>0.17886999999999997</v>
      </c>
      <c r="O492" s="19">
        <v>0</v>
      </c>
      <c r="P492" s="13">
        <v>0</v>
      </c>
      <c r="Q492" s="9"/>
      <c r="R492" s="103">
        <v>4</v>
      </c>
      <c r="S492" s="103" t="s">
        <v>222</v>
      </c>
    </row>
    <row r="493" spans="1:19">
      <c r="A493" s="42" t="s">
        <v>78</v>
      </c>
      <c r="B493" s="3"/>
      <c r="C493" s="3">
        <v>4</v>
      </c>
      <c r="D493" s="1"/>
      <c r="E493" s="20" t="s">
        <v>17</v>
      </c>
      <c r="F493" s="7" t="s">
        <v>15</v>
      </c>
      <c r="G493" s="7" t="s">
        <v>16</v>
      </c>
      <c r="H493" s="11">
        <v>5.77</v>
      </c>
      <c r="I493" s="8">
        <v>7</v>
      </c>
      <c r="J493" s="26">
        <v>2</v>
      </c>
      <c r="K493" s="10">
        <v>8.0780000000000005E-2</v>
      </c>
      <c r="L493" s="4"/>
      <c r="M493" s="17"/>
      <c r="N493" s="18">
        <v>0</v>
      </c>
      <c r="O493" s="19">
        <v>2</v>
      </c>
      <c r="P493" s="13">
        <v>8.0780000000000005E-2</v>
      </c>
      <c r="Q493" s="9"/>
      <c r="R493" s="2"/>
      <c r="S493" s="2"/>
    </row>
    <row r="494" spans="1:19">
      <c r="A494" s="42" t="s">
        <v>78</v>
      </c>
      <c r="B494" s="3"/>
      <c r="C494" s="3">
        <v>4</v>
      </c>
      <c r="D494" s="1"/>
      <c r="E494" s="20" t="s">
        <v>17</v>
      </c>
      <c r="F494" s="7" t="s">
        <v>15</v>
      </c>
      <c r="G494" s="7" t="s">
        <v>16</v>
      </c>
      <c r="H494" s="11">
        <v>5.77</v>
      </c>
      <c r="I494" s="8">
        <v>7.75</v>
      </c>
      <c r="J494" s="26">
        <v>1</v>
      </c>
      <c r="K494" s="10">
        <v>4.4717499999999993E-2</v>
      </c>
      <c r="L494" s="4"/>
      <c r="M494" s="17">
        <v>1</v>
      </c>
      <c r="N494" s="18">
        <v>4.4717499999999993E-2</v>
      </c>
      <c r="O494" s="19">
        <v>0</v>
      </c>
      <c r="P494" s="13">
        <v>0</v>
      </c>
      <c r="Q494" s="9"/>
      <c r="R494" s="103">
        <v>1</v>
      </c>
      <c r="S494" s="103" t="s">
        <v>222</v>
      </c>
    </row>
    <row r="495" spans="1:19">
      <c r="A495" s="42" t="s">
        <v>78</v>
      </c>
      <c r="B495" s="3"/>
      <c r="C495" s="3">
        <v>78</v>
      </c>
      <c r="D495" s="1"/>
      <c r="E495" s="20" t="s">
        <v>17</v>
      </c>
      <c r="F495" s="7" t="s">
        <v>15</v>
      </c>
      <c r="G495" s="7" t="s">
        <v>16</v>
      </c>
      <c r="H495" s="11">
        <v>5.77</v>
      </c>
      <c r="I495" s="8">
        <v>11</v>
      </c>
      <c r="J495" s="26">
        <v>1</v>
      </c>
      <c r="K495" s="10">
        <v>6.3469999999999999E-2</v>
      </c>
      <c r="L495" s="4"/>
      <c r="M495" s="17"/>
      <c r="N495" s="18">
        <v>0</v>
      </c>
      <c r="O495" s="19">
        <v>1</v>
      </c>
      <c r="P495" s="13">
        <v>6.3469999999999999E-2</v>
      </c>
      <c r="Q495" s="9"/>
      <c r="R495" s="2"/>
      <c r="S495" s="2"/>
    </row>
    <row r="496" spans="1:19">
      <c r="A496" s="42" t="s">
        <v>78</v>
      </c>
      <c r="B496" s="3"/>
      <c r="C496" s="3">
        <v>78</v>
      </c>
      <c r="D496" s="1"/>
      <c r="E496" s="20" t="s">
        <v>17</v>
      </c>
      <c r="F496" s="7" t="s">
        <v>15</v>
      </c>
      <c r="G496" s="7" t="s">
        <v>16</v>
      </c>
      <c r="H496" s="11">
        <v>5.77</v>
      </c>
      <c r="I496" s="8">
        <v>9.5</v>
      </c>
      <c r="J496" s="26">
        <v>1</v>
      </c>
      <c r="K496" s="10">
        <v>5.4814999999999996E-2</v>
      </c>
      <c r="L496" s="4"/>
      <c r="M496" s="17">
        <v>1</v>
      </c>
      <c r="N496" s="18">
        <v>5.4814999999999996E-2</v>
      </c>
      <c r="O496" s="19">
        <v>0</v>
      </c>
      <c r="P496" s="13">
        <v>0</v>
      </c>
      <c r="Q496" s="9"/>
      <c r="R496" s="103">
        <v>1</v>
      </c>
      <c r="S496" s="103" t="s">
        <v>222</v>
      </c>
    </row>
    <row r="497" spans="1:19">
      <c r="A497" s="42" t="s">
        <v>78</v>
      </c>
      <c r="B497" s="3"/>
      <c r="C497" s="3">
        <v>78</v>
      </c>
      <c r="D497" s="1"/>
      <c r="E497" s="20" t="s">
        <v>17</v>
      </c>
      <c r="F497" s="7" t="s">
        <v>15</v>
      </c>
      <c r="G497" s="7" t="s">
        <v>16</v>
      </c>
      <c r="H497" s="11">
        <v>5.77</v>
      </c>
      <c r="I497" s="8">
        <v>8.5</v>
      </c>
      <c r="J497" s="26">
        <v>1</v>
      </c>
      <c r="K497" s="10">
        <v>4.9044999999999991E-2</v>
      </c>
      <c r="L497" s="4"/>
      <c r="M497" s="17"/>
      <c r="N497" s="18">
        <v>0</v>
      </c>
      <c r="O497" s="19">
        <v>1</v>
      </c>
      <c r="P497" s="13">
        <v>4.9044999999999991E-2</v>
      </c>
      <c r="Q497" s="9"/>
      <c r="R497" s="2"/>
      <c r="S497" s="2"/>
    </row>
    <row r="498" spans="1:19">
      <c r="O498" s="6">
        <f>SUM(O484:O497)</f>
        <v>15</v>
      </c>
      <c r="R498" s="6">
        <f>SUM(R484:R497)</f>
        <v>13</v>
      </c>
    </row>
    <row r="500" spans="1:19">
      <c r="A500" s="48" t="s">
        <v>168</v>
      </c>
      <c r="B500" s="48" t="s">
        <v>169</v>
      </c>
      <c r="C500" s="32">
        <v>5</v>
      </c>
      <c r="D500" s="32"/>
      <c r="E500" s="48" t="s">
        <v>20</v>
      </c>
      <c r="F500" s="48" t="s">
        <v>15</v>
      </c>
      <c r="G500" s="48" t="s">
        <v>18</v>
      </c>
      <c r="H500" s="11">
        <v>6.86</v>
      </c>
      <c r="I500" s="52">
        <v>8.75</v>
      </c>
      <c r="J500" s="7">
        <v>1</v>
      </c>
      <c r="K500" s="10">
        <v>6.0025000000000009E-2</v>
      </c>
      <c r="L500" s="32" t="s">
        <v>104</v>
      </c>
      <c r="M500" s="32"/>
      <c r="N500" s="18">
        <v>0</v>
      </c>
      <c r="O500" s="19">
        <v>1</v>
      </c>
      <c r="P500" s="13">
        <v>6.0025000000000009E-2</v>
      </c>
      <c r="Q500" s="32"/>
      <c r="R500" s="32"/>
      <c r="S500" s="32"/>
    </row>
    <row r="501" spans="1:19">
      <c r="A501" s="42" t="s">
        <v>78</v>
      </c>
      <c r="B501" s="3"/>
      <c r="C501" s="3">
        <v>11</v>
      </c>
      <c r="D501" s="1"/>
      <c r="E501" s="12" t="s">
        <v>100</v>
      </c>
      <c r="F501" s="7" t="s">
        <v>15</v>
      </c>
      <c r="G501" s="7" t="s">
        <v>18</v>
      </c>
      <c r="H501" s="11">
        <v>6.86</v>
      </c>
      <c r="I501" s="8">
        <v>11</v>
      </c>
      <c r="J501" s="26">
        <v>12</v>
      </c>
      <c r="K501" s="10">
        <v>0.9055200000000001</v>
      </c>
      <c r="L501" s="4"/>
      <c r="M501" s="17">
        <v>12</v>
      </c>
      <c r="N501" s="18">
        <v>0.9055200000000001</v>
      </c>
      <c r="O501" s="19">
        <v>0</v>
      </c>
      <c r="P501" s="13">
        <v>0</v>
      </c>
      <c r="Q501" s="9"/>
      <c r="R501" s="2"/>
      <c r="S501" s="2"/>
    </row>
    <row r="502" spans="1:19">
      <c r="A502" s="42" t="s">
        <v>78</v>
      </c>
      <c r="B502" s="3"/>
      <c r="C502" s="3">
        <v>14</v>
      </c>
      <c r="D502" s="1"/>
      <c r="E502" s="12" t="s">
        <v>100</v>
      </c>
      <c r="F502" s="7" t="s">
        <v>15</v>
      </c>
      <c r="G502" s="7" t="s">
        <v>18</v>
      </c>
      <c r="H502" s="11">
        <v>6.86</v>
      </c>
      <c r="I502" s="8">
        <v>12</v>
      </c>
      <c r="J502" s="26">
        <v>9</v>
      </c>
      <c r="K502" s="10">
        <v>0.74088000000000009</v>
      </c>
      <c r="L502" s="4"/>
      <c r="M502" s="17">
        <v>9</v>
      </c>
      <c r="N502" s="18">
        <v>0.74087999999999998</v>
      </c>
      <c r="O502" s="19">
        <v>0</v>
      </c>
      <c r="P502" s="13">
        <v>0</v>
      </c>
      <c r="Q502" s="9"/>
      <c r="R502" s="2"/>
      <c r="S502" s="2"/>
    </row>
    <row r="503" spans="1:19">
      <c r="A503" s="42" t="s">
        <v>84</v>
      </c>
      <c r="B503" s="3" t="s">
        <v>121</v>
      </c>
      <c r="C503" s="3">
        <v>1</v>
      </c>
      <c r="D503" s="1"/>
      <c r="E503" s="24" t="s">
        <v>85</v>
      </c>
      <c r="F503" s="7" t="s">
        <v>15</v>
      </c>
      <c r="G503" s="7" t="s">
        <v>18</v>
      </c>
      <c r="H503" s="11">
        <v>6.86</v>
      </c>
      <c r="I503" s="8">
        <v>12</v>
      </c>
      <c r="J503" s="26">
        <v>8</v>
      </c>
      <c r="K503" s="10">
        <v>0.65856000000000003</v>
      </c>
      <c r="L503" s="4"/>
      <c r="M503" s="17">
        <v>8</v>
      </c>
      <c r="N503" s="18">
        <v>0.65856000000000003</v>
      </c>
      <c r="O503" s="19">
        <v>0</v>
      </c>
      <c r="P503" s="13">
        <v>0</v>
      </c>
      <c r="Q503" s="9"/>
      <c r="R503" s="2"/>
      <c r="S503" s="2"/>
    </row>
    <row r="504" spans="1:19">
      <c r="A504" s="42" t="s">
        <v>84</v>
      </c>
      <c r="B504" s="3" t="s">
        <v>121</v>
      </c>
      <c r="C504" s="3">
        <v>1</v>
      </c>
      <c r="D504" s="1"/>
      <c r="E504" s="24" t="s">
        <v>85</v>
      </c>
      <c r="F504" s="7" t="s">
        <v>15</v>
      </c>
      <c r="G504" s="7" t="s">
        <v>18</v>
      </c>
      <c r="H504" s="11">
        <v>6.86</v>
      </c>
      <c r="I504" s="8">
        <v>11</v>
      </c>
      <c r="J504" s="26">
        <v>6</v>
      </c>
      <c r="K504" s="10">
        <v>0.45276000000000005</v>
      </c>
      <c r="L504" s="4"/>
      <c r="M504" s="17">
        <v>6</v>
      </c>
      <c r="N504" s="18">
        <v>0.45276000000000005</v>
      </c>
      <c r="O504" s="19">
        <v>0</v>
      </c>
      <c r="P504" s="13">
        <v>0</v>
      </c>
      <c r="Q504" s="9"/>
      <c r="R504" s="2"/>
      <c r="S504" s="2"/>
    </row>
    <row r="505" spans="1:19">
      <c r="A505" s="42" t="s">
        <v>84</v>
      </c>
      <c r="B505" s="3" t="s">
        <v>121</v>
      </c>
      <c r="C505" s="3">
        <v>1</v>
      </c>
      <c r="D505" s="1"/>
      <c r="E505" s="24" t="s">
        <v>85</v>
      </c>
      <c r="F505" s="7" t="s">
        <v>15</v>
      </c>
      <c r="G505" s="7" t="s">
        <v>18</v>
      </c>
      <c r="H505" s="11">
        <v>6.86</v>
      </c>
      <c r="I505" s="8">
        <v>8.5</v>
      </c>
      <c r="J505" s="26">
        <v>1</v>
      </c>
      <c r="K505" s="10">
        <v>5.8310000000000001E-2</v>
      </c>
      <c r="L505" s="4"/>
      <c r="M505" s="17"/>
      <c r="N505" s="18">
        <v>0</v>
      </c>
      <c r="O505" s="19">
        <v>1</v>
      </c>
      <c r="P505" s="13">
        <v>5.8310000000000001E-2</v>
      </c>
      <c r="Q505" s="9"/>
      <c r="R505" s="2"/>
      <c r="S505" s="2"/>
    </row>
    <row r="506" spans="1:19">
      <c r="A506" s="42" t="s">
        <v>84</v>
      </c>
      <c r="B506" s="3" t="s">
        <v>121</v>
      </c>
      <c r="C506" s="3">
        <v>1</v>
      </c>
      <c r="D506" s="1"/>
      <c r="E506" s="20" t="s">
        <v>74</v>
      </c>
      <c r="F506" s="7" t="s">
        <v>15</v>
      </c>
      <c r="G506" s="7" t="s">
        <v>18</v>
      </c>
      <c r="H506" s="11">
        <v>6.86</v>
      </c>
      <c r="I506" s="8">
        <v>8.6999999999999993</v>
      </c>
      <c r="J506" s="26">
        <v>2</v>
      </c>
      <c r="K506" s="10">
        <v>0.11936399999999998</v>
      </c>
      <c r="L506" s="4"/>
      <c r="M506" s="17"/>
      <c r="N506" s="18">
        <v>0</v>
      </c>
      <c r="O506" s="19">
        <v>2</v>
      </c>
      <c r="P506" s="13">
        <v>0.11936399999999998</v>
      </c>
      <c r="Q506" s="9"/>
      <c r="R506" s="2"/>
      <c r="S506" s="2"/>
    </row>
    <row r="507" spans="1:19">
      <c r="A507" s="42" t="s">
        <v>84</v>
      </c>
      <c r="B507" s="3" t="s">
        <v>121</v>
      </c>
      <c r="C507" s="3">
        <v>1</v>
      </c>
      <c r="D507" s="1"/>
      <c r="E507" s="20" t="s">
        <v>74</v>
      </c>
      <c r="F507" s="7" t="s">
        <v>15</v>
      </c>
      <c r="G507" s="7" t="s">
        <v>18</v>
      </c>
      <c r="H507" s="11">
        <v>6.86</v>
      </c>
      <c r="I507" s="8">
        <v>9.1999999999999993</v>
      </c>
      <c r="J507" s="26">
        <v>5</v>
      </c>
      <c r="K507" s="10">
        <v>0.31555999999999995</v>
      </c>
      <c r="L507" s="4"/>
      <c r="M507" s="17">
        <v>5</v>
      </c>
      <c r="N507" s="18">
        <v>0.31556000000000001</v>
      </c>
      <c r="O507" s="19">
        <v>0</v>
      </c>
      <c r="P507" s="13">
        <v>0</v>
      </c>
      <c r="Q507" s="9"/>
      <c r="R507" s="47">
        <v>5</v>
      </c>
      <c r="S507" s="47" t="s">
        <v>222</v>
      </c>
    </row>
    <row r="508" spans="1:19">
      <c r="A508" s="42" t="s">
        <v>84</v>
      </c>
      <c r="B508" s="3" t="s">
        <v>121</v>
      </c>
      <c r="C508" s="3">
        <v>1</v>
      </c>
      <c r="D508" s="1"/>
      <c r="E508" s="20" t="s">
        <v>74</v>
      </c>
      <c r="F508" s="7" t="s">
        <v>15</v>
      </c>
      <c r="G508" s="7" t="s">
        <v>18</v>
      </c>
      <c r="H508" s="11">
        <v>6.86</v>
      </c>
      <c r="I508" s="8">
        <v>9.5</v>
      </c>
      <c r="J508" s="26">
        <v>2</v>
      </c>
      <c r="K508" s="10">
        <v>0.13034000000000001</v>
      </c>
      <c r="L508" s="4"/>
      <c r="M508" s="17">
        <v>2</v>
      </c>
      <c r="N508" s="18">
        <v>0.13034000000000001</v>
      </c>
      <c r="O508" s="19">
        <v>0</v>
      </c>
      <c r="P508" s="13">
        <v>0</v>
      </c>
      <c r="Q508" s="9"/>
      <c r="R508" s="47">
        <v>2</v>
      </c>
      <c r="S508" s="47" t="s">
        <v>222</v>
      </c>
    </row>
    <row r="509" spans="1:19">
      <c r="A509" s="42" t="s">
        <v>84</v>
      </c>
      <c r="B509" s="3" t="s">
        <v>121</v>
      </c>
      <c r="C509" s="3">
        <v>1</v>
      </c>
      <c r="D509" s="1"/>
      <c r="E509" s="20" t="s">
        <v>74</v>
      </c>
      <c r="F509" s="7" t="s">
        <v>15</v>
      </c>
      <c r="G509" s="7" t="s">
        <v>18</v>
      </c>
      <c r="H509" s="11">
        <v>6.86</v>
      </c>
      <c r="I509" s="8">
        <v>10</v>
      </c>
      <c r="J509" s="26">
        <v>4</v>
      </c>
      <c r="K509" s="10">
        <v>0.27440000000000003</v>
      </c>
      <c r="L509" s="4"/>
      <c r="M509" s="17">
        <v>4</v>
      </c>
      <c r="N509" s="18">
        <v>0.27440000000000003</v>
      </c>
      <c r="O509" s="19">
        <v>0</v>
      </c>
      <c r="P509" s="13">
        <v>0</v>
      </c>
      <c r="Q509" s="9"/>
      <c r="R509" s="47">
        <v>4</v>
      </c>
      <c r="S509" s="47" t="s">
        <v>222</v>
      </c>
    </row>
    <row r="510" spans="1:19">
      <c r="A510" s="42" t="s">
        <v>84</v>
      </c>
      <c r="B510" s="3" t="s">
        <v>121</v>
      </c>
      <c r="C510" s="3">
        <v>1</v>
      </c>
      <c r="D510" s="1"/>
      <c r="E510" s="20" t="s">
        <v>74</v>
      </c>
      <c r="F510" s="7" t="s">
        <v>15</v>
      </c>
      <c r="G510" s="7" t="s">
        <v>18</v>
      </c>
      <c r="H510" s="11">
        <v>6.86</v>
      </c>
      <c r="I510" s="8">
        <v>11.5</v>
      </c>
      <c r="J510" s="26">
        <v>1</v>
      </c>
      <c r="K510" s="10">
        <v>7.8890000000000002E-2</v>
      </c>
      <c r="L510" s="4"/>
      <c r="M510" s="17">
        <v>1</v>
      </c>
      <c r="N510" s="18">
        <v>7.8890000000000002E-2</v>
      </c>
      <c r="O510" s="19">
        <v>0</v>
      </c>
      <c r="P510" s="13">
        <v>0</v>
      </c>
      <c r="Q510" s="9"/>
      <c r="R510" s="47">
        <v>1</v>
      </c>
      <c r="S510" s="47" t="s">
        <v>222</v>
      </c>
    </row>
    <row r="511" spans="1:19">
      <c r="A511" s="42" t="s">
        <v>90</v>
      </c>
      <c r="B511" s="48" t="s">
        <v>148</v>
      </c>
      <c r="C511" s="32">
        <v>27</v>
      </c>
      <c r="D511" s="32"/>
      <c r="E511" s="48" t="s">
        <v>20</v>
      </c>
      <c r="F511" s="48" t="s">
        <v>15</v>
      </c>
      <c r="G511" s="48" t="s">
        <v>18</v>
      </c>
      <c r="H511" s="11">
        <v>6.86</v>
      </c>
      <c r="I511" s="52">
        <v>7.8</v>
      </c>
      <c r="J511" s="7">
        <v>1</v>
      </c>
      <c r="K511" s="10">
        <v>5.3508E-2</v>
      </c>
      <c r="L511" s="32"/>
      <c r="M511" s="32">
        <v>1</v>
      </c>
      <c r="N511" s="18">
        <v>5.3508E-2</v>
      </c>
      <c r="O511" s="19">
        <v>0</v>
      </c>
      <c r="P511" s="13">
        <v>0</v>
      </c>
      <c r="Q511" s="32"/>
      <c r="R511" s="93">
        <v>1</v>
      </c>
      <c r="S511" s="47" t="s">
        <v>222</v>
      </c>
    </row>
    <row r="512" spans="1:19">
      <c r="A512" s="42" t="s">
        <v>90</v>
      </c>
      <c r="B512" s="48" t="s">
        <v>148</v>
      </c>
      <c r="C512" s="32">
        <v>27</v>
      </c>
      <c r="D512" s="32"/>
      <c r="E512" s="48" t="s">
        <v>20</v>
      </c>
      <c r="F512" s="48" t="s">
        <v>15</v>
      </c>
      <c r="G512" s="48" t="s">
        <v>18</v>
      </c>
      <c r="H512" s="11">
        <v>6.86</v>
      </c>
      <c r="I512" s="52">
        <v>9</v>
      </c>
      <c r="J512" s="7">
        <v>2</v>
      </c>
      <c r="K512" s="10">
        <v>0.12348000000000001</v>
      </c>
      <c r="L512" s="32"/>
      <c r="M512" s="32">
        <v>2</v>
      </c>
      <c r="N512" s="18">
        <v>0.12348000000000001</v>
      </c>
      <c r="O512" s="19">
        <v>0</v>
      </c>
      <c r="P512" s="13">
        <v>0</v>
      </c>
      <c r="Q512" s="32"/>
      <c r="R512" s="93">
        <v>2</v>
      </c>
      <c r="S512" s="47" t="s">
        <v>222</v>
      </c>
    </row>
    <row r="513" spans="1:19">
      <c r="A513" s="42" t="s">
        <v>90</v>
      </c>
      <c r="B513" s="48" t="s">
        <v>148</v>
      </c>
      <c r="C513" s="32">
        <v>27</v>
      </c>
      <c r="D513" s="32"/>
      <c r="E513" s="48" t="s">
        <v>20</v>
      </c>
      <c r="F513" s="48" t="s">
        <v>15</v>
      </c>
      <c r="G513" s="48" t="s">
        <v>18</v>
      </c>
      <c r="H513" s="11">
        <v>6.86</v>
      </c>
      <c r="I513" s="52">
        <v>11.65</v>
      </c>
      <c r="J513" s="7">
        <v>1</v>
      </c>
      <c r="K513" s="10">
        <v>7.9919000000000018E-2</v>
      </c>
      <c r="L513" s="32"/>
      <c r="M513" s="32">
        <v>1</v>
      </c>
      <c r="N513" s="18">
        <v>7.9919000000000018E-2</v>
      </c>
      <c r="O513" s="19">
        <v>0</v>
      </c>
      <c r="P513" s="13">
        <v>0</v>
      </c>
      <c r="Q513" s="32"/>
      <c r="R513" s="93">
        <v>1</v>
      </c>
      <c r="S513" s="47" t="s">
        <v>222</v>
      </c>
    </row>
    <row r="514" spans="1:19">
      <c r="A514" s="42" t="s">
        <v>90</v>
      </c>
      <c r="B514" s="48" t="s">
        <v>148</v>
      </c>
      <c r="C514" s="32">
        <v>31</v>
      </c>
      <c r="D514" s="32"/>
      <c r="E514" s="48" t="s">
        <v>20</v>
      </c>
      <c r="F514" s="48" t="s">
        <v>15</v>
      </c>
      <c r="G514" s="48" t="s">
        <v>18</v>
      </c>
      <c r="H514" s="11">
        <v>6.86</v>
      </c>
      <c r="I514" s="52">
        <v>12</v>
      </c>
      <c r="J514" s="7">
        <v>2</v>
      </c>
      <c r="K514" s="10">
        <v>0.16464000000000001</v>
      </c>
      <c r="L514" s="32"/>
      <c r="M514" s="32">
        <v>2</v>
      </c>
      <c r="N514" s="18">
        <v>0.16464000000000001</v>
      </c>
      <c r="O514" s="19">
        <v>0</v>
      </c>
      <c r="P514" s="13">
        <v>0</v>
      </c>
      <c r="Q514" s="32"/>
      <c r="R514" s="93">
        <v>2</v>
      </c>
      <c r="S514" s="47" t="s">
        <v>222</v>
      </c>
    </row>
    <row r="515" spans="1:19">
      <c r="A515" s="47" t="s">
        <v>147</v>
      </c>
      <c r="B515" s="48" t="s">
        <v>148</v>
      </c>
      <c r="C515" s="32">
        <v>363</v>
      </c>
      <c r="D515" s="32" t="s">
        <v>142</v>
      </c>
      <c r="E515" s="48" t="s">
        <v>89</v>
      </c>
      <c r="F515" s="48" t="s">
        <v>160</v>
      </c>
      <c r="G515" s="48" t="s">
        <v>18</v>
      </c>
      <c r="H515" s="11">
        <v>6.86</v>
      </c>
      <c r="I515" s="52">
        <v>10</v>
      </c>
      <c r="J515" s="7">
        <v>2</v>
      </c>
      <c r="K515" s="10">
        <v>0.13720000000000002</v>
      </c>
      <c r="L515" s="32"/>
      <c r="M515" s="32">
        <v>2</v>
      </c>
      <c r="N515" s="18">
        <v>0.13720000000000002</v>
      </c>
      <c r="O515" s="19">
        <v>0</v>
      </c>
      <c r="P515" s="13">
        <v>0</v>
      </c>
      <c r="Q515" s="32"/>
      <c r="R515" s="32"/>
      <c r="S515" s="32"/>
    </row>
    <row r="516" spans="1:19">
      <c r="A516" s="47" t="s">
        <v>147</v>
      </c>
      <c r="B516" s="48" t="s">
        <v>148</v>
      </c>
      <c r="C516" s="32">
        <v>363</v>
      </c>
      <c r="D516" s="32" t="s">
        <v>142</v>
      </c>
      <c r="E516" s="48" t="s">
        <v>89</v>
      </c>
      <c r="F516" s="48" t="s">
        <v>160</v>
      </c>
      <c r="G516" s="48" t="s">
        <v>18</v>
      </c>
      <c r="H516" s="11">
        <v>6.86</v>
      </c>
      <c r="I516" s="52">
        <v>11.5</v>
      </c>
      <c r="J516" s="7">
        <v>21</v>
      </c>
      <c r="K516" s="10">
        <v>1.65669</v>
      </c>
      <c r="L516" s="32"/>
      <c r="M516" s="32">
        <v>21</v>
      </c>
      <c r="N516" s="18">
        <v>1.65669</v>
      </c>
      <c r="O516" s="19">
        <v>0</v>
      </c>
      <c r="P516" s="13">
        <v>0</v>
      </c>
      <c r="Q516" s="32"/>
      <c r="R516" s="32"/>
      <c r="S516" s="32"/>
    </row>
    <row r="517" spans="1:19">
      <c r="A517" s="47" t="s">
        <v>147</v>
      </c>
      <c r="B517" s="48" t="s">
        <v>148</v>
      </c>
      <c r="C517" s="32">
        <v>364</v>
      </c>
      <c r="D517" s="32" t="s">
        <v>142</v>
      </c>
      <c r="E517" s="48" t="s">
        <v>89</v>
      </c>
      <c r="F517" s="48" t="s">
        <v>160</v>
      </c>
      <c r="G517" s="48" t="s">
        <v>18</v>
      </c>
      <c r="H517" s="11">
        <v>6.86</v>
      </c>
      <c r="I517" s="52">
        <v>9.5</v>
      </c>
      <c r="J517" s="7">
        <v>2</v>
      </c>
      <c r="K517" s="10">
        <v>0.13034000000000001</v>
      </c>
      <c r="L517" s="32"/>
      <c r="M517" s="32"/>
      <c r="N517" s="18">
        <v>0</v>
      </c>
      <c r="O517" s="19">
        <v>2</v>
      </c>
      <c r="P517" s="13">
        <v>0.13034000000000001</v>
      </c>
      <c r="Q517" s="32"/>
      <c r="R517" s="32"/>
      <c r="S517" s="32"/>
    </row>
    <row r="518" spans="1:19">
      <c r="A518" s="42" t="s">
        <v>78</v>
      </c>
      <c r="B518" s="3" t="s">
        <v>80</v>
      </c>
      <c r="C518" s="3">
        <v>3</v>
      </c>
      <c r="D518" s="1"/>
      <c r="E518" s="12" t="s">
        <v>76</v>
      </c>
      <c r="F518" s="7" t="s">
        <v>15</v>
      </c>
      <c r="G518" s="7" t="s">
        <v>18</v>
      </c>
      <c r="H518" s="11">
        <v>6.86</v>
      </c>
      <c r="I518" s="8">
        <v>12</v>
      </c>
      <c r="J518" s="26">
        <v>5</v>
      </c>
      <c r="K518" s="10">
        <v>0.41160000000000002</v>
      </c>
      <c r="L518" s="4"/>
      <c r="M518" s="17">
        <v>5</v>
      </c>
      <c r="N518" s="18">
        <v>0.41160000000000002</v>
      </c>
      <c r="O518" s="19">
        <v>0</v>
      </c>
      <c r="P518" s="13">
        <v>0</v>
      </c>
      <c r="Q518" s="9"/>
      <c r="R518" s="2"/>
      <c r="S518" s="2"/>
    </row>
    <row r="519" spans="1:19">
      <c r="A519" s="45" t="s">
        <v>136</v>
      </c>
      <c r="B519" s="48" t="s">
        <v>171</v>
      </c>
      <c r="C519" s="32">
        <v>112</v>
      </c>
      <c r="D519" s="32"/>
      <c r="E519" s="48" t="s">
        <v>20</v>
      </c>
      <c r="F519" s="48" t="s">
        <v>15</v>
      </c>
      <c r="G519" s="48" t="s">
        <v>18</v>
      </c>
      <c r="H519" s="11">
        <v>6.86</v>
      </c>
      <c r="I519" s="52">
        <v>12</v>
      </c>
      <c r="J519" s="7">
        <v>3</v>
      </c>
      <c r="K519" s="10">
        <v>0.24696000000000004</v>
      </c>
      <c r="L519" s="32"/>
      <c r="M519" s="32"/>
      <c r="N519" s="18">
        <v>0</v>
      </c>
      <c r="O519" s="19">
        <v>3</v>
      </c>
      <c r="P519" s="13">
        <v>0.24696000000000001</v>
      </c>
      <c r="Q519" s="32"/>
      <c r="R519" s="32"/>
      <c r="S519" s="32"/>
    </row>
    <row r="520" spans="1:19">
      <c r="O520" s="6">
        <f>SUM(O500:O519)</f>
        <v>9</v>
      </c>
      <c r="R520" s="6">
        <f>SUM(R500:R519)</f>
        <v>18</v>
      </c>
    </row>
    <row r="522" spans="1:19">
      <c r="A522" s="42" t="s">
        <v>90</v>
      </c>
      <c r="B522" s="48" t="s">
        <v>148</v>
      </c>
      <c r="C522" s="32">
        <v>86</v>
      </c>
      <c r="D522" s="32"/>
      <c r="E522" s="48" t="s">
        <v>152</v>
      </c>
      <c r="F522" s="48" t="s">
        <v>15</v>
      </c>
      <c r="G522" s="48" t="s">
        <v>21</v>
      </c>
      <c r="H522" s="11">
        <v>6.97</v>
      </c>
      <c r="I522" s="8">
        <v>12</v>
      </c>
      <c r="J522" s="7">
        <v>8</v>
      </c>
      <c r="K522" s="10">
        <v>0.66912000000000005</v>
      </c>
      <c r="L522" s="32"/>
      <c r="M522" s="32">
        <v>6</v>
      </c>
      <c r="N522" s="18">
        <v>0.50183999999999995</v>
      </c>
      <c r="O522" s="19">
        <v>2</v>
      </c>
      <c r="P522" s="13">
        <v>0.16728000000000001</v>
      </c>
      <c r="Q522" s="91">
        <v>12</v>
      </c>
      <c r="R522" s="91">
        <v>6</v>
      </c>
      <c r="S522" s="91" t="s">
        <v>223</v>
      </c>
    </row>
    <row r="523" spans="1:19">
      <c r="A523" s="42" t="s">
        <v>90</v>
      </c>
      <c r="B523" s="48" t="s">
        <v>148</v>
      </c>
      <c r="C523" s="32">
        <v>96</v>
      </c>
      <c r="D523" s="32"/>
      <c r="E523" s="48" t="s">
        <v>152</v>
      </c>
      <c r="F523" s="48" t="s">
        <v>15</v>
      </c>
      <c r="G523" s="48" t="s">
        <v>21</v>
      </c>
      <c r="H523" s="11">
        <v>6.97</v>
      </c>
      <c r="I523" s="8">
        <v>11.4</v>
      </c>
      <c r="J523" s="7">
        <v>1</v>
      </c>
      <c r="K523" s="10">
        <v>7.9458000000000001E-2</v>
      </c>
      <c r="L523" s="32"/>
      <c r="M523" s="32"/>
      <c r="N523" s="18">
        <v>0</v>
      </c>
      <c r="O523" s="19">
        <v>1</v>
      </c>
      <c r="P523" s="13">
        <v>7.9458000000000001E-2</v>
      </c>
      <c r="Q523" s="32"/>
      <c r="R523" s="32"/>
      <c r="S523" s="32"/>
    </row>
    <row r="524" spans="1:19">
      <c r="A524" s="42" t="s">
        <v>90</v>
      </c>
      <c r="B524" s="48" t="s">
        <v>148</v>
      </c>
      <c r="C524" s="32">
        <v>96</v>
      </c>
      <c r="D524" s="32"/>
      <c r="E524" s="48" t="s">
        <v>152</v>
      </c>
      <c r="F524" s="48" t="s">
        <v>15</v>
      </c>
      <c r="G524" s="48" t="s">
        <v>21</v>
      </c>
      <c r="H524" s="11">
        <v>6.97</v>
      </c>
      <c r="I524" s="8">
        <v>9.4</v>
      </c>
      <c r="J524" s="7">
        <v>1</v>
      </c>
      <c r="K524" s="10">
        <v>6.5518000000000007E-2</v>
      </c>
      <c r="L524" s="32"/>
      <c r="M524" s="32"/>
      <c r="N524" s="18">
        <v>0</v>
      </c>
      <c r="O524" s="19">
        <v>1</v>
      </c>
      <c r="P524" s="13">
        <v>6.5518000000000007E-2</v>
      </c>
      <c r="Q524" s="32"/>
      <c r="R524" s="32"/>
      <c r="S524" s="32"/>
    </row>
    <row r="525" spans="1:19">
      <c r="A525" s="42" t="s">
        <v>90</v>
      </c>
      <c r="B525" s="48" t="s">
        <v>148</v>
      </c>
      <c r="C525" s="32">
        <v>96</v>
      </c>
      <c r="D525" s="32"/>
      <c r="E525" s="48" t="s">
        <v>152</v>
      </c>
      <c r="F525" s="48" t="s">
        <v>15</v>
      </c>
      <c r="G525" s="48" t="s">
        <v>21</v>
      </c>
      <c r="H525" s="11">
        <v>6.97</v>
      </c>
      <c r="I525" s="8">
        <v>10.199999999999999</v>
      </c>
      <c r="J525" s="7">
        <v>1</v>
      </c>
      <c r="K525" s="10">
        <v>7.1093999999999991E-2</v>
      </c>
      <c r="L525" s="32"/>
      <c r="M525" s="32"/>
      <c r="N525" s="18">
        <v>0</v>
      </c>
      <c r="O525" s="19">
        <v>1</v>
      </c>
      <c r="P525" s="13">
        <v>7.1093999999999991E-2</v>
      </c>
      <c r="Q525" s="32"/>
      <c r="R525" s="32"/>
      <c r="S525" s="32"/>
    </row>
    <row r="526" spans="1:19">
      <c r="A526" s="42" t="s">
        <v>90</v>
      </c>
      <c r="B526" s="48" t="s">
        <v>148</v>
      </c>
      <c r="C526" s="32">
        <v>96</v>
      </c>
      <c r="D526" s="32"/>
      <c r="E526" s="48" t="s">
        <v>152</v>
      </c>
      <c r="F526" s="48" t="s">
        <v>15</v>
      </c>
      <c r="G526" s="48" t="s">
        <v>21</v>
      </c>
      <c r="H526" s="11">
        <v>6.97</v>
      </c>
      <c r="I526" s="8">
        <v>12</v>
      </c>
      <c r="J526" s="7">
        <v>1</v>
      </c>
      <c r="K526" s="10">
        <v>8.3640000000000006E-2</v>
      </c>
      <c r="L526" s="32"/>
      <c r="M526" s="32"/>
      <c r="N526" s="18">
        <v>0</v>
      </c>
      <c r="O526" s="19">
        <v>1</v>
      </c>
      <c r="P526" s="13">
        <v>8.3640000000000006E-2</v>
      </c>
      <c r="Q526" s="32"/>
      <c r="R526" s="32"/>
      <c r="S526" s="32"/>
    </row>
    <row r="527" spans="1:19">
      <c r="A527" s="42" t="s">
        <v>90</v>
      </c>
      <c r="B527" s="48" t="s">
        <v>148</v>
      </c>
      <c r="C527" s="32">
        <v>98</v>
      </c>
      <c r="D527" s="32"/>
      <c r="E527" s="48" t="s">
        <v>152</v>
      </c>
      <c r="F527" s="48" t="s">
        <v>15</v>
      </c>
      <c r="G527" s="48" t="s">
        <v>21</v>
      </c>
      <c r="H527" s="11">
        <v>6.97</v>
      </c>
      <c r="I527" s="8">
        <v>12</v>
      </c>
      <c r="J527" s="7">
        <v>1</v>
      </c>
      <c r="K527" s="10">
        <v>8.3640000000000006E-2</v>
      </c>
      <c r="L527" s="32"/>
      <c r="M527" s="32"/>
      <c r="N527" s="18">
        <v>0</v>
      </c>
      <c r="O527" s="19">
        <v>1</v>
      </c>
      <c r="P527" s="13">
        <v>8.3640000000000006E-2</v>
      </c>
      <c r="Q527" s="32"/>
      <c r="R527" s="32"/>
      <c r="S527" s="32"/>
    </row>
    <row r="530" spans="1:19">
      <c r="A530" s="42" t="s">
        <v>77</v>
      </c>
      <c r="B530" s="3" t="s">
        <v>68</v>
      </c>
      <c r="C530" s="3">
        <v>201</v>
      </c>
      <c r="D530" s="1"/>
      <c r="E530" s="12" t="s">
        <v>20</v>
      </c>
      <c r="F530" s="7" t="s">
        <v>15</v>
      </c>
      <c r="G530" s="7" t="s">
        <v>34</v>
      </c>
      <c r="H530" s="11">
        <v>9.61</v>
      </c>
      <c r="I530" s="8">
        <v>11.3</v>
      </c>
      <c r="J530" s="26">
        <v>4</v>
      </c>
      <c r="K530" s="10">
        <v>0.43437200000000004</v>
      </c>
      <c r="L530" s="4"/>
      <c r="M530" s="17">
        <v>4</v>
      </c>
      <c r="N530" s="18">
        <v>0.43437200000000004</v>
      </c>
      <c r="O530" s="19">
        <v>0</v>
      </c>
      <c r="P530" s="13">
        <v>0</v>
      </c>
      <c r="Q530" s="9"/>
      <c r="R530" s="90">
        <v>4</v>
      </c>
      <c r="S530" s="91" t="s">
        <v>259</v>
      </c>
    </row>
    <row r="531" spans="1:19">
      <c r="A531" s="42" t="s">
        <v>77</v>
      </c>
      <c r="B531" s="3" t="s">
        <v>68</v>
      </c>
      <c r="C531" s="3">
        <v>201</v>
      </c>
      <c r="D531" s="1"/>
      <c r="E531" s="12" t="s">
        <v>20</v>
      </c>
      <c r="F531" s="7" t="s">
        <v>15</v>
      </c>
      <c r="G531" s="7" t="s">
        <v>34</v>
      </c>
      <c r="H531" s="11">
        <v>9.61</v>
      </c>
      <c r="I531" s="8">
        <v>12</v>
      </c>
      <c r="J531" s="26">
        <v>1</v>
      </c>
      <c r="K531" s="10">
        <v>0.11531999999999999</v>
      </c>
      <c r="L531" s="4"/>
      <c r="M531" s="17">
        <v>1</v>
      </c>
      <c r="N531" s="18">
        <v>0.11531999999999999</v>
      </c>
      <c r="O531" s="19">
        <v>0</v>
      </c>
      <c r="P531" s="13">
        <v>0</v>
      </c>
      <c r="Q531" s="9"/>
      <c r="R531" s="90">
        <v>1</v>
      </c>
      <c r="S531" s="91" t="s">
        <v>259</v>
      </c>
    </row>
    <row r="532" spans="1:19">
      <c r="A532" s="42" t="s">
        <v>77</v>
      </c>
      <c r="B532" s="3" t="s">
        <v>68</v>
      </c>
      <c r="C532" s="3">
        <v>250</v>
      </c>
      <c r="D532" s="1"/>
      <c r="E532" s="12" t="s">
        <v>20</v>
      </c>
      <c r="F532" s="7" t="s">
        <v>15</v>
      </c>
      <c r="G532" s="7" t="s">
        <v>34</v>
      </c>
      <c r="H532" s="11">
        <v>9.61</v>
      </c>
      <c r="I532" s="8">
        <v>7.75</v>
      </c>
      <c r="J532" s="26">
        <v>1</v>
      </c>
      <c r="K532" s="10">
        <v>7.4477499999999988E-2</v>
      </c>
      <c r="L532" s="4"/>
      <c r="M532" s="17">
        <v>1</v>
      </c>
      <c r="N532" s="18">
        <v>7.4477499999999988E-2</v>
      </c>
      <c r="O532" s="19">
        <v>0</v>
      </c>
      <c r="P532" s="13">
        <v>0</v>
      </c>
      <c r="Q532" s="9"/>
      <c r="R532" s="90">
        <v>1</v>
      </c>
      <c r="S532" s="91" t="s">
        <v>259</v>
      </c>
    </row>
    <row r="533" spans="1:19">
      <c r="A533" s="42" t="s">
        <v>77</v>
      </c>
      <c r="B533" s="3" t="s">
        <v>68</v>
      </c>
      <c r="C533" s="3">
        <v>250</v>
      </c>
      <c r="D533" s="1"/>
      <c r="E533" s="12" t="s">
        <v>20</v>
      </c>
      <c r="F533" s="7" t="s">
        <v>15</v>
      </c>
      <c r="G533" s="7" t="s">
        <v>34</v>
      </c>
      <c r="H533" s="11">
        <v>9.61</v>
      </c>
      <c r="I533" s="8">
        <v>10.6</v>
      </c>
      <c r="J533" s="26">
        <v>1</v>
      </c>
      <c r="K533" s="10">
        <v>0.10186599999999998</v>
      </c>
      <c r="L533" s="4"/>
      <c r="M533" s="17">
        <v>1</v>
      </c>
      <c r="N533" s="18">
        <v>0.10186599999999998</v>
      </c>
      <c r="O533" s="19">
        <v>0</v>
      </c>
      <c r="P533" s="13">
        <v>0</v>
      </c>
      <c r="Q533" s="9"/>
      <c r="R533" s="90">
        <v>1</v>
      </c>
      <c r="S533" s="91" t="s">
        <v>259</v>
      </c>
    </row>
    <row r="534" spans="1:19">
      <c r="A534" s="42" t="s">
        <v>77</v>
      </c>
      <c r="B534" s="3" t="s">
        <v>68</v>
      </c>
      <c r="C534" s="3">
        <v>250</v>
      </c>
      <c r="D534" s="1"/>
      <c r="E534" s="12" t="s">
        <v>20</v>
      </c>
      <c r="F534" s="7" t="s">
        <v>15</v>
      </c>
      <c r="G534" s="7" t="s">
        <v>34</v>
      </c>
      <c r="H534" s="11">
        <v>9.61</v>
      </c>
      <c r="I534" s="8">
        <v>10</v>
      </c>
      <c r="J534" s="26">
        <v>2</v>
      </c>
      <c r="K534" s="10">
        <v>0.19219999999999998</v>
      </c>
      <c r="L534" s="4"/>
      <c r="M534" s="17">
        <v>2</v>
      </c>
      <c r="N534" s="18">
        <v>0.19219999999999998</v>
      </c>
      <c r="O534" s="19">
        <v>0</v>
      </c>
      <c r="P534" s="13">
        <v>0</v>
      </c>
      <c r="Q534" s="9"/>
      <c r="R534" s="90">
        <v>2</v>
      </c>
      <c r="S534" s="91" t="s">
        <v>259</v>
      </c>
    </row>
    <row r="535" spans="1:19">
      <c r="A535" s="42" t="s">
        <v>90</v>
      </c>
      <c r="B535" s="48" t="s">
        <v>148</v>
      </c>
      <c r="C535" s="32">
        <v>66</v>
      </c>
      <c r="D535" s="32"/>
      <c r="E535" s="69" t="s">
        <v>20</v>
      </c>
      <c r="F535" s="69" t="s">
        <v>15</v>
      </c>
      <c r="G535" s="69" t="s">
        <v>34</v>
      </c>
      <c r="H535" s="61">
        <v>9.61</v>
      </c>
      <c r="I535" s="70">
        <v>11.5</v>
      </c>
      <c r="J535" s="60">
        <v>1</v>
      </c>
      <c r="K535" s="62">
        <v>0.11051499999999999</v>
      </c>
      <c r="L535" s="67" t="s">
        <v>158</v>
      </c>
      <c r="M535" s="67"/>
      <c r="N535" s="63">
        <v>0</v>
      </c>
      <c r="O535" s="64">
        <v>1</v>
      </c>
      <c r="P535" s="65">
        <v>0.11051499999999999</v>
      </c>
      <c r="Q535" s="67"/>
      <c r="R535" s="32"/>
      <c r="S535" s="32"/>
    </row>
    <row r="536" spans="1:19">
      <c r="A536" s="42" t="s">
        <v>90</v>
      </c>
      <c r="B536" s="48" t="s">
        <v>148</v>
      </c>
      <c r="C536" s="32">
        <v>74</v>
      </c>
      <c r="D536" s="32"/>
      <c r="E536" s="48" t="s">
        <v>20</v>
      </c>
      <c r="F536" s="48" t="s">
        <v>15</v>
      </c>
      <c r="G536" s="48" t="s">
        <v>34</v>
      </c>
      <c r="H536" s="11">
        <v>9.61</v>
      </c>
      <c r="I536" s="52">
        <v>6</v>
      </c>
      <c r="J536" s="7">
        <v>1</v>
      </c>
      <c r="K536" s="10">
        <v>5.7659999999999996E-2</v>
      </c>
      <c r="L536" s="32"/>
      <c r="M536" s="32"/>
      <c r="N536" s="18">
        <v>0</v>
      </c>
      <c r="O536" s="19">
        <v>1</v>
      </c>
      <c r="P536" s="13">
        <v>5.7659999999999996E-2</v>
      </c>
      <c r="Q536" s="32"/>
      <c r="R536" s="32"/>
      <c r="S536" s="32"/>
    </row>
    <row r="537" spans="1:19">
      <c r="A537" s="42" t="s">
        <v>90</v>
      </c>
      <c r="B537" s="48" t="s">
        <v>148</v>
      </c>
      <c r="C537" s="32">
        <v>74</v>
      </c>
      <c r="D537" s="32"/>
      <c r="E537" s="48" t="s">
        <v>20</v>
      </c>
      <c r="F537" s="48" t="s">
        <v>15</v>
      </c>
      <c r="G537" s="48" t="s">
        <v>34</v>
      </c>
      <c r="H537" s="11">
        <v>9.61</v>
      </c>
      <c r="I537" s="52">
        <v>12</v>
      </c>
      <c r="J537" s="7">
        <v>2</v>
      </c>
      <c r="K537" s="10">
        <v>0.23063999999999998</v>
      </c>
      <c r="L537" s="32"/>
      <c r="M537" s="32"/>
      <c r="N537" s="18">
        <v>0</v>
      </c>
      <c r="O537" s="19">
        <v>2</v>
      </c>
      <c r="P537" s="13">
        <v>0.23063999999999998</v>
      </c>
      <c r="Q537" s="32"/>
      <c r="R537" s="32"/>
      <c r="S537" s="32"/>
    </row>
    <row r="538" spans="1:19">
      <c r="A538" s="42" t="s">
        <v>90</v>
      </c>
      <c r="B538" s="48" t="s">
        <v>148</v>
      </c>
      <c r="C538" s="32">
        <v>87</v>
      </c>
      <c r="D538" s="32"/>
      <c r="E538" s="48" t="s">
        <v>152</v>
      </c>
      <c r="F538" s="48" t="s">
        <v>15</v>
      </c>
      <c r="G538" s="48" t="s">
        <v>34</v>
      </c>
      <c r="H538" s="11">
        <v>9.61</v>
      </c>
      <c r="I538" s="52">
        <v>8</v>
      </c>
      <c r="J538" s="7">
        <v>1</v>
      </c>
      <c r="K538" s="10">
        <v>7.687999999999999E-2</v>
      </c>
      <c r="L538" s="32"/>
      <c r="M538" s="32"/>
      <c r="N538" s="18">
        <v>0</v>
      </c>
      <c r="O538" s="19">
        <v>1</v>
      </c>
      <c r="P538" s="13">
        <v>7.687999999999999E-2</v>
      </c>
      <c r="Q538" s="32"/>
      <c r="R538" s="32"/>
      <c r="S538" s="32"/>
    </row>
    <row r="539" spans="1:19">
      <c r="A539" s="42" t="s">
        <v>90</v>
      </c>
      <c r="B539" s="48" t="s">
        <v>148</v>
      </c>
      <c r="C539" s="32">
        <v>87</v>
      </c>
      <c r="D539" s="32"/>
      <c r="E539" s="48" t="s">
        <v>152</v>
      </c>
      <c r="F539" s="48" t="s">
        <v>15</v>
      </c>
      <c r="G539" s="48" t="s">
        <v>34</v>
      </c>
      <c r="H539" s="11">
        <v>9.61</v>
      </c>
      <c r="I539" s="52">
        <v>10.5</v>
      </c>
      <c r="J539" s="7">
        <v>2</v>
      </c>
      <c r="K539" s="10">
        <v>0.20180999999999999</v>
      </c>
      <c r="L539" s="32"/>
      <c r="M539" s="32">
        <v>2</v>
      </c>
      <c r="N539" s="18">
        <v>0.20180999999999999</v>
      </c>
      <c r="O539" s="19">
        <v>0</v>
      </c>
      <c r="P539" s="13">
        <v>0</v>
      </c>
      <c r="Q539" s="32"/>
      <c r="R539" s="91">
        <v>2</v>
      </c>
      <c r="S539" s="91" t="s">
        <v>259</v>
      </c>
    </row>
    <row r="540" spans="1:19">
      <c r="A540" s="42" t="s">
        <v>90</v>
      </c>
      <c r="B540" s="48" t="s">
        <v>148</v>
      </c>
      <c r="C540" s="32">
        <v>87</v>
      </c>
      <c r="D540" s="32"/>
      <c r="E540" s="48" t="s">
        <v>152</v>
      </c>
      <c r="F540" s="48" t="s">
        <v>15</v>
      </c>
      <c r="G540" s="48" t="s">
        <v>34</v>
      </c>
      <c r="H540" s="11">
        <v>9.61</v>
      </c>
      <c r="I540" s="52">
        <v>8.6</v>
      </c>
      <c r="J540" s="7">
        <v>1</v>
      </c>
      <c r="K540" s="10">
        <v>8.2645999999999983E-2</v>
      </c>
      <c r="L540" s="32"/>
      <c r="M540" s="32"/>
      <c r="N540" s="18">
        <v>0</v>
      </c>
      <c r="O540" s="19">
        <v>1</v>
      </c>
      <c r="P540" s="13">
        <v>8.2645999999999983E-2</v>
      </c>
      <c r="Q540" s="32"/>
      <c r="R540" s="32"/>
      <c r="S540" s="32"/>
    </row>
    <row r="541" spans="1:19">
      <c r="A541" s="42" t="s">
        <v>90</v>
      </c>
      <c r="B541" s="48" t="s">
        <v>148</v>
      </c>
      <c r="C541" s="32">
        <v>87</v>
      </c>
      <c r="D541" s="32"/>
      <c r="E541" s="48" t="s">
        <v>152</v>
      </c>
      <c r="F541" s="48" t="s">
        <v>15</v>
      </c>
      <c r="G541" s="48" t="s">
        <v>34</v>
      </c>
      <c r="H541" s="11">
        <v>9.61</v>
      </c>
      <c r="I541" s="52">
        <v>6.9</v>
      </c>
      <c r="J541" s="7">
        <v>1</v>
      </c>
      <c r="K541" s="10">
        <v>6.6308999999999993E-2</v>
      </c>
      <c r="L541" s="32"/>
      <c r="M541" s="32"/>
      <c r="N541" s="18">
        <v>0</v>
      </c>
      <c r="O541" s="19">
        <v>1</v>
      </c>
      <c r="P541" s="13">
        <v>6.6308999999999993E-2</v>
      </c>
      <c r="Q541" s="32"/>
      <c r="R541" s="32"/>
      <c r="S541" s="32"/>
    </row>
    <row r="542" spans="1:19">
      <c r="A542" s="42" t="s">
        <v>90</v>
      </c>
      <c r="B542" s="48" t="s">
        <v>148</v>
      </c>
      <c r="C542" s="32">
        <v>87</v>
      </c>
      <c r="D542" s="32"/>
      <c r="E542" s="48" t="s">
        <v>152</v>
      </c>
      <c r="F542" s="48" t="s">
        <v>15</v>
      </c>
      <c r="G542" s="48" t="s">
        <v>34</v>
      </c>
      <c r="H542" s="11">
        <v>9.61</v>
      </c>
      <c r="I542" s="52">
        <v>7</v>
      </c>
      <c r="J542" s="7">
        <v>1</v>
      </c>
      <c r="K542" s="10">
        <v>6.7269999999999996E-2</v>
      </c>
      <c r="L542" s="32"/>
      <c r="M542" s="32"/>
      <c r="N542" s="18">
        <v>0</v>
      </c>
      <c r="O542" s="19">
        <v>1</v>
      </c>
      <c r="P542" s="13">
        <v>6.7269999999999996E-2</v>
      </c>
      <c r="Q542" s="32"/>
      <c r="R542" s="32"/>
      <c r="S542" s="32"/>
    </row>
    <row r="543" spans="1:19">
      <c r="A543" s="42" t="s">
        <v>90</v>
      </c>
      <c r="B543" s="48" t="s">
        <v>148</v>
      </c>
      <c r="C543" s="32">
        <v>87</v>
      </c>
      <c r="D543" s="32"/>
      <c r="E543" s="48" t="s">
        <v>152</v>
      </c>
      <c r="F543" s="48" t="s">
        <v>15</v>
      </c>
      <c r="G543" s="48" t="s">
        <v>34</v>
      </c>
      <c r="H543" s="11">
        <v>9.61</v>
      </c>
      <c r="I543" s="52">
        <v>8.3000000000000007</v>
      </c>
      <c r="J543" s="7">
        <v>2</v>
      </c>
      <c r="K543" s="10">
        <v>0.159526</v>
      </c>
      <c r="L543" s="32"/>
      <c r="M543" s="32"/>
      <c r="N543" s="18">
        <v>0</v>
      </c>
      <c r="O543" s="19">
        <v>2</v>
      </c>
      <c r="P543" s="13">
        <v>0.159526</v>
      </c>
      <c r="Q543" s="32"/>
      <c r="R543" s="32"/>
      <c r="S543" s="32"/>
    </row>
    <row r="544" spans="1:19">
      <c r="A544" s="42" t="s">
        <v>90</v>
      </c>
      <c r="B544" s="3"/>
      <c r="C544" s="3">
        <v>102</v>
      </c>
      <c r="D544" s="1"/>
      <c r="E544" s="12" t="s">
        <v>20</v>
      </c>
      <c r="F544" s="7" t="s">
        <v>15</v>
      </c>
      <c r="G544" s="7" t="s">
        <v>34</v>
      </c>
      <c r="H544" s="11">
        <v>9.61</v>
      </c>
      <c r="I544" s="8">
        <v>10.5</v>
      </c>
      <c r="J544" s="26">
        <v>1</v>
      </c>
      <c r="K544" s="10">
        <v>0.10090499999999999</v>
      </c>
      <c r="L544" s="4"/>
      <c r="M544" s="17">
        <v>1</v>
      </c>
      <c r="N544" s="18">
        <v>0.10090499999999999</v>
      </c>
      <c r="O544" s="19">
        <v>0</v>
      </c>
      <c r="P544" s="13">
        <v>0</v>
      </c>
      <c r="Q544" s="9"/>
      <c r="R544" s="90">
        <v>1</v>
      </c>
      <c r="S544" s="91" t="s">
        <v>259</v>
      </c>
    </row>
    <row r="545" spans="1:19">
      <c r="A545" s="42" t="s">
        <v>90</v>
      </c>
      <c r="B545" s="3"/>
      <c r="C545" s="3">
        <v>102</v>
      </c>
      <c r="D545" s="1"/>
      <c r="E545" s="12" t="s">
        <v>20</v>
      </c>
      <c r="F545" s="7" t="s">
        <v>15</v>
      </c>
      <c r="G545" s="7" t="s">
        <v>34</v>
      </c>
      <c r="H545" s="11">
        <v>9.61</v>
      </c>
      <c r="I545" s="8">
        <v>11.5</v>
      </c>
      <c r="J545" s="26">
        <v>1</v>
      </c>
      <c r="K545" s="10">
        <v>0.11051499999999999</v>
      </c>
      <c r="L545" s="4"/>
      <c r="M545" s="17">
        <v>1</v>
      </c>
      <c r="N545" s="18">
        <v>0.11051499999999999</v>
      </c>
      <c r="O545" s="19">
        <v>0</v>
      </c>
      <c r="P545" s="13">
        <v>0</v>
      </c>
      <c r="Q545" s="9"/>
      <c r="R545" s="90">
        <v>1</v>
      </c>
      <c r="S545" s="91" t="s">
        <v>259</v>
      </c>
    </row>
    <row r="546" spans="1:19">
      <c r="A546" s="47" t="s">
        <v>147</v>
      </c>
      <c r="B546" s="48" t="s">
        <v>148</v>
      </c>
      <c r="C546" s="32">
        <v>272</v>
      </c>
      <c r="D546" s="32"/>
      <c r="E546" s="48" t="s">
        <v>89</v>
      </c>
      <c r="F546" s="48" t="s">
        <v>160</v>
      </c>
      <c r="G546" s="48" t="s">
        <v>34</v>
      </c>
      <c r="H546" s="11">
        <v>9.61</v>
      </c>
      <c r="I546" s="52">
        <v>12</v>
      </c>
      <c r="J546" s="7">
        <v>13</v>
      </c>
      <c r="K546" s="10">
        <v>1.4991599999999998</v>
      </c>
      <c r="L546" s="32"/>
      <c r="M546" s="32">
        <v>13</v>
      </c>
      <c r="N546" s="18">
        <v>1.4991599999999998</v>
      </c>
      <c r="O546" s="19">
        <v>0</v>
      </c>
      <c r="P546" s="13">
        <v>0</v>
      </c>
      <c r="Q546" s="32"/>
      <c r="R546" s="32"/>
      <c r="S546" s="32"/>
    </row>
    <row r="547" spans="1:19">
      <c r="A547" s="47" t="s">
        <v>147</v>
      </c>
      <c r="B547" s="48" t="s">
        <v>148</v>
      </c>
      <c r="C547" s="32">
        <v>273</v>
      </c>
      <c r="D547" s="32"/>
      <c r="E547" s="48" t="s">
        <v>89</v>
      </c>
      <c r="F547" s="48" t="s">
        <v>160</v>
      </c>
      <c r="G547" s="48" t="s">
        <v>34</v>
      </c>
      <c r="H547" s="11">
        <v>9.61</v>
      </c>
      <c r="I547" s="52">
        <v>11.5</v>
      </c>
      <c r="J547" s="7">
        <v>28</v>
      </c>
      <c r="K547" s="10">
        <v>3.0944199999999995</v>
      </c>
      <c r="L547" s="32"/>
      <c r="M547" s="32">
        <v>28</v>
      </c>
      <c r="N547" s="18">
        <v>3.0944199999999995</v>
      </c>
      <c r="O547" s="19">
        <v>0</v>
      </c>
      <c r="P547" s="13">
        <v>0</v>
      </c>
      <c r="Q547" s="32"/>
      <c r="R547" s="32"/>
      <c r="S547" s="32"/>
    </row>
    <row r="548" spans="1:19">
      <c r="A548" s="47" t="s">
        <v>147</v>
      </c>
      <c r="B548" s="48" t="s">
        <v>148</v>
      </c>
      <c r="C548" s="32">
        <v>274</v>
      </c>
      <c r="D548" s="32"/>
      <c r="E548" s="48" t="s">
        <v>89</v>
      </c>
      <c r="F548" s="48" t="s">
        <v>160</v>
      </c>
      <c r="G548" s="48" t="s">
        <v>34</v>
      </c>
      <c r="H548" s="11">
        <v>9.61</v>
      </c>
      <c r="I548" s="52">
        <v>11</v>
      </c>
      <c r="J548" s="7">
        <v>17</v>
      </c>
      <c r="K548" s="10">
        <v>1.7970699999999999</v>
      </c>
      <c r="L548" s="32"/>
      <c r="M548" s="32">
        <v>17</v>
      </c>
      <c r="N548" s="18">
        <v>1.7970699999999999</v>
      </c>
      <c r="O548" s="19">
        <v>0</v>
      </c>
      <c r="P548" s="13">
        <v>0</v>
      </c>
      <c r="Q548" s="32"/>
      <c r="R548" s="32"/>
      <c r="S548" s="32"/>
    </row>
    <row r="549" spans="1:19">
      <c r="A549" s="47" t="s">
        <v>147</v>
      </c>
      <c r="B549" s="48" t="s">
        <v>148</v>
      </c>
      <c r="C549" s="32">
        <v>275</v>
      </c>
      <c r="D549" s="32"/>
      <c r="E549" s="48" t="s">
        <v>89</v>
      </c>
      <c r="F549" s="48" t="s">
        <v>160</v>
      </c>
      <c r="G549" s="48" t="s">
        <v>34</v>
      </c>
      <c r="H549" s="11">
        <v>9.61</v>
      </c>
      <c r="I549" s="52">
        <v>11</v>
      </c>
      <c r="J549" s="7">
        <v>1</v>
      </c>
      <c r="K549" s="10">
        <v>0.10571</v>
      </c>
      <c r="L549" s="32"/>
      <c r="M549" s="32">
        <v>1</v>
      </c>
      <c r="N549" s="18">
        <v>0.10571</v>
      </c>
      <c r="O549" s="19">
        <v>0</v>
      </c>
      <c r="P549" s="13">
        <v>0</v>
      </c>
      <c r="Q549" s="32"/>
      <c r="R549" s="91">
        <v>1</v>
      </c>
      <c r="S549" s="91" t="s">
        <v>259</v>
      </c>
    </row>
    <row r="550" spans="1:19">
      <c r="A550" s="47" t="s">
        <v>147</v>
      </c>
      <c r="B550" s="48" t="s">
        <v>148</v>
      </c>
      <c r="C550" s="32">
        <v>275</v>
      </c>
      <c r="D550" s="32"/>
      <c r="E550" s="48" t="s">
        <v>89</v>
      </c>
      <c r="F550" s="48" t="s">
        <v>160</v>
      </c>
      <c r="G550" s="48" t="s">
        <v>34</v>
      </c>
      <c r="H550" s="11">
        <v>9.61</v>
      </c>
      <c r="I550" s="52">
        <v>11.5</v>
      </c>
      <c r="J550" s="7">
        <v>2</v>
      </c>
      <c r="K550" s="10">
        <v>0.22102999999999998</v>
      </c>
      <c r="L550" s="32"/>
      <c r="M550" s="32">
        <v>2</v>
      </c>
      <c r="N550" s="18">
        <v>0.22102999999999998</v>
      </c>
      <c r="O550" s="19">
        <v>0</v>
      </c>
      <c r="P550" s="13">
        <v>0</v>
      </c>
      <c r="Q550" s="32"/>
      <c r="R550" s="91">
        <v>2</v>
      </c>
      <c r="S550" s="91" t="s">
        <v>259</v>
      </c>
    </row>
    <row r="551" spans="1:19">
      <c r="A551" s="47" t="s">
        <v>147</v>
      </c>
      <c r="B551" s="48" t="s">
        <v>148</v>
      </c>
      <c r="C551" s="32">
        <v>275</v>
      </c>
      <c r="D551" s="32"/>
      <c r="E551" s="48" t="s">
        <v>89</v>
      </c>
      <c r="F551" s="48" t="s">
        <v>160</v>
      </c>
      <c r="G551" s="48" t="s">
        <v>34</v>
      </c>
      <c r="H551" s="11">
        <v>9.61</v>
      </c>
      <c r="I551" s="52">
        <v>12</v>
      </c>
      <c r="J551" s="7">
        <v>2</v>
      </c>
      <c r="K551" s="10">
        <v>0.23063999999999998</v>
      </c>
      <c r="L551" s="32"/>
      <c r="M551" s="32">
        <v>2</v>
      </c>
      <c r="N551" s="18">
        <v>0.23063999999999998</v>
      </c>
      <c r="O551" s="19">
        <v>0</v>
      </c>
      <c r="P551" s="13">
        <v>0</v>
      </c>
      <c r="Q551" s="32"/>
      <c r="R551" s="91">
        <v>2</v>
      </c>
      <c r="S551" s="91" t="s">
        <v>259</v>
      </c>
    </row>
    <row r="552" spans="1:19">
      <c r="A552" s="47" t="s">
        <v>147</v>
      </c>
      <c r="B552" s="48" t="s">
        <v>148</v>
      </c>
      <c r="C552" s="32">
        <v>277</v>
      </c>
      <c r="D552" s="32"/>
      <c r="E552" s="48" t="s">
        <v>20</v>
      </c>
      <c r="F552" s="48" t="s">
        <v>160</v>
      </c>
      <c r="G552" s="48" t="s">
        <v>34</v>
      </c>
      <c r="H552" s="11">
        <v>9.61</v>
      </c>
      <c r="I552" s="52">
        <v>12</v>
      </c>
      <c r="J552" s="7">
        <v>3</v>
      </c>
      <c r="K552" s="10">
        <v>0.34595999999999999</v>
      </c>
      <c r="L552" s="32" t="s">
        <v>165</v>
      </c>
      <c r="M552" s="32">
        <v>3</v>
      </c>
      <c r="N552" s="18">
        <v>0.34595999999999999</v>
      </c>
      <c r="O552" s="19">
        <v>0</v>
      </c>
      <c r="P552" s="13">
        <v>0</v>
      </c>
      <c r="Q552" s="32"/>
      <c r="R552" s="91">
        <v>3</v>
      </c>
      <c r="S552" s="91" t="s">
        <v>259</v>
      </c>
    </row>
    <row r="553" spans="1:19">
      <c r="A553" s="42" t="s">
        <v>78</v>
      </c>
      <c r="B553" s="3" t="s">
        <v>80</v>
      </c>
      <c r="C553" s="3">
        <v>2</v>
      </c>
      <c r="D553" s="1"/>
      <c r="E553" s="12" t="s">
        <v>20</v>
      </c>
      <c r="F553" s="7" t="s">
        <v>15</v>
      </c>
      <c r="G553" s="7" t="s">
        <v>34</v>
      </c>
      <c r="H553" s="11">
        <v>9.61</v>
      </c>
      <c r="I553" s="8">
        <v>12</v>
      </c>
      <c r="J553" s="26">
        <v>1</v>
      </c>
      <c r="K553" s="10">
        <v>0.11531999999999999</v>
      </c>
      <c r="L553" s="4"/>
      <c r="M553" s="17">
        <v>1</v>
      </c>
      <c r="N553" s="18">
        <v>0.11531999999999999</v>
      </c>
      <c r="O553" s="19">
        <v>0</v>
      </c>
      <c r="P553" s="13">
        <v>0</v>
      </c>
      <c r="Q553" s="9"/>
      <c r="R553" s="90">
        <v>1</v>
      </c>
      <c r="S553" s="91" t="s">
        <v>259</v>
      </c>
    </row>
    <row r="554" spans="1:19">
      <c r="A554" s="44" t="s">
        <v>78</v>
      </c>
      <c r="B554" s="3" t="s">
        <v>80</v>
      </c>
      <c r="C554" s="3">
        <v>4</v>
      </c>
      <c r="D554" s="1"/>
      <c r="E554" s="20" t="s">
        <v>20</v>
      </c>
      <c r="F554" s="7" t="s">
        <v>15</v>
      </c>
      <c r="G554" s="7" t="s">
        <v>34</v>
      </c>
      <c r="H554" s="11">
        <v>9.61</v>
      </c>
      <c r="I554" s="8">
        <v>11.5</v>
      </c>
      <c r="J554" s="26">
        <v>1</v>
      </c>
      <c r="K554" s="10">
        <v>0.11051499999999999</v>
      </c>
      <c r="L554" s="4"/>
      <c r="M554" s="17">
        <v>1</v>
      </c>
      <c r="N554" s="18">
        <v>0.11051499999999999</v>
      </c>
      <c r="O554" s="19">
        <v>0</v>
      </c>
      <c r="P554" s="13">
        <v>0</v>
      </c>
      <c r="Q554" s="9"/>
      <c r="R554" s="91">
        <v>1</v>
      </c>
      <c r="S554" s="91" t="s">
        <v>259</v>
      </c>
    </row>
    <row r="555" spans="1:19">
      <c r="A555" s="44" t="s">
        <v>78</v>
      </c>
      <c r="B555" s="3" t="s">
        <v>80</v>
      </c>
      <c r="C555" s="3">
        <v>4</v>
      </c>
      <c r="D555" s="1"/>
      <c r="E555" s="20" t="s">
        <v>20</v>
      </c>
      <c r="F555" s="7" t="s">
        <v>15</v>
      </c>
      <c r="G555" s="7" t="s">
        <v>34</v>
      </c>
      <c r="H555" s="11">
        <v>9.61</v>
      </c>
      <c r="I555" s="8">
        <v>12</v>
      </c>
      <c r="J555" s="26">
        <v>2</v>
      </c>
      <c r="K555" s="10">
        <v>0.23063999999999998</v>
      </c>
      <c r="L555" s="4"/>
      <c r="M555" s="17">
        <v>2</v>
      </c>
      <c r="N555" s="18">
        <v>0.23063999999999998</v>
      </c>
      <c r="O555" s="19">
        <v>0</v>
      </c>
      <c r="P555" s="13">
        <v>0</v>
      </c>
      <c r="Q555" s="9"/>
      <c r="R555" s="91">
        <v>2</v>
      </c>
      <c r="S555" s="91" t="s">
        <v>259</v>
      </c>
    </row>
    <row r="556" spans="1:19">
      <c r="A556" s="45" t="s">
        <v>136</v>
      </c>
      <c r="B556" s="48" t="s">
        <v>171</v>
      </c>
      <c r="C556" s="32">
        <v>113</v>
      </c>
      <c r="D556" s="32"/>
      <c r="E556" s="69" t="s">
        <v>173</v>
      </c>
      <c r="F556" s="69" t="s">
        <v>15</v>
      </c>
      <c r="G556" s="69" t="s">
        <v>34</v>
      </c>
      <c r="H556" s="61">
        <v>9.61</v>
      </c>
      <c r="I556" s="70">
        <v>9.1999999999999993</v>
      </c>
      <c r="J556" s="60">
        <v>1</v>
      </c>
      <c r="K556" s="62">
        <v>8.8411999999999991E-2</v>
      </c>
      <c r="L556" s="67"/>
      <c r="M556" s="67"/>
      <c r="N556" s="63">
        <v>0</v>
      </c>
      <c r="O556" s="64">
        <v>1</v>
      </c>
      <c r="P556" s="65">
        <v>8.8411999999999991E-2</v>
      </c>
      <c r="Q556" s="67"/>
      <c r="R556" s="67"/>
      <c r="S556" s="67"/>
    </row>
    <row r="557" spans="1:19">
      <c r="A557" s="45" t="s">
        <v>136</v>
      </c>
      <c r="B557" s="48" t="s">
        <v>171</v>
      </c>
      <c r="C557" s="32">
        <v>113</v>
      </c>
      <c r="D557" s="32"/>
      <c r="E557" s="69" t="s">
        <v>173</v>
      </c>
      <c r="F557" s="69" t="s">
        <v>15</v>
      </c>
      <c r="G557" s="69" t="s">
        <v>34</v>
      </c>
      <c r="H557" s="61">
        <v>9.61</v>
      </c>
      <c r="I557" s="70">
        <v>5.5</v>
      </c>
      <c r="J557" s="60">
        <v>1</v>
      </c>
      <c r="K557" s="62">
        <v>5.2854999999999999E-2</v>
      </c>
      <c r="L557" s="67"/>
      <c r="M557" s="67"/>
      <c r="N557" s="63">
        <v>0</v>
      </c>
      <c r="O557" s="64">
        <v>1</v>
      </c>
      <c r="P557" s="65">
        <v>5.2854999999999999E-2</v>
      </c>
      <c r="Q557" s="67"/>
      <c r="R557" s="67"/>
      <c r="S557" s="67"/>
    </row>
    <row r="558" spans="1:19">
      <c r="A558" s="45" t="s">
        <v>136</v>
      </c>
      <c r="B558" s="48" t="s">
        <v>171</v>
      </c>
      <c r="C558" s="32">
        <v>152</v>
      </c>
      <c r="D558" s="32"/>
      <c r="E558" s="48" t="s">
        <v>89</v>
      </c>
      <c r="F558" s="48" t="s">
        <v>15</v>
      </c>
      <c r="G558" s="48" t="s">
        <v>34</v>
      </c>
      <c r="H558" s="11">
        <v>9.61</v>
      </c>
      <c r="I558" s="9">
        <v>9.6999999999999993</v>
      </c>
      <c r="J558" s="7">
        <v>1</v>
      </c>
      <c r="K558" s="10">
        <v>9.321699999999998E-2</v>
      </c>
      <c r="L558" s="32"/>
      <c r="M558" s="32"/>
      <c r="N558" s="18">
        <v>0</v>
      </c>
      <c r="O558" s="19">
        <v>1</v>
      </c>
      <c r="P558" s="13">
        <v>9.321699999999998E-2</v>
      </c>
      <c r="Q558" s="32"/>
      <c r="R558" s="32"/>
      <c r="S558" s="32"/>
    </row>
    <row r="559" spans="1:19">
      <c r="A559" s="45" t="s">
        <v>136</v>
      </c>
      <c r="B559" s="48" t="s">
        <v>171</v>
      </c>
      <c r="C559" s="32">
        <v>152</v>
      </c>
      <c r="D559" s="32"/>
      <c r="E559" s="48" t="s">
        <v>89</v>
      </c>
      <c r="F559" s="48" t="s">
        <v>15</v>
      </c>
      <c r="G559" s="48" t="s">
        <v>34</v>
      </c>
      <c r="H559" s="11">
        <v>9.61</v>
      </c>
      <c r="I559" s="9">
        <v>8.8000000000000007</v>
      </c>
      <c r="J559" s="7">
        <v>1</v>
      </c>
      <c r="K559" s="10">
        <v>8.4568000000000004E-2</v>
      </c>
      <c r="L559" s="32"/>
      <c r="M559" s="32"/>
      <c r="N559" s="18">
        <v>0</v>
      </c>
      <c r="O559" s="19">
        <v>1</v>
      </c>
      <c r="P559" s="13">
        <v>8.4568000000000004E-2</v>
      </c>
      <c r="Q559" s="32"/>
      <c r="R559" s="32"/>
      <c r="S559" s="32"/>
    </row>
    <row r="560" spans="1:19">
      <c r="A560" s="45" t="s">
        <v>136</v>
      </c>
      <c r="B560" s="48" t="s">
        <v>171</v>
      </c>
      <c r="C560" s="32">
        <v>152</v>
      </c>
      <c r="D560" s="32"/>
      <c r="E560" s="48" t="s">
        <v>89</v>
      </c>
      <c r="F560" s="48" t="s">
        <v>15</v>
      </c>
      <c r="G560" s="48" t="s">
        <v>34</v>
      </c>
      <c r="H560" s="11">
        <v>9.61</v>
      </c>
      <c r="I560" s="9">
        <v>8.5</v>
      </c>
      <c r="J560" s="7">
        <v>1</v>
      </c>
      <c r="K560" s="10">
        <v>8.1685000000000008E-2</v>
      </c>
      <c r="L560" s="32"/>
      <c r="M560" s="32"/>
      <c r="N560" s="18">
        <v>0</v>
      </c>
      <c r="O560" s="19">
        <v>1</v>
      </c>
      <c r="P560" s="13">
        <v>8.1685000000000008E-2</v>
      </c>
      <c r="Q560" s="32"/>
      <c r="R560" s="32"/>
      <c r="S560" s="32"/>
    </row>
    <row r="561" spans="1:20">
      <c r="A561" s="45" t="s">
        <v>136</v>
      </c>
      <c r="B561" s="48" t="s">
        <v>171</v>
      </c>
      <c r="C561" s="32">
        <v>152</v>
      </c>
      <c r="D561" s="32"/>
      <c r="E561" s="48" t="s">
        <v>89</v>
      </c>
      <c r="F561" s="48" t="s">
        <v>15</v>
      </c>
      <c r="G561" s="48" t="s">
        <v>34</v>
      </c>
      <c r="H561" s="11">
        <v>9.61</v>
      </c>
      <c r="I561" s="9">
        <v>7.2</v>
      </c>
      <c r="J561" s="7">
        <v>3</v>
      </c>
      <c r="K561" s="10">
        <v>0.20757599999999995</v>
      </c>
      <c r="L561" s="32"/>
      <c r="M561" s="32"/>
      <c r="N561" s="18">
        <v>0</v>
      </c>
      <c r="O561" s="19">
        <v>3</v>
      </c>
      <c r="P561" s="13">
        <v>0.20757599999999998</v>
      </c>
      <c r="Q561" s="32"/>
      <c r="R561" s="32"/>
      <c r="S561" s="32"/>
    </row>
    <row r="562" spans="1:20">
      <c r="O562" s="6">
        <f>SUM(O530:O561)</f>
        <v>18</v>
      </c>
      <c r="R562" s="6">
        <f>SUM(R530:R561)</f>
        <v>25</v>
      </c>
    </row>
    <row r="567" spans="1:20" ht="15.6">
      <c r="B567" s="110" t="s">
        <v>248</v>
      </c>
      <c r="C567" s="111" t="s">
        <v>232</v>
      </c>
      <c r="D567" s="112" t="s">
        <v>228</v>
      </c>
      <c r="E567" s="113" t="s">
        <v>17</v>
      </c>
      <c r="F567" s="114" t="s">
        <v>15</v>
      </c>
      <c r="G567" s="115" t="s">
        <v>28</v>
      </c>
      <c r="H567" s="116">
        <v>12.18</v>
      </c>
      <c r="I567" s="125">
        <v>8.5</v>
      </c>
      <c r="J567" s="111">
        <v>1</v>
      </c>
      <c r="K567" s="117">
        <f t="shared" ref="K567:K569" si="24">I567*H567*J567/1000</f>
        <v>0.10353</v>
      </c>
      <c r="L567" s="118"/>
      <c r="M567" s="111">
        <v>1</v>
      </c>
      <c r="N567" s="117">
        <f t="shared" ref="N567:N569" si="25">I567*M567*H567/1000</f>
        <v>0.10353</v>
      </c>
      <c r="O567" s="119">
        <f t="shared" ref="O567:O569" si="26">J567-M567</f>
        <v>0</v>
      </c>
      <c r="P567" s="120">
        <f t="shared" ref="P567:P569" si="27">I567*O567*H567/1000</f>
        <v>0</v>
      </c>
      <c r="Q567" s="111"/>
      <c r="R567" s="111">
        <v>1</v>
      </c>
      <c r="S567" s="91" t="s">
        <v>251</v>
      </c>
      <c r="T567" s="91"/>
    </row>
    <row r="568" spans="1:20" ht="15.6">
      <c r="B568" s="110" t="s">
        <v>248</v>
      </c>
      <c r="C568" s="111" t="s">
        <v>232</v>
      </c>
      <c r="D568" s="112" t="s">
        <v>228</v>
      </c>
      <c r="E568" s="113" t="s">
        <v>17</v>
      </c>
      <c r="F568" s="114" t="s">
        <v>15</v>
      </c>
      <c r="G568" s="115" t="s">
        <v>28</v>
      </c>
      <c r="H568" s="116">
        <v>12.18</v>
      </c>
      <c r="I568" s="125">
        <v>8.6999999999999993</v>
      </c>
      <c r="J568" s="111">
        <v>1</v>
      </c>
      <c r="K568" s="117">
        <f t="shared" si="24"/>
        <v>0.10596599999999999</v>
      </c>
      <c r="L568" s="118"/>
      <c r="M568" s="111">
        <v>1</v>
      </c>
      <c r="N568" s="117">
        <f t="shared" si="25"/>
        <v>0.10596599999999999</v>
      </c>
      <c r="O568" s="119">
        <f t="shared" si="26"/>
        <v>0</v>
      </c>
      <c r="P568" s="120">
        <f t="shared" si="27"/>
        <v>0</v>
      </c>
      <c r="Q568" s="111"/>
      <c r="R568" s="111">
        <v>1</v>
      </c>
      <c r="S568" s="91" t="s">
        <v>251</v>
      </c>
      <c r="T568" s="91"/>
    </row>
    <row r="569" spans="1:20" ht="15.6">
      <c r="B569" s="110" t="s">
        <v>248</v>
      </c>
      <c r="C569" s="111" t="s">
        <v>232</v>
      </c>
      <c r="D569" s="112" t="s">
        <v>228</v>
      </c>
      <c r="E569" s="113" t="s">
        <v>17</v>
      </c>
      <c r="F569" s="114" t="s">
        <v>15</v>
      </c>
      <c r="G569" s="115" t="s">
        <v>28</v>
      </c>
      <c r="H569" s="116">
        <v>12.18</v>
      </c>
      <c r="I569" s="125">
        <v>11.8</v>
      </c>
      <c r="J569" s="111">
        <v>1</v>
      </c>
      <c r="K569" s="117">
        <f t="shared" si="24"/>
        <v>0.14372400000000002</v>
      </c>
      <c r="L569" s="118"/>
      <c r="M569" s="111">
        <v>1</v>
      </c>
      <c r="N569" s="117">
        <f t="shared" si="25"/>
        <v>0.14372400000000002</v>
      </c>
      <c r="O569" s="119">
        <f t="shared" si="26"/>
        <v>0</v>
      </c>
      <c r="P569" s="120">
        <f t="shared" si="27"/>
        <v>0</v>
      </c>
      <c r="Q569" s="130"/>
      <c r="R569" s="111">
        <v>1</v>
      </c>
      <c r="S569" s="91" t="s">
        <v>251</v>
      </c>
      <c r="T569" s="91"/>
    </row>
    <row r="570" spans="1:20">
      <c r="R570" s="76">
        <f>SUM(R567:R569)</f>
        <v>3</v>
      </c>
    </row>
    <row r="572" spans="1:20">
      <c r="A572" s="42" t="s">
        <v>77</v>
      </c>
      <c r="B572" s="3" t="s">
        <v>68</v>
      </c>
      <c r="C572" s="3">
        <v>86</v>
      </c>
      <c r="D572" s="1"/>
      <c r="E572" s="20" t="s">
        <v>17</v>
      </c>
      <c r="F572" s="7" t="s">
        <v>15</v>
      </c>
      <c r="G572" s="7" t="s">
        <v>30</v>
      </c>
      <c r="H572" s="11">
        <v>9.26</v>
      </c>
      <c r="I572" s="8">
        <v>7.95</v>
      </c>
      <c r="J572" s="56">
        <v>19</v>
      </c>
      <c r="K572" s="10">
        <v>1.3987230000000002</v>
      </c>
      <c r="L572" s="4"/>
      <c r="M572" s="17">
        <v>19</v>
      </c>
      <c r="N572" s="18">
        <v>1.3987230000000002</v>
      </c>
      <c r="O572" s="87">
        <v>0</v>
      </c>
      <c r="P572" s="88">
        <v>0</v>
      </c>
      <c r="Q572" s="89"/>
    </row>
    <row r="573" spans="1:20">
      <c r="A573" s="42" t="s">
        <v>77</v>
      </c>
      <c r="B573" s="3" t="s">
        <v>68</v>
      </c>
      <c r="C573" s="3">
        <v>294</v>
      </c>
      <c r="D573" s="1"/>
      <c r="E573" s="20" t="s">
        <v>17</v>
      </c>
      <c r="F573" s="7" t="s">
        <v>15</v>
      </c>
      <c r="G573" s="7" t="s">
        <v>30</v>
      </c>
      <c r="H573" s="11">
        <v>9.26</v>
      </c>
      <c r="I573" s="8">
        <v>6.75</v>
      </c>
      <c r="J573" s="26">
        <v>33</v>
      </c>
      <c r="K573" s="10">
        <v>2.062665</v>
      </c>
      <c r="L573" s="4"/>
      <c r="M573" s="17"/>
      <c r="N573" s="18">
        <v>0</v>
      </c>
      <c r="O573" s="87">
        <v>33</v>
      </c>
      <c r="P573" s="88">
        <v>2.062665</v>
      </c>
      <c r="Q573" s="89"/>
    </row>
    <row r="574" spans="1:20">
      <c r="A574" s="42" t="s">
        <v>77</v>
      </c>
      <c r="B574" s="3" t="s">
        <v>68</v>
      </c>
      <c r="C574" s="3">
        <v>295</v>
      </c>
      <c r="D574" s="1"/>
      <c r="E574" s="20" t="s">
        <v>17</v>
      </c>
      <c r="F574" s="7" t="s">
        <v>15</v>
      </c>
      <c r="G574" s="7" t="s">
        <v>30</v>
      </c>
      <c r="H574" s="11">
        <v>9.26</v>
      </c>
      <c r="I574" s="8">
        <v>6.75</v>
      </c>
      <c r="J574" s="26">
        <v>35</v>
      </c>
      <c r="K574" s="10">
        <v>2.1876749999999996</v>
      </c>
      <c r="L574" s="4"/>
      <c r="M574" s="17"/>
      <c r="N574" s="18">
        <v>0</v>
      </c>
      <c r="O574" s="87">
        <v>35</v>
      </c>
      <c r="P574" s="88">
        <v>2.1876749999999996</v>
      </c>
      <c r="Q574" s="89"/>
    </row>
    <row r="575" spans="1:20">
      <c r="O575" s="6">
        <f>SUM(O572:O574)</f>
        <v>68</v>
      </c>
    </row>
    <row r="578" spans="1:19">
      <c r="A578" s="42" t="s">
        <v>77</v>
      </c>
      <c r="B578" s="3" t="s">
        <v>68</v>
      </c>
      <c r="C578" s="3">
        <v>120</v>
      </c>
      <c r="D578" s="1"/>
      <c r="E578" s="20" t="s">
        <v>24</v>
      </c>
      <c r="F578" s="7" t="s">
        <v>14</v>
      </c>
      <c r="G578" s="7" t="s">
        <v>30</v>
      </c>
      <c r="H578" s="11">
        <v>9.26</v>
      </c>
      <c r="I578" s="8">
        <v>11</v>
      </c>
      <c r="J578" s="26">
        <v>2</v>
      </c>
      <c r="K578" s="10">
        <v>0.20372000000000001</v>
      </c>
      <c r="L578" s="4"/>
      <c r="M578" s="17"/>
      <c r="N578" s="18">
        <v>0</v>
      </c>
      <c r="O578" s="87">
        <v>2</v>
      </c>
      <c r="P578" s="88">
        <v>0.20372000000000001</v>
      </c>
      <c r="Q578" s="89"/>
      <c r="R578" s="90"/>
      <c r="S578" s="90" t="s">
        <v>222</v>
      </c>
    </row>
    <row r="579" spans="1:19">
      <c r="A579" s="42" t="s">
        <v>77</v>
      </c>
      <c r="B579" s="3" t="s">
        <v>68</v>
      </c>
      <c r="C579" s="3">
        <v>157</v>
      </c>
      <c r="D579" s="1"/>
      <c r="E579" s="20" t="s">
        <v>24</v>
      </c>
      <c r="F579" s="7" t="s">
        <v>14</v>
      </c>
      <c r="G579" s="7" t="s">
        <v>30</v>
      </c>
      <c r="H579" s="11">
        <v>9.26</v>
      </c>
      <c r="I579" s="8">
        <v>6.3</v>
      </c>
      <c r="J579" s="26">
        <v>5</v>
      </c>
      <c r="K579" s="10">
        <v>0.29168999999999995</v>
      </c>
      <c r="L579" s="4"/>
      <c r="M579" s="17">
        <v>2</v>
      </c>
      <c r="N579" s="18">
        <v>0.11667599999999999</v>
      </c>
      <c r="O579" s="87">
        <v>3</v>
      </c>
      <c r="P579" s="88">
        <v>0.17501399999999998</v>
      </c>
      <c r="Q579" s="89"/>
      <c r="R579" s="90"/>
      <c r="S579" s="90" t="s">
        <v>222</v>
      </c>
    </row>
    <row r="580" spans="1:19">
      <c r="A580" s="42" t="s">
        <v>77</v>
      </c>
      <c r="B580" s="3" t="s">
        <v>68</v>
      </c>
      <c r="C580" s="3">
        <v>157</v>
      </c>
      <c r="D580" s="1"/>
      <c r="E580" s="20" t="s">
        <v>24</v>
      </c>
      <c r="F580" s="7" t="s">
        <v>14</v>
      </c>
      <c r="G580" s="7" t="s">
        <v>30</v>
      </c>
      <c r="H580" s="11">
        <v>9.26</v>
      </c>
      <c r="I580" s="8">
        <v>10.9</v>
      </c>
      <c r="J580" s="26">
        <v>1</v>
      </c>
      <c r="K580" s="10">
        <v>0.100934</v>
      </c>
      <c r="L580" s="4"/>
      <c r="M580" s="17"/>
      <c r="N580" s="18">
        <v>0</v>
      </c>
      <c r="O580" s="87">
        <v>1</v>
      </c>
      <c r="P580" s="88">
        <v>0.100934</v>
      </c>
      <c r="Q580" s="89"/>
      <c r="R580" s="90"/>
      <c r="S580" s="90" t="s">
        <v>222</v>
      </c>
    </row>
    <row r="581" spans="1:19">
      <c r="A581" s="42" t="s">
        <v>77</v>
      </c>
      <c r="B581" s="3" t="s">
        <v>68</v>
      </c>
      <c r="C581" s="3">
        <v>287</v>
      </c>
      <c r="D581" s="1"/>
      <c r="E581" s="20" t="s">
        <v>24</v>
      </c>
      <c r="F581" s="7" t="s">
        <v>14</v>
      </c>
      <c r="G581" s="7" t="s">
        <v>30</v>
      </c>
      <c r="H581" s="11">
        <v>9.26</v>
      </c>
      <c r="I581" s="8">
        <v>11.2</v>
      </c>
      <c r="J581" s="26">
        <v>4</v>
      </c>
      <c r="K581" s="10">
        <v>0.41484799999999994</v>
      </c>
      <c r="L581" s="4"/>
      <c r="M581" s="17"/>
      <c r="N581" s="18">
        <v>0</v>
      </c>
      <c r="O581" s="87">
        <v>4</v>
      </c>
      <c r="P581" s="88">
        <v>0.41484799999999994</v>
      </c>
      <c r="Q581" s="89"/>
      <c r="R581" s="90"/>
      <c r="S581" s="90" t="s">
        <v>222</v>
      </c>
    </row>
    <row r="582" spans="1:19">
      <c r="A582" s="42" t="s">
        <v>90</v>
      </c>
      <c r="B582" s="3"/>
      <c r="C582" s="3">
        <v>151</v>
      </c>
      <c r="D582" s="1"/>
      <c r="E582" s="20" t="s">
        <v>24</v>
      </c>
      <c r="F582" s="7" t="s">
        <v>14</v>
      </c>
      <c r="G582" s="7" t="s">
        <v>30</v>
      </c>
      <c r="H582" s="11">
        <v>9.26</v>
      </c>
      <c r="I582" s="8">
        <v>6.3</v>
      </c>
      <c r="J582" s="26">
        <v>1</v>
      </c>
      <c r="K582" s="10">
        <v>5.8337999999999994E-2</v>
      </c>
      <c r="L582" s="4"/>
      <c r="M582" s="17"/>
      <c r="N582" s="18">
        <v>0</v>
      </c>
      <c r="O582" s="87">
        <v>1</v>
      </c>
      <c r="P582" s="88">
        <v>5.8337999999999994E-2</v>
      </c>
      <c r="Q582" s="89"/>
      <c r="R582" s="90"/>
      <c r="S582" s="90" t="s">
        <v>222</v>
      </c>
    </row>
    <row r="583" spans="1:19">
      <c r="A583" s="42" t="s">
        <v>90</v>
      </c>
      <c r="B583" s="3"/>
      <c r="C583" s="3">
        <v>151</v>
      </c>
      <c r="D583" s="1"/>
      <c r="E583" s="20" t="s">
        <v>24</v>
      </c>
      <c r="F583" s="7" t="s">
        <v>14</v>
      </c>
      <c r="G583" s="7" t="s">
        <v>30</v>
      </c>
      <c r="H583" s="11">
        <v>9.26</v>
      </c>
      <c r="I583" s="8">
        <v>6</v>
      </c>
      <c r="J583" s="26">
        <v>1</v>
      </c>
      <c r="K583" s="10">
        <v>5.5560000000000005E-2</v>
      </c>
      <c r="L583" s="4"/>
      <c r="M583" s="17"/>
      <c r="N583" s="18">
        <v>0</v>
      </c>
      <c r="O583" s="87">
        <v>1</v>
      </c>
      <c r="P583" s="88">
        <v>5.5560000000000005E-2</v>
      </c>
      <c r="Q583" s="89"/>
      <c r="R583" s="90"/>
      <c r="S583" s="90" t="s">
        <v>222</v>
      </c>
    </row>
    <row r="584" spans="1:19">
      <c r="A584" s="47" t="s">
        <v>147</v>
      </c>
      <c r="B584" s="48" t="s">
        <v>148</v>
      </c>
      <c r="C584" s="32">
        <v>359</v>
      </c>
      <c r="D584" s="32"/>
      <c r="E584" s="48" t="s">
        <v>24</v>
      </c>
      <c r="F584" s="48" t="s">
        <v>14</v>
      </c>
      <c r="G584" s="48" t="s">
        <v>30</v>
      </c>
      <c r="H584" s="11">
        <v>9.26</v>
      </c>
      <c r="I584" s="8">
        <v>11.2</v>
      </c>
      <c r="J584" s="7">
        <v>2</v>
      </c>
      <c r="K584" s="10">
        <v>0.20742399999999997</v>
      </c>
      <c r="L584" s="32"/>
      <c r="M584" s="32"/>
      <c r="N584" s="18">
        <v>0</v>
      </c>
      <c r="O584" s="87">
        <v>2</v>
      </c>
      <c r="P584" s="88">
        <v>0.20742399999999997</v>
      </c>
      <c r="Q584" s="91"/>
      <c r="R584" s="91"/>
      <c r="S584" s="90" t="s">
        <v>222</v>
      </c>
    </row>
    <row r="585" spans="1:19">
      <c r="A585" s="44" t="s">
        <v>78</v>
      </c>
      <c r="B585" s="3" t="s">
        <v>80</v>
      </c>
      <c r="C585" s="3">
        <v>12</v>
      </c>
      <c r="D585" s="1"/>
      <c r="E585" s="20" t="s">
        <v>24</v>
      </c>
      <c r="F585" s="7" t="s">
        <v>14</v>
      </c>
      <c r="G585" s="7" t="s">
        <v>30</v>
      </c>
      <c r="H585" s="11">
        <v>9.26</v>
      </c>
      <c r="I585" s="8">
        <v>7</v>
      </c>
      <c r="J585" s="26">
        <v>1</v>
      </c>
      <c r="K585" s="10">
        <v>6.4819999999999989E-2</v>
      </c>
      <c r="L585" s="4"/>
      <c r="M585" s="17"/>
      <c r="N585" s="18">
        <v>0</v>
      </c>
      <c r="O585" s="87">
        <v>1</v>
      </c>
      <c r="P585" s="88">
        <v>6.4819999999999989E-2</v>
      </c>
      <c r="Q585" s="89"/>
      <c r="R585" s="91"/>
      <c r="S585" s="90" t="s">
        <v>222</v>
      </c>
    </row>
    <row r="586" spans="1:19">
      <c r="A586" s="44" t="s">
        <v>78</v>
      </c>
      <c r="B586" s="3" t="s">
        <v>80</v>
      </c>
      <c r="C586" s="3">
        <v>4</v>
      </c>
      <c r="D586" s="1"/>
      <c r="E586" s="20" t="s">
        <v>24</v>
      </c>
      <c r="F586" s="7" t="s">
        <v>14</v>
      </c>
      <c r="G586" s="7" t="s">
        <v>30</v>
      </c>
      <c r="H586" s="11">
        <v>9.26</v>
      </c>
      <c r="I586" s="8">
        <v>6.9</v>
      </c>
      <c r="J586" s="26">
        <v>1</v>
      </c>
      <c r="K586" s="10">
        <v>6.3893999999999992E-2</v>
      </c>
      <c r="L586" s="4"/>
      <c r="M586" s="17"/>
      <c r="N586" s="18">
        <v>0</v>
      </c>
      <c r="O586" s="87">
        <v>1</v>
      </c>
      <c r="P586" s="88">
        <v>6.3893999999999992E-2</v>
      </c>
      <c r="Q586" s="89"/>
      <c r="R586" s="91"/>
      <c r="S586" s="90" t="s">
        <v>222</v>
      </c>
    </row>
    <row r="587" spans="1:19">
      <c r="A587" s="44" t="s">
        <v>78</v>
      </c>
      <c r="B587" s="3" t="s">
        <v>80</v>
      </c>
      <c r="C587" s="3">
        <v>4</v>
      </c>
      <c r="D587" s="1"/>
      <c r="E587" s="20" t="s">
        <v>24</v>
      </c>
      <c r="F587" s="7" t="s">
        <v>14</v>
      </c>
      <c r="G587" s="7" t="s">
        <v>30</v>
      </c>
      <c r="H587" s="11">
        <v>9.26</v>
      </c>
      <c r="I587" s="8">
        <v>10</v>
      </c>
      <c r="J587" s="26">
        <v>1</v>
      </c>
      <c r="K587" s="10">
        <v>9.2599999999999988E-2</v>
      </c>
      <c r="L587" s="4"/>
      <c r="M587" s="17"/>
      <c r="N587" s="18">
        <v>0</v>
      </c>
      <c r="O587" s="87">
        <v>1</v>
      </c>
      <c r="P587" s="88">
        <v>9.2599999999999988E-2</v>
      </c>
      <c r="Q587" s="89"/>
      <c r="R587" s="91"/>
      <c r="S587" s="90" t="s">
        <v>222</v>
      </c>
    </row>
    <row r="588" spans="1:19">
      <c r="A588" s="44" t="s">
        <v>78</v>
      </c>
      <c r="B588" s="32" t="s">
        <v>109</v>
      </c>
      <c r="C588" s="3">
        <v>6</v>
      </c>
      <c r="D588" s="1"/>
      <c r="E588" s="20" t="s">
        <v>24</v>
      </c>
      <c r="F588" s="7" t="s">
        <v>14</v>
      </c>
      <c r="G588" s="7" t="s">
        <v>30</v>
      </c>
      <c r="H588" s="11">
        <v>9.26</v>
      </c>
      <c r="I588" s="55">
        <v>7</v>
      </c>
      <c r="J588" s="40">
        <v>1</v>
      </c>
      <c r="K588" s="10">
        <v>6.4819999999999989E-2</v>
      </c>
      <c r="L588" s="4"/>
      <c r="M588" s="17"/>
      <c r="N588" s="18">
        <v>0</v>
      </c>
      <c r="O588" s="87">
        <v>1</v>
      </c>
      <c r="P588" s="88">
        <v>6.4819999999999989E-2</v>
      </c>
      <c r="Q588" s="91"/>
      <c r="R588" s="91"/>
      <c r="S588" s="90" t="s">
        <v>222</v>
      </c>
    </row>
    <row r="589" spans="1:19">
      <c r="A589" s="44" t="s">
        <v>78</v>
      </c>
      <c r="B589" s="32" t="s">
        <v>109</v>
      </c>
      <c r="C589" s="3">
        <v>6</v>
      </c>
      <c r="D589" s="1"/>
      <c r="E589" s="20" t="s">
        <v>24</v>
      </c>
      <c r="F589" s="7" t="s">
        <v>14</v>
      </c>
      <c r="G589" s="7" t="s">
        <v>30</v>
      </c>
      <c r="H589" s="11">
        <v>9.26</v>
      </c>
      <c r="I589" s="55">
        <v>11</v>
      </c>
      <c r="J589" s="40">
        <v>1</v>
      </c>
      <c r="K589" s="10">
        <v>0.10186000000000001</v>
      </c>
      <c r="L589" s="4"/>
      <c r="M589" s="17"/>
      <c r="N589" s="18">
        <v>0</v>
      </c>
      <c r="O589" s="87">
        <v>1</v>
      </c>
      <c r="P589" s="88">
        <v>0.10186000000000001</v>
      </c>
      <c r="Q589" s="91"/>
      <c r="R589" s="91"/>
      <c r="S589" s="90" t="s">
        <v>222</v>
      </c>
    </row>
    <row r="590" spans="1:19">
      <c r="A590" s="44" t="s">
        <v>78</v>
      </c>
      <c r="B590" s="32" t="s">
        <v>109</v>
      </c>
      <c r="C590" s="3">
        <v>6</v>
      </c>
      <c r="D590" s="1"/>
      <c r="E590" s="20" t="s">
        <v>24</v>
      </c>
      <c r="F590" s="7" t="s">
        <v>14</v>
      </c>
      <c r="G590" s="7" t="s">
        <v>30</v>
      </c>
      <c r="H590" s="11">
        <v>9.26</v>
      </c>
      <c r="I590" s="55">
        <v>12</v>
      </c>
      <c r="J590" s="40">
        <v>1</v>
      </c>
      <c r="K590" s="10">
        <v>0.11112000000000001</v>
      </c>
      <c r="L590" s="4"/>
      <c r="M590" s="17"/>
      <c r="N590" s="18">
        <v>0</v>
      </c>
      <c r="O590" s="87">
        <v>1</v>
      </c>
      <c r="P590" s="88">
        <v>0.11112000000000001</v>
      </c>
      <c r="Q590" s="91"/>
      <c r="R590" s="91"/>
      <c r="S590" s="90" t="s">
        <v>222</v>
      </c>
    </row>
    <row r="591" spans="1:19">
      <c r="O591" s="78">
        <f>SUM(O578:O590)</f>
        <v>20</v>
      </c>
      <c r="P591" s="128">
        <f>SUM(P578:P590)</f>
        <v>1.714952</v>
      </c>
    </row>
    <row r="592" spans="1:19">
      <c r="O592" s="6"/>
    </row>
    <row r="593" spans="1:22" ht="15.6">
      <c r="D593" s="110" t="s">
        <v>248</v>
      </c>
      <c r="E593" s="111" t="s">
        <v>232</v>
      </c>
      <c r="F593" s="112" t="s">
        <v>228</v>
      </c>
      <c r="G593" s="113" t="s">
        <v>24</v>
      </c>
      <c r="H593" s="133" t="s">
        <v>14</v>
      </c>
      <c r="I593" s="133" t="s">
        <v>30</v>
      </c>
      <c r="J593" s="134">
        <v>9.26</v>
      </c>
      <c r="K593" s="135">
        <v>6.5</v>
      </c>
      <c r="L593" s="136">
        <f>28+24+2</f>
        <v>54</v>
      </c>
      <c r="M593" s="137">
        <f t="shared" ref="M593:M597" si="28">(J593*K593*L593/1000)</f>
        <v>3.2502599999999999</v>
      </c>
      <c r="N593" s="118"/>
      <c r="O593" s="111">
        <v>48</v>
      </c>
      <c r="P593" s="117">
        <f t="shared" ref="P593:P597" si="29">K593*O593*J593/1000</f>
        <v>2.8891199999999997</v>
      </c>
      <c r="Q593" s="143">
        <f t="shared" ref="Q593:Q597" si="30">L593-O593</f>
        <v>6</v>
      </c>
      <c r="R593" s="147">
        <f t="shared" ref="R593:R597" si="31">K593*Q593*J593/1000</f>
        <v>0.36113999999999996</v>
      </c>
      <c r="S593" s="90" t="s">
        <v>222</v>
      </c>
      <c r="T593" s="72"/>
      <c r="U593" s="111"/>
      <c r="V593" s="111"/>
    </row>
    <row r="594" spans="1:22" ht="15.6">
      <c r="D594" s="110" t="s">
        <v>248</v>
      </c>
      <c r="E594" s="111" t="s">
        <v>232</v>
      </c>
      <c r="F594" s="112" t="s">
        <v>228</v>
      </c>
      <c r="G594" s="113" t="s">
        <v>24</v>
      </c>
      <c r="H594" s="133" t="s">
        <v>14</v>
      </c>
      <c r="I594" s="133" t="s">
        <v>30</v>
      </c>
      <c r="J594" s="134">
        <v>9.26</v>
      </c>
      <c r="K594" s="135">
        <v>5.5</v>
      </c>
      <c r="L594" s="136">
        <v>1</v>
      </c>
      <c r="M594" s="137">
        <f t="shared" si="28"/>
        <v>5.0930000000000003E-2</v>
      </c>
      <c r="N594" s="118" t="s">
        <v>233</v>
      </c>
      <c r="O594" s="111"/>
      <c r="P594" s="117">
        <f t="shared" si="29"/>
        <v>0</v>
      </c>
      <c r="Q594" s="143">
        <f t="shared" si="30"/>
        <v>1</v>
      </c>
      <c r="R594" s="147">
        <f t="shared" si="31"/>
        <v>5.0930000000000003E-2</v>
      </c>
      <c r="S594" s="90" t="s">
        <v>222</v>
      </c>
      <c r="T594" s="72"/>
      <c r="U594" s="111"/>
      <c r="V594" s="111"/>
    </row>
    <row r="595" spans="1:22" ht="15.6">
      <c r="D595" s="110" t="s">
        <v>248</v>
      </c>
      <c r="E595" s="111" t="s">
        <v>232</v>
      </c>
      <c r="F595" s="112" t="s">
        <v>228</v>
      </c>
      <c r="G595" s="113" t="s">
        <v>24</v>
      </c>
      <c r="H595" s="133" t="s">
        <v>14</v>
      </c>
      <c r="I595" s="133" t="s">
        <v>30</v>
      </c>
      <c r="J595" s="134">
        <v>9.26</v>
      </c>
      <c r="K595" s="135">
        <v>11.3</v>
      </c>
      <c r="L595" s="136">
        <v>3</v>
      </c>
      <c r="M595" s="137">
        <f t="shared" si="28"/>
        <v>0.31391399999999997</v>
      </c>
      <c r="N595" s="118" t="s">
        <v>233</v>
      </c>
      <c r="O595" s="111">
        <v>1</v>
      </c>
      <c r="P595" s="117">
        <f t="shared" si="29"/>
        <v>0.10463800000000001</v>
      </c>
      <c r="Q595" s="143">
        <f t="shared" si="30"/>
        <v>2</v>
      </c>
      <c r="R595" s="144">
        <f t="shared" si="31"/>
        <v>0.20927600000000002</v>
      </c>
      <c r="S595" s="90" t="s">
        <v>222</v>
      </c>
    </row>
    <row r="596" spans="1:22" ht="15.6">
      <c r="D596" s="110" t="s">
        <v>248</v>
      </c>
      <c r="E596" s="111" t="s">
        <v>232</v>
      </c>
      <c r="F596" s="112" t="s">
        <v>228</v>
      </c>
      <c r="G596" s="113" t="s">
        <v>24</v>
      </c>
      <c r="H596" s="133" t="s">
        <v>14</v>
      </c>
      <c r="I596" s="133" t="s">
        <v>30</v>
      </c>
      <c r="J596" s="134">
        <v>9.26</v>
      </c>
      <c r="K596" s="138">
        <v>11.5</v>
      </c>
      <c r="L596" s="136">
        <v>8</v>
      </c>
      <c r="M596" s="137">
        <f t="shared" ref="M596" si="32">(J596*K596*L596/1000)</f>
        <v>0.85192000000000001</v>
      </c>
      <c r="N596" s="118" t="s">
        <v>252</v>
      </c>
      <c r="O596" s="111"/>
      <c r="P596" s="117">
        <f t="shared" ref="P596" si="33">K596*O596*J596/1000</f>
        <v>0</v>
      </c>
      <c r="Q596" s="148">
        <f t="shared" ref="Q596" si="34">L596-O596</f>
        <v>8</v>
      </c>
      <c r="R596" s="149">
        <f t="shared" ref="R596" si="35">K596*Q596*J596/1000</f>
        <v>0.85192000000000001</v>
      </c>
      <c r="S596" s="90" t="s">
        <v>222</v>
      </c>
    </row>
    <row r="597" spans="1:22" ht="15.6">
      <c r="D597" s="110" t="s">
        <v>248</v>
      </c>
      <c r="E597" s="111" t="s">
        <v>232</v>
      </c>
      <c r="F597" s="112" t="s">
        <v>228</v>
      </c>
      <c r="G597" s="113" t="s">
        <v>24</v>
      </c>
      <c r="H597" s="133" t="s">
        <v>14</v>
      </c>
      <c r="I597" s="133" t="s">
        <v>30</v>
      </c>
      <c r="J597" s="134">
        <v>9.26</v>
      </c>
      <c r="K597" s="138">
        <v>6.5</v>
      </c>
      <c r="L597" s="136">
        <v>1</v>
      </c>
      <c r="M597" s="137">
        <f t="shared" si="28"/>
        <v>6.019E-2</v>
      </c>
      <c r="N597" s="118" t="s">
        <v>252</v>
      </c>
      <c r="O597" s="111"/>
      <c r="P597" s="117">
        <f t="shared" si="29"/>
        <v>0</v>
      </c>
      <c r="Q597" s="148">
        <f t="shared" si="30"/>
        <v>1</v>
      </c>
      <c r="R597" s="149">
        <f t="shared" si="31"/>
        <v>6.019E-2</v>
      </c>
      <c r="S597" s="90" t="s">
        <v>222</v>
      </c>
    </row>
    <row r="598" spans="1:22">
      <c r="O598" s="6"/>
      <c r="R598" s="128">
        <f>SUM(R593:R597)</f>
        <v>1.5334559999999999</v>
      </c>
    </row>
    <row r="599" spans="1:22">
      <c r="O599" s="6"/>
      <c r="R599" s="128">
        <f>+R598+P591</f>
        <v>3.248408</v>
      </c>
    </row>
    <row r="600" spans="1:22">
      <c r="O600" s="6"/>
    </row>
    <row r="601" spans="1:22">
      <c r="O601" s="6"/>
    </row>
    <row r="603" spans="1:22">
      <c r="A603" s="42" t="s">
        <v>77</v>
      </c>
      <c r="B603" s="3" t="s">
        <v>68</v>
      </c>
      <c r="C603" s="3">
        <v>346</v>
      </c>
      <c r="D603" s="1"/>
      <c r="E603" s="20" t="s">
        <v>17</v>
      </c>
      <c r="F603" s="7" t="s">
        <v>15</v>
      </c>
      <c r="G603" s="7" t="s">
        <v>54</v>
      </c>
      <c r="H603" s="11">
        <v>31.6</v>
      </c>
      <c r="I603" s="8">
        <v>10.6</v>
      </c>
      <c r="J603" s="26">
        <v>1</v>
      </c>
      <c r="K603" s="10">
        <v>0.33495999999999998</v>
      </c>
      <c r="L603" s="4"/>
      <c r="M603" s="17">
        <v>1</v>
      </c>
      <c r="N603" s="18">
        <v>0.33495999999999998</v>
      </c>
      <c r="O603" s="19">
        <v>0</v>
      </c>
      <c r="P603" s="13">
        <v>0</v>
      </c>
      <c r="Q603" s="89">
        <v>10.6</v>
      </c>
      <c r="R603" s="90">
        <v>1</v>
      </c>
      <c r="S603" s="90" t="s">
        <v>207</v>
      </c>
    </row>
    <row r="604" spans="1:22">
      <c r="A604" s="45" t="s">
        <v>136</v>
      </c>
      <c r="B604" s="32" t="s">
        <v>137</v>
      </c>
      <c r="C604" s="3">
        <v>10</v>
      </c>
      <c r="D604" s="32"/>
      <c r="E604" s="39" t="s">
        <v>17</v>
      </c>
      <c r="F604" s="7" t="s">
        <v>15</v>
      </c>
      <c r="G604" s="7" t="s">
        <v>54</v>
      </c>
      <c r="H604" s="11">
        <v>31.6</v>
      </c>
      <c r="I604" s="33">
        <v>5.8</v>
      </c>
      <c r="J604" s="40">
        <v>1</v>
      </c>
      <c r="K604" s="10">
        <v>0.18328</v>
      </c>
      <c r="L604" s="4"/>
      <c r="M604" s="17"/>
      <c r="N604" s="18">
        <v>0</v>
      </c>
      <c r="O604" s="19">
        <v>1</v>
      </c>
      <c r="P604" s="13">
        <v>0.18328</v>
      </c>
      <c r="Q604" s="91"/>
      <c r="R604" s="91"/>
      <c r="S604" s="91"/>
    </row>
    <row r="605" spans="1:22">
      <c r="A605" s="45" t="s">
        <v>136</v>
      </c>
      <c r="B605" s="32" t="s">
        <v>137</v>
      </c>
      <c r="C605" s="3">
        <v>10</v>
      </c>
      <c r="D605" s="32"/>
      <c r="E605" s="39" t="s">
        <v>17</v>
      </c>
      <c r="F605" s="7" t="s">
        <v>15</v>
      </c>
      <c r="G605" s="7" t="s">
        <v>54</v>
      </c>
      <c r="H605" s="11">
        <v>31.6</v>
      </c>
      <c r="I605" s="33">
        <v>7</v>
      </c>
      <c r="J605" s="40">
        <v>2</v>
      </c>
      <c r="K605" s="10">
        <v>0.44240000000000002</v>
      </c>
      <c r="L605" s="4"/>
      <c r="M605" s="17">
        <v>2</v>
      </c>
      <c r="N605" s="18">
        <v>0.44240000000000002</v>
      </c>
      <c r="O605" s="19">
        <v>0</v>
      </c>
      <c r="P605" s="13">
        <v>0</v>
      </c>
      <c r="Q605" s="91">
        <v>7</v>
      </c>
      <c r="R605" s="91">
        <v>2</v>
      </c>
      <c r="S605" s="90" t="s">
        <v>207</v>
      </c>
    </row>
    <row r="606" spans="1:22">
      <c r="O606" s="6">
        <f>SUM(O603:O605)</f>
        <v>1</v>
      </c>
      <c r="R606" s="6">
        <f>SUM(R603:R605)</f>
        <v>3</v>
      </c>
    </row>
    <row r="608" spans="1:22">
      <c r="A608" s="44" t="s">
        <v>78</v>
      </c>
      <c r="B608" s="32" t="s">
        <v>80</v>
      </c>
      <c r="C608" s="3">
        <v>1</v>
      </c>
      <c r="D608" s="32"/>
      <c r="E608" s="39" t="s">
        <v>17</v>
      </c>
      <c r="F608" s="7" t="s">
        <v>15</v>
      </c>
      <c r="G608" s="7" t="s">
        <v>57</v>
      </c>
      <c r="H608" s="11">
        <v>33.72</v>
      </c>
      <c r="I608" s="55">
        <v>9.5</v>
      </c>
      <c r="J608" s="40">
        <v>1</v>
      </c>
      <c r="K608" s="10">
        <f t="shared" ref="K608:K609" si="36">(H608*I608*J608/1000)</f>
        <v>0.32033999999999996</v>
      </c>
      <c r="L608" s="4"/>
      <c r="M608" s="17">
        <v>1</v>
      </c>
      <c r="N608" s="18">
        <f t="shared" ref="N608:N609" si="37">I608*M608*H608/1000</f>
        <v>0.32033999999999996</v>
      </c>
      <c r="O608" s="19">
        <f t="shared" ref="O608:O609" si="38">J608-M608</f>
        <v>0</v>
      </c>
      <c r="P608" s="13">
        <f t="shared" ref="P608:P609" si="39">I608*O608*H608/1000</f>
        <v>0</v>
      </c>
      <c r="Q608" s="91">
        <v>9.5</v>
      </c>
      <c r="R608" s="91">
        <v>1</v>
      </c>
      <c r="S608" s="90" t="s">
        <v>207</v>
      </c>
    </row>
    <row r="609" spans="1:19">
      <c r="A609" s="44" t="s">
        <v>78</v>
      </c>
      <c r="B609" s="32" t="s">
        <v>80</v>
      </c>
      <c r="C609" s="3">
        <v>1</v>
      </c>
      <c r="D609" s="32"/>
      <c r="E609" s="39" t="s">
        <v>17</v>
      </c>
      <c r="F609" s="7" t="s">
        <v>15</v>
      </c>
      <c r="G609" s="7" t="s">
        <v>57</v>
      </c>
      <c r="H609" s="11">
        <v>33.72</v>
      </c>
      <c r="I609" s="55">
        <v>9.6</v>
      </c>
      <c r="J609" s="40">
        <v>1</v>
      </c>
      <c r="K609" s="10">
        <f t="shared" si="36"/>
        <v>0.323712</v>
      </c>
      <c r="L609" s="4"/>
      <c r="M609" s="17">
        <v>1</v>
      </c>
      <c r="N609" s="18">
        <f t="shared" si="37"/>
        <v>0.323712</v>
      </c>
      <c r="O609" s="19">
        <f t="shared" si="38"/>
        <v>0</v>
      </c>
      <c r="P609" s="13">
        <f t="shared" si="39"/>
        <v>0</v>
      </c>
      <c r="Q609" s="91"/>
      <c r="R609" s="91"/>
      <c r="S609" s="91"/>
    </row>
    <row r="610" spans="1:19">
      <c r="R610" s="76">
        <f>SUM(R608:R609)</f>
        <v>1</v>
      </c>
    </row>
    <row r="613" spans="1:19">
      <c r="A613" s="42" t="s">
        <v>77</v>
      </c>
      <c r="B613" s="3" t="s">
        <v>68</v>
      </c>
      <c r="C613" s="3">
        <v>322</v>
      </c>
      <c r="D613" s="1"/>
      <c r="E613" s="20" t="s">
        <v>17</v>
      </c>
      <c r="F613" s="7" t="s">
        <v>15</v>
      </c>
      <c r="G613" s="7" t="s">
        <v>43</v>
      </c>
      <c r="H613" s="11">
        <v>15.04</v>
      </c>
      <c r="I613" s="8">
        <v>5.7</v>
      </c>
      <c r="J613" s="26">
        <v>2</v>
      </c>
      <c r="K613" s="10">
        <f t="shared" ref="K613:K617" si="40">(H613*I613*J613/1000)</f>
        <v>0.171456</v>
      </c>
      <c r="L613" s="4"/>
      <c r="M613" s="17"/>
      <c r="N613" s="18">
        <f t="shared" ref="N613:N617" si="41">I613*M613*H613/1000</f>
        <v>0</v>
      </c>
      <c r="O613" s="19">
        <f t="shared" ref="O613:O617" si="42">J613-M613</f>
        <v>2</v>
      </c>
      <c r="P613" s="13">
        <f t="shared" ref="P613:P617" si="43">I613*O613*H613/1000</f>
        <v>0.171456</v>
      </c>
      <c r="Q613" s="9"/>
      <c r="R613" s="2"/>
      <c r="S613" s="2"/>
    </row>
    <row r="614" spans="1:19">
      <c r="A614" s="42" t="s">
        <v>77</v>
      </c>
      <c r="B614" s="3" t="s">
        <v>68</v>
      </c>
      <c r="C614" s="3">
        <v>322</v>
      </c>
      <c r="D614" s="1"/>
      <c r="E614" s="20" t="s">
        <v>17</v>
      </c>
      <c r="F614" s="7" t="s">
        <v>15</v>
      </c>
      <c r="G614" s="7" t="s">
        <v>43</v>
      </c>
      <c r="H614" s="11">
        <v>15.04</v>
      </c>
      <c r="I614" s="8">
        <v>5.8</v>
      </c>
      <c r="J614" s="26">
        <v>1</v>
      </c>
      <c r="K614" s="10">
        <f t="shared" si="40"/>
        <v>8.7232000000000004E-2</v>
      </c>
      <c r="L614" s="4"/>
      <c r="M614" s="17"/>
      <c r="N614" s="18">
        <f t="shared" si="41"/>
        <v>0</v>
      </c>
      <c r="O614" s="19">
        <f t="shared" si="42"/>
        <v>1</v>
      </c>
      <c r="P614" s="13">
        <f t="shared" si="43"/>
        <v>8.7232000000000004E-2</v>
      </c>
      <c r="Q614" s="9"/>
      <c r="R614" s="2"/>
      <c r="S614" s="2"/>
    </row>
    <row r="615" spans="1:19">
      <c r="A615" s="42" t="s">
        <v>77</v>
      </c>
      <c r="B615" s="3" t="s">
        <v>68</v>
      </c>
      <c r="C615" s="3">
        <v>322</v>
      </c>
      <c r="D615" s="1"/>
      <c r="E615" s="20" t="s">
        <v>17</v>
      </c>
      <c r="F615" s="7" t="s">
        <v>15</v>
      </c>
      <c r="G615" s="7" t="s">
        <v>43</v>
      </c>
      <c r="H615" s="11">
        <v>15.04</v>
      </c>
      <c r="I615" s="8">
        <v>5.9</v>
      </c>
      <c r="J615" s="26">
        <v>1</v>
      </c>
      <c r="K615" s="10">
        <f t="shared" si="40"/>
        <v>8.8736000000000009E-2</v>
      </c>
      <c r="L615" s="4"/>
      <c r="M615" s="17"/>
      <c r="N615" s="18">
        <f t="shared" si="41"/>
        <v>0</v>
      </c>
      <c r="O615" s="19">
        <f t="shared" si="42"/>
        <v>1</v>
      </c>
      <c r="P615" s="13">
        <f t="shared" si="43"/>
        <v>8.8736000000000009E-2</v>
      </c>
      <c r="Q615" s="9"/>
      <c r="R615" s="2"/>
      <c r="S615" s="2"/>
    </row>
    <row r="616" spans="1:19">
      <c r="A616" s="42" t="s">
        <v>77</v>
      </c>
      <c r="B616" s="3" t="s">
        <v>68</v>
      </c>
      <c r="C616" s="3">
        <v>323</v>
      </c>
      <c r="D616" s="1"/>
      <c r="E616" s="20" t="s">
        <v>17</v>
      </c>
      <c r="F616" s="7" t="s">
        <v>15</v>
      </c>
      <c r="G616" s="7" t="s">
        <v>43</v>
      </c>
      <c r="H616" s="11">
        <v>15.04</v>
      </c>
      <c r="I616" s="8">
        <v>6</v>
      </c>
      <c r="J616" s="26">
        <v>1</v>
      </c>
      <c r="K616" s="10">
        <f t="shared" si="40"/>
        <v>9.0240000000000001E-2</v>
      </c>
      <c r="L616" s="4"/>
      <c r="M616" s="17">
        <v>1</v>
      </c>
      <c r="N616" s="18">
        <f t="shared" si="41"/>
        <v>9.0240000000000001E-2</v>
      </c>
      <c r="O616" s="19">
        <f t="shared" si="42"/>
        <v>0</v>
      </c>
      <c r="P616" s="13">
        <f t="shared" si="43"/>
        <v>0</v>
      </c>
      <c r="Q616" s="9"/>
      <c r="R616" s="2"/>
      <c r="S616" s="2"/>
    </row>
    <row r="617" spans="1:19">
      <c r="A617" s="42" t="s">
        <v>77</v>
      </c>
      <c r="B617" s="3" t="s">
        <v>68</v>
      </c>
      <c r="C617" s="3">
        <v>323</v>
      </c>
      <c r="D617" s="1"/>
      <c r="E617" s="20" t="s">
        <v>17</v>
      </c>
      <c r="F617" s="7" t="s">
        <v>15</v>
      </c>
      <c r="G617" s="7" t="s">
        <v>43</v>
      </c>
      <c r="H617" s="11">
        <v>15.04</v>
      </c>
      <c r="I617" s="8">
        <v>6</v>
      </c>
      <c r="J617" s="26">
        <v>1</v>
      </c>
      <c r="K617" s="10">
        <f t="shared" si="40"/>
        <v>9.0240000000000001E-2</v>
      </c>
      <c r="L617" s="4"/>
      <c r="M617" s="17">
        <v>1</v>
      </c>
      <c r="N617" s="18">
        <f t="shared" si="41"/>
        <v>9.0240000000000001E-2</v>
      </c>
      <c r="O617" s="19">
        <f t="shared" si="42"/>
        <v>0</v>
      </c>
      <c r="P617" s="13">
        <f t="shared" si="43"/>
        <v>0</v>
      </c>
      <c r="Q617" s="9"/>
      <c r="R617" s="90">
        <v>1</v>
      </c>
      <c r="S617" s="90" t="s">
        <v>263</v>
      </c>
    </row>
    <row r="620" spans="1:19">
      <c r="A620" s="48" t="s">
        <v>179</v>
      </c>
      <c r="B620" s="48" t="s">
        <v>169</v>
      </c>
      <c r="C620" s="32"/>
      <c r="D620" s="32"/>
      <c r="E620" s="69" t="s">
        <v>152</v>
      </c>
      <c r="F620" s="69" t="s">
        <v>15</v>
      </c>
      <c r="G620" s="69" t="s">
        <v>22</v>
      </c>
      <c r="H620" s="61">
        <v>10.73</v>
      </c>
      <c r="I620" s="99">
        <v>10.9</v>
      </c>
      <c r="J620" s="60">
        <v>3</v>
      </c>
      <c r="K620" s="62">
        <v>0.35087100000000004</v>
      </c>
      <c r="L620" s="69" t="s">
        <v>46</v>
      </c>
      <c r="M620" s="32"/>
      <c r="N620" s="18">
        <v>0</v>
      </c>
      <c r="O620" s="64">
        <v>3</v>
      </c>
      <c r="P620" s="65">
        <v>0.35087100000000004</v>
      </c>
      <c r="Q620" s="58"/>
      <c r="R620" s="32"/>
      <c r="S620" s="32"/>
    </row>
    <row r="621" spans="1:19">
      <c r="A621" s="48" t="s">
        <v>179</v>
      </c>
      <c r="B621" s="48" t="s">
        <v>169</v>
      </c>
      <c r="C621" s="32"/>
      <c r="D621" s="32"/>
      <c r="E621" s="69" t="s">
        <v>152</v>
      </c>
      <c r="F621" s="69" t="s">
        <v>15</v>
      </c>
      <c r="G621" s="69" t="s">
        <v>22</v>
      </c>
      <c r="H621" s="61">
        <v>10.73</v>
      </c>
      <c r="I621" s="99">
        <v>11</v>
      </c>
      <c r="J621" s="60">
        <v>1</v>
      </c>
      <c r="K621" s="62">
        <v>0.11803</v>
      </c>
      <c r="L621" s="69" t="s">
        <v>46</v>
      </c>
      <c r="M621" s="32"/>
      <c r="N621" s="18">
        <v>0</v>
      </c>
      <c r="O621" s="64">
        <v>1</v>
      </c>
      <c r="P621" s="65">
        <v>0.11803</v>
      </c>
      <c r="Q621" s="58"/>
      <c r="R621" s="32"/>
      <c r="S621" s="32"/>
    </row>
    <row r="622" spans="1:19">
      <c r="A622" s="42" t="s">
        <v>90</v>
      </c>
      <c r="B622" s="48" t="s">
        <v>148</v>
      </c>
      <c r="C622" s="32">
        <v>62</v>
      </c>
      <c r="D622" s="32"/>
      <c r="E622" s="48" t="s">
        <v>20</v>
      </c>
      <c r="F622" s="48" t="s">
        <v>15</v>
      </c>
      <c r="G622" s="48" t="s">
        <v>22</v>
      </c>
      <c r="H622" s="11">
        <v>10.73</v>
      </c>
      <c r="I622" s="52">
        <v>10.7</v>
      </c>
      <c r="J622" s="7">
        <v>1</v>
      </c>
      <c r="K622" s="10">
        <v>0.114811</v>
      </c>
      <c r="L622" s="32"/>
      <c r="M622" s="32"/>
      <c r="N622" s="18">
        <v>0</v>
      </c>
      <c r="O622" s="19">
        <v>1</v>
      </c>
      <c r="P622" s="13">
        <v>0.114811</v>
      </c>
      <c r="Q622" s="32"/>
      <c r="R622" s="32"/>
      <c r="S622" s="32"/>
    </row>
    <row r="623" spans="1:19">
      <c r="A623" s="42" t="s">
        <v>90</v>
      </c>
      <c r="B623" s="48" t="s">
        <v>148</v>
      </c>
      <c r="C623" s="32">
        <v>62</v>
      </c>
      <c r="D623" s="32"/>
      <c r="E623" s="48" t="s">
        <v>20</v>
      </c>
      <c r="F623" s="48" t="s">
        <v>15</v>
      </c>
      <c r="G623" s="48" t="s">
        <v>22</v>
      </c>
      <c r="H623" s="11">
        <v>10.73</v>
      </c>
      <c r="I623" s="52">
        <v>11.2</v>
      </c>
      <c r="J623" s="7">
        <v>1</v>
      </c>
      <c r="K623" s="10">
        <v>0.12017600000000001</v>
      </c>
      <c r="L623" s="32"/>
      <c r="M623" s="32"/>
      <c r="N623" s="18">
        <v>0</v>
      </c>
      <c r="O623" s="19">
        <v>1</v>
      </c>
      <c r="P623" s="13">
        <v>0.12017600000000001</v>
      </c>
      <c r="Q623" s="32"/>
      <c r="R623" s="32"/>
      <c r="S623" s="32"/>
    </row>
    <row r="624" spans="1:19">
      <c r="A624" s="42" t="s">
        <v>90</v>
      </c>
      <c r="B624" s="48" t="s">
        <v>148</v>
      </c>
      <c r="C624" s="32">
        <v>85</v>
      </c>
      <c r="D624" s="32"/>
      <c r="E624" s="48" t="s">
        <v>152</v>
      </c>
      <c r="F624" s="48" t="s">
        <v>15</v>
      </c>
      <c r="G624" s="48" t="s">
        <v>22</v>
      </c>
      <c r="H624" s="11">
        <v>10.73</v>
      </c>
      <c r="I624" s="52">
        <v>11.7</v>
      </c>
      <c r="J624" s="7">
        <v>1</v>
      </c>
      <c r="K624" s="10">
        <v>0.12554099999999999</v>
      </c>
      <c r="L624" s="32"/>
      <c r="M624" s="32"/>
      <c r="N624" s="18">
        <v>0</v>
      </c>
      <c r="O624" s="19">
        <v>1</v>
      </c>
      <c r="P624" s="13">
        <v>0.12554099999999999</v>
      </c>
      <c r="Q624" s="32"/>
      <c r="R624" s="32"/>
      <c r="S624" s="32"/>
    </row>
    <row r="625" spans="1:19">
      <c r="A625" s="42" t="s">
        <v>90</v>
      </c>
      <c r="B625" s="48" t="s">
        <v>148</v>
      </c>
      <c r="C625" s="32">
        <v>85</v>
      </c>
      <c r="D625" s="32"/>
      <c r="E625" s="48" t="s">
        <v>152</v>
      </c>
      <c r="F625" s="48" t="s">
        <v>15</v>
      </c>
      <c r="G625" s="48" t="s">
        <v>22</v>
      </c>
      <c r="H625" s="11">
        <v>10.73</v>
      </c>
      <c r="I625" s="52">
        <v>9.6999999999999993</v>
      </c>
      <c r="J625" s="7">
        <v>2</v>
      </c>
      <c r="K625" s="10">
        <v>0.20816200000000001</v>
      </c>
      <c r="L625" s="32"/>
      <c r="M625" s="32"/>
      <c r="N625" s="18">
        <v>0</v>
      </c>
      <c r="O625" s="19">
        <v>2</v>
      </c>
      <c r="P625" s="13">
        <v>0.20816200000000001</v>
      </c>
      <c r="Q625" s="32"/>
      <c r="R625" s="32"/>
      <c r="S625" s="32"/>
    </row>
    <row r="626" spans="1:19">
      <c r="A626" s="42" t="s">
        <v>90</v>
      </c>
      <c r="B626" s="48" t="s">
        <v>148</v>
      </c>
      <c r="C626" s="32">
        <v>101</v>
      </c>
      <c r="D626" s="32"/>
      <c r="E626" s="69" t="s">
        <v>152</v>
      </c>
      <c r="F626" s="69" t="s">
        <v>15</v>
      </c>
      <c r="G626" s="69" t="s">
        <v>22</v>
      </c>
      <c r="H626" s="61">
        <v>10.73</v>
      </c>
      <c r="I626" s="70">
        <v>10.5</v>
      </c>
      <c r="J626" s="60">
        <v>1</v>
      </c>
      <c r="K626" s="62">
        <v>0.112665</v>
      </c>
      <c r="L626" s="67" t="s">
        <v>158</v>
      </c>
      <c r="M626" s="67"/>
      <c r="N626" s="63">
        <v>0</v>
      </c>
      <c r="O626" s="64">
        <v>1</v>
      </c>
      <c r="P626" s="65">
        <v>0.112665</v>
      </c>
      <c r="Q626" s="32"/>
      <c r="R626" s="32"/>
      <c r="S626" s="32"/>
    </row>
    <row r="627" spans="1:19">
      <c r="A627" s="42" t="s">
        <v>90</v>
      </c>
      <c r="B627" s="3"/>
      <c r="C627" s="3">
        <v>106</v>
      </c>
      <c r="D627" s="1"/>
      <c r="E627" s="12" t="s">
        <v>94</v>
      </c>
      <c r="F627" s="7" t="s">
        <v>15</v>
      </c>
      <c r="G627" s="7" t="s">
        <v>22</v>
      </c>
      <c r="H627" s="11">
        <v>10.73</v>
      </c>
      <c r="I627" s="8">
        <v>6.9</v>
      </c>
      <c r="J627" s="26">
        <v>1</v>
      </c>
      <c r="K627" s="10">
        <v>7.4037000000000006E-2</v>
      </c>
      <c r="L627" s="4"/>
      <c r="M627" s="17"/>
      <c r="N627" s="18">
        <v>0</v>
      </c>
      <c r="O627" s="19">
        <v>1</v>
      </c>
      <c r="P627" s="13">
        <v>7.4037000000000006E-2</v>
      </c>
      <c r="Q627" s="9"/>
      <c r="R627" s="2"/>
      <c r="S627" s="2"/>
    </row>
    <row r="628" spans="1:19">
      <c r="A628" s="42" t="s">
        <v>90</v>
      </c>
      <c r="B628" s="3"/>
      <c r="C628" s="3">
        <v>106</v>
      </c>
      <c r="D628" s="1"/>
      <c r="E628" s="12" t="s">
        <v>94</v>
      </c>
      <c r="F628" s="7" t="s">
        <v>15</v>
      </c>
      <c r="G628" s="7" t="s">
        <v>22</v>
      </c>
      <c r="H628" s="11">
        <v>10.73</v>
      </c>
      <c r="I628" s="8">
        <v>9.1999999999999993</v>
      </c>
      <c r="J628" s="26">
        <v>2</v>
      </c>
      <c r="K628" s="10">
        <v>0.197432</v>
      </c>
      <c r="L628" s="4"/>
      <c r="M628" s="17"/>
      <c r="N628" s="18">
        <v>0</v>
      </c>
      <c r="O628" s="19">
        <v>2</v>
      </c>
      <c r="P628" s="13">
        <v>0.197432</v>
      </c>
      <c r="Q628" s="9"/>
      <c r="R628" s="2"/>
      <c r="S628" s="2"/>
    </row>
    <row r="629" spans="1:19">
      <c r="A629" s="42" t="s">
        <v>90</v>
      </c>
      <c r="B629" s="3"/>
      <c r="C629" s="3">
        <v>106</v>
      </c>
      <c r="D629" s="1"/>
      <c r="E629" s="12" t="s">
        <v>94</v>
      </c>
      <c r="F629" s="7" t="s">
        <v>15</v>
      </c>
      <c r="G629" s="7" t="s">
        <v>22</v>
      </c>
      <c r="H629" s="11">
        <v>10.73</v>
      </c>
      <c r="I629" s="8">
        <v>11.7</v>
      </c>
      <c r="J629" s="26">
        <v>1</v>
      </c>
      <c r="K629" s="10">
        <v>0.12554099999999999</v>
      </c>
      <c r="L629" s="4"/>
      <c r="M629" s="17"/>
      <c r="N629" s="18">
        <v>0</v>
      </c>
      <c r="O629" s="19">
        <v>1</v>
      </c>
      <c r="P629" s="13">
        <v>0.12554099999999999</v>
      </c>
      <c r="Q629" s="9"/>
      <c r="R629" s="2"/>
      <c r="S629" s="2"/>
    </row>
    <row r="630" spans="1:19">
      <c r="A630" s="42" t="s">
        <v>90</v>
      </c>
      <c r="B630" s="3"/>
      <c r="C630" s="3">
        <v>106</v>
      </c>
      <c r="D630" s="1"/>
      <c r="E630" s="12" t="s">
        <v>94</v>
      </c>
      <c r="F630" s="7" t="s">
        <v>15</v>
      </c>
      <c r="G630" s="7" t="s">
        <v>22</v>
      </c>
      <c r="H630" s="11">
        <v>10.73</v>
      </c>
      <c r="I630" s="8">
        <v>9.6999999999999993</v>
      </c>
      <c r="J630" s="26">
        <v>1</v>
      </c>
      <c r="K630" s="10">
        <v>0.10408100000000001</v>
      </c>
      <c r="L630" s="4"/>
      <c r="M630" s="17"/>
      <c r="N630" s="18">
        <v>0</v>
      </c>
      <c r="O630" s="19">
        <v>1</v>
      </c>
      <c r="P630" s="13">
        <v>0.10408100000000001</v>
      </c>
      <c r="Q630" s="9"/>
      <c r="R630" s="2"/>
      <c r="S630" s="2"/>
    </row>
    <row r="631" spans="1:19">
      <c r="A631" s="42" t="s">
        <v>90</v>
      </c>
      <c r="B631" s="3"/>
      <c r="C631" s="3">
        <v>133</v>
      </c>
      <c r="D631" s="1"/>
      <c r="E631" s="12" t="s">
        <v>94</v>
      </c>
      <c r="F631" s="7" t="s">
        <v>15</v>
      </c>
      <c r="G631" s="7" t="s">
        <v>22</v>
      </c>
      <c r="H631" s="11">
        <v>10.73</v>
      </c>
      <c r="I631" s="8">
        <v>7.5</v>
      </c>
      <c r="J631" s="26">
        <v>3</v>
      </c>
      <c r="K631" s="10">
        <v>0.241425</v>
      </c>
      <c r="L631" s="4"/>
      <c r="M631" s="17"/>
      <c r="N631" s="18">
        <v>0</v>
      </c>
      <c r="O631" s="19">
        <v>3</v>
      </c>
      <c r="P631" s="13">
        <v>0.241425</v>
      </c>
      <c r="Q631" s="9"/>
      <c r="R631" s="2"/>
      <c r="S631" s="2"/>
    </row>
    <row r="632" spans="1:19">
      <c r="A632" s="42" t="s">
        <v>90</v>
      </c>
      <c r="B632" s="3"/>
      <c r="C632" s="3">
        <v>150</v>
      </c>
      <c r="D632" s="1"/>
      <c r="E632" s="12" t="s">
        <v>94</v>
      </c>
      <c r="F632" s="7" t="s">
        <v>15</v>
      </c>
      <c r="G632" s="7" t="s">
        <v>22</v>
      </c>
      <c r="H632" s="11">
        <v>10.73</v>
      </c>
      <c r="I632" s="8">
        <v>10.5</v>
      </c>
      <c r="J632" s="26">
        <v>1</v>
      </c>
      <c r="K632" s="10">
        <v>0.112665</v>
      </c>
      <c r="L632" s="4"/>
      <c r="M632" s="17">
        <v>1</v>
      </c>
      <c r="N632" s="18">
        <v>0.112665</v>
      </c>
      <c r="O632" s="19">
        <v>0</v>
      </c>
      <c r="P632" s="13">
        <v>0</v>
      </c>
      <c r="Q632" s="89">
        <v>10.5</v>
      </c>
      <c r="R632" s="90">
        <v>1</v>
      </c>
      <c r="S632" s="90" t="s">
        <v>264</v>
      </c>
    </row>
    <row r="633" spans="1:19">
      <c r="A633" s="42" t="s">
        <v>90</v>
      </c>
      <c r="B633" s="3"/>
      <c r="C633" s="3">
        <v>150</v>
      </c>
      <c r="D633" s="1"/>
      <c r="E633" s="12" t="s">
        <v>94</v>
      </c>
      <c r="F633" s="7" t="s">
        <v>15</v>
      </c>
      <c r="G633" s="7" t="s">
        <v>22</v>
      </c>
      <c r="H633" s="11">
        <v>10.73</v>
      </c>
      <c r="I633" s="8">
        <v>11.9</v>
      </c>
      <c r="J633" s="26">
        <v>1</v>
      </c>
      <c r="K633" s="10">
        <v>0.12768700000000002</v>
      </c>
      <c r="L633" s="4"/>
      <c r="M633" s="17">
        <v>1</v>
      </c>
      <c r="N633" s="18">
        <v>0.12768700000000002</v>
      </c>
      <c r="O633" s="19">
        <v>0</v>
      </c>
      <c r="P633" s="13">
        <v>0</v>
      </c>
      <c r="Q633" s="89">
        <v>10.5</v>
      </c>
      <c r="R633" s="90">
        <v>1</v>
      </c>
      <c r="S633" s="90" t="s">
        <v>264</v>
      </c>
    </row>
    <row r="634" spans="1:19">
      <c r="A634" s="42" t="s">
        <v>90</v>
      </c>
      <c r="B634" s="3"/>
      <c r="C634" s="3">
        <v>150</v>
      </c>
      <c r="D634" s="1"/>
      <c r="E634" s="12" t="s">
        <v>94</v>
      </c>
      <c r="F634" s="7" t="s">
        <v>15</v>
      </c>
      <c r="G634" s="7" t="s">
        <v>22</v>
      </c>
      <c r="H634" s="11">
        <v>10.73</v>
      </c>
      <c r="I634" s="8">
        <v>11.7</v>
      </c>
      <c r="J634" s="26">
        <v>3</v>
      </c>
      <c r="K634" s="10">
        <v>0.37662299999999999</v>
      </c>
      <c r="L634" s="4"/>
      <c r="M634" s="17">
        <v>3</v>
      </c>
      <c r="N634" s="18">
        <v>0.37662299999999993</v>
      </c>
      <c r="O634" s="19">
        <v>0</v>
      </c>
      <c r="P634" s="13">
        <v>0</v>
      </c>
      <c r="Q634" s="89">
        <v>10.5</v>
      </c>
      <c r="R634" s="90">
        <v>3</v>
      </c>
      <c r="S634" s="90" t="s">
        <v>264</v>
      </c>
    </row>
    <row r="635" spans="1:19">
      <c r="A635" s="42" t="s">
        <v>90</v>
      </c>
      <c r="B635" s="3"/>
      <c r="C635" s="3">
        <v>175</v>
      </c>
      <c r="D635" s="1"/>
      <c r="E635" s="20" t="s">
        <v>20</v>
      </c>
      <c r="F635" s="7" t="s">
        <v>15</v>
      </c>
      <c r="G635" s="7" t="s">
        <v>22</v>
      </c>
      <c r="H635" s="11">
        <v>10.73</v>
      </c>
      <c r="I635" s="8">
        <v>5.4</v>
      </c>
      <c r="J635" s="26">
        <v>1</v>
      </c>
      <c r="K635" s="10">
        <v>5.7942000000000007E-2</v>
      </c>
      <c r="L635" s="4"/>
      <c r="M635" s="17"/>
      <c r="N635" s="18">
        <v>0</v>
      </c>
      <c r="O635" s="19">
        <v>1</v>
      </c>
      <c r="P635" s="13">
        <v>5.7942000000000007E-2</v>
      </c>
      <c r="Q635" s="9"/>
      <c r="R635" s="2"/>
      <c r="S635" s="2"/>
    </row>
    <row r="636" spans="1:19">
      <c r="A636" s="42" t="s">
        <v>90</v>
      </c>
      <c r="B636" s="3"/>
      <c r="C636" s="3">
        <v>175</v>
      </c>
      <c r="D636" s="1"/>
      <c r="E636" s="20" t="s">
        <v>20</v>
      </c>
      <c r="F636" s="7" t="s">
        <v>15</v>
      </c>
      <c r="G636" s="7" t="s">
        <v>22</v>
      </c>
      <c r="H636" s="11">
        <v>10.73</v>
      </c>
      <c r="I636" s="8">
        <v>5.3</v>
      </c>
      <c r="J636" s="26">
        <v>1</v>
      </c>
      <c r="K636" s="10">
        <v>5.6869000000000003E-2</v>
      </c>
      <c r="L636" s="4"/>
      <c r="M636" s="17"/>
      <c r="N636" s="18">
        <v>0</v>
      </c>
      <c r="O636" s="19">
        <v>1</v>
      </c>
      <c r="P636" s="13">
        <v>5.6869000000000003E-2</v>
      </c>
      <c r="Q636" s="9"/>
      <c r="R636" s="2"/>
      <c r="S636" s="2"/>
    </row>
    <row r="637" spans="1:19">
      <c r="A637" s="42" t="s">
        <v>90</v>
      </c>
      <c r="B637" s="3"/>
      <c r="C637" s="3">
        <v>214</v>
      </c>
      <c r="D637" s="1"/>
      <c r="E637" s="20" t="s">
        <v>20</v>
      </c>
      <c r="F637" s="7" t="s">
        <v>15</v>
      </c>
      <c r="G637" s="7" t="s">
        <v>22</v>
      </c>
      <c r="H637" s="11">
        <v>10.73</v>
      </c>
      <c r="I637" s="8">
        <v>11.9</v>
      </c>
      <c r="J637" s="26">
        <v>1</v>
      </c>
      <c r="K637" s="10">
        <v>0.12768700000000002</v>
      </c>
      <c r="L637" s="4"/>
      <c r="M637" s="17"/>
      <c r="N637" s="18">
        <v>0</v>
      </c>
      <c r="O637" s="19">
        <v>1</v>
      </c>
      <c r="P637" s="13">
        <v>0.12768700000000002</v>
      </c>
      <c r="Q637" s="9"/>
      <c r="R637" s="32"/>
      <c r="S637" s="32"/>
    </row>
    <row r="638" spans="1:19">
      <c r="A638" s="42" t="s">
        <v>90</v>
      </c>
      <c r="B638" s="3"/>
      <c r="C638" s="3">
        <v>217</v>
      </c>
      <c r="D638" s="1"/>
      <c r="E638" s="20" t="s">
        <v>20</v>
      </c>
      <c r="F638" s="7" t="s">
        <v>15</v>
      </c>
      <c r="G638" s="7" t="s">
        <v>22</v>
      </c>
      <c r="H638" s="11">
        <v>10.73</v>
      </c>
      <c r="I638" s="8">
        <v>7.4</v>
      </c>
      <c r="J638" s="26">
        <v>1</v>
      </c>
      <c r="K638" s="10">
        <v>7.9402E-2</v>
      </c>
      <c r="L638" s="4"/>
      <c r="M638" s="17"/>
      <c r="N638" s="18">
        <v>0</v>
      </c>
      <c r="O638" s="19">
        <v>1</v>
      </c>
      <c r="P638" s="13">
        <v>7.9402E-2</v>
      </c>
      <c r="Q638" s="9"/>
      <c r="R638" s="32"/>
      <c r="S638" s="32"/>
    </row>
    <row r="639" spans="1:19">
      <c r="A639" s="42" t="s">
        <v>90</v>
      </c>
      <c r="B639" s="3"/>
      <c r="C639" s="3">
        <v>222</v>
      </c>
      <c r="D639" s="1"/>
      <c r="E639" s="20" t="s">
        <v>96</v>
      </c>
      <c r="F639" s="7" t="s">
        <v>15</v>
      </c>
      <c r="G639" s="7" t="s">
        <v>22</v>
      </c>
      <c r="H639" s="11">
        <v>10.73</v>
      </c>
      <c r="I639" s="8">
        <v>7.8</v>
      </c>
      <c r="J639" s="26">
        <v>1</v>
      </c>
      <c r="K639" s="10">
        <v>8.3694000000000005E-2</v>
      </c>
      <c r="L639" s="4"/>
      <c r="M639" s="17"/>
      <c r="N639" s="18">
        <v>0</v>
      </c>
      <c r="O639" s="19">
        <v>1</v>
      </c>
      <c r="P639" s="13">
        <v>8.3694000000000005E-2</v>
      </c>
      <c r="Q639" s="9"/>
      <c r="R639" s="32"/>
      <c r="S639" s="32"/>
    </row>
    <row r="640" spans="1:19">
      <c r="A640" s="42" t="s">
        <v>90</v>
      </c>
      <c r="B640" s="3"/>
      <c r="C640" s="3">
        <v>222</v>
      </c>
      <c r="D640" s="1"/>
      <c r="E640" s="20" t="s">
        <v>96</v>
      </c>
      <c r="F640" s="7" t="s">
        <v>15</v>
      </c>
      <c r="G640" s="7" t="s">
        <v>22</v>
      </c>
      <c r="H640" s="11">
        <v>10.73</v>
      </c>
      <c r="I640" s="8">
        <v>9.5</v>
      </c>
      <c r="J640" s="26">
        <v>1</v>
      </c>
      <c r="K640" s="10">
        <v>0.101935</v>
      </c>
      <c r="L640" s="4"/>
      <c r="M640" s="17"/>
      <c r="N640" s="18">
        <v>0</v>
      </c>
      <c r="O640" s="19">
        <v>1</v>
      </c>
      <c r="P640" s="13">
        <v>0.101935</v>
      </c>
      <c r="Q640" s="9"/>
      <c r="R640" s="32"/>
      <c r="S640" s="32"/>
    </row>
    <row r="641" spans="1:22">
      <c r="A641" s="47" t="s">
        <v>147</v>
      </c>
      <c r="B641" s="48" t="s">
        <v>148</v>
      </c>
      <c r="C641" s="32">
        <v>295</v>
      </c>
      <c r="D641" s="32"/>
      <c r="E641" s="48" t="s">
        <v>20</v>
      </c>
      <c r="F641" s="48" t="s">
        <v>160</v>
      </c>
      <c r="G641" s="48" t="s">
        <v>22</v>
      </c>
      <c r="H641" s="11">
        <v>10.73</v>
      </c>
      <c r="I641" s="52">
        <v>10.5</v>
      </c>
      <c r="J641" s="7">
        <v>1</v>
      </c>
      <c r="K641" s="10">
        <v>0.112665</v>
      </c>
      <c r="L641" s="32"/>
      <c r="M641" s="32"/>
      <c r="N641" s="18">
        <v>0</v>
      </c>
      <c r="O641" s="19">
        <v>1</v>
      </c>
      <c r="P641" s="13">
        <v>0.112665</v>
      </c>
      <c r="Q641" s="32"/>
      <c r="R641" s="32"/>
      <c r="S641" s="32"/>
    </row>
    <row r="642" spans="1:22">
      <c r="A642" s="45" t="s">
        <v>136</v>
      </c>
      <c r="B642" s="32" t="s">
        <v>137</v>
      </c>
      <c r="C642" s="3">
        <v>50</v>
      </c>
      <c r="D642" s="32"/>
      <c r="E642" s="20" t="s">
        <v>20</v>
      </c>
      <c r="F642" s="7" t="s">
        <v>15</v>
      </c>
      <c r="G642" s="7" t="s">
        <v>22</v>
      </c>
      <c r="H642" s="11">
        <v>10.73</v>
      </c>
      <c r="I642" s="33">
        <v>10.5</v>
      </c>
      <c r="J642" s="40">
        <v>5</v>
      </c>
      <c r="K642" s="10">
        <v>0.56332500000000008</v>
      </c>
      <c r="L642" s="4"/>
      <c r="M642" s="17"/>
      <c r="N642" s="18">
        <v>0</v>
      </c>
      <c r="O642" s="19">
        <v>5</v>
      </c>
      <c r="P642" s="13">
        <v>0.56332500000000008</v>
      </c>
      <c r="Q642" s="32"/>
      <c r="R642" s="32"/>
      <c r="S642" s="32"/>
    </row>
    <row r="643" spans="1:22">
      <c r="A643" s="45" t="s">
        <v>136</v>
      </c>
      <c r="B643" s="32" t="s">
        <v>137</v>
      </c>
      <c r="C643" s="3">
        <v>50</v>
      </c>
      <c r="D643" s="32"/>
      <c r="E643" s="20" t="s">
        <v>20</v>
      </c>
      <c r="F643" s="7" t="s">
        <v>15</v>
      </c>
      <c r="G643" s="7" t="s">
        <v>22</v>
      </c>
      <c r="H643" s="11">
        <v>10.73</v>
      </c>
      <c r="I643" s="33">
        <v>12</v>
      </c>
      <c r="J643" s="40">
        <v>1</v>
      </c>
      <c r="K643" s="10">
        <v>0.12875999999999999</v>
      </c>
      <c r="L643" s="4"/>
      <c r="M643" s="17">
        <v>1</v>
      </c>
      <c r="N643" s="18">
        <v>0.12875999999999999</v>
      </c>
      <c r="O643" s="19">
        <v>0</v>
      </c>
      <c r="P643" s="13">
        <v>0</v>
      </c>
      <c r="Q643" s="91">
        <v>12</v>
      </c>
      <c r="R643" s="91">
        <v>1</v>
      </c>
      <c r="S643" s="90" t="s">
        <v>264</v>
      </c>
    </row>
    <row r="644" spans="1:22">
      <c r="A644" s="45" t="s">
        <v>136</v>
      </c>
      <c r="B644" s="32" t="s">
        <v>137</v>
      </c>
      <c r="C644" s="3">
        <v>63</v>
      </c>
      <c r="D644" s="32"/>
      <c r="E644" s="20" t="s">
        <v>20</v>
      </c>
      <c r="F644" s="7" t="s">
        <v>15</v>
      </c>
      <c r="G644" s="7" t="s">
        <v>22</v>
      </c>
      <c r="H644" s="11">
        <v>10.73</v>
      </c>
      <c r="I644" s="33">
        <v>7.5</v>
      </c>
      <c r="J644" s="40">
        <v>1</v>
      </c>
      <c r="K644" s="10">
        <v>8.0475000000000005E-2</v>
      </c>
      <c r="L644" s="4"/>
      <c r="M644" s="17"/>
      <c r="N644" s="18">
        <v>0</v>
      </c>
      <c r="O644" s="19">
        <v>1</v>
      </c>
      <c r="P644" s="13">
        <v>8.0475000000000005E-2</v>
      </c>
      <c r="Q644" s="32"/>
      <c r="R644" s="32"/>
      <c r="S644" s="32"/>
    </row>
    <row r="645" spans="1:22">
      <c r="A645" s="45" t="s">
        <v>136</v>
      </c>
      <c r="B645" s="32" t="s">
        <v>137</v>
      </c>
      <c r="C645" s="3">
        <v>63</v>
      </c>
      <c r="D645" s="32"/>
      <c r="E645" s="20" t="s">
        <v>20</v>
      </c>
      <c r="F645" s="7" t="s">
        <v>15</v>
      </c>
      <c r="G645" s="7" t="s">
        <v>22</v>
      </c>
      <c r="H645" s="11">
        <v>10.73</v>
      </c>
      <c r="I645" s="33">
        <v>11.5</v>
      </c>
      <c r="J645" s="40">
        <v>1</v>
      </c>
      <c r="K645" s="10">
        <v>0.123395</v>
      </c>
      <c r="L645" s="4"/>
      <c r="M645" s="17"/>
      <c r="N645" s="18">
        <v>0</v>
      </c>
      <c r="O645" s="19">
        <v>1</v>
      </c>
      <c r="P645" s="13">
        <v>0.123395</v>
      </c>
      <c r="Q645" s="32"/>
      <c r="R645" s="32"/>
      <c r="S645" s="32"/>
    </row>
    <row r="646" spans="1:22">
      <c r="O646" s="6">
        <f>SUM(O620:O645)</f>
        <v>32</v>
      </c>
      <c r="R646" s="6">
        <f>SUM(R620:R645)</f>
        <v>6</v>
      </c>
    </row>
    <row r="648" spans="1:22">
      <c r="A648" s="42" t="s">
        <v>78</v>
      </c>
      <c r="B648" s="3"/>
      <c r="C648" s="3">
        <v>50</v>
      </c>
      <c r="D648" s="1"/>
      <c r="E648" s="20" t="s">
        <v>17</v>
      </c>
      <c r="F648" s="7" t="s">
        <v>15</v>
      </c>
      <c r="G648" s="7" t="s">
        <v>22</v>
      </c>
      <c r="H648" s="11">
        <v>10.73</v>
      </c>
      <c r="I648" s="8">
        <v>10</v>
      </c>
      <c r="J648" s="26">
        <v>5</v>
      </c>
      <c r="K648" s="10">
        <v>0.53649999999999998</v>
      </c>
      <c r="L648" s="4"/>
      <c r="M648" s="17">
        <v>5</v>
      </c>
      <c r="N648" s="18">
        <v>0.53649999999999998</v>
      </c>
      <c r="O648" s="19">
        <v>0</v>
      </c>
      <c r="P648" s="13">
        <v>0</v>
      </c>
      <c r="Q648" s="9">
        <v>10</v>
      </c>
      <c r="R648" s="2">
        <v>5</v>
      </c>
      <c r="S648" s="2" t="s">
        <v>203</v>
      </c>
    </row>
    <row r="649" spans="1:22">
      <c r="A649" s="42" t="s">
        <v>78</v>
      </c>
      <c r="B649" s="3"/>
      <c r="C649" s="3">
        <v>50</v>
      </c>
      <c r="D649" s="1"/>
      <c r="E649" s="20" t="s">
        <v>17</v>
      </c>
      <c r="F649" s="7" t="s">
        <v>15</v>
      </c>
      <c r="G649" s="7" t="s">
        <v>22</v>
      </c>
      <c r="H649" s="11">
        <v>10.73</v>
      </c>
      <c r="I649" s="8">
        <v>8</v>
      </c>
      <c r="J649" s="26">
        <v>3</v>
      </c>
      <c r="K649" s="10">
        <v>0.25751999999999997</v>
      </c>
      <c r="L649" s="4"/>
      <c r="M649" s="17">
        <v>3</v>
      </c>
      <c r="N649" s="18">
        <v>0.25751999999999997</v>
      </c>
      <c r="O649" s="19">
        <v>0</v>
      </c>
      <c r="P649" s="13">
        <v>0</v>
      </c>
      <c r="Q649" s="9">
        <v>6.5</v>
      </c>
      <c r="R649" s="2">
        <v>1</v>
      </c>
      <c r="S649" s="2" t="s">
        <v>203</v>
      </c>
      <c r="T649" s="157">
        <v>8</v>
      </c>
      <c r="U649" s="156">
        <v>2</v>
      </c>
      <c r="V649" s="156" t="s">
        <v>265</v>
      </c>
    </row>
    <row r="650" spans="1:22">
      <c r="A650" s="42" t="s">
        <v>78</v>
      </c>
      <c r="B650" s="3"/>
      <c r="C650" s="3">
        <v>51</v>
      </c>
      <c r="D650" s="1"/>
      <c r="E650" s="20" t="s">
        <v>17</v>
      </c>
      <c r="F650" s="7" t="s">
        <v>15</v>
      </c>
      <c r="G650" s="7" t="s">
        <v>22</v>
      </c>
      <c r="H650" s="11">
        <v>10.73</v>
      </c>
      <c r="I650" s="8">
        <v>10.6</v>
      </c>
      <c r="J650" s="26">
        <v>3</v>
      </c>
      <c r="K650" s="10">
        <v>0.34121400000000002</v>
      </c>
      <c r="L650" s="4"/>
      <c r="M650" s="17">
        <v>3</v>
      </c>
      <c r="N650" s="18">
        <v>0.34121400000000002</v>
      </c>
      <c r="O650" s="19">
        <v>0</v>
      </c>
      <c r="P650" s="13">
        <v>0</v>
      </c>
      <c r="Q650" s="9">
        <v>8.6999999999999993</v>
      </c>
      <c r="R650" s="2">
        <v>2</v>
      </c>
      <c r="S650" s="2" t="s">
        <v>203</v>
      </c>
      <c r="T650" s="157">
        <v>9.15</v>
      </c>
      <c r="U650" s="156">
        <v>1</v>
      </c>
      <c r="V650" s="156" t="s">
        <v>265</v>
      </c>
    </row>
    <row r="651" spans="1:22">
      <c r="A651" s="42" t="s">
        <v>78</v>
      </c>
      <c r="B651" s="3"/>
      <c r="C651" s="3">
        <v>52</v>
      </c>
      <c r="D651" s="1"/>
      <c r="E651" s="20" t="s">
        <v>17</v>
      </c>
      <c r="F651" s="7" t="s">
        <v>15</v>
      </c>
      <c r="G651" s="7" t="s">
        <v>22</v>
      </c>
      <c r="H651" s="11">
        <v>10.73</v>
      </c>
      <c r="I651" s="8">
        <v>12</v>
      </c>
      <c r="J651" s="26">
        <v>2</v>
      </c>
      <c r="K651" s="10">
        <v>0.25751999999999997</v>
      </c>
      <c r="L651" s="4"/>
      <c r="M651" s="17">
        <v>2</v>
      </c>
      <c r="N651" s="18">
        <v>0.25751999999999997</v>
      </c>
      <c r="O651" s="19">
        <v>0</v>
      </c>
      <c r="P651" s="13">
        <v>0</v>
      </c>
      <c r="Q651" s="9">
        <v>11.6</v>
      </c>
      <c r="R651" s="2">
        <v>2</v>
      </c>
      <c r="S651" s="2" t="s">
        <v>203</v>
      </c>
      <c r="T651" s="158"/>
    </row>
    <row r="652" spans="1:22">
      <c r="A652" s="42" t="s">
        <v>84</v>
      </c>
      <c r="B652" s="3" t="s">
        <v>121</v>
      </c>
      <c r="C652" s="3">
        <v>1</v>
      </c>
      <c r="D652" s="1"/>
      <c r="E652" s="20" t="s">
        <v>17</v>
      </c>
      <c r="F652" s="7" t="s">
        <v>15</v>
      </c>
      <c r="G652" s="7" t="s">
        <v>22</v>
      </c>
      <c r="H652" s="11">
        <v>10.73</v>
      </c>
      <c r="I652" s="8">
        <v>7.5</v>
      </c>
      <c r="J652" s="26">
        <v>12</v>
      </c>
      <c r="K652" s="10">
        <v>0.9657</v>
      </c>
      <c r="L652" s="4"/>
      <c r="M652" s="17">
        <v>12</v>
      </c>
      <c r="N652" s="18">
        <v>0.9657</v>
      </c>
      <c r="O652" s="19">
        <v>0</v>
      </c>
      <c r="P652" s="13">
        <v>0</v>
      </c>
      <c r="Q652" s="9">
        <v>7.5</v>
      </c>
      <c r="R652" s="2">
        <v>5</v>
      </c>
      <c r="S652" s="2" t="s">
        <v>203</v>
      </c>
      <c r="T652" s="158"/>
      <c r="V652">
        <v>6</v>
      </c>
    </row>
    <row r="653" spans="1:22">
      <c r="A653" s="42" t="s">
        <v>90</v>
      </c>
      <c r="B653" s="3"/>
      <c r="C653" s="3">
        <v>152</v>
      </c>
      <c r="D653" s="1"/>
      <c r="E653" s="20" t="s">
        <v>17</v>
      </c>
      <c r="F653" s="7" t="s">
        <v>15</v>
      </c>
      <c r="G653" s="7" t="s">
        <v>22</v>
      </c>
      <c r="H653" s="11">
        <v>10.73</v>
      </c>
      <c r="I653" s="8">
        <v>11</v>
      </c>
      <c r="J653" s="26">
        <v>1</v>
      </c>
      <c r="K653" s="10">
        <v>0.11803</v>
      </c>
      <c r="L653" s="4"/>
      <c r="M653" s="17">
        <v>1</v>
      </c>
      <c r="N653" s="18">
        <v>0.11803</v>
      </c>
      <c r="O653" s="19">
        <v>0</v>
      </c>
      <c r="P653" s="13">
        <v>0</v>
      </c>
      <c r="Q653" s="9">
        <v>11</v>
      </c>
      <c r="R653" s="2">
        <v>1</v>
      </c>
      <c r="S653" s="2" t="s">
        <v>203</v>
      </c>
      <c r="T653" s="158"/>
    </row>
    <row r="654" spans="1:22">
      <c r="A654" s="42" t="s">
        <v>90</v>
      </c>
      <c r="B654" s="3"/>
      <c r="C654" s="3">
        <v>152</v>
      </c>
      <c r="D654" s="1"/>
      <c r="E654" s="20" t="s">
        <v>17</v>
      </c>
      <c r="F654" s="7" t="s">
        <v>15</v>
      </c>
      <c r="G654" s="7" t="s">
        <v>22</v>
      </c>
      <c r="H654" s="11">
        <v>10.73</v>
      </c>
      <c r="I654" s="8">
        <v>11.6</v>
      </c>
      <c r="J654" s="26">
        <v>1</v>
      </c>
      <c r="K654" s="10">
        <v>0.12446800000000001</v>
      </c>
      <c r="L654" s="4"/>
      <c r="M654" s="17">
        <v>1</v>
      </c>
      <c r="N654" s="18">
        <v>0.12446800000000001</v>
      </c>
      <c r="O654" s="19">
        <v>0</v>
      </c>
      <c r="P654" s="13">
        <v>0</v>
      </c>
      <c r="Q654" s="9"/>
      <c r="R654" s="2">
        <v>1</v>
      </c>
      <c r="S654" s="2" t="s">
        <v>203</v>
      </c>
      <c r="T654" s="158"/>
    </row>
    <row r="655" spans="1:22">
      <c r="A655" s="42" t="s">
        <v>90</v>
      </c>
      <c r="B655" s="3"/>
      <c r="C655" s="3">
        <v>152</v>
      </c>
      <c r="D655" s="1"/>
      <c r="E655" s="20" t="s">
        <v>17</v>
      </c>
      <c r="F655" s="7" t="s">
        <v>15</v>
      </c>
      <c r="G655" s="7" t="s">
        <v>22</v>
      </c>
      <c r="H655" s="11">
        <v>10.73</v>
      </c>
      <c r="I655" s="8">
        <v>9.8000000000000007</v>
      </c>
      <c r="J655" s="26">
        <v>1</v>
      </c>
      <c r="K655" s="10">
        <v>0.10515400000000001</v>
      </c>
      <c r="L655" s="4"/>
      <c r="M655" s="17">
        <v>1</v>
      </c>
      <c r="N655" s="18">
        <v>0.10515400000000001</v>
      </c>
      <c r="O655" s="19">
        <v>0</v>
      </c>
      <c r="P655" s="13">
        <v>0</v>
      </c>
      <c r="Q655" s="9">
        <v>9.25</v>
      </c>
      <c r="R655" s="2">
        <v>1</v>
      </c>
      <c r="S655" s="2" t="s">
        <v>203</v>
      </c>
      <c r="T655" s="158"/>
    </row>
    <row r="656" spans="1:22">
      <c r="A656" s="42" t="s">
        <v>90</v>
      </c>
      <c r="B656" s="3"/>
      <c r="C656" s="3">
        <v>153</v>
      </c>
      <c r="D656" s="1"/>
      <c r="E656" s="20" t="s">
        <v>17</v>
      </c>
      <c r="F656" s="7" t="s">
        <v>15</v>
      </c>
      <c r="G656" s="7" t="s">
        <v>22</v>
      </c>
      <c r="H656" s="11">
        <v>10.73</v>
      </c>
      <c r="I656" s="8">
        <v>11.3</v>
      </c>
      <c r="J656" s="26">
        <v>8</v>
      </c>
      <c r="K656" s="10">
        <v>0.96999200000000008</v>
      </c>
      <c r="L656" s="4"/>
      <c r="M656" s="17">
        <v>8</v>
      </c>
      <c r="N656" s="18">
        <v>0.96999200000000008</v>
      </c>
      <c r="O656" s="19">
        <v>0</v>
      </c>
      <c r="P656" s="13">
        <v>0</v>
      </c>
      <c r="Q656" s="34">
        <v>11.3</v>
      </c>
      <c r="R656" s="35">
        <v>8</v>
      </c>
      <c r="S656" s="35" t="s">
        <v>224</v>
      </c>
      <c r="T656" s="158"/>
    </row>
    <row r="657" spans="1:22">
      <c r="A657" s="44" t="s">
        <v>78</v>
      </c>
      <c r="B657" s="32" t="s">
        <v>109</v>
      </c>
      <c r="C657" s="3">
        <v>4</v>
      </c>
      <c r="D657" s="1"/>
      <c r="E657" s="20" t="s">
        <v>17</v>
      </c>
      <c r="F657" s="7" t="s">
        <v>15</v>
      </c>
      <c r="G657" s="7" t="s">
        <v>22</v>
      </c>
      <c r="H657" s="11">
        <v>10.73</v>
      </c>
      <c r="I657" s="33">
        <v>8</v>
      </c>
      <c r="J657" s="40">
        <v>2</v>
      </c>
      <c r="K657" s="10">
        <v>0.17168</v>
      </c>
      <c r="L657" s="4"/>
      <c r="M657" s="17">
        <v>2</v>
      </c>
      <c r="N657" s="18">
        <v>0.17168</v>
      </c>
      <c r="O657" s="19">
        <v>0</v>
      </c>
      <c r="P657" s="13">
        <v>0</v>
      </c>
      <c r="Q657" s="32"/>
      <c r="R657" s="32"/>
      <c r="S657" s="32"/>
      <c r="T657" s="157">
        <v>8</v>
      </c>
      <c r="U657" s="156">
        <v>2</v>
      </c>
      <c r="V657" s="156" t="s">
        <v>265</v>
      </c>
    </row>
    <row r="658" spans="1:22">
      <c r="A658" s="45" t="s">
        <v>136</v>
      </c>
      <c r="B658" s="32" t="s">
        <v>137</v>
      </c>
      <c r="C658" s="3">
        <v>52</v>
      </c>
      <c r="D658" s="32"/>
      <c r="E658" s="39" t="s">
        <v>17</v>
      </c>
      <c r="F658" s="7" t="s">
        <v>15</v>
      </c>
      <c r="G658" s="7" t="s">
        <v>22</v>
      </c>
      <c r="H658" s="11">
        <v>10.73</v>
      </c>
      <c r="I658" s="33">
        <v>11.3</v>
      </c>
      <c r="J658" s="40">
        <v>3</v>
      </c>
      <c r="K658" s="10">
        <v>0.36374699999999999</v>
      </c>
      <c r="L658" s="4"/>
      <c r="M658" s="17">
        <v>3</v>
      </c>
      <c r="N658" s="18">
        <v>0.3637470000000001</v>
      </c>
      <c r="O658" s="19">
        <v>0</v>
      </c>
      <c r="P658" s="13">
        <v>0</v>
      </c>
      <c r="Q658" s="97">
        <v>11.3</v>
      </c>
      <c r="R658" s="45">
        <v>3</v>
      </c>
      <c r="S658" s="35" t="s">
        <v>224</v>
      </c>
      <c r="T658" s="158"/>
    </row>
    <row r="659" spans="1:22">
      <c r="A659" s="45" t="s">
        <v>136</v>
      </c>
      <c r="B659" s="32" t="s">
        <v>137</v>
      </c>
      <c r="C659" s="32">
        <v>103</v>
      </c>
      <c r="D659" s="32"/>
      <c r="E659" s="39" t="s">
        <v>17</v>
      </c>
      <c r="F659" s="7" t="s">
        <v>15</v>
      </c>
      <c r="G659" s="7" t="s">
        <v>22</v>
      </c>
      <c r="H659" s="11">
        <v>10.73</v>
      </c>
      <c r="I659" s="55">
        <v>7.5</v>
      </c>
      <c r="J659" s="41">
        <v>2</v>
      </c>
      <c r="K659" s="10">
        <v>0.16095000000000001</v>
      </c>
      <c r="L659" s="4"/>
      <c r="M659" s="17">
        <v>2</v>
      </c>
      <c r="N659" s="18">
        <v>0.16095000000000001</v>
      </c>
      <c r="O659" s="19">
        <v>0</v>
      </c>
      <c r="P659" s="13">
        <v>0</v>
      </c>
      <c r="Q659" s="32"/>
      <c r="R659" s="32">
        <v>1</v>
      </c>
      <c r="S659" s="32" t="s">
        <v>249</v>
      </c>
      <c r="T659" s="157">
        <v>7.45</v>
      </c>
      <c r="U659" s="156">
        <v>1</v>
      </c>
      <c r="V659" s="156" t="s">
        <v>265</v>
      </c>
    </row>
    <row r="660" spans="1:22">
      <c r="A660" s="45" t="s">
        <v>136</v>
      </c>
      <c r="B660" s="32" t="s">
        <v>137</v>
      </c>
      <c r="C660" s="32">
        <v>103</v>
      </c>
      <c r="D660" s="32"/>
      <c r="E660" s="39" t="s">
        <v>17</v>
      </c>
      <c r="F660" s="7" t="s">
        <v>15</v>
      </c>
      <c r="G660" s="7" t="s">
        <v>22</v>
      </c>
      <c r="H660" s="11">
        <v>10.73</v>
      </c>
      <c r="I660" s="55">
        <v>8.5</v>
      </c>
      <c r="J660" s="41">
        <v>2</v>
      </c>
      <c r="K660" s="10">
        <v>0.18240999999999999</v>
      </c>
      <c r="L660" s="4"/>
      <c r="M660" s="17">
        <v>2</v>
      </c>
      <c r="N660" s="18">
        <v>0.18240999999999999</v>
      </c>
      <c r="O660" s="19">
        <v>0</v>
      </c>
      <c r="P660" s="13">
        <v>0</v>
      </c>
      <c r="Q660" s="32"/>
      <c r="R660" s="32"/>
      <c r="S660" s="32"/>
      <c r="T660" s="157">
        <v>8</v>
      </c>
      <c r="U660" s="156">
        <v>2</v>
      </c>
      <c r="V660" s="156" t="s">
        <v>265</v>
      </c>
    </row>
    <row r="661" spans="1:22">
      <c r="A661" s="45" t="s">
        <v>136</v>
      </c>
      <c r="B661" s="32" t="s">
        <v>137</v>
      </c>
      <c r="C661" s="32">
        <v>103</v>
      </c>
      <c r="D661" s="32"/>
      <c r="E661" s="39" t="s">
        <v>17</v>
      </c>
      <c r="F661" s="7" t="s">
        <v>15</v>
      </c>
      <c r="G661" s="7" t="s">
        <v>22</v>
      </c>
      <c r="H661" s="11">
        <v>10.73</v>
      </c>
      <c r="I661" s="55">
        <v>10.7</v>
      </c>
      <c r="J661" s="41">
        <v>1</v>
      </c>
      <c r="K661" s="10">
        <v>0.114811</v>
      </c>
      <c r="L661" s="4"/>
      <c r="M661" s="17">
        <v>1</v>
      </c>
      <c r="N661" s="18">
        <v>0.114811</v>
      </c>
      <c r="O661" s="19">
        <v>0</v>
      </c>
      <c r="P661" s="13">
        <v>0</v>
      </c>
      <c r="Q661" s="33">
        <v>10</v>
      </c>
      <c r="R661" s="32">
        <v>1</v>
      </c>
      <c r="S661" s="32" t="s">
        <v>249</v>
      </c>
      <c r="T661" s="158"/>
    </row>
    <row r="662" spans="1:22">
      <c r="A662" s="45" t="s">
        <v>136</v>
      </c>
      <c r="B662" s="32" t="s">
        <v>137</v>
      </c>
      <c r="C662" s="32">
        <v>103</v>
      </c>
      <c r="D662" s="32"/>
      <c r="E662" s="39" t="s">
        <v>17</v>
      </c>
      <c r="F662" s="7" t="s">
        <v>15</v>
      </c>
      <c r="G662" s="7" t="s">
        <v>22</v>
      </c>
      <c r="H662" s="11">
        <v>10.73</v>
      </c>
      <c r="I662" s="55">
        <v>11.7</v>
      </c>
      <c r="J662" s="41">
        <v>1</v>
      </c>
      <c r="K662" s="10">
        <v>0.12554099999999999</v>
      </c>
      <c r="L662" s="4"/>
      <c r="M662" s="17">
        <v>1</v>
      </c>
      <c r="N662" s="18">
        <v>0.12554099999999999</v>
      </c>
      <c r="O662" s="19">
        <v>0</v>
      </c>
      <c r="P662" s="13">
        <v>0</v>
      </c>
      <c r="Q662" s="33">
        <v>10</v>
      </c>
      <c r="R662" s="32">
        <v>1</v>
      </c>
      <c r="S662" s="32" t="s">
        <v>249</v>
      </c>
      <c r="T662" s="158"/>
    </row>
    <row r="663" spans="1:22">
      <c r="A663" s="45" t="s">
        <v>136</v>
      </c>
      <c r="B663" s="32" t="s">
        <v>137</v>
      </c>
      <c r="C663" s="32">
        <v>103</v>
      </c>
      <c r="D663" s="32"/>
      <c r="E663" s="39" t="s">
        <v>17</v>
      </c>
      <c r="F663" s="7" t="s">
        <v>15</v>
      </c>
      <c r="G663" s="7" t="s">
        <v>22</v>
      </c>
      <c r="H663" s="11">
        <v>10.73</v>
      </c>
      <c r="I663" s="55">
        <v>12</v>
      </c>
      <c r="J663" s="41">
        <v>2</v>
      </c>
      <c r="K663" s="10">
        <v>0.25751999999999997</v>
      </c>
      <c r="L663" s="4"/>
      <c r="M663" s="17">
        <v>2</v>
      </c>
      <c r="N663" s="18">
        <v>0.25751999999999997</v>
      </c>
      <c r="O663" s="19">
        <v>0</v>
      </c>
      <c r="P663" s="13">
        <v>0</v>
      </c>
      <c r="Q663" s="33">
        <v>10</v>
      </c>
      <c r="R663" s="32">
        <v>1</v>
      </c>
      <c r="S663" s="32" t="s">
        <v>249</v>
      </c>
      <c r="T663" s="157">
        <v>11.4</v>
      </c>
      <c r="U663" s="156">
        <v>1</v>
      </c>
      <c r="V663" s="156" t="s">
        <v>265</v>
      </c>
    </row>
    <row r="664" spans="1:22">
      <c r="A664" s="45" t="s">
        <v>136</v>
      </c>
      <c r="B664" s="48" t="s">
        <v>171</v>
      </c>
      <c r="C664" s="32">
        <v>127</v>
      </c>
      <c r="D664" s="32"/>
      <c r="E664" s="48" t="s">
        <v>17</v>
      </c>
      <c r="F664" s="48" t="s">
        <v>15</v>
      </c>
      <c r="G664" s="48" t="s">
        <v>22</v>
      </c>
      <c r="H664" s="11">
        <v>10.73</v>
      </c>
      <c r="I664" s="8">
        <v>8</v>
      </c>
      <c r="J664" s="7">
        <v>2</v>
      </c>
      <c r="K664" s="10">
        <v>0.17168</v>
      </c>
      <c r="L664" s="32"/>
      <c r="M664" s="32">
        <v>2</v>
      </c>
      <c r="N664" s="18">
        <v>0.17168</v>
      </c>
      <c r="O664" s="19">
        <v>0</v>
      </c>
      <c r="P664" s="13">
        <v>0</v>
      </c>
      <c r="Q664" s="32">
        <v>6.5</v>
      </c>
      <c r="R664" s="32">
        <v>2</v>
      </c>
      <c r="S664" s="32" t="s">
        <v>249</v>
      </c>
      <c r="T664" s="158"/>
    </row>
    <row r="665" spans="1:22">
      <c r="A665" s="45" t="s">
        <v>136</v>
      </c>
      <c r="B665" s="48" t="s">
        <v>171</v>
      </c>
      <c r="C665" s="32">
        <v>127</v>
      </c>
      <c r="D665" s="32"/>
      <c r="E665" s="48" t="s">
        <v>17</v>
      </c>
      <c r="F665" s="48" t="s">
        <v>15</v>
      </c>
      <c r="G665" s="48" t="s">
        <v>22</v>
      </c>
      <c r="H665" s="11">
        <v>10.73</v>
      </c>
      <c r="I665" s="8">
        <v>8.6999999999999993</v>
      </c>
      <c r="J665" s="7">
        <v>1</v>
      </c>
      <c r="K665" s="10">
        <v>9.3351000000000003E-2</v>
      </c>
      <c r="L665" s="32"/>
      <c r="M665" s="32">
        <v>1</v>
      </c>
      <c r="N665" s="18">
        <v>9.3351000000000003E-2</v>
      </c>
      <c r="O665" s="19">
        <v>0</v>
      </c>
      <c r="P665" s="13">
        <v>0</v>
      </c>
      <c r="Q665" s="32">
        <v>6.5</v>
      </c>
      <c r="R665" s="32">
        <v>1</v>
      </c>
      <c r="S665" s="32" t="s">
        <v>249</v>
      </c>
      <c r="T665" s="157">
        <v>11.4</v>
      </c>
      <c r="U665" s="156">
        <v>2</v>
      </c>
      <c r="V665" s="156" t="s">
        <v>265</v>
      </c>
    </row>
    <row r="666" spans="1:22">
      <c r="A666" s="45" t="s">
        <v>136</v>
      </c>
      <c r="B666" s="48" t="s">
        <v>171</v>
      </c>
      <c r="C666" s="32">
        <v>127</v>
      </c>
      <c r="D666" s="32"/>
      <c r="E666" s="48" t="s">
        <v>17</v>
      </c>
      <c r="F666" s="48" t="s">
        <v>15</v>
      </c>
      <c r="G666" s="48" t="s">
        <v>22</v>
      </c>
      <c r="H666" s="11">
        <v>10.73</v>
      </c>
      <c r="I666" s="8">
        <v>11.6</v>
      </c>
      <c r="J666" s="7">
        <v>2</v>
      </c>
      <c r="K666" s="10">
        <v>0.24893600000000002</v>
      </c>
      <c r="L666" s="32"/>
      <c r="M666" s="32">
        <v>2</v>
      </c>
      <c r="N666" s="18">
        <v>0.24893600000000002</v>
      </c>
      <c r="O666" s="19">
        <v>0</v>
      </c>
      <c r="P666" s="13">
        <v>0</v>
      </c>
      <c r="Q666" s="32"/>
      <c r="R666" s="32"/>
      <c r="S666" s="32"/>
    </row>
    <row r="667" spans="1:22">
      <c r="O667" s="6">
        <f>SUM(O648:O666)</f>
        <v>0</v>
      </c>
      <c r="U667" s="6">
        <f>SUM(U648:U666)</f>
        <v>11</v>
      </c>
    </row>
    <row r="669" spans="1:22" ht="15.6">
      <c r="B669" s="110" t="s">
        <v>248</v>
      </c>
      <c r="C669" s="111" t="s">
        <v>232</v>
      </c>
      <c r="D669" s="112" t="s">
        <v>228</v>
      </c>
      <c r="E669" s="113" t="s">
        <v>17</v>
      </c>
      <c r="F669" s="133" t="s">
        <v>15</v>
      </c>
      <c r="G669" s="133" t="s">
        <v>22</v>
      </c>
      <c r="H669" s="134">
        <v>10.73</v>
      </c>
      <c r="I669" s="135">
        <v>6.5</v>
      </c>
      <c r="J669" s="136">
        <f>11+11</f>
        <v>22</v>
      </c>
      <c r="K669" s="137">
        <f t="shared" ref="K669:K682" si="44">(H669*I669*J669/1000)</f>
        <v>1.5343900000000001</v>
      </c>
      <c r="L669" s="118"/>
      <c r="M669" s="111">
        <v>22</v>
      </c>
      <c r="N669" s="117">
        <f t="shared" ref="N669:N685" si="45">I669*M669*H669/1000</f>
        <v>1.5343900000000001</v>
      </c>
      <c r="O669" s="119">
        <f t="shared" ref="O669:O685" si="46">J669-M669</f>
        <v>0</v>
      </c>
      <c r="P669" s="120">
        <f t="shared" ref="P669:P685" si="47">I669*O669*H669/1000</f>
        <v>0</v>
      </c>
      <c r="Q669" s="111"/>
      <c r="R669" s="111"/>
      <c r="S669" s="111"/>
      <c r="T669" s="111"/>
    </row>
    <row r="670" spans="1:22" ht="15.6">
      <c r="B670" s="110" t="s">
        <v>248</v>
      </c>
      <c r="C670" s="111" t="s">
        <v>232</v>
      </c>
      <c r="D670" s="112" t="s">
        <v>228</v>
      </c>
      <c r="E670" s="113" t="s">
        <v>17</v>
      </c>
      <c r="F670" s="133" t="s">
        <v>15</v>
      </c>
      <c r="G670" s="133" t="s">
        <v>22</v>
      </c>
      <c r="H670" s="134">
        <v>10.73</v>
      </c>
      <c r="I670" s="135">
        <v>10</v>
      </c>
      <c r="J670" s="136">
        <f>6+20+26</f>
        <v>52</v>
      </c>
      <c r="K670" s="137">
        <f t="shared" si="44"/>
        <v>5.5796000000000001</v>
      </c>
      <c r="L670" s="118"/>
      <c r="M670" s="111">
        <v>52</v>
      </c>
      <c r="N670" s="117">
        <f t="shared" si="45"/>
        <v>5.5796000000000001</v>
      </c>
      <c r="O670" s="119">
        <f t="shared" si="46"/>
        <v>0</v>
      </c>
      <c r="P670" s="120">
        <f t="shared" si="47"/>
        <v>0</v>
      </c>
      <c r="Q670" s="111"/>
      <c r="R670" s="111"/>
      <c r="S670" s="111"/>
      <c r="T670" s="111"/>
    </row>
    <row r="671" spans="1:22" ht="15.6">
      <c r="B671" s="110" t="s">
        <v>248</v>
      </c>
      <c r="C671" s="111" t="s">
        <v>232</v>
      </c>
      <c r="D671" s="112" t="s">
        <v>228</v>
      </c>
      <c r="E671" s="113" t="s">
        <v>17</v>
      </c>
      <c r="F671" s="133" t="s">
        <v>15</v>
      </c>
      <c r="G671" s="133" t="s">
        <v>22</v>
      </c>
      <c r="H671" s="134">
        <v>10.73</v>
      </c>
      <c r="I671" s="135">
        <v>10.5</v>
      </c>
      <c r="J671" s="136">
        <f>15+16</f>
        <v>31</v>
      </c>
      <c r="K671" s="137">
        <f t="shared" si="44"/>
        <v>3.4926150000000002</v>
      </c>
      <c r="L671" s="118"/>
      <c r="M671" s="111">
        <f>30+1</f>
        <v>31</v>
      </c>
      <c r="N671" s="117">
        <f t="shared" si="45"/>
        <v>3.4926150000000002</v>
      </c>
      <c r="O671" s="119">
        <f t="shared" si="46"/>
        <v>0</v>
      </c>
      <c r="P671" s="120">
        <f t="shared" si="47"/>
        <v>0</v>
      </c>
      <c r="Q671" s="111"/>
      <c r="R671" s="111"/>
      <c r="S671" s="111"/>
      <c r="T671" s="111"/>
    </row>
    <row r="672" spans="1:22" ht="15.6">
      <c r="B672" s="110" t="s">
        <v>248</v>
      </c>
      <c r="C672" s="111" t="s">
        <v>232</v>
      </c>
      <c r="D672" s="112" t="s">
        <v>228</v>
      </c>
      <c r="E672" s="113" t="s">
        <v>17</v>
      </c>
      <c r="F672" s="133" t="s">
        <v>15</v>
      </c>
      <c r="G672" s="133" t="s">
        <v>22</v>
      </c>
      <c r="H672" s="134">
        <v>10.73</v>
      </c>
      <c r="I672" s="135">
        <v>12</v>
      </c>
      <c r="J672" s="136">
        <f>10+24</f>
        <v>34</v>
      </c>
      <c r="K672" s="137">
        <f t="shared" si="44"/>
        <v>4.37784</v>
      </c>
      <c r="L672" s="118"/>
      <c r="M672" s="111">
        <v>34</v>
      </c>
      <c r="N672" s="117">
        <f t="shared" si="45"/>
        <v>4.37784</v>
      </c>
      <c r="O672" s="119">
        <f t="shared" si="46"/>
        <v>0</v>
      </c>
      <c r="P672" s="120">
        <f t="shared" si="47"/>
        <v>0</v>
      </c>
      <c r="Q672" s="111"/>
      <c r="R672" s="111"/>
      <c r="S672" s="111"/>
      <c r="T672" s="111"/>
    </row>
    <row r="673" spans="2:20" ht="15.6">
      <c r="B673" s="110" t="s">
        <v>248</v>
      </c>
      <c r="C673" s="111" t="s">
        <v>232</v>
      </c>
      <c r="D673" s="112" t="s">
        <v>228</v>
      </c>
      <c r="E673" s="113" t="s">
        <v>17</v>
      </c>
      <c r="F673" s="133" t="s">
        <v>15</v>
      </c>
      <c r="G673" s="133" t="s">
        <v>22</v>
      </c>
      <c r="H673" s="134">
        <v>10.73</v>
      </c>
      <c r="I673" s="135">
        <v>11.5</v>
      </c>
      <c r="J673" s="136">
        <v>3</v>
      </c>
      <c r="K673" s="137">
        <f t="shared" si="44"/>
        <v>0.37018500000000004</v>
      </c>
      <c r="L673" s="118"/>
      <c r="M673" s="111">
        <v>3</v>
      </c>
      <c r="N673" s="117">
        <f t="shared" si="45"/>
        <v>0.37018499999999999</v>
      </c>
      <c r="O673" s="119">
        <f t="shared" si="46"/>
        <v>0</v>
      </c>
      <c r="P673" s="120">
        <f t="shared" si="47"/>
        <v>0</v>
      </c>
      <c r="Q673" s="111"/>
      <c r="R673" s="111"/>
      <c r="S673" s="111"/>
      <c r="T673" s="111"/>
    </row>
    <row r="674" spans="2:20" ht="15.6">
      <c r="B674" s="110" t="s">
        <v>248</v>
      </c>
      <c r="C674" s="111" t="s">
        <v>232</v>
      </c>
      <c r="D674" s="112" t="s">
        <v>228</v>
      </c>
      <c r="E674" s="113" t="s">
        <v>17</v>
      </c>
      <c r="F674" s="133" t="s">
        <v>15</v>
      </c>
      <c r="G674" s="133" t="s">
        <v>22</v>
      </c>
      <c r="H674" s="134">
        <v>10.73</v>
      </c>
      <c r="I674" s="135">
        <v>11</v>
      </c>
      <c r="J674" s="136">
        <v>1</v>
      </c>
      <c r="K674" s="137">
        <f t="shared" si="44"/>
        <v>0.11803</v>
      </c>
      <c r="L674" s="118"/>
      <c r="M674" s="111">
        <v>1</v>
      </c>
      <c r="N674" s="117">
        <f t="shared" si="45"/>
        <v>0.11803</v>
      </c>
      <c r="O674" s="119">
        <f t="shared" si="46"/>
        <v>0</v>
      </c>
      <c r="P674" s="120">
        <f t="shared" si="47"/>
        <v>0</v>
      </c>
      <c r="Q674" s="111"/>
      <c r="R674" s="111"/>
      <c r="S674" s="111"/>
      <c r="T674" s="111"/>
    </row>
    <row r="675" spans="2:20" ht="15.6">
      <c r="B675" s="110" t="s">
        <v>248</v>
      </c>
      <c r="C675" s="111" t="s">
        <v>232</v>
      </c>
      <c r="D675" s="112" t="s">
        <v>228</v>
      </c>
      <c r="E675" s="113" t="s">
        <v>17</v>
      </c>
      <c r="F675" s="133" t="s">
        <v>15</v>
      </c>
      <c r="G675" s="133" t="s">
        <v>22</v>
      </c>
      <c r="H675" s="134">
        <v>10.73</v>
      </c>
      <c r="I675" s="135">
        <v>6</v>
      </c>
      <c r="J675" s="136">
        <v>1</v>
      </c>
      <c r="K675" s="137">
        <f t="shared" si="44"/>
        <v>6.4379999999999993E-2</v>
      </c>
      <c r="L675" s="118"/>
      <c r="M675" s="111"/>
      <c r="N675" s="117">
        <f t="shared" si="45"/>
        <v>0</v>
      </c>
      <c r="O675" s="119">
        <f t="shared" si="46"/>
        <v>1</v>
      </c>
      <c r="P675" s="120">
        <f t="shared" si="47"/>
        <v>6.4379999999999993E-2</v>
      </c>
      <c r="Q675" s="111"/>
      <c r="R675" s="111"/>
      <c r="S675" s="111"/>
      <c r="T675" s="111"/>
    </row>
    <row r="676" spans="2:20" ht="15.6">
      <c r="B676" s="110" t="s">
        <v>248</v>
      </c>
      <c r="C676" s="111" t="s">
        <v>232</v>
      </c>
      <c r="D676" s="112" t="s">
        <v>228</v>
      </c>
      <c r="E676" s="113" t="s">
        <v>17</v>
      </c>
      <c r="F676" s="133" t="s">
        <v>15</v>
      </c>
      <c r="G676" s="133" t="s">
        <v>22</v>
      </c>
      <c r="H676" s="134">
        <v>10.73</v>
      </c>
      <c r="I676" s="135">
        <v>6.3</v>
      </c>
      <c r="J676" s="136">
        <v>1</v>
      </c>
      <c r="K676" s="137">
        <f t="shared" si="44"/>
        <v>6.7599000000000006E-2</v>
      </c>
      <c r="L676" s="118"/>
      <c r="M676" s="111">
        <v>1</v>
      </c>
      <c r="N676" s="117">
        <f t="shared" si="45"/>
        <v>6.7599000000000006E-2</v>
      </c>
      <c r="O676" s="119">
        <f t="shared" si="46"/>
        <v>0</v>
      </c>
      <c r="P676" s="120">
        <f t="shared" si="47"/>
        <v>0</v>
      </c>
      <c r="Q676" s="75">
        <v>6.3</v>
      </c>
      <c r="R676" s="72">
        <v>1</v>
      </c>
      <c r="S676" s="72" t="s">
        <v>213</v>
      </c>
      <c r="T676" s="72"/>
    </row>
    <row r="677" spans="2:20" ht="15.6">
      <c r="B677" s="110" t="s">
        <v>248</v>
      </c>
      <c r="C677" s="111" t="s">
        <v>232</v>
      </c>
      <c r="D677" s="112" t="s">
        <v>228</v>
      </c>
      <c r="E677" s="113" t="s">
        <v>17</v>
      </c>
      <c r="F677" s="133" t="s">
        <v>15</v>
      </c>
      <c r="G677" s="133" t="s">
        <v>22</v>
      </c>
      <c r="H677" s="134">
        <v>10.73</v>
      </c>
      <c r="I677" s="135">
        <v>8.6999999999999993</v>
      </c>
      <c r="J677" s="136">
        <v>1</v>
      </c>
      <c r="K677" s="137">
        <f t="shared" si="44"/>
        <v>9.3351000000000003E-2</v>
      </c>
      <c r="L677" s="118"/>
      <c r="M677" s="111">
        <v>1</v>
      </c>
      <c r="N677" s="117">
        <f t="shared" si="45"/>
        <v>9.3351000000000003E-2</v>
      </c>
      <c r="O677" s="119">
        <f t="shared" si="46"/>
        <v>0</v>
      </c>
      <c r="P677" s="120">
        <f t="shared" si="47"/>
        <v>0</v>
      </c>
      <c r="Q677" s="75">
        <v>8</v>
      </c>
      <c r="R677" s="72">
        <v>1</v>
      </c>
      <c r="S677" s="72" t="s">
        <v>213</v>
      </c>
      <c r="T677" s="72"/>
    </row>
    <row r="678" spans="2:20" ht="15.6">
      <c r="B678" s="110" t="s">
        <v>248</v>
      </c>
      <c r="C678" s="111" t="s">
        <v>232</v>
      </c>
      <c r="D678" s="112" t="s">
        <v>228</v>
      </c>
      <c r="E678" s="113" t="s">
        <v>17</v>
      </c>
      <c r="F678" s="133" t="s">
        <v>15</v>
      </c>
      <c r="G678" s="133" t="s">
        <v>22</v>
      </c>
      <c r="H678" s="134">
        <v>10.73</v>
      </c>
      <c r="I678" s="135">
        <v>9</v>
      </c>
      <c r="J678" s="136">
        <v>1</v>
      </c>
      <c r="K678" s="137">
        <f t="shared" si="44"/>
        <v>9.6570000000000003E-2</v>
      </c>
      <c r="L678" s="118"/>
      <c r="M678" s="111">
        <v>1</v>
      </c>
      <c r="N678" s="117">
        <f t="shared" si="45"/>
        <v>9.6570000000000003E-2</v>
      </c>
      <c r="O678" s="119">
        <f t="shared" si="46"/>
        <v>0</v>
      </c>
      <c r="P678" s="120">
        <f t="shared" si="47"/>
        <v>0</v>
      </c>
      <c r="Q678" s="75">
        <v>8</v>
      </c>
      <c r="R678" s="72">
        <v>1</v>
      </c>
      <c r="S678" s="72" t="s">
        <v>213</v>
      </c>
      <c r="T678" s="72"/>
    </row>
    <row r="679" spans="2:20" ht="15.6">
      <c r="B679" s="110" t="s">
        <v>248</v>
      </c>
      <c r="C679" s="111" t="s">
        <v>232</v>
      </c>
      <c r="D679" s="112" t="s">
        <v>228</v>
      </c>
      <c r="E679" s="113" t="s">
        <v>17</v>
      </c>
      <c r="F679" s="133" t="s">
        <v>15</v>
      </c>
      <c r="G679" s="133" t="s">
        <v>22</v>
      </c>
      <c r="H679" s="134">
        <v>10.73</v>
      </c>
      <c r="I679" s="135">
        <v>9.5</v>
      </c>
      <c r="J679" s="136">
        <v>3</v>
      </c>
      <c r="K679" s="137">
        <f t="shared" si="44"/>
        <v>0.30580499999999999</v>
      </c>
      <c r="L679" s="118"/>
      <c r="M679" s="111">
        <v>3</v>
      </c>
      <c r="N679" s="117">
        <f t="shared" si="45"/>
        <v>0.30580499999999999</v>
      </c>
      <c r="O679" s="119">
        <f t="shared" si="46"/>
        <v>0</v>
      </c>
      <c r="P679" s="120">
        <f t="shared" si="47"/>
        <v>0</v>
      </c>
      <c r="Q679" s="72">
        <v>9.15</v>
      </c>
      <c r="R679" s="72">
        <v>3</v>
      </c>
      <c r="S679" s="72" t="s">
        <v>213</v>
      </c>
      <c r="T679" s="72"/>
    </row>
    <row r="680" spans="2:20" ht="15.6">
      <c r="B680" s="110" t="s">
        <v>248</v>
      </c>
      <c r="C680" s="111" t="s">
        <v>232</v>
      </c>
      <c r="D680" s="112" t="s">
        <v>228</v>
      </c>
      <c r="E680" s="113" t="s">
        <v>17</v>
      </c>
      <c r="F680" s="133" t="s">
        <v>15</v>
      </c>
      <c r="G680" s="133" t="s">
        <v>22</v>
      </c>
      <c r="H680" s="134">
        <v>10.73</v>
      </c>
      <c r="I680" s="135">
        <v>9.6</v>
      </c>
      <c r="J680" s="136">
        <v>1</v>
      </c>
      <c r="K680" s="137">
        <f t="shared" si="44"/>
        <v>0.103008</v>
      </c>
      <c r="L680" s="118"/>
      <c r="M680" s="111">
        <v>1</v>
      </c>
      <c r="N680" s="117">
        <f t="shared" si="45"/>
        <v>0.103008</v>
      </c>
      <c r="O680" s="119">
        <f t="shared" si="46"/>
        <v>0</v>
      </c>
      <c r="P680" s="120">
        <f t="shared" si="47"/>
        <v>0</v>
      </c>
      <c r="Q680" s="72">
        <v>9.15</v>
      </c>
      <c r="R680" s="72">
        <v>1</v>
      </c>
      <c r="S680" s="72" t="s">
        <v>213</v>
      </c>
      <c r="T680" s="72"/>
    </row>
    <row r="681" spans="2:20" ht="15.6">
      <c r="B681" s="110" t="s">
        <v>248</v>
      </c>
      <c r="C681" s="111" t="s">
        <v>232</v>
      </c>
      <c r="D681" s="112" t="s">
        <v>228</v>
      </c>
      <c r="E681" s="113" t="s">
        <v>17</v>
      </c>
      <c r="F681" s="133" t="s">
        <v>15</v>
      </c>
      <c r="G681" s="133" t="s">
        <v>22</v>
      </c>
      <c r="H681" s="134">
        <v>10.73</v>
      </c>
      <c r="I681" s="135">
        <v>9.6999999999999993</v>
      </c>
      <c r="J681" s="136">
        <v>2</v>
      </c>
      <c r="K681" s="137">
        <f t="shared" si="44"/>
        <v>0.20816200000000001</v>
      </c>
      <c r="L681" s="118"/>
      <c r="M681" s="111">
        <v>2</v>
      </c>
      <c r="N681" s="117">
        <f t="shared" si="45"/>
        <v>0.20816200000000001</v>
      </c>
      <c r="O681" s="119">
        <f t="shared" si="46"/>
        <v>0</v>
      </c>
      <c r="P681" s="120">
        <f t="shared" si="47"/>
        <v>0</v>
      </c>
      <c r="Q681" s="72">
        <v>9.15</v>
      </c>
      <c r="R681" s="72">
        <v>2</v>
      </c>
      <c r="S681" s="72" t="s">
        <v>213</v>
      </c>
      <c r="T681" s="72"/>
    </row>
    <row r="682" spans="2:20" ht="15.6">
      <c r="B682" s="110" t="s">
        <v>248</v>
      </c>
      <c r="C682" s="111" t="s">
        <v>232</v>
      </c>
      <c r="D682" s="112" t="s">
        <v>228</v>
      </c>
      <c r="E682" s="113" t="s">
        <v>17</v>
      </c>
      <c r="F682" s="133" t="s">
        <v>15</v>
      </c>
      <c r="G682" s="133" t="s">
        <v>22</v>
      </c>
      <c r="H682" s="134">
        <v>10.73</v>
      </c>
      <c r="I682" s="135">
        <v>10.199999999999999</v>
      </c>
      <c r="J682" s="136">
        <v>1</v>
      </c>
      <c r="K682" s="137">
        <f t="shared" si="44"/>
        <v>0.109446</v>
      </c>
      <c r="L682" s="118"/>
      <c r="M682" s="111">
        <v>1</v>
      </c>
      <c r="N682" s="117">
        <f t="shared" si="45"/>
        <v>0.109446</v>
      </c>
      <c r="O682" s="119">
        <f t="shared" si="46"/>
        <v>0</v>
      </c>
      <c r="P682" s="120">
        <f t="shared" si="47"/>
        <v>0</v>
      </c>
      <c r="Q682" s="111"/>
      <c r="R682" s="111"/>
      <c r="S682" s="111"/>
      <c r="T682" s="111"/>
    </row>
    <row r="683" spans="2:20" ht="15.6">
      <c r="B683" s="110" t="s">
        <v>248</v>
      </c>
      <c r="C683" s="111" t="s">
        <v>232</v>
      </c>
      <c r="D683" s="112" t="s">
        <v>228</v>
      </c>
      <c r="E683" s="113" t="s">
        <v>17</v>
      </c>
      <c r="F683" s="133" t="s">
        <v>15</v>
      </c>
      <c r="G683" s="133" t="s">
        <v>22</v>
      </c>
      <c r="H683" s="134">
        <v>10.73</v>
      </c>
      <c r="I683" s="135">
        <v>10.3</v>
      </c>
      <c r="J683" s="136">
        <v>1</v>
      </c>
      <c r="K683" s="137">
        <f>(H683*I683*J683/1000)</f>
        <v>0.11051900000000001</v>
      </c>
      <c r="L683" s="118"/>
      <c r="M683" s="111">
        <v>1</v>
      </c>
      <c r="N683" s="117">
        <f t="shared" si="45"/>
        <v>0.11051900000000001</v>
      </c>
      <c r="O683" s="119">
        <f t="shared" si="46"/>
        <v>0</v>
      </c>
      <c r="P683" s="120">
        <f t="shared" si="47"/>
        <v>0</v>
      </c>
      <c r="Q683" s="111"/>
      <c r="R683" s="111"/>
      <c r="S683" s="111"/>
      <c r="T683" s="111"/>
    </row>
    <row r="684" spans="2:20" ht="15.6">
      <c r="B684" s="110" t="s">
        <v>248</v>
      </c>
      <c r="C684" s="111" t="s">
        <v>232</v>
      </c>
      <c r="D684" s="112" t="s">
        <v>228</v>
      </c>
      <c r="E684" s="113" t="s">
        <v>17</v>
      </c>
      <c r="F684" s="133" t="s">
        <v>15</v>
      </c>
      <c r="G684" s="133" t="s">
        <v>22</v>
      </c>
      <c r="H684" s="134">
        <v>10.73</v>
      </c>
      <c r="I684" s="135">
        <v>11.5</v>
      </c>
      <c r="J684" s="136">
        <v>1</v>
      </c>
      <c r="K684" s="137">
        <f>(H684*I684*J684/1000)</f>
        <v>0.123395</v>
      </c>
      <c r="L684" s="118"/>
      <c r="M684" s="111">
        <v>1</v>
      </c>
      <c r="N684" s="117">
        <f t="shared" si="45"/>
        <v>0.123395</v>
      </c>
      <c r="O684" s="119">
        <f t="shared" si="46"/>
        <v>0</v>
      </c>
      <c r="P684" s="120">
        <f t="shared" si="47"/>
        <v>0</v>
      </c>
      <c r="Q684" s="111"/>
      <c r="R684" s="111"/>
      <c r="S684" s="111"/>
      <c r="T684" s="111"/>
    </row>
    <row r="685" spans="2:20" ht="15.6">
      <c r="B685" s="110" t="s">
        <v>248</v>
      </c>
      <c r="C685" s="111" t="s">
        <v>232</v>
      </c>
      <c r="D685" s="112" t="s">
        <v>228</v>
      </c>
      <c r="E685" s="113" t="s">
        <v>17</v>
      </c>
      <c r="F685" s="133" t="s">
        <v>15</v>
      </c>
      <c r="G685" s="133" t="s">
        <v>22</v>
      </c>
      <c r="H685" s="134">
        <v>10.73</v>
      </c>
      <c r="I685" s="135">
        <v>11.9</v>
      </c>
      <c r="J685" s="136">
        <v>1</v>
      </c>
      <c r="K685" s="137">
        <f>(H685*I685*J685/1000)</f>
        <v>0.12768700000000002</v>
      </c>
      <c r="L685" s="118"/>
      <c r="M685" s="111">
        <v>1</v>
      </c>
      <c r="N685" s="117">
        <f t="shared" si="45"/>
        <v>0.12768700000000002</v>
      </c>
      <c r="O685" s="119">
        <f t="shared" si="46"/>
        <v>0</v>
      </c>
      <c r="P685" s="120">
        <f t="shared" si="47"/>
        <v>0</v>
      </c>
      <c r="Q685" s="111"/>
      <c r="R685" s="111"/>
      <c r="S685" s="111"/>
      <c r="T685" s="111"/>
    </row>
    <row r="686" spans="2:20">
      <c r="J686" s="6">
        <f>SUM(J669:J685)</f>
        <v>157</v>
      </c>
      <c r="K686" s="5">
        <f>SUM(K669:K685)</f>
        <v>16.882581999999999</v>
      </c>
      <c r="M686" s="6">
        <f>SUM(M669:M685)</f>
        <v>156</v>
      </c>
      <c r="N686" s="5">
        <f>SUM(N669:N685)</f>
        <v>16.818201999999999</v>
      </c>
      <c r="O686" s="78">
        <f>SUM(O669:O685)</f>
        <v>1</v>
      </c>
      <c r="P686" s="128">
        <f>SUM(P669:P685)</f>
        <v>6.4379999999999993E-2</v>
      </c>
      <c r="R686" s="80">
        <f>SUM(R669:R685)</f>
        <v>9</v>
      </c>
    </row>
    <row r="689" spans="1:19">
      <c r="A689" s="42" t="s">
        <v>77</v>
      </c>
      <c r="B689" s="3" t="s">
        <v>68</v>
      </c>
      <c r="C689" s="3">
        <v>294</v>
      </c>
      <c r="D689" s="1"/>
      <c r="E689" s="20" t="s">
        <v>17</v>
      </c>
      <c r="F689" s="7" t="s">
        <v>15</v>
      </c>
      <c r="G689" s="7" t="s">
        <v>30</v>
      </c>
      <c r="H689" s="11">
        <v>9.26</v>
      </c>
      <c r="I689" s="8">
        <v>6.75</v>
      </c>
      <c r="J689" s="26">
        <v>33</v>
      </c>
      <c r="K689" s="10">
        <v>2.062665</v>
      </c>
      <c r="L689" s="4"/>
      <c r="M689" s="17"/>
      <c r="N689" s="18">
        <v>0</v>
      </c>
      <c r="O689" s="154">
        <v>33</v>
      </c>
      <c r="P689" s="13">
        <v>2.062665</v>
      </c>
      <c r="Q689" s="9"/>
      <c r="R689" s="2"/>
      <c r="S689" s="2"/>
    </row>
    <row r="690" spans="1:19">
      <c r="A690" s="42" t="s">
        <v>77</v>
      </c>
      <c r="B690" s="3" t="s">
        <v>68</v>
      </c>
      <c r="C690" s="3">
        <v>295</v>
      </c>
      <c r="D690" s="1"/>
      <c r="E690" s="20" t="s">
        <v>17</v>
      </c>
      <c r="F690" s="7" t="s">
        <v>15</v>
      </c>
      <c r="G690" s="7" t="s">
        <v>30</v>
      </c>
      <c r="H690" s="11">
        <v>9.26</v>
      </c>
      <c r="I690" s="8">
        <v>6.75</v>
      </c>
      <c r="J690" s="26">
        <v>35</v>
      </c>
      <c r="K690" s="10">
        <v>2.1876749999999996</v>
      </c>
      <c r="L690" s="4"/>
      <c r="M690" s="17"/>
      <c r="N690" s="18">
        <v>0</v>
      </c>
      <c r="O690" s="154">
        <v>35</v>
      </c>
      <c r="P690" s="13">
        <v>2.1876749999999996</v>
      </c>
      <c r="Q690" s="9"/>
      <c r="R690" s="2"/>
      <c r="S690" s="2"/>
    </row>
    <row r="691" spans="1:19">
      <c r="A691" s="42" t="s">
        <v>77</v>
      </c>
      <c r="B691" s="3" t="s">
        <v>68</v>
      </c>
      <c r="C691" s="3">
        <v>296</v>
      </c>
      <c r="D691" s="1"/>
      <c r="E691" s="20" t="s">
        <v>17</v>
      </c>
      <c r="F691" s="7" t="s">
        <v>15</v>
      </c>
      <c r="G691" s="7" t="s">
        <v>30</v>
      </c>
      <c r="H691" s="11">
        <v>9.26</v>
      </c>
      <c r="I691" s="8">
        <v>6.75</v>
      </c>
      <c r="J691" s="26">
        <v>28</v>
      </c>
      <c r="K691" s="10">
        <v>1.7501399999999998</v>
      </c>
      <c r="L691" s="4"/>
      <c r="M691" s="17">
        <v>28</v>
      </c>
      <c r="N691" s="18">
        <v>1.7501399999999998</v>
      </c>
      <c r="O691" s="19">
        <v>0</v>
      </c>
      <c r="P691" s="13">
        <v>0</v>
      </c>
      <c r="Q691" s="73">
        <v>6.7</v>
      </c>
      <c r="R691" s="74">
        <v>28</v>
      </c>
      <c r="S691" s="74" t="s">
        <v>267</v>
      </c>
    </row>
    <row r="692" spans="1:19">
      <c r="A692" s="42" t="s">
        <v>77</v>
      </c>
      <c r="B692" s="3" t="s">
        <v>68</v>
      </c>
      <c r="C692" s="3">
        <v>297</v>
      </c>
      <c r="D692" s="1"/>
      <c r="E692" s="20" t="s">
        <v>17</v>
      </c>
      <c r="F692" s="7" t="s">
        <v>15</v>
      </c>
      <c r="G692" s="7" t="s">
        <v>30</v>
      </c>
      <c r="H692" s="11">
        <v>9.26</v>
      </c>
      <c r="I692" s="8">
        <v>6.75</v>
      </c>
      <c r="J692" s="26">
        <v>30</v>
      </c>
      <c r="K692" s="10">
        <v>1.8751499999999999</v>
      </c>
      <c r="L692" s="4"/>
      <c r="M692" s="17">
        <v>30</v>
      </c>
      <c r="N692" s="18">
        <v>1.8751499999999999</v>
      </c>
      <c r="O692" s="19">
        <v>0</v>
      </c>
      <c r="P692" s="13">
        <v>0</v>
      </c>
      <c r="Q692" s="73">
        <v>6.7</v>
      </c>
      <c r="R692" s="74">
        <v>30</v>
      </c>
      <c r="S692" s="74" t="s">
        <v>267</v>
      </c>
    </row>
    <row r="693" spans="1:19">
      <c r="A693" s="42" t="s">
        <v>77</v>
      </c>
      <c r="B693" s="3" t="s">
        <v>68</v>
      </c>
      <c r="C693" s="3">
        <v>298</v>
      </c>
      <c r="D693" s="1"/>
      <c r="E693" s="20" t="s">
        <v>17</v>
      </c>
      <c r="F693" s="7" t="s">
        <v>15</v>
      </c>
      <c r="G693" s="7" t="s">
        <v>30</v>
      </c>
      <c r="H693" s="11">
        <v>9.26</v>
      </c>
      <c r="I693" s="8">
        <v>6.75</v>
      </c>
      <c r="J693" s="26">
        <v>30</v>
      </c>
      <c r="K693" s="10">
        <v>1.8751499999999999</v>
      </c>
      <c r="L693" s="4"/>
      <c r="M693" s="17">
        <v>30</v>
      </c>
      <c r="N693" s="18">
        <v>1.8751499999999999</v>
      </c>
      <c r="O693" s="19">
        <v>0</v>
      </c>
      <c r="P693" s="13">
        <v>0</v>
      </c>
      <c r="Q693" s="73">
        <v>6.7</v>
      </c>
      <c r="R693" s="74">
        <v>30</v>
      </c>
      <c r="S693" s="74" t="s">
        <v>267</v>
      </c>
    </row>
    <row r="694" spans="1:19">
      <c r="A694" s="42" t="s">
        <v>77</v>
      </c>
      <c r="B694" s="3" t="s">
        <v>68</v>
      </c>
      <c r="C694" s="3">
        <v>299</v>
      </c>
      <c r="D694" s="1"/>
      <c r="E694" s="20" t="s">
        <v>17</v>
      </c>
      <c r="F694" s="7" t="s">
        <v>15</v>
      </c>
      <c r="G694" s="7" t="s">
        <v>30</v>
      </c>
      <c r="H694" s="11">
        <v>9.26</v>
      </c>
      <c r="I694" s="8">
        <v>6.75</v>
      </c>
      <c r="J694" s="26">
        <v>30</v>
      </c>
      <c r="K694" s="10">
        <v>1.8751499999999999</v>
      </c>
      <c r="L694" s="4"/>
      <c r="M694" s="17">
        <v>6</v>
      </c>
      <c r="N694" s="18">
        <v>0.37502999999999997</v>
      </c>
      <c r="O694" s="19">
        <v>24</v>
      </c>
      <c r="P694" s="13">
        <v>1.5001199999999999</v>
      </c>
      <c r="Q694" s="73">
        <v>6.7</v>
      </c>
      <c r="R694" s="74">
        <v>6</v>
      </c>
      <c r="S694" s="74" t="s">
        <v>267</v>
      </c>
    </row>
    <row r="695" spans="1:19">
      <c r="A695" s="42" t="s">
        <v>78</v>
      </c>
      <c r="B695" s="3" t="s">
        <v>79</v>
      </c>
      <c r="C695" s="3">
        <v>1</v>
      </c>
      <c r="D695" s="1"/>
      <c r="E695" s="20" t="s">
        <v>17</v>
      </c>
      <c r="F695" s="7" t="s">
        <v>15</v>
      </c>
      <c r="G695" s="7" t="s">
        <v>30</v>
      </c>
      <c r="H695" s="11">
        <v>9.26</v>
      </c>
      <c r="I695" s="8">
        <v>8.5</v>
      </c>
      <c r="J695" s="26">
        <v>1</v>
      </c>
      <c r="K695" s="10">
        <v>7.8709999999999988E-2</v>
      </c>
      <c r="L695" s="4"/>
      <c r="M695" s="17">
        <v>1</v>
      </c>
      <c r="N695" s="18">
        <v>7.8709999999999988E-2</v>
      </c>
      <c r="O695" s="19">
        <v>0</v>
      </c>
      <c r="P695" s="13">
        <v>0</v>
      </c>
      <c r="Q695" s="73">
        <v>8</v>
      </c>
      <c r="R695" s="74">
        <v>1</v>
      </c>
      <c r="S695" s="74" t="s">
        <v>267</v>
      </c>
    </row>
    <row r="696" spans="1:19">
      <c r="A696" s="42" t="s">
        <v>78</v>
      </c>
      <c r="B696" s="3" t="s">
        <v>79</v>
      </c>
      <c r="C696" s="3">
        <v>1</v>
      </c>
      <c r="D696" s="1"/>
      <c r="E696" s="20" t="s">
        <v>17</v>
      </c>
      <c r="F696" s="7" t="s">
        <v>15</v>
      </c>
      <c r="G696" s="7" t="s">
        <v>30</v>
      </c>
      <c r="H696" s="11">
        <v>9.26</v>
      </c>
      <c r="I696" s="8">
        <v>9.1999999999999993</v>
      </c>
      <c r="J696" s="26">
        <v>4</v>
      </c>
      <c r="K696" s="10">
        <v>0.34076799999999996</v>
      </c>
      <c r="L696" s="4"/>
      <c r="M696" s="17">
        <v>4</v>
      </c>
      <c r="N696" s="18">
        <v>0.34076799999999996</v>
      </c>
      <c r="O696" s="19">
        <v>0</v>
      </c>
      <c r="P696" s="13">
        <v>0</v>
      </c>
      <c r="Q696" s="73">
        <v>9</v>
      </c>
      <c r="R696" s="74">
        <v>4</v>
      </c>
      <c r="S696" s="74" t="s">
        <v>267</v>
      </c>
    </row>
    <row r="697" spans="1:19">
      <c r="A697" s="42" t="s">
        <v>78</v>
      </c>
      <c r="B697" s="3" t="s">
        <v>79</v>
      </c>
      <c r="C697" s="3">
        <v>3</v>
      </c>
      <c r="D697" s="1"/>
      <c r="E697" s="20" t="s">
        <v>17</v>
      </c>
      <c r="F697" s="7" t="s">
        <v>15</v>
      </c>
      <c r="G697" s="7" t="s">
        <v>30</v>
      </c>
      <c r="H697" s="11">
        <v>9.26</v>
      </c>
      <c r="I697" s="8">
        <v>6.95</v>
      </c>
      <c r="J697" s="26">
        <v>4</v>
      </c>
      <c r="K697" s="10">
        <v>0.25742799999999999</v>
      </c>
      <c r="L697" s="4"/>
      <c r="M697" s="17"/>
      <c r="N697" s="18">
        <v>0</v>
      </c>
      <c r="O697" s="19">
        <v>4</v>
      </c>
      <c r="P697" s="13">
        <v>0.25742799999999999</v>
      </c>
      <c r="Q697" s="9"/>
      <c r="R697" s="2"/>
      <c r="S697" s="2"/>
    </row>
    <row r="698" spans="1:19">
      <c r="A698" s="42" t="s">
        <v>78</v>
      </c>
      <c r="B698" s="3" t="s">
        <v>79</v>
      </c>
      <c r="C698" s="3">
        <v>3</v>
      </c>
      <c r="D698" s="1"/>
      <c r="E698" s="20" t="s">
        <v>17</v>
      </c>
      <c r="F698" s="7" t="s">
        <v>15</v>
      </c>
      <c r="G698" s="7" t="s">
        <v>30</v>
      </c>
      <c r="H698" s="11">
        <v>9.26</v>
      </c>
      <c r="I698" s="8">
        <v>6.2</v>
      </c>
      <c r="J698" s="26">
        <v>1</v>
      </c>
      <c r="K698" s="10">
        <v>5.7411999999999998E-2</v>
      </c>
      <c r="L698" s="4"/>
      <c r="M698" s="17"/>
      <c r="N698" s="18">
        <v>0</v>
      </c>
      <c r="O698" s="19">
        <v>1</v>
      </c>
      <c r="P698" s="13">
        <v>5.7411999999999998E-2</v>
      </c>
      <c r="Q698" s="9"/>
      <c r="R698" s="2"/>
      <c r="S698" s="2"/>
    </row>
    <row r="699" spans="1:19">
      <c r="A699" s="42" t="s">
        <v>78</v>
      </c>
      <c r="B699" s="3" t="s">
        <v>79</v>
      </c>
      <c r="C699" s="3">
        <v>8</v>
      </c>
      <c r="D699" s="1"/>
      <c r="E699" s="20" t="s">
        <v>17</v>
      </c>
      <c r="F699" s="7" t="s">
        <v>15</v>
      </c>
      <c r="G699" s="7" t="s">
        <v>30</v>
      </c>
      <c r="H699" s="11">
        <v>9.26</v>
      </c>
      <c r="I699" s="8">
        <v>12</v>
      </c>
      <c r="J699" s="26">
        <v>1</v>
      </c>
      <c r="K699" s="10">
        <v>0.11112000000000001</v>
      </c>
      <c r="L699" s="4"/>
      <c r="M699" s="17">
        <v>1</v>
      </c>
      <c r="N699" s="18">
        <v>0.11112000000000001</v>
      </c>
      <c r="O699" s="19">
        <v>0</v>
      </c>
      <c r="P699" s="13">
        <v>0</v>
      </c>
      <c r="Q699" s="73">
        <v>12</v>
      </c>
      <c r="R699" s="74">
        <v>1</v>
      </c>
      <c r="S699" s="74" t="s">
        <v>267</v>
      </c>
    </row>
    <row r="700" spans="1:19">
      <c r="A700" s="42" t="s">
        <v>78</v>
      </c>
      <c r="B700" s="3" t="s">
        <v>79</v>
      </c>
      <c r="C700" s="3">
        <v>8</v>
      </c>
      <c r="D700" s="1"/>
      <c r="E700" s="20" t="s">
        <v>17</v>
      </c>
      <c r="F700" s="7" t="s">
        <v>15</v>
      </c>
      <c r="G700" s="7" t="s">
        <v>30</v>
      </c>
      <c r="H700" s="11">
        <v>9.26</v>
      </c>
      <c r="I700" s="8">
        <v>11.7</v>
      </c>
      <c r="J700" s="26">
        <v>1</v>
      </c>
      <c r="K700" s="10">
        <v>0.10834199999999998</v>
      </c>
      <c r="L700" s="4"/>
      <c r="M700" s="17">
        <v>1</v>
      </c>
      <c r="N700" s="18">
        <v>0.10834199999999998</v>
      </c>
      <c r="O700" s="19">
        <v>0</v>
      </c>
      <c r="P700" s="13">
        <v>0</v>
      </c>
      <c r="Q700" s="73">
        <v>11.6</v>
      </c>
      <c r="R700" s="74">
        <v>1</v>
      </c>
      <c r="S700" s="74" t="s">
        <v>267</v>
      </c>
    </row>
    <row r="701" spans="1:19">
      <c r="A701" s="42" t="s">
        <v>78</v>
      </c>
      <c r="B701" s="3" t="s">
        <v>79</v>
      </c>
      <c r="C701" s="3">
        <v>8</v>
      </c>
      <c r="D701" s="1"/>
      <c r="E701" s="20" t="s">
        <v>17</v>
      </c>
      <c r="F701" s="7" t="s">
        <v>15</v>
      </c>
      <c r="G701" s="7" t="s">
        <v>30</v>
      </c>
      <c r="H701" s="11">
        <v>9.26</v>
      </c>
      <c r="I701" s="8">
        <v>10</v>
      </c>
      <c r="J701" s="26">
        <v>1</v>
      </c>
      <c r="K701" s="10">
        <v>9.2599999999999988E-2</v>
      </c>
      <c r="L701" s="4"/>
      <c r="M701" s="17">
        <v>1</v>
      </c>
      <c r="N701" s="18">
        <v>9.2599999999999988E-2</v>
      </c>
      <c r="O701" s="19">
        <v>0</v>
      </c>
      <c r="P701" s="13">
        <v>0</v>
      </c>
      <c r="Q701" s="73">
        <v>10</v>
      </c>
      <c r="R701" s="74">
        <v>1</v>
      </c>
      <c r="S701" s="74" t="s">
        <v>267</v>
      </c>
    </row>
    <row r="702" spans="1:19">
      <c r="A702" s="42" t="s">
        <v>78</v>
      </c>
      <c r="B702" s="3" t="s">
        <v>79</v>
      </c>
      <c r="C702" s="3">
        <v>8</v>
      </c>
      <c r="D702" s="1"/>
      <c r="E702" s="20" t="s">
        <v>17</v>
      </c>
      <c r="F702" s="7" t="s">
        <v>15</v>
      </c>
      <c r="G702" s="7" t="s">
        <v>30</v>
      </c>
      <c r="H702" s="11">
        <v>9.26</v>
      </c>
      <c r="I702" s="8">
        <v>9</v>
      </c>
      <c r="J702" s="26">
        <v>1</v>
      </c>
      <c r="K702" s="10">
        <v>8.3339999999999997E-2</v>
      </c>
      <c r="L702" s="4"/>
      <c r="M702" s="17">
        <v>1</v>
      </c>
      <c r="N702" s="18">
        <v>8.3339999999999997E-2</v>
      </c>
      <c r="O702" s="19">
        <v>0</v>
      </c>
      <c r="P702" s="13">
        <v>0</v>
      </c>
      <c r="Q702" s="73">
        <v>9</v>
      </c>
      <c r="R702" s="74">
        <v>1</v>
      </c>
      <c r="S702" s="74" t="s">
        <v>267</v>
      </c>
    </row>
    <row r="703" spans="1:19">
      <c r="A703" s="42" t="s">
        <v>78</v>
      </c>
      <c r="B703" s="3" t="s">
        <v>79</v>
      </c>
      <c r="C703" s="3">
        <v>9</v>
      </c>
      <c r="D703" s="1"/>
      <c r="E703" s="20" t="s">
        <v>17</v>
      </c>
      <c r="F703" s="7" t="s">
        <v>15</v>
      </c>
      <c r="G703" s="7" t="s">
        <v>30</v>
      </c>
      <c r="H703" s="11">
        <v>9.26</v>
      </c>
      <c r="I703" s="8">
        <v>11.4</v>
      </c>
      <c r="J703" s="26">
        <v>1</v>
      </c>
      <c r="K703" s="10">
        <v>0.10556400000000001</v>
      </c>
      <c r="L703" s="4"/>
      <c r="M703" s="17">
        <v>1</v>
      </c>
      <c r="N703" s="18">
        <v>0.10556400000000001</v>
      </c>
      <c r="O703" s="19">
        <v>0</v>
      </c>
      <c r="P703" s="13">
        <v>0</v>
      </c>
      <c r="Q703" s="73">
        <v>11.1</v>
      </c>
      <c r="R703" s="74">
        <v>1</v>
      </c>
      <c r="S703" s="74" t="s">
        <v>267</v>
      </c>
    </row>
    <row r="704" spans="1:19">
      <c r="A704" s="42" t="s">
        <v>78</v>
      </c>
      <c r="B704" s="3"/>
      <c r="C704" s="3">
        <v>25</v>
      </c>
      <c r="D704" s="1"/>
      <c r="E704" s="20" t="s">
        <v>17</v>
      </c>
      <c r="F704" s="7" t="s">
        <v>15</v>
      </c>
      <c r="G704" s="7" t="s">
        <v>30</v>
      </c>
      <c r="H704" s="11">
        <v>9.26</v>
      </c>
      <c r="I704" s="8">
        <v>9.1999999999999993</v>
      </c>
      <c r="J704" s="26">
        <v>1</v>
      </c>
      <c r="K704" s="10">
        <v>8.519199999999999E-2</v>
      </c>
      <c r="L704" s="4"/>
      <c r="M704" s="17">
        <v>1</v>
      </c>
      <c r="N704" s="18">
        <v>8.519199999999999E-2</v>
      </c>
      <c r="O704" s="19">
        <v>0</v>
      </c>
      <c r="P704" s="13">
        <v>0</v>
      </c>
      <c r="Q704" s="73">
        <v>9</v>
      </c>
      <c r="R704" s="74">
        <v>1</v>
      </c>
      <c r="S704" s="74" t="s">
        <v>267</v>
      </c>
    </row>
    <row r="705" spans="1:19">
      <c r="A705" s="42" t="s">
        <v>78</v>
      </c>
      <c r="B705" s="3"/>
      <c r="C705" s="3">
        <v>25</v>
      </c>
      <c r="D705" s="1"/>
      <c r="E705" s="20" t="s">
        <v>17</v>
      </c>
      <c r="F705" s="7" t="s">
        <v>15</v>
      </c>
      <c r="G705" s="7" t="s">
        <v>30</v>
      </c>
      <c r="H705" s="11">
        <v>9.26</v>
      </c>
      <c r="I705" s="8">
        <v>6.2</v>
      </c>
      <c r="J705" s="26">
        <v>1</v>
      </c>
      <c r="K705" s="10">
        <v>5.7411999999999998E-2</v>
      </c>
      <c r="L705" s="4"/>
      <c r="M705" s="17"/>
      <c r="N705" s="18">
        <v>0</v>
      </c>
      <c r="O705" s="19">
        <v>1</v>
      </c>
      <c r="P705" s="13">
        <v>5.7411999999999998E-2</v>
      </c>
      <c r="Q705" s="9"/>
      <c r="R705" s="2"/>
      <c r="S705" s="2"/>
    </row>
    <row r="706" spans="1:19">
      <c r="A706" s="42" t="s">
        <v>78</v>
      </c>
      <c r="B706" s="3"/>
      <c r="C706" s="3">
        <v>26</v>
      </c>
      <c r="D706" s="1"/>
      <c r="E706" s="20" t="s">
        <v>17</v>
      </c>
      <c r="F706" s="7" t="s">
        <v>15</v>
      </c>
      <c r="G706" s="7" t="s">
        <v>30</v>
      </c>
      <c r="H706" s="11">
        <v>9.26</v>
      </c>
      <c r="I706" s="8">
        <v>12</v>
      </c>
      <c r="J706" s="26">
        <v>12</v>
      </c>
      <c r="K706" s="10">
        <v>1.33344</v>
      </c>
      <c r="L706" s="4"/>
      <c r="M706" s="17">
        <v>11</v>
      </c>
      <c r="N706" s="18">
        <v>1.2223199999999999</v>
      </c>
      <c r="O706" s="19">
        <v>1</v>
      </c>
      <c r="P706" s="13">
        <v>0.11112000000000001</v>
      </c>
      <c r="Q706" s="9"/>
      <c r="R706" s="2"/>
      <c r="S706" s="2"/>
    </row>
    <row r="707" spans="1:19">
      <c r="A707" s="42" t="s">
        <v>84</v>
      </c>
      <c r="B707" s="3" t="s">
        <v>122</v>
      </c>
      <c r="C707" s="3">
        <v>2</v>
      </c>
      <c r="D707" s="1"/>
      <c r="E707" s="20" t="s">
        <v>17</v>
      </c>
      <c r="F707" s="7" t="s">
        <v>15</v>
      </c>
      <c r="G707" s="7" t="s">
        <v>30</v>
      </c>
      <c r="H707" s="11">
        <v>9.26</v>
      </c>
      <c r="I707" s="8">
        <v>11.8</v>
      </c>
      <c r="J707" s="26">
        <v>3</v>
      </c>
      <c r="K707" s="10">
        <v>0.32780399999999998</v>
      </c>
      <c r="L707" s="4"/>
      <c r="M707" s="17">
        <v>3</v>
      </c>
      <c r="N707" s="18">
        <v>0.32780400000000004</v>
      </c>
      <c r="O707" s="19">
        <v>0</v>
      </c>
      <c r="P707" s="13">
        <v>0</v>
      </c>
      <c r="Q707" s="73">
        <v>11.6</v>
      </c>
      <c r="R707" s="74">
        <v>3</v>
      </c>
      <c r="S707" s="74" t="s">
        <v>267</v>
      </c>
    </row>
    <row r="708" spans="1:19">
      <c r="A708" s="42" t="s">
        <v>84</v>
      </c>
      <c r="B708" s="3" t="s">
        <v>122</v>
      </c>
      <c r="C708" s="3">
        <v>2</v>
      </c>
      <c r="D708" s="1"/>
      <c r="E708" s="20" t="s">
        <v>17</v>
      </c>
      <c r="F708" s="7" t="s">
        <v>15</v>
      </c>
      <c r="G708" s="7" t="s">
        <v>30</v>
      </c>
      <c r="H708" s="11">
        <v>9.26</v>
      </c>
      <c r="I708" s="8">
        <v>10.5</v>
      </c>
      <c r="J708" s="26">
        <v>1</v>
      </c>
      <c r="K708" s="10">
        <v>9.7230000000000011E-2</v>
      </c>
      <c r="L708" s="4"/>
      <c r="M708" s="17">
        <v>1</v>
      </c>
      <c r="N708" s="18">
        <v>9.7230000000000011E-2</v>
      </c>
      <c r="O708" s="19">
        <v>0</v>
      </c>
      <c r="P708" s="13">
        <v>0</v>
      </c>
      <c r="Q708" s="73">
        <v>10</v>
      </c>
      <c r="R708" s="74">
        <v>1</v>
      </c>
      <c r="S708" s="74" t="s">
        <v>267</v>
      </c>
    </row>
    <row r="709" spans="1:19">
      <c r="A709" s="42" t="s">
        <v>84</v>
      </c>
      <c r="B709" s="3" t="s">
        <v>122</v>
      </c>
      <c r="C709" s="3">
        <v>2</v>
      </c>
      <c r="D709" s="1"/>
      <c r="E709" s="20" t="s">
        <v>17</v>
      </c>
      <c r="F709" s="7" t="s">
        <v>15</v>
      </c>
      <c r="G709" s="7" t="s">
        <v>30</v>
      </c>
      <c r="H709" s="11">
        <v>9.26</v>
      </c>
      <c r="I709" s="8">
        <v>7.55</v>
      </c>
      <c r="J709" s="26">
        <v>3</v>
      </c>
      <c r="K709" s="10">
        <v>0.20973899999999998</v>
      </c>
      <c r="L709" s="4"/>
      <c r="M709" s="17">
        <v>3</v>
      </c>
      <c r="N709" s="18">
        <v>0.20973899999999998</v>
      </c>
      <c r="O709" s="19">
        <v>0</v>
      </c>
      <c r="P709" s="13">
        <v>0</v>
      </c>
      <c r="Q709" s="73">
        <v>7.25</v>
      </c>
      <c r="R709" s="74">
        <v>3</v>
      </c>
      <c r="S709" s="74" t="s">
        <v>267</v>
      </c>
    </row>
    <row r="710" spans="1:19">
      <c r="A710" s="42" t="s">
        <v>84</v>
      </c>
      <c r="B710" s="3" t="s">
        <v>124</v>
      </c>
      <c r="C710" s="3">
        <v>1</v>
      </c>
      <c r="D710" s="1"/>
      <c r="E710" s="20" t="s">
        <v>17</v>
      </c>
      <c r="F710" s="7" t="s">
        <v>15</v>
      </c>
      <c r="G710" s="7" t="s">
        <v>30</v>
      </c>
      <c r="H710" s="11">
        <v>9.26</v>
      </c>
      <c r="I710" s="8">
        <v>6.8</v>
      </c>
      <c r="J710" s="26">
        <v>3</v>
      </c>
      <c r="K710" s="10">
        <v>0.18890399999999999</v>
      </c>
      <c r="L710" s="4"/>
      <c r="M710" s="17"/>
      <c r="N710" s="18">
        <v>0</v>
      </c>
      <c r="O710" s="19">
        <v>3</v>
      </c>
      <c r="P710" s="13">
        <v>0.18890399999999999</v>
      </c>
      <c r="Q710" s="9"/>
      <c r="R710" s="2"/>
      <c r="S710" s="2"/>
    </row>
    <row r="711" spans="1:19">
      <c r="A711" s="42" t="s">
        <v>84</v>
      </c>
      <c r="B711" s="3" t="s">
        <v>124</v>
      </c>
      <c r="C711" s="3">
        <v>2</v>
      </c>
      <c r="D711" s="1"/>
      <c r="E711" s="20" t="s">
        <v>17</v>
      </c>
      <c r="F711" s="7" t="s">
        <v>15</v>
      </c>
      <c r="G711" s="7" t="s">
        <v>30</v>
      </c>
      <c r="H711" s="11">
        <v>9.26</v>
      </c>
      <c r="I711" s="8">
        <v>7.25</v>
      </c>
      <c r="J711" s="26">
        <v>1</v>
      </c>
      <c r="K711" s="10">
        <v>6.7135E-2</v>
      </c>
      <c r="L711" s="4"/>
      <c r="M711" s="17">
        <v>1</v>
      </c>
      <c r="N711" s="18">
        <v>6.7135E-2</v>
      </c>
      <c r="O711" s="19">
        <v>0</v>
      </c>
      <c r="P711" s="13">
        <v>0</v>
      </c>
      <c r="Q711" s="73">
        <v>7.25</v>
      </c>
      <c r="R711" s="74">
        <v>1</v>
      </c>
      <c r="S711" s="74" t="s">
        <v>267</v>
      </c>
    </row>
    <row r="712" spans="1:19">
      <c r="A712" s="42" t="s">
        <v>84</v>
      </c>
      <c r="B712" s="3" t="s">
        <v>124</v>
      </c>
      <c r="C712" s="3">
        <v>4</v>
      </c>
      <c r="D712" s="1"/>
      <c r="E712" s="20" t="s">
        <v>17</v>
      </c>
      <c r="F712" s="7" t="s">
        <v>15</v>
      </c>
      <c r="G712" s="7" t="s">
        <v>30</v>
      </c>
      <c r="H712" s="11">
        <v>9.26</v>
      </c>
      <c r="I712" s="8">
        <v>5.8</v>
      </c>
      <c r="J712" s="26">
        <v>1</v>
      </c>
      <c r="K712" s="10">
        <v>5.3707999999999999E-2</v>
      </c>
      <c r="L712" s="4"/>
      <c r="M712" s="17"/>
      <c r="N712" s="18">
        <v>0</v>
      </c>
      <c r="O712" s="19">
        <v>1</v>
      </c>
      <c r="P712" s="13">
        <v>5.3707999999999999E-2</v>
      </c>
      <c r="Q712" s="9"/>
      <c r="R712" s="2"/>
      <c r="S712" s="2"/>
    </row>
    <row r="713" spans="1:19">
      <c r="A713" s="42" t="s">
        <v>84</v>
      </c>
      <c r="B713" s="3" t="s">
        <v>124</v>
      </c>
      <c r="C713" s="3">
        <v>4</v>
      </c>
      <c r="D713" s="2"/>
      <c r="E713" s="20" t="s">
        <v>17</v>
      </c>
      <c r="F713" s="7" t="s">
        <v>15</v>
      </c>
      <c r="G713" s="7" t="s">
        <v>30</v>
      </c>
      <c r="H713" s="11">
        <v>9.26</v>
      </c>
      <c r="I713" s="28">
        <v>6</v>
      </c>
      <c r="J713" s="26">
        <v>7</v>
      </c>
      <c r="K713" s="10">
        <v>0.38892000000000004</v>
      </c>
      <c r="L713" s="4"/>
      <c r="M713" s="17"/>
      <c r="N713" s="18">
        <v>0</v>
      </c>
      <c r="O713" s="19">
        <v>7</v>
      </c>
      <c r="P713" s="13">
        <v>0.38892000000000004</v>
      </c>
      <c r="Q713" s="9"/>
      <c r="R713" s="2"/>
      <c r="S713" s="2"/>
    </row>
    <row r="714" spans="1:19">
      <c r="A714" s="42" t="s">
        <v>84</v>
      </c>
      <c r="B714" s="3" t="s">
        <v>124</v>
      </c>
      <c r="C714" s="3">
        <v>4</v>
      </c>
      <c r="D714" s="1"/>
      <c r="E714" s="20" t="s">
        <v>17</v>
      </c>
      <c r="F714" s="7" t="s">
        <v>15</v>
      </c>
      <c r="G714" s="7" t="s">
        <v>30</v>
      </c>
      <c r="H714" s="11">
        <v>9.26</v>
      </c>
      <c r="I714" s="8">
        <v>6.6</v>
      </c>
      <c r="J714" s="26">
        <v>1</v>
      </c>
      <c r="K714" s="10">
        <v>6.111599999999999E-2</v>
      </c>
      <c r="L714" s="4"/>
      <c r="M714" s="17"/>
      <c r="N714" s="18">
        <v>0</v>
      </c>
      <c r="O714" s="19">
        <v>1</v>
      </c>
      <c r="P714" s="13">
        <v>6.111599999999999E-2</v>
      </c>
      <c r="Q714" s="9"/>
      <c r="R714" s="2"/>
      <c r="S714" s="2"/>
    </row>
    <row r="715" spans="1:19">
      <c r="A715" s="42" t="s">
        <v>84</v>
      </c>
      <c r="B715" s="3" t="s">
        <v>124</v>
      </c>
      <c r="C715" s="3">
        <v>4</v>
      </c>
      <c r="D715" s="1"/>
      <c r="E715" s="20" t="s">
        <v>17</v>
      </c>
      <c r="F715" s="7" t="s">
        <v>15</v>
      </c>
      <c r="G715" s="7" t="s">
        <v>30</v>
      </c>
      <c r="H715" s="11">
        <v>9.26</v>
      </c>
      <c r="I715" s="8">
        <v>6.5</v>
      </c>
      <c r="J715" s="26">
        <v>7</v>
      </c>
      <c r="K715" s="10">
        <v>0.42132999999999998</v>
      </c>
      <c r="L715" s="4"/>
      <c r="M715" s="17"/>
      <c r="N715" s="18">
        <v>0</v>
      </c>
      <c r="O715" s="19">
        <v>7</v>
      </c>
      <c r="P715" s="13">
        <v>0.42132999999999998</v>
      </c>
      <c r="Q715" s="9"/>
      <c r="R715" s="2"/>
      <c r="S715" s="2"/>
    </row>
    <row r="716" spans="1:19">
      <c r="A716" s="42" t="s">
        <v>90</v>
      </c>
      <c r="B716" s="3"/>
      <c r="C716" s="3">
        <v>243</v>
      </c>
      <c r="D716" s="1"/>
      <c r="E716" s="20" t="s">
        <v>17</v>
      </c>
      <c r="F716" s="7" t="s">
        <v>15</v>
      </c>
      <c r="G716" s="7" t="s">
        <v>30</v>
      </c>
      <c r="H716" s="11">
        <v>9.26</v>
      </c>
      <c r="I716" s="8">
        <v>12</v>
      </c>
      <c r="J716" s="26">
        <v>14</v>
      </c>
      <c r="K716" s="10">
        <v>1.5556800000000002</v>
      </c>
      <c r="L716" s="4"/>
      <c r="M716" s="17">
        <v>14</v>
      </c>
      <c r="N716" s="18">
        <v>1.5556800000000002</v>
      </c>
      <c r="O716" s="19">
        <v>0</v>
      </c>
      <c r="P716" s="13">
        <v>0</v>
      </c>
      <c r="Q716" s="73">
        <v>12</v>
      </c>
      <c r="R716" s="72">
        <v>9</v>
      </c>
      <c r="S716" s="74" t="s">
        <v>267</v>
      </c>
    </row>
    <row r="717" spans="1:19">
      <c r="A717" s="47" t="s">
        <v>147</v>
      </c>
      <c r="B717" s="48" t="s">
        <v>148</v>
      </c>
      <c r="C717" s="32">
        <v>277</v>
      </c>
      <c r="D717" s="32"/>
      <c r="E717" s="48" t="s">
        <v>17</v>
      </c>
      <c r="F717" s="48" t="s">
        <v>160</v>
      </c>
      <c r="G717" s="48" t="s">
        <v>30</v>
      </c>
      <c r="H717" s="11">
        <v>9.26</v>
      </c>
      <c r="I717" s="8">
        <v>7.25</v>
      </c>
      <c r="J717" s="7">
        <v>4</v>
      </c>
      <c r="K717" s="10">
        <v>0.26854</v>
      </c>
      <c r="L717" s="32"/>
      <c r="M717" s="32">
        <v>4</v>
      </c>
      <c r="N717" s="18">
        <v>0.26854</v>
      </c>
      <c r="O717" s="19">
        <v>0</v>
      </c>
      <c r="P717" s="13">
        <v>0</v>
      </c>
      <c r="Q717" s="72">
        <v>7.25</v>
      </c>
      <c r="R717" s="72">
        <v>4</v>
      </c>
      <c r="S717" s="74" t="s">
        <v>267</v>
      </c>
    </row>
    <row r="718" spans="1:19">
      <c r="A718" s="47" t="s">
        <v>147</v>
      </c>
      <c r="B718" s="48" t="s">
        <v>148</v>
      </c>
      <c r="C718" s="32">
        <v>277</v>
      </c>
      <c r="D718" s="32"/>
      <c r="E718" s="48" t="s">
        <v>17</v>
      </c>
      <c r="F718" s="48" t="s">
        <v>160</v>
      </c>
      <c r="G718" s="48" t="s">
        <v>30</v>
      </c>
      <c r="H718" s="11">
        <v>9.26</v>
      </c>
      <c r="I718" s="8">
        <v>7.55</v>
      </c>
      <c r="J718" s="7">
        <v>6</v>
      </c>
      <c r="K718" s="10">
        <v>0.41947799999999996</v>
      </c>
      <c r="L718" s="32"/>
      <c r="M718" s="32">
        <v>6</v>
      </c>
      <c r="N718" s="18">
        <v>0.41947799999999996</v>
      </c>
      <c r="O718" s="19">
        <v>0</v>
      </c>
      <c r="P718" s="13">
        <v>0</v>
      </c>
      <c r="Q718" s="72">
        <v>7.25</v>
      </c>
      <c r="R718" s="72">
        <v>6</v>
      </c>
      <c r="S718" s="74" t="s">
        <v>267</v>
      </c>
    </row>
    <row r="719" spans="1:19">
      <c r="A719" s="47" t="s">
        <v>147</v>
      </c>
      <c r="B719" s="48" t="s">
        <v>148</v>
      </c>
      <c r="C719" s="32">
        <v>277</v>
      </c>
      <c r="D719" s="32"/>
      <c r="E719" s="48" t="s">
        <v>17</v>
      </c>
      <c r="F719" s="48" t="s">
        <v>160</v>
      </c>
      <c r="G719" s="48" t="s">
        <v>30</v>
      </c>
      <c r="H719" s="11">
        <v>9.26</v>
      </c>
      <c r="I719" s="8">
        <v>8</v>
      </c>
      <c r="J719" s="7">
        <v>3</v>
      </c>
      <c r="K719" s="10">
        <v>0.22224000000000002</v>
      </c>
      <c r="L719" s="32"/>
      <c r="M719" s="32">
        <v>3</v>
      </c>
      <c r="N719" s="18">
        <v>0.22224000000000002</v>
      </c>
      <c r="O719" s="19">
        <v>0</v>
      </c>
      <c r="P719" s="13">
        <v>0</v>
      </c>
      <c r="Q719" s="75">
        <v>8</v>
      </c>
      <c r="R719" s="72">
        <v>3</v>
      </c>
      <c r="S719" s="74" t="s">
        <v>267</v>
      </c>
    </row>
    <row r="720" spans="1:19">
      <c r="A720" s="47" t="s">
        <v>147</v>
      </c>
      <c r="B720" s="48" t="s">
        <v>148</v>
      </c>
      <c r="C720" s="32">
        <v>297</v>
      </c>
      <c r="D720" s="32"/>
      <c r="E720" s="48" t="s">
        <v>17</v>
      </c>
      <c r="F720" s="48" t="s">
        <v>160</v>
      </c>
      <c r="G720" s="48" t="s">
        <v>30</v>
      </c>
      <c r="H720" s="11">
        <v>9.26</v>
      </c>
      <c r="I720" s="8">
        <v>11.4</v>
      </c>
      <c r="J720" s="7">
        <v>2</v>
      </c>
      <c r="K720" s="10">
        <v>0.21112800000000001</v>
      </c>
      <c r="L720" s="32"/>
      <c r="M720" s="32">
        <v>2</v>
      </c>
      <c r="N720" s="18">
        <v>0.21112800000000001</v>
      </c>
      <c r="O720" s="19">
        <v>0</v>
      </c>
      <c r="P720" s="13">
        <v>0</v>
      </c>
      <c r="Q720" s="75">
        <v>11.1</v>
      </c>
      <c r="R720" s="72">
        <v>2</v>
      </c>
      <c r="S720" s="74" t="s">
        <v>267</v>
      </c>
    </row>
    <row r="721" spans="1:19">
      <c r="A721" s="47" t="s">
        <v>147</v>
      </c>
      <c r="B721" s="48" t="s">
        <v>148</v>
      </c>
      <c r="C721" s="32">
        <v>304</v>
      </c>
      <c r="D721" s="32"/>
      <c r="E721" s="48" t="s">
        <v>17</v>
      </c>
      <c r="F721" s="48" t="s">
        <v>160</v>
      </c>
      <c r="G721" s="48" t="s">
        <v>30</v>
      </c>
      <c r="H721" s="11">
        <v>9.26</v>
      </c>
      <c r="I721" s="8">
        <v>6.8</v>
      </c>
      <c r="J721" s="7">
        <v>3</v>
      </c>
      <c r="K721" s="10">
        <v>0.18890399999999999</v>
      </c>
      <c r="L721" s="32"/>
      <c r="M721" s="32"/>
      <c r="N721" s="18">
        <v>0</v>
      </c>
      <c r="O721" s="19">
        <v>3</v>
      </c>
      <c r="P721" s="13">
        <v>0.18890399999999999</v>
      </c>
      <c r="Q721" s="33"/>
      <c r="R721" s="32"/>
      <c r="S721" s="32"/>
    </row>
    <row r="722" spans="1:19">
      <c r="A722" s="47" t="s">
        <v>147</v>
      </c>
      <c r="B722" s="48" t="s">
        <v>148</v>
      </c>
      <c r="C722" s="32">
        <v>304</v>
      </c>
      <c r="D722" s="32"/>
      <c r="E722" s="48" t="s">
        <v>17</v>
      </c>
      <c r="F722" s="48" t="s">
        <v>160</v>
      </c>
      <c r="G722" s="48" t="s">
        <v>30</v>
      </c>
      <c r="H722" s="11">
        <v>9.26</v>
      </c>
      <c r="I722" s="8">
        <v>9.5</v>
      </c>
      <c r="J722" s="7">
        <v>1</v>
      </c>
      <c r="K722" s="10">
        <v>8.7969999999999993E-2</v>
      </c>
      <c r="L722" s="32"/>
      <c r="M722" s="32">
        <v>1</v>
      </c>
      <c r="N722" s="18">
        <v>8.7969999999999993E-2</v>
      </c>
      <c r="O722" s="19">
        <v>0</v>
      </c>
      <c r="P722" s="13">
        <v>0</v>
      </c>
      <c r="Q722" s="75">
        <v>9</v>
      </c>
      <c r="R722" s="72">
        <v>1</v>
      </c>
      <c r="S722" s="74" t="s">
        <v>267</v>
      </c>
    </row>
    <row r="723" spans="1:19">
      <c r="A723" s="47" t="s">
        <v>147</v>
      </c>
      <c r="B723" s="48" t="s">
        <v>148</v>
      </c>
      <c r="C723" s="32" t="s">
        <v>162</v>
      </c>
      <c r="D723" s="32"/>
      <c r="E723" s="48" t="s">
        <v>17</v>
      </c>
      <c r="F723" s="48" t="s">
        <v>160</v>
      </c>
      <c r="G723" s="48" t="s">
        <v>30</v>
      </c>
      <c r="H723" s="11">
        <v>9.26</v>
      </c>
      <c r="I723" s="8">
        <v>6.95</v>
      </c>
      <c r="J723" s="7">
        <v>3</v>
      </c>
      <c r="K723" s="10">
        <v>0.19307099999999999</v>
      </c>
      <c r="L723" s="32"/>
      <c r="M723" s="32"/>
      <c r="N723" s="18">
        <v>0</v>
      </c>
      <c r="O723" s="19">
        <v>3</v>
      </c>
      <c r="P723" s="13">
        <v>0.19307099999999999</v>
      </c>
      <c r="Q723" s="33"/>
      <c r="R723" s="32"/>
      <c r="S723" s="32"/>
    </row>
    <row r="724" spans="1:19">
      <c r="A724" s="44" t="s">
        <v>78</v>
      </c>
      <c r="B724" s="32" t="s">
        <v>109</v>
      </c>
      <c r="C724" s="3">
        <v>5</v>
      </c>
      <c r="D724" s="1"/>
      <c r="E724" s="20" t="s">
        <v>17</v>
      </c>
      <c r="F724" s="7" t="s">
        <v>15</v>
      </c>
      <c r="G724" s="7" t="s">
        <v>30</v>
      </c>
      <c r="H724" s="11">
        <v>9.26</v>
      </c>
      <c r="I724" s="55">
        <v>8</v>
      </c>
      <c r="J724" s="40">
        <v>1</v>
      </c>
      <c r="K724" s="10">
        <v>7.4079999999999993E-2</v>
      </c>
      <c r="L724" s="4"/>
      <c r="M724" s="17">
        <v>1</v>
      </c>
      <c r="N724" s="18">
        <v>7.4079999999999993E-2</v>
      </c>
      <c r="O724" s="19">
        <v>0</v>
      </c>
      <c r="P724" s="13">
        <v>0</v>
      </c>
      <c r="Q724" s="75">
        <v>8</v>
      </c>
      <c r="R724" s="72">
        <v>1</v>
      </c>
      <c r="S724" s="74" t="s">
        <v>267</v>
      </c>
    </row>
    <row r="725" spans="1:19">
      <c r="A725" s="45" t="s">
        <v>136</v>
      </c>
      <c r="B725" s="48" t="s">
        <v>171</v>
      </c>
      <c r="C725" s="32">
        <v>122</v>
      </c>
      <c r="D725" s="32"/>
      <c r="E725" s="48" t="s">
        <v>17</v>
      </c>
      <c r="F725" s="48" t="s">
        <v>15</v>
      </c>
      <c r="G725" s="48" t="s">
        <v>30</v>
      </c>
      <c r="H725" s="11">
        <v>9.26</v>
      </c>
      <c r="I725" s="8">
        <v>12</v>
      </c>
      <c r="J725" s="7">
        <v>5</v>
      </c>
      <c r="K725" s="10">
        <v>0.55559999999999998</v>
      </c>
      <c r="L725" s="32"/>
      <c r="M725" s="32">
        <v>5</v>
      </c>
      <c r="N725" s="18">
        <v>0.55559999999999998</v>
      </c>
      <c r="O725" s="19">
        <v>0</v>
      </c>
      <c r="P725" s="13">
        <v>0</v>
      </c>
      <c r="Q725" s="75">
        <v>12</v>
      </c>
      <c r="R725" s="72">
        <v>5</v>
      </c>
      <c r="S725" s="74" t="s">
        <v>267</v>
      </c>
    </row>
    <row r="726" spans="1:19">
      <c r="O726" s="6">
        <f>SUM(O689:O725)</f>
        <v>124</v>
      </c>
      <c r="R726" s="6">
        <f>SUM(R689:R725)</f>
        <v>144</v>
      </c>
    </row>
    <row r="729" spans="1:19">
      <c r="A729" s="42" t="s">
        <v>90</v>
      </c>
      <c r="B729" s="3"/>
      <c r="C729" s="3">
        <v>122</v>
      </c>
      <c r="D729" s="1"/>
      <c r="E729" s="12" t="s">
        <v>20</v>
      </c>
      <c r="F729" s="7" t="s">
        <v>15</v>
      </c>
      <c r="G729" s="7" t="s">
        <v>30</v>
      </c>
      <c r="H729" s="11">
        <v>9.26</v>
      </c>
      <c r="I729" s="160">
        <v>9.1999999999999993</v>
      </c>
      <c r="J729" s="26">
        <v>4</v>
      </c>
      <c r="K729" s="10">
        <v>0.34076799999999996</v>
      </c>
      <c r="L729" s="4"/>
      <c r="M729" s="17"/>
      <c r="N729" s="18">
        <v>0</v>
      </c>
      <c r="O729" s="19">
        <v>4</v>
      </c>
      <c r="P729" s="13">
        <v>0.34076799999999996</v>
      </c>
      <c r="Q729" s="9"/>
      <c r="R729" s="2"/>
      <c r="S729" s="2"/>
    </row>
    <row r="730" spans="1:19">
      <c r="A730" s="42" t="s">
        <v>90</v>
      </c>
      <c r="B730" s="3"/>
      <c r="C730" s="3">
        <v>154</v>
      </c>
      <c r="D730" s="1"/>
      <c r="E730" s="12" t="s">
        <v>20</v>
      </c>
      <c r="F730" s="7" t="s">
        <v>15</v>
      </c>
      <c r="G730" s="7" t="s">
        <v>30</v>
      </c>
      <c r="H730" s="11">
        <v>9.26</v>
      </c>
      <c r="I730" s="160">
        <v>8.6999999999999993</v>
      </c>
      <c r="J730" s="26">
        <v>1</v>
      </c>
      <c r="K730" s="10">
        <v>8.0561999999999995E-2</v>
      </c>
      <c r="L730" s="4"/>
      <c r="M730" s="17"/>
      <c r="N730" s="18">
        <v>0</v>
      </c>
      <c r="O730" s="19">
        <v>1</v>
      </c>
      <c r="P730" s="13">
        <v>8.0561999999999995E-2</v>
      </c>
      <c r="Q730" s="9"/>
      <c r="R730" s="2"/>
      <c r="S730" s="2"/>
    </row>
    <row r="731" spans="1:19">
      <c r="A731" s="42" t="s">
        <v>90</v>
      </c>
      <c r="B731" s="3"/>
      <c r="C731" s="3">
        <v>154</v>
      </c>
      <c r="D731" s="1"/>
      <c r="E731" s="12" t="s">
        <v>20</v>
      </c>
      <c r="F731" s="7" t="s">
        <v>15</v>
      </c>
      <c r="G731" s="7" t="s">
        <v>30</v>
      </c>
      <c r="H731" s="11">
        <v>9.26</v>
      </c>
      <c r="I731" s="160">
        <v>8</v>
      </c>
      <c r="J731" s="26">
        <v>1</v>
      </c>
      <c r="K731" s="10">
        <v>7.4079999999999993E-2</v>
      </c>
      <c r="L731" s="4"/>
      <c r="M731" s="17"/>
      <c r="N731" s="18">
        <v>0</v>
      </c>
      <c r="O731" s="19">
        <v>1</v>
      </c>
      <c r="P731" s="13">
        <v>7.4079999999999993E-2</v>
      </c>
      <c r="Q731" s="9"/>
      <c r="R731" s="2"/>
      <c r="S731" s="2"/>
    </row>
    <row r="732" spans="1:19">
      <c r="A732" s="42" t="s">
        <v>90</v>
      </c>
      <c r="B732" s="3"/>
      <c r="C732" s="3">
        <v>161</v>
      </c>
      <c r="D732" s="1"/>
      <c r="E732" s="12" t="s">
        <v>20</v>
      </c>
      <c r="F732" s="7" t="s">
        <v>15</v>
      </c>
      <c r="G732" s="7" t="s">
        <v>30</v>
      </c>
      <c r="H732" s="11">
        <v>9.26</v>
      </c>
      <c r="I732" s="160">
        <v>11.9</v>
      </c>
      <c r="J732" s="26">
        <v>1</v>
      </c>
      <c r="K732" s="10">
        <v>0.110194</v>
      </c>
      <c r="L732" s="4"/>
      <c r="M732" s="22">
        <v>1</v>
      </c>
      <c r="N732" s="18">
        <v>0.110194</v>
      </c>
      <c r="O732" s="19">
        <v>0</v>
      </c>
      <c r="P732" s="13">
        <v>0</v>
      </c>
      <c r="Q732" s="73">
        <v>10.5</v>
      </c>
      <c r="R732" s="74">
        <v>1</v>
      </c>
      <c r="S732" s="74" t="s">
        <v>212</v>
      </c>
    </row>
    <row r="733" spans="1:19">
      <c r="A733" s="42" t="s">
        <v>90</v>
      </c>
      <c r="B733" s="3"/>
      <c r="C733" s="3">
        <v>185</v>
      </c>
      <c r="D733" s="1"/>
      <c r="E733" s="12" t="s">
        <v>94</v>
      </c>
      <c r="F733" s="7" t="s">
        <v>15</v>
      </c>
      <c r="G733" s="7" t="s">
        <v>30</v>
      </c>
      <c r="H733" s="11">
        <v>9.26</v>
      </c>
      <c r="I733" s="160">
        <v>10.5</v>
      </c>
      <c r="J733" s="26">
        <v>1</v>
      </c>
      <c r="K733" s="10">
        <v>9.7230000000000011E-2</v>
      </c>
      <c r="L733" s="4"/>
      <c r="M733" s="17">
        <v>1</v>
      </c>
      <c r="N733" s="18">
        <v>9.7230000000000011E-2</v>
      </c>
      <c r="O733" s="19">
        <v>0</v>
      </c>
      <c r="P733" s="13">
        <v>0</v>
      </c>
      <c r="Q733" s="73">
        <v>10.5</v>
      </c>
      <c r="R733" s="74">
        <v>1</v>
      </c>
      <c r="S733" s="74" t="s">
        <v>212</v>
      </c>
    </row>
    <row r="734" spans="1:19">
      <c r="A734" s="42" t="s">
        <v>90</v>
      </c>
      <c r="B734" s="3"/>
      <c r="C734" s="3">
        <v>185</v>
      </c>
      <c r="D734" s="1"/>
      <c r="E734" s="12" t="s">
        <v>94</v>
      </c>
      <c r="F734" s="7" t="s">
        <v>15</v>
      </c>
      <c r="G734" s="7" t="s">
        <v>30</v>
      </c>
      <c r="H734" s="11">
        <v>9.26</v>
      </c>
      <c r="I734" s="160">
        <v>11.5</v>
      </c>
      <c r="J734" s="26">
        <v>1</v>
      </c>
      <c r="K734" s="10">
        <v>0.10649</v>
      </c>
      <c r="L734" s="4"/>
      <c r="M734" s="17">
        <v>1</v>
      </c>
      <c r="N734" s="18">
        <v>0.10649</v>
      </c>
      <c r="O734" s="19">
        <v>0</v>
      </c>
      <c r="P734" s="13">
        <v>0</v>
      </c>
      <c r="Q734" s="73">
        <v>10.5</v>
      </c>
      <c r="R734" s="74">
        <v>1</v>
      </c>
      <c r="S734" s="74" t="s">
        <v>212</v>
      </c>
    </row>
    <row r="735" spans="1:19">
      <c r="A735" s="42" t="s">
        <v>90</v>
      </c>
      <c r="B735" s="3"/>
      <c r="C735" s="3">
        <v>187</v>
      </c>
      <c r="D735" s="1" t="s">
        <v>93</v>
      </c>
      <c r="E735" s="12" t="s">
        <v>20</v>
      </c>
      <c r="F735" s="7" t="s">
        <v>15</v>
      </c>
      <c r="G735" s="7" t="s">
        <v>30</v>
      </c>
      <c r="H735" s="11">
        <v>9.26</v>
      </c>
      <c r="I735" s="160">
        <v>12</v>
      </c>
      <c r="J735" s="26">
        <v>2</v>
      </c>
      <c r="K735" s="10">
        <v>0.22224000000000002</v>
      </c>
      <c r="L735" s="4"/>
      <c r="M735" s="17"/>
      <c r="N735" s="18">
        <v>0</v>
      </c>
      <c r="O735" s="19">
        <v>2</v>
      </c>
      <c r="P735" s="13">
        <v>0.22224000000000002</v>
      </c>
      <c r="Q735" s="9"/>
      <c r="R735" s="2"/>
      <c r="S735" s="2"/>
    </row>
    <row r="736" spans="1:19">
      <c r="A736" s="42" t="s">
        <v>90</v>
      </c>
      <c r="B736" s="3"/>
      <c r="C736" s="3">
        <v>189</v>
      </c>
      <c r="D736" s="1" t="s">
        <v>93</v>
      </c>
      <c r="E736" s="12" t="s">
        <v>89</v>
      </c>
      <c r="F736" s="7" t="s">
        <v>15</v>
      </c>
      <c r="G736" s="7" t="s">
        <v>30</v>
      </c>
      <c r="H736" s="11">
        <v>9.26</v>
      </c>
      <c r="I736" s="160">
        <v>9.6999999999999993</v>
      </c>
      <c r="J736" s="26">
        <v>2</v>
      </c>
      <c r="K736" s="10">
        <v>0.17964399999999997</v>
      </c>
      <c r="L736" s="4"/>
      <c r="M736" s="17">
        <v>2</v>
      </c>
      <c r="N736" s="18">
        <v>0.17964399999999997</v>
      </c>
      <c r="O736" s="19">
        <v>0</v>
      </c>
      <c r="P736" s="13">
        <v>0</v>
      </c>
      <c r="Q736" s="73">
        <v>9.5</v>
      </c>
      <c r="R736" s="74">
        <v>2</v>
      </c>
      <c r="S736" s="74" t="s">
        <v>212</v>
      </c>
    </row>
    <row r="737" spans="1:19">
      <c r="A737" s="42" t="s">
        <v>90</v>
      </c>
      <c r="B737" s="3"/>
      <c r="C737" s="3">
        <v>189</v>
      </c>
      <c r="D737" s="1" t="s">
        <v>93</v>
      </c>
      <c r="E737" s="12" t="s">
        <v>89</v>
      </c>
      <c r="F737" s="7" t="s">
        <v>15</v>
      </c>
      <c r="G737" s="7" t="s">
        <v>30</v>
      </c>
      <c r="H737" s="11">
        <v>9.26</v>
      </c>
      <c r="I737" s="160">
        <v>9.5</v>
      </c>
      <c r="J737" s="26">
        <v>1</v>
      </c>
      <c r="K737" s="10">
        <v>8.7969999999999993E-2</v>
      </c>
      <c r="L737" s="4"/>
      <c r="M737" s="17">
        <v>1</v>
      </c>
      <c r="N737" s="18">
        <v>8.7969999999999993E-2</v>
      </c>
      <c r="O737" s="19">
        <v>0</v>
      </c>
      <c r="P737" s="13">
        <v>0</v>
      </c>
      <c r="Q737" s="73">
        <v>9.5</v>
      </c>
      <c r="R737" s="74">
        <v>1</v>
      </c>
      <c r="S737" s="74" t="s">
        <v>212</v>
      </c>
    </row>
    <row r="738" spans="1:19">
      <c r="A738" s="42" t="s">
        <v>90</v>
      </c>
      <c r="B738" s="3"/>
      <c r="C738" s="3">
        <v>189</v>
      </c>
      <c r="D738" s="1" t="s">
        <v>93</v>
      </c>
      <c r="E738" s="12" t="s">
        <v>89</v>
      </c>
      <c r="F738" s="7" t="s">
        <v>15</v>
      </c>
      <c r="G738" s="7" t="s">
        <v>30</v>
      </c>
      <c r="H738" s="11">
        <v>9.26</v>
      </c>
      <c r="I738" s="160">
        <v>9</v>
      </c>
      <c r="J738" s="26">
        <v>1</v>
      </c>
      <c r="K738" s="10">
        <v>8.3339999999999997E-2</v>
      </c>
      <c r="L738" s="4"/>
      <c r="M738" s="17"/>
      <c r="N738" s="18">
        <v>0</v>
      </c>
      <c r="O738" s="19">
        <v>1</v>
      </c>
      <c r="P738" s="13">
        <v>8.3339999999999997E-2</v>
      </c>
      <c r="Q738" s="9"/>
      <c r="R738" s="2"/>
      <c r="S738" s="2"/>
    </row>
    <row r="739" spans="1:19">
      <c r="A739" s="42" t="s">
        <v>90</v>
      </c>
      <c r="B739" s="3"/>
      <c r="C739" s="3">
        <v>189</v>
      </c>
      <c r="D739" s="1" t="s">
        <v>93</v>
      </c>
      <c r="E739" s="12" t="s">
        <v>89</v>
      </c>
      <c r="F739" s="7" t="s">
        <v>15</v>
      </c>
      <c r="G739" s="7" t="s">
        <v>30</v>
      </c>
      <c r="H739" s="11">
        <v>9.26</v>
      </c>
      <c r="I739" s="160">
        <v>8.3000000000000007</v>
      </c>
      <c r="J739" s="26">
        <v>1</v>
      </c>
      <c r="K739" s="10">
        <v>7.685800000000001E-2</v>
      </c>
      <c r="L739" s="4"/>
      <c r="M739" s="17"/>
      <c r="N739" s="18">
        <v>0</v>
      </c>
      <c r="O739" s="19">
        <v>1</v>
      </c>
      <c r="P739" s="13">
        <v>7.685800000000001E-2</v>
      </c>
      <c r="Q739" s="9"/>
      <c r="R739" s="2"/>
      <c r="S739" s="2"/>
    </row>
    <row r="740" spans="1:19">
      <c r="A740" s="42" t="s">
        <v>90</v>
      </c>
      <c r="B740" s="3"/>
      <c r="C740" s="3">
        <v>189</v>
      </c>
      <c r="D740" s="1" t="s">
        <v>93</v>
      </c>
      <c r="E740" s="12" t="s">
        <v>89</v>
      </c>
      <c r="F740" s="7" t="s">
        <v>15</v>
      </c>
      <c r="G740" s="7" t="s">
        <v>30</v>
      </c>
      <c r="H740" s="11">
        <v>9.26</v>
      </c>
      <c r="I740" s="160">
        <v>8</v>
      </c>
      <c r="J740" s="26">
        <v>1</v>
      </c>
      <c r="K740" s="10">
        <v>7.4079999999999993E-2</v>
      </c>
      <c r="L740" s="4"/>
      <c r="M740" s="17"/>
      <c r="N740" s="18">
        <v>0</v>
      </c>
      <c r="O740" s="19">
        <v>1</v>
      </c>
      <c r="P740" s="13">
        <v>7.4079999999999993E-2</v>
      </c>
      <c r="Q740" s="9"/>
      <c r="R740" s="2"/>
      <c r="S740" s="2"/>
    </row>
    <row r="741" spans="1:19">
      <c r="A741" s="42" t="s">
        <v>90</v>
      </c>
      <c r="B741" s="3"/>
      <c r="C741" s="3">
        <v>189</v>
      </c>
      <c r="D741" s="1" t="s">
        <v>93</v>
      </c>
      <c r="E741" s="12" t="s">
        <v>89</v>
      </c>
      <c r="F741" s="7" t="s">
        <v>15</v>
      </c>
      <c r="G741" s="7" t="s">
        <v>30</v>
      </c>
      <c r="H741" s="11">
        <v>9.26</v>
      </c>
      <c r="I741" s="160">
        <v>6.7</v>
      </c>
      <c r="J741" s="26">
        <v>1</v>
      </c>
      <c r="K741" s="10">
        <v>6.2042E-2</v>
      </c>
      <c r="L741" s="4"/>
      <c r="M741" s="17"/>
      <c r="N741" s="18">
        <v>0</v>
      </c>
      <c r="O741" s="19">
        <v>1</v>
      </c>
      <c r="P741" s="13">
        <v>6.2042E-2</v>
      </c>
      <c r="Q741" s="9"/>
      <c r="R741" s="2"/>
      <c r="S741" s="2"/>
    </row>
    <row r="742" spans="1:19">
      <c r="A742" s="42" t="s">
        <v>90</v>
      </c>
      <c r="B742" s="3"/>
      <c r="C742" s="3">
        <v>189</v>
      </c>
      <c r="D742" s="1" t="s">
        <v>93</v>
      </c>
      <c r="E742" s="12" t="s">
        <v>89</v>
      </c>
      <c r="F742" s="7" t="s">
        <v>15</v>
      </c>
      <c r="G742" s="7" t="s">
        <v>30</v>
      </c>
      <c r="H742" s="11">
        <v>9.26</v>
      </c>
      <c r="I742" s="160">
        <v>10.9</v>
      </c>
      <c r="J742" s="26">
        <v>2</v>
      </c>
      <c r="K742" s="10">
        <v>0.20186799999999999</v>
      </c>
      <c r="L742" s="4"/>
      <c r="M742" s="17">
        <v>2</v>
      </c>
      <c r="N742" s="18">
        <v>0.20186799999999999</v>
      </c>
      <c r="O742" s="19">
        <v>0</v>
      </c>
      <c r="P742" s="13">
        <v>0</v>
      </c>
      <c r="Q742" s="73">
        <v>10.5</v>
      </c>
      <c r="R742" s="74">
        <v>2</v>
      </c>
      <c r="S742" s="74" t="s">
        <v>212</v>
      </c>
    </row>
    <row r="743" spans="1:19">
      <c r="A743" s="47" t="s">
        <v>147</v>
      </c>
      <c r="B743" s="48" t="s">
        <v>148</v>
      </c>
      <c r="C743" s="32">
        <v>361</v>
      </c>
      <c r="D743" s="32"/>
      <c r="E743" s="48" t="s">
        <v>20</v>
      </c>
      <c r="F743" s="48" t="s">
        <v>160</v>
      </c>
      <c r="G743" s="48" t="s">
        <v>30</v>
      </c>
      <c r="H743" s="11">
        <v>9.26</v>
      </c>
      <c r="I743" s="160">
        <v>9.6</v>
      </c>
      <c r="J743" s="7">
        <v>2</v>
      </c>
      <c r="K743" s="10">
        <v>0.17779200000000001</v>
      </c>
      <c r="L743" s="32"/>
      <c r="M743" s="32">
        <v>2</v>
      </c>
      <c r="N743" s="18">
        <v>0.17779200000000001</v>
      </c>
      <c r="O743" s="19">
        <v>0</v>
      </c>
      <c r="P743" s="13">
        <v>0</v>
      </c>
      <c r="Q743" s="79">
        <v>9.5</v>
      </c>
      <c r="R743" s="72">
        <v>2</v>
      </c>
      <c r="S743" s="74" t="s">
        <v>212</v>
      </c>
    </row>
    <row r="744" spans="1:19">
      <c r="A744" s="47" t="s">
        <v>147</v>
      </c>
      <c r="B744" s="48" t="s">
        <v>148</v>
      </c>
      <c r="C744" s="32">
        <v>361</v>
      </c>
      <c r="D744" s="32"/>
      <c r="E744" s="48" t="s">
        <v>20</v>
      </c>
      <c r="F744" s="48" t="s">
        <v>160</v>
      </c>
      <c r="G744" s="48" t="s">
        <v>30</v>
      </c>
      <c r="H744" s="11">
        <v>9.26</v>
      </c>
      <c r="I744" s="160">
        <v>9.3000000000000007</v>
      </c>
      <c r="J744" s="7">
        <v>1</v>
      </c>
      <c r="K744" s="10">
        <v>8.6118000000000014E-2</v>
      </c>
      <c r="L744" s="32"/>
      <c r="M744" s="32"/>
      <c r="N744" s="18">
        <v>0</v>
      </c>
      <c r="O744" s="19">
        <v>1</v>
      </c>
      <c r="P744" s="13">
        <v>8.6118000000000014E-2</v>
      </c>
      <c r="Q744" s="55"/>
      <c r="R744" s="32"/>
      <c r="S744" s="32"/>
    </row>
    <row r="745" spans="1:19">
      <c r="A745" s="42" t="s">
        <v>78</v>
      </c>
      <c r="B745" s="3" t="s">
        <v>80</v>
      </c>
      <c r="C745" s="3">
        <v>5</v>
      </c>
      <c r="D745" s="1"/>
      <c r="E745" s="12" t="s">
        <v>20</v>
      </c>
      <c r="F745" s="7" t="s">
        <v>15</v>
      </c>
      <c r="G745" s="7" t="s">
        <v>30</v>
      </c>
      <c r="H745" s="11">
        <v>9.26</v>
      </c>
      <c r="I745" s="160">
        <v>12</v>
      </c>
      <c r="J745" s="26">
        <v>3</v>
      </c>
      <c r="K745" s="10">
        <v>0.33335999999999999</v>
      </c>
      <c r="L745" s="4"/>
      <c r="M745" s="17"/>
      <c r="N745" s="18">
        <v>0</v>
      </c>
      <c r="O745" s="19">
        <v>3</v>
      </c>
      <c r="P745" s="13">
        <v>0.33335999999999999</v>
      </c>
      <c r="Q745" s="9"/>
      <c r="R745" s="2"/>
      <c r="S745" s="2"/>
    </row>
    <row r="746" spans="1:19">
      <c r="A746" s="42" t="s">
        <v>78</v>
      </c>
      <c r="B746" s="3" t="s">
        <v>80</v>
      </c>
      <c r="C746" s="3">
        <v>5</v>
      </c>
      <c r="D746" s="1"/>
      <c r="E746" s="12" t="s">
        <v>20</v>
      </c>
      <c r="F746" s="7" t="s">
        <v>15</v>
      </c>
      <c r="G746" s="7" t="s">
        <v>30</v>
      </c>
      <c r="H746" s="11">
        <v>9.26</v>
      </c>
      <c r="I746" s="160">
        <v>11</v>
      </c>
      <c r="J746" s="26">
        <v>1</v>
      </c>
      <c r="K746" s="10">
        <v>0.10186000000000001</v>
      </c>
      <c r="L746" s="4"/>
      <c r="M746" s="17">
        <v>1</v>
      </c>
      <c r="N746" s="18">
        <v>0.10186000000000001</v>
      </c>
      <c r="O746" s="19">
        <v>0</v>
      </c>
      <c r="P746" s="13">
        <v>0</v>
      </c>
      <c r="Q746" s="73">
        <v>10.5</v>
      </c>
      <c r="R746" s="74">
        <v>1</v>
      </c>
      <c r="S746" s="74" t="s">
        <v>212</v>
      </c>
    </row>
    <row r="747" spans="1:19">
      <c r="A747" s="45" t="s">
        <v>136</v>
      </c>
      <c r="B747" s="32" t="s">
        <v>137</v>
      </c>
      <c r="C747" s="3">
        <v>50</v>
      </c>
      <c r="D747" s="32"/>
      <c r="E747" s="20" t="s">
        <v>20</v>
      </c>
      <c r="F747" s="7" t="s">
        <v>15</v>
      </c>
      <c r="G747" s="7" t="s">
        <v>30</v>
      </c>
      <c r="H747" s="11">
        <v>9.26</v>
      </c>
      <c r="I747" s="162">
        <v>10.9</v>
      </c>
      <c r="J747" s="40">
        <v>1</v>
      </c>
      <c r="K747" s="10">
        <v>0.100934</v>
      </c>
      <c r="L747" s="4"/>
      <c r="M747" s="17">
        <v>1</v>
      </c>
      <c r="N747" s="18">
        <v>0.100934</v>
      </c>
      <c r="O747" s="19">
        <v>0</v>
      </c>
      <c r="P747" s="13">
        <v>0</v>
      </c>
      <c r="Q747" s="73">
        <v>10.5</v>
      </c>
      <c r="R747" s="72">
        <v>1</v>
      </c>
      <c r="S747" s="74" t="s">
        <v>212</v>
      </c>
    </row>
    <row r="748" spans="1:19">
      <c r="A748" s="45" t="s">
        <v>136</v>
      </c>
      <c r="B748" s="32" t="s">
        <v>137</v>
      </c>
      <c r="C748" s="3">
        <v>57</v>
      </c>
      <c r="D748" s="32"/>
      <c r="E748" s="20" t="s">
        <v>20</v>
      </c>
      <c r="F748" s="7" t="s">
        <v>15</v>
      </c>
      <c r="G748" s="7" t="s">
        <v>30</v>
      </c>
      <c r="H748" s="11">
        <v>9.26</v>
      </c>
      <c r="I748" s="162">
        <v>10.9</v>
      </c>
      <c r="J748" s="40">
        <v>2</v>
      </c>
      <c r="K748" s="10">
        <v>0.20186799999999999</v>
      </c>
      <c r="L748" s="4"/>
      <c r="M748" s="17">
        <v>2</v>
      </c>
      <c r="N748" s="18">
        <v>0.20186799999999999</v>
      </c>
      <c r="O748" s="19">
        <v>0</v>
      </c>
      <c r="P748" s="13">
        <v>0</v>
      </c>
      <c r="Q748" s="73">
        <v>10.5</v>
      </c>
      <c r="R748" s="72">
        <v>2</v>
      </c>
      <c r="S748" s="74" t="s">
        <v>212</v>
      </c>
    </row>
    <row r="749" spans="1:19">
      <c r="A749" s="45" t="s">
        <v>136</v>
      </c>
      <c r="B749" s="32" t="s">
        <v>137</v>
      </c>
      <c r="C749" s="3">
        <v>57</v>
      </c>
      <c r="D749" s="32"/>
      <c r="E749" s="20" t="s">
        <v>20</v>
      </c>
      <c r="F749" s="7" t="s">
        <v>15</v>
      </c>
      <c r="G749" s="7" t="s">
        <v>30</v>
      </c>
      <c r="H749" s="11">
        <v>9.26</v>
      </c>
      <c r="I749" s="162">
        <v>9.6</v>
      </c>
      <c r="J749" s="40">
        <v>1</v>
      </c>
      <c r="K749" s="10">
        <v>8.8896000000000003E-2</v>
      </c>
      <c r="L749" s="4"/>
      <c r="M749" s="17">
        <v>1</v>
      </c>
      <c r="N749" s="18">
        <v>8.8896000000000003E-2</v>
      </c>
      <c r="O749" s="19">
        <v>0</v>
      </c>
      <c r="P749" s="13">
        <v>0</v>
      </c>
      <c r="Q749" s="79">
        <v>9.5</v>
      </c>
      <c r="R749" s="72">
        <v>1</v>
      </c>
      <c r="S749" s="74" t="s">
        <v>212</v>
      </c>
    </row>
    <row r="750" spans="1:19">
      <c r="A750" s="45" t="s">
        <v>136</v>
      </c>
      <c r="B750" s="32" t="s">
        <v>137</v>
      </c>
      <c r="C750" s="3">
        <v>57</v>
      </c>
      <c r="D750" s="32"/>
      <c r="E750" s="20" t="s">
        <v>20</v>
      </c>
      <c r="F750" s="7" t="s">
        <v>15</v>
      </c>
      <c r="G750" s="7" t="s">
        <v>30</v>
      </c>
      <c r="H750" s="11">
        <v>9.26</v>
      </c>
      <c r="I750" s="162">
        <v>8.6</v>
      </c>
      <c r="J750" s="40">
        <v>1</v>
      </c>
      <c r="K750" s="10">
        <v>7.9635999999999998E-2</v>
      </c>
      <c r="L750" s="4"/>
      <c r="M750" s="17"/>
      <c r="N750" s="18">
        <v>0</v>
      </c>
      <c r="O750" s="19">
        <v>1</v>
      </c>
      <c r="P750" s="13">
        <v>7.9635999999999998E-2</v>
      </c>
      <c r="Q750" s="55"/>
      <c r="R750" s="32"/>
      <c r="S750" s="32"/>
    </row>
    <row r="751" spans="1:19">
      <c r="A751" s="45" t="s">
        <v>136</v>
      </c>
      <c r="B751" s="32" t="s">
        <v>137</v>
      </c>
      <c r="C751" s="3">
        <v>57</v>
      </c>
      <c r="D751" s="32"/>
      <c r="E751" s="20" t="s">
        <v>20</v>
      </c>
      <c r="F751" s="7" t="s">
        <v>15</v>
      </c>
      <c r="G751" s="7" t="s">
        <v>30</v>
      </c>
      <c r="H751" s="11">
        <v>9.26</v>
      </c>
      <c r="I751" s="162">
        <v>10</v>
      </c>
      <c r="J751" s="40">
        <v>1</v>
      </c>
      <c r="K751" s="10">
        <v>9.2599999999999988E-2</v>
      </c>
      <c r="L751" s="4"/>
      <c r="M751" s="17">
        <v>1</v>
      </c>
      <c r="N751" s="18">
        <v>9.2599999999999988E-2</v>
      </c>
      <c r="O751" s="19">
        <v>0</v>
      </c>
      <c r="P751" s="13">
        <v>0</v>
      </c>
      <c r="Q751" s="79">
        <v>9.5</v>
      </c>
      <c r="R751" s="72">
        <v>1</v>
      </c>
      <c r="S751" s="74" t="s">
        <v>212</v>
      </c>
    </row>
    <row r="752" spans="1:19">
      <c r="A752" s="45" t="s">
        <v>136</v>
      </c>
      <c r="B752" s="32" t="s">
        <v>137</v>
      </c>
      <c r="C752" s="3">
        <v>62</v>
      </c>
      <c r="D752" s="32"/>
      <c r="E752" s="20" t="s">
        <v>20</v>
      </c>
      <c r="F752" s="7" t="s">
        <v>15</v>
      </c>
      <c r="G752" s="7" t="s">
        <v>30</v>
      </c>
      <c r="H752" s="11">
        <v>9.26</v>
      </c>
      <c r="I752" s="162">
        <v>9.3000000000000007</v>
      </c>
      <c r="J752" s="40">
        <v>1</v>
      </c>
      <c r="K752" s="10">
        <v>8.6118000000000014E-2</v>
      </c>
      <c r="L752" s="4"/>
      <c r="M752" s="17"/>
      <c r="N752" s="18">
        <v>0</v>
      </c>
      <c r="O752" s="19">
        <v>1</v>
      </c>
      <c r="P752" s="13">
        <v>8.6118000000000014E-2</v>
      </c>
      <c r="Q752" s="55"/>
      <c r="R752" s="32"/>
      <c r="S752" s="32"/>
    </row>
    <row r="753" spans="1:19">
      <c r="A753" s="45" t="s">
        <v>136</v>
      </c>
      <c r="B753" s="32" t="s">
        <v>137</v>
      </c>
      <c r="C753" s="3">
        <v>62</v>
      </c>
      <c r="D753" s="32"/>
      <c r="E753" s="20" t="s">
        <v>20</v>
      </c>
      <c r="F753" s="7" t="s">
        <v>15</v>
      </c>
      <c r="G753" s="7" t="s">
        <v>30</v>
      </c>
      <c r="H753" s="11">
        <v>9.26</v>
      </c>
      <c r="I753" s="162">
        <v>9.6</v>
      </c>
      <c r="J753" s="40">
        <v>1</v>
      </c>
      <c r="K753" s="10">
        <v>8.8896000000000003E-2</v>
      </c>
      <c r="L753" s="4"/>
      <c r="M753" s="17">
        <v>1</v>
      </c>
      <c r="N753" s="18">
        <v>8.8896000000000003E-2</v>
      </c>
      <c r="O753" s="19">
        <v>0</v>
      </c>
      <c r="P753" s="13">
        <v>0</v>
      </c>
      <c r="Q753" s="79">
        <v>9.5</v>
      </c>
      <c r="R753" s="72">
        <v>1</v>
      </c>
      <c r="S753" s="74" t="s">
        <v>212</v>
      </c>
    </row>
    <row r="754" spans="1:19">
      <c r="A754" s="45" t="s">
        <v>136</v>
      </c>
      <c r="B754" s="32" t="s">
        <v>137</v>
      </c>
      <c r="C754" s="3">
        <v>79</v>
      </c>
      <c r="D754" s="32"/>
      <c r="E754" s="20" t="s">
        <v>113</v>
      </c>
      <c r="F754" s="7" t="s">
        <v>15</v>
      </c>
      <c r="G754" s="7" t="s">
        <v>30</v>
      </c>
      <c r="H754" s="11">
        <v>9.26</v>
      </c>
      <c r="I754" s="162">
        <v>11.6</v>
      </c>
      <c r="J754" s="40">
        <v>1</v>
      </c>
      <c r="K754" s="10">
        <v>0.107416</v>
      </c>
      <c r="L754" s="4"/>
      <c r="M754" s="17">
        <v>1</v>
      </c>
      <c r="N754" s="18">
        <v>0.107416</v>
      </c>
      <c r="O754" s="19">
        <v>0</v>
      </c>
      <c r="P754" s="13">
        <v>0</v>
      </c>
      <c r="Q754" s="79">
        <v>10.5</v>
      </c>
      <c r="R754" s="72">
        <v>1</v>
      </c>
      <c r="S754" s="74" t="s">
        <v>212</v>
      </c>
    </row>
    <row r="755" spans="1:19">
      <c r="A755" s="45" t="s">
        <v>136</v>
      </c>
      <c r="B755" s="48" t="s">
        <v>171</v>
      </c>
      <c r="C755" s="32">
        <v>149</v>
      </c>
      <c r="D755" s="32"/>
      <c r="E755" s="48" t="s">
        <v>94</v>
      </c>
      <c r="F755" s="48" t="s">
        <v>15</v>
      </c>
      <c r="G755" s="48" t="s">
        <v>30</v>
      </c>
      <c r="H755" s="11">
        <v>9.26</v>
      </c>
      <c r="I755" s="18">
        <v>11</v>
      </c>
      <c r="J755" s="7">
        <v>4</v>
      </c>
      <c r="K755" s="10">
        <v>0.40744000000000002</v>
      </c>
      <c r="L755" s="32"/>
      <c r="M755" s="32">
        <v>4</v>
      </c>
      <c r="N755" s="18">
        <v>0.40744000000000002</v>
      </c>
      <c r="O755" s="19">
        <v>0</v>
      </c>
      <c r="P755" s="13">
        <v>0</v>
      </c>
      <c r="Q755" s="79">
        <v>10.5</v>
      </c>
      <c r="R755" s="72">
        <v>4</v>
      </c>
      <c r="S755" s="74" t="s">
        <v>212</v>
      </c>
    </row>
    <row r="756" spans="1:19">
      <c r="O756" s="6">
        <f>SUM(O729:O755)</f>
        <v>18</v>
      </c>
      <c r="R756" s="6">
        <f>SUM(R729:R755)</f>
        <v>22</v>
      </c>
    </row>
    <row r="759" spans="1:19">
      <c r="A759" s="48" t="s">
        <v>169</v>
      </c>
      <c r="B759" s="32">
        <v>16</v>
      </c>
      <c r="C759" s="32"/>
      <c r="D759" s="48" t="s">
        <v>19</v>
      </c>
      <c r="E759" s="48" t="s">
        <v>14</v>
      </c>
      <c r="F759" s="48" t="s">
        <v>30</v>
      </c>
      <c r="G759" s="11">
        <v>9.26</v>
      </c>
      <c r="H759" s="8">
        <v>13.2</v>
      </c>
      <c r="I759" s="7">
        <v>1</v>
      </c>
      <c r="J759" s="10">
        <v>0.12223199999999998</v>
      </c>
      <c r="K759" s="32" t="s">
        <v>104</v>
      </c>
      <c r="L759" s="32"/>
      <c r="M759" s="18">
        <v>0</v>
      </c>
      <c r="N759" s="19">
        <v>1</v>
      </c>
      <c r="O759" s="13">
        <v>0.12223199999999998</v>
      </c>
      <c r="P759" s="32"/>
      <c r="Q759" s="32"/>
      <c r="R759" s="32"/>
    </row>
    <row r="760" spans="1:19">
      <c r="A760" s="3" t="s">
        <v>79</v>
      </c>
      <c r="B760" s="3">
        <v>3</v>
      </c>
      <c r="C760" s="1"/>
      <c r="D760" s="12" t="s">
        <v>19</v>
      </c>
      <c r="E760" s="7" t="s">
        <v>14</v>
      </c>
      <c r="F760" s="7" t="s">
        <v>30</v>
      </c>
      <c r="G760" s="11">
        <v>9.26</v>
      </c>
      <c r="H760" s="8">
        <v>10</v>
      </c>
      <c r="I760" s="26">
        <v>1</v>
      </c>
      <c r="J760" s="10">
        <v>9.2599999999999988E-2</v>
      </c>
      <c r="K760" s="4"/>
      <c r="L760" s="17">
        <v>1</v>
      </c>
      <c r="M760" s="18">
        <v>9.2599999999999988E-2</v>
      </c>
      <c r="N760" s="19">
        <v>0</v>
      </c>
      <c r="O760" s="13">
        <v>0</v>
      </c>
      <c r="P760" s="73">
        <v>7.6</v>
      </c>
      <c r="Q760" s="74">
        <v>1</v>
      </c>
      <c r="R760" s="74" t="s">
        <v>212</v>
      </c>
    </row>
    <row r="761" spans="1:19">
      <c r="A761" s="48" t="s">
        <v>148</v>
      </c>
      <c r="B761" s="32">
        <v>52</v>
      </c>
      <c r="C761" s="32"/>
      <c r="D761" s="48" t="s">
        <v>19</v>
      </c>
      <c r="E761" s="48" t="s">
        <v>14</v>
      </c>
      <c r="F761" s="48" t="s">
        <v>30</v>
      </c>
      <c r="G761" s="11">
        <v>9.26</v>
      </c>
      <c r="H761" s="8">
        <v>9</v>
      </c>
      <c r="I761" s="7">
        <v>1</v>
      </c>
      <c r="J761" s="10">
        <v>8.3339999999999997E-2</v>
      </c>
      <c r="K761" s="32"/>
      <c r="L761" s="32">
        <v>1</v>
      </c>
      <c r="M761" s="18">
        <v>8.3339999999999997E-2</v>
      </c>
      <c r="N761" s="19">
        <v>0</v>
      </c>
      <c r="O761" s="13">
        <v>0</v>
      </c>
      <c r="P761" s="79">
        <v>7.6</v>
      </c>
      <c r="Q761" s="72">
        <v>1</v>
      </c>
      <c r="R761" s="74" t="s">
        <v>212</v>
      </c>
    </row>
    <row r="762" spans="1:19">
      <c r="A762" s="3"/>
      <c r="B762" s="3">
        <v>137</v>
      </c>
      <c r="C762" s="1"/>
      <c r="D762" s="12" t="s">
        <v>19</v>
      </c>
      <c r="E762" s="7" t="s">
        <v>14</v>
      </c>
      <c r="F762" s="7" t="s">
        <v>30</v>
      </c>
      <c r="G762" s="11">
        <v>9.26</v>
      </c>
      <c r="H762" s="8">
        <v>6.5</v>
      </c>
      <c r="I762" s="26">
        <v>2</v>
      </c>
      <c r="J762" s="10">
        <v>0.12038</v>
      </c>
      <c r="K762" s="4"/>
      <c r="L762" s="17"/>
      <c r="M762" s="18">
        <v>0</v>
      </c>
      <c r="N762" s="19">
        <v>2</v>
      </c>
      <c r="O762" s="13">
        <v>0.12038</v>
      </c>
      <c r="P762" s="9"/>
      <c r="Q762" s="2"/>
      <c r="R762" s="2"/>
    </row>
    <row r="763" spans="1:19">
      <c r="A763" s="3"/>
      <c r="B763" s="3">
        <v>145</v>
      </c>
      <c r="C763" s="1"/>
      <c r="D763" s="12" t="s">
        <v>19</v>
      </c>
      <c r="E763" s="7" t="s">
        <v>14</v>
      </c>
      <c r="F763" s="7" t="s">
        <v>30</v>
      </c>
      <c r="G763" s="11">
        <v>9.26</v>
      </c>
      <c r="H763" s="8">
        <v>6.9</v>
      </c>
      <c r="I763" s="26">
        <v>1</v>
      </c>
      <c r="J763" s="10">
        <v>6.3893999999999992E-2</v>
      </c>
      <c r="K763" s="4"/>
      <c r="L763" s="17"/>
      <c r="M763" s="18">
        <v>0</v>
      </c>
      <c r="N763" s="19">
        <v>1</v>
      </c>
      <c r="O763" s="13">
        <v>6.3893999999999992E-2</v>
      </c>
      <c r="P763" s="9"/>
      <c r="Q763" s="2"/>
      <c r="R763" s="2"/>
    </row>
    <row r="764" spans="1:19">
      <c r="A764" s="3"/>
      <c r="B764" s="3">
        <v>145</v>
      </c>
      <c r="C764" s="1"/>
      <c r="D764" s="12" t="s">
        <v>19</v>
      </c>
      <c r="E764" s="7" t="s">
        <v>14</v>
      </c>
      <c r="F764" s="7" t="s">
        <v>30</v>
      </c>
      <c r="G764" s="11">
        <v>9.26</v>
      </c>
      <c r="H764" s="8">
        <v>8</v>
      </c>
      <c r="I764" s="26">
        <v>4</v>
      </c>
      <c r="J764" s="10">
        <v>0.29631999999999997</v>
      </c>
      <c r="K764" s="4"/>
      <c r="L764" s="17">
        <v>4</v>
      </c>
      <c r="M764" s="18">
        <v>0.29631999999999997</v>
      </c>
      <c r="N764" s="19">
        <v>0</v>
      </c>
      <c r="O764" s="13">
        <v>0</v>
      </c>
      <c r="P764" s="73">
        <v>7.6</v>
      </c>
      <c r="Q764" s="74">
        <v>4</v>
      </c>
      <c r="R764" s="74" t="s">
        <v>212</v>
      </c>
    </row>
    <row r="765" spans="1:19">
      <c r="A765" s="3"/>
      <c r="B765" s="3">
        <v>145</v>
      </c>
      <c r="C765" s="1"/>
      <c r="D765" s="12" t="s">
        <v>19</v>
      </c>
      <c r="E765" s="7" t="s">
        <v>14</v>
      </c>
      <c r="F765" s="7" t="s">
        <v>30</v>
      </c>
      <c r="G765" s="11">
        <v>9.26</v>
      </c>
      <c r="H765" s="8">
        <v>10.25</v>
      </c>
      <c r="I765" s="26">
        <v>2</v>
      </c>
      <c r="J765" s="10">
        <v>0.18982999999999997</v>
      </c>
      <c r="K765" s="4"/>
      <c r="L765" s="17">
        <v>2</v>
      </c>
      <c r="M765" s="18">
        <v>0.18982999999999997</v>
      </c>
      <c r="N765" s="19">
        <v>0</v>
      </c>
      <c r="O765" s="13">
        <v>0</v>
      </c>
      <c r="P765" s="73">
        <v>7.6</v>
      </c>
      <c r="Q765" s="74">
        <v>2</v>
      </c>
      <c r="R765" s="74" t="s">
        <v>212</v>
      </c>
    </row>
    <row r="766" spans="1:19">
      <c r="A766" s="3"/>
      <c r="B766" s="3">
        <v>145</v>
      </c>
      <c r="C766" s="1"/>
      <c r="D766" s="12" t="s">
        <v>19</v>
      </c>
      <c r="E766" s="7" t="s">
        <v>14</v>
      </c>
      <c r="F766" s="7" t="s">
        <v>30</v>
      </c>
      <c r="G766" s="11">
        <v>9.26</v>
      </c>
      <c r="H766" s="8">
        <v>8.6999999999999993</v>
      </c>
      <c r="I766" s="26">
        <v>1</v>
      </c>
      <c r="J766" s="10">
        <v>8.0561999999999995E-2</v>
      </c>
      <c r="K766" s="4"/>
      <c r="L766" s="17">
        <v>1</v>
      </c>
      <c r="M766" s="18">
        <v>8.0561999999999995E-2</v>
      </c>
      <c r="N766" s="19">
        <v>0</v>
      </c>
      <c r="O766" s="13">
        <v>0</v>
      </c>
      <c r="P766" s="73">
        <v>7.6</v>
      </c>
      <c r="Q766" s="74">
        <v>1</v>
      </c>
      <c r="R766" s="74" t="s">
        <v>212</v>
      </c>
    </row>
    <row r="767" spans="1:19">
      <c r="A767" s="3"/>
      <c r="B767" s="3">
        <v>145</v>
      </c>
      <c r="C767" s="1"/>
      <c r="D767" s="12" t="s">
        <v>19</v>
      </c>
      <c r="E767" s="7" t="s">
        <v>14</v>
      </c>
      <c r="F767" s="7" t="s">
        <v>30</v>
      </c>
      <c r="G767" s="11">
        <v>9.26</v>
      </c>
      <c r="H767" s="8">
        <v>9.8000000000000007</v>
      </c>
      <c r="I767" s="26">
        <v>1</v>
      </c>
      <c r="J767" s="10">
        <v>9.0748000000000009E-2</v>
      </c>
      <c r="K767" s="4"/>
      <c r="L767" s="17">
        <v>1</v>
      </c>
      <c r="M767" s="18">
        <v>9.0748000000000009E-2</v>
      </c>
      <c r="N767" s="19">
        <v>0</v>
      </c>
      <c r="O767" s="13">
        <v>0</v>
      </c>
      <c r="P767" s="73">
        <v>7.6</v>
      </c>
      <c r="Q767" s="74">
        <v>1</v>
      </c>
      <c r="R767" s="74" t="s">
        <v>212</v>
      </c>
    </row>
    <row r="768" spans="1:19">
      <c r="A768" s="3"/>
      <c r="B768" s="3">
        <v>155</v>
      </c>
      <c r="C768" s="1"/>
      <c r="D768" s="12" t="s">
        <v>19</v>
      </c>
      <c r="E768" s="7" t="s">
        <v>14</v>
      </c>
      <c r="F768" s="7" t="s">
        <v>30</v>
      </c>
      <c r="G768" s="11">
        <v>9.26</v>
      </c>
      <c r="H768" s="8">
        <v>9</v>
      </c>
      <c r="I768" s="26">
        <v>1</v>
      </c>
      <c r="J768" s="10">
        <v>8.3339999999999997E-2</v>
      </c>
      <c r="K768" s="4"/>
      <c r="L768" s="17">
        <v>1</v>
      </c>
      <c r="M768" s="18">
        <v>8.3339999999999997E-2</v>
      </c>
      <c r="N768" s="19">
        <v>0</v>
      </c>
      <c r="O768" s="13">
        <v>0</v>
      </c>
      <c r="P768" s="73">
        <v>7.6</v>
      </c>
      <c r="Q768" s="74">
        <v>1</v>
      </c>
      <c r="R768" s="74" t="s">
        <v>212</v>
      </c>
    </row>
    <row r="769" spans="1:21">
      <c r="A769" s="3"/>
      <c r="B769" s="3">
        <v>155</v>
      </c>
      <c r="C769" s="1"/>
      <c r="D769" s="12" t="s">
        <v>19</v>
      </c>
      <c r="E769" s="7" t="s">
        <v>14</v>
      </c>
      <c r="F769" s="7" t="s">
        <v>30</v>
      </c>
      <c r="G769" s="11">
        <v>9.26</v>
      </c>
      <c r="H769" s="8">
        <v>9.5</v>
      </c>
      <c r="I769" s="26">
        <v>1</v>
      </c>
      <c r="J769" s="10">
        <v>8.7969999999999993E-2</v>
      </c>
      <c r="K769" s="4"/>
      <c r="L769" s="17">
        <v>1</v>
      </c>
      <c r="M769" s="18">
        <v>8.7969999999999993E-2</v>
      </c>
      <c r="N769" s="19">
        <v>0</v>
      </c>
      <c r="O769" s="13">
        <v>0</v>
      </c>
      <c r="P769" s="73">
        <v>7.6</v>
      </c>
      <c r="Q769" s="74">
        <v>1</v>
      </c>
      <c r="R769" s="74" t="s">
        <v>212</v>
      </c>
    </row>
    <row r="770" spans="1:21">
      <c r="A770" s="3"/>
      <c r="B770" s="3">
        <v>155</v>
      </c>
      <c r="C770" s="1"/>
      <c r="D770" s="12" t="s">
        <v>19</v>
      </c>
      <c r="E770" s="7" t="s">
        <v>14</v>
      </c>
      <c r="F770" s="7" t="s">
        <v>30</v>
      </c>
      <c r="G770" s="11">
        <v>9.26</v>
      </c>
      <c r="H770" s="8">
        <v>10</v>
      </c>
      <c r="I770" s="26">
        <v>1</v>
      </c>
      <c r="J770" s="10">
        <v>9.2599999999999988E-2</v>
      </c>
      <c r="K770" s="4"/>
      <c r="L770" s="17">
        <v>1</v>
      </c>
      <c r="M770" s="18">
        <v>9.2599999999999988E-2</v>
      </c>
      <c r="N770" s="19">
        <v>0</v>
      </c>
      <c r="O770" s="13">
        <v>0</v>
      </c>
      <c r="P770" s="73">
        <v>7.6</v>
      </c>
      <c r="Q770" s="74">
        <v>1</v>
      </c>
      <c r="R770" s="74" t="s">
        <v>212</v>
      </c>
    </row>
    <row r="771" spans="1:21">
      <c r="A771" s="3"/>
      <c r="B771" s="3">
        <v>156</v>
      </c>
      <c r="C771" s="1"/>
      <c r="D771" s="59" t="s">
        <v>19</v>
      </c>
      <c r="E771" s="60" t="s">
        <v>14</v>
      </c>
      <c r="F771" s="60" t="s">
        <v>30</v>
      </c>
      <c r="G771" s="61">
        <v>9.26</v>
      </c>
      <c r="H771" s="21">
        <v>6.5</v>
      </c>
      <c r="I771" s="22">
        <v>1</v>
      </c>
      <c r="J771" s="62">
        <v>6.019E-2</v>
      </c>
      <c r="K771" s="23" t="s">
        <v>97</v>
      </c>
      <c r="L771" s="22"/>
      <c r="M771" s="63">
        <v>0</v>
      </c>
      <c r="N771" s="64">
        <v>1</v>
      </c>
      <c r="O771" s="65">
        <v>6.019E-2</v>
      </c>
      <c r="P771" s="9"/>
      <c r="Q771" s="2"/>
      <c r="R771" s="2"/>
    </row>
    <row r="772" spans="1:21">
      <c r="A772" s="3"/>
      <c r="B772" s="3">
        <v>156</v>
      </c>
      <c r="C772" s="1"/>
      <c r="D772" s="59" t="s">
        <v>19</v>
      </c>
      <c r="E772" s="60" t="s">
        <v>14</v>
      </c>
      <c r="F772" s="60" t="s">
        <v>30</v>
      </c>
      <c r="G772" s="61">
        <v>9.26</v>
      </c>
      <c r="H772" s="21">
        <v>7</v>
      </c>
      <c r="I772" s="22">
        <v>1</v>
      </c>
      <c r="J772" s="62">
        <v>6.4819999999999989E-2</v>
      </c>
      <c r="K772" s="23" t="s">
        <v>97</v>
      </c>
      <c r="L772" s="22"/>
      <c r="M772" s="63">
        <v>0</v>
      </c>
      <c r="N772" s="64">
        <v>1</v>
      </c>
      <c r="O772" s="13">
        <v>6.4819999999999989E-2</v>
      </c>
      <c r="P772" s="9"/>
      <c r="Q772" s="2"/>
      <c r="R772" s="2"/>
    </row>
    <row r="773" spans="1:21">
      <c r="A773" s="3"/>
      <c r="B773" s="3">
        <v>231</v>
      </c>
      <c r="C773" s="1"/>
      <c r="D773" s="20" t="s">
        <v>19</v>
      </c>
      <c r="E773" s="7" t="s">
        <v>14</v>
      </c>
      <c r="F773" s="7" t="s">
        <v>30</v>
      </c>
      <c r="G773" s="11">
        <v>9.26</v>
      </c>
      <c r="H773" s="8">
        <v>10.25</v>
      </c>
      <c r="I773" s="26">
        <v>2</v>
      </c>
      <c r="J773" s="10">
        <v>0.18982999999999997</v>
      </c>
      <c r="K773" s="4"/>
      <c r="L773" s="17">
        <v>2</v>
      </c>
      <c r="M773" s="18">
        <v>0.18982999999999997</v>
      </c>
      <c r="N773" s="19">
        <v>0</v>
      </c>
      <c r="O773" s="13">
        <v>0</v>
      </c>
      <c r="P773" s="73">
        <v>7.6</v>
      </c>
      <c r="Q773" s="72">
        <v>2</v>
      </c>
      <c r="R773" s="74" t="s">
        <v>212</v>
      </c>
    </row>
    <row r="774" spans="1:21">
      <c r="A774" s="48" t="s">
        <v>148</v>
      </c>
      <c r="B774" s="32">
        <v>256</v>
      </c>
      <c r="C774" s="32"/>
      <c r="D774" s="48" t="s">
        <v>19</v>
      </c>
      <c r="E774" s="48" t="s">
        <v>14</v>
      </c>
      <c r="F774" s="48" t="s">
        <v>30</v>
      </c>
      <c r="G774" s="53">
        <v>9.26</v>
      </c>
      <c r="H774" s="8">
        <v>7.2</v>
      </c>
      <c r="I774" s="7">
        <v>1</v>
      </c>
      <c r="J774" s="10">
        <v>6.6671999999999995E-2</v>
      </c>
      <c r="K774" s="32"/>
      <c r="L774" s="32"/>
      <c r="M774" s="18">
        <v>0</v>
      </c>
      <c r="N774" s="19">
        <v>1</v>
      </c>
      <c r="O774" s="13">
        <v>6.6671999999999995E-2</v>
      </c>
      <c r="P774" s="55"/>
      <c r="Q774" s="32"/>
      <c r="R774" s="32"/>
    </row>
    <row r="775" spans="1:21">
      <c r="A775" s="48" t="s">
        <v>148</v>
      </c>
      <c r="B775" s="32">
        <v>256</v>
      </c>
      <c r="C775" s="32"/>
      <c r="D775" s="48" t="s">
        <v>19</v>
      </c>
      <c r="E775" s="48" t="s">
        <v>14</v>
      </c>
      <c r="F775" s="48" t="s">
        <v>30</v>
      </c>
      <c r="G775" s="53">
        <v>9.26</v>
      </c>
      <c r="H775" s="8">
        <v>7.75</v>
      </c>
      <c r="I775" s="7">
        <v>1</v>
      </c>
      <c r="J775" s="10">
        <v>7.1764999999999995E-2</v>
      </c>
      <c r="K775" s="32"/>
      <c r="L775" s="32">
        <v>1</v>
      </c>
      <c r="M775" s="18">
        <v>7.1764999999999995E-2</v>
      </c>
      <c r="N775" s="19">
        <v>0</v>
      </c>
      <c r="O775" s="13">
        <v>0</v>
      </c>
      <c r="P775" s="79">
        <v>7.6</v>
      </c>
      <c r="Q775" s="72">
        <v>1</v>
      </c>
      <c r="R775" s="74" t="s">
        <v>212</v>
      </c>
    </row>
    <row r="776" spans="1:21">
      <c r="A776" s="48" t="s">
        <v>148</v>
      </c>
      <c r="B776" s="32">
        <v>256</v>
      </c>
      <c r="C776" s="32"/>
      <c r="D776" s="48" t="s">
        <v>19</v>
      </c>
      <c r="E776" s="48" t="s">
        <v>14</v>
      </c>
      <c r="F776" s="48" t="s">
        <v>30</v>
      </c>
      <c r="G776" s="53">
        <v>9.26</v>
      </c>
      <c r="H776" s="8">
        <v>6.8</v>
      </c>
      <c r="I776" s="7">
        <v>1</v>
      </c>
      <c r="J776" s="10">
        <v>6.2967999999999996E-2</v>
      </c>
      <c r="K776" s="32"/>
      <c r="L776" s="32"/>
      <c r="M776" s="18">
        <v>0</v>
      </c>
      <c r="N776" s="19">
        <v>1</v>
      </c>
      <c r="O776" s="13">
        <v>6.2967999999999996E-2</v>
      </c>
      <c r="P776" s="32"/>
      <c r="Q776" s="32"/>
      <c r="R776" s="32"/>
    </row>
    <row r="777" spans="1:21">
      <c r="A777" s="48" t="s">
        <v>148</v>
      </c>
      <c r="B777" s="32">
        <v>282</v>
      </c>
      <c r="C777" s="32"/>
      <c r="D777" s="69" t="s">
        <v>19</v>
      </c>
      <c r="E777" s="69" t="s">
        <v>14</v>
      </c>
      <c r="F777" s="69" t="s">
        <v>30</v>
      </c>
      <c r="G777" s="61">
        <v>9.26</v>
      </c>
      <c r="H777" s="21">
        <v>12</v>
      </c>
      <c r="I777" s="60">
        <v>1</v>
      </c>
      <c r="J777" s="62">
        <v>0.11112000000000001</v>
      </c>
      <c r="K777" s="67" t="s">
        <v>46</v>
      </c>
      <c r="L777" s="32"/>
      <c r="M777" s="18">
        <v>0</v>
      </c>
      <c r="N777" s="19">
        <v>1</v>
      </c>
      <c r="O777" s="13">
        <v>0.11112000000000001</v>
      </c>
      <c r="P777" s="32"/>
      <c r="Q777" s="32"/>
      <c r="R777" s="32"/>
    </row>
    <row r="778" spans="1:21">
      <c r="N778" s="6">
        <f>SUM(N759:N777)</f>
        <v>9</v>
      </c>
      <c r="Q778" s="6">
        <f>SUM(Q759:Q777)</f>
        <v>16</v>
      </c>
    </row>
    <row r="782" spans="1:21">
      <c r="A782" s="42" t="s">
        <v>77</v>
      </c>
      <c r="B782" s="3" t="s">
        <v>68</v>
      </c>
      <c r="C782" s="3">
        <v>1</v>
      </c>
      <c r="D782" s="1"/>
      <c r="E782" s="20" t="s">
        <v>17</v>
      </c>
      <c r="F782" s="7" t="s">
        <v>15</v>
      </c>
      <c r="G782" s="7" t="s">
        <v>21</v>
      </c>
      <c r="H782" s="11">
        <v>6.97</v>
      </c>
      <c r="I782" s="57">
        <v>10</v>
      </c>
      <c r="J782" s="56">
        <v>14</v>
      </c>
      <c r="K782" s="10">
        <v>0.97580000000000011</v>
      </c>
      <c r="L782" s="4"/>
      <c r="M782" s="17">
        <v>14</v>
      </c>
      <c r="N782" s="18">
        <v>0.9758</v>
      </c>
      <c r="O782" s="19">
        <v>0</v>
      </c>
      <c r="P782" s="13">
        <v>0</v>
      </c>
      <c r="Q782" s="9"/>
      <c r="R782" s="2"/>
      <c r="S782" s="164">
        <v>9.5</v>
      </c>
      <c r="T782" s="77">
        <v>4</v>
      </c>
      <c r="U782" s="77" t="s">
        <v>268</v>
      </c>
    </row>
    <row r="783" spans="1:21">
      <c r="A783" s="42" t="s">
        <v>77</v>
      </c>
      <c r="B783" s="3" t="s">
        <v>68</v>
      </c>
      <c r="C783" s="3">
        <v>2</v>
      </c>
      <c r="D783" s="1"/>
      <c r="E783" s="20" t="s">
        <v>17</v>
      </c>
      <c r="F783" s="7" t="s">
        <v>15</v>
      </c>
      <c r="G783" s="7" t="s">
        <v>21</v>
      </c>
      <c r="H783" s="11">
        <v>6.97</v>
      </c>
      <c r="I783" s="57">
        <v>9.8000000000000007</v>
      </c>
      <c r="J783" s="56">
        <v>3</v>
      </c>
      <c r="K783" s="10">
        <v>0.20491800000000002</v>
      </c>
      <c r="L783" s="4"/>
      <c r="M783" s="17">
        <v>3</v>
      </c>
      <c r="N783" s="18">
        <v>0.20491800000000002</v>
      </c>
      <c r="O783" s="19">
        <v>0</v>
      </c>
      <c r="P783" s="13">
        <v>0</v>
      </c>
      <c r="Q783" s="9"/>
      <c r="R783" s="2"/>
      <c r="S783" s="164">
        <v>9.5</v>
      </c>
      <c r="T783" s="77">
        <v>3</v>
      </c>
      <c r="U783" s="77" t="s">
        <v>268</v>
      </c>
    </row>
    <row r="784" spans="1:21">
      <c r="A784" s="42" t="s">
        <v>77</v>
      </c>
      <c r="B784" s="3" t="s">
        <v>68</v>
      </c>
      <c r="C784" s="3">
        <v>3</v>
      </c>
      <c r="D784" s="1"/>
      <c r="E784" s="20" t="s">
        <v>17</v>
      </c>
      <c r="F784" s="7" t="s">
        <v>15</v>
      </c>
      <c r="G784" s="7" t="s">
        <v>21</v>
      </c>
      <c r="H784" s="11">
        <v>6.97</v>
      </c>
      <c r="I784" s="57">
        <v>8.6999999999999993</v>
      </c>
      <c r="J784" s="56">
        <v>1</v>
      </c>
      <c r="K784" s="10">
        <v>6.0638999999999998E-2</v>
      </c>
      <c r="L784" s="4"/>
      <c r="M784" s="17">
        <v>1</v>
      </c>
      <c r="N784" s="18">
        <v>6.0638999999999998E-2</v>
      </c>
      <c r="O784" s="19">
        <v>0</v>
      </c>
      <c r="P784" s="13">
        <v>0</v>
      </c>
      <c r="Q784" s="9"/>
      <c r="R784" s="2"/>
      <c r="S784" s="164">
        <v>8</v>
      </c>
      <c r="T784" s="77">
        <v>1</v>
      </c>
      <c r="U784" s="77" t="s">
        <v>268</v>
      </c>
    </row>
    <row r="785" spans="1:21">
      <c r="A785" s="42" t="s">
        <v>77</v>
      </c>
      <c r="B785" s="3" t="s">
        <v>68</v>
      </c>
      <c r="C785" s="3">
        <v>3</v>
      </c>
      <c r="D785" s="1"/>
      <c r="E785" s="20" t="s">
        <v>17</v>
      </c>
      <c r="F785" s="7" t="s">
        <v>15</v>
      </c>
      <c r="G785" s="7" t="s">
        <v>21</v>
      </c>
      <c r="H785" s="11">
        <v>6.97</v>
      </c>
      <c r="I785" s="57">
        <v>10.5</v>
      </c>
      <c r="J785" s="56">
        <v>1</v>
      </c>
      <c r="K785" s="10">
        <v>7.3185E-2</v>
      </c>
      <c r="L785" s="4"/>
      <c r="M785" s="17">
        <v>1</v>
      </c>
      <c r="N785" s="18">
        <v>7.3185E-2</v>
      </c>
      <c r="O785" s="19">
        <v>0</v>
      </c>
      <c r="P785" s="13">
        <v>0</v>
      </c>
      <c r="Q785" s="9"/>
      <c r="R785" s="2"/>
      <c r="S785" s="164">
        <v>10.5</v>
      </c>
      <c r="T785" s="77">
        <v>1</v>
      </c>
      <c r="U785" s="77" t="s">
        <v>268</v>
      </c>
    </row>
    <row r="786" spans="1:21">
      <c r="A786" s="42" t="s">
        <v>77</v>
      </c>
      <c r="B786" s="3" t="s">
        <v>68</v>
      </c>
      <c r="C786" s="3">
        <v>3</v>
      </c>
      <c r="D786" s="1"/>
      <c r="E786" s="20" t="s">
        <v>17</v>
      </c>
      <c r="F786" s="7" t="s">
        <v>15</v>
      </c>
      <c r="G786" s="7" t="s">
        <v>21</v>
      </c>
      <c r="H786" s="11">
        <v>6.97</v>
      </c>
      <c r="I786" s="57">
        <v>5.41</v>
      </c>
      <c r="J786" s="56">
        <v>8</v>
      </c>
      <c r="K786" s="10">
        <v>0.30166160000000003</v>
      </c>
      <c r="L786" s="4"/>
      <c r="M786" s="17">
        <v>8</v>
      </c>
      <c r="N786" s="18">
        <v>0.30166160000000003</v>
      </c>
      <c r="O786" s="19">
        <v>0</v>
      </c>
      <c r="P786" s="13">
        <v>0</v>
      </c>
      <c r="Q786" s="9"/>
      <c r="R786" s="2"/>
      <c r="S786" s="74"/>
      <c r="T786" s="77"/>
      <c r="U786" s="77"/>
    </row>
    <row r="787" spans="1:21">
      <c r="A787" s="42" t="s">
        <v>77</v>
      </c>
      <c r="B787" s="3" t="s">
        <v>68</v>
      </c>
      <c r="C787" s="3">
        <v>3</v>
      </c>
      <c r="D787" s="1"/>
      <c r="E787" s="20" t="s">
        <v>17</v>
      </c>
      <c r="F787" s="7" t="s">
        <v>15</v>
      </c>
      <c r="G787" s="7" t="s">
        <v>21</v>
      </c>
      <c r="H787" s="11">
        <v>6.97</v>
      </c>
      <c r="I787" s="57">
        <v>5.73</v>
      </c>
      <c r="J787" s="56">
        <v>8</v>
      </c>
      <c r="K787" s="10">
        <v>0.31950479999999998</v>
      </c>
      <c r="L787" s="4"/>
      <c r="M787" s="17">
        <v>8</v>
      </c>
      <c r="N787" s="18">
        <v>0.31950479999999998</v>
      </c>
      <c r="O787" s="19">
        <v>0</v>
      </c>
      <c r="P787" s="13">
        <v>0</v>
      </c>
      <c r="Q787" s="9"/>
      <c r="R787" s="2"/>
      <c r="S787" s="2"/>
    </row>
    <row r="788" spans="1:21">
      <c r="A788" s="42" t="s">
        <v>77</v>
      </c>
      <c r="B788" s="3" t="s">
        <v>68</v>
      </c>
      <c r="C788" s="3">
        <v>3</v>
      </c>
      <c r="D788" s="1"/>
      <c r="E788" s="20" t="s">
        <v>17</v>
      </c>
      <c r="F788" s="7" t="s">
        <v>15</v>
      </c>
      <c r="G788" s="7" t="s">
        <v>21</v>
      </c>
      <c r="H788" s="11">
        <v>6.97</v>
      </c>
      <c r="I788" s="57">
        <v>9</v>
      </c>
      <c r="J788" s="56">
        <v>2</v>
      </c>
      <c r="K788" s="10">
        <v>0.12545999999999999</v>
      </c>
      <c r="L788" s="4"/>
      <c r="M788" s="17">
        <v>2</v>
      </c>
      <c r="N788" s="18">
        <v>0.12545999999999999</v>
      </c>
      <c r="O788" s="19">
        <v>0</v>
      </c>
      <c r="P788" s="13">
        <v>0</v>
      </c>
      <c r="Q788" s="9">
        <v>8.25</v>
      </c>
      <c r="R788" s="2">
        <v>2</v>
      </c>
      <c r="S788" s="2"/>
    </row>
    <row r="789" spans="1:21">
      <c r="A789" s="42" t="s">
        <v>77</v>
      </c>
      <c r="B789" s="3" t="s">
        <v>68</v>
      </c>
      <c r="C789" s="3">
        <v>3</v>
      </c>
      <c r="D789" s="1"/>
      <c r="E789" s="20" t="s">
        <v>17</v>
      </c>
      <c r="F789" s="7" t="s">
        <v>15</v>
      </c>
      <c r="G789" s="7" t="s">
        <v>21</v>
      </c>
      <c r="H789" s="11">
        <v>6.97</v>
      </c>
      <c r="I789" s="57">
        <v>9.3000000000000007</v>
      </c>
      <c r="J789" s="56">
        <v>4</v>
      </c>
      <c r="K789" s="10">
        <v>0.25928400000000001</v>
      </c>
      <c r="L789" s="4"/>
      <c r="M789" s="17">
        <v>4</v>
      </c>
      <c r="N789" s="18">
        <v>0.25928400000000001</v>
      </c>
      <c r="O789" s="19">
        <v>0</v>
      </c>
      <c r="P789" s="13">
        <v>0</v>
      </c>
      <c r="Q789" s="9">
        <v>8.1</v>
      </c>
      <c r="R789" s="2">
        <v>4</v>
      </c>
      <c r="S789" s="2"/>
    </row>
    <row r="790" spans="1:21">
      <c r="A790" s="42" t="s">
        <v>77</v>
      </c>
      <c r="B790" s="3" t="s">
        <v>68</v>
      </c>
      <c r="C790" s="3">
        <v>3</v>
      </c>
      <c r="D790" s="1"/>
      <c r="E790" s="20" t="s">
        <v>17</v>
      </c>
      <c r="F790" s="7" t="s">
        <v>15</v>
      </c>
      <c r="G790" s="7" t="s">
        <v>21</v>
      </c>
      <c r="H790" s="11">
        <v>6.97</v>
      </c>
      <c r="I790" s="57">
        <v>9.5</v>
      </c>
      <c r="J790" s="56">
        <v>5</v>
      </c>
      <c r="K790" s="10">
        <v>0.33107500000000006</v>
      </c>
      <c r="L790" s="4"/>
      <c r="M790" s="17">
        <v>5</v>
      </c>
      <c r="N790" s="18">
        <v>0.33107500000000001</v>
      </c>
      <c r="O790" s="19">
        <v>0</v>
      </c>
      <c r="P790" s="13">
        <v>0</v>
      </c>
      <c r="Q790" s="9">
        <v>9.15</v>
      </c>
      <c r="R790" s="2">
        <v>2</v>
      </c>
      <c r="S790" s="165">
        <v>9.5</v>
      </c>
      <c r="T790" s="77">
        <v>3</v>
      </c>
      <c r="U790" s="77" t="s">
        <v>268</v>
      </c>
    </row>
    <row r="791" spans="1:21">
      <c r="A791" s="42" t="s">
        <v>77</v>
      </c>
      <c r="B791" s="3" t="s">
        <v>68</v>
      </c>
      <c r="C791" s="3">
        <v>3</v>
      </c>
      <c r="D791" s="1"/>
      <c r="E791" s="20" t="s">
        <v>17</v>
      </c>
      <c r="F791" s="7" t="s">
        <v>15</v>
      </c>
      <c r="G791" s="7" t="s">
        <v>21</v>
      </c>
      <c r="H791" s="11">
        <v>6.97</v>
      </c>
      <c r="I791" s="57">
        <v>9.6999999999999993</v>
      </c>
      <c r="J791" s="56">
        <v>10</v>
      </c>
      <c r="K791" s="10">
        <v>0.67608999999999997</v>
      </c>
      <c r="L791" s="4"/>
      <c r="M791" s="17">
        <v>10</v>
      </c>
      <c r="N791" s="18">
        <v>0.67609000000000008</v>
      </c>
      <c r="O791" s="19">
        <v>0</v>
      </c>
      <c r="P791" s="13">
        <v>0</v>
      </c>
      <c r="Q791" s="9"/>
      <c r="R791" s="2"/>
      <c r="S791" s="165">
        <v>9.5</v>
      </c>
      <c r="T791" s="77">
        <v>10</v>
      </c>
      <c r="U791" s="77" t="s">
        <v>268</v>
      </c>
    </row>
    <row r="792" spans="1:21">
      <c r="A792" s="42" t="s">
        <v>77</v>
      </c>
      <c r="B792" s="3" t="s">
        <v>68</v>
      </c>
      <c r="C792" s="3">
        <v>3</v>
      </c>
      <c r="D792" s="1"/>
      <c r="E792" s="20" t="s">
        <v>17</v>
      </c>
      <c r="F792" s="7" t="s">
        <v>15</v>
      </c>
      <c r="G792" s="7" t="s">
        <v>21</v>
      </c>
      <c r="H792" s="11">
        <v>6.97</v>
      </c>
      <c r="I792" s="57">
        <v>2.7</v>
      </c>
      <c r="J792" s="56">
        <v>1</v>
      </c>
      <c r="K792" s="10">
        <v>1.8818999999999999E-2</v>
      </c>
      <c r="L792" s="4"/>
      <c r="M792" s="17">
        <v>1</v>
      </c>
      <c r="N792" s="18">
        <v>1.8818999999999999E-2</v>
      </c>
      <c r="O792" s="19">
        <v>0</v>
      </c>
      <c r="P792" s="13">
        <v>0</v>
      </c>
      <c r="Q792" s="9" t="s">
        <v>226</v>
      </c>
      <c r="R792" s="2"/>
      <c r="S792" s="13"/>
    </row>
    <row r="793" spans="1:21">
      <c r="A793" s="42" t="s">
        <v>77</v>
      </c>
      <c r="B793" s="3" t="s">
        <v>68</v>
      </c>
      <c r="C793" s="3">
        <v>3</v>
      </c>
      <c r="D793" s="1"/>
      <c r="E793" s="20" t="s">
        <v>17</v>
      </c>
      <c r="F793" s="7" t="s">
        <v>15</v>
      </c>
      <c r="G793" s="7" t="s">
        <v>21</v>
      </c>
      <c r="H793" s="11">
        <v>6.97</v>
      </c>
      <c r="I793" s="57">
        <v>3.1</v>
      </c>
      <c r="J793" s="56">
        <v>2</v>
      </c>
      <c r="K793" s="10">
        <v>4.3213999999999995E-2</v>
      </c>
      <c r="L793" s="4"/>
      <c r="M793" s="17">
        <v>2</v>
      </c>
      <c r="N793" s="18">
        <v>4.3213999999999995E-2</v>
      </c>
      <c r="O793" s="19">
        <v>0</v>
      </c>
      <c r="P793" s="13">
        <v>0</v>
      </c>
      <c r="Q793" s="9" t="s">
        <v>226</v>
      </c>
      <c r="R793" s="2"/>
      <c r="S793" s="13"/>
    </row>
    <row r="794" spans="1:21">
      <c r="A794" s="42" t="s">
        <v>77</v>
      </c>
      <c r="B794" s="3" t="s">
        <v>68</v>
      </c>
      <c r="C794" s="3">
        <v>3</v>
      </c>
      <c r="D794" s="1"/>
      <c r="E794" s="20" t="s">
        <v>17</v>
      </c>
      <c r="F794" s="7" t="s">
        <v>15</v>
      </c>
      <c r="G794" s="7" t="s">
        <v>21</v>
      </c>
      <c r="H794" s="11">
        <v>6.97</v>
      </c>
      <c r="I794" s="57">
        <v>3.5</v>
      </c>
      <c r="J794" s="56">
        <v>5</v>
      </c>
      <c r="K794" s="10">
        <v>0.121975</v>
      </c>
      <c r="L794" s="4"/>
      <c r="M794" s="17">
        <v>5</v>
      </c>
      <c r="N794" s="18">
        <v>0.121975</v>
      </c>
      <c r="O794" s="19">
        <v>0</v>
      </c>
      <c r="P794" s="13">
        <v>0</v>
      </c>
      <c r="Q794" s="9" t="s">
        <v>226</v>
      </c>
      <c r="R794" s="2"/>
      <c r="S794" s="13"/>
    </row>
    <row r="795" spans="1:21">
      <c r="A795" s="42" t="s">
        <v>77</v>
      </c>
      <c r="B795" s="3" t="s">
        <v>68</v>
      </c>
      <c r="C795" s="3">
        <v>3</v>
      </c>
      <c r="D795" s="1"/>
      <c r="E795" s="20" t="s">
        <v>17</v>
      </c>
      <c r="F795" s="7" t="s">
        <v>15</v>
      </c>
      <c r="G795" s="7" t="s">
        <v>21</v>
      </c>
      <c r="H795" s="11">
        <v>6.97</v>
      </c>
      <c r="I795" s="57">
        <v>3.8</v>
      </c>
      <c r="J795" s="56">
        <v>7</v>
      </c>
      <c r="K795" s="10">
        <v>0.18540199999999998</v>
      </c>
      <c r="L795" s="4"/>
      <c r="M795" s="17">
        <v>7</v>
      </c>
      <c r="N795" s="18">
        <v>0.18540199999999998</v>
      </c>
      <c r="O795" s="19">
        <v>0</v>
      </c>
      <c r="P795" s="13">
        <v>0</v>
      </c>
      <c r="Q795" s="9" t="s">
        <v>226</v>
      </c>
      <c r="R795" s="2"/>
      <c r="S795" s="13"/>
    </row>
    <row r="796" spans="1:21">
      <c r="A796" s="42" t="s">
        <v>77</v>
      </c>
      <c r="B796" s="3" t="s">
        <v>68</v>
      </c>
      <c r="C796" s="3">
        <v>3</v>
      </c>
      <c r="D796" s="1"/>
      <c r="E796" s="20" t="s">
        <v>17</v>
      </c>
      <c r="F796" s="7" t="s">
        <v>15</v>
      </c>
      <c r="G796" s="7" t="s">
        <v>21</v>
      </c>
      <c r="H796" s="11">
        <v>6.97</v>
      </c>
      <c r="I796" s="57">
        <v>4.0999999999999996</v>
      </c>
      <c r="J796" s="56">
        <v>1</v>
      </c>
      <c r="K796" s="10">
        <v>2.8576999999999998E-2</v>
      </c>
      <c r="L796" s="4"/>
      <c r="M796" s="17">
        <v>1</v>
      </c>
      <c r="N796" s="18">
        <v>2.8576999999999998E-2</v>
      </c>
      <c r="O796" s="19">
        <v>0</v>
      </c>
      <c r="P796" s="13">
        <v>0</v>
      </c>
      <c r="Q796" s="9" t="s">
        <v>226</v>
      </c>
      <c r="R796" s="2"/>
      <c r="S796" s="13"/>
    </row>
    <row r="797" spans="1:21">
      <c r="A797" s="42" t="s">
        <v>77</v>
      </c>
      <c r="B797" s="3" t="s">
        <v>68</v>
      </c>
      <c r="C797" s="3">
        <v>407</v>
      </c>
      <c r="D797" s="1"/>
      <c r="E797" s="20" t="s">
        <v>17</v>
      </c>
      <c r="F797" s="7" t="s">
        <v>15</v>
      </c>
      <c r="G797" s="7" t="s">
        <v>21</v>
      </c>
      <c r="H797" s="11">
        <v>6.97</v>
      </c>
      <c r="I797" s="8">
        <v>8.25</v>
      </c>
      <c r="J797" s="26">
        <v>36</v>
      </c>
      <c r="K797" s="10">
        <v>2.07009</v>
      </c>
      <c r="L797" s="4"/>
      <c r="M797" s="17">
        <v>36</v>
      </c>
      <c r="N797" s="18">
        <v>2.07009</v>
      </c>
      <c r="O797" s="19">
        <v>0</v>
      </c>
      <c r="P797" s="13">
        <v>0</v>
      </c>
      <c r="Q797" s="9"/>
      <c r="R797" s="2"/>
      <c r="S797" s="13"/>
    </row>
    <row r="798" spans="1:21">
      <c r="A798" s="42" t="s">
        <v>77</v>
      </c>
      <c r="B798" s="3" t="s">
        <v>68</v>
      </c>
      <c r="C798" s="3">
        <v>408</v>
      </c>
      <c r="D798" s="1"/>
      <c r="E798" s="20" t="s">
        <v>17</v>
      </c>
      <c r="F798" s="7" t="s">
        <v>15</v>
      </c>
      <c r="G798" s="7" t="s">
        <v>21</v>
      </c>
      <c r="H798" s="11">
        <v>6.97</v>
      </c>
      <c r="I798" s="8">
        <v>6.5</v>
      </c>
      <c r="J798" s="26">
        <v>11</v>
      </c>
      <c r="K798" s="10">
        <v>0.49835499999999999</v>
      </c>
      <c r="L798" s="4"/>
      <c r="M798" s="17">
        <v>11</v>
      </c>
      <c r="N798" s="18">
        <v>0.49835499999999994</v>
      </c>
      <c r="O798" s="19">
        <v>0</v>
      </c>
      <c r="P798" s="13">
        <v>0</v>
      </c>
      <c r="Q798" s="9"/>
      <c r="R798" s="2"/>
      <c r="S798" s="13"/>
    </row>
    <row r="799" spans="1:21">
      <c r="A799" s="42" t="s">
        <v>77</v>
      </c>
      <c r="B799" s="3" t="s">
        <v>68</v>
      </c>
      <c r="C799" s="3">
        <v>408</v>
      </c>
      <c r="D799" s="1"/>
      <c r="E799" s="20" t="s">
        <v>17</v>
      </c>
      <c r="F799" s="7" t="s">
        <v>15</v>
      </c>
      <c r="G799" s="7" t="s">
        <v>21</v>
      </c>
      <c r="H799" s="11">
        <v>6.97</v>
      </c>
      <c r="I799" s="8">
        <v>8.25</v>
      </c>
      <c r="J799" s="26">
        <v>17</v>
      </c>
      <c r="K799" s="10">
        <v>0.97754249999999998</v>
      </c>
      <c r="L799" s="4"/>
      <c r="M799" s="17">
        <v>17</v>
      </c>
      <c r="N799" s="18">
        <v>0.97754249999999998</v>
      </c>
      <c r="O799" s="19">
        <v>0</v>
      </c>
      <c r="P799" s="13">
        <v>0</v>
      </c>
      <c r="Q799" s="9"/>
      <c r="R799" s="2"/>
      <c r="S799" s="13"/>
    </row>
    <row r="800" spans="1:21">
      <c r="A800" s="42" t="s">
        <v>77</v>
      </c>
      <c r="B800" s="3" t="s">
        <v>68</v>
      </c>
      <c r="C800" s="3">
        <v>411</v>
      </c>
      <c r="D800" s="1"/>
      <c r="E800" s="20" t="s">
        <v>17</v>
      </c>
      <c r="F800" s="7" t="s">
        <v>15</v>
      </c>
      <c r="G800" s="7" t="s">
        <v>21</v>
      </c>
      <c r="H800" s="11">
        <v>6.97</v>
      </c>
      <c r="I800" s="8">
        <v>9.15</v>
      </c>
      <c r="J800" s="26">
        <v>7</v>
      </c>
      <c r="K800" s="10">
        <v>0.44642850000000001</v>
      </c>
      <c r="L800" s="4"/>
      <c r="M800" s="17">
        <v>7</v>
      </c>
      <c r="N800" s="18">
        <v>0.44642850000000001</v>
      </c>
      <c r="O800" s="19">
        <v>0</v>
      </c>
      <c r="P800" s="13">
        <v>0</v>
      </c>
      <c r="Q800" s="34"/>
      <c r="R800" s="35"/>
      <c r="S800" s="53"/>
    </row>
    <row r="801" spans="1:21">
      <c r="A801" s="42" t="s">
        <v>77</v>
      </c>
      <c r="B801" s="3" t="s">
        <v>68</v>
      </c>
      <c r="C801" s="3">
        <v>411</v>
      </c>
      <c r="D801" s="1"/>
      <c r="E801" s="20" t="s">
        <v>17</v>
      </c>
      <c r="F801" s="7" t="s">
        <v>15</v>
      </c>
      <c r="G801" s="7" t="s">
        <v>21</v>
      </c>
      <c r="H801" s="11">
        <v>6.97</v>
      </c>
      <c r="I801" s="8">
        <v>8.1</v>
      </c>
      <c r="J801" s="26">
        <v>2</v>
      </c>
      <c r="K801" s="10">
        <v>0.11291399999999999</v>
      </c>
      <c r="L801" s="4"/>
      <c r="M801" s="17">
        <v>2</v>
      </c>
      <c r="N801" s="18">
        <v>0.11291399999999999</v>
      </c>
      <c r="O801" s="19">
        <v>0</v>
      </c>
      <c r="P801" s="13">
        <v>0</v>
      </c>
      <c r="Q801" s="9"/>
      <c r="R801" s="2"/>
      <c r="S801" s="13"/>
    </row>
    <row r="802" spans="1:21">
      <c r="A802" s="42" t="s">
        <v>77</v>
      </c>
      <c r="B802" s="3" t="s">
        <v>68</v>
      </c>
      <c r="C802" s="3">
        <v>412</v>
      </c>
      <c r="D802" s="1"/>
      <c r="E802" s="20" t="s">
        <v>17</v>
      </c>
      <c r="F802" s="7" t="s">
        <v>15</v>
      </c>
      <c r="G802" s="7" t="s">
        <v>21</v>
      </c>
      <c r="H802" s="11">
        <v>6.97</v>
      </c>
      <c r="I802" s="8">
        <v>10</v>
      </c>
      <c r="J802" s="26">
        <v>7</v>
      </c>
      <c r="K802" s="10">
        <v>0.48790000000000006</v>
      </c>
      <c r="L802" s="4"/>
      <c r="M802" s="17">
        <v>7</v>
      </c>
      <c r="N802" s="18">
        <v>0.4879</v>
      </c>
      <c r="O802" s="19">
        <v>0</v>
      </c>
      <c r="P802" s="13">
        <v>0</v>
      </c>
      <c r="Q802" s="34"/>
      <c r="R802" s="35"/>
      <c r="S802" s="53"/>
    </row>
    <row r="803" spans="1:21">
      <c r="A803" s="42" t="s">
        <v>77</v>
      </c>
      <c r="B803" s="3" t="s">
        <v>68</v>
      </c>
      <c r="C803" s="3">
        <v>412</v>
      </c>
      <c r="D803" s="1"/>
      <c r="E803" s="20" t="s">
        <v>17</v>
      </c>
      <c r="F803" s="7" t="s">
        <v>15</v>
      </c>
      <c r="G803" s="7" t="s">
        <v>21</v>
      </c>
      <c r="H803" s="11">
        <v>6.97</v>
      </c>
      <c r="I803" s="8">
        <v>11</v>
      </c>
      <c r="J803" s="26">
        <v>20</v>
      </c>
      <c r="K803" s="10">
        <v>1.5334000000000001</v>
      </c>
      <c r="L803" s="4"/>
      <c r="M803" s="17">
        <v>20</v>
      </c>
      <c r="N803" s="18">
        <v>1.5333999999999999</v>
      </c>
      <c r="O803" s="19">
        <v>0</v>
      </c>
      <c r="P803" s="13">
        <v>0</v>
      </c>
      <c r="Q803" s="34"/>
      <c r="R803" s="35"/>
      <c r="S803" s="53"/>
    </row>
    <row r="804" spans="1:21">
      <c r="A804" s="42" t="s">
        <v>77</v>
      </c>
      <c r="B804" s="3" t="s">
        <v>68</v>
      </c>
      <c r="C804" s="3">
        <v>413</v>
      </c>
      <c r="D804" s="1"/>
      <c r="E804" s="20" t="s">
        <v>17</v>
      </c>
      <c r="F804" s="7" t="s">
        <v>15</v>
      </c>
      <c r="G804" s="7" t="s">
        <v>21</v>
      </c>
      <c r="H804" s="11">
        <v>6.97</v>
      </c>
      <c r="I804" s="8">
        <v>7.5</v>
      </c>
      <c r="J804" s="26">
        <v>3</v>
      </c>
      <c r="K804" s="10">
        <v>0.15682499999999999</v>
      </c>
      <c r="L804" s="4"/>
      <c r="M804" s="17">
        <v>1</v>
      </c>
      <c r="N804" s="18">
        <v>5.2275000000000002E-2</v>
      </c>
      <c r="O804" s="19">
        <v>2</v>
      </c>
      <c r="P804" s="13">
        <v>0.10455</v>
      </c>
      <c r="Q804" s="34">
        <v>6.5</v>
      </c>
      <c r="R804" s="35">
        <v>1</v>
      </c>
      <c r="S804" s="53"/>
    </row>
    <row r="805" spans="1:21">
      <c r="A805" s="42" t="s">
        <v>77</v>
      </c>
      <c r="B805" s="3" t="s">
        <v>68</v>
      </c>
      <c r="C805" s="3">
        <v>413</v>
      </c>
      <c r="D805" s="1"/>
      <c r="E805" s="20" t="s">
        <v>17</v>
      </c>
      <c r="F805" s="7" t="s">
        <v>15</v>
      </c>
      <c r="G805" s="7" t="s">
        <v>21</v>
      </c>
      <c r="H805" s="11">
        <v>6.97</v>
      </c>
      <c r="I805" s="8">
        <v>11.5</v>
      </c>
      <c r="J805" s="26">
        <v>1</v>
      </c>
      <c r="K805" s="10">
        <v>8.0155000000000004E-2</v>
      </c>
      <c r="L805" s="4"/>
      <c r="M805" s="17">
        <v>1</v>
      </c>
      <c r="N805" s="18">
        <v>8.0155000000000004E-2</v>
      </c>
      <c r="O805" s="19">
        <v>0</v>
      </c>
      <c r="P805" s="13">
        <v>0</v>
      </c>
      <c r="Q805" s="34">
        <v>11</v>
      </c>
      <c r="R805" s="35">
        <v>1</v>
      </c>
      <c r="S805" s="53"/>
    </row>
    <row r="806" spans="1:21">
      <c r="A806" s="42" t="s">
        <v>77</v>
      </c>
      <c r="B806" s="3" t="s">
        <v>68</v>
      </c>
      <c r="C806" s="3">
        <v>413</v>
      </c>
      <c r="D806" s="1"/>
      <c r="E806" s="20" t="s">
        <v>17</v>
      </c>
      <c r="F806" s="7" t="s">
        <v>15</v>
      </c>
      <c r="G806" s="7" t="s">
        <v>21</v>
      </c>
      <c r="H806" s="11">
        <v>6.97</v>
      </c>
      <c r="I806" s="8">
        <v>12</v>
      </c>
      <c r="J806" s="26">
        <v>1</v>
      </c>
      <c r="K806" s="10">
        <v>8.3640000000000006E-2</v>
      </c>
      <c r="L806" s="4"/>
      <c r="M806" s="17">
        <v>1</v>
      </c>
      <c r="N806" s="18">
        <v>8.3640000000000006E-2</v>
      </c>
      <c r="O806" s="19">
        <v>0</v>
      </c>
      <c r="P806" s="13">
        <v>0</v>
      </c>
      <c r="Q806" s="34">
        <v>11</v>
      </c>
      <c r="R806" s="35">
        <v>1</v>
      </c>
      <c r="S806" s="53"/>
    </row>
    <row r="807" spans="1:21">
      <c r="A807" s="42" t="s">
        <v>77</v>
      </c>
      <c r="B807" s="3" t="s">
        <v>68</v>
      </c>
      <c r="C807" s="3">
        <v>413</v>
      </c>
      <c r="D807" s="1"/>
      <c r="E807" s="20" t="s">
        <v>17</v>
      </c>
      <c r="F807" s="7" t="s">
        <v>15</v>
      </c>
      <c r="G807" s="7" t="s">
        <v>21</v>
      </c>
      <c r="H807" s="11">
        <v>6.97</v>
      </c>
      <c r="I807" s="8">
        <v>12.5</v>
      </c>
      <c r="J807" s="26">
        <v>1</v>
      </c>
      <c r="K807" s="10">
        <v>8.7124999999999994E-2</v>
      </c>
      <c r="L807" s="4"/>
      <c r="M807" s="17">
        <v>1</v>
      </c>
      <c r="N807" s="18">
        <v>8.7124999999999994E-2</v>
      </c>
      <c r="O807" s="19">
        <v>0</v>
      </c>
      <c r="P807" s="13">
        <v>0</v>
      </c>
      <c r="Q807" s="34">
        <v>11</v>
      </c>
      <c r="R807" s="2">
        <v>1</v>
      </c>
      <c r="S807" s="13"/>
    </row>
    <row r="808" spans="1:21">
      <c r="A808" s="42" t="s">
        <v>77</v>
      </c>
      <c r="B808" s="3" t="s">
        <v>68</v>
      </c>
      <c r="C808" s="3">
        <v>414</v>
      </c>
      <c r="D808" s="1"/>
      <c r="E808" s="20" t="s">
        <v>17</v>
      </c>
      <c r="F808" s="7" t="s">
        <v>15</v>
      </c>
      <c r="G808" s="7" t="s">
        <v>21</v>
      </c>
      <c r="H808" s="11">
        <v>6.97</v>
      </c>
      <c r="I808" s="8">
        <v>12</v>
      </c>
      <c r="J808" s="26">
        <v>37</v>
      </c>
      <c r="K808" s="10">
        <v>3.0946799999999999</v>
      </c>
      <c r="L808" s="4"/>
      <c r="M808" s="17">
        <v>37</v>
      </c>
      <c r="N808" s="18">
        <v>3.0946799999999999</v>
      </c>
      <c r="O808" s="19">
        <v>0</v>
      </c>
      <c r="P808" s="13">
        <v>0</v>
      </c>
      <c r="Q808" s="9"/>
      <c r="R808" s="2"/>
      <c r="S808" s="13"/>
    </row>
    <row r="809" spans="1:21">
      <c r="A809" s="42" t="s">
        <v>77</v>
      </c>
      <c r="B809" s="3" t="s">
        <v>68</v>
      </c>
      <c r="C809" s="3">
        <v>415</v>
      </c>
      <c r="D809" s="1"/>
      <c r="E809" s="20" t="s">
        <v>17</v>
      </c>
      <c r="F809" s="7" t="s">
        <v>15</v>
      </c>
      <c r="G809" s="7" t="s">
        <v>21</v>
      </c>
      <c r="H809" s="11">
        <v>6.97</v>
      </c>
      <c r="I809" s="8">
        <v>12</v>
      </c>
      <c r="J809" s="26">
        <v>32</v>
      </c>
      <c r="K809" s="10">
        <v>2.6764800000000002</v>
      </c>
      <c r="L809" s="4"/>
      <c r="M809" s="17">
        <v>32</v>
      </c>
      <c r="N809" s="18">
        <v>2.6764800000000002</v>
      </c>
      <c r="O809" s="19">
        <v>0</v>
      </c>
      <c r="P809" s="13">
        <v>0</v>
      </c>
      <c r="Q809" s="9"/>
      <c r="R809" s="2"/>
      <c r="S809" s="13"/>
    </row>
    <row r="810" spans="1:21">
      <c r="A810" s="42" t="s">
        <v>77</v>
      </c>
      <c r="B810" s="3" t="s">
        <v>68</v>
      </c>
      <c r="C810" s="3">
        <v>427</v>
      </c>
      <c r="D810" s="1"/>
      <c r="E810" s="20" t="s">
        <v>17</v>
      </c>
      <c r="F810" s="7" t="s">
        <v>15</v>
      </c>
      <c r="G810" s="7" t="s">
        <v>21</v>
      </c>
      <c r="H810" s="11">
        <v>6.97</v>
      </c>
      <c r="I810" s="8">
        <v>8.25</v>
      </c>
      <c r="J810" s="26">
        <v>22</v>
      </c>
      <c r="K810" s="10">
        <v>1.2650549999999998</v>
      </c>
      <c r="L810" s="4"/>
      <c r="M810" s="17">
        <v>22</v>
      </c>
      <c r="N810" s="18">
        <v>1.265055</v>
      </c>
      <c r="O810" s="19">
        <v>0</v>
      </c>
      <c r="P810" s="13">
        <v>0</v>
      </c>
      <c r="Q810" s="9"/>
      <c r="R810" s="2"/>
      <c r="S810" s="13"/>
    </row>
    <row r="811" spans="1:21">
      <c r="A811" s="42" t="s">
        <v>77</v>
      </c>
      <c r="B811" s="3" t="s">
        <v>68</v>
      </c>
      <c r="C811" s="3">
        <v>432</v>
      </c>
      <c r="D811" s="1"/>
      <c r="E811" s="20" t="s">
        <v>17</v>
      </c>
      <c r="F811" s="7" t="s">
        <v>15</v>
      </c>
      <c r="G811" s="7" t="s">
        <v>21</v>
      </c>
      <c r="H811" s="11">
        <v>6.97</v>
      </c>
      <c r="I811" s="8">
        <v>12</v>
      </c>
      <c r="J811" s="26">
        <v>35</v>
      </c>
      <c r="K811" s="10">
        <v>2.9274</v>
      </c>
      <c r="L811" s="4"/>
      <c r="M811" s="17">
        <v>35</v>
      </c>
      <c r="N811" s="18">
        <v>2.9274</v>
      </c>
      <c r="O811" s="19">
        <v>0</v>
      </c>
      <c r="P811" s="13">
        <v>0</v>
      </c>
      <c r="Q811" s="9"/>
      <c r="R811" s="2"/>
      <c r="S811" s="13"/>
    </row>
    <row r="812" spans="1:21">
      <c r="A812" s="42" t="s">
        <v>77</v>
      </c>
      <c r="B812" s="3" t="s">
        <v>68</v>
      </c>
      <c r="C812" s="3">
        <v>433</v>
      </c>
      <c r="D812" s="1"/>
      <c r="E812" s="20" t="s">
        <v>17</v>
      </c>
      <c r="F812" s="7" t="s">
        <v>15</v>
      </c>
      <c r="G812" s="7" t="s">
        <v>21</v>
      </c>
      <c r="H812" s="11">
        <v>6.97</v>
      </c>
      <c r="I812" s="8">
        <v>12</v>
      </c>
      <c r="J812" s="26">
        <v>22</v>
      </c>
      <c r="K812" s="10">
        <v>1.8400799999999999</v>
      </c>
      <c r="L812" s="4"/>
      <c r="M812" s="17">
        <v>22</v>
      </c>
      <c r="N812" s="18">
        <v>1.8400799999999999</v>
      </c>
      <c r="O812" s="19">
        <v>0</v>
      </c>
      <c r="P812" s="13">
        <v>0</v>
      </c>
      <c r="Q812" s="9"/>
      <c r="R812" s="2"/>
      <c r="S812" s="13"/>
    </row>
    <row r="813" spans="1:21">
      <c r="A813" s="42" t="s">
        <v>77</v>
      </c>
      <c r="B813" s="3" t="s">
        <v>68</v>
      </c>
      <c r="C813" s="3">
        <v>434</v>
      </c>
      <c r="D813" s="1"/>
      <c r="E813" s="20" t="s">
        <v>17</v>
      </c>
      <c r="F813" s="7" t="s">
        <v>15</v>
      </c>
      <c r="G813" s="7" t="s">
        <v>21</v>
      </c>
      <c r="H813" s="11">
        <v>6.97</v>
      </c>
      <c r="I813" s="8">
        <v>12</v>
      </c>
      <c r="J813" s="26">
        <v>7</v>
      </c>
      <c r="K813" s="10">
        <v>0.58548</v>
      </c>
      <c r="L813" s="4"/>
      <c r="M813" s="17">
        <v>7</v>
      </c>
      <c r="N813" s="18">
        <v>0.58548</v>
      </c>
      <c r="O813" s="19">
        <v>0</v>
      </c>
      <c r="P813" s="13">
        <v>0</v>
      </c>
      <c r="Q813" s="9">
        <v>11</v>
      </c>
      <c r="R813" s="2">
        <v>4</v>
      </c>
      <c r="S813" s="13"/>
    </row>
    <row r="814" spans="1:21">
      <c r="A814" s="42" t="s">
        <v>77</v>
      </c>
      <c r="B814" s="3" t="s">
        <v>68</v>
      </c>
      <c r="C814" s="3">
        <v>442</v>
      </c>
      <c r="D814" s="1"/>
      <c r="E814" s="20" t="s">
        <v>17</v>
      </c>
      <c r="F814" s="7" t="s">
        <v>15</v>
      </c>
      <c r="G814" s="7" t="s">
        <v>21</v>
      </c>
      <c r="H814" s="11">
        <v>6.97</v>
      </c>
      <c r="I814" s="8">
        <v>8</v>
      </c>
      <c r="J814" s="26">
        <v>1</v>
      </c>
      <c r="K814" s="10">
        <v>5.5759999999999997E-2</v>
      </c>
      <c r="L814" s="4"/>
      <c r="M814" s="17">
        <v>1</v>
      </c>
      <c r="N814" s="18">
        <v>5.5759999999999997E-2</v>
      </c>
      <c r="O814" s="19">
        <v>0</v>
      </c>
      <c r="P814" s="13">
        <v>0</v>
      </c>
      <c r="Q814" s="9"/>
      <c r="R814" s="2"/>
      <c r="S814" s="165">
        <v>8</v>
      </c>
      <c r="T814" s="77">
        <v>1</v>
      </c>
      <c r="U814" s="77" t="s">
        <v>268</v>
      </c>
    </row>
    <row r="815" spans="1:21">
      <c r="A815" s="42" t="s">
        <v>77</v>
      </c>
      <c r="B815" s="3" t="s">
        <v>68</v>
      </c>
      <c r="C815" s="3">
        <v>442</v>
      </c>
      <c r="D815" s="1"/>
      <c r="E815" s="20" t="s">
        <v>17</v>
      </c>
      <c r="F815" s="7" t="s">
        <v>15</v>
      </c>
      <c r="G815" s="7" t="s">
        <v>21</v>
      </c>
      <c r="H815" s="11">
        <v>6.97</v>
      </c>
      <c r="I815" s="8">
        <v>8.25</v>
      </c>
      <c r="J815" s="26">
        <v>2</v>
      </c>
      <c r="K815" s="10">
        <v>0.115005</v>
      </c>
      <c r="L815" s="4"/>
      <c r="M815" s="17">
        <v>2</v>
      </c>
      <c r="N815" s="18">
        <v>0.115005</v>
      </c>
      <c r="O815" s="19">
        <v>0</v>
      </c>
      <c r="P815" s="13">
        <v>0</v>
      </c>
      <c r="Q815" s="9"/>
      <c r="R815" s="2"/>
      <c r="S815" s="13"/>
    </row>
    <row r="816" spans="1:21">
      <c r="A816" s="42" t="s">
        <v>77</v>
      </c>
      <c r="B816" s="3" t="s">
        <v>68</v>
      </c>
      <c r="C816" s="3">
        <v>442</v>
      </c>
      <c r="D816" s="1"/>
      <c r="E816" s="20" t="s">
        <v>17</v>
      </c>
      <c r="F816" s="7" t="s">
        <v>15</v>
      </c>
      <c r="G816" s="7" t="s">
        <v>21</v>
      </c>
      <c r="H816" s="11">
        <v>6.97</v>
      </c>
      <c r="I816" s="8">
        <v>11</v>
      </c>
      <c r="J816" s="26">
        <v>2</v>
      </c>
      <c r="K816" s="10">
        <v>0.15334</v>
      </c>
      <c r="L816" s="4"/>
      <c r="M816" s="17">
        <v>2</v>
      </c>
      <c r="N816" s="18">
        <v>0.15334</v>
      </c>
      <c r="O816" s="19">
        <v>0</v>
      </c>
      <c r="P816" s="13">
        <v>0</v>
      </c>
      <c r="Q816" s="9"/>
      <c r="R816" s="2"/>
      <c r="S816" s="13"/>
    </row>
    <row r="817" spans="1:21">
      <c r="A817" s="42" t="s">
        <v>77</v>
      </c>
      <c r="B817" s="3" t="s">
        <v>68</v>
      </c>
      <c r="C817" s="3">
        <v>442</v>
      </c>
      <c r="D817" s="1"/>
      <c r="E817" s="20" t="s">
        <v>17</v>
      </c>
      <c r="F817" s="7" t="s">
        <v>15</v>
      </c>
      <c r="G817" s="7" t="s">
        <v>21</v>
      </c>
      <c r="H817" s="11">
        <v>6.97</v>
      </c>
      <c r="I817" s="8">
        <v>12</v>
      </c>
      <c r="J817" s="26">
        <v>2</v>
      </c>
      <c r="K817" s="10">
        <v>0.16728000000000001</v>
      </c>
      <c r="L817" s="4"/>
      <c r="M817" s="17">
        <v>2</v>
      </c>
      <c r="N817" s="18">
        <v>0.16728000000000001</v>
      </c>
      <c r="O817" s="19">
        <v>0</v>
      </c>
      <c r="P817" s="13">
        <v>0</v>
      </c>
      <c r="Q817" s="9"/>
      <c r="R817" s="2"/>
      <c r="S817" s="13"/>
    </row>
    <row r="818" spans="1:21">
      <c r="A818" s="42" t="s">
        <v>77</v>
      </c>
      <c r="B818" s="3" t="s">
        <v>68</v>
      </c>
      <c r="C818" s="3">
        <v>447</v>
      </c>
      <c r="D818" s="1"/>
      <c r="E818" s="20" t="s">
        <v>17</v>
      </c>
      <c r="F818" s="7" t="s">
        <v>15</v>
      </c>
      <c r="G818" s="7" t="s">
        <v>21</v>
      </c>
      <c r="H818" s="11">
        <v>6.97</v>
      </c>
      <c r="I818" s="8">
        <v>6.5</v>
      </c>
      <c r="J818" s="26">
        <v>14</v>
      </c>
      <c r="K818" s="10">
        <v>0.63427</v>
      </c>
      <c r="L818" s="4"/>
      <c r="M818" s="17">
        <v>14</v>
      </c>
      <c r="N818" s="18">
        <v>0.63427</v>
      </c>
      <c r="O818" s="19">
        <v>0</v>
      </c>
      <c r="P818" s="13">
        <v>0</v>
      </c>
      <c r="Q818" s="9"/>
      <c r="R818" s="2"/>
      <c r="S818" s="13"/>
    </row>
    <row r="819" spans="1:21">
      <c r="A819" s="42" t="s">
        <v>77</v>
      </c>
      <c r="B819" s="3" t="s">
        <v>68</v>
      </c>
      <c r="C819" s="3">
        <v>448</v>
      </c>
      <c r="D819" s="1"/>
      <c r="E819" s="20" t="s">
        <v>17</v>
      </c>
      <c r="F819" s="7" t="s">
        <v>15</v>
      </c>
      <c r="G819" s="7" t="s">
        <v>21</v>
      </c>
      <c r="H819" s="11">
        <v>6.97</v>
      </c>
      <c r="I819" s="8">
        <v>8.1</v>
      </c>
      <c r="J819" s="26">
        <v>14</v>
      </c>
      <c r="K819" s="10">
        <v>0.79039799999999993</v>
      </c>
      <c r="L819" s="4"/>
      <c r="M819" s="17">
        <v>14</v>
      </c>
      <c r="N819" s="18">
        <v>0.79039799999999993</v>
      </c>
      <c r="O819" s="19">
        <v>0</v>
      </c>
      <c r="P819" s="13">
        <v>0</v>
      </c>
      <c r="Q819" s="9"/>
      <c r="R819" s="2"/>
      <c r="S819" s="13"/>
    </row>
    <row r="820" spans="1:21">
      <c r="A820" s="42" t="s">
        <v>77</v>
      </c>
      <c r="B820" s="3" t="s">
        <v>68</v>
      </c>
      <c r="C820" s="3">
        <v>1</v>
      </c>
      <c r="D820" s="1"/>
      <c r="E820" s="20" t="s">
        <v>17</v>
      </c>
      <c r="F820" s="7" t="s">
        <v>15</v>
      </c>
      <c r="G820" s="7" t="s">
        <v>21</v>
      </c>
      <c r="H820" s="11">
        <v>6.97</v>
      </c>
      <c r="I820" s="8">
        <v>9.15</v>
      </c>
      <c r="J820" s="26">
        <v>2</v>
      </c>
      <c r="K820" s="10">
        <v>0.127551</v>
      </c>
      <c r="L820" s="4"/>
      <c r="M820" s="17">
        <v>2</v>
      </c>
      <c r="N820" s="18">
        <v>0.127551</v>
      </c>
      <c r="O820" s="19">
        <v>0</v>
      </c>
      <c r="P820" s="13">
        <v>0</v>
      </c>
      <c r="Q820" s="9"/>
      <c r="R820" s="2"/>
      <c r="S820" s="13"/>
    </row>
    <row r="821" spans="1:21">
      <c r="A821" s="42" t="s">
        <v>77</v>
      </c>
      <c r="B821" s="3" t="s">
        <v>68</v>
      </c>
      <c r="C821" s="3">
        <v>1</v>
      </c>
      <c r="D821" s="1"/>
      <c r="E821" s="20" t="s">
        <v>17</v>
      </c>
      <c r="F821" s="7" t="s">
        <v>15</v>
      </c>
      <c r="G821" s="7" t="s">
        <v>21</v>
      </c>
      <c r="H821" s="11">
        <v>6.97</v>
      </c>
      <c r="I821" s="8">
        <v>10</v>
      </c>
      <c r="J821" s="26">
        <v>12</v>
      </c>
      <c r="K821" s="10">
        <v>0.83640000000000014</v>
      </c>
      <c r="L821" s="4"/>
      <c r="M821" s="17">
        <v>12</v>
      </c>
      <c r="N821" s="18">
        <v>0.83640000000000003</v>
      </c>
      <c r="O821" s="19">
        <v>0</v>
      </c>
      <c r="P821" s="13">
        <v>0</v>
      </c>
      <c r="Q821" s="9"/>
      <c r="R821" s="2"/>
      <c r="S821" s="13"/>
    </row>
    <row r="822" spans="1:21">
      <c r="A822" s="42" t="s">
        <v>77</v>
      </c>
      <c r="B822" s="3" t="s">
        <v>68</v>
      </c>
      <c r="C822" s="3">
        <v>452</v>
      </c>
      <c r="D822" s="1"/>
      <c r="E822" s="20" t="s">
        <v>17</v>
      </c>
      <c r="F822" s="7" t="s">
        <v>15</v>
      </c>
      <c r="G822" s="7" t="s">
        <v>21</v>
      </c>
      <c r="H822" s="11">
        <v>6.97</v>
      </c>
      <c r="I822" s="8">
        <v>8.25</v>
      </c>
      <c r="J822" s="26">
        <v>34</v>
      </c>
      <c r="K822" s="10">
        <v>1.955085</v>
      </c>
      <c r="L822" s="4"/>
      <c r="M822" s="17">
        <v>34</v>
      </c>
      <c r="N822" s="18">
        <v>1.955085</v>
      </c>
      <c r="O822" s="19">
        <v>0</v>
      </c>
      <c r="P822" s="13">
        <v>0</v>
      </c>
      <c r="Q822" s="9"/>
      <c r="R822" s="2"/>
      <c r="S822" s="13"/>
    </row>
    <row r="823" spans="1:21">
      <c r="A823" s="42" t="s">
        <v>77</v>
      </c>
      <c r="B823" s="3" t="s">
        <v>68</v>
      </c>
      <c r="C823" s="3">
        <v>422</v>
      </c>
      <c r="D823" s="1"/>
      <c r="E823" s="20" t="s">
        <v>17</v>
      </c>
      <c r="F823" s="7" t="s">
        <v>15</v>
      </c>
      <c r="G823" s="7" t="s">
        <v>21</v>
      </c>
      <c r="H823" s="11">
        <v>6.97</v>
      </c>
      <c r="I823" s="8">
        <v>7.85</v>
      </c>
      <c r="J823" s="26">
        <v>1</v>
      </c>
      <c r="K823" s="10">
        <v>5.4714499999999992E-2</v>
      </c>
      <c r="L823" s="4"/>
      <c r="M823" s="17"/>
      <c r="N823" s="18">
        <v>0</v>
      </c>
      <c r="O823" s="19">
        <v>1</v>
      </c>
      <c r="P823" s="13">
        <v>5.4714499999999992E-2</v>
      </c>
      <c r="Q823" s="9"/>
      <c r="R823" s="2"/>
      <c r="S823" s="13"/>
    </row>
    <row r="824" spans="1:21">
      <c r="A824" s="42" t="s">
        <v>77</v>
      </c>
      <c r="B824" s="3" t="s">
        <v>68</v>
      </c>
      <c r="C824" s="3">
        <v>422</v>
      </c>
      <c r="D824" s="1"/>
      <c r="E824" s="20" t="s">
        <v>17</v>
      </c>
      <c r="F824" s="7" t="s">
        <v>15</v>
      </c>
      <c r="G824" s="7" t="s">
        <v>21</v>
      </c>
      <c r="H824" s="11">
        <v>6.97</v>
      </c>
      <c r="I824" s="8">
        <v>12</v>
      </c>
      <c r="J824" s="26">
        <v>3</v>
      </c>
      <c r="K824" s="10">
        <v>0.25092000000000003</v>
      </c>
      <c r="L824" s="4"/>
      <c r="M824" s="17">
        <v>3</v>
      </c>
      <c r="N824" s="18">
        <v>0.25091999999999998</v>
      </c>
      <c r="O824" s="19">
        <v>0</v>
      </c>
      <c r="P824" s="13">
        <v>0</v>
      </c>
      <c r="Q824" s="9"/>
      <c r="R824" s="2"/>
      <c r="S824" s="13"/>
    </row>
    <row r="825" spans="1:21">
      <c r="A825" s="47" t="s">
        <v>147</v>
      </c>
      <c r="B825" s="48" t="s">
        <v>148</v>
      </c>
      <c r="C825" s="32">
        <v>275</v>
      </c>
      <c r="D825" s="32"/>
      <c r="E825" s="48" t="s">
        <v>17</v>
      </c>
      <c r="F825" s="48" t="s">
        <v>160</v>
      </c>
      <c r="G825" s="48" t="s">
        <v>21</v>
      </c>
      <c r="H825" s="11">
        <v>6.97</v>
      </c>
      <c r="I825" s="8">
        <v>11.6</v>
      </c>
      <c r="J825" s="7">
        <v>1</v>
      </c>
      <c r="K825" s="10">
        <v>8.0851999999999993E-2</v>
      </c>
      <c r="L825" s="32"/>
      <c r="M825" s="32">
        <v>1</v>
      </c>
      <c r="N825" s="18">
        <v>8.0851999999999993E-2</v>
      </c>
      <c r="O825" s="19">
        <v>0</v>
      </c>
      <c r="P825" s="13">
        <v>0</v>
      </c>
      <c r="Q825" s="32">
        <v>11</v>
      </c>
      <c r="R825" s="32">
        <v>1</v>
      </c>
      <c r="S825" s="127"/>
    </row>
    <row r="826" spans="1:21">
      <c r="A826" s="47" t="s">
        <v>147</v>
      </c>
      <c r="B826" s="48" t="s">
        <v>148</v>
      </c>
      <c r="C826" s="32">
        <v>275</v>
      </c>
      <c r="D826" s="32"/>
      <c r="E826" s="48" t="s">
        <v>17</v>
      </c>
      <c r="F826" s="48" t="s">
        <v>160</v>
      </c>
      <c r="G826" s="48" t="s">
        <v>21</v>
      </c>
      <c r="H826" s="11">
        <v>6.97</v>
      </c>
      <c r="I826" s="8">
        <v>10.8</v>
      </c>
      <c r="J826" s="7">
        <v>1</v>
      </c>
      <c r="K826" s="10">
        <v>7.5275999999999996E-2</v>
      </c>
      <c r="L826" s="32"/>
      <c r="M826" s="32">
        <v>1</v>
      </c>
      <c r="N826" s="18">
        <v>7.5275999999999996E-2</v>
      </c>
      <c r="O826" s="19">
        <v>0</v>
      </c>
      <c r="P826" s="13">
        <v>0</v>
      </c>
      <c r="Q826" s="32"/>
      <c r="R826" s="32"/>
      <c r="S826" s="166">
        <v>10.6</v>
      </c>
      <c r="T826" s="77">
        <v>1</v>
      </c>
      <c r="U826" s="77" t="s">
        <v>268</v>
      </c>
    </row>
    <row r="827" spans="1:21">
      <c r="A827" s="44" t="s">
        <v>78</v>
      </c>
      <c r="B827" s="3" t="s">
        <v>80</v>
      </c>
      <c r="C827" s="3">
        <v>1</v>
      </c>
      <c r="D827" s="1"/>
      <c r="E827" s="20" t="s">
        <v>17</v>
      </c>
      <c r="F827" s="7" t="s">
        <v>15</v>
      </c>
      <c r="G827" s="7" t="s">
        <v>21</v>
      </c>
      <c r="H827" s="11">
        <v>6.97</v>
      </c>
      <c r="I827" s="8">
        <v>9</v>
      </c>
      <c r="J827" s="26">
        <v>1</v>
      </c>
      <c r="K827" s="10">
        <v>6.2729999999999994E-2</v>
      </c>
      <c r="L827" s="4"/>
      <c r="M827" s="17">
        <v>1</v>
      </c>
      <c r="N827" s="18">
        <v>6.2729999999999994E-2</v>
      </c>
      <c r="O827" s="19">
        <v>0</v>
      </c>
      <c r="P827" s="13">
        <v>0</v>
      </c>
      <c r="Q827" s="9"/>
      <c r="R827" s="32"/>
      <c r="S827" s="166">
        <v>8</v>
      </c>
      <c r="T827" s="77">
        <v>1</v>
      </c>
      <c r="U827" s="77" t="s">
        <v>268</v>
      </c>
    </row>
    <row r="828" spans="1:21">
      <c r="A828" s="44" t="s">
        <v>78</v>
      </c>
      <c r="B828" s="3" t="s">
        <v>80</v>
      </c>
      <c r="C828" s="3">
        <v>6</v>
      </c>
      <c r="D828" s="1"/>
      <c r="E828" s="20" t="s">
        <v>17</v>
      </c>
      <c r="F828" s="7" t="s">
        <v>15</v>
      </c>
      <c r="G828" s="7" t="s">
        <v>21</v>
      </c>
      <c r="H828" s="11">
        <v>6.97</v>
      </c>
      <c r="I828" s="8">
        <v>12</v>
      </c>
      <c r="J828" s="26">
        <v>1</v>
      </c>
      <c r="K828" s="10">
        <v>8.3640000000000006E-2</v>
      </c>
      <c r="L828" s="4"/>
      <c r="M828" s="17">
        <v>1</v>
      </c>
      <c r="N828" s="18">
        <v>8.3640000000000006E-2</v>
      </c>
      <c r="O828" s="19">
        <v>0</v>
      </c>
      <c r="P828" s="13">
        <v>0</v>
      </c>
      <c r="Q828" s="9"/>
      <c r="R828" s="32"/>
      <c r="S828" s="166">
        <v>12</v>
      </c>
      <c r="T828" s="77">
        <v>1</v>
      </c>
      <c r="U828" s="77" t="s">
        <v>268</v>
      </c>
    </row>
    <row r="829" spans="1:21">
      <c r="A829" s="45" t="s">
        <v>136</v>
      </c>
      <c r="B829" s="32" t="s">
        <v>137</v>
      </c>
      <c r="C829" s="3">
        <v>58</v>
      </c>
      <c r="D829" s="32"/>
      <c r="E829" s="39" t="s">
        <v>17</v>
      </c>
      <c r="F829" s="7" t="s">
        <v>15</v>
      </c>
      <c r="G829" s="7" t="s">
        <v>21</v>
      </c>
      <c r="H829" s="11">
        <v>6.97</v>
      </c>
      <c r="I829" s="55">
        <v>10</v>
      </c>
      <c r="J829" s="40">
        <v>7</v>
      </c>
      <c r="K829" s="10">
        <v>0.48790000000000006</v>
      </c>
      <c r="L829" s="4"/>
      <c r="M829" s="17">
        <v>7</v>
      </c>
      <c r="N829" s="18">
        <v>0.4879</v>
      </c>
      <c r="O829" s="19">
        <v>0</v>
      </c>
      <c r="P829" s="13">
        <v>0</v>
      </c>
      <c r="Q829" s="32">
        <v>9.6</v>
      </c>
      <c r="R829" s="32">
        <v>2</v>
      </c>
      <c r="S829" s="127"/>
    </row>
    <row r="830" spans="1:21">
      <c r="A830" s="45" t="s">
        <v>136</v>
      </c>
      <c r="B830" s="32" t="s">
        <v>137</v>
      </c>
      <c r="C830" s="3">
        <v>58</v>
      </c>
      <c r="D830" s="32"/>
      <c r="E830" s="39" t="s">
        <v>17</v>
      </c>
      <c r="F830" s="7" t="s">
        <v>15</v>
      </c>
      <c r="G830" s="7" t="s">
        <v>21</v>
      </c>
      <c r="H830" s="11">
        <v>6.97</v>
      </c>
      <c r="I830" s="55">
        <v>9</v>
      </c>
      <c r="J830" s="40">
        <v>3</v>
      </c>
      <c r="K830" s="10">
        <v>0.18819</v>
      </c>
      <c r="L830" s="4"/>
      <c r="M830" s="17">
        <v>3</v>
      </c>
      <c r="N830" s="18">
        <v>0.18819</v>
      </c>
      <c r="O830" s="19">
        <v>0</v>
      </c>
      <c r="P830" s="13">
        <v>0</v>
      </c>
      <c r="Q830" s="32"/>
      <c r="R830" s="32"/>
      <c r="S830" s="166">
        <v>8</v>
      </c>
      <c r="T830" s="77">
        <v>3</v>
      </c>
      <c r="U830" s="77" t="s">
        <v>268</v>
      </c>
    </row>
    <row r="831" spans="1:21">
      <c r="A831" s="45" t="s">
        <v>136</v>
      </c>
      <c r="B831" s="32" t="s">
        <v>137</v>
      </c>
      <c r="C831" s="3">
        <v>58</v>
      </c>
      <c r="D831" s="32"/>
      <c r="E831" s="39" t="s">
        <v>17</v>
      </c>
      <c r="F831" s="7" t="s">
        <v>15</v>
      </c>
      <c r="G831" s="7" t="s">
        <v>21</v>
      </c>
      <c r="H831" s="11">
        <v>6.97</v>
      </c>
      <c r="I831" s="55">
        <v>8.1999999999999993</v>
      </c>
      <c r="J831" s="40">
        <v>1</v>
      </c>
      <c r="K831" s="10">
        <v>5.7153999999999996E-2</v>
      </c>
      <c r="L831" s="4"/>
      <c r="M831" s="17">
        <v>1</v>
      </c>
      <c r="N831" s="18">
        <v>5.7153999999999996E-2</v>
      </c>
      <c r="O831" s="19">
        <v>0</v>
      </c>
      <c r="P831" s="13">
        <v>0</v>
      </c>
      <c r="Q831" s="32"/>
      <c r="R831" s="32"/>
      <c r="S831" s="166">
        <v>8</v>
      </c>
      <c r="T831" s="77">
        <v>1</v>
      </c>
      <c r="U831" s="77" t="s">
        <v>268</v>
      </c>
    </row>
    <row r="832" spans="1:21">
      <c r="J832" s="27"/>
      <c r="O832" s="163">
        <f>SUM(O782:O831)</f>
        <v>3</v>
      </c>
      <c r="R832" s="163">
        <v>19</v>
      </c>
      <c r="T832" s="163">
        <f>SUM(T782:T831)</f>
        <v>30</v>
      </c>
    </row>
    <row r="835" spans="1:19">
      <c r="A835" s="44" t="s">
        <v>78</v>
      </c>
      <c r="B835" s="32" t="s">
        <v>80</v>
      </c>
      <c r="C835" s="3">
        <v>5</v>
      </c>
      <c r="D835" s="32"/>
      <c r="E835" s="150" t="s">
        <v>75</v>
      </c>
      <c r="F835" s="7" t="s">
        <v>15</v>
      </c>
      <c r="G835" s="7" t="s">
        <v>21</v>
      </c>
      <c r="H835" s="11">
        <v>6.97</v>
      </c>
      <c r="I835" s="33">
        <v>11</v>
      </c>
      <c r="J835" s="40">
        <v>28</v>
      </c>
      <c r="K835" s="10">
        <f t="shared" ref="K835" si="48">(H835*I835*J835/1000)</f>
        <v>2.14676</v>
      </c>
      <c r="L835" s="4"/>
      <c r="M835" s="17">
        <v>28</v>
      </c>
      <c r="N835" s="18">
        <f t="shared" ref="N835" si="49">I835*M835*H835/1000</f>
        <v>2.1467599999999996</v>
      </c>
      <c r="O835" s="19">
        <f t="shared" ref="O835" si="50">J835-M835</f>
        <v>0</v>
      </c>
      <c r="P835" s="13">
        <f t="shared" ref="P835" si="51">I835*O835*H835/1000</f>
        <v>0</v>
      </c>
      <c r="Q835" s="72" t="s">
        <v>269</v>
      </c>
      <c r="R835" s="72">
        <v>28</v>
      </c>
      <c r="S835" s="72" t="s">
        <v>270</v>
      </c>
    </row>
    <row r="838" spans="1:19">
      <c r="A838" s="48" t="s">
        <v>179</v>
      </c>
      <c r="B838" s="48" t="s">
        <v>180</v>
      </c>
      <c r="C838" s="32"/>
      <c r="D838" s="32"/>
      <c r="E838" s="48" t="s">
        <v>152</v>
      </c>
      <c r="F838" s="48" t="s">
        <v>15</v>
      </c>
      <c r="G838" s="48" t="s">
        <v>21</v>
      </c>
      <c r="H838" s="11">
        <v>6.97</v>
      </c>
      <c r="I838" s="9">
        <v>11</v>
      </c>
      <c r="J838" s="7">
        <v>1</v>
      </c>
      <c r="K838" s="10">
        <v>7.6670000000000002E-2</v>
      </c>
      <c r="L838" s="32"/>
      <c r="M838" s="32">
        <v>1</v>
      </c>
      <c r="N838" s="18">
        <v>7.6670000000000002E-2</v>
      </c>
      <c r="O838" s="19">
        <v>0</v>
      </c>
      <c r="P838" s="13">
        <v>0</v>
      </c>
      <c r="Q838" s="168">
        <v>10</v>
      </c>
      <c r="R838" s="93">
        <v>1</v>
      </c>
      <c r="S838" s="93" t="s">
        <v>272</v>
      </c>
    </row>
    <row r="839" spans="1:19">
      <c r="A839" s="48" t="s">
        <v>179</v>
      </c>
      <c r="B839" s="48" t="s">
        <v>180</v>
      </c>
      <c r="C839" s="32"/>
      <c r="D839" s="32"/>
      <c r="E839" s="48" t="s">
        <v>152</v>
      </c>
      <c r="F839" s="48" t="s">
        <v>15</v>
      </c>
      <c r="G839" s="48" t="s">
        <v>21</v>
      </c>
      <c r="H839" s="11">
        <v>6.97</v>
      </c>
      <c r="I839" s="9">
        <v>11.5</v>
      </c>
      <c r="J839" s="7">
        <v>1</v>
      </c>
      <c r="K839" s="10">
        <v>8.0155000000000004E-2</v>
      </c>
      <c r="L839" s="32"/>
      <c r="M839" s="32">
        <v>1</v>
      </c>
      <c r="N839" s="18">
        <v>8.0155000000000004E-2</v>
      </c>
      <c r="O839" s="19">
        <v>0</v>
      </c>
      <c r="P839" s="13">
        <v>0</v>
      </c>
      <c r="Q839" s="168">
        <v>10</v>
      </c>
      <c r="R839" s="93">
        <v>1</v>
      </c>
      <c r="S839" s="93" t="s">
        <v>272</v>
      </c>
    </row>
    <row r="840" spans="1:19">
      <c r="A840" s="42" t="s">
        <v>90</v>
      </c>
      <c r="B840" s="48" t="s">
        <v>148</v>
      </c>
      <c r="C840" s="32">
        <v>25</v>
      </c>
      <c r="D840" s="32" t="s">
        <v>93</v>
      </c>
      <c r="E840" s="48" t="s">
        <v>151</v>
      </c>
      <c r="F840" s="48" t="s">
        <v>15</v>
      </c>
      <c r="G840" s="48" t="s">
        <v>21</v>
      </c>
      <c r="H840" s="11">
        <v>6.97</v>
      </c>
      <c r="I840" s="8">
        <v>6.2</v>
      </c>
      <c r="J840" s="7">
        <v>1</v>
      </c>
      <c r="K840" s="10">
        <v>4.3213999999999995E-2</v>
      </c>
      <c r="L840" s="32"/>
      <c r="M840" s="32"/>
      <c r="N840" s="18">
        <v>0</v>
      </c>
      <c r="O840" s="19">
        <v>1</v>
      </c>
      <c r="P840" s="13">
        <v>4.3213999999999995E-2</v>
      </c>
      <c r="Q840" s="155"/>
      <c r="R840" s="32"/>
      <c r="S840" s="32"/>
    </row>
    <row r="841" spans="1:19">
      <c r="A841" s="42" t="s">
        <v>90</v>
      </c>
      <c r="B841" s="48" t="s">
        <v>148</v>
      </c>
      <c r="C841" s="32">
        <v>25</v>
      </c>
      <c r="D841" s="32" t="s">
        <v>93</v>
      </c>
      <c r="E841" s="48" t="s">
        <v>151</v>
      </c>
      <c r="F841" s="48" t="s">
        <v>15</v>
      </c>
      <c r="G841" s="48" t="s">
        <v>21</v>
      </c>
      <c r="H841" s="11">
        <v>6.97</v>
      </c>
      <c r="I841" s="8">
        <v>6.5</v>
      </c>
      <c r="J841" s="7">
        <v>1</v>
      </c>
      <c r="K841" s="10">
        <v>4.5304999999999998E-2</v>
      </c>
      <c r="L841" s="32"/>
      <c r="M841" s="32"/>
      <c r="N841" s="18">
        <v>0</v>
      </c>
      <c r="O841" s="19">
        <v>1</v>
      </c>
      <c r="P841" s="13">
        <v>4.5304999999999998E-2</v>
      </c>
      <c r="Q841" s="155"/>
      <c r="R841" s="32"/>
      <c r="S841" s="32"/>
    </row>
    <row r="842" spans="1:19">
      <c r="A842" s="42" t="s">
        <v>90</v>
      </c>
      <c r="B842" s="48" t="s">
        <v>148</v>
      </c>
      <c r="C842" s="32">
        <v>86</v>
      </c>
      <c r="D842" s="32"/>
      <c r="E842" s="48" t="s">
        <v>152</v>
      </c>
      <c r="F842" s="48" t="s">
        <v>15</v>
      </c>
      <c r="G842" s="48" t="s">
        <v>21</v>
      </c>
      <c r="H842" s="11">
        <v>6.97</v>
      </c>
      <c r="I842" s="8">
        <v>12</v>
      </c>
      <c r="J842" s="7">
        <v>8</v>
      </c>
      <c r="K842" s="10">
        <v>0.66912000000000005</v>
      </c>
      <c r="L842" s="32"/>
      <c r="M842" s="32">
        <v>8</v>
      </c>
      <c r="N842" s="18">
        <v>0.66912000000000005</v>
      </c>
      <c r="O842" s="19">
        <v>0</v>
      </c>
      <c r="P842" s="13">
        <v>0</v>
      </c>
      <c r="Q842" s="168">
        <v>12</v>
      </c>
      <c r="R842" s="93">
        <v>2</v>
      </c>
      <c r="S842" s="93" t="s">
        <v>272</v>
      </c>
    </row>
    <row r="843" spans="1:19">
      <c r="A843" s="42" t="s">
        <v>90</v>
      </c>
      <c r="B843" s="48" t="s">
        <v>148</v>
      </c>
      <c r="C843" s="32">
        <v>96</v>
      </c>
      <c r="D843" s="32"/>
      <c r="E843" s="48" t="s">
        <v>152</v>
      </c>
      <c r="F843" s="48" t="s">
        <v>15</v>
      </c>
      <c r="G843" s="48" t="s">
        <v>21</v>
      </c>
      <c r="H843" s="11">
        <v>6.97</v>
      </c>
      <c r="I843" s="8">
        <v>11.4</v>
      </c>
      <c r="J843" s="7">
        <v>1</v>
      </c>
      <c r="K843" s="10">
        <v>7.9458000000000001E-2</v>
      </c>
      <c r="L843" s="32"/>
      <c r="M843" s="32">
        <v>1</v>
      </c>
      <c r="N843" s="18">
        <v>7.9458000000000001E-2</v>
      </c>
      <c r="O843" s="19">
        <v>0</v>
      </c>
      <c r="P843" s="13">
        <v>0</v>
      </c>
      <c r="Q843" s="168">
        <v>10</v>
      </c>
      <c r="R843" s="93">
        <v>1</v>
      </c>
      <c r="S843" s="93" t="s">
        <v>272</v>
      </c>
    </row>
    <row r="844" spans="1:19">
      <c r="A844" s="42" t="s">
        <v>90</v>
      </c>
      <c r="B844" s="48" t="s">
        <v>148</v>
      </c>
      <c r="C844" s="32">
        <v>96</v>
      </c>
      <c r="D844" s="32"/>
      <c r="E844" s="48" t="s">
        <v>152</v>
      </c>
      <c r="F844" s="48" t="s">
        <v>15</v>
      </c>
      <c r="G844" s="48" t="s">
        <v>21</v>
      </c>
      <c r="H844" s="11">
        <v>6.97</v>
      </c>
      <c r="I844" s="8">
        <v>9.4</v>
      </c>
      <c r="J844" s="7">
        <v>1</v>
      </c>
      <c r="K844" s="10">
        <v>6.5518000000000007E-2</v>
      </c>
      <c r="L844" s="32"/>
      <c r="M844" s="32"/>
      <c r="N844" s="18">
        <v>0</v>
      </c>
      <c r="O844" s="19">
        <v>1</v>
      </c>
      <c r="P844" s="13">
        <v>6.5518000000000007E-2</v>
      </c>
      <c r="Q844" s="155"/>
      <c r="R844" s="32"/>
      <c r="S844" s="32"/>
    </row>
    <row r="845" spans="1:19">
      <c r="A845" s="42" t="s">
        <v>90</v>
      </c>
      <c r="B845" s="48" t="s">
        <v>148</v>
      </c>
      <c r="C845" s="32">
        <v>96</v>
      </c>
      <c r="D845" s="32"/>
      <c r="E845" s="48" t="s">
        <v>152</v>
      </c>
      <c r="F845" s="48" t="s">
        <v>15</v>
      </c>
      <c r="G845" s="48" t="s">
        <v>21</v>
      </c>
      <c r="H845" s="11">
        <v>6.97</v>
      </c>
      <c r="I845" s="8">
        <v>10.199999999999999</v>
      </c>
      <c r="J845" s="7">
        <v>1</v>
      </c>
      <c r="K845" s="10">
        <v>7.1093999999999991E-2</v>
      </c>
      <c r="L845" s="32"/>
      <c r="M845" s="32">
        <v>1</v>
      </c>
      <c r="N845" s="18">
        <v>7.1093999999999991E-2</v>
      </c>
      <c r="O845" s="19">
        <v>0</v>
      </c>
      <c r="P845" s="13">
        <v>0</v>
      </c>
      <c r="Q845" s="168">
        <v>10</v>
      </c>
      <c r="R845" s="93">
        <v>1</v>
      </c>
      <c r="S845" s="93" t="s">
        <v>272</v>
      </c>
    </row>
    <row r="846" spans="1:19">
      <c r="A846" s="42" t="s">
        <v>90</v>
      </c>
      <c r="B846" s="48" t="s">
        <v>148</v>
      </c>
      <c r="C846" s="32">
        <v>96</v>
      </c>
      <c r="D846" s="32"/>
      <c r="E846" s="48" t="s">
        <v>152</v>
      </c>
      <c r="F846" s="48" t="s">
        <v>15</v>
      </c>
      <c r="G846" s="48" t="s">
        <v>21</v>
      </c>
      <c r="H846" s="11">
        <v>6.97</v>
      </c>
      <c r="I846" s="8">
        <v>12</v>
      </c>
      <c r="J846" s="7">
        <v>1</v>
      </c>
      <c r="K846" s="10">
        <v>8.3640000000000006E-2</v>
      </c>
      <c r="L846" s="32"/>
      <c r="M846" s="32">
        <v>1</v>
      </c>
      <c r="N846" s="18">
        <v>8.3640000000000006E-2</v>
      </c>
      <c r="O846" s="19">
        <v>0</v>
      </c>
      <c r="P846" s="13">
        <v>0</v>
      </c>
      <c r="Q846" s="168">
        <v>12</v>
      </c>
      <c r="R846" s="93">
        <v>1</v>
      </c>
      <c r="S846" s="93" t="s">
        <v>272</v>
      </c>
    </row>
    <row r="847" spans="1:19">
      <c r="A847" s="42" t="s">
        <v>90</v>
      </c>
      <c r="B847" s="48" t="s">
        <v>148</v>
      </c>
      <c r="C847" s="32">
        <v>98</v>
      </c>
      <c r="D847" s="32"/>
      <c r="E847" s="48" t="s">
        <v>152</v>
      </c>
      <c r="F847" s="48" t="s">
        <v>15</v>
      </c>
      <c r="G847" s="48" t="s">
        <v>21</v>
      </c>
      <c r="H847" s="11">
        <v>6.97</v>
      </c>
      <c r="I847" s="8">
        <v>12</v>
      </c>
      <c r="J847" s="7">
        <v>1</v>
      </c>
      <c r="K847" s="10">
        <v>8.3640000000000006E-2</v>
      </c>
      <c r="L847" s="32"/>
      <c r="M847" s="32">
        <v>1</v>
      </c>
      <c r="N847" s="18">
        <v>8.3640000000000006E-2</v>
      </c>
      <c r="O847" s="19">
        <v>0</v>
      </c>
      <c r="P847" s="13">
        <v>0</v>
      </c>
      <c r="Q847" s="168">
        <v>12</v>
      </c>
      <c r="R847" s="93">
        <v>1</v>
      </c>
      <c r="S847" s="93" t="s">
        <v>272</v>
      </c>
    </row>
    <row r="848" spans="1:19">
      <c r="A848" s="44" t="s">
        <v>78</v>
      </c>
      <c r="B848" s="3" t="s">
        <v>80</v>
      </c>
      <c r="C848" s="3">
        <v>10</v>
      </c>
      <c r="D848" s="1"/>
      <c r="E848" s="20" t="s">
        <v>76</v>
      </c>
      <c r="F848" s="7" t="s">
        <v>15</v>
      </c>
      <c r="G848" s="7" t="s">
        <v>21</v>
      </c>
      <c r="H848" s="11">
        <v>6.97</v>
      </c>
      <c r="I848" s="8">
        <v>10.199999999999999</v>
      </c>
      <c r="J848" s="26">
        <v>2</v>
      </c>
      <c r="K848" s="10">
        <v>0.14218799999999998</v>
      </c>
      <c r="L848" s="4"/>
      <c r="M848" s="17">
        <v>2</v>
      </c>
      <c r="N848" s="18">
        <v>0.14218799999999998</v>
      </c>
      <c r="O848" s="19">
        <v>0</v>
      </c>
      <c r="P848" s="13">
        <v>0</v>
      </c>
      <c r="Q848" s="169">
        <v>10</v>
      </c>
      <c r="R848" s="93">
        <v>2</v>
      </c>
      <c r="S848" s="93" t="s">
        <v>272</v>
      </c>
    </row>
    <row r="849" spans="1:19">
      <c r="A849" s="44" t="s">
        <v>78</v>
      </c>
      <c r="B849" s="3" t="s">
        <v>80</v>
      </c>
      <c r="C849" s="3">
        <v>10</v>
      </c>
      <c r="D849" s="1"/>
      <c r="E849" s="20" t="s">
        <v>76</v>
      </c>
      <c r="F849" s="7" t="s">
        <v>15</v>
      </c>
      <c r="G849" s="7" t="s">
        <v>21</v>
      </c>
      <c r="H849" s="11">
        <v>6.97</v>
      </c>
      <c r="I849" s="8">
        <v>9.6</v>
      </c>
      <c r="J849" s="26">
        <v>1</v>
      </c>
      <c r="K849" s="10">
        <v>6.6911999999999985E-2</v>
      </c>
      <c r="L849" s="4"/>
      <c r="M849" s="17">
        <v>1</v>
      </c>
      <c r="N849" s="18">
        <v>6.6911999999999985E-2</v>
      </c>
      <c r="O849" s="19">
        <v>0</v>
      </c>
      <c r="P849" s="13">
        <v>0</v>
      </c>
      <c r="Q849" s="9"/>
      <c r="R849" s="32"/>
      <c r="S849" s="32"/>
    </row>
    <row r="850" spans="1:19">
      <c r="A850" s="44" t="s">
        <v>78</v>
      </c>
      <c r="B850" s="3" t="s">
        <v>80</v>
      </c>
      <c r="C850" s="3">
        <v>10</v>
      </c>
      <c r="D850" s="1"/>
      <c r="E850" s="20" t="s">
        <v>76</v>
      </c>
      <c r="F850" s="7" t="s">
        <v>15</v>
      </c>
      <c r="G850" s="7" t="s">
        <v>21</v>
      </c>
      <c r="H850" s="11">
        <v>6.97</v>
      </c>
      <c r="I850" s="8">
        <v>8.4</v>
      </c>
      <c r="J850" s="26">
        <v>1</v>
      </c>
      <c r="K850" s="10">
        <v>5.8548000000000003E-2</v>
      </c>
      <c r="L850" s="4"/>
      <c r="M850" s="17"/>
      <c r="N850" s="18">
        <v>0</v>
      </c>
      <c r="O850" s="19">
        <v>1</v>
      </c>
      <c r="P850" s="13">
        <v>5.8548000000000003E-2</v>
      </c>
      <c r="Q850" s="9"/>
      <c r="R850" s="32"/>
      <c r="S850" s="32"/>
    </row>
    <row r="851" spans="1:19">
      <c r="A851" s="44" t="s">
        <v>78</v>
      </c>
      <c r="B851" s="32" t="s">
        <v>111</v>
      </c>
      <c r="C851" s="3">
        <v>9</v>
      </c>
      <c r="D851" s="1"/>
      <c r="E851" s="20" t="s">
        <v>114</v>
      </c>
      <c r="F851" s="7" t="s">
        <v>15</v>
      </c>
      <c r="G851" s="7" t="s">
        <v>21</v>
      </c>
      <c r="H851" s="11">
        <v>6.97</v>
      </c>
      <c r="I851" s="55">
        <v>8</v>
      </c>
      <c r="J851" s="40">
        <v>1</v>
      </c>
      <c r="K851" s="10">
        <v>5.5759999999999997E-2</v>
      </c>
      <c r="L851" s="4"/>
      <c r="M851" s="17">
        <v>1</v>
      </c>
      <c r="N851" s="18">
        <v>5.5759999999999997E-2</v>
      </c>
      <c r="O851" s="19">
        <v>0</v>
      </c>
      <c r="P851" s="13">
        <v>0</v>
      </c>
      <c r="Q851" s="32"/>
      <c r="R851" s="32"/>
      <c r="S851" s="32"/>
    </row>
    <row r="852" spans="1:19">
      <c r="A852" s="44" t="s">
        <v>78</v>
      </c>
      <c r="B852" s="32" t="s">
        <v>111</v>
      </c>
      <c r="C852" s="3">
        <v>9</v>
      </c>
      <c r="D852" s="1"/>
      <c r="E852" s="20" t="s">
        <v>114</v>
      </c>
      <c r="F852" s="7" t="s">
        <v>15</v>
      </c>
      <c r="G852" s="7" t="s">
        <v>21</v>
      </c>
      <c r="H852" s="11">
        <v>6.97</v>
      </c>
      <c r="I852" s="55">
        <v>8.5</v>
      </c>
      <c r="J852" s="40">
        <v>1</v>
      </c>
      <c r="K852" s="10">
        <v>5.9244999999999999E-2</v>
      </c>
      <c r="L852" s="4"/>
      <c r="M852" s="17">
        <v>1</v>
      </c>
      <c r="N852" s="18">
        <v>5.9244999999999999E-2</v>
      </c>
      <c r="O852" s="19">
        <v>0</v>
      </c>
      <c r="P852" s="13">
        <v>0</v>
      </c>
      <c r="Q852" s="32"/>
      <c r="R852" s="32"/>
      <c r="S852" s="32"/>
    </row>
    <row r="853" spans="1:19">
      <c r="A853" s="44" t="s">
        <v>78</v>
      </c>
      <c r="B853" s="32" t="s">
        <v>111</v>
      </c>
      <c r="C853" s="3">
        <v>9</v>
      </c>
      <c r="D853" s="1"/>
      <c r="E853" s="20" t="s">
        <v>114</v>
      </c>
      <c r="F853" s="7" t="s">
        <v>15</v>
      </c>
      <c r="G853" s="7" t="s">
        <v>21</v>
      </c>
      <c r="H853" s="11">
        <v>6.97</v>
      </c>
      <c r="I853" s="55">
        <v>8.6999999999999993</v>
      </c>
      <c r="J853" s="40">
        <v>3</v>
      </c>
      <c r="K853" s="10">
        <v>0.18191699999999997</v>
      </c>
      <c r="L853" s="4"/>
      <c r="M853" s="17">
        <v>3</v>
      </c>
      <c r="N853" s="18">
        <v>0.18191699999999997</v>
      </c>
      <c r="O853" s="19">
        <v>0</v>
      </c>
      <c r="P853" s="13">
        <v>0</v>
      </c>
      <c r="Q853" s="32"/>
      <c r="R853" s="32"/>
      <c r="S853" s="32"/>
    </row>
    <row r="854" spans="1:19">
      <c r="A854" s="44" t="s">
        <v>78</v>
      </c>
      <c r="B854" s="32" t="s">
        <v>111</v>
      </c>
      <c r="C854" s="3">
        <v>9</v>
      </c>
      <c r="D854" s="1"/>
      <c r="E854" s="20" t="s">
        <v>114</v>
      </c>
      <c r="F854" s="7" t="s">
        <v>15</v>
      </c>
      <c r="G854" s="7" t="s">
        <v>21</v>
      </c>
      <c r="H854" s="11">
        <v>6.97</v>
      </c>
      <c r="I854" s="55">
        <v>9</v>
      </c>
      <c r="J854" s="40">
        <v>5</v>
      </c>
      <c r="K854" s="10">
        <v>0.31364999999999998</v>
      </c>
      <c r="L854" s="4"/>
      <c r="M854" s="17">
        <v>5</v>
      </c>
      <c r="N854" s="18">
        <v>0.31364999999999998</v>
      </c>
      <c r="O854" s="19">
        <v>0</v>
      </c>
      <c r="P854" s="13">
        <v>0</v>
      </c>
      <c r="Q854" s="32"/>
      <c r="R854" s="32"/>
      <c r="S854" s="32"/>
    </row>
    <row r="855" spans="1:19">
      <c r="A855" s="44" t="s">
        <v>78</v>
      </c>
      <c r="B855" s="32" t="s">
        <v>111</v>
      </c>
      <c r="C855" s="3">
        <v>9</v>
      </c>
      <c r="D855" s="1"/>
      <c r="E855" s="20" t="s">
        <v>114</v>
      </c>
      <c r="F855" s="7" t="s">
        <v>15</v>
      </c>
      <c r="G855" s="7" t="s">
        <v>21</v>
      </c>
      <c r="H855" s="11">
        <v>6.97</v>
      </c>
      <c r="I855" s="55">
        <v>9.3000000000000007</v>
      </c>
      <c r="J855" s="40">
        <v>1</v>
      </c>
      <c r="K855" s="10">
        <v>6.4821000000000004E-2</v>
      </c>
      <c r="L855" s="4"/>
      <c r="M855" s="17"/>
      <c r="N855" s="18">
        <v>0</v>
      </c>
      <c r="O855" s="19">
        <v>1</v>
      </c>
      <c r="P855" s="13">
        <v>6.4821000000000004E-2</v>
      </c>
      <c r="Q855" s="32"/>
      <c r="R855" s="32"/>
      <c r="S855" s="32"/>
    </row>
    <row r="856" spans="1:19">
      <c r="A856" s="44" t="s">
        <v>78</v>
      </c>
      <c r="B856" s="32" t="s">
        <v>111</v>
      </c>
      <c r="C856" s="3">
        <v>9</v>
      </c>
      <c r="D856" s="1"/>
      <c r="E856" s="20" t="s">
        <v>114</v>
      </c>
      <c r="F856" s="7" t="s">
        <v>15</v>
      </c>
      <c r="G856" s="7" t="s">
        <v>21</v>
      </c>
      <c r="H856" s="11">
        <v>6.97</v>
      </c>
      <c r="I856" s="55">
        <v>9.4499999999999993</v>
      </c>
      <c r="J856" s="40">
        <v>4</v>
      </c>
      <c r="K856" s="10">
        <v>0.26346599999999998</v>
      </c>
      <c r="L856" s="4"/>
      <c r="M856" s="17"/>
      <c r="N856" s="18">
        <v>0</v>
      </c>
      <c r="O856" s="19">
        <v>4</v>
      </c>
      <c r="P856" s="13">
        <v>0.26346599999999998</v>
      </c>
      <c r="Q856" s="32"/>
      <c r="R856" s="32"/>
      <c r="S856" s="32"/>
    </row>
    <row r="857" spans="1:19">
      <c r="A857" s="44" t="s">
        <v>78</v>
      </c>
      <c r="B857" s="32" t="s">
        <v>111</v>
      </c>
      <c r="C857" s="3">
        <v>9</v>
      </c>
      <c r="D857" s="1"/>
      <c r="E857" s="20" t="s">
        <v>114</v>
      </c>
      <c r="F857" s="7" t="s">
        <v>15</v>
      </c>
      <c r="G857" s="7" t="s">
        <v>21</v>
      </c>
      <c r="H857" s="11">
        <v>6.97</v>
      </c>
      <c r="I857" s="55">
        <v>9.5</v>
      </c>
      <c r="J857" s="40">
        <v>1</v>
      </c>
      <c r="K857" s="10">
        <v>6.621500000000001E-2</v>
      </c>
      <c r="L857" s="4"/>
      <c r="M857" s="17"/>
      <c r="N857" s="18">
        <v>0</v>
      </c>
      <c r="O857" s="19">
        <v>1</v>
      </c>
      <c r="P857" s="13">
        <v>6.621500000000001E-2</v>
      </c>
      <c r="Q857" s="32"/>
      <c r="R857" s="32"/>
      <c r="S857" s="32"/>
    </row>
    <row r="858" spans="1:19">
      <c r="A858" s="44" t="s">
        <v>78</v>
      </c>
      <c r="B858" s="32" t="s">
        <v>111</v>
      </c>
      <c r="C858" s="3">
        <v>10</v>
      </c>
      <c r="D858" s="1"/>
      <c r="E858" s="20" t="s">
        <v>114</v>
      </c>
      <c r="F858" s="7" t="s">
        <v>15</v>
      </c>
      <c r="G858" s="7" t="s">
        <v>21</v>
      </c>
      <c r="H858" s="11">
        <v>6.97</v>
      </c>
      <c r="I858" s="55">
        <v>9.6</v>
      </c>
      <c r="J858" s="40">
        <v>3</v>
      </c>
      <c r="K858" s="10">
        <v>0.200736</v>
      </c>
      <c r="L858" s="4"/>
      <c r="M858" s="17">
        <v>3</v>
      </c>
      <c r="N858" s="18">
        <v>0.20073599999999997</v>
      </c>
      <c r="O858" s="19">
        <v>0</v>
      </c>
      <c r="P858" s="13">
        <v>0</v>
      </c>
      <c r="Q858" s="32"/>
      <c r="R858" s="32"/>
      <c r="S858" s="32"/>
    </row>
    <row r="859" spans="1:19">
      <c r="A859" s="44" t="s">
        <v>78</v>
      </c>
      <c r="B859" s="32" t="s">
        <v>111</v>
      </c>
      <c r="C859" s="3">
        <v>10</v>
      </c>
      <c r="D859" s="1"/>
      <c r="E859" s="20" t="s">
        <v>114</v>
      </c>
      <c r="F859" s="7" t="s">
        <v>15</v>
      </c>
      <c r="G859" s="7" t="s">
        <v>21</v>
      </c>
      <c r="H859" s="11">
        <v>6.97</v>
      </c>
      <c r="I859" s="55">
        <v>10.1</v>
      </c>
      <c r="J859" s="40">
        <v>3</v>
      </c>
      <c r="K859" s="10">
        <v>0.21119099999999996</v>
      </c>
      <c r="L859" s="4"/>
      <c r="M859" s="17">
        <v>3</v>
      </c>
      <c r="N859" s="18">
        <v>0.21119099999999996</v>
      </c>
      <c r="O859" s="19">
        <v>0</v>
      </c>
      <c r="P859" s="13">
        <v>0</v>
      </c>
      <c r="Q859" s="32"/>
      <c r="R859" s="32"/>
      <c r="S859" s="32"/>
    </row>
    <row r="860" spans="1:19">
      <c r="A860" s="44" t="s">
        <v>78</v>
      </c>
      <c r="B860" s="32" t="s">
        <v>111</v>
      </c>
      <c r="C860" s="3">
        <v>10</v>
      </c>
      <c r="D860" s="1"/>
      <c r="E860" s="20" t="s">
        <v>114</v>
      </c>
      <c r="F860" s="7" t="s">
        <v>15</v>
      </c>
      <c r="G860" s="7" t="s">
        <v>21</v>
      </c>
      <c r="H860" s="11">
        <v>6.97</v>
      </c>
      <c r="I860" s="55">
        <v>10.199999999999999</v>
      </c>
      <c r="J860" s="40">
        <v>3</v>
      </c>
      <c r="K860" s="10">
        <v>0.21328199999999997</v>
      </c>
      <c r="L860" s="4"/>
      <c r="M860" s="17">
        <v>3</v>
      </c>
      <c r="N860" s="18">
        <v>0.21328199999999997</v>
      </c>
      <c r="O860" s="19">
        <v>0</v>
      </c>
      <c r="P860" s="13">
        <v>0</v>
      </c>
      <c r="Q860" s="93">
        <v>10</v>
      </c>
      <c r="R860" s="93">
        <v>3</v>
      </c>
      <c r="S860" s="93" t="s">
        <v>272</v>
      </c>
    </row>
    <row r="861" spans="1:19">
      <c r="A861" s="44" t="s">
        <v>78</v>
      </c>
      <c r="B861" s="32" t="s">
        <v>111</v>
      </c>
      <c r="C861" s="3">
        <v>10</v>
      </c>
      <c r="D861" s="32"/>
      <c r="E861" s="20" t="s">
        <v>114</v>
      </c>
      <c r="F861" s="7" t="s">
        <v>15</v>
      </c>
      <c r="G861" s="7" t="s">
        <v>21</v>
      </c>
      <c r="H861" s="11">
        <v>6.97</v>
      </c>
      <c r="I861" s="55">
        <v>10.5</v>
      </c>
      <c r="J861" s="40">
        <v>1</v>
      </c>
      <c r="K861" s="10">
        <v>7.3185E-2</v>
      </c>
      <c r="L861" s="4"/>
      <c r="M861" s="17">
        <v>1</v>
      </c>
      <c r="N861" s="18">
        <v>7.3185E-2</v>
      </c>
      <c r="O861" s="19">
        <v>0</v>
      </c>
      <c r="P861" s="13">
        <v>0</v>
      </c>
      <c r="Q861" s="32"/>
      <c r="R861" s="32"/>
      <c r="S861" s="32"/>
    </row>
    <row r="862" spans="1:19">
      <c r="A862" s="44" t="s">
        <v>78</v>
      </c>
      <c r="B862" s="32" t="s">
        <v>80</v>
      </c>
      <c r="C862" s="3">
        <v>1</v>
      </c>
      <c r="D862" s="32"/>
      <c r="E862" s="20" t="s">
        <v>94</v>
      </c>
      <c r="F862" s="7" t="s">
        <v>15</v>
      </c>
      <c r="G862" s="7" t="s">
        <v>21</v>
      </c>
      <c r="H862" s="11">
        <v>6.97</v>
      </c>
      <c r="I862" s="55">
        <v>10.199999999999999</v>
      </c>
      <c r="J862" s="41">
        <v>33</v>
      </c>
      <c r="K862" s="10">
        <v>2.3461019999999997</v>
      </c>
      <c r="L862" s="4"/>
      <c r="M862" s="17">
        <v>33</v>
      </c>
      <c r="N862" s="18">
        <v>2.3461019999999997</v>
      </c>
      <c r="O862" s="19">
        <v>0</v>
      </c>
      <c r="P862" s="13">
        <v>0</v>
      </c>
      <c r="Q862" s="32"/>
      <c r="R862" s="32"/>
      <c r="S862" s="32"/>
    </row>
    <row r="863" spans="1:19">
      <c r="A863" s="44" t="s">
        <v>78</v>
      </c>
      <c r="B863" s="32" t="s">
        <v>80</v>
      </c>
      <c r="C863" s="3">
        <v>9</v>
      </c>
      <c r="D863" s="32"/>
      <c r="E863" s="20" t="s">
        <v>94</v>
      </c>
      <c r="F863" s="7" t="s">
        <v>15</v>
      </c>
      <c r="G863" s="7" t="s">
        <v>21</v>
      </c>
      <c r="H863" s="11">
        <v>6.97</v>
      </c>
      <c r="I863" s="55">
        <v>9</v>
      </c>
      <c r="J863" s="41">
        <v>16</v>
      </c>
      <c r="K863" s="10">
        <v>1.0036799999999999</v>
      </c>
      <c r="L863" s="4"/>
      <c r="M863" s="17"/>
      <c r="N863" s="18">
        <v>0</v>
      </c>
      <c r="O863" s="19">
        <v>16</v>
      </c>
      <c r="P863" s="13">
        <v>1.0036799999999999</v>
      </c>
      <c r="Q863" s="32"/>
      <c r="R863" s="32"/>
      <c r="S863" s="32"/>
    </row>
    <row r="864" spans="1:19">
      <c r="A864" s="45" t="s">
        <v>136</v>
      </c>
      <c r="B864" s="32" t="s">
        <v>137</v>
      </c>
      <c r="C864" s="3">
        <v>78</v>
      </c>
      <c r="D864" s="32"/>
      <c r="E864" s="20" t="s">
        <v>94</v>
      </c>
      <c r="F864" s="7" t="s">
        <v>15</v>
      </c>
      <c r="G864" s="7" t="s">
        <v>21</v>
      </c>
      <c r="H864" s="11">
        <v>6.97</v>
      </c>
      <c r="I864" s="55">
        <v>12</v>
      </c>
      <c r="J864" s="40">
        <v>1</v>
      </c>
      <c r="K864" s="10">
        <v>8.3640000000000006E-2</v>
      </c>
      <c r="L864" s="4"/>
      <c r="M864" s="17">
        <v>1</v>
      </c>
      <c r="N864" s="18">
        <v>8.3640000000000006E-2</v>
      </c>
      <c r="O864" s="19">
        <v>0</v>
      </c>
      <c r="P864" s="13">
        <v>0</v>
      </c>
      <c r="Q864" s="93">
        <v>12</v>
      </c>
      <c r="R864" s="93">
        <v>1</v>
      </c>
      <c r="S864" s="93" t="s">
        <v>272</v>
      </c>
    </row>
    <row r="865" spans="1:21">
      <c r="A865" s="45" t="s">
        <v>136</v>
      </c>
      <c r="B865" s="32" t="s">
        <v>137</v>
      </c>
      <c r="C865" s="3">
        <v>78</v>
      </c>
      <c r="D865" s="32"/>
      <c r="E865" s="20" t="s">
        <v>94</v>
      </c>
      <c r="F865" s="7" t="s">
        <v>15</v>
      </c>
      <c r="G865" s="7" t="s">
        <v>21</v>
      </c>
      <c r="H865" s="11">
        <v>6.97</v>
      </c>
      <c r="I865" s="55">
        <v>10.5</v>
      </c>
      <c r="J865" s="40">
        <v>1</v>
      </c>
      <c r="K865" s="10">
        <v>7.3185E-2</v>
      </c>
      <c r="L865" s="4"/>
      <c r="M865" s="17">
        <v>1</v>
      </c>
      <c r="N865" s="18">
        <v>7.3185E-2</v>
      </c>
      <c r="O865" s="19">
        <v>0</v>
      </c>
      <c r="P865" s="13">
        <v>0</v>
      </c>
      <c r="Q865" s="93">
        <v>10</v>
      </c>
      <c r="R865" s="93">
        <v>1</v>
      </c>
      <c r="S865" s="93" t="s">
        <v>272</v>
      </c>
    </row>
    <row r="866" spans="1:21">
      <c r="O866" s="6">
        <f>SUM(O838:O865)</f>
        <v>26</v>
      </c>
      <c r="R866" s="6">
        <f>SUM(R838:R865)</f>
        <v>15</v>
      </c>
    </row>
    <row r="868" spans="1:21">
      <c r="A868" s="42"/>
      <c r="B868" s="3"/>
      <c r="C868" s="3"/>
      <c r="D868" s="1"/>
      <c r="E868" s="12" t="s">
        <v>20</v>
      </c>
      <c r="F868" s="7" t="s">
        <v>15</v>
      </c>
      <c r="G868" s="7" t="s">
        <v>32</v>
      </c>
      <c r="H868" s="11">
        <v>8.3000000000000007</v>
      </c>
      <c r="I868" s="8">
        <v>12</v>
      </c>
      <c r="J868" s="26">
        <v>1</v>
      </c>
      <c r="K868" s="10">
        <v>9.9600000000000008E-2</v>
      </c>
      <c r="L868" s="4"/>
      <c r="M868" s="17">
        <v>1</v>
      </c>
      <c r="N868" s="18">
        <v>9.9600000000000008E-2</v>
      </c>
      <c r="O868" s="19">
        <v>0</v>
      </c>
      <c r="P868" s="13">
        <v>0</v>
      </c>
      <c r="Q868" s="9"/>
      <c r="R868" s="2"/>
      <c r="S868" s="47">
        <v>12</v>
      </c>
      <c r="T868" s="170">
        <v>1</v>
      </c>
      <c r="U868" s="170" t="s">
        <v>272</v>
      </c>
    </row>
    <row r="869" spans="1:21">
      <c r="A869" s="48" t="s">
        <v>168</v>
      </c>
      <c r="B869" s="48" t="s">
        <v>169</v>
      </c>
      <c r="C869" s="32">
        <v>2</v>
      </c>
      <c r="D869" s="32"/>
      <c r="E869" s="48" t="s">
        <v>20</v>
      </c>
      <c r="F869" s="48" t="s">
        <v>15</v>
      </c>
      <c r="G869" s="48" t="s">
        <v>32</v>
      </c>
      <c r="H869" s="11">
        <v>8.3000000000000007</v>
      </c>
      <c r="I869" s="52">
        <v>9</v>
      </c>
      <c r="J869" s="7">
        <v>1</v>
      </c>
      <c r="K869" s="10">
        <v>7.4700000000000003E-2</v>
      </c>
      <c r="L869" s="32" t="s">
        <v>104</v>
      </c>
      <c r="M869" s="32">
        <v>1</v>
      </c>
      <c r="N869" s="18">
        <v>7.4700000000000003E-2</v>
      </c>
      <c r="O869" s="19">
        <v>0</v>
      </c>
      <c r="P869" s="13">
        <v>0</v>
      </c>
      <c r="Q869" s="32">
        <v>8.15</v>
      </c>
      <c r="R869" s="32">
        <v>1</v>
      </c>
      <c r="S869" s="32"/>
    </row>
    <row r="870" spans="1:21">
      <c r="A870" s="48" t="s">
        <v>168</v>
      </c>
      <c r="B870" s="48" t="s">
        <v>169</v>
      </c>
      <c r="C870" s="32">
        <v>2</v>
      </c>
      <c r="D870" s="32"/>
      <c r="E870" s="48" t="s">
        <v>20</v>
      </c>
      <c r="F870" s="48" t="s">
        <v>15</v>
      </c>
      <c r="G870" s="48" t="s">
        <v>32</v>
      </c>
      <c r="H870" s="11">
        <v>8.3000000000000007</v>
      </c>
      <c r="I870" s="52">
        <v>12</v>
      </c>
      <c r="J870" s="7">
        <v>1</v>
      </c>
      <c r="K870" s="10">
        <v>9.9600000000000008E-2</v>
      </c>
      <c r="L870" s="32" t="s">
        <v>104</v>
      </c>
      <c r="M870" s="32">
        <v>1</v>
      </c>
      <c r="N870" s="18">
        <v>9.9600000000000008E-2</v>
      </c>
      <c r="O870" s="19">
        <v>0</v>
      </c>
      <c r="P870" s="13">
        <v>0</v>
      </c>
      <c r="Q870" s="32"/>
      <c r="R870" s="32"/>
      <c r="S870" s="47">
        <v>12</v>
      </c>
      <c r="T870" s="170">
        <v>1</v>
      </c>
      <c r="U870" s="170" t="s">
        <v>272</v>
      </c>
    </row>
    <row r="871" spans="1:21">
      <c r="A871" s="48" t="s">
        <v>168</v>
      </c>
      <c r="B871" s="48" t="s">
        <v>169</v>
      </c>
      <c r="C871" s="32">
        <v>12</v>
      </c>
      <c r="D871" s="32"/>
      <c r="E871" s="48" t="s">
        <v>20</v>
      </c>
      <c r="F871" s="48" t="s">
        <v>15</v>
      </c>
      <c r="G871" s="48" t="s">
        <v>32</v>
      </c>
      <c r="H871" s="11">
        <v>8.3000000000000007</v>
      </c>
      <c r="I871" s="52">
        <v>11</v>
      </c>
      <c r="J871" s="7">
        <v>1</v>
      </c>
      <c r="K871" s="10">
        <v>9.1300000000000006E-2</v>
      </c>
      <c r="L871" s="32" t="s">
        <v>104</v>
      </c>
      <c r="M871" s="32">
        <v>1</v>
      </c>
      <c r="N871" s="18">
        <v>9.1300000000000006E-2</v>
      </c>
      <c r="O871" s="19">
        <v>0</v>
      </c>
      <c r="P871" s="13">
        <v>0</v>
      </c>
      <c r="Q871" s="32"/>
      <c r="R871" s="32"/>
      <c r="S871" s="32"/>
    </row>
    <row r="872" spans="1:21">
      <c r="A872" s="48" t="s">
        <v>168</v>
      </c>
      <c r="B872" s="48" t="s">
        <v>169</v>
      </c>
      <c r="C872" s="32">
        <v>12</v>
      </c>
      <c r="D872" s="32"/>
      <c r="E872" s="48" t="s">
        <v>20</v>
      </c>
      <c r="F872" s="48" t="s">
        <v>15</v>
      </c>
      <c r="G872" s="48" t="s">
        <v>32</v>
      </c>
      <c r="H872" s="11">
        <v>8.3000000000000007</v>
      </c>
      <c r="I872" s="52">
        <v>6.75</v>
      </c>
      <c r="J872" s="7">
        <v>1</v>
      </c>
      <c r="K872" s="10">
        <v>5.6025000000000005E-2</v>
      </c>
      <c r="L872" s="32" t="s">
        <v>104</v>
      </c>
      <c r="M872" s="32">
        <v>1</v>
      </c>
      <c r="N872" s="18">
        <v>5.6025000000000005E-2</v>
      </c>
      <c r="O872" s="19">
        <v>0</v>
      </c>
      <c r="P872" s="13">
        <v>0</v>
      </c>
      <c r="Q872" s="32"/>
      <c r="R872" s="32"/>
      <c r="S872" s="32"/>
    </row>
    <row r="873" spans="1:21">
      <c r="A873" s="48" t="s">
        <v>168</v>
      </c>
      <c r="B873" s="48" t="s">
        <v>169</v>
      </c>
      <c r="C873" s="32">
        <v>12</v>
      </c>
      <c r="D873" s="32"/>
      <c r="E873" s="48" t="s">
        <v>20</v>
      </c>
      <c r="F873" s="48" t="s">
        <v>15</v>
      </c>
      <c r="G873" s="48" t="s">
        <v>32</v>
      </c>
      <c r="H873" s="11">
        <v>8.3000000000000007</v>
      </c>
      <c r="I873" s="52">
        <v>7.5</v>
      </c>
      <c r="J873" s="7">
        <v>1</v>
      </c>
      <c r="K873" s="10">
        <v>6.2250000000000007E-2</v>
      </c>
      <c r="L873" s="32" t="s">
        <v>104</v>
      </c>
      <c r="M873" s="32">
        <v>1</v>
      </c>
      <c r="N873" s="18">
        <v>6.2250000000000007E-2</v>
      </c>
      <c r="O873" s="19">
        <v>0</v>
      </c>
      <c r="P873" s="13">
        <v>0</v>
      </c>
      <c r="Q873" s="32">
        <v>6.75</v>
      </c>
      <c r="R873" s="32">
        <v>1</v>
      </c>
      <c r="S873" s="32"/>
    </row>
    <row r="874" spans="1:21">
      <c r="A874" s="48" t="s">
        <v>168</v>
      </c>
      <c r="B874" s="48" t="s">
        <v>169</v>
      </c>
      <c r="C874" s="32">
        <v>12</v>
      </c>
      <c r="D874" s="32"/>
      <c r="E874" s="48" t="s">
        <v>20</v>
      </c>
      <c r="F874" s="48" t="s">
        <v>15</v>
      </c>
      <c r="G874" s="48" t="s">
        <v>32</v>
      </c>
      <c r="H874" s="11">
        <v>8.3000000000000007</v>
      </c>
      <c r="I874" s="52">
        <v>9.1</v>
      </c>
      <c r="J874" s="7">
        <v>1</v>
      </c>
      <c r="K874" s="10">
        <v>7.553E-2</v>
      </c>
      <c r="L874" s="32" t="s">
        <v>104</v>
      </c>
      <c r="M874" s="32">
        <v>1</v>
      </c>
      <c r="N874" s="18">
        <v>7.553E-2</v>
      </c>
      <c r="O874" s="19">
        <v>0</v>
      </c>
      <c r="P874" s="13">
        <v>0</v>
      </c>
      <c r="Q874" s="32">
        <v>8.15</v>
      </c>
      <c r="R874" s="32">
        <v>1</v>
      </c>
      <c r="S874" s="32"/>
    </row>
    <row r="875" spans="1:21">
      <c r="A875" s="48" t="s">
        <v>168</v>
      </c>
      <c r="B875" s="48" t="s">
        <v>169</v>
      </c>
      <c r="C875" s="32">
        <v>12</v>
      </c>
      <c r="D875" s="32"/>
      <c r="E875" s="48" t="s">
        <v>20</v>
      </c>
      <c r="F875" s="48" t="s">
        <v>15</v>
      </c>
      <c r="G875" s="48" t="s">
        <v>32</v>
      </c>
      <c r="H875" s="11">
        <v>8.3000000000000007</v>
      </c>
      <c r="I875" s="52">
        <v>9.9</v>
      </c>
      <c r="J875" s="7">
        <v>1</v>
      </c>
      <c r="K875" s="10">
        <v>8.2170000000000021E-2</v>
      </c>
      <c r="L875" s="32" t="s">
        <v>104</v>
      </c>
      <c r="M875" s="32">
        <v>1</v>
      </c>
      <c r="N875" s="18">
        <v>8.2170000000000021E-2</v>
      </c>
      <c r="O875" s="19">
        <v>0</v>
      </c>
      <c r="P875" s="13">
        <v>0</v>
      </c>
      <c r="Q875" s="32">
        <v>8.15</v>
      </c>
      <c r="R875" s="32">
        <v>1</v>
      </c>
      <c r="S875" s="32"/>
    </row>
    <row r="876" spans="1:21">
      <c r="A876" s="48" t="s">
        <v>168</v>
      </c>
      <c r="B876" s="48" t="s">
        <v>169</v>
      </c>
      <c r="C876" s="32">
        <v>12</v>
      </c>
      <c r="D876" s="32"/>
      <c r="E876" s="48" t="s">
        <v>20</v>
      </c>
      <c r="F876" s="48" t="s">
        <v>15</v>
      </c>
      <c r="G876" s="48" t="s">
        <v>32</v>
      </c>
      <c r="H876" s="11">
        <v>8.3000000000000007</v>
      </c>
      <c r="I876" s="52">
        <v>10</v>
      </c>
      <c r="J876" s="7">
        <v>2</v>
      </c>
      <c r="K876" s="10">
        <v>0.16600000000000001</v>
      </c>
      <c r="L876" s="32" t="s">
        <v>104</v>
      </c>
      <c r="M876" s="32">
        <v>2</v>
      </c>
      <c r="N876" s="18">
        <v>0.16600000000000001</v>
      </c>
      <c r="O876" s="19">
        <v>0</v>
      </c>
      <c r="P876" s="13">
        <v>0</v>
      </c>
      <c r="Q876" s="32">
        <v>8.15</v>
      </c>
      <c r="R876" s="32">
        <v>2</v>
      </c>
      <c r="S876" s="32"/>
    </row>
    <row r="877" spans="1:21">
      <c r="A877" s="48" t="s">
        <v>168</v>
      </c>
      <c r="B877" s="48" t="s">
        <v>169</v>
      </c>
      <c r="C877" s="32">
        <v>12</v>
      </c>
      <c r="D877" s="32"/>
      <c r="E877" s="48" t="s">
        <v>20</v>
      </c>
      <c r="F877" s="48" t="s">
        <v>15</v>
      </c>
      <c r="G877" s="48" t="s">
        <v>32</v>
      </c>
      <c r="H877" s="11">
        <v>8.3000000000000007</v>
      </c>
      <c r="I877" s="52">
        <v>10.1</v>
      </c>
      <c r="J877" s="7">
        <v>1</v>
      </c>
      <c r="K877" s="10">
        <v>8.3830000000000002E-2</v>
      </c>
      <c r="L877" s="32" t="s">
        <v>104</v>
      </c>
      <c r="M877" s="32">
        <v>1</v>
      </c>
      <c r="N877" s="18">
        <v>8.3830000000000002E-2</v>
      </c>
      <c r="O877" s="19">
        <v>0</v>
      </c>
      <c r="P877" s="13">
        <v>0</v>
      </c>
      <c r="Q877" s="32">
        <v>8.15</v>
      </c>
      <c r="R877" s="32">
        <v>1</v>
      </c>
      <c r="S877" s="32"/>
    </row>
    <row r="878" spans="1:21">
      <c r="A878" s="42" t="s">
        <v>84</v>
      </c>
      <c r="B878" s="3" t="s">
        <v>124</v>
      </c>
      <c r="C878" s="3">
        <v>1</v>
      </c>
      <c r="D878" s="1"/>
      <c r="E878" s="20" t="s">
        <v>114</v>
      </c>
      <c r="F878" s="7" t="s">
        <v>15</v>
      </c>
      <c r="G878" s="7" t="s">
        <v>32</v>
      </c>
      <c r="H878" s="11">
        <v>8.3000000000000007</v>
      </c>
      <c r="I878" s="8">
        <v>11.5</v>
      </c>
      <c r="J878" s="26">
        <v>6</v>
      </c>
      <c r="K878" s="10">
        <v>0.5727000000000001</v>
      </c>
      <c r="L878" s="4"/>
      <c r="M878" s="17">
        <v>6</v>
      </c>
      <c r="N878" s="18">
        <v>0.5727000000000001</v>
      </c>
      <c r="O878" s="19">
        <v>0</v>
      </c>
      <c r="P878" s="13">
        <v>0</v>
      </c>
      <c r="Q878" s="9">
        <v>11.2</v>
      </c>
      <c r="R878" s="2">
        <v>6</v>
      </c>
      <c r="S878" s="2" t="s">
        <v>203</v>
      </c>
    </row>
    <row r="879" spans="1:21">
      <c r="A879" s="42" t="s">
        <v>90</v>
      </c>
      <c r="B879" s="48" t="s">
        <v>148</v>
      </c>
      <c r="C879" s="32">
        <v>49</v>
      </c>
      <c r="D879" s="32"/>
      <c r="E879" s="48" t="s">
        <v>156</v>
      </c>
      <c r="F879" s="48" t="s">
        <v>15</v>
      </c>
      <c r="G879" s="48" t="s">
        <v>32</v>
      </c>
      <c r="H879" s="11">
        <v>8.3000000000000007</v>
      </c>
      <c r="I879" s="52">
        <v>7</v>
      </c>
      <c r="J879" s="7">
        <v>1</v>
      </c>
      <c r="K879" s="10">
        <v>5.8100000000000006E-2</v>
      </c>
      <c r="L879" s="32"/>
      <c r="M879" s="32"/>
      <c r="N879" s="18">
        <v>0</v>
      </c>
      <c r="O879" s="19">
        <v>1</v>
      </c>
      <c r="P879" s="13">
        <v>5.8100000000000006E-2</v>
      </c>
      <c r="Q879" s="32"/>
      <c r="R879" s="32"/>
      <c r="S879" s="32"/>
    </row>
    <row r="880" spans="1:21">
      <c r="A880" s="42" t="s">
        <v>90</v>
      </c>
      <c r="B880" s="48" t="s">
        <v>148</v>
      </c>
      <c r="C880" s="32">
        <v>49</v>
      </c>
      <c r="D880" s="32"/>
      <c r="E880" s="48" t="s">
        <v>156</v>
      </c>
      <c r="F880" s="48" t="s">
        <v>15</v>
      </c>
      <c r="G880" s="48" t="s">
        <v>32</v>
      </c>
      <c r="H880" s="11">
        <v>8.3000000000000007</v>
      </c>
      <c r="I880" s="52">
        <v>6.75</v>
      </c>
      <c r="J880" s="7">
        <v>1</v>
      </c>
      <c r="K880" s="10">
        <v>5.6025000000000005E-2</v>
      </c>
      <c r="L880" s="32"/>
      <c r="M880" s="32">
        <v>1</v>
      </c>
      <c r="N880" s="18">
        <v>5.6025000000000005E-2</v>
      </c>
      <c r="O880" s="64">
        <v>0</v>
      </c>
      <c r="P880" s="65">
        <v>0</v>
      </c>
      <c r="Q880" s="32"/>
      <c r="R880" s="32"/>
      <c r="S880" s="32"/>
    </row>
    <row r="881" spans="1:21">
      <c r="A881" s="42" t="s">
        <v>90</v>
      </c>
      <c r="B881" s="48" t="s">
        <v>148</v>
      </c>
      <c r="C881" s="32">
        <v>49</v>
      </c>
      <c r="D881" s="32"/>
      <c r="E881" s="48" t="s">
        <v>156</v>
      </c>
      <c r="F881" s="48" t="s">
        <v>15</v>
      </c>
      <c r="G881" s="48" t="s">
        <v>32</v>
      </c>
      <c r="H881" s="11">
        <v>8.3000000000000007</v>
      </c>
      <c r="I881" s="52">
        <v>6.5</v>
      </c>
      <c r="J881" s="7">
        <v>1</v>
      </c>
      <c r="K881" s="10">
        <v>5.3950000000000005E-2</v>
      </c>
      <c r="L881" s="32"/>
      <c r="M881" s="32"/>
      <c r="N881" s="18">
        <v>0</v>
      </c>
      <c r="O881" s="19">
        <v>1</v>
      </c>
      <c r="P881" s="13">
        <v>5.3950000000000005E-2</v>
      </c>
      <c r="Q881" s="32"/>
      <c r="R881" s="32"/>
      <c r="S881" s="32"/>
    </row>
    <row r="882" spans="1:21">
      <c r="A882" s="42" t="s">
        <v>90</v>
      </c>
      <c r="B882" s="48" t="s">
        <v>148</v>
      </c>
      <c r="C882" s="32">
        <v>65</v>
      </c>
      <c r="D882" s="32" t="s">
        <v>142</v>
      </c>
      <c r="E882" s="48" t="s">
        <v>20</v>
      </c>
      <c r="F882" s="48" t="s">
        <v>15</v>
      </c>
      <c r="G882" s="48" t="s">
        <v>32</v>
      </c>
      <c r="H882" s="11">
        <v>8.3000000000000007</v>
      </c>
      <c r="I882" s="52">
        <v>11.5</v>
      </c>
      <c r="J882" s="7">
        <v>3</v>
      </c>
      <c r="K882" s="10">
        <v>0.28635000000000005</v>
      </c>
      <c r="L882" s="32"/>
      <c r="M882" s="32">
        <v>3</v>
      </c>
      <c r="N882" s="18">
        <v>0.28635000000000005</v>
      </c>
      <c r="O882" s="19">
        <v>0</v>
      </c>
      <c r="P882" s="13">
        <v>0</v>
      </c>
      <c r="Q882" s="32"/>
      <c r="R882" s="32"/>
      <c r="S882" s="93">
        <v>11.5</v>
      </c>
      <c r="T882" s="170">
        <v>3</v>
      </c>
      <c r="U882" s="170" t="s">
        <v>272</v>
      </c>
    </row>
    <row r="883" spans="1:21">
      <c r="A883" s="42" t="s">
        <v>90</v>
      </c>
      <c r="B883" s="48" t="s">
        <v>148</v>
      </c>
      <c r="C883" s="32">
        <v>65</v>
      </c>
      <c r="D883" s="32" t="s">
        <v>142</v>
      </c>
      <c r="E883" s="48" t="s">
        <v>20</v>
      </c>
      <c r="F883" s="48" t="s">
        <v>15</v>
      </c>
      <c r="G883" s="48" t="s">
        <v>32</v>
      </c>
      <c r="H883" s="11">
        <v>8.3000000000000007</v>
      </c>
      <c r="I883" s="52">
        <v>10.5</v>
      </c>
      <c r="J883" s="7">
        <v>4</v>
      </c>
      <c r="K883" s="10">
        <v>0.34860000000000002</v>
      </c>
      <c r="L883" s="32"/>
      <c r="M883" s="32">
        <v>4</v>
      </c>
      <c r="N883" s="18">
        <v>0.34860000000000002</v>
      </c>
      <c r="O883" s="19">
        <v>0</v>
      </c>
      <c r="P883" s="13">
        <v>0</v>
      </c>
      <c r="Q883" s="32"/>
      <c r="R883" s="32"/>
      <c r="S883" s="93">
        <v>10.5</v>
      </c>
      <c r="T883" s="170">
        <v>4</v>
      </c>
      <c r="U883" s="170" t="s">
        <v>272</v>
      </c>
    </row>
    <row r="884" spans="1:21">
      <c r="A884" s="42" t="s">
        <v>90</v>
      </c>
      <c r="B884" s="48" t="s">
        <v>148</v>
      </c>
      <c r="C884" s="32">
        <v>65</v>
      </c>
      <c r="D884" s="32" t="s">
        <v>142</v>
      </c>
      <c r="E884" s="48" t="s">
        <v>20</v>
      </c>
      <c r="F884" s="48" t="s">
        <v>15</v>
      </c>
      <c r="G884" s="48" t="s">
        <v>32</v>
      </c>
      <c r="H884" s="11">
        <v>8.3000000000000007</v>
      </c>
      <c r="I884" s="52">
        <v>8.75</v>
      </c>
      <c r="J884" s="7">
        <v>3</v>
      </c>
      <c r="K884" s="10">
        <v>0.21787500000000001</v>
      </c>
      <c r="L884" s="32"/>
      <c r="M884" s="32">
        <v>3</v>
      </c>
      <c r="N884" s="18">
        <v>0.21787500000000004</v>
      </c>
      <c r="O884" s="19">
        <v>0</v>
      </c>
      <c r="P884" s="13">
        <v>0</v>
      </c>
      <c r="Q884" s="33">
        <v>7.1</v>
      </c>
      <c r="R884" s="32">
        <v>3</v>
      </c>
      <c r="S884" s="32"/>
    </row>
    <row r="885" spans="1:21">
      <c r="A885" s="42" t="s">
        <v>90</v>
      </c>
      <c r="B885" s="48" t="s">
        <v>148</v>
      </c>
      <c r="C885" s="32">
        <v>69</v>
      </c>
      <c r="D885" s="32"/>
      <c r="E885" s="48" t="s">
        <v>20</v>
      </c>
      <c r="F885" s="48" t="s">
        <v>15</v>
      </c>
      <c r="G885" s="48" t="s">
        <v>32</v>
      </c>
      <c r="H885" s="11">
        <v>8.3000000000000007</v>
      </c>
      <c r="I885" s="52">
        <v>5</v>
      </c>
      <c r="J885" s="7">
        <v>1</v>
      </c>
      <c r="K885" s="10">
        <v>4.1500000000000002E-2</v>
      </c>
      <c r="L885" s="32"/>
      <c r="M885" s="32"/>
      <c r="N885" s="18">
        <v>0</v>
      </c>
      <c r="O885" s="19">
        <v>1</v>
      </c>
      <c r="P885" s="13">
        <v>4.1500000000000002E-2</v>
      </c>
      <c r="Q885" s="33"/>
      <c r="R885" s="32"/>
      <c r="S885" s="32"/>
    </row>
    <row r="886" spans="1:21">
      <c r="A886" s="42" t="s">
        <v>90</v>
      </c>
      <c r="B886" s="48" t="s">
        <v>148</v>
      </c>
      <c r="C886" s="32">
        <v>72</v>
      </c>
      <c r="D886" s="32"/>
      <c r="E886" s="48" t="s">
        <v>20</v>
      </c>
      <c r="F886" s="48" t="s">
        <v>15</v>
      </c>
      <c r="G886" s="48" t="s">
        <v>32</v>
      </c>
      <c r="H886" s="11">
        <v>8.3000000000000007</v>
      </c>
      <c r="I886" s="52">
        <v>5.6</v>
      </c>
      <c r="J886" s="7">
        <v>1</v>
      </c>
      <c r="K886" s="10">
        <v>4.6480000000000007E-2</v>
      </c>
      <c r="L886" s="32"/>
      <c r="M886" s="32"/>
      <c r="N886" s="18">
        <v>0</v>
      </c>
      <c r="O886" s="19">
        <v>1</v>
      </c>
      <c r="P886" s="13">
        <v>4.6480000000000007E-2</v>
      </c>
      <c r="Q886" s="33"/>
      <c r="R886" s="32"/>
      <c r="S886" s="32"/>
    </row>
    <row r="887" spans="1:21">
      <c r="A887" s="42" t="s">
        <v>90</v>
      </c>
      <c r="B887" s="48" t="s">
        <v>148</v>
      </c>
      <c r="C887" s="32">
        <v>72</v>
      </c>
      <c r="D887" s="32"/>
      <c r="E887" s="48" t="s">
        <v>20</v>
      </c>
      <c r="F887" s="48" t="s">
        <v>15</v>
      </c>
      <c r="G887" s="48" t="s">
        <v>32</v>
      </c>
      <c r="H887" s="11">
        <v>8.3000000000000007</v>
      </c>
      <c r="I887" s="52">
        <v>7.5</v>
      </c>
      <c r="J887" s="7">
        <v>1</v>
      </c>
      <c r="K887" s="10">
        <v>6.2250000000000007E-2</v>
      </c>
      <c r="L887" s="32"/>
      <c r="M887" s="32">
        <v>1</v>
      </c>
      <c r="N887" s="18">
        <v>6.2250000000000007E-2</v>
      </c>
      <c r="O887" s="19">
        <v>0</v>
      </c>
      <c r="P887" s="13">
        <v>0</v>
      </c>
      <c r="Q887" s="33">
        <v>7.1</v>
      </c>
      <c r="R887" s="32">
        <v>1</v>
      </c>
      <c r="S887" s="32"/>
    </row>
    <row r="888" spans="1:21">
      <c r="A888" s="42" t="s">
        <v>90</v>
      </c>
      <c r="B888" s="48" t="s">
        <v>148</v>
      </c>
      <c r="C888" s="32">
        <v>72</v>
      </c>
      <c r="D888" s="32"/>
      <c r="E888" s="48" t="s">
        <v>20</v>
      </c>
      <c r="F888" s="48" t="s">
        <v>15</v>
      </c>
      <c r="G888" s="48" t="s">
        <v>32</v>
      </c>
      <c r="H888" s="11">
        <v>8.3000000000000007</v>
      </c>
      <c r="I888" s="52">
        <v>6.5</v>
      </c>
      <c r="J888" s="7">
        <v>1</v>
      </c>
      <c r="K888" s="10">
        <v>5.3950000000000005E-2</v>
      </c>
      <c r="L888" s="32"/>
      <c r="M888" s="32"/>
      <c r="N888" s="18">
        <v>0</v>
      </c>
      <c r="O888" s="19">
        <v>1</v>
      </c>
      <c r="P888" s="13">
        <v>5.3950000000000005E-2</v>
      </c>
      <c r="Q888" s="33"/>
      <c r="R888" s="32"/>
      <c r="S888" s="32"/>
    </row>
    <row r="889" spans="1:21">
      <c r="A889" s="42" t="s">
        <v>90</v>
      </c>
      <c r="B889" s="48" t="s">
        <v>148</v>
      </c>
      <c r="C889" s="32">
        <v>72</v>
      </c>
      <c r="D889" s="32"/>
      <c r="E889" s="48" t="s">
        <v>20</v>
      </c>
      <c r="F889" s="48" t="s">
        <v>15</v>
      </c>
      <c r="G889" s="48" t="s">
        <v>32</v>
      </c>
      <c r="H889" s="11">
        <v>8.3000000000000007</v>
      </c>
      <c r="I889" s="52">
        <v>8</v>
      </c>
      <c r="J889" s="7">
        <v>1</v>
      </c>
      <c r="K889" s="10">
        <v>6.6400000000000001E-2</v>
      </c>
      <c r="L889" s="32"/>
      <c r="M889" s="32">
        <v>1</v>
      </c>
      <c r="N889" s="18">
        <v>6.6400000000000001E-2</v>
      </c>
      <c r="O889" s="19">
        <v>0</v>
      </c>
      <c r="P889" s="13">
        <v>0</v>
      </c>
      <c r="Q889" s="32">
        <v>6.75</v>
      </c>
      <c r="R889" s="32">
        <v>1</v>
      </c>
      <c r="S889" s="32"/>
    </row>
    <row r="890" spans="1:21">
      <c r="A890" s="42" t="s">
        <v>90</v>
      </c>
      <c r="B890" s="48" t="s">
        <v>148</v>
      </c>
      <c r="C890" s="32">
        <v>72</v>
      </c>
      <c r="D890" s="32"/>
      <c r="E890" s="48" t="s">
        <v>20</v>
      </c>
      <c r="F890" s="48" t="s">
        <v>15</v>
      </c>
      <c r="G890" s="48" t="s">
        <v>32</v>
      </c>
      <c r="H890" s="11">
        <v>8.3000000000000007</v>
      </c>
      <c r="I890" s="52">
        <v>7.25</v>
      </c>
      <c r="J890" s="7">
        <v>1</v>
      </c>
      <c r="K890" s="10">
        <v>6.0175000000000006E-2</v>
      </c>
      <c r="L890" s="32"/>
      <c r="M890" s="32">
        <v>1</v>
      </c>
      <c r="N890" s="18">
        <v>6.0175000000000006E-2</v>
      </c>
      <c r="O890" s="19">
        <v>0</v>
      </c>
      <c r="P890" s="13">
        <v>0</v>
      </c>
      <c r="Q890" s="32">
        <v>6.75</v>
      </c>
      <c r="R890" s="32">
        <v>1</v>
      </c>
      <c r="S890" s="32"/>
    </row>
    <row r="891" spans="1:21">
      <c r="A891" s="42" t="s">
        <v>90</v>
      </c>
      <c r="B891" s="48" t="s">
        <v>148</v>
      </c>
      <c r="C891" s="32">
        <v>100</v>
      </c>
      <c r="D891" s="32"/>
      <c r="E891" s="48" t="s">
        <v>152</v>
      </c>
      <c r="F891" s="48" t="s">
        <v>15</v>
      </c>
      <c r="G891" s="48" t="s">
        <v>32</v>
      </c>
      <c r="H891" s="11">
        <v>8.3000000000000007</v>
      </c>
      <c r="I891" s="52">
        <v>10</v>
      </c>
      <c r="J891" s="7">
        <v>1</v>
      </c>
      <c r="K891" s="10">
        <v>8.3000000000000004E-2</v>
      </c>
      <c r="L891" s="32"/>
      <c r="M891" s="32">
        <v>1</v>
      </c>
      <c r="N891" s="18">
        <v>8.3000000000000004E-2</v>
      </c>
      <c r="O891" s="19">
        <v>0</v>
      </c>
      <c r="P891" s="13">
        <v>0</v>
      </c>
      <c r="Q891" s="32">
        <v>8.15</v>
      </c>
      <c r="R891" s="32">
        <v>1</v>
      </c>
      <c r="S891" s="32"/>
    </row>
    <row r="892" spans="1:21">
      <c r="A892" s="42" t="s">
        <v>90</v>
      </c>
      <c r="B892" s="48" t="s">
        <v>148</v>
      </c>
      <c r="C892" s="32">
        <v>100</v>
      </c>
      <c r="D892" s="32"/>
      <c r="E892" s="48" t="s">
        <v>152</v>
      </c>
      <c r="F892" s="48" t="s">
        <v>15</v>
      </c>
      <c r="G892" s="48" t="s">
        <v>32</v>
      </c>
      <c r="H892" s="11">
        <v>8.3000000000000007</v>
      </c>
      <c r="I892" s="52">
        <v>9</v>
      </c>
      <c r="J892" s="7">
        <v>1</v>
      </c>
      <c r="K892" s="10">
        <v>7.4700000000000003E-2</v>
      </c>
      <c r="L892" s="32"/>
      <c r="M892" s="32">
        <v>1</v>
      </c>
      <c r="N892" s="18">
        <v>7.4700000000000003E-2</v>
      </c>
      <c r="O892" s="19">
        <v>0</v>
      </c>
      <c r="P892" s="13">
        <v>0</v>
      </c>
      <c r="Q892" s="32">
        <v>8.15</v>
      </c>
      <c r="R892" s="32">
        <v>1</v>
      </c>
      <c r="S892" s="32"/>
    </row>
    <row r="893" spans="1:21">
      <c r="A893" s="42" t="s">
        <v>90</v>
      </c>
      <c r="B893" s="3"/>
      <c r="C893" s="3">
        <v>224</v>
      </c>
      <c r="D893" s="1"/>
      <c r="E893" s="20" t="s">
        <v>105</v>
      </c>
      <c r="F893" s="7" t="s">
        <v>15</v>
      </c>
      <c r="G893" s="7" t="s">
        <v>32</v>
      </c>
      <c r="H893" s="11">
        <v>8.3000000000000007</v>
      </c>
      <c r="I893" s="8">
        <v>9.1</v>
      </c>
      <c r="J893" s="26">
        <v>1</v>
      </c>
      <c r="K893" s="10">
        <v>7.553E-2</v>
      </c>
      <c r="L893" s="4"/>
      <c r="M893" s="17">
        <v>1</v>
      </c>
      <c r="N893" s="18">
        <v>7.553E-2</v>
      </c>
      <c r="O893" s="19">
        <v>0</v>
      </c>
      <c r="P893" s="13">
        <v>0</v>
      </c>
      <c r="Q893" s="32">
        <v>8.15</v>
      </c>
      <c r="R893" s="32">
        <v>1</v>
      </c>
      <c r="S893" s="32"/>
    </row>
    <row r="894" spans="1:21">
      <c r="A894" s="47" t="s">
        <v>147</v>
      </c>
      <c r="B894" s="48" t="s">
        <v>148</v>
      </c>
      <c r="C894" s="32">
        <v>281</v>
      </c>
      <c r="D894" s="32"/>
      <c r="E894" s="48" t="s">
        <v>20</v>
      </c>
      <c r="F894" s="48" t="s">
        <v>160</v>
      </c>
      <c r="G894" s="48" t="s">
        <v>32</v>
      </c>
      <c r="H894" s="11">
        <v>8.3000000000000007</v>
      </c>
      <c r="I894" s="52">
        <v>8</v>
      </c>
      <c r="J894" s="7">
        <v>1</v>
      </c>
      <c r="K894" s="10">
        <v>6.6400000000000001E-2</v>
      </c>
      <c r="L894" s="32"/>
      <c r="M894" s="32">
        <v>1</v>
      </c>
      <c r="N894" s="18">
        <v>6.6400000000000001E-2</v>
      </c>
      <c r="O894" s="19">
        <v>0</v>
      </c>
      <c r="P894" s="13">
        <v>0</v>
      </c>
      <c r="Q894" s="32">
        <v>8.15</v>
      </c>
      <c r="R894" s="32">
        <v>1</v>
      </c>
      <c r="S894" s="32"/>
    </row>
    <row r="895" spans="1:21">
      <c r="A895" s="47" t="s">
        <v>147</v>
      </c>
      <c r="B895" s="48" t="s">
        <v>148</v>
      </c>
      <c r="C895" s="32">
        <v>281</v>
      </c>
      <c r="D895" s="32"/>
      <c r="E895" s="48" t="s">
        <v>20</v>
      </c>
      <c r="F895" s="48" t="s">
        <v>160</v>
      </c>
      <c r="G895" s="48" t="s">
        <v>32</v>
      </c>
      <c r="H895" s="11">
        <v>8.3000000000000007</v>
      </c>
      <c r="I895" s="52">
        <v>8.4</v>
      </c>
      <c r="J895" s="7">
        <v>1</v>
      </c>
      <c r="K895" s="10">
        <v>6.9720000000000018E-2</v>
      </c>
      <c r="L895" s="32"/>
      <c r="M895" s="32">
        <v>1</v>
      </c>
      <c r="N895" s="18">
        <v>6.9720000000000018E-2</v>
      </c>
      <c r="O895" s="19">
        <v>0</v>
      </c>
      <c r="P895" s="13">
        <v>0</v>
      </c>
      <c r="Q895" s="32">
        <v>8.15</v>
      </c>
      <c r="R895" s="32">
        <v>1</v>
      </c>
      <c r="S895" s="32"/>
    </row>
    <row r="896" spans="1:21">
      <c r="A896" s="47" t="s">
        <v>147</v>
      </c>
      <c r="B896" s="48" t="s">
        <v>148</v>
      </c>
      <c r="C896" s="32">
        <v>281</v>
      </c>
      <c r="D896" s="32"/>
      <c r="E896" s="48" t="s">
        <v>20</v>
      </c>
      <c r="F896" s="48" t="s">
        <v>160</v>
      </c>
      <c r="G896" s="48" t="s">
        <v>32</v>
      </c>
      <c r="H896" s="11">
        <v>8.3000000000000007</v>
      </c>
      <c r="I896" s="52">
        <v>10.5</v>
      </c>
      <c r="J896" s="7">
        <v>3</v>
      </c>
      <c r="K896" s="10">
        <v>0.26145000000000007</v>
      </c>
      <c r="L896" s="32"/>
      <c r="M896" s="32">
        <v>3</v>
      </c>
      <c r="N896" s="18">
        <v>0.26145000000000007</v>
      </c>
      <c r="O896" s="19">
        <v>0</v>
      </c>
      <c r="P896" s="13">
        <v>0</v>
      </c>
      <c r="Q896" s="32">
        <v>8.15</v>
      </c>
      <c r="R896" s="32">
        <v>3</v>
      </c>
      <c r="S896" s="32"/>
    </row>
    <row r="897" spans="1:22">
      <c r="A897" s="44" t="s">
        <v>78</v>
      </c>
      <c r="B897" s="32" t="s">
        <v>80</v>
      </c>
      <c r="C897" s="3">
        <v>1</v>
      </c>
      <c r="D897" s="32"/>
      <c r="E897" s="20" t="s">
        <v>94</v>
      </c>
      <c r="F897" s="7" t="s">
        <v>15</v>
      </c>
      <c r="G897" s="7" t="s">
        <v>32</v>
      </c>
      <c r="H897" s="11">
        <v>8.3000000000000007</v>
      </c>
      <c r="I897" s="33">
        <v>12</v>
      </c>
      <c r="J897" s="40">
        <v>8</v>
      </c>
      <c r="K897" s="10">
        <v>0.79680000000000006</v>
      </c>
      <c r="L897" s="4"/>
      <c r="M897" s="17">
        <v>8</v>
      </c>
      <c r="N897" s="18">
        <v>0.79680000000000006</v>
      </c>
      <c r="O897" s="19">
        <v>0</v>
      </c>
      <c r="P897" s="13">
        <v>0</v>
      </c>
      <c r="Q897" s="32"/>
      <c r="R897" s="32"/>
      <c r="S897" s="94">
        <v>12</v>
      </c>
      <c r="T897" s="170">
        <v>4</v>
      </c>
      <c r="U897" s="170" t="s">
        <v>272</v>
      </c>
    </row>
    <row r="898" spans="1:22">
      <c r="A898" s="44" t="s">
        <v>78</v>
      </c>
      <c r="B898" s="32" t="s">
        <v>80</v>
      </c>
      <c r="C898" s="3">
        <v>1</v>
      </c>
      <c r="D898" s="32"/>
      <c r="E898" s="20" t="s">
        <v>114</v>
      </c>
      <c r="F898" s="7" t="s">
        <v>15</v>
      </c>
      <c r="G898" s="7" t="s">
        <v>32</v>
      </c>
      <c r="H898" s="11">
        <v>8.3000000000000007</v>
      </c>
      <c r="I898" s="33">
        <v>6</v>
      </c>
      <c r="J898" s="40">
        <v>2</v>
      </c>
      <c r="K898" s="10">
        <v>9.9600000000000008E-2</v>
      </c>
      <c r="L898" s="4"/>
      <c r="M898" s="17"/>
      <c r="N898" s="18">
        <v>0</v>
      </c>
      <c r="O898" s="19">
        <v>2</v>
      </c>
      <c r="P898" s="13">
        <v>9.9600000000000008E-2</v>
      </c>
      <c r="Q898" s="32"/>
      <c r="R898" s="32"/>
      <c r="S898" s="33"/>
    </row>
    <row r="899" spans="1:22">
      <c r="A899" s="44" t="s">
        <v>78</v>
      </c>
      <c r="B899" s="32" t="s">
        <v>80</v>
      </c>
      <c r="C899" s="3">
        <v>1</v>
      </c>
      <c r="D899" s="32"/>
      <c r="E899" s="20" t="s">
        <v>114</v>
      </c>
      <c r="F899" s="7" t="s">
        <v>15</v>
      </c>
      <c r="G899" s="7" t="s">
        <v>32</v>
      </c>
      <c r="H899" s="11">
        <v>8.3000000000000007</v>
      </c>
      <c r="I899" s="33">
        <v>8</v>
      </c>
      <c r="J899" s="40">
        <v>2</v>
      </c>
      <c r="K899" s="10">
        <v>0.1328</v>
      </c>
      <c r="L899" s="4"/>
      <c r="M899" s="17">
        <v>2</v>
      </c>
      <c r="N899" s="18">
        <v>0.1328</v>
      </c>
      <c r="O899" s="19">
        <v>0</v>
      </c>
      <c r="P899" s="13">
        <v>0</v>
      </c>
      <c r="Q899" s="32">
        <v>6.75</v>
      </c>
      <c r="R899" s="32">
        <v>2</v>
      </c>
      <c r="S899" s="33"/>
    </row>
    <row r="900" spans="1:22">
      <c r="A900" s="44" t="s">
        <v>78</v>
      </c>
      <c r="B900" s="32" t="s">
        <v>80</v>
      </c>
      <c r="C900" s="3">
        <v>1</v>
      </c>
      <c r="D900" s="32"/>
      <c r="E900" s="20" t="s">
        <v>114</v>
      </c>
      <c r="F900" s="7" t="s">
        <v>15</v>
      </c>
      <c r="G900" s="7" t="s">
        <v>32</v>
      </c>
      <c r="H900" s="11">
        <v>8.3000000000000007</v>
      </c>
      <c r="I900" s="33">
        <v>10</v>
      </c>
      <c r="J900" s="40">
        <v>3</v>
      </c>
      <c r="K900" s="10">
        <v>0.249</v>
      </c>
      <c r="L900" s="4"/>
      <c r="M900" s="17">
        <v>3</v>
      </c>
      <c r="N900" s="18">
        <v>0.24900000000000003</v>
      </c>
      <c r="O900" s="19">
        <v>0</v>
      </c>
      <c r="P900" s="13">
        <v>0</v>
      </c>
      <c r="Q900" s="32">
        <v>8.15</v>
      </c>
      <c r="R900" s="32">
        <v>3</v>
      </c>
      <c r="S900" s="33"/>
    </row>
    <row r="901" spans="1:22">
      <c r="A901" s="44" t="s">
        <v>78</v>
      </c>
      <c r="B901" s="32" t="s">
        <v>80</v>
      </c>
      <c r="C901" s="3">
        <v>1</v>
      </c>
      <c r="D901" s="32"/>
      <c r="E901" s="20" t="s">
        <v>114</v>
      </c>
      <c r="F901" s="7" t="s">
        <v>15</v>
      </c>
      <c r="G901" s="7" t="s">
        <v>32</v>
      </c>
      <c r="H901" s="11">
        <v>8.3000000000000007</v>
      </c>
      <c r="I901" s="33">
        <v>10.5</v>
      </c>
      <c r="J901" s="40">
        <v>9</v>
      </c>
      <c r="K901" s="10">
        <v>0.78434999999999999</v>
      </c>
      <c r="L901" s="4"/>
      <c r="M901" s="17">
        <v>9</v>
      </c>
      <c r="N901" s="18">
        <v>0.78434999999999999</v>
      </c>
      <c r="O901" s="19">
        <v>0</v>
      </c>
      <c r="P901" s="13">
        <v>0</v>
      </c>
      <c r="Q901" s="32"/>
      <c r="R901" s="32"/>
      <c r="S901" s="94">
        <v>10.5</v>
      </c>
      <c r="T901" s="170">
        <v>9</v>
      </c>
      <c r="U901" s="170" t="s">
        <v>272</v>
      </c>
    </row>
    <row r="902" spans="1:22">
      <c r="A902" s="44" t="s">
        <v>78</v>
      </c>
      <c r="B902" s="32" t="s">
        <v>80</v>
      </c>
      <c r="C902" s="3">
        <v>2</v>
      </c>
      <c r="D902" s="32"/>
      <c r="E902" s="20" t="s">
        <v>114</v>
      </c>
      <c r="F902" s="7" t="s">
        <v>15</v>
      </c>
      <c r="G902" s="7" t="s">
        <v>32</v>
      </c>
      <c r="H902" s="11">
        <v>8.3000000000000007</v>
      </c>
      <c r="I902" s="33">
        <v>11</v>
      </c>
      <c r="J902" s="40">
        <v>9</v>
      </c>
      <c r="K902" s="10">
        <v>0.8217000000000001</v>
      </c>
      <c r="L902" s="4"/>
      <c r="M902" s="17">
        <v>9</v>
      </c>
      <c r="N902" s="18">
        <v>0.8217000000000001</v>
      </c>
      <c r="O902" s="19">
        <v>0</v>
      </c>
      <c r="P902" s="13">
        <v>0</v>
      </c>
      <c r="Q902" s="32"/>
      <c r="R902" s="32"/>
      <c r="S902" s="94">
        <v>11</v>
      </c>
      <c r="T902" s="170">
        <v>3</v>
      </c>
      <c r="U902" s="170" t="s">
        <v>272</v>
      </c>
    </row>
    <row r="903" spans="1:22">
      <c r="A903" s="44" t="s">
        <v>78</v>
      </c>
      <c r="B903" s="32" t="s">
        <v>80</v>
      </c>
      <c r="C903" s="3">
        <v>2</v>
      </c>
      <c r="D903" s="32"/>
      <c r="E903" s="20" t="s">
        <v>114</v>
      </c>
      <c r="F903" s="7" t="s">
        <v>15</v>
      </c>
      <c r="G903" s="7" t="s">
        <v>32</v>
      </c>
      <c r="H903" s="11">
        <v>8.3000000000000007</v>
      </c>
      <c r="I903" s="33">
        <v>12</v>
      </c>
      <c r="J903" s="40">
        <v>7</v>
      </c>
      <c r="K903" s="10">
        <v>0.69720000000000004</v>
      </c>
      <c r="L903" s="4"/>
      <c r="M903" s="17">
        <v>7</v>
      </c>
      <c r="N903" s="18">
        <v>0.69720000000000004</v>
      </c>
      <c r="O903" s="19">
        <v>0</v>
      </c>
      <c r="P903" s="13">
        <v>0</v>
      </c>
      <c r="Q903" s="32"/>
      <c r="R903" s="32"/>
      <c r="S903" s="159"/>
      <c r="T903" s="29"/>
      <c r="U903" s="29"/>
      <c r="V903" s="29"/>
    </row>
    <row r="904" spans="1:22">
      <c r="A904" s="44" t="s">
        <v>78</v>
      </c>
      <c r="B904" s="32" t="s">
        <v>80</v>
      </c>
      <c r="C904" s="3">
        <v>3</v>
      </c>
      <c r="D904" s="32"/>
      <c r="E904" s="20" t="s">
        <v>114</v>
      </c>
      <c r="F904" s="7" t="s">
        <v>15</v>
      </c>
      <c r="G904" s="7" t="s">
        <v>32</v>
      </c>
      <c r="H904" s="11">
        <v>8.3000000000000007</v>
      </c>
      <c r="I904" s="33">
        <v>11.5</v>
      </c>
      <c r="J904" s="40">
        <v>16</v>
      </c>
      <c r="K904" s="10">
        <v>1.5272000000000001</v>
      </c>
      <c r="L904" s="4"/>
      <c r="M904" s="17">
        <v>16</v>
      </c>
      <c r="N904" s="18">
        <v>1.5272000000000001</v>
      </c>
      <c r="O904" s="19">
        <v>0</v>
      </c>
      <c r="P904" s="13">
        <v>0</v>
      </c>
      <c r="Q904" s="32"/>
      <c r="R904" s="32"/>
      <c r="S904" s="94">
        <v>11</v>
      </c>
      <c r="T904" s="170">
        <v>3</v>
      </c>
      <c r="U904" s="170" t="s">
        <v>272</v>
      </c>
    </row>
    <row r="905" spans="1:22">
      <c r="A905" s="45" t="s">
        <v>136</v>
      </c>
      <c r="B905" s="48" t="s">
        <v>171</v>
      </c>
      <c r="C905" s="32">
        <v>126</v>
      </c>
      <c r="D905" s="32"/>
      <c r="E905" s="48" t="s">
        <v>20</v>
      </c>
      <c r="F905" s="48" t="s">
        <v>15</v>
      </c>
      <c r="G905" s="48" t="s">
        <v>32</v>
      </c>
      <c r="H905" s="11">
        <v>8.3000000000000007</v>
      </c>
      <c r="I905" s="52">
        <v>10.3</v>
      </c>
      <c r="J905" s="7">
        <v>4</v>
      </c>
      <c r="K905" s="10">
        <v>0.34196000000000004</v>
      </c>
      <c r="L905" s="32"/>
      <c r="M905" s="32">
        <v>4</v>
      </c>
      <c r="N905" s="18">
        <v>0.34196000000000004</v>
      </c>
      <c r="O905" s="19">
        <v>0</v>
      </c>
      <c r="P905" s="13">
        <v>0</v>
      </c>
      <c r="Q905" s="32">
        <v>8.15</v>
      </c>
      <c r="R905" s="32">
        <v>4</v>
      </c>
      <c r="S905" s="32"/>
    </row>
    <row r="906" spans="1:22">
      <c r="O906" s="6">
        <f>SUM(O868:O905)</f>
        <v>7</v>
      </c>
      <c r="T906" s="6">
        <f>SUM(T868:T905)</f>
        <v>28</v>
      </c>
    </row>
    <row r="909" spans="1:22">
      <c r="A909" s="42" t="s">
        <v>77</v>
      </c>
      <c r="B909" s="3" t="s">
        <v>68</v>
      </c>
      <c r="C909" s="3">
        <v>429</v>
      </c>
      <c r="D909" s="1"/>
      <c r="E909" s="20" t="s">
        <v>17</v>
      </c>
      <c r="F909" s="7" t="s">
        <v>15</v>
      </c>
      <c r="G909" s="7" t="s">
        <v>29</v>
      </c>
      <c r="H909" s="11">
        <v>10.92</v>
      </c>
      <c r="I909" s="8">
        <v>9.5</v>
      </c>
      <c r="J909" s="26">
        <v>7</v>
      </c>
      <c r="K909" s="10">
        <v>0.72617999999999994</v>
      </c>
      <c r="L909" s="4"/>
      <c r="M909" s="17">
        <v>6</v>
      </c>
      <c r="N909" s="18">
        <v>0.62243999999999999</v>
      </c>
      <c r="O909" s="19">
        <v>1</v>
      </c>
      <c r="P909" s="13">
        <v>0.10374</v>
      </c>
      <c r="Q909" s="9"/>
      <c r="R909" s="2"/>
      <c r="S909" s="2"/>
    </row>
    <row r="910" spans="1:22">
      <c r="A910" s="42" t="s">
        <v>77</v>
      </c>
      <c r="B910" s="3" t="s">
        <v>68</v>
      </c>
      <c r="C910" s="3">
        <v>430</v>
      </c>
      <c r="D910" s="1"/>
      <c r="E910" s="20" t="s">
        <v>17</v>
      </c>
      <c r="F910" s="7" t="s">
        <v>15</v>
      </c>
      <c r="G910" s="7" t="s">
        <v>29</v>
      </c>
      <c r="H910" s="11">
        <v>10.92</v>
      </c>
      <c r="I910" s="8">
        <v>11.3</v>
      </c>
      <c r="J910" s="26">
        <v>4</v>
      </c>
      <c r="K910" s="10">
        <v>0.49358400000000002</v>
      </c>
      <c r="L910" s="4"/>
      <c r="M910" s="17">
        <v>4</v>
      </c>
      <c r="N910" s="18">
        <v>0.49358400000000002</v>
      </c>
      <c r="O910" s="19">
        <v>0</v>
      </c>
      <c r="P910" s="13">
        <v>0</v>
      </c>
      <c r="Q910" s="73">
        <v>11.3</v>
      </c>
      <c r="R910" s="74">
        <v>4</v>
      </c>
      <c r="S910" s="74" t="s">
        <v>273</v>
      </c>
    </row>
    <row r="911" spans="1:22">
      <c r="A911" s="42" t="s">
        <v>77</v>
      </c>
      <c r="B911" s="3" t="s">
        <v>68</v>
      </c>
      <c r="C911" s="3">
        <v>430</v>
      </c>
      <c r="D911" s="1"/>
      <c r="E911" s="20" t="s">
        <v>17</v>
      </c>
      <c r="F911" s="7" t="s">
        <v>15</v>
      </c>
      <c r="G911" s="7" t="s">
        <v>29</v>
      </c>
      <c r="H911" s="11">
        <v>10.92</v>
      </c>
      <c r="I911" s="8">
        <v>11.4</v>
      </c>
      <c r="J911" s="26">
        <v>10</v>
      </c>
      <c r="K911" s="10">
        <v>1.2448800000000002</v>
      </c>
      <c r="L911" s="4"/>
      <c r="M911" s="17"/>
      <c r="N911" s="18">
        <v>0</v>
      </c>
      <c r="O911" s="19">
        <v>10</v>
      </c>
      <c r="P911" s="13">
        <v>1.24488</v>
      </c>
      <c r="Q911" s="9"/>
      <c r="R911" s="2"/>
      <c r="S911" s="2"/>
    </row>
    <row r="912" spans="1:22">
      <c r="A912" s="47" t="s">
        <v>147</v>
      </c>
      <c r="B912" s="48" t="s">
        <v>148</v>
      </c>
      <c r="C912" s="32">
        <v>319</v>
      </c>
      <c r="D912" s="32"/>
      <c r="E912" s="48" t="s">
        <v>17</v>
      </c>
      <c r="F912" s="48" t="s">
        <v>160</v>
      </c>
      <c r="G912" s="48" t="s">
        <v>29</v>
      </c>
      <c r="H912" s="11">
        <v>10.92</v>
      </c>
      <c r="I912" s="52">
        <v>9.5</v>
      </c>
      <c r="J912" s="7">
        <v>10</v>
      </c>
      <c r="K912" s="10">
        <v>1.0373999999999999</v>
      </c>
      <c r="L912" s="32"/>
      <c r="M912" s="32">
        <v>10</v>
      </c>
      <c r="N912" s="18">
        <v>1.0374000000000001</v>
      </c>
      <c r="O912" s="19">
        <v>0</v>
      </c>
      <c r="P912" s="13">
        <v>0</v>
      </c>
      <c r="Q912" s="32"/>
      <c r="R912" s="32"/>
      <c r="S912" s="32"/>
    </row>
    <row r="913" spans="1:19">
      <c r="A913" s="47" t="s">
        <v>147</v>
      </c>
      <c r="B913" s="48" t="s">
        <v>148</v>
      </c>
      <c r="C913" s="32">
        <v>320</v>
      </c>
      <c r="D913" s="32"/>
      <c r="E913" s="48" t="s">
        <v>17</v>
      </c>
      <c r="F913" s="48" t="s">
        <v>160</v>
      </c>
      <c r="G913" s="48" t="s">
        <v>29</v>
      </c>
      <c r="H913" s="11">
        <v>10.92</v>
      </c>
      <c r="I913" s="52">
        <v>11.3</v>
      </c>
      <c r="J913" s="7">
        <v>11</v>
      </c>
      <c r="K913" s="10">
        <v>1.357356</v>
      </c>
      <c r="L913" s="32"/>
      <c r="M913" s="32"/>
      <c r="N913" s="18">
        <v>0</v>
      </c>
      <c r="O913" s="19">
        <v>11</v>
      </c>
      <c r="P913" s="13">
        <v>1.3573560000000002</v>
      </c>
      <c r="Q913" s="32"/>
      <c r="R913" s="32"/>
      <c r="S913" s="32"/>
    </row>
    <row r="914" spans="1:19">
      <c r="A914" s="47" t="s">
        <v>147</v>
      </c>
      <c r="B914" s="48" t="s">
        <v>148</v>
      </c>
      <c r="C914" s="32">
        <v>321</v>
      </c>
      <c r="D914" s="32"/>
      <c r="E914" s="48" t="s">
        <v>17</v>
      </c>
      <c r="F914" s="48" t="s">
        <v>160</v>
      </c>
      <c r="G914" s="48" t="s">
        <v>29</v>
      </c>
      <c r="H914" s="11">
        <v>10.92</v>
      </c>
      <c r="I914" s="52">
        <v>7.5</v>
      </c>
      <c r="J914" s="7">
        <v>22</v>
      </c>
      <c r="K914" s="10">
        <v>1.8018000000000003</v>
      </c>
      <c r="L914" s="32"/>
      <c r="M914" s="32">
        <v>18</v>
      </c>
      <c r="N914" s="18">
        <v>1.4742</v>
      </c>
      <c r="O914" s="19">
        <v>4</v>
      </c>
      <c r="P914" s="13">
        <v>0.3276</v>
      </c>
      <c r="Q914" s="32"/>
      <c r="R914" s="32"/>
      <c r="S914" s="32"/>
    </row>
    <row r="915" spans="1:19">
      <c r="A915" s="47" t="s">
        <v>147</v>
      </c>
      <c r="B915" s="48" t="s">
        <v>148</v>
      </c>
      <c r="C915" s="32">
        <v>322</v>
      </c>
      <c r="D915" s="32"/>
      <c r="E915" s="48" t="s">
        <v>17</v>
      </c>
      <c r="F915" s="48" t="s">
        <v>160</v>
      </c>
      <c r="G915" s="48" t="s">
        <v>29</v>
      </c>
      <c r="H915" s="11">
        <v>10.92</v>
      </c>
      <c r="I915" s="52">
        <v>6.3</v>
      </c>
      <c r="J915" s="7">
        <v>1</v>
      </c>
      <c r="K915" s="10">
        <v>6.8795999999999996E-2</v>
      </c>
      <c r="L915" s="32"/>
      <c r="M915" s="32"/>
      <c r="N915" s="18">
        <v>0</v>
      </c>
      <c r="O915" s="19">
        <v>1</v>
      </c>
      <c r="P915" s="13">
        <v>6.8795999999999996E-2</v>
      </c>
      <c r="Q915" s="32"/>
      <c r="R915" s="32"/>
      <c r="S915" s="32"/>
    </row>
    <row r="916" spans="1:19">
      <c r="A916" s="47" t="s">
        <v>147</v>
      </c>
      <c r="B916" s="48" t="s">
        <v>148</v>
      </c>
      <c r="C916" s="32">
        <v>322</v>
      </c>
      <c r="D916" s="32"/>
      <c r="E916" s="48" t="s">
        <v>17</v>
      </c>
      <c r="F916" s="48" t="s">
        <v>160</v>
      </c>
      <c r="G916" s="48" t="s">
        <v>29</v>
      </c>
      <c r="H916" s="11">
        <v>10.92</v>
      </c>
      <c r="I916" s="52">
        <v>9.4</v>
      </c>
      <c r="J916" s="7">
        <v>1</v>
      </c>
      <c r="K916" s="10">
        <v>0.10264799999999999</v>
      </c>
      <c r="L916" s="32"/>
      <c r="M916" s="32"/>
      <c r="N916" s="18">
        <v>0</v>
      </c>
      <c r="O916" s="19">
        <v>1</v>
      </c>
      <c r="P916" s="13">
        <v>0.10264799999999999</v>
      </c>
      <c r="Q916" s="32"/>
      <c r="R916" s="32"/>
      <c r="S916" s="32"/>
    </row>
    <row r="919" spans="1:19">
      <c r="A919" s="42" t="s">
        <v>77</v>
      </c>
      <c r="B919" s="3" t="s">
        <v>68</v>
      </c>
      <c r="C919" s="3">
        <v>382</v>
      </c>
      <c r="D919" s="1"/>
      <c r="E919" s="20" t="s">
        <v>24</v>
      </c>
      <c r="F919" s="7" t="s">
        <v>14</v>
      </c>
      <c r="G919" s="7" t="s">
        <v>21</v>
      </c>
      <c r="H919" s="11">
        <v>6.97</v>
      </c>
      <c r="I919" s="8">
        <v>7.1</v>
      </c>
      <c r="J919" s="26">
        <v>1</v>
      </c>
      <c r="K919" s="10">
        <v>4.9486999999999996E-2</v>
      </c>
      <c r="L919" s="4"/>
      <c r="M919" s="17"/>
      <c r="N919" s="18">
        <v>0</v>
      </c>
      <c r="O919" s="19">
        <v>1</v>
      </c>
      <c r="P919" s="13">
        <v>4.9486999999999996E-2</v>
      </c>
      <c r="Q919" s="9"/>
      <c r="R919" s="2"/>
      <c r="S919" s="2"/>
    </row>
    <row r="920" spans="1:19">
      <c r="A920" s="42" t="s">
        <v>77</v>
      </c>
      <c r="B920" s="3" t="s">
        <v>68</v>
      </c>
      <c r="C920" s="3">
        <v>382</v>
      </c>
      <c r="D920" s="1"/>
      <c r="E920" s="20" t="s">
        <v>24</v>
      </c>
      <c r="F920" s="7" t="s">
        <v>14</v>
      </c>
      <c r="G920" s="7" t="s">
        <v>21</v>
      </c>
      <c r="H920" s="11">
        <v>6.97</v>
      </c>
      <c r="I920" s="8">
        <v>7.5</v>
      </c>
      <c r="J920" s="26">
        <v>1</v>
      </c>
      <c r="K920" s="10">
        <v>5.2275000000000002E-2</v>
      </c>
      <c r="L920" s="4"/>
      <c r="M920" s="17">
        <v>1</v>
      </c>
      <c r="N920" s="18">
        <v>5.2275000000000002E-2</v>
      </c>
      <c r="O920" s="19">
        <v>0</v>
      </c>
      <c r="P920" s="13">
        <v>0</v>
      </c>
      <c r="Q920" s="9"/>
      <c r="R920" s="74">
        <v>1</v>
      </c>
      <c r="S920" s="74" t="s">
        <v>274</v>
      </c>
    </row>
    <row r="921" spans="1:19">
      <c r="A921" s="42" t="s">
        <v>77</v>
      </c>
      <c r="B921" s="3" t="s">
        <v>68</v>
      </c>
      <c r="C921" s="3">
        <v>382</v>
      </c>
      <c r="D921" s="1"/>
      <c r="E921" s="20" t="s">
        <v>24</v>
      </c>
      <c r="F921" s="7" t="s">
        <v>14</v>
      </c>
      <c r="G921" s="7" t="s">
        <v>21</v>
      </c>
      <c r="H921" s="11">
        <v>6.97</v>
      </c>
      <c r="I921" s="8">
        <v>9.6</v>
      </c>
      <c r="J921" s="26">
        <v>1</v>
      </c>
      <c r="K921" s="10">
        <v>6.6911999999999985E-2</v>
      </c>
      <c r="L921" s="4"/>
      <c r="M921" s="17">
        <v>1</v>
      </c>
      <c r="N921" s="18">
        <v>6.6911999999999985E-2</v>
      </c>
      <c r="O921" s="19">
        <v>0</v>
      </c>
      <c r="P921" s="13">
        <v>0</v>
      </c>
      <c r="Q921" s="9"/>
      <c r="R921" s="74">
        <v>1</v>
      </c>
      <c r="S921" s="74" t="s">
        <v>274</v>
      </c>
    </row>
    <row r="922" spans="1:19">
      <c r="A922" s="42" t="s">
        <v>77</v>
      </c>
      <c r="B922" s="3" t="s">
        <v>68</v>
      </c>
      <c r="C922" s="3">
        <v>382</v>
      </c>
      <c r="D922" s="1"/>
      <c r="E922" s="20" t="s">
        <v>24</v>
      </c>
      <c r="F922" s="7" t="s">
        <v>14</v>
      </c>
      <c r="G922" s="7" t="s">
        <v>21</v>
      </c>
      <c r="H922" s="11">
        <v>6.97</v>
      </c>
      <c r="I922" s="8">
        <v>9.8000000000000007</v>
      </c>
      <c r="J922" s="26">
        <v>6</v>
      </c>
      <c r="K922" s="10">
        <v>0.40983600000000003</v>
      </c>
      <c r="L922" s="4"/>
      <c r="M922" s="17">
        <v>6</v>
      </c>
      <c r="N922" s="18">
        <v>0.40983600000000003</v>
      </c>
      <c r="O922" s="19">
        <v>0</v>
      </c>
      <c r="P922" s="13">
        <v>0</v>
      </c>
      <c r="Q922" s="9"/>
      <c r="R922" s="74">
        <v>6</v>
      </c>
      <c r="S922" s="74" t="s">
        <v>274</v>
      </c>
    </row>
    <row r="923" spans="1:19">
      <c r="A923" s="42" t="s">
        <v>77</v>
      </c>
      <c r="B923" s="3" t="s">
        <v>68</v>
      </c>
      <c r="C923" s="3">
        <v>446</v>
      </c>
      <c r="D923" s="1"/>
      <c r="E923" s="20" t="s">
        <v>24</v>
      </c>
      <c r="F923" s="7" t="s">
        <v>14</v>
      </c>
      <c r="G923" s="7" t="s">
        <v>21</v>
      </c>
      <c r="H923" s="11">
        <v>6.97</v>
      </c>
      <c r="I923" s="8">
        <v>9</v>
      </c>
      <c r="J923" s="26">
        <v>1</v>
      </c>
      <c r="K923" s="10">
        <v>6.2729999999999994E-2</v>
      </c>
      <c r="L923" s="4"/>
      <c r="M923" s="17"/>
      <c r="N923" s="18">
        <v>0</v>
      </c>
      <c r="O923" s="19">
        <v>1</v>
      </c>
      <c r="P923" s="13">
        <v>6.2729999999999994E-2</v>
      </c>
      <c r="Q923" s="9"/>
      <c r="R923" s="2"/>
      <c r="S923" s="2"/>
    </row>
    <row r="924" spans="1:19">
      <c r="A924" s="42" t="s">
        <v>77</v>
      </c>
      <c r="B924" s="3" t="s">
        <v>68</v>
      </c>
      <c r="C924" s="3">
        <v>446</v>
      </c>
      <c r="D924" s="1"/>
      <c r="E924" s="20" t="s">
        <v>24</v>
      </c>
      <c r="F924" s="7" t="s">
        <v>14</v>
      </c>
      <c r="G924" s="7" t="s">
        <v>21</v>
      </c>
      <c r="H924" s="11">
        <v>6.97</v>
      </c>
      <c r="I924" s="8">
        <v>7</v>
      </c>
      <c r="J924" s="26">
        <v>2</v>
      </c>
      <c r="K924" s="10">
        <v>9.758E-2</v>
      </c>
      <c r="L924" s="4"/>
      <c r="M924" s="17"/>
      <c r="N924" s="18">
        <v>0</v>
      </c>
      <c r="O924" s="19">
        <v>2</v>
      </c>
      <c r="P924" s="13">
        <v>9.758E-2</v>
      </c>
      <c r="Q924" s="9"/>
      <c r="R924" s="2"/>
      <c r="S924" s="2"/>
    </row>
    <row r="925" spans="1:19">
      <c r="A925" s="42" t="s">
        <v>77</v>
      </c>
      <c r="B925" s="3" t="s">
        <v>68</v>
      </c>
      <c r="C925" s="3">
        <v>446</v>
      </c>
      <c r="D925" s="1"/>
      <c r="E925" s="20" t="s">
        <v>24</v>
      </c>
      <c r="F925" s="7" t="s">
        <v>14</v>
      </c>
      <c r="G925" s="7" t="s">
        <v>21</v>
      </c>
      <c r="H925" s="11">
        <v>6.97</v>
      </c>
      <c r="I925" s="8">
        <v>6</v>
      </c>
      <c r="J925" s="26">
        <v>1</v>
      </c>
      <c r="K925" s="10">
        <v>4.1820000000000003E-2</v>
      </c>
      <c r="L925" s="4"/>
      <c r="M925" s="17"/>
      <c r="N925" s="18">
        <v>0</v>
      </c>
      <c r="O925" s="19">
        <v>1</v>
      </c>
      <c r="P925" s="13">
        <v>4.1820000000000003E-2</v>
      </c>
      <c r="Q925" s="9"/>
      <c r="R925" s="2"/>
      <c r="S925" s="2"/>
    </row>
    <row r="926" spans="1:19">
      <c r="R926" s="76">
        <f>SUM(R920:R925)</f>
        <v>8</v>
      </c>
    </row>
    <row r="928" spans="1:19">
      <c r="A928" s="42" t="s">
        <v>77</v>
      </c>
      <c r="B928" s="3" t="s">
        <v>68</v>
      </c>
      <c r="C928" s="3">
        <v>4</v>
      </c>
      <c r="D928" s="1"/>
      <c r="E928" s="20" t="s">
        <v>24</v>
      </c>
      <c r="F928" s="7" t="s">
        <v>14</v>
      </c>
      <c r="G928" s="7" t="s">
        <v>21</v>
      </c>
      <c r="H928" s="11">
        <v>6.97</v>
      </c>
      <c r="I928" s="8">
        <v>9.8000000000000007</v>
      </c>
      <c r="J928" s="26">
        <v>3</v>
      </c>
      <c r="K928" s="10">
        <f t="shared" ref="K928:K933" si="52">(H928*I928*J928/1000)</f>
        <v>0.20491800000000002</v>
      </c>
      <c r="L928" s="4"/>
      <c r="M928" s="17"/>
      <c r="N928" s="18">
        <f t="shared" ref="N928:N933" si="53">I928*M928*H928/1000</f>
        <v>0</v>
      </c>
      <c r="O928" s="19">
        <f t="shared" ref="O928:O933" si="54">J928-M928</f>
        <v>3</v>
      </c>
      <c r="P928" s="13">
        <f t="shared" ref="P928:P933" si="55">I928*O928*H928/1000</f>
        <v>0.20491800000000002</v>
      </c>
      <c r="Q928" s="9"/>
      <c r="R928" s="2"/>
      <c r="S928" s="2"/>
    </row>
    <row r="929" spans="1:19">
      <c r="A929" s="42" t="s">
        <v>77</v>
      </c>
      <c r="B929" s="3" t="s">
        <v>68</v>
      </c>
      <c r="C929" s="3">
        <v>4</v>
      </c>
      <c r="D929" s="1"/>
      <c r="E929" s="20" t="s">
        <v>24</v>
      </c>
      <c r="F929" s="7" t="s">
        <v>14</v>
      </c>
      <c r="G929" s="7" t="s">
        <v>21</v>
      </c>
      <c r="H929" s="11">
        <v>6.97</v>
      </c>
      <c r="I929" s="8">
        <v>9.5</v>
      </c>
      <c r="J929" s="26">
        <v>1</v>
      </c>
      <c r="K929" s="10">
        <f t="shared" si="52"/>
        <v>6.621500000000001E-2</v>
      </c>
      <c r="L929" s="4"/>
      <c r="M929" s="17"/>
      <c r="N929" s="18">
        <f t="shared" si="53"/>
        <v>0</v>
      </c>
      <c r="O929" s="19">
        <f t="shared" si="54"/>
        <v>1</v>
      </c>
      <c r="P929" s="13">
        <f t="shared" si="55"/>
        <v>6.621500000000001E-2</v>
      </c>
      <c r="Q929" s="9"/>
      <c r="R929" s="2"/>
      <c r="S929" s="2"/>
    </row>
    <row r="930" spans="1:19">
      <c r="A930" s="42" t="s">
        <v>77</v>
      </c>
      <c r="B930" s="3" t="s">
        <v>68</v>
      </c>
      <c r="C930" s="3">
        <v>4</v>
      </c>
      <c r="D930" s="1"/>
      <c r="E930" s="20" t="s">
        <v>24</v>
      </c>
      <c r="F930" s="7" t="s">
        <v>14</v>
      </c>
      <c r="G930" s="7" t="s">
        <v>21</v>
      </c>
      <c r="H930" s="11">
        <v>6.97</v>
      </c>
      <c r="I930" s="8">
        <v>9.6</v>
      </c>
      <c r="J930" s="26">
        <v>1</v>
      </c>
      <c r="K930" s="10">
        <f t="shared" si="52"/>
        <v>6.6911999999999985E-2</v>
      </c>
      <c r="L930" s="4"/>
      <c r="M930" s="17">
        <v>1</v>
      </c>
      <c r="N930" s="18">
        <f t="shared" si="53"/>
        <v>6.6911999999999985E-2</v>
      </c>
      <c r="O930" s="19">
        <f t="shared" si="54"/>
        <v>0</v>
      </c>
      <c r="P930" s="13">
        <f t="shared" si="55"/>
        <v>0</v>
      </c>
      <c r="Q930" s="9"/>
      <c r="R930" s="74">
        <v>1</v>
      </c>
      <c r="S930" s="74" t="s">
        <v>275</v>
      </c>
    </row>
    <row r="931" spans="1:19">
      <c r="A931" s="42" t="s">
        <v>77</v>
      </c>
      <c r="B931" s="3" t="s">
        <v>68</v>
      </c>
      <c r="C931" s="3">
        <v>4</v>
      </c>
      <c r="D931" s="1"/>
      <c r="E931" s="20" t="s">
        <v>24</v>
      </c>
      <c r="F931" s="7" t="s">
        <v>14</v>
      </c>
      <c r="G931" s="7" t="s">
        <v>21</v>
      </c>
      <c r="H931" s="11">
        <v>6.97</v>
      </c>
      <c r="I931" s="8">
        <v>9.1999999999999993</v>
      </c>
      <c r="J931" s="26">
        <v>3</v>
      </c>
      <c r="K931" s="10">
        <f t="shared" si="52"/>
        <v>0.19237199999999999</v>
      </c>
      <c r="L931" s="4"/>
      <c r="M931" s="17">
        <v>3</v>
      </c>
      <c r="N931" s="18">
        <f t="shared" si="53"/>
        <v>0.19237199999999999</v>
      </c>
      <c r="O931" s="19">
        <f t="shared" si="54"/>
        <v>0</v>
      </c>
      <c r="P931" s="13">
        <f t="shared" si="55"/>
        <v>0</v>
      </c>
      <c r="Q931" s="9"/>
      <c r="R931" s="74">
        <v>3</v>
      </c>
      <c r="S931" s="74" t="s">
        <v>275</v>
      </c>
    </row>
    <row r="932" spans="1:19">
      <c r="A932" s="42" t="s">
        <v>77</v>
      </c>
      <c r="B932" s="3" t="s">
        <v>68</v>
      </c>
      <c r="C932" s="3">
        <v>4</v>
      </c>
      <c r="D932" s="1"/>
      <c r="E932" s="20" t="s">
        <v>24</v>
      </c>
      <c r="F932" s="7" t="s">
        <v>14</v>
      </c>
      <c r="G932" s="7" t="s">
        <v>21</v>
      </c>
      <c r="H932" s="11">
        <v>6.97</v>
      </c>
      <c r="I932" s="8">
        <v>7.5</v>
      </c>
      <c r="J932" s="26">
        <v>2</v>
      </c>
      <c r="K932" s="10">
        <f t="shared" si="52"/>
        <v>0.10455</v>
      </c>
      <c r="L932" s="4"/>
      <c r="M932" s="17"/>
      <c r="N932" s="18">
        <f t="shared" si="53"/>
        <v>0</v>
      </c>
      <c r="O932" s="19">
        <f t="shared" si="54"/>
        <v>2</v>
      </c>
      <c r="P932" s="13">
        <f t="shared" si="55"/>
        <v>0.10455</v>
      </c>
      <c r="Q932" s="9"/>
      <c r="R932" s="2"/>
      <c r="S932" s="2"/>
    </row>
    <row r="933" spans="1:19">
      <c r="A933" s="42" t="s">
        <v>77</v>
      </c>
      <c r="B933" s="3" t="s">
        <v>68</v>
      </c>
      <c r="C933" s="3">
        <v>4</v>
      </c>
      <c r="D933" s="1"/>
      <c r="E933" s="20" t="s">
        <v>24</v>
      </c>
      <c r="F933" s="7" t="s">
        <v>14</v>
      </c>
      <c r="G933" s="7" t="s">
        <v>21</v>
      </c>
      <c r="H933" s="11">
        <v>6.97</v>
      </c>
      <c r="I933" s="8">
        <v>9</v>
      </c>
      <c r="J933" s="26">
        <v>2</v>
      </c>
      <c r="K933" s="10">
        <f t="shared" si="52"/>
        <v>0.12545999999999999</v>
      </c>
      <c r="L933" s="4"/>
      <c r="M933" s="17"/>
      <c r="N933" s="18">
        <f t="shared" si="53"/>
        <v>0</v>
      </c>
      <c r="O933" s="19">
        <f t="shared" si="54"/>
        <v>2</v>
      </c>
      <c r="P933" s="13">
        <f t="shared" si="55"/>
        <v>0.12545999999999999</v>
      </c>
      <c r="Q933" s="9"/>
      <c r="R933" s="2"/>
      <c r="S933" s="2"/>
    </row>
    <row r="936" spans="1:19">
      <c r="A936" s="42" t="s">
        <v>77</v>
      </c>
      <c r="B936" s="3" t="s">
        <v>68</v>
      </c>
      <c r="C936" s="3">
        <v>50</v>
      </c>
      <c r="D936" s="1"/>
      <c r="E936" s="20" t="s">
        <v>17</v>
      </c>
      <c r="F936" s="7" t="s">
        <v>15</v>
      </c>
      <c r="G936" s="7" t="s">
        <v>32</v>
      </c>
      <c r="H936" s="11">
        <v>8.32</v>
      </c>
      <c r="I936" s="8">
        <v>10.5</v>
      </c>
      <c r="J936" s="26">
        <v>1</v>
      </c>
      <c r="K936" s="10">
        <v>8.7359999999999993E-2</v>
      </c>
      <c r="L936" s="4"/>
      <c r="M936" s="17">
        <v>1</v>
      </c>
      <c r="N936" s="18">
        <v>8.7359999999999993E-2</v>
      </c>
      <c r="O936" s="19">
        <v>0</v>
      </c>
      <c r="P936" s="13">
        <v>0</v>
      </c>
      <c r="Q936" s="89">
        <v>10.199999999999999</v>
      </c>
      <c r="R936" s="90">
        <v>1</v>
      </c>
      <c r="S936" s="90" t="s">
        <v>213</v>
      </c>
    </row>
    <row r="937" spans="1:19">
      <c r="A937" s="42" t="s">
        <v>77</v>
      </c>
      <c r="B937" s="3" t="s">
        <v>68</v>
      </c>
      <c r="C937" s="3">
        <v>50</v>
      </c>
      <c r="D937" s="1"/>
      <c r="E937" s="20" t="s">
        <v>17</v>
      </c>
      <c r="F937" s="7" t="s">
        <v>15</v>
      </c>
      <c r="G937" s="7" t="s">
        <v>32</v>
      </c>
      <c r="H937" s="11">
        <v>8.32</v>
      </c>
      <c r="I937" s="8">
        <v>11.35</v>
      </c>
      <c r="J937" s="26">
        <v>1</v>
      </c>
      <c r="K937" s="10">
        <v>9.4432000000000002E-2</v>
      </c>
      <c r="L937" s="4"/>
      <c r="M937" s="17">
        <v>1</v>
      </c>
      <c r="N937" s="18">
        <v>9.4432000000000002E-2</v>
      </c>
      <c r="O937" s="19">
        <v>0</v>
      </c>
      <c r="P937" s="13">
        <v>0</v>
      </c>
      <c r="Q937" s="89">
        <v>11.3</v>
      </c>
      <c r="R937" s="90">
        <v>1</v>
      </c>
      <c r="S937" s="90" t="s">
        <v>213</v>
      </c>
    </row>
    <row r="938" spans="1:19">
      <c r="A938" s="42" t="s">
        <v>77</v>
      </c>
      <c r="B938" s="3" t="s">
        <v>68</v>
      </c>
      <c r="C938" s="3">
        <v>50</v>
      </c>
      <c r="D938" s="1"/>
      <c r="E938" s="20" t="s">
        <v>17</v>
      </c>
      <c r="F938" s="7" t="s">
        <v>15</v>
      </c>
      <c r="G938" s="7" t="s">
        <v>32</v>
      </c>
      <c r="H938" s="11">
        <v>8.32</v>
      </c>
      <c r="I938" s="8">
        <v>11.5</v>
      </c>
      <c r="J938" s="26">
        <v>1</v>
      </c>
      <c r="K938" s="10">
        <v>9.5680000000000001E-2</v>
      </c>
      <c r="L938" s="4"/>
      <c r="M938" s="17">
        <v>1</v>
      </c>
      <c r="N938" s="18">
        <v>9.5680000000000001E-2</v>
      </c>
      <c r="O938" s="19">
        <v>0</v>
      </c>
      <c r="P938" s="13">
        <v>0</v>
      </c>
      <c r="Q938" s="89">
        <v>11.5</v>
      </c>
      <c r="R938" s="90">
        <v>1</v>
      </c>
      <c r="S938" s="90" t="s">
        <v>213</v>
      </c>
    </row>
    <row r="939" spans="1:19">
      <c r="A939" s="42" t="s">
        <v>77</v>
      </c>
      <c r="B939" s="3" t="s">
        <v>68</v>
      </c>
      <c r="C939" s="3">
        <v>50</v>
      </c>
      <c r="D939" s="1"/>
      <c r="E939" s="20" t="s">
        <v>17</v>
      </c>
      <c r="F939" s="7" t="s">
        <v>15</v>
      </c>
      <c r="G939" s="7" t="s">
        <v>32</v>
      </c>
      <c r="H939" s="11">
        <v>8.32</v>
      </c>
      <c r="I939" s="8">
        <v>11.7</v>
      </c>
      <c r="J939" s="26">
        <v>2</v>
      </c>
      <c r="K939" s="10">
        <v>0.194688</v>
      </c>
      <c r="L939" s="4"/>
      <c r="M939" s="17">
        <v>2</v>
      </c>
      <c r="N939" s="18">
        <v>0.194688</v>
      </c>
      <c r="O939" s="19">
        <v>0</v>
      </c>
      <c r="P939" s="13">
        <v>0</v>
      </c>
      <c r="Q939" s="89">
        <v>11.7</v>
      </c>
      <c r="R939" s="90">
        <v>2</v>
      </c>
      <c r="S939" s="90" t="s">
        <v>213</v>
      </c>
    </row>
    <row r="940" spans="1:19">
      <c r="A940" s="42" t="s">
        <v>77</v>
      </c>
      <c r="B940" s="3" t="s">
        <v>68</v>
      </c>
      <c r="C940" s="3">
        <v>50</v>
      </c>
      <c r="D940" s="1"/>
      <c r="E940" s="20" t="s">
        <v>17</v>
      </c>
      <c r="F940" s="7" t="s">
        <v>15</v>
      </c>
      <c r="G940" s="7" t="s">
        <v>32</v>
      </c>
      <c r="H940" s="11">
        <v>8.32</v>
      </c>
      <c r="I940" s="8">
        <v>11.8</v>
      </c>
      <c r="J940" s="26">
        <v>1</v>
      </c>
      <c r="K940" s="10">
        <v>9.8176000000000013E-2</v>
      </c>
      <c r="L940" s="4"/>
      <c r="M940" s="17">
        <v>1</v>
      </c>
      <c r="N940" s="18">
        <v>9.8176000000000013E-2</v>
      </c>
      <c r="O940" s="19">
        <v>0</v>
      </c>
      <c r="P940" s="13">
        <v>0</v>
      </c>
      <c r="Q940" s="89">
        <v>11.7</v>
      </c>
      <c r="R940" s="90">
        <v>1</v>
      </c>
      <c r="S940" s="90" t="s">
        <v>213</v>
      </c>
    </row>
    <row r="941" spans="1:19">
      <c r="A941" s="42" t="s">
        <v>77</v>
      </c>
      <c r="B941" s="3" t="s">
        <v>68</v>
      </c>
      <c r="C941" s="3">
        <v>50</v>
      </c>
      <c r="D941" s="1"/>
      <c r="E941" s="20" t="s">
        <v>17</v>
      </c>
      <c r="F941" s="7" t="s">
        <v>15</v>
      </c>
      <c r="G941" s="7" t="s">
        <v>32</v>
      </c>
      <c r="H941" s="11">
        <v>8.32</v>
      </c>
      <c r="I941" s="8">
        <v>12</v>
      </c>
      <c r="J941" s="26">
        <v>2</v>
      </c>
      <c r="K941" s="10">
        <v>0.19968</v>
      </c>
      <c r="L941" s="4"/>
      <c r="M941" s="17">
        <v>2</v>
      </c>
      <c r="N941" s="18">
        <v>0.19968</v>
      </c>
      <c r="O941" s="19">
        <v>0</v>
      </c>
      <c r="P941" s="13">
        <v>0</v>
      </c>
      <c r="Q941" s="89">
        <v>12</v>
      </c>
      <c r="R941" s="90">
        <v>2</v>
      </c>
      <c r="S941" s="90" t="s">
        <v>213</v>
      </c>
    </row>
    <row r="942" spans="1:19">
      <c r="A942" s="42" t="s">
        <v>77</v>
      </c>
      <c r="B942" s="3" t="s">
        <v>68</v>
      </c>
      <c r="C942" s="3">
        <v>319</v>
      </c>
      <c r="D942" s="1"/>
      <c r="E942" s="20" t="s">
        <v>17</v>
      </c>
      <c r="F942" s="7" t="s">
        <v>15</v>
      </c>
      <c r="G942" s="7" t="s">
        <v>32</v>
      </c>
      <c r="H942" s="11">
        <v>8.32</v>
      </c>
      <c r="I942" s="8">
        <v>11.6</v>
      </c>
      <c r="J942" s="26">
        <v>29</v>
      </c>
      <c r="K942" s="10">
        <v>2.798848</v>
      </c>
      <c r="L942" s="4"/>
      <c r="M942" s="17">
        <v>28</v>
      </c>
      <c r="N942" s="18">
        <v>2.7023360000000003</v>
      </c>
      <c r="O942" s="19">
        <v>1</v>
      </c>
      <c r="P942" s="13">
        <v>9.6512000000000001E-2</v>
      </c>
      <c r="Q942" s="89">
        <v>11.5</v>
      </c>
      <c r="R942" s="90">
        <v>1</v>
      </c>
      <c r="S942" s="90" t="s">
        <v>213</v>
      </c>
    </row>
    <row r="943" spans="1:19">
      <c r="A943" s="42" t="s">
        <v>77</v>
      </c>
      <c r="B943" s="3" t="s">
        <v>68</v>
      </c>
      <c r="C943" s="3">
        <v>398</v>
      </c>
      <c r="D943" s="1"/>
      <c r="E943" s="20" t="s">
        <v>17</v>
      </c>
      <c r="F943" s="7" t="s">
        <v>15</v>
      </c>
      <c r="G943" s="7" t="s">
        <v>32</v>
      </c>
      <c r="H943" s="11">
        <v>8.32</v>
      </c>
      <c r="I943" s="8">
        <v>11.6</v>
      </c>
      <c r="J943" s="26">
        <v>4</v>
      </c>
      <c r="K943" s="10">
        <v>0.386048</v>
      </c>
      <c r="L943" s="4"/>
      <c r="M943" s="17">
        <v>4</v>
      </c>
      <c r="N943" s="18">
        <v>0.386048</v>
      </c>
      <c r="O943" s="19">
        <v>0</v>
      </c>
      <c r="P943" s="13">
        <v>0</v>
      </c>
      <c r="Q943" s="89">
        <v>11.5</v>
      </c>
      <c r="R943" s="90">
        <v>4</v>
      </c>
      <c r="S943" s="90" t="s">
        <v>213</v>
      </c>
    </row>
    <row r="944" spans="1:19">
      <c r="A944" s="42" t="s">
        <v>77</v>
      </c>
      <c r="B944" s="3" t="s">
        <v>68</v>
      </c>
      <c r="C944" s="3">
        <v>398</v>
      </c>
      <c r="D944" s="1"/>
      <c r="E944" s="20" t="s">
        <v>17</v>
      </c>
      <c r="F944" s="7" t="s">
        <v>15</v>
      </c>
      <c r="G944" s="7" t="s">
        <v>32</v>
      </c>
      <c r="H944" s="11">
        <v>8.32</v>
      </c>
      <c r="I944" s="8">
        <v>10.5</v>
      </c>
      <c r="J944" s="26">
        <v>3</v>
      </c>
      <c r="K944" s="10">
        <v>0.26207999999999998</v>
      </c>
      <c r="L944" s="4"/>
      <c r="M944" s="22">
        <v>3</v>
      </c>
      <c r="N944" s="18">
        <v>0.26207999999999998</v>
      </c>
      <c r="O944" s="19">
        <v>0</v>
      </c>
      <c r="P944" s="13">
        <v>0</v>
      </c>
      <c r="Q944" s="89">
        <v>10.199999999999999</v>
      </c>
      <c r="R944" s="90">
        <v>3</v>
      </c>
      <c r="S944" s="90" t="s">
        <v>213</v>
      </c>
    </row>
    <row r="945" spans="1:19">
      <c r="A945" s="42" t="s">
        <v>77</v>
      </c>
      <c r="B945" s="3" t="s">
        <v>68</v>
      </c>
      <c r="C945" s="3">
        <v>399</v>
      </c>
      <c r="D945" s="1"/>
      <c r="E945" s="20" t="s">
        <v>17</v>
      </c>
      <c r="F945" s="7" t="s">
        <v>15</v>
      </c>
      <c r="G945" s="7" t="s">
        <v>32</v>
      </c>
      <c r="H945" s="11">
        <v>8.32</v>
      </c>
      <c r="I945" s="8">
        <v>12</v>
      </c>
      <c r="J945" s="26">
        <v>8</v>
      </c>
      <c r="K945" s="10">
        <v>0.79871999999999999</v>
      </c>
      <c r="L945" s="4"/>
      <c r="M945" s="22">
        <v>8</v>
      </c>
      <c r="N945" s="18">
        <v>0.79871999999999999</v>
      </c>
      <c r="O945" s="19">
        <v>0</v>
      </c>
      <c r="P945" s="13">
        <v>0</v>
      </c>
      <c r="Q945" s="89">
        <v>12</v>
      </c>
      <c r="R945" s="90">
        <v>2</v>
      </c>
      <c r="S945" s="90" t="s">
        <v>213</v>
      </c>
    </row>
    <row r="946" spans="1:19">
      <c r="A946" s="42" t="s">
        <v>77</v>
      </c>
      <c r="B946" s="3" t="s">
        <v>68</v>
      </c>
      <c r="C946" s="3">
        <v>401</v>
      </c>
      <c r="D946" s="1"/>
      <c r="E946" s="20" t="s">
        <v>17</v>
      </c>
      <c r="F946" s="7" t="s">
        <v>15</v>
      </c>
      <c r="G946" s="7" t="s">
        <v>32</v>
      </c>
      <c r="H946" s="11">
        <v>8.32</v>
      </c>
      <c r="I946" s="8">
        <v>9.5</v>
      </c>
      <c r="J946" s="26">
        <v>8</v>
      </c>
      <c r="K946" s="10">
        <v>0.6323200000000001</v>
      </c>
      <c r="L946" s="4"/>
      <c r="M946" s="17">
        <v>8</v>
      </c>
      <c r="N946" s="18">
        <v>0.6323200000000001</v>
      </c>
      <c r="O946" s="19">
        <v>0</v>
      </c>
      <c r="P946" s="13">
        <v>0</v>
      </c>
      <c r="Q946" s="89">
        <v>9.5</v>
      </c>
      <c r="R946" s="90">
        <v>8</v>
      </c>
      <c r="S946" s="90" t="s">
        <v>213</v>
      </c>
    </row>
    <row r="947" spans="1:19">
      <c r="A947" s="42" t="s">
        <v>77</v>
      </c>
      <c r="B947" s="3" t="s">
        <v>68</v>
      </c>
      <c r="C947" s="3">
        <v>402</v>
      </c>
      <c r="D947" s="1"/>
      <c r="E947" s="20" t="s">
        <v>17</v>
      </c>
      <c r="F947" s="7" t="s">
        <v>15</v>
      </c>
      <c r="G947" s="7" t="s">
        <v>32</v>
      </c>
      <c r="H947" s="11">
        <v>8.32</v>
      </c>
      <c r="I947" s="8">
        <v>10</v>
      </c>
      <c r="J947" s="26">
        <v>20</v>
      </c>
      <c r="K947" s="10">
        <v>1.6639999999999999</v>
      </c>
      <c r="L947" s="4"/>
      <c r="M947" s="17">
        <v>20</v>
      </c>
      <c r="N947" s="18">
        <v>1.6639999999999999</v>
      </c>
      <c r="O947" s="19">
        <v>0</v>
      </c>
      <c r="P947" s="13">
        <v>0</v>
      </c>
      <c r="Q947" s="89">
        <v>10</v>
      </c>
      <c r="R947" s="90">
        <v>3</v>
      </c>
      <c r="S947" s="90" t="s">
        <v>213</v>
      </c>
    </row>
    <row r="948" spans="1:19">
      <c r="A948" s="48" t="s">
        <v>179</v>
      </c>
      <c r="B948" s="48" t="s">
        <v>180</v>
      </c>
      <c r="C948" s="32"/>
      <c r="D948" s="32"/>
      <c r="E948" s="48" t="s">
        <v>17</v>
      </c>
      <c r="F948" s="48" t="s">
        <v>15</v>
      </c>
      <c r="G948" s="48" t="s">
        <v>32</v>
      </c>
      <c r="H948" s="11">
        <v>8.32</v>
      </c>
      <c r="I948" s="9">
        <v>7.5</v>
      </c>
      <c r="J948" s="7">
        <v>1</v>
      </c>
      <c r="K948" s="10">
        <v>6.2400000000000004E-2</v>
      </c>
      <c r="L948" s="32"/>
      <c r="M948" s="32">
        <v>1</v>
      </c>
      <c r="N948" s="18">
        <v>6.2400000000000004E-2</v>
      </c>
      <c r="O948" s="19">
        <v>0</v>
      </c>
      <c r="P948" s="13">
        <v>0</v>
      </c>
      <c r="Q948" s="91">
        <v>7.1</v>
      </c>
      <c r="R948" s="91">
        <v>1</v>
      </c>
      <c r="S948" s="91" t="s">
        <v>213</v>
      </c>
    </row>
    <row r="949" spans="1:19">
      <c r="A949" s="42" t="s">
        <v>78</v>
      </c>
      <c r="B949" s="3"/>
      <c r="C949" s="3">
        <v>29</v>
      </c>
      <c r="D949" s="1"/>
      <c r="E949" s="20" t="s">
        <v>17</v>
      </c>
      <c r="F949" s="7" t="s">
        <v>15</v>
      </c>
      <c r="G949" s="7" t="s">
        <v>32</v>
      </c>
      <c r="H949" s="11">
        <v>8.32</v>
      </c>
      <c r="I949" s="8">
        <v>9.8000000000000007</v>
      </c>
      <c r="J949" s="26">
        <v>1</v>
      </c>
      <c r="K949" s="10">
        <v>8.1536000000000011E-2</v>
      </c>
      <c r="L949" s="4"/>
      <c r="M949" s="17">
        <v>1</v>
      </c>
      <c r="N949" s="18">
        <v>8.1536000000000011E-2</v>
      </c>
      <c r="O949" s="19">
        <v>0</v>
      </c>
      <c r="P949" s="13">
        <v>0</v>
      </c>
      <c r="Q949" s="89">
        <v>9.5</v>
      </c>
      <c r="R949" s="90">
        <v>1</v>
      </c>
      <c r="S949" s="90" t="s">
        <v>213</v>
      </c>
    </row>
    <row r="950" spans="1:19">
      <c r="A950" s="42" t="s">
        <v>78</v>
      </c>
      <c r="B950" s="3"/>
      <c r="C950" s="3">
        <v>29</v>
      </c>
      <c r="D950" s="1"/>
      <c r="E950" s="20" t="s">
        <v>17</v>
      </c>
      <c r="F950" s="7" t="s">
        <v>15</v>
      </c>
      <c r="G950" s="7" t="s">
        <v>32</v>
      </c>
      <c r="H950" s="11">
        <v>8.32</v>
      </c>
      <c r="I950" s="8">
        <v>12</v>
      </c>
      <c r="J950" s="26">
        <v>1</v>
      </c>
      <c r="K950" s="10">
        <v>9.9839999999999998E-2</v>
      </c>
      <c r="L950" s="4"/>
      <c r="M950" s="17">
        <v>1</v>
      </c>
      <c r="N950" s="18">
        <v>9.9839999999999998E-2</v>
      </c>
      <c r="O950" s="19">
        <v>0</v>
      </c>
      <c r="P950" s="13">
        <v>0</v>
      </c>
      <c r="Q950" s="89">
        <v>12</v>
      </c>
      <c r="R950" s="90">
        <v>1</v>
      </c>
      <c r="S950" s="90" t="s">
        <v>213</v>
      </c>
    </row>
    <row r="951" spans="1:19">
      <c r="A951" s="42" t="s">
        <v>78</v>
      </c>
      <c r="B951" s="3"/>
      <c r="C951" s="3">
        <v>16</v>
      </c>
      <c r="D951" s="1"/>
      <c r="E951" s="20" t="s">
        <v>82</v>
      </c>
      <c r="F951" s="7" t="s">
        <v>15</v>
      </c>
      <c r="G951" s="7" t="s">
        <v>32</v>
      </c>
      <c r="H951" s="11">
        <v>8.32</v>
      </c>
      <c r="I951" s="8">
        <v>9.75</v>
      </c>
      <c r="J951" s="26">
        <v>2</v>
      </c>
      <c r="K951" s="10">
        <v>0.16224</v>
      </c>
      <c r="L951" s="4"/>
      <c r="M951" s="17">
        <v>2</v>
      </c>
      <c r="N951" s="18">
        <v>0.16224</v>
      </c>
      <c r="O951" s="19">
        <v>0</v>
      </c>
      <c r="P951" s="13">
        <v>0</v>
      </c>
      <c r="Q951" s="89">
        <v>9.5</v>
      </c>
      <c r="R951" s="90">
        <v>2</v>
      </c>
      <c r="S951" s="90" t="s">
        <v>213</v>
      </c>
    </row>
    <row r="952" spans="1:19">
      <c r="A952" s="42" t="s">
        <v>78</v>
      </c>
      <c r="B952" s="3"/>
      <c r="C952" s="3">
        <v>18</v>
      </c>
      <c r="D952" s="1"/>
      <c r="E952" s="20" t="s">
        <v>82</v>
      </c>
      <c r="F952" s="7" t="s">
        <v>15</v>
      </c>
      <c r="G952" s="7" t="s">
        <v>32</v>
      </c>
      <c r="H952" s="11">
        <v>8.32</v>
      </c>
      <c r="I952" s="8">
        <v>10</v>
      </c>
      <c r="J952" s="26">
        <v>1</v>
      </c>
      <c r="K952" s="10">
        <v>8.3199999999999996E-2</v>
      </c>
      <c r="L952" s="4"/>
      <c r="M952" s="17">
        <v>1</v>
      </c>
      <c r="N952" s="18">
        <v>8.3199999999999996E-2</v>
      </c>
      <c r="O952" s="19">
        <v>0</v>
      </c>
      <c r="P952" s="13">
        <v>0</v>
      </c>
      <c r="Q952" s="89">
        <v>10</v>
      </c>
      <c r="R952" s="90">
        <v>1</v>
      </c>
      <c r="S952" s="90" t="s">
        <v>213</v>
      </c>
    </row>
    <row r="953" spans="1:19">
      <c r="A953" s="42" t="s">
        <v>78</v>
      </c>
      <c r="B953" s="3"/>
      <c r="C953" s="3">
        <v>20</v>
      </c>
      <c r="D953" s="1"/>
      <c r="E953" s="20" t="s">
        <v>82</v>
      </c>
      <c r="F953" s="7" t="s">
        <v>15</v>
      </c>
      <c r="G953" s="7" t="s">
        <v>32</v>
      </c>
      <c r="H953" s="11">
        <v>8.32</v>
      </c>
      <c r="I953" s="8">
        <v>10</v>
      </c>
      <c r="J953" s="26">
        <v>4</v>
      </c>
      <c r="K953" s="10">
        <v>0.33279999999999998</v>
      </c>
      <c r="L953" s="4"/>
      <c r="M953" s="17">
        <v>4</v>
      </c>
      <c r="N953" s="18">
        <v>0.33279999999999998</v>
      </c>
      <c r="O953" s="19">
        <v>0</v>
      </c>
      <c r="P953" s="13">
        <v>0</v>
      </c>
      <c r="Q953" s="89">
        <v>10</v>
      </c>
      <c r="R953" s="90">
        <v>4</v>
      </c>
      <c r="S953" s="90" t="s">
        <v>213</v>
      </c>
    </row>
    <row r="954" spans="1:19">
      <c r="A954" s="42" t="s">
        <v>78</v>
      </c>
      <c r="B954" s="3"/>
      <c r="C954" s="3">
        <v>22</v>
      </c>
      <c r="D954" s="1"/>
      <c r="E954" s="20" t="s">
        <v>82</v>
      </c>
      <c r="F954" s="7" t="s">
        <v>15</v>
      </c>
      <c r="G954" s="7" t="s">
        <v>32</v>
      </c>
      <c r="H954" s="11">
        <v>8.32</v>
      </c>
      <c r="I954" s="8">
        <v>10</v>
      </c>
      <c r="J954" s="26">
        <v>32</v>
      </c>
      <c r="K954" s="10">
        <v>2.6623999999999999</v>
      </c>
      <c r="L954" s="4"/>
      <c r="M954" s="17">
        <v>32</v>
      </c>
      <c r="N954" s="18">
        <v>2.6623999999999999</v>
      </c>
      <c r="O954" s="19">
        <v>0</v>
      </c>
      <c r="P954" s="13">
        <v>0</v>
      </c>
      <c r="Q954" s="89">
        <v>10</v>
      </c>
      <c r="R954" s="90">
        <v>9</v>
      </c>
      <c r="S954" s="90" t="s">
        <v>213</v>
      </c>
    </row>
    <row r="955" spans="1:19">
      <c r="A955" s="42" t="s">
        <v>78</v>
      </c>
      <c r="B955" s="3"/>
      <c r="C955" s="3"/>
      <c r="D955" s="1"/>
      <c r="E955" s="20" t="s">
        <v>17</v>
      </c>
      <c r="F955" s="7" t="s">
        <v>15</v>
      </c>
      <c r="G955" s="7" t="s">
        <v>32</v>
      </c>
      <c r="H955" s="11">
        <v>8.32</v>
      </c>
      <c r="I955" s="8">
        <v>11.9</v>
      </c>
      <c r="J955" s="26">
        <v>1</v>
      </c>
      <c r="K955" s="10">
        <v>9.9008000000000013E-2</v>
      </c>
      <c r="L955" s="4"/>
      <c r="M955" s="17">
        <v>1</v>
      </c>
      <c r="N955" s="18">
        <v>9.9008000000000013E-2</v>
      </c>
      <c r="O955" s="19">
        <v>0</v>
      </c>
      <c r="P955" s="13">
        <v>0</v>
      </c>
      <c r="Q955" s="89">
        <v>11.9</v>
      </c>
      <c r="R955" s="90">
        <v>1</v>
      </c>
      <c r="S955" s="90" t="s">
        <v>213</v>
      </c>
    </row>
    <row r="956" spans="1:19">
      <c r="A956" s="42" t="s">
        <v>78</v>
      </c>
      <c r="B956" s="3"/>
      <c r="C956" s="3"/>
      <c r="D956" s="1"/>
      <c r="E956" s="20" t="s">
        <v>17</v>
      </c>
      <c r="F956" s="7" t="s">
        <v>15</v>
      </c>
      <c r="G956" s="7" t="s">
        <v>32</v>
      </c>
      <c r="H956" s="11">
        <v>8.32</v>
      </c>
      <c r="I956" s="8">
        <v>9</v>
      </c>
      <c r="J956" s="26">
        <v>1</v>
      </c>
      <c r="K956" s="10">
        <v>7.4880000000000002E-2</v>
      </c>
      <c r="L956" s="4"/>
      <c r="M956" s="17">
        <v>1</v>
      </c>
      <c r="N956" s="18">
        <v>7.4880000000000002E-2</v>
      </c>
      <c r="O956" s="19">
        <v>0</v>
      </c>
      <c r="P956" s="13">
        <v>0</v>
      </c>
      <c r="Q956" s="89">
        <v>8.4</v>
      </c>
      <c r="R956" s="90">
        <v>1</v>
      </c>
      <c r="S956" s="90" t="s">
        <v>213</v>
      </c>
    </row>
    <row r="957" spans="1:19">
      <c r="A957" s="42" t="s">
        <v>90</v>
      </c>
      <c r="B957" s="3"/>
      <c r="C957" s="3">
        <v>220</v>
      </c>
      <c r="D957" s="1"/>
      <c r="E957" s="20" t="s">
        <v>17</v>
      </c>
      <c r="F957" s="7" t="s">
        <v>15</v>
      </c>
      <c r="G957" s="7" t="s">
        <v>32</v>
      </c>
      <c r="H957" s="11">
        <v>8.32</v>
      </c>
      <c r="I957" s="8">
        <v>10.199999999999999</v>
      </c>
      <c r="J957" s="26">
        <v>2</v>
      </c>
      <c r="K957" s="10">
        <v>0.16972799999999999</v>
      </c>
      <c r="L957" s="4"/>
      <c r="M957" s="17">
        <v>1</v>
      </c>
      <c r="N957" s="18">
        <v>8.4863999999999995E-2</v>
      </c>
      <c r="O957" s="19">
        <v>1</v>
      </c>
      <c r="P957" s="13">
        <v>8.4863999999999995E-2</v>
      </c>
      <c r="Q957" s="89">
        <v>10.199999999999999</v>
      </c>
      <c r="R957" s="91">
        <v>1</v>
      </c>
      <c r="S957" s="90" t="s">
        <v>213</v>
      </c>
    </row>
    <row r="958" spans="1:19">
      <c r="A958" s="44" t="s">
        <v>78</v>
      </c>
      <c r="B958" s="3" t="s">
        <v>80</v>
      </c>
      <c r="C958" s="3">
        <v>11</v>
      </c>
      <c r="D958" s="1"/>
      <c r="E958" s="20" t="s">
        <v>17</v>
      </c>
      <c r="F958" s="7" t="s">
        <v>15</v>
      </c>
      <c r="G958" s="7" t="s">
        <v>32</v>
      </c>
      <c r="H958" s="11">
        <v>8.32</v>
      </c>
      <c r="I958" s="8">
        <v>9</v>
      </c>
      <c r="J958" s="26">
        <v>1</v>
      </c>
      <c r="K958" s="10">
        <v>7.4880000000000002E-2</v>
      </c>
      <c r="L958" s="4"/>
      <c r="M958" s="17">
        <v>1</v>
      </c>
      <c r="N958" s="18">
        <v>7.4880000000000002E-2</v>
      </c>
      <c r="O958" s="19">
        <v>0</v>
      </c>
      <c r="P958" s="13">
        <v>0</v>
      </c>
      <c r="Q958" s="89">
        <v>8.4</v>
      </c>
      <c r="R958" s="91">
        <v>1</v>
      </c>
      <c r="S958" s="90" t="s">
        <v>213</v>
      </c>
    </row>
    <row r="959" spans="1:19">
      <c r="R959" s="76">
        <f>SUM(R936:R958)</f>
        <v>52</v>
      </c>
    </row>
    <row r="961" spans="1:21">
      <c r="A961" s="42" t="s">
        <v>77</v>
      </c>
      <c r="B961" s="3" t="s">
        <v>68</v>
      </c>
      <c r="C961" s="3">
        <v>426</v>
      </c>
      <c r="D961" s="1"/>
      <c r="E961" s="20" t="s">
        <v>17</v>
      </c>
      <c r="F961" s="7" t="s">
        <v>15</v>
      </c>
      <c r="G961" s="7" t="s">
        <v>34</v>
      </c>
      <c r="H961" s="11">
        <v>9.61</v>
      </c>
      <c r="I961" s="8">
        <v>8</v>
      </c>
      <c r="J961" s="26">
        <v>1</v>
      </c>
      <c r="K961" s="10">
        <v>7.687999999999999E-2</v>
      </c>
      <c r="L961" s="4"/>
      <c r="M961" s="17"/>
      <c r="N961" s="18">
        <v>0</v>
      </c>
      <c r="O961" s="19">
        <v>1</v>
      </c>
      <c r="P961" s="13">
        <v>7.687999999999999E-2</v>
      </c>
      <c r="Q961" s="9"/>
      <c r="R961" s="2"/>
      <c r="S961" s="2"/>
    </row>
    <row r="962" spans="1:21">
      <c r="A962" s="42" t="s">
        <v>77</v>
      </c>
      <c r="B962" s="3" t="s">
        <v>68</v>
      </c>
      <c r="C962" s="3">
        <v>426</v>
      </c>
      <c r="D962" s="1"/>
      <c r="E962" s="20" t="s">
        <v>17</v>
      </c>
      <c r="F962" s="7" t="s">
        <v>15</v>
      </c>
      <c r="G962" s="7" t="s">
        <v>34</v>
      </c>
      <c r="H962" s="11">
        <v>9.61</v>
      </c>
      <c r="I962" s="8">
        <v>8.4</v>
      </c>
      <c r="J962" s="26">
        <v>5</v>
      </c>
      <c r="K962" s="10">
        <v>0.40361999999999998</v>
      </c>
      <c r="L962" s="4"/>
      <c r="M962" s="17">
        <v>5</v>
      </c>
      <c r="N962" s="18">
        <v>0.40361999999999998</v>
      </c>
      <c r="O962" s="19">
        <v>0</v>
      </c>
      <c r="P962" s="13">
        <v>0</v>
      </c>
      <c r="Q962" s="9"/>
      <c r="R962" s="2"/>
      <c r="S962" s="89">
        <v>8.1</v>
      </c>
      <c r="T962" s="187">
        <v>5</v>
      </c>
      <c r="U962" s="156" t="s">
        <v>268</v>
      </c>
    </row>
    <row r="963" spans="1:21">
      <c r="A963" s="42"/>
      <c r="B963" s="3"/>
      <c r="C963" s="3"/>
      <c r="D963" s="1"/>
      <c r="E963" s="20" t="s">
        <v>17</v>
      </c>
      <c r="F963" s="7" t="s">
        <v>15</v>
      </c>
      <c r="G963" s="7" t="s">
        <v>34</v>
      </c>
      <c r="H963" s="11">
        <v>9.61</v>
      </c>
      <c r="I963" s="8">
        <v>11</v>
      </c>
      <c r="J963" s="26">
        <v>5</v>
      </c>
      <c r="K963" s="10">
        <v>0.52854999999999996</v>
      </c>
      <c r="L963" s="4"/>
      <c r="M963" s="17">
        <v>5</v>
      </c>
      <c r="N963" s="18">
        <v>0.52854999999999996</v>
      </c>
      <c r="O963" s="19">
        <v>0</v>
      </c>
      <c r="P963" s="13">
        <v>0</v>
      </c>
      <c r="Q963" s="9">
        <v>9.85</v>
      </c>
      <c r="R963" s="2">
        <v>5</v>
      </c>
      <c r="S963" s="2"/>
    </row>
    <row r="964" spans="1:21">
      <c r="A964" s="42" t="s">
        <v>77</v>
      </c>
      <c r="B964" s="3" t="s">
        <v>68</v>
      </c>
      <c r="C964" s="3">
        <v>428</v>
      </c>
      <c r="D964" s="1"/>
      <c r="E964" s="20" t="s">
        <v>17</v>
      </c>
      <c r="F964" s="7" t="s">
        <v>15</v>
      </c>
      <c r="G964" s="7" t="s">
        <v>34</v>
      </c>
      <c r="H964" s="11">
        <v>9.61</v>
      </c>
      <c r="I964" s="8">
        <v>8.75</v>
      </c>
      <c r="J964" s="26">
        <v>1</v>
      </c>
      <c r="K964" s="10">
        <v>8.4087499999999996E-2</v>
      </c>
      <c r="L964" s="4"/>
      <c r="M964" s="17">
        <v>1</v>
      </c>
      <c r="N964" s="18">
        <v>8.4087499999999996E-2</v>
      </c>
      <c r="O964" s="19">
        <v>0</v>
      </c>
      <c r="P964" s="13">
        <v>0</v>
      </c>
      <c r="Q964" s="9"/>
      <c r="R964" s="2"/>
      <c r="S964" s="2"/>
    </row>
    <row r="965" spans="1:21">
      <c r="A965" s="42" t="s">
        <v>77</v>
      </c>
      <c r="B965" s="3" t="s">
        <v>68</v>
      </c>
      <c r="C965" s="3">
        <v>428</v>
      </c>
      <c r="D965" s="1"/>
      <c r="E965" s="20" t="s">
        <v>17</v>
      </c>
      <c r="F965" s="7" t="s">
        <v>15</v>
      </c>
      <c r="G965" s="7" t="s">
        <v>34</v>
      </c>
      <c r="H965" s="11">
        <v>9.61</v>
      </c>
      <c r="I965" s="8">
        <v>9</v>
      </c>
      <c r="J965" s="26">
        <v>8</v>
      </c>
      <c r="K965" s="10">
        <v>0.69191999999999998</v>
      </c>
      <c r="L965" s="4"/>
      <c r="M965" s="17">
        <v>8</v>
      </c>
      <c r="N965" s="18">
        <v>0.69191999999999998</v>
      </c>
      <c r="O965" s="19">
        <v>0</v>
      </c>
      <c r="P965" s="13">
        <v>0</v>
      </c>
      <c r="Q965" s="9"/>
      <c r="R965" s="2"/>
      <c r="S965" s="2"/>
    </row>
    <row r="966" spans="1:21">
      <c r="A966" s="47" t="s">
        <v>147</v>
      </c>
      <c r="B966" s="48" t="s">
        <v>148</v>
      </c>
      <c r="C966" s="32">
        <v>314</v>
      </c>
      <c r="D966" s="32"/>
      <c r="E966" s="48" t="s">
        <v>17</v>
      </c>
      <c r="F966" s="48" t="s">
        <v>160</v>
      </c>
      <c r="G966" s="48" t="s">
        <v>34</v>
      </c>
      <c r="H966" s="11">
        <v>9.61</v>
      </c>
      <c r="I966" s="8">
        <v>11</v>
      </c>
      <c r="J966" s="7">
        <v>5</v>
      </c>
      <c r="K966" s="10">
        <v>0.52854999999999996</v>
      </c>
      <c r="L966" s="32"/>
      <c r="M966" s="32">
        <v>5</v>
      </c>
      <c r="N966" s="18">
        <v>0.52854999999999996</v>
      </c>
      <c r="O966" s="19">
        <v>0</v>
      </c>
      <c r="P966" s="13">
        <v>0</v>
      </c>
      <c r="Q966" s="32">
        <v>8.75</v>
      </c>
      <c r="R966" s="32">
        <v>5</v>
      </c>
      <c r="S966" s="32"/>
    </row>
    <row r="967" spans="1:21">
      <c r="A967" s="47" t="s">
        <v>147</v>
      </c>
      <c r="B967" s="48" t="s">
        <v>148</v>
      </c>
      <c r="C967" s="32">
        <v>314</v>
      </c>
      <c r="D967" s="32"/>
      <c r="E967" s="48" t="s">
        <v>17</v>
      </c>
      <c r="F967" s="48" t="s">
        <v>160</v>
      </c>
      <c r="G967" s="48" t="s">
        <v>34</v>
      </c>
      <c r="H967" s="11">
        <v>9.61</v>
      </c>
      <c r="I967" s="8">
        <v>11.5</v>
      </c>
      <c r="J967" s="7">
        <v>1</v>
      </c>
      <c r="K967" s="10">
        <v>0.11051499999999999</v>
      </c>
      <c r="L967" s="32"/>
      <c r="M967" s="32">
        <v>1</v>
      </c>
      <c r="N967" s="18">
        <v>0.11051499999999999</v>
      </c>
      <c r="O967" s="19">
        <v>0</v>
      </c>
      <c r="P967" s="13">
        <v>0</v>
      </c>
      <c r="Q967" s="32">
        <v>8.75</v>
      </c>
      <c r="R967" s="32">
        <v>1</v>
      </c>
      <c r="S967" s="32"/>
    </row>
    <row r="968" spans="1:21">
      <c r="A968" s="47" t="s">
        <v>147</v>
      </c>
      <c r="B968" s="48" t="s">
        <v>148</v>
      </c>
      <c r="C968" s="32">
        <v>314</v>
      </c>
      <c r="D968" s="32"/>
      <c r="E968" s="48" t="s">
        <v>17</v>
      </c>
      <c r="F968" s="48" t="s">
        <v>160</v>
      </c>
      <c r="G968" s="48" t="s">
        <v>34</v>
      </c>
      <c r="H968" s="11">
        <v>9.61</v>
      </c>
      <c r="I968" s="8">
        <v>11.6</v>
      </c>
      <c r="J968" s="7">
        <v>2</v>
      </c>
      <c r="K968" s="10">
        <v>0.22295199999999998</v>
      </c>
      <c r="L968" s="32"/>
      <c r="M968" s="32">
        <v>2</v>
      </c>
      <c r="N968" s="18">
        <v>0.22295199999999998</v>
      </c>
      <c r="O968" s="19">
        <v>0</v>
      </c>
      <c r="P968" s="13">
        <v>0</v>
      </c>
      <c r="Q968" s="32">
        <v>8.75</v>
      </c>
      <c r="R968" s="32">
        <v>2</v>
      </c>
      <c r="S968" s="32"/>
    </row>
    <row r="969" spans="1:21">
      <c r="A969" s="47" t="s">
        <v>147</v>
      </c>
      <c r="B969" s="48" t="s">
        <v>148</v>
      </c>
      <c r="C969" s="32">
        <v>314</v>
      </c>
      <c r="D969" s="32"/>
      <c r="E969" s="48" t="s">
        <v>17</v>
      </c>
      <c r="F969" s="48" t="s">
        <v>160</v>
      </c>
      <c r="G969" s="48" t="s">
        <v>34</v>
      </c>
      <c r="H969" s="11">
        <v>9.61</v>
      </c>
      <c r="I969" s="8">
        <v>8.3000000000000007</v>
      </c>
      <c r="J969" s="7">
        <v>1</v>
      </c>
      <c r="K969" s="10">
        <v>7.9763000000000001E-2</v>
      </c>
      <c r="L969" s="32"/>
      <c r="M969" s="32">
        <v>1</v>
      </c>
      <c r="N969" s="18">
        <v>7.9763000000000001E-2</v>
      </c>
      <c r="O969" s="19">
        <v>0</v>
      </c>
      <c r="P969" s="13">
        <v>0</v>
      </c>
      <c r="Q969" s="32"/>
      <c r="R969" s="32"/>
      <c r="S969" s="102">
        <v>8.1</v>
      </c>
      <c r="T969" s="187">
        <v>1</v>
      </c>
      <c r="U969" s="156" t="s">
        <v>268</v>
      </c>
    </row>
    <row r="970" spans="1:21">
      <c r="A970" s="47" t="s">
        <v>147</v>
      </c>
      <c r="B970" s="48" t="s">
        <v>148</v>
      </c>
      <c r="C970" s="32">
        <v>314</v>
      </c>
      <c r="D970" s="32"/>
      <c r="E970" s="48" t="s">
        <v>17</v>
      </c>
      <c r="F970" s="48" t="s">
        <v>160</v>
      </c>
      <c r="G970" s="48" t="s">
        <v>34</v>
      </c>
      <c r="H970" s="11">
        <v>9.61</v>
      </c>
      <c r="I970" s="8">
        <v>8.5</v>
      </c>
      <c r="J970" s="7">
        <v>1</v>
      </c>
      <c r="K970" s="10">
        <v>8.1685000000000008E-2</v>
      </c>
      <c r="L970" s="32"/>
      <c r="M970" s="32">
        <v>1</v>
      </c>
      <c r="N970" s="18">
        <v>8.1685000000000008E-2</v>
      </c>
      <c r="O970" s="19">
        <v>0</v>
      </c>
      <c r="P970" s="13">
        <v>0</v>
      </c>
      <c r="Q970" s="32"/>
      <c r="R970" s="32"/>
      <c r="S970" s="102">
        <v>8.1</v>
      </c>
      <c r="T970" s="187">
        <v>1</v>
      </c>
      <c r="U970" s="156" t="s">
        <v>268</v>
      </c>
    </row>
    <row r="971" spans="1:21">
      <c r="A971" s="47" t="s">
        <v>147</v>
      </c>
      <c r="B971" s="48" t="s">
        <v>148</v>
      </c>
      <c r="C971" s="32">
        <v>314</v>
      </c>
      <c r="D971" s="32"/>
      <c r="E971" s="48" t="s">
        <v>17</v>
      </c>
      <c r="F971" s="48" t="s">
        <v>160</v>
      </c>
      <c r="G971" s="48" t="s">
        <v>34</v>
      </c>
      <c r="H971" s="11">
        <v>9.61</v>
      </c>
      <c r="I971" s="153">
        <v>8.6999999999999993</v>
      </c>
      <c r="J971" s="7">
        <v>1</v>
      </c>
      <c r="K971" s="10">
        <v>8.3606999999999987E-2</v>
      </c>
      <c r="L971" s="32"/>
      <c r="M971" s="32">
        <v>1</v>
      </c>
      <c r="N971" s="18">
        <v>8.3606999999999987E-2</v>
      </c>
      <c r="O971" s="19">
        <v>0</v>
      </c>
      <c r="P971" s="13">
        <v>0</v>
      </c>
      <c r="Q971" s="32"/>
      <c r="R971" s="32"/>
      <c r="S971" s="32"/>
    </row>
    <row r="972" spans="1:21">
      <c r="A972" s="47" t="s">
        <v>147</v>
      </c>
      <c r="B972" s="48" t="s">
        <v>148</v>
      </c>
      <c r="C972" s="32">
        <v>314</v>
      </c>
      <c r="D972" s="32"/>
      <c r="E972" s="48" t="s">
        <v>17</v>
      </c>
      <c r="F972" s="48" t="s">
        <v>160</v>
      </c>
      <c r="G972" s="48" t="s">
        <v>34</v>
      </c>
      <c r="H972" s="11">
        <v>9.61</v>
      </c>
      <c r="I972" s="8">
        <v>9.5</v>
      </c>
      <c r="J972" s="7">
        <v>1</v>
      </c>
      <c r="K972" s="10">
        <v>9.1294999999999987E-2</v>
      </c>
      <c r="L972" s="32"/>
      <c r="M972" s="32">
        <v>1</v>
      </c>
      <c r="N972" s="18">
        <v>9.1294999999999987E-2</v>
      </c>
      <c r="O972" s="19">
        <v>0</v>
      </c>
      <c r="P972" s="13">
        <v>0</v>
      </c>
      <c r="Q972" s="9">
        <v>9.85</v>
      </c>
      <c r="R972" s="32">
        <v>1</v>
      </c>
      <c r="S972" s="32"/>
    </row>
    <row r="973" spans="1:21">
      <c r="A973" s="47" t="s">
        <v>147</v>
      </c>
      <c r="B973" s="48" t="s">
        <v>148</v>
      </c>
      <c r="C973" s="32">
        <v>315</v>
      </c>
      <c r="D973" s="32"/>
      <c r="E973" s="48" t="s">
        <v>17</v>
      </c>
      <c r="F973" s="48" t="s">
        <v>160</v>
      </c>
      <c r="G973" s="48" t="s">
        <v>34</v>
      </c>
      <c r="H973" s="11">
        <v>9.61</v>
      </c>
      <c r="I973" s="8">
        <v>9.85</v>
      </c>
      <c r="J973" s="7">
        <v>4</v>
      </c>
      <c r="K973" s="10">
        <v>0.37863399999999997</v>
      </c>
      <c r="L973" s="32"/>
      <c r="M973" s="32">
        <v>4</v>
      </c>
      <c r="N973" s="18">
        <v>0.37863399999999997</v>
      </c>
      <c r="O973" s="19">
        <v>0</v>
      </c>
      <c r="P973" s="13">
        <v>0</v>
      </c>
      <c r="Q973" s="32"/>
      <c r="R973" s="32"/>
      <c r="S973" s="32"/>
    </row>
    <row r="974" spans="1:21">
      <c r="A974" s="47" t="s">
        <v>147</v>
      </c>
      <c r="B974" s="48" t="s">
        <v>148</v>
      </c>
      <c r="C974" s="32">
        <v>316</v>
      </c>
      <c r="D974" s="32"/>
      <c r="E974" s="48" t="s">
        <v>17</v>
      </c>
      <c r="F974" s="48" t="s">
        <v>160</v>
      </c>
      <c r="G974" s="48" t="s">
        <v>34</v>
      </c>
      <c r="H974" s="11">
        <v>9.61</v>
      </c>
      <c r="I974" s="8">
        <v>11.65</v>
      </c>
      <c r="J974" s="7">
        <v>31</v>
      </c>
      <c r="K974" s="10">
        <v>3.4706514999999998</v>
      </c>
      <c r="L974" s="32"/>
      <c r="M974" s="32">
        <v>31</v>
      </c>
      <c r="N974" s="18">
        <v>3.4706514999999998</v>
      </c>
      <c r="O974" s="19">
        <v>0</v>
      </c>
      <c r="P974" s="13">
        <v>0</v>
      </c>
      <c r="Q974" s="32"/>
      <c r="R974" s="32"/>
      <c r="S974" s="32"/>
    </row>
    <row r="975" spans="1:21">
      <c r="A975" s="47" t="s">
        <v>147</v>
      </c>
      <c r="B975" s="48" t="s">
        <v>148</v>
      </c>
      <c r="C975" s="32">
        <v>317</v>
      </c>
      <c r="D975" s="32"/>
      <c r="E975" s="48" t="s">
        <v>17</v>
      </c>
      <c r="F975" s="48" t="s">
        <v>160</v>
      </c>
      <c r="G975" s="48" t="s">
        <v>34</v>
      </c>
      <c r="H975" s="11">
        <v>9.61</v>
      </c>
      <c r="I975" s="8">
        <v>12</v>
      </c>
      <c r="J975" s="7">
        <v>22</v>
      </c>
      <c r="K975" s="10">
        <v>2.5370400000000002</v>
      </c>
      <c r="L975" s="32"/>
      <c r="M975" s="32">
        <v>22</v>
      </c>
      <c r="N975" s="18">
        <v>2.5370400000000002</v>
      </c>
      <c r="O975" s="19">
        <v>0</v>
      </c>
      <c r="P975" s="13">
        <v>0</v>
      </c>
      <c r="Q975" s="32">
        <v>8.75</v>
      </c>
      <c r="R975" s="32">
        <v>4</v>
      </c>
      <c r="S975" s="32"/>
    </row>
    <row r="976" spans="1:21">
      <c r="A976" s="47" t="s">
        <v>147</v>
      </c>
      <c r="B976" s="48" t="s">
        <v>148</v>
      </c>
      <c r="C976" s="32">
        <v>318</v>
      </c>
      <c r="D976" s="32"/>
      <c r="E976" s="48" t="s">
        <v>17</v>
      </c>
      <c r="F976" s="48" t="s">
        <v>160</v>
      </c>
      <c r="G976" s="48" t="s">
        <v>34</v>
      </c>
      <c r="H976" s="11">
        <v>9.61</v>
      </c>
      <c r="I976" s="153">
        <v>8.75</v>
      </c>
      <c r="J976" s="7">
        <v>13</v>
      </c>
      <c r="K976" s="10">
        <v>1.0931374999999999</v>
      </c>
      <c r="L976" s="32"/>
      <c r="M976" s="32">
        <v>13</v>
      </c>
      <c r="N976" s="18">
        <v>1.0931375000000001</v>
      </c>
      <c r="O976" s="19">
        <v>0</v>
      </c>
      <c r="P976" s="13">
        <v>0</v>
      </c>
      <c r="Q976" s="32"/>
      <c r="R976" s="32"/>
      <c r="S976" s="32"/>
    </row>
    <row r="977" spans="4:24">
      <c r="O977" s="6">
        <f>SUM(O961:O976)</f>
        <v>1</v>
      </c>
      <c r="T977" s="6">
        <f>SUM(T961:T976)</f>
        <v>7</v>
      </c>
    </row>
    <row r="978" spans="4:24">
      <c r="D978" s="42" t="s">
        <v>77</v>
      </c>
      <c r="E978" s="3" t="s">
        <v>68</v>
      </c>
      <c r="F978" s="3">
        <v>33</v>
      </c>
      <c r="G978" s="1"/>
      <c r="H978" s="20" t="s">
        <v>24</v>
      </c>
      <c r="I978" s="7" t="s">
        <v>14</v>
      </c>
      <c r="J978" s="7" t="s">
        <v>32</v>
      </c>
      <c r="K978" s="11">
        <v>8.3000000000000007</v>
      </c>
      <c r="L978" s="8">
        <v>6.1</v>
      </c>
      <c r="M978" s="26">
        <v>1</v>
      </c>
      <c r="N978" s="10">
        <v>5.0630000000000001E-2</v>
      </c>
      <c r="O978" s="4"/>
      <c r="P978" s="17"/>
      <c r="Q978" s="18">
        <v>0</v>
      </c>
      <c r="R978" s="19">
        <v>1</v>
      </c>
      <c r="S978" s="13">
        <v>5.0630000000000001E-2</v>
      </c>
      <c r="T978" s="9"/>
      <c r="U978" s="2"/>
      <c r="V978" s="2"/>
    </row>
    <row r="979" spans="4:24">
      <c r="D979" s="42" t="s">
        <v>77</v>
      </c>
      <c r="E979" s="3" t="s">
        <v>68</v>
      </c>
      <c r="F979" s="3">
        <v>33</v>
      </c>
      <c r="G979" s="1"/>
      <c r="H979" s="20" t="s">
        <v>24</v>
      </c>
      <c r="I979" s="7" t="s">
        <v>14</v>
      </c>
      <c r="J979" s="7" t="s">
        <v>32</v>
      </c>
      <c r="K979" s="11">
        <v>8.3000000000000007</v>
      </c>
      <c r="L979" s="8">
        <v>6.4</v>
      </c>
      <c r="M979" s="26">
        <v>2</v>
      </c>
      <c r="N979" s="10">
        <v>0.10624000000000001</v>
      </c>
      <c r="O979" s="4"/>
      <c r="P979" s="17"/>
      <c r="Q979" s="18">
        <v>0</v>
      </c>
      <c r="R979" s="19">
        <v>2</v>
      </c>
      <c r="S979" s="13">
        <v>0.10624000000000001</v>
      </c>
      <c r="T979" s="9"/>
      <c r="U979" s="2"/>
      <c r="V979" s="2"/>
    </row>
    <row r="980" spans="4:24">
      <c r="D980" s="42" t="s">
        <v>77</v>
      </c>
      <c r="E980" s="3" t="s">
        <v>68</v>
      </c>
      <c r="F980" s="3">
        <v>365</v>
      </c>
      <c r="G980" s="1"/>
      <c r="H980" s="20" t="s">
        <v>24</v>
      </c>
      <c r="I980" s="7" t="s">
        <v>14</v>
      </c>
      <c r="J980" s="7" t="s">
        <v>32</v>
      </c>
      <c r="K980" s="11">
        <v>8.3000000000000007</v>
      </c>
      <c r="L980" s="8">
        <v>8</v>
      </c>
      <c r="M980" s="26">
        <v>1</v>
      </c>
      <c r="N980" s="10">
        <v>6.6400000000000001E-2</v>
      </c>
      <c r="O980" s="4"/>
      <c r="P980" s="17">
        <v>1</v>
      </c>
      <c r="Q980" s="18">
        <v>6.6400000000000001E-2</v>
      </c>
      <c r="R980" s="19">
        <v>0</v>
      </c>
      <c r="S980" s="13">
        <v>0</v>
      </c>
      <c r="T980" s="9"/>
      <c r="U980" s="2"/>
      <c r="V980" s="189">
        <v>7</v>
      </c>
      <c r="W980" s="156">
        <v>1</v>
      </c>
      <c r="X980" s="156" t="s">
        <v>302</v>
      </c>
    </row>
    <row r="981" spans="4:24">
      <c r="D981" s="42" t="s">
        <v>77</v>
      </c>
      <c r="E981" s="3" t="s">
        <v>68</v>
      </c>
      <c r="F981" s="3">
        <v>365</v>
      </c>
      <c r="G981" s="1"/>
      <c r="H981" s="20" t="s">
        <v>24</v>
      </c>
      <c r="I981" s="7" t="s">
        <v>14</v>
      </c>
      <c r="J981" s="7" t="s">
        <v>32</v>
      </c>
      <c r="K981" s="11">
        <v>8.3000000000000007</v>
      </c>
      <c r="L981" s="8">
        <v>8.65</v>
      </c>
      <c r="M981" s="26">
        <v>3</v>
      </c>
      <c r="N981" s="10">
        <v>0.21538500000000005</v>
      </c>
      <c r="O981" s="4"/>
      <c r="P981" s="17">
        <v>3</v>
      </c>
      <c r="Q981" s="18">
        <v>0.21538500000000005</v>
      </c>
      <c r="R981" s="19">
        <v>0</v>
      </c>
      <c r="S981" s="13">
        <v>0</v>
      </c>
      <c r="T981" s="9">
        <v>8.25</v>
      </c>
      <c r="U981" s="2">
        <v>1</v>
      </c>
      <c r="V981" s="189">
        <v>7</v>
      </c>
      <c r="W981" s="156">
        <v>2</v>
      </c>
      <c r="X981" s="156" t="s">
        <v>302</v>
      </c>
    </row>
    <row r="982" spans="4:24">
      <c r="D982" s="42" t="s">
        <v>77</v>
      </c>
      <c r="E982" s="3" t="s">
        <v>68</v>
      </c>
      <c r="F982" s="3">
        <v>365</v>
      </c>
      <c r="G982" s="1"/>
      <c r="H982" s="20" t="s">
        <v>24</v>
      </c>
      <c r="I982" s="7" t="s">
        <v>14</v>
      </c>
      <c r="J982" s="7" t="s">
        <v>32</v>
      </c>
      <c r="K982" s="11">
        <v>8.3000000000000007</v>
      </c>
      <c r="L982" s="8">
        <v>12</v>
      </c>
      <c r="M982" s="26">
        <v>1</v>
      </c>
      <c r="N982" s="10">
        <v>9.9600000000000008E-2</v>
      </c>
      <c r="O982" s="4"/>
      <c r="P982" s="17">
        <v>1</v>
      </c>
      <c r="Q982" s="18">
        <v>9.9600000000000008E-2</v>
      </c>
      <c r="R982" s="19">
        <v>0</v>
      </c>
      <c r="S982" s="13">
        <v>0</v>
      </c>
      <c r="T982" s="9"/>
      <c r="U982" s="2"/>
      <c r="V982" s="189">
        <v>12</v>
      </c>
      <c r="W982" s="156">
        <v>1</v>
      </c>
      <c r="X982" s="156" t="s">
        <v>302</v>
      </c>
    </row>
    <row r="983" spans="4:24">
      <c r="D983" s="42" t="s">
        <v>77</v>
      </c>
      <c r="E983" s="3" t="s">
        <v>68</v>
      </c>
      <c r="F983" s="3">
        <v>366</v>
      </c>
      <c r="G983" s="1"/>
      <c r="H983" s="20" t="s">
        <v>24</v>
      </c>
      <c r="I983" s="7" t="s">
        <v>14</v>
      </c>
      <c r="J983" s="7" t="s">
        <v>32</v>
      </c>
      <c r="K983" s="11">
        <v>8.3000000000000007</v>
      </c>
      <c r="L983" s="8">
        <v>12</v>
      </c>
      <c r="M983" s="26">
        <v>23</v>
      </c>
      <c r="N983" s="10">
        <v>2.2908000000000004</v>
      </c>
      <c r="O983" s="4"/>
      <c r="P983" s="17">
        <v>23</v>
      </c>
      <c r="Q983" s="18">
        <v>2.2908000000000004</v>
      </c>
      <c r="R983" s="19">
        <v>0</v>
      </c>
      <c r="S983" s="13">
        <v>0</v>
      </c>
      <c r="T983" s="9"/>
      <c r="U983" s="2"/>
      <c r="V983" s="189">
        <v>12</v>
      </c>
      <c r="W983" s="156">
        <v>8</v>
      </c>
      <c r="X983" s="156" t="s">
        <v>302</v>
      </c>
    </row>
    <row r="984" spans="4:24">
      <c r="D984" s="42" t="s">
        <v>77</v>
      </c>
      <c r="E984" s="3" t="s">
        <v>68</v>
      </c>
      <c r="F984" s="3">
        <v>417</v>
      </c>
      <c r="G984" s="1"/>
      <c r="H984" s="20" t="s">
        <v>24</v>
      </c>
      <c r="I984" s="7" t="s">
        <v>14</v>
      </c>
      <c r="J984" s="7" t="s">
        <v>32</v>
      </c>
      <c r="K984" s="11">
        <v>8.3000000000000007</v>
      </c>
      <c r="L984" s="8">
        <v>7.25</v>
      </c>
      <c r="M984" s="26">
        <v>3</v>
      </c>
      <c r="N984" s="10">
        <v>0.18052500000000002</v>
      </c>
      <c r="O984" s="4"/>
      <c r="P984" s="17">
        <v>3</v>
      </c>
      <c r="Q984" s="18">
        <v>0.18052500000000002</v>
      </c>
      <c r="R984" s="19">
        <v>0</v>
      </c>
      <c r="S984" s="13">
        <v>0</v>
      </c>
      <c r="T984" s="9"/>
      <c r="U984" s="2"/>
      <c r="V984" s="189">
        <v>7</v>
      </c>
      <c r="W984" s="156">
        <v>1</v>
      </c>
      <c r="X984" s="156" t="s">
        <v>302</v>
      </c>
    </row>
    <row r="985" spans="4:24">
      <c r="D985" s="42" t="s">
        <v>77</v>
      </c>
      <c r="E985" s="3" t="s">
        <v>68</v>
      </c>
      <c r="F985" s="3">
        <v>419</v>
      </c>
      <c r="G985" s="1"/>
      <c r="H985" s="20" t="s">
        <v>24</v>
      </c>
      <c r="I985" s="7" t="s">
        <v>14</v>
      </c>
      <c r="J985" s="7" t="s">
        <v>32</v>
      </c>
      <c r="K985" s="11">
        <v>8.3000000000000007</v>
      </c>
      <c r="L985" s="8">
        <v>11.55</v>
      </c>
      <c r="M985" s="26">
        <v>7</v>
      </c>
      <c r="N985" s="10">
        <v>0.67105500000000007</v>
      </c>
      <c r="O985" s="4"/>
      <c r="P985" s="17">
        <v>7</v>
      </c>
      <c r="Q985" s="18">
        <v>0.67105500000000018</v>
      </c>
      <c r="R985" s="19">
        <v>0</v>
      </c>
      <c r="S985" s="13">
        <v>0</v>
      </c>
      <c r="T985" s="9">
        <v>11</v>
      </c>
      <c r="U985" s="2">
        <v>3</v>
      </c>
      <c r="V985" s="189">
        <v>11</v>
      </c>
      <c r="W985" s="156">
        <v>2</v>
      </c>
      <c r="X985" s="156" t="s">
        <v>302</v>
      </c>
    </row>
    <row r="986" spans="4:24">
      <c r="D986" s="42" t="s">
        <v>78</v>
      </c>
      <c r="E986" s="3"/>
      <c r="F986" s="3"/>
      <c r="G986" s="1"/>
      <c r="H986" s="20" t="s">
        <v>24</v>
      </c>
      <c r="I986" s="7" t="s">
        <v>14</v>
      </c>
      <c r="J986" s="7" t="s">
        <v>32</v>
      </c>
      <c r="K986" s="11">
        <v>8.3000000000000007</v>
      </c>
      <c r="L986" s="8">
        <v>7.5</v>
      </c>
      <c r="M986" s="26">
        <v>1</v>
      </c>
      <c r="N986" s="10">
        <v>6.2250000000000007E-2</v>
      </c>
      <c r="O986" s="4"/>
      <c r="P986" s="17">
        <v>1</v>
      </c>
      <c r="Q986" s="18">
        <v>6.2250000000000007E-2</v>
      </c>
      <c r="R986" s="19">
        <v>0</v>
      </c>
      <c r="S986" s="13">
        <v>0</v>
      </c>
      <c r="T986" s="9"/>
      <c r="U986" s="2"/>
      <c r="V986" s="189">
        <v>7</v>
      </c>
      <c r="W986" s="156">
        <v>1</v>
      </c>
      <c r="X986" s="156" t="s">
        <v>302</v>
      </c>
    </row>
    <row r="987" spans="4:24">
      <c r="D987" s="42" t="s">
        <v>78</v>
      </c>
      <c r="E987" s="3"/>
      <c r="F987" s="3"/>
      <c r="G987" s="1"/>
      <c r="H987" s="20" t="s">
        <v>24</v>
      </c>
      <c r="I987" s="7" t="s">
        <v>14</v>
      </c>
      <c r="J987" s="7" t="s">
        <v>32</v>
      </c>
      <c r="K987" s="11">
        <v>8.3000000000000007</v>
      </c>
      <c r="L987" s="8">
        <v>12</v>
      </c>
      <c r="M987" s="26">
        <v>1</v>
      </c>
      <c r="N987" s="10">
        <v>9.9600000000000008E-2</v>
      </c>
      <c r="O987" s="4"/>
      <c r="P987" s="17">
        <v>1</v>
      </c>
      <c r="Q987" s="18">
        <v>9.9600000000000008E-2</v>
      </c>
      <c r="R987" s="19">
        <v>0</v>
      </c>
      <c r="S987" s="13">
        <v>0</v>
      </c>
      <c r="T987" s="9"/>
      <c r="U987" s="2"/>
      <c r="V987" s="189">
        <v>12</v>
      </c>
      <c r="W987" s="156">
        <v>1</v>
      </c>
      <c r="X987" s="156" t="s">
        <v>302</v>
      </c>
    </row>
    <row r="988" spans="4:24">
      <c r="D988" s="42" t="s">
        <v>90</v>
      </c>
      <c r="E988" s="3"/>
      <c r="F988" s="3">
        <v>109</v>
      </c>
      <c r="G988" s="1" t="s">
        <v>93</v>
      </c>
      <c r="H988" s="20" t="s">
        <v>24</v>
      </c>
      <c r="I988" s="7" t="s">
        <v>14</v>
      </c>
      <c r="J988" s="7" t="s">
        <v>32</v>
      </c>
      <c r="K988" s="11">
        <v>8.3000000000000007</v>
      </c>
      <c r="L988" s="8">
        <v>7.5</v>
      </c>
      <c r="M988" s="26">
        <v>1</v>
      </c>
      <c r="N988" s="10">
        <v>6.2250000000000007E-2</v>
      </c>
      <c r="O988" s="4"/>
      <c r="P988" s="17">
        <v>1</v>
      </c>
      <c r="Q988" s="18">
        <v>6.2250000000000007E-2</v>
      </c>
      <c r="R988" s="19">
        <v>0</v>
      </c>
      <c r="S988" s="13">
        <v>0</v>
      </c>
      <c r="T988" s="9"/>
      <c r="U988" s="2"/>
      <c r="V988" s="189">
        <v>7</v>
      </c>
      <c r="W988" s="156">
        <v>1</v>
      </c>
      <c r="X988" s="156" t="s">
        <v>301</v>
      </c>
    </row>
    <row r="989" spans="4:24">
      <c r="D989" s="42" t="s">
        <v>90</v>
      </c>
      <c r="E989" s="3"/>
      <c r="F989" s="3">
        <v>109</v>
      </c>
      <c r="G989" s="1" t="s">
        <v>93</v>
      </c>
      <c r="H989" s="20" t="s">
        <v>24</v>
      </c>
      <c r="I989" s="7" t="s">
        <v>14</v>
      </c>
      <c r="J989" s="7" t="s">
        <v>32</v>
      </c>
      <c r="K989" s="11">
        <v>8.3000000000000007</v>
      </c>
      <c r="L989" s="8">
        <v>8</v>
      </c>
      <c r="M989" s="26">
        <v>1</v>
      </c>
      <c r="N989" s="10">
        <v>6.6400000000000001E-2</v>
      </c>
      <c r="O989" s="4"/>
      <c r="P989" s="17">
        <v>1</v>
      </c>
      <c r="Q989" s="18">
        <v>6.6400000000000001E-2</v>
      </c>
      <c r="R989" s="19">
        <v>0</v>
      </c>
      <c r="S989" s="13">
        <v>0</v>
      </c>
      <c r="T989" s="9"/>
      <c r="U989" s="2"/>
      <c r="V989" s="189">
        <v>7</v>
      </c>
      <c r="W989" s="156">
        <v>1</v>
      </c>
      <c r="X989" s="156" t="s">
        <v>301</v>
      </c>
    </row>
    <row r="990" spans="4:24">
      <c r="D990" s="42" t="s">
        <v>90</v>
      </c>
      <c r="E990" s="3"/>
      <c r="F990" s="3">
        <v>109</v>
      </c>
      <c r="G990" s="1" t="s">
        <v>93</v>
      </c>
      <c r="H990" s="20" t="s">
        <v>24</v>
      </c>
      <c r="I990" s="7" t="s">
        <v>14</v>
      </c>
      <c r="J990" s="7" t="s">
        <v>32</v>
      </c>
      <c r="K990" s="11">
        <v>8.3000000000000007</v>
      </c>
      <c r="L990" s="8">
        <v>7.7</v>
      </c>
      <c r="M990" s="26">
        <v>1</v>
      </c>
      <c r="N990" s="10">
        <v>6.3910000000000008E-2</v>
      </c>
      <c r="O990" s="4"/>
      <c r="P990" s="17">
        <v>1</v>
      </c>
      <c r="Q990" s="18">
        <v>6.3910000000000008E-2</v>
      </c>
      <c r="R990" s="19">
        <v>0</v>
      </c>
      <c r="S990" s="13">
        <v>0</v>
      </c>
      <c r="T990" s="9"/>
      <c r="U990" s="2"/>
      <c r="V990" s="189">
        <v>7</v>
      </c>
      <c r="W990" s="156">
        <v>1</v>
      </c>
      <c r="X990" s="156" t="s">
        <v>301</v>
      </c>
    </row>
    <row r="991" spans="4:24">
      <c r="D991" s="47" t="s">
        <v>147</v>
      </c>
      <c r="E991" s="48" t="s">
        <v>148</v>
      </c>
      <c r="F991" s="32">
        <v>276</v>
      </c>
      <c r="G991" s="32"/>
      <c r="H991" s="48" t="s">
        <v>24</v>
      </c>
      <c r="I991" s="48" t="s">
        <v>14</v>
      </c>
      <c r="J991" s="48" t="s">
        <v>32</v>
      </c>
      <c r="K991" s="11">
        <v>8.3000000000000007</v>
      </c>
      <c r="L991" s="52">
        <v>11.5</v>
      </c>
      <c r="M991" s="7">
        <v>2</v>
      </c>
      <c r="N991" s="10">
        <v>0.19090000000000001</v>
      </c>
      <c r="O991" s="32"/>
      <c r="P991" s="32">
        <v>2</v>
      </c>
      <c r="Q991" s="18">
        <v>0.19090000000000001</v>
      </c>
      <c r="R991" s="19">
        <v>0</v>
      </c>
      <c r="S991" s="13">
        <v>0</v>
      </c>
      <c r="T991" s="32"/>
      <c r="U991" s="32"/>
      <c r="V991" s="98">
        <v>11</v>
      </c>
      <c r="W991" s="156">
        <v>2</v>
      </c>
      <c r="X991" s="156" t="s">
        <v>302</v>
      </c>
    </row>
    <row r="992" spans="4:24">
      <c r="D992" s="47" t="s">
        <v>147</v>
      </c>
      <c r="E992" s="48" t="s">
        <v>148</v>
      </c>
      <c r="F992" s="32">
        <v>276</v>
      </c>
      <c r="G992" s="32"/>
      <c r="H992" s="48" t="s">
        <v>24</v>
      </c>
      <c r="I992" s="48" t="s">
        <v>14</v>
      </c>
      <c r="J992" s="48" t="s">
        <v>32</v>
      </c>
      <c r="K992" s="11">
        <v>8.3000000000000007</v>
      </c>
      <c r="L992" s="52">
        <v>9</v>
      </c>
      <c r="M992" s="7">
        <v>1</v>
      </c>
      <c r="N992" s="10">
        <v>7.4700000000000003E-2</v>
      </c>
      <c r="O992" s="32"/>
      <c r="P992" s="32">
        <v>1</v>
      </c>
      <c r="Q992" s="18">
        <v>7.4700000000000003E-2</v>
      </c>
      <c r="R992" s="19">
        <v>0</v>
      </c>
      <c r="S992" s="13">
        <v>0</v>
      </c>
      <c r="T992" s="32"/>
      <c r="U992" s="32"/>
      <c r="V992" s="98">
        <v>9</v>
      </c>
      <c r="W992" s="156">
        <v>1</v>
      </c>
      <c r="X992" s="156" t="s">
        <v>302</v>
      </c>
    </row>
    <row r="993" spans="1:24">
      <c r="D993" s="47" t="s">
        <v>147</v>
      </c>
      <c r="E993" s="48" t="s">
        <v>148</v>
      </c>
      <c r="F993" s="32">
        <v>276</v>
      </c>
      <c r="G993" s="32"/>
      <c r="H993" s="48" t="s">
        <v>24</v>
      </c>
      <c r="I993" s="48" t="s">
        <v>14</v>
      </c>
      <c r="J993" s="48" t="s">
        <v>32</v>
      </c>
      <c r="K993" s="11">
        <v>8.3000000000000007</v>
      </c>
      <c r="L993" s="52">
        <v>7.15</v>
      </c>
      <c r="M993" s="7">
        <v>5</v>
      </c>
      <c r="N993" s="10">
        <v>0.29672500000000002</v>
      </c>
      <c r="O993" s="32"/>
      <c r="P993" s="32">
        <v>5</v>
      </c>
      <c r="Q993" s="18">
        <v>0.29672500000000002</v>
      </c>
      <c r="R993" s="19">
        <v>0</v>
      </c>
      <c r="S993" s="13">
        <v>0</v>
      </c>
      <c r="T993" s="32">
        <v>7.05</v>
      </c>
      <c r="U993" s="32">
        <v>2</v>
      </c>
      <c r="V993" s="98">
        <v>7</v>
      </c>
      <c r="W993" s="190">
        <v>3</v>
      </c>
      <c r="X993" s="156" t="s">
        <v>302</v>
      </c>
    </row>
    <row r="994" spans="1:24">
      <c r="D994" s="47" t="s">
        <v>147</v>
      </c>
      <c r="E994" s="48" t="s">
        <v>148</v>
      </c>
      <c r="F994" s="32">
        <v>276</v>
      </c>
      <c r="G994" s="32"/>
      <c r="H994" s="48" t="s">
        <v>24</v>
      </c>
      <c r="I994" s="48" t="s">
        <v>14</v>
      </c>
      <c r="J994" s="48" t="s">
        <v>32</v>
      </c>
      <c r="K994" s="11">
        <v>8.3000000000000007</v>
      </c>
      <c r="L994" s="52">
        <v>6.1</v>
      </c>
      <c r="M994" s="7">
        <v>2</v>
      </c>
      <c r="N994" s="10">
        <v>0.10126</v>
      </c>
      <c r="O994" s="32"/>
      <c r="P994" s="32"/>
      <c r="Q994" s="18">
        <v>0</v>
      </c>
      <c r="R994" s="19">
        <v>2</v>
      </c>
      <c r="S994" s="13">
        <v>0.10126</v>
      </c>
      <c r="T994" s="32"/>
      <c r="U994" s="32"/>
      <c r="V994" s="33"/>
    </row>
    <row r="995" spans="1:24">
      <c r="D995" s="47" t="s">
        <v>147</v>
      </c>
      <c r="E995" s="48" t="s">
        <v>148</v>
      </c>
      <c r="F995" s="32">
        <v>298</v>
      </c>
      <c r="G995" s="32"/>
      <c r="H995" s="48" t="s">
        <v>24</v>
      </c>
      <c r="I995" s="48" t="s">
        <v>14</v>
      </c>
      <c r="J995" s="48" t="s">
        <v>32</v>
      </c>
      <c r="K995" s="11">
        <v>8.3000000000000007</v>
      </c>
      <c r="L995" s="52">
        <v>12</v>
      </c>
      <c r="M995" s="7">
        <v>7</v>
      </c>
      <c r="N995" s="10">
        <v>0.69720000000000004</v>
      </c>
      <c r="O995" s="32"/>
      <c r="P995" s="32">
        <v>7</v>
      </c>
      <c r="Q995" s="18">
        <v>0.69720000000000004</v>
      </c>
      <c r="R995" s="19">
        <v>0</v>
      </c>
      <c r="S995" s="13">
        <v>0</v>
      </c>
      <c r="T995" s="32"/>
      <c r="U995" s="32"/>
      <c r="V995" s="98">
        <v>12</v>
      </c>
      <c r="W995" s="156">
        <v>7</v>
      </c>
      <c r="X995" s="156" t="s">
        <v>302</v>
      </c>
    </row>
    <row r="996" spans="1:24">
      <c r="D996" s="47" t="s">
        <v>147</v>
      </c>
      <c r="E996" s="48" t="s">
        <v>148</v>
      </c>
      <c r="F996" s="32">
        <v>305</v>
      </c>
      <c r="G996" s="32"/>
      <c r="H996" s="48" t="s">
        <v>24</v>
      </c>
      <c r="I996" s="48" t="s">
        <v>14</v>
      </c>
      <c r="J996" s="48" t="s">
        <v>32</v>
      </c>
      <c r="K996" s="11">
        <v>8.3000000000000007</v>
      </c>
      <c r="L996" s="52">
        <v>6.3</v>
      </c>
      <c r="M996" s="7">
        <v>1</v>
      </c>
      <c r="N996" s="10">
        <v>5.2290000000000003E-2</v>
      </c>
      <c r="O996" s="32"/>
      <c r="P996" s="32"/>
      <c r="Q996" s="18">
        <v>0</v>
      </c>
      <c r="R996" s="19">
        <v>1</v>
      </c>
      <c r="S996" s="13">
        <v>5.2290000000000003E-2</v>
      </c>
      <c r="T996" s="32"/>
      <c r="U996" s="32"/>
      <c r="V996" s="32"/>
    </row>
    <row r="997" spans="1:24">
      <c r="D997" s="47" t="s">
        <v>147</v>
      </c>
      <c r="E997" s="48" t="s">
        <v>148</v>
      </c>
      <c r="F997" s="32">
        <v>305</v>
      </c>
      <c r="G997" s="32"/>
      <c r="H997" s="48" t="s">
        <v>24</v>
      </c>
      <c r="I997" s="48" t="s">
        <v>14</v>
      </c>
      <c r="J997" s="48" t="s">
        <v>32</v>
      </c>
      <c r="K997" s="11">
        <v>8.3000000000000007</v>
      </c>
      <c r="L997" s="52">
        <v>6.5</v>
      </c>
      <c r="M997" s="7">
        <v>1</v>
      </c>
      <c r="N997" s="10">
        <v>5.3950000000000005E-2</v>
      </c>
      <c r="O997" s="32"/>
      <c r="P997" s="32"/>
      <c r="Q997" s="18">
        <v>0</v>
      </c>
      <c r="R997" s="19">
        <v>1</v>
      </c>
      <c r="S997" s="13">
        <v>5.3950000000000005E-2</v>
      </c>
      <c r="T997" s="32"/>
      <c r="U997" s="32"/>
      <c r="V997" s="32"/>
    </row>
    <row r="998" spans="1:24">
      <c r="D998" s="47" t="s">
        <v>147</v>
      </c>
      <c r="E998" s="48" t="s">
        <v>148</v>
      </c>
      <c r="F998" s="32">
        <v>305</v>
      </c>
      <c r="G998" s="32"/>
      <c r="H998" s="48" t="s">
        <v>24</v>
      </c>
      <c r="I998" s="48" t="s">
        <v>14</v>
      </c>
      <c r="J998" s="48" t="s">
        <v>32</v>
      </c>
      <c r="K998" s="11">
        <v>8.3000000000000007</v>
      </c>
      <c r="L998" s="52">
        <v>6.9</v>
      </c>
      <c r="M998" s="7">
        <v>1</v>
      </c>
      <c r="N998" s="10">
        <v>5.7270000000000008E-2</v>
      </c>
      <c r="O998" s="32"/>
      <c r="P998" s="32"/>
      <c r="Q998" s="18">
        <v>0</v>
      </c>
      <c r="R998" s="19">
        <v>1</v>
      </c>
      <c r="S998" s="13">
        <v>5.7270000000000008E-2</v>
      </c>
      <c r="T998" s="32"/>
      <c r="U998" s="32"/>
      <c r="V998" s="32"/>
    </row>
    <row r="999" spans="1:24">
      <c r="D999" s="47" t="s">
        <v>147</v>
      </c>
      <c r="E999" s="48" t="s">
        <v>148</v>
      </c>
      <c r="F999" s="32">
        <v>305</v>
      </c>
      <c r="G999" s="32"/>
      <c r="H999" s="48" t="s">
        <v>24</v>
      </c>
      <c r="I999" s="48" t="s">
        <v>14</v>
      </c>
      <c r="J999" s="48" t="s">
        <v>32</v>
      </c>
      <c r="K999" s="11">
        <v>8.3000000000000007</v>
      </c>
      <c r="L999" s="52">
        <v>7</v>
      </c>
      <c r="M999" s="7">
        <v>1</v>
      </c>
      <c r="N999" s="10">
        <v>5.8100000000000006E-2</v>
      </c>
      <c r="O999" s="32"/>
      <c r="P999" s="32">
        <v>1</v>
      </c>
      <c r="Q999" s="18">
        <v>5.8100000000000006E-2</v>
      </c>
      <c r="R999" s="19">
        <v>0</v>
      </c>
      <c r="S999" s="13">
        <v>0</v>
      </c>
      <c r="T999" s="32"/>
      <c r="U999" s="32"/>
      <c r="V999" s="91">
        <v>7</v>
      </c>
      <c r="W999" s="156">
        <v>1</v>
      </c>
      <c r="X999" s="156" t="s">
        <v>302</v>
      </c>
    </row>
    <row r="1000" spans="1:24">
      <c r="D1000" s="47" t="s">
        <v>147</v>
      </c>
      <c r="E1000" s="48" t="s">
        <v>148</v>
      </c>
      <c r="F1000" s="32">
        <v>311</v>
      </c>
      <c r="G1000" s="32"/>
      <c r="H1000" s="48" t="s">
        <v>24</v>
      </c>
      <c r="I1000" s="48" t="s">
        <v>14</v>
      </c>
      <c r="J1000" s="48" t="s">
        <v>32</v>
      </c>
      <c r="K1000" s="11">
        <v>8.3000000000000007</v>
      </c>
      <c r="L1000" s="52">
        <v>11.55</v>
      </c>
      <c r="M1000" s="7">
        <v>15</v>
      </c>
      <c r="N1000" s="10">
        <v>1.4379750000000002</v>
      </c>
      <c r="O1000" s="32"/>
      <c r="P1000" s="32">
        <v>15</v>
      </c>
      <c r="Q1000" s="18">
        <v>1.4379750000000002</v>
      </c>
      <c r="R1000" s="19">
        <v>0</v>
      </c>
      <c r="S1000" s="13">
        <v>0</v>
      </c>
      <c r="T1000" s="32" t="s">
        <v>289</v>
      </c>
      <c r="U1000" s="32">
        <v>14</v>
      </c>
      <c r="V1000" s="91">
        <v>11</v>
      </c>
      <c r="W1000" s="156">
        <v>1</v>
      </c>
      <c r="X1000" s="156" t="s">
        <v>302</v>
      </c>
    </row>
    <row r="1001" spans="1:24">
      <c r="R1001" s="6">
        <f>SUM(R978:R1000)</f>
        <v>8</v>
      </c>
      <c r="W1001" s="6">
        <f>SUM(W978:W1000)</f>
        <v>35</v>
      </c>
    </row>
    <row r="1007" spans="1:24">
      <c r="A1007" s="42" t="s">
        <v>77</v>
      </c>
      <c r="B1007" s="3" t="s">
        <v>68</v>
      </c>
      <c r="C1007" s="3">
        <v>258</v>
      </c>
      <c r="D1007" s="1"/>
      <c r="E1007" s="20" t="s">
        <v>17</v>
      </c>
      <c r="F1007" s="7" t="s">
        <v>15</v>
      </c>
      <c r="G1007" s="7" t="s">
        <v>16</v>
      </c>
      <c r="H1007" s="11">
        <v>5.77</v>
      </c>
      <c r="I1007" s="8">
        <v>8.4</v>
      </c>
      <c r="J1007" s="26">
        <v>1</v>
      </c>
      <c r="K1007" s="10">
        <v>4.8467999999999997E-2</v>
      </c>
      <c r="L1007" s="4"/>
      <c r="M1007" s="17"/>
      <c r="N1007" s="18">
        <v>0</v>
      </c>
      <c r="O1007" s="19">
        <v>1</v>
      </c>
      <c r="P1007" s="13">
        <v>4.8467999999999997E-2</v>
      </c>
      <c r="Q1007" s="9"/>
      <c r="R1007" s="2"/>
      <c r="S1007" s="2"/>
    </row>
    <row r="1008" spans="1:24">
      <c r="A1008" s="42" t="s">
        <v>77</v>
      </c>
      <c r="B1008" s="3" t="s">
        <v>68</v>
      </c>
      <c r="C1008" s="3">
        <v>258</v>
      </c>
      <c r="D1008" s="1"/>
      <c r="E1008" s="20" t="s">
        <v>17</v>
      </c>
      <c r="F1008" s="7" t="s">
        <v>15</v>
      </c>
      <c r="G1008" s="7" t="s">
        <v>16</v>
      </c>
      <c r="H1008" s="11">
        <v>5.77</v>
      </c>
      <c r="I1008" s="8">
        <v>9.6</v>
      </c>
      <c r="J1008" s="26">
        <v>1</v>
      </c>
      <c r="K1008" s="10">
        <v>5.5391999999999997E-2</v>
      </c>
      <c r="L1008" s="4"/>
      <c r="M1008" s="17"/>
      <c r="N1008" s="18">
        <v>0</v>
      </c>
      <c r="O1008" s="19">
        <v>1</v>
      </c>
      <c r="P1008" s="13">
        <v>5.5391999999999997E-2</v>
      </c>
      <c r="Q1008" s="9"/>
      <c r="R1008" s="2"/>
      <c r="S1008" s="2"/>
    </row>
    <row r="1009" spans="1:20">
      <c r="A1009" s="42" t="s">
        <v>77</v>
      </c>
      <c r="B1009" s="3" t="s">
        <v>68</v>
      </c>
      <c r="C1009" s="3">
        <v>258</v>
      </c>
      <c r="D1009" s="1"/>
      <c r="E1009" s="20" t="s">
        <v>17</v>
      </c>
      <c r="F1009" s="7" t="s">
        <v>15</v>
      </c>
      <c r="G1009" s="7" t="s">
        <v>16</v>
      </c>
      <c r="H1009" s="11">
        <v>5.77</v>
      </c>
      <c r="I1009" s="8">
        <v>12</v>
      </c>
      <c r="J1009" s="26">
        <v>5</v>
      </c>
      <c r="K1009" s="10">
        <v>0.34620000000000001</v>
      </c>
      <c r="L1009" s="4"/>
      <c r="M1009" s="17">
        <v>5</v>
      </c>
      <c r="N1009" s="18">
        <v>0.34620000000000001</v>
      </c>
      <c r="O1009" s="19">
        <v>0</v>
      </c>
      <c r="P1009" s="13">
        <v>0</v>
      </c>
      <c r="Q1009" s="89">
        <v>11</v>
      </c>
      <c r="R1009" s="90">
        <v>5</v>
      </c>
      <c r="S1009" s="90" t="s">
        <v>208</v>
      </c>
    </row>
    <row r="1010" spans="1:20">
      <c r="A1010" s="48" t="s">
        <v>168</v>
      </c>
      <c r="B1010" s="48" t="s">
        <v>169</v>
      </c>
      <c r="C1010" s="32">
        <v>11</v>
      </c>
      <c r="D1010" s="32"/>
      <c r="E1010" s="48" t="s">
        <v>20</v>
      </c>
      <c r="F1010" s="48" t="s">
        <v>15</v>
      </c>
      <c r="G1010" s="48" t="s">
        <v>16</v>
      </c>
      <c r="H1010" s="11">
        <v>5.77</v>
      </c>
      <c r="I1010" s="52">
        <v>6.3</v>
      </c>
      <c r="J1010" s="7">
        <v>1</v>
      </c>
      <c r="K1010" s="10">
        <v>3.6351000000000001E-2</v>
      </c>
      <c r="L1010" s="32" t="s">
        <v>104</v>
      </c>
      <c r="M1010" s="32"/>
      <c r="N1010" s="18">
        <v>0</v>
      </c>
      <c r="O1010" s="19">
        <v>1</v>
      </c>
      <c r="P1010" s="13">
        <v>3.6351000000000001E-2</v>
      </c>
      <c r="Q1010" s="32"/>
      <c r="R1010" s="32"/>
      <c r="S1010" s="32"/>
    </row>
    <row r="1011" spans="1:20">
      <c r="A1011" s="42" t="s">
        <v>78</v>
      </c>
      <c r="B1011" s="3"/>
      <c r="C1011" s="3">
        <v>5</v>
      </c>
      <c r="D1011" s="1"/>
      <c r="E1011" s="20" t="s">
        <v>82</v>
      </c>
      <c r="F1011" s="7" t="s">
        <v>15</v>
      </c>
      <c r="G1011" s="7" t="s">
        <v>16</v>
      </c>
      <c r="H1011" s="11">
        <v>5.77</v>
      </c>
      <c r="I1011" s="8">
        <v>11.5</v>
      </c>
      <c r="J1011" s="26">
        <v>3</v>
      </c>
      <c r="K1011" s="10">
        <v>0.19906499999999996</v>
      </c>
      <c r="L1011" s="4"/>
      <c r="M1011" s="17">
        <v>3</v>
      </c>
      <c r="N1011" s="18">
        <v>0.19906499999999999</v>
      </c>
      <c r="O1011" s="19">
        <v>0</v>
      </c>
      <c r="P1011" s="13">
        <v>0</v>
      </c>
      <c r="Q1011" s="89">
        <v>11</v>
      </c>
      <c r="R1011" s="90">
        <v>3</v>
      </c>
      <c r="S1011" s="90" t="s">
        <v>208</v>
      </c>
    </row>
    <row r="1012" spans="1:20">
      <c r="A1012" s="42" t="s">
        <v>78</v>
      </c>
      <c r="B1012" s="3"/>
      <c r="C1012" s="3">
        <v>4</v>
      </c>
      <c r="D1012" s="1"/>
      <c r="E1012" s="20" t="s">
        <v>17</v>
      </c>
      <c r="F1012" s="7" t="s">
        <v>15</v>
      </c>
      <c r="G1012" s="7" t="s">
        <v>16</v>
      </c>
      <c r="H1012" s="11">
        <v>5.77</v>
      </c>
      <c r="I1012" s="8">
        <v>7</v>
      </c>
      <c r="J1012" s="26">
        <v>2</v>
      </c>
      <c r="K1012" s="10">
        <v>8.0780000000000005E-2</v>
      </c>
      <c r="L1012" s="4"/>
      <c r="M1012" s="17"/>
      <c r="N1012" s="18">
        <v>0</v>
      </c>
      <c r="O1012" s="19">
        <v>2</v>
      </c>
      <c r="P1012" s="13">
        <v>8.0780000000000005E-2</v>
      </c>
      <c r="Q1012" s="9"/>
      <c r="R1012" s="2"/>
      <c r="S1012" s="2"/>
    </row>
    <row r="1013" spans="1:20">
      <c r="A1013" s="42" t="s">
        <v>78</v>
      </c>
      <c r="B1013" s="3"/>
      <c r="C1013" s="3">
        <v>78</v>
      </c>
      <c r="D1013" s="1"/>
      <c r="E1013" s="20" t="s">
        <v>17</v>
      </c>
      <c r="F1013" s="7" t="s">
        <v>15</v>
      </c>
      <c r="G1013" s="7" t="s">
        <v>16</v>
      </c>
      <c r="H1013" s="11">
        <v>5.77</v>
      </c>
      <c r="I1013" s="8">
        <v>11</v>
      </c>
      <c r="J1013" s="26">
        <v>1</v>
      </c>
      <c r="K1013" s="10">
        <v>6.3469999999999999E-2</v>
      </c>
      <c r="L1013" s="4"/>
      <c r="M1013" s="17">
        <v>1</v>
      </c>
      <c r="N1013" s="18">
        <v>6.3469999999999999E-2</v>
      </c>
      <c r="O1013" s="19">
        <v>0</v>
      </c>
      <c r="P1013" s="13">
        <v>0</v>
      </c>
      <c r="Q1013" s="89">
        <v>11</v>
      </c>
      <c r="R1013" s="90">
        <v>1</v>
      </c>
      <c r="S1013" s="90" t="s">
        <v>208</v>
      </c>
    </row>
    <row r="1014" spans="1:20">
      <c r="A1014" s="42" t="s">
        <v>78</v>
      </c>
      <c r="B1014" s="3"/>
      <c r="C1014" s="3">
        <v>78</v>
      </c>
      <c r="D1014" s="1"/>
      <c r="E1014" s="20" t="s">
        <v>17</v>
      </c>
      <c r="F1014" s="7" t="s">
        <v>15</v>
      </c>
      <c r="G1014" s="7" t="s">
        <v>16</v>
      </c>
      <c r="H1014" s="11">
        <v>5.77</v>
      </c>
      <c r="I1014" s="8">
        <v>8</v>
      </c>
      <c r="J1014" s="26">
        <v>1</v>
      </c>
      <c r="K1014" s="10">
        <v>4.616E-2</v>
      </c>
      <c r="L1014" s="4"/>
      <c r="M1014" s="17"/>
      <c r="N1014" s="18">
        <v>0</v>
      </c>
      <c r="O1014" s="19">
        <v>1</v>
      </c>
      <c r="P1014" s="13">
        <v>4.616E-2</v>
      </c>
      <c r="Q1014" s="9"/>
      <c r="R1014" s="2"/>
      <c r="S1014" s="2"/>
    </row>
    <row r="1015" spans="1:20">
      <c r="A1015" s="42" t="s">
        <v>78</v>
      </c>
      <c r="B1015" s="3"/>
      <c r="C1015" s="3">
        <v>78</v>
      </c>
      <c r="D1015" s="1"/>
      <c r="E1015" s="20" t="s">
        <v>17</v>
      </c>
      <c r="F1015" s="7" t="s">
        <v>15</v>
      </c>
      <c r="G1015" s="7" t="s">
        <v>16</v>
      </c>
      <c r="H1015" s="11">
        <v>5.77</v>
      </c>
      <c r="I1015" s="8">
        <v>7</v>
      </c>
      <c r="J1015" s="26">
        <v>1</v>
      </c>
      <c r="K1015" s="10">
        <v>4.0390000000000002E-2</v>
      </c>
      <c r="L1015" s="4"/>
      <c r="M1015" s="17"/>
      <c r="N1015" s="18">
        <v>0</v>
      </c>
      <c r="O1015" s="19">
        <v>1</v>
      </c>
      <c r="P1015" s="13">
        <v>4.0390000000000002E-2</v>
      </c>
      <c r="Q1015" s="9"/>
      <c r="R1015" s="2"/>
      <c r="S1015" s="2"/>
    </row>
    <row r="1016" spans="1:20">
      <c r="A1016" s="42" t="s">
        <v>78</v>
      </c>
      <c r="B1016" s="3"/>
      <c r="C1016" s="3">
        <v>83</v>
      </c>
      <c r="D1016" s="1"/>
      <c r="E1016" s="20" t="s">
        <v>17</v>
      </c>
      <c r="F1016" s="7" t="s">
        <v>15</v>
      </c>
      <c r="G1016" s="7" t="s">
        <v>16</v>
      </c>
      <c r="H1016" s="11">
        <v>5.77</v>
      </c>
      <c r="I1016" s="8">
        <v>11</v>
      </c>
      <c r="J1016" s="26">
        <v>3</v>
      </c>
      <c r="K1016" s="10">
        <v>0.19041</v>
      </c>
      <c r="L1016" s="4"/>
      <c r="M1016" s="17">
        <v>3</v>
      </c>
      <c r="N1016" s="18">
        <v>0.19041</v>
      </c>
      <c r="O1016" s="19">
        <v>0</v>
      </c>
      <c r="P1016" s="13">
        <v>0</v>
      </c>
      <c r="Q1016" s="89">
        <v>11</v>
      </c>
      <c r="R1016" s="90">
        <v>2</v>
      </c>
      <c r="S1016" s="90" t="s">
        <v>208</v>
      </c>
      <c r="T1016" s="2">
        <v>1</v>
      </c>
    </row>
    <row r="1017" spans="1:20">
      <c r="A1017" s="42" t="s">
        <v>78</v>
      </c>
      <c r="B1017" s="3"/>
      <c r="C1017" s="3">
        <v>80</v>
      </c>
      <c r="D1017" s="1"/>
      <c r="E1017" s="20" t="s">
        <v>17</v>
      </c>
      <c r="F1017" s="7" t="s">
        <v>15</v>
      </c>
      <c r="G1017" s="7" t="s">
        <v>16</v>
      </c>
      <c r="H1017" s="11">
        <v>5.77</v>
      </c>
      <c r="I1017" s="8">
        <v>6.5</v>
      </c>
      <c r="J1017" s="26">
        <v>1</v>
      </c>
      <c r="K1017" s="10">
        <v>3.7504999999999997E-2</v>
      </c>
      <c r="L1017" s="4"/>
      <c r="M1017" s="17"/>
      <c r="N1017" s="18">
        <v>0</v>
      </c>
      <c r="O1017" s="19">
        <v>1</v>
      </c>
      <c r="P1017" s="13">
        <v>3.7504999999999997E-2</v>
      </c>
      <c r="Q1017" s="9"/>
      <c r="R1017" s="2"/>
      <c r="S1017" s="2"/>
    </row>
    <row r="1018" spans="1:20">
      <c r="A1018" s="42" t="s">
        <v>78</v>
      </c>
      <c r="B1018" s="3"/>
      <c r="C1018" s="3">
        <v>80</v>
      </c>
      <c r="D1018" s="1"/>
      <c r="E1018" s="20" t="s">
        <v>17</v>
      </c>
      <c r="F1018" s="7" t="s">
        <v>15</v>
      </c>
      <c r="G1018" s="7" t="s">
        <v>16</v>
      </c>
      <c r="H1018" s="11">
        <v>5.77</v>
      </c>
      <c r="I1018" s="8">
        <v>7.75</v>
      </c>
      <c r="J1018" s="26">
        <v>2</v>
      </c>
      <c r="K1018" s="10">
        <v>8.9434999999999987E-2</v>
      </c>
      <c r="L1018" s="4"/>
      <c r="M1018" s="17"/>
      <c r="N1018" s="18">
        <v>0</v>
      </c>
      <c r="O1018" s="19">
        <v>2</v>
      </c>
      <c r="P1018" s="13">
        <v>8.9434999999999987E-2</v>
      </c>
      <c r="Q1018" s="9"/>
      <c r="R1018" s="2"/>
      <c r="S1018" s="2"/>
    </row>
    <row r="1019" spans="1:20">
      <c r="A1019" s="42" t="s">
        <v>78</v>
      </c>
      <c r="B1019" s="3"/>
      <c r="C1019" s="3">
        <v>80</v>
      </c>
      <c r="D1019" s="1"/>
      <c r="E1019" s="20" t="s">
        <v>17</v>
      </c>
      <c r="F1019" s="7" t="s">
        <v>15</v>
      </c>
      <c r="G1019" s="7" t="s">
        <v>16</v>
      </c>
      <c r="H1019" s="11">
        <v>5.77</v>
      </c>
      <c r="I1019" s="8">
        <v>8</v>
      </c>
      <c r="J1019" s="26">
        <v>1</v>
      </c>
      <c r="K1019" s="10">
        <v>4.616E-2</v>
      </c>
      <c r="L1019" s="4"/>
      <c r="M1019" s="17"/>
      <c r="N1019" s="18">
        <v>0</v>
      </c>
      <c r="O1019" s="19">
        <v>1</v>
      </c>
      <c r="P1019" s="13">
        <v>4.616E-2</v>
      </c>
      <c r="Q1019" s="9"/>
      <c r="R1019" s="2"/>
      <c r="S1019" s="2"/>
    </row>
    <row r="1020" spans="1:20">
      <c r="A1020" s="42" t="s">
        <v>78</v>
      </c>
      <c r="B1020" s="3"/>
      <c r="C1020" s="3">
        <v>80</v>
      </c>
      <c r="D1020" s="1"/>
      <c r="E1020" s="20" t="s">
        <v>17</v>
      </c>
      <c r="F1020" s="7" t="s">
        <v>15</v>
      </c>
      <c r="G1020" s="7" t="s">
        <v>16</v>
      </c>
      <c r="H1020" s="11">
        <v>5.77</v>
      </c>
      <c r="I1020" s="8">
        <v>8.1999999999999993</v>
      </c>
      <c r="J1020" s="26">
        <v>1</v>
      </c>
      <c r="K1020" s="10">
        <v>4.7313999999999995E-2</v>
      </c>
      <c r="L1020" s="4"/>
      <c r="M1020" s="17"/>
      <c r="N1020" s="18">
        <v>0</v>
      </c>
      <c r="O1020" s="19">
        <v>1</v>
      </c>
      <c r="P1020" s="13">
        <v>4.7313999999999995E-2</v>
      </c>
      <c r="Q1020" s="9"/>
      <c r="R1020" s="2"/>
      <c r="S1020" s="2"/>
    </row>
    <row r="1021" spans="1:20">
      <c r="A1021" s="42" t="s">
        <v>78</v>
      </c>
      <c r="B1021" s="3"/>
      <c r="C1021" s="3"/>
      <c r="D1021" s="1"/>
      <c r="E1021" s="24" t="s">
        <v>17</v>
      </c>
      <c r="F1021" s="60" t="s">
        <v>15</v>
      </c>
      <c r="G1021" s="60" t="s">
        <v>16</v>
      </c>
      <c r="H1021" s="61">
        <v>5.77</v>
      </c>
      <c r="I1021" s="21">
        <v>10</v>
      </c>
      <c r="J1021" s="22">
        <v>1</v>
      </c>
      <c r="K1021" s="62">
        <v>5.7699999999999994E-2</v>
      </c>
      <c r="L1021" s="107" t="s">
        <v>135</v>
      </c>
      <c r="M1021" s="17"/>
      <c r="N1021" s="18">
        <v>0</v>
      </c>
      <c r="O1021" s="19">
        <v>1</v>
      </c>
      <c r="P1021" s="13">
        <v>5.7699999999999994E-2</v>
      </c>
      <c r="Q1021" s="9"/>
      <c r="R1021" s="2"/>
      <c r="S1021" s="2"/>
    </row>
    <row r="1022" spans="1:20">
      <c r="A1022" s="42" t="s">
        <v>90</v>
      </c>
      <c r="B1022" s="48" t="s">
        <v>148</v>
      </c>
      <c r="C1022" s="32">
        <v>47</v>
      </c>
      <c r="D1022" s="32"/>
      <c r="E1022" s="48" t="s">
        <v>156</v>
      </c>
      <c r="F1022" s="48" t="s">
        <v>15</v>
      </c>
      <c r="G1022" s="48" t="s">
        <v>16</v>
      </c>
      <c r="H1022" s="11">
        <v>5.77</v>
      </c>
      <c r="I1022" s="52">
        <v>5.5</v>
      </c>
      <c r="J1022" s="7">
        <v>2</v>
      </c>
      <c r="K1022" s="10">
        <v>6.3469999999999999E-2</v>
      </c>
      <c r="L1022" s="32"/>
      <c r="M1022" s="32"/>
      <c r="N1022" s="18">
        <v>0</v>
      </c>
      <c r="O1022" s="19">
        <v>2</v>
      </c>
      <c r="P1022" s="13">
        <v>6.3469999999999999E-2</v>
      </c>
      <c r="Q1022" s="32"/>
      <c r="R1022" s="32"/>
      <c r="S1022" s="32"/>
    </row>
    <row r="1023" spans="1:20">
      <c r="A1023" s="44" t="s">
        <v>78</v>
      </c>
      <c r="B1023" s="3" t="s">
        <v>80</v>
      </c>
      <c r="C1023" s="3">
        <v>2</v>
      </c>
      <c r="D1023" s="1"/>
      <c r="E1023" s="20" t="s">
        <v>17</v>
      </c>
      <c r="F1023" s="7" t="s">
        <v>15</v>
      </c>
      <c r="G1023" s="7" t="s">
        <v>16</v>
      </c>
      <c r="H1023" s="11">
        <v>5.77</v>
      </c>
      <c r="I1023" s="8">
        <v>10</v>
      </c>
      <c r="J1023" s="26">
        <v>1</v>
      </c>
      <c r="K1023" s="10">
        <v>5.7699999999999994E-2</v>
      </c>
      <c r="L1023" s="4"/>
      <c r="M1023" s="17"/>
      <c r="N1023" s="18">
        <v>0</v>
      </c>
      <c r="O1023" s="19">
        <v>1</v>
      </c>
      <c r="P1023" s="13">
        <v>5.7699999999999994E-2</v>
      </c>
      <c r="Q1023" s="9"/>
      <c r="R1023" s="32"/>
      <c r="S1023" s="32"/>
    </row>
    <row r="1024" spans="1:20">
      <c r="A1024" s="44" t="s">
        <v>78</v>
      </c>
      <c r="B1024" s="32" t="s">
        <v>109</v>
      </c>
      <c r="C1024" s="3">
        <v>8</v>
      </c>
      <c r="D1024" s="1"/>
      <c r="E1024" s="20" t="s">
        <v>20</v>
      </c>
      <c r="F1024" s="7" t="s">
        <v>15</v>
      </c>
      <c r="G1024" s="7" t="s">
        <v>16</v>
      </c>
      <c r="H1024" s="11">
        <v>5.77</v>
      </c>
      <c r="I1024" s="33">
        <v>11.5</v>
      </c>
      <c r="J1024" s="40">
        <v>1</v>
      </c>
      <c r="K1024" s="10">
        <v>6.6354999999999983E-2</v>
      </c>
      <c r="L1024" s="4"/>
      <c r="M1024" s="17">
        <v>1</v>
      </c>
      <c r="N1024" s="18">
        <v>6.6354999999999983E-2</v>
      </c>
      <c r="O1024" s="19">
        <v>0</v>
      </c>
      <c r="P1024" s="13">
        <v>0</v>
      </c>
      <c r="Q1024" s="91">
        <v>11</v>
      </c>
      <c r="R1024" s="91">
        <v>1</v>
      </c>
      <c r="S1024" s="90" t="s">
        <v>208</v>
      </c>
    </row>
    <row r="1025" spans="1:20">
      <c r="A1025" s="44" t="s">
        <v>78</v>
      </c>
      <c r="B1025" s="32" t="s">
        <v>109</v>
      </c>
      <c r="C1025" s="3"/>
      <c r="D1025" s="1"/>
      <c r="E1025" s="20" t="s">
        <v>20</v>
      </c>
      <c r="F1025" s="7" t="s">
        <v>15</v>
      </c>
      <c r="G1025" s="7" t="s">
        <v>16</v>
      </c>
      <c r="H1025" s="11">
        <v>5.77</v>
      </c>
      <c r="I1025" s="33">
        <v>11</v>
      </c>
      <c r="J1025" s="40">
        <v>1</v>
      </c>
      <c r="K1025" s="10">
        <v>6.3469999999999999E-2</v>
      </c>
      <c r="L1025" s="4"/>
      <c r="M1025" s="17">
        <v>1</v>
      </c>
      <c r="N1025" s="18">
        <v>6.3469999999999999E-2</v>
      </c>
      <c r="O1025" s="19">
        <v>0</v>
      </c>
      <c r="P1025" s="13">
        <v>0</v>
      </c>
      <c r="Q1025" s="91">
        <v>11</v>
      </c>
      <c r="R1025" s="91">
        <v>1</v>
      </c>
      <c r="S1025" s="90" t="s">
        <v>208</v>
      </c>
    </row>
    <row r="1026" spans="1:20">
      <c r="A1026" s="44" t="s">
        <v>78</v>
      </c>
      <c r="B1026" s="32" t="s">
        <v>109</v>
      </c>
      <c r="C1026" s="3"/>
      <c r="D1026" s="1"/>
      <c r="E1026" s="20" t="s">
        <v>20</v>
      </c>
      <c r="F1026" s="7" t="s">
        <v>15</v>
      </c>
      <c r="G1026" s="7" t="s">
        <v>16</v>
      </c>
      <c r="H1026" s="11">
        <v>5.77</v>
      </c>
      <c r="I1026" s="33">
        <v>12</v>
      </c>
      <c r="J1026" s="40">
        <v>2</v>
      </c>
      <c r="K1026" s="10">
        <v>0.13847999999999999</v>
      </c>
      <c r="L1026" s="4"/>
      <c r="M1026" s="17">
        <v>2</v>
      </c>
      <c r="N1026" s="18">
        <v>0.13847999999999999</v>
      </c>
      <c r="O1026" s="19">
        <v>0</v>
      </c>
      <c r="P1026" s="13">
        <v>0</v>
      </c>
      <c r="Q1026" s="91">
        <v>11</v>
      </c>
      <c r="R1026" s="91">
        <v>2</v>
      </c>
      <c r="S1026" s="90" t="s">
        <v>208</v>
      </c>
    </row>
    <row r="1027" spans="1:20">
      <c r="A1027" s="45" t="s">
        <v>136</v>
      </c>
      <c r="B1027" s="48" t="s">
        <v>171</v>
      </c>
      <c r="C1027" s="32">
        <v>141</v>
      </c>
      <c r="D1027" s="32" t="s">
        <v>142</v>
      </c>
      <c r="E1027" s="48" t="s">
        <v>89</v>
      </c>
      <c r="F1027" s="48" t="s">
        <v>15</v>
      </c>
      <c r="G1027" s="48" t="s">
        <v>16</v>
      </c>
      <c r="H1027" s="11">
        <v>5.77</v>
      </c>
      <c r="I1027" s="52">
        <v>8.9</v>
      </c>
      <c r="J1027" s="7">
        <v>1</v>
      </c>
      <c r="K1027" s="10">
        <v>5.1353000000000003E-2</v>
      </c>
      <c r="L1027" s="32"/>
      <c r="M1027" s="32"/>
      <c r="N1027" s="18">
        <v>0</v>
      </c>
      <c r="O1027" s="19">
        <v>1</v>
      </c>
      <c r="P1027" s="13">
        <v>5.1353000000000003E-2</v>
      </c>
      <c r="Q1027" s="32"/>
      <c r="R1027" s="32"/>
      <c r="S1027" s="32"/>
    </row>
    <row r="1028" spans="1:20">
      <c r="A1028" s="45" t="s">
        <v>136</v>
      </c>
      <c r="B1028" s="48" t="s">
        <v>171</v>
      </c>
      <c r="C1028" s="32">
        <v>141</v>
      </c>
      <c r="D1028" s="32" t="s">
        <v>142</v>
      </c>
      <c r="E1028" s="48" t="s">
        <v>89</v>
      </c>
      <c r="F1028" s="48" t="s">
        <v>15</v>
      </c>
      <c r="G1028" s="48" t="s">
        <v>16</v>
      </c>
      <c r="H1028" s="11">
        <v>5.77</v>
      </c>
      <c r="I1028" s="52">
        <v>10</v>
      </c>
      <c r="J1028" s="7">
        <v>1</v>
      </c>
      <c r="K1028" s="10">
        <v>5.7699999999999994E-2</v>
      </c>
      <c r="L1028" s="32"/>
      <c r="M1028" s="32"/>
      <c r="N1028" s="18">
        <v>0</v>
      </c>
      <c r="O1028" s="19">
        <v>1</v>
      </c>
      <c r="P1028" s="13">
        <v>5.7699999999999994E-2</v>
      </c>
      <c r="Q1028" s="32"/>
      <c r="R1028" s="32"/>
      <c r="S1028" s="32"/>
    </row>
    <row r="1029" spans="1:20">
      <c r="A1029" s="45" t="s">
        <v>136</v>
      </c>
      <c r="B1029" s="48" t="s">
        <v>171</v>
      </c>
      <c r="C1029" s="32">
        <v>141</v>
      </c>
      <c r="D1029" s="32" t="s">
        <v>142</v>
      </c>
      <c r="E1029" s="48" t="s">
        <v>89</v>
      </c>
      <c r="F1029" s="48" t="s">
        <v>15</v>
      </c>
      <c r="G1029" s="48" t="s">
        <v>16</v>
      </c>
      <c r="H1029" s="11">
        <v>5.77</v>
      </c>
      <c r="I1029" s="52">
        <v>10.5</v>
      </c>
      <c r="J1029" s="7">
        <v>1</v>
      </c>
      <c r="K1029" s="10">
        <v>6.0584999999999993E-2</v>
      </c>
      <c r="L1029" s="32"/>
      <c r="M1029" s="32"/>
      <c r="N1029" s="18">
        <v>0</v>
      </c>
      <c r="O1029" s="19">
        <v>1</v>
      </c>
      <c r="P1029" s="13">
        <v>6.0584999999999993E-2</v>
      </c>
      <c r="Q1029" s="32"/>
      <c r="R1029" s="32"/>
      <c r="S1029" s="32"/>
    </row>
    <row r="1030" spans="1:20">
      <c r="O1030" s="6">
        <f>SUM(O1007:O1029)</f>
        <v>19</v>
      </c>
      <c r="R1030" s="6">
        <f>SUM(R1007:R1029)</f>
        <v>15</v>
      </c>
    </row>
    <row r="1035" spans="1:20" ht="15.6">
      <c r="B1035" s="110" t="s">
        <v>248</v>
      </c>
      <c r="C1035" s="111" t="s">
        <v>227</v>
      </c>
      <c r="D1035" s="112" t="s">
        <v>228</v>
      </c>
      <c r="E1035" s="113" t="s">
        <v>94</v>
      </c>
      <c r="F1035" s="133" t="s">
        <v>15</v>
      </c>
      <c r="G1035" s="133" t="s">
        <v>22</v>
      </c>
      <c r="H1035" s="134">
        <v>10.73</v>
      </c>
      <c r="I1035" s="138">
        <v>12</v>
      </c>
      <c r="J1035" s="136">
        <v>8</v>
      </c>
      <c r="K1035" s="137">
        <f t="shared" ref="K1035:K1055" si="56">(H1035*I1035*J1035/1000)</f>
        <v>1.0300799999999999</v>
      </c>
      <c r="L1035" s="118"/>
      <c r="M1035" s="111">
        <v>8</v>
      </c>
      <c r="N1035" s="117">
        <f t="shared" ref="N1035:N1055" si="57">I1035*M1035*H1035/1000</f>
        <v>1.0300799999999999</v>
      </c>
      <c r="O1035" s="119">
        <f t="shared" ref="O1035:O1055" si="58">J1035-M1035</f>
        <v>0</v>
      </c>
      <c r="P1035" s="120">
        <f t="shared" ref="P1035:P1055" si="59">I1035*O1035*H1035/1000</f>
        <v>0</v>
      </c>
      <c r="Q1035" s="111"/>
      <c r="R1035" s="111"/>
      <c r="S1035" s="111"/>
      <c r="T1035" s="111"/>
    </row>
    <row r="1036" spans="1:20" ht="15.6">
      <c r="B1036" s="110" t="s">
        <v>248</v>
      </c>
      <c r="C1036" s="111" t="s">
        <v>227</v>
      </c>
      <c r="D1036" s="112" t="s">
        <v>228</v>
      </c>
      <c r="E1036" s="113" t="s">
        <v>94</v>
      </c>
      <c r="F1036" s="133" t="s">
        <v>15</v>
      </c>
      <c r="G1036" s="133" t="s">
        <v>22</v>
      </c>
      <c r="H1036" s="134">
        <v>10.73</v>
      </c>
      <c r="I1036" s="138">
        <v>11.5</v>
      </c>
      <c r="J1036" s="136">
        <v>4</v>
      </c>
      <c r="K1036" s="137">
        <f t="shared" si="56"/>
        <v>0.49358000000000002</v>
      </c>
      <c r="L1036" s="118"/>
      <c r="M1036" s="111">
        <v>4</v>
      </c>
      <c r="N1036" s="117">
        <f t="shared" si="57"/>
        <v>0.49358000000000002</v>
      </c>
      <c r="O1036" s="119">
        <f t="shared" si="58"/>
        <v>0</v>
      </c>
      <c r="P1036" s="120">
        <f t="shared" si="59"/>
        <v>0</v>
      </c>
      <c r="Q1036" s="111"/>
      <c r="R1036" s="111"/>
      <c r="S1036" s="111"/>
      <c r="T1036" s="111"/>
    </row>
    <row r="1037" spans="1:20" ht="15.6">
      <c r="B1037" s="110" t="s">
        <v>248</v>
      </c>
      <c r="C1037" s="111" t="s">
        <v>227</v>
      </c>
      <c r="D1037" s="112" t="s">
        <v>228</v>
      </c>
      <c r="E1037" s="113" t="s">
        <v>94</v>
      </c>
      <c r="F1037" s="133" t="s">
        <v>15</v>
      </c>
      <c r="G1037" s="133" t="s">
        <v>22</v>
      </c>
      <c r="H1037" s="134">
        <v>10.73</v>
      </c>
      <c r="I1037" s="138">
        <v>11</v>
      </c>
      <c r="J1037" s="136">
        <v>5</v>
      </c>
      <c r="K1037" s="137">
        <f t="shared" si="56"/>
        <v>0.59014999999999995</v>
      </c>
      <c r="L1037" s="118"/>
      <c r="M1037" s="111">
        <v>5</v>
      </c>
      <c r="N1037" s="117">
        <f t="shared" si="57"/>
        <v>0.59014999999999995</v>
      </c>
      <c r="O1037" s="119">
        <f t="shared" si="58"/>
        <v>0</v>
      </c>
      <c r="P1037" s="120">
        <f t="shared" si="59"/>
        <v>0</v>
      </c>
      <c r="Q1037" s="111"/>
      <c r="R1037" s="111"/>
      <c r="S1037" s="111"/>
      <c r="T1037" s="111"/>
    </row>
    <row r="1038" spans="1:20" ht="15.6">
      <c r="B1038" s="110" t="s">
        <v>248</v>
      </c>
      <c r="C1038" s="111" t="s">
        <v>227</v>
      </c>
      <c r="D1038" s="112" t="s">
        <v>228</v>
      </c>
      <c r="E1038" s="113" t="s">
        <v>94</v>
      </c>
      <c r="F1038" s="133" t="s">
        <v>15</v>
      </c>
      <c r="G1038" s="133" t="s">
        <v>22</v>
      </c>
      <c r="H1038" s="134">
        <v>10.73</v>
      </c>
      <c r="I1038" s="138">
        <v>10.5</v>
      </c>
      <c r="J1038" s="136">
        <v>2</v>
      </c>
      <c r="K1038" s="137">
        <f t="shared" si="56"/>
        <v>0.22533</v>
      </c>
      <c r="L1038" s="118"/>
      <c r="M1038" s="111">
        <v>2</v>
      </c>
      <c r="N1038" s="117">
        <f t="shared" si="57"/>
        <v>0.22533</v>
      </c>
      <c r="O1038" s="119">
        <f t="shared" si="58"/>
        <v>0</v>
      </c>
      <c r="P1038" s="120">
        <f t="shared" si="59"/>
        <v>0</v>
      </c>
      <c r="Q1038" s="111"/>
      <c r="R1038" s="111"/>
      <c r="S1038" s="111"/>
      <c r="T1038" s="111"/>
    </row>
    <row r="1039" spans="1:20" ht="15.6">
      <c r="B1039" s="110" t="s">
        <v>248</v>
      </c>
      <c r="C1039" s="111" t="s">
        <v>227</v>
      </c>
      <c r="D1039" s="112" t="s">
        <v>228</v>
      </c>
      <c r="E1039" s="113" t="s">
        <v>94</v>
      </c>
      <c r="F1039" s="133" t="s">
        <v>15</v>
      </c>
      <c r="G1039" s="133" t="s">
        <v>22</v>
      </c>
      <c r="H1039" s="134">
        <v>10.73</v>
      </c>
      <c r="I1039" s="138">
        <v>10</v>
      </c>
      <c r="J1039" s="136">
        <v>8</v>
      </c>
      <c r="K1039" s="137">
        <f t="shared" si="56"/>
        <v>0.85840000000000005</v>
      </c>
      <c r="L1039" s="118"/>
      <c r="M1039" s="111">
        <v>8</v>
      </c>
      <c r="N1039" s="117">
        <f t="shared" si="57"/>
        <v>0.85840000000000005</v>
      </c>
      <c r="O1039" s="119">
        <f t="shared" si="58"/>
        <v>0</v>
      </c>
      <c r="P1039" s="120">
        <f t="shared" si="59"/>
        <v>0</v>
      </c>
      <c r="Q1039" s="172">
        <v>9.4</v>
      </c>
      <c r="R1039" s="93">
        <v>8</v>
      </c>
      <c r="S1039" s="93" t="s">
        <v>279</v>
      </c>
      <c r="T1039" s="111"/>
    </row>
    <row r="1040" spans="1:20" ht="15.6">
      <c r="B1040" s="110" t="s">
        <v>248</v>
      </c>
      <c r="C1040" s="111" t="s">
        <v>227</v>
      </c>
      <c r="D1040" s="112" t="s">
        <v>228</v>
      </c>
      <c r="E1040" s="113" t="s">
        <v>94</v>
      </c>
      <c r="F1040" s="133" t="s">
        <v>15</v>
      </c>
      <c r="G1040" s="133" t="s">
        <v>22</v>
      </c>
      <c r="H1040" s="134">
        <v>10.73</v>
      </c>
      <c r="I1040" s="138">
        <v>9.5</v>
      </c>
      <c r="J1040" s="136">
        <v>5</v>
      </c>
      <c r="K1040" s="137">
        <f t="shared" si="56"/>
        <v>0.50967499999999999</v>
      </c>
      <c r="L1040" s="118"/>
      <c r="M1040" s="111">
        <v>5</v>
      </c>
      <c r="N1040" s="117">
        <f t="shared" si="57"/>
        <v>0.50967499999999999</v>
      </c>
      <c r="O1040" s="119">
        <f t="shared" si="58"/>
        <v>0</v>
      </c>
      <c r="P1040" s="120">
        <f t="shared" si="59"/>
        <v>0</v>
      </c>
      <c r="Q1040" s="172">
        <v>9.4</v>
      </c>
      <c r="R1040" s="93">
        <v>5</v>
      </c>
      <c r="S1040" s="93" t="s">
        <v>279</v>
      </c>
      <c r="T1040" s="111"/>
    </row>
    <row r="1041" spans="2:20" ht="15.6">
      <c r="B1041" s="110" t="s">
        <v>248</v>
      </c>
      <c r="C1041" s="111" t="s">
        <v>227</v>
      </c>
      <c r="D1041" s="112" t="s">
        <v>228</v>
      </c>
      <c r="E1041" s="113" t="s">
        <v>94</v>
      </c>
      <c r="F1041" s="133" t="s">
        <v>15</v>
      </c>
      <c r="G1041" s="133" t="s">
        <v>22</v>
      </c>
      <c r="H1041" s="134">
        <v>10.73</v>
      </c>
      <c r="I1041" s="138">
        <v>9</v>
      </c>
      <c r="J1041" s="136">
        <v>9</v>
      </c>
      <c r="K1041" s="137">
        <f t="shared" si="56"/>
        <v>0.86913000000000007</v>
      </c>
      <c r="L1041" s="118"/>
      <c r="M1041" s="111">
        <v>9</v>
      </c>
      <c r="N1041" s="117">
        <f t="shared" si="57"/>
        <v>0.86912999999999996</v>
      </c>
      <c r="O1041" s="119">
        <f t="shared" si="58"/>
        <v>0</v>
      </c>
      <c r="P1041" s="120">
        <f t="shared" si="59"/>
        <v>0</v>
      </c>
      <c r="Q1041" s="172">
        <v>7.8</v>
      </c>
      <c r="R1041" s="93">
        <v>9</v>
      </c>
      <c r="S1041" s="93" t="s">
        <v>279</v>
      </c>
      <c r="T1041" s="111"/>
    </row>
    <row r="1042" spans="2:20" ht="15.6">
      <c r="B1042" s="110" t="s">
        <v>248</v>
      </c>
      <c r="C1042" s="111" t="s">
        <v>227</v>
      </c>
      <c r="D1042" s="112" t="s">
        <v>228</v>
      </c>
      <c r="E1042" s="113" t="s">
        <v>94</v>
      </c>
      <c r="F1042" s="133" t="s">
        <v>15</v>
      </c>
      <c r="G1042" s="133" t="s">
        <v>22</v>
      </c>
      <c r="H1042" s="134">
        <v>10.73</v>
      </c>
      <c r="I1042" s="138">
        <v>8.5</v>
      </c>
      <c r="J1042" s="136">
        <v>3</v>
      </c>
      <c r="K1042" s="137">
        <f t="shared" si="56"/>
        <v>0.273615</v>
      </c>
      <c r="L1042" s="118"/>
      <c r="M1042" s="111">
        <v>3</v>
      </c>
      <c r="N1042" s="117">
        <f t="shared" si="57"/>
        <v>0.273615</v>
      </c>
      <c r="O1042" s="119">
        <f t="shared" si="58"/>
        <v>0</v>
      </c>
      <c r="P1042" s="120">
        <f t="shared" si="59"/>
        <v>0</v>
      </c>
      <c r="Q1042" s="172">
        <v>7.8</v>
      </c>
      <c r="R1042" s="93">
        <v>3</v>
      </c>
      <c r="S1042" s="93" t="s">
        <v>279</v>
      </c>
      <c r="T1042" s="111"/>
    </row>
    <row r="1043" spans="2:20" ht="15.6">
      <c r="B1043" s="110" t="s">
        <v>248</v>
      </c>
      <c r="C1043" s="111" t="s">
        <v>227</v>
      </c>
      <c r="D1043" s="112" t="s">
        <v>228</v>
      </c>
      <c r="E1043" s="113" t="s">
        <v>94</v>
      </c>
      <c r="F1043" s="133" t="s">
        <v>15</v>
      </c>
      <c r="G1043" s="133" t="s">
        <v>22</v>
      </c>
      <c r="H1043" s="134">
        <v>10.73</v>
      </c>
      <c r="I1043" s="138">
        <v>8</v>
      </c>
      <c r="J1043" s="136">
        <v>13</v>
      </c>
      <c r="K1043" s="137">
        <f t="shared" si="56"/>
        <v>1.11592</v>
      </c>
      <c r="L1043" s="118"/>
      <c r="M1043" s="111">
        <v>13</v>
      </c>
      <c r="N1043" s="117">
        <f t="shared" si="57"/>
        <v>1.11592</v>
      </c>
      <c r="O1043" s="119">
        <f t="shared" si="58"/>
        <v>0</v>
      </c>
      <c r="P1043" s="120">
        <f t="shared" si="59"/>
        <v>0</v>
      </c>
      <c r="Q1043" s="172">
        <v>7.8</v>
      </c>
      <c r="R1043" s="93">
        <v>13</v>
      </c>
      <c r="S1043" s="93" t="s">
        <v>279</v>
      </c>
      <c r="T1043" s="111"/>
    </row>
    <row r="1044" spans="2:20" ht="15.6">
      <c r="B1044" s="110" t="s">
        <v>248</v>
      </c>
      <c r="C1044" s="111" t="s">
        <v>227</v>
      </c>
      <c r="D1044" s="112" t="s">
        <v>228</v>
      </c>
      <c r="E1044" s="113" t="s">
        <v>94</v>
      </c>
      <c r="F1044" s="133" t="s">
        <v>15</v>
      </c>
      <c r="G1044" s="133" t="s">
        <v>22</v>
      </c>
      <c r="H1044" s="134">
        <v>10.73</v>
      </c>
      <c r="I1044" s="138">
        <v>7.2</v>
      </c>
      <c r="J1044" s="136">
        <v>1</v>
      </c>
      <c r="K1044" s="137">
        <f t="shared" si="56"/>
        <v>7.7256000000000005E-2</v>
      </c>
      <c r="L1044" s="118"/>
      <c r="M1044" s="111"/>
      <c r="N1044" s="117">
        <f t="shared" si="57"/>
        <v>0</v>
      </c>
      <c r="O1044" s="119">
        <f t="shared" si="58"/>
        <v>1</v>
      </c>
      <c r="P1044" s="120">
        <f t="shared" si="59"/>
        <v>7.7256000000000005E-2</v>
      </c>
      <c r="Q1044" s="130"/>
      <c r="R1044" s="111"/>
      <c r="S1044" s="111"/>
      <c r="T1044" s="111"/>
    </row>
    <row r="1045" spans="2:20" ht="15.6">
      <c r="B1045" s="110" t="s">
        <v>248</v>
      </c>
      <c r="C1045" s="111" t="s">
        <v>227</v>
      </c>
      <c r="D1045" s="112" t="s">
        <v>228</v>
      </c>
      <c r="E1045" s="113" t="s">
        <v>94</v>
      </c>
      <c r="F1045" s="133" t="s">
        <v>15</v>
      </c>
      <c r="G1045" s="133" t="s">
        <v>22</v>
      </c>
      <c r="H1045" s="134">
        <v>10.73</v>
      </c>
      <c r="I1045" s="138">
        <v>6</v>
      </c>
      <c r="J1045" s="136">
        <v>3</v>
      </c>
      <c r="K1045" s="137">
        <f t="shared" si="56"/>
        <v>0.19313999999999998</v>
      </c>
      <c r="L1045" s="118"/>
      <c r="M1045" s="111"/>
      <c r="N1045" s="117">
        <f t="shared" si="57"/>
        <v>0</v>
      </c>
      <c r="O1045" s="119">
        <f t="shared" si="58"/>
        <v>3</v>
      </c>
      <c r="P1045" s="120">
        <f t="shared" si="59"/>
        <v>0.19314000000000001</v>
      </c>
      <c r="Q1045" s="130"/>
      <c r="R1045" s="111"/>
      <c r="S1045" s="111"/>
      <c r="T1045" s="111"/>
    </row>
    <row r="1046" spans="2:20" ht="15.6">
      <c r="B1046" s="110" t="s">
        <v>248</v>
      </c>
      <c r="C1046" s="111" t="s">
        <v>227</v>
      </c>
      <c r="D1046" s="112" t="s">
        <v>228</v>
      </c>
      <c r="E1046" s="113" t="s">
        <v>94</v>
      </c>
      <c r="F1046" s="133" t="s">
        <v>15</v>
      </c>
      <c r="G1046" s="133" t="s">
        <v>22</v>
      </c>
      <c r="H1046" s="134">
        <v>10.73</v>
      </c>
      <c r="I1046" s="138">
        <v>8</v>
      </c>
      <c r="J1046" s="136">
        <v>18</v>
      </c>
      <c r="K1046" s="137">
        <f t="shared" si="56"/>
        <v>1.54512</v>
      </c>
      <c r="L1046" s="118"/>
      <c r="M1046" s="111">
        <v>18</v>
      </c>
      <c r="N1046" s="117">
        <f t="shared" si="57"/>
        <v>1.54512</v>
      </c>
      <c r="O1046" s="119">
        <f t="shared" si="58"/>
        <v>0</v>
      </c>
      <c r="P1046" s="120">
        <f t="shared" si="59"/>
        <v>0</v>
      </c>
      <c r="Q1046" s="172">
        <v>7.8</v>
      </c>
      <c r="R1046" s="93">
        <v>18</v>
      </c>
      <c r="S1046" s="93" t="s">
        <v>279</v>
      </c>
      <c r="T1046" s="111"/>
    </row>
    <row r="1047" spans="2:20" ht="15.6">
      <c r="B1047" s="110" t="s">
        <v>248</v>
      </c>
      <c r="C1047" s="111" t="s">
        <v>227</v>
      </c>
      <c r="D1047" s="112" t="s">
        <v>228</v>
      </c>
      <c r="E1047" s="113" t="s">
        <v>94</v>
      </c>
      <c r="F1047" s="133" t="s">
        <v>15</v>
      </c>
      <c r="G1047" s="133" t="s">
        <v>22</v>
      </c>
      <c r="H1047" s="134">
        <v>10.73</v>
      </c>
      <c r="I1047" s="138">
        <v>12</v>
      </c>
      <c r="J1047" s="136">
        <v>25</v>
      </c>
      <c r="K1047" s="137">
        <f t="shared" si="56"/>
        <v>3.2189999999999999</v>
      </c>
      <c r="L1047" s="118"/>
      <c r="M1047" s="111">
        <v>25</v>
      </c>
      <c r="N1047" s="117">
        <f t="shared" si="57"/>
        <v>3.2189999999999999</v>
      </c>
      <c r="O1047" s="119">
        <f t="shared" si="58"/>
        <v>0</v>
      </c>
      <c r="P1047" s="120">
        <f t="shared" si="59"/>
        <v>0</v>
      </c>
      <c r="Q1047" s="130"/>
      <c r="R1047" s="111"/>
      <c r="S1047" s="111"/>
      <c r="T1047" s="111"/>
    </row>
    <row r="1048" spans="2:20" ht="15.6">
      <c r="B1048" s="110" t="s">
        <v>248</v>
      </c>
      <c r="C1048" s="111" t="s">
        <v>227</v>
      </c>
      <c r="D1048" s="112" t="s">
        <v>228</v>
      </c>
      <c r="E1048" s="113" t="s">
        <v>94</v>
      </c>
      <c r="F1048" s="133" t="s">
        <v>15</v>
      </c>
      <c r="G1048" s="133" t="s">
        <v>22</v>
      </c>
      <c r="H1048" s="134">
        <v>10.73</v>
      </c>
      <c r="I1048" s="138">
        <v>11</v>
      </c>
      <c r="J1048" s="136">
        <v>16</v>
      </c>
      <c r="K1048" s="137">
        <f t="shared" si="56"/>
        <v>1.8884799999999999</v>
      </c>
      <c r="L1048" s="118"/>
      <c r="M1048" s="111">
        <v>16</v>
      </c>
      <c r="N1048" s="117">
        <f t="shared" si="57"/>
        <v>1.8884799999999999</v>
      </c>
      <c r="O1048" s="119">
        <f t="shared" si="58"/>
        <v>0</v>
      </c>
      <c r="P1048" s="120">
        <f t="shared" si="59"/>
        <v>0</v>
      </c>
      <c r="Q1048" s="130"/>
      <c r="R1048" s="111"/>
      <c r="S1048" s="111"/>
      <c r="T1048" s="111"/>
    </row>
    <row r="1049" spans="2:20" ht="15.6">
      <c r="B1049" s="110" t="s">
        <v>248</v>
      </c>
      <c r="C1049" s="111" t="s">
        <v>227</v>
      </c>
      <c r="D1049" s="112" t="s">
        <v>228</v>
      </c>
      <c r="E1049" s="113" t="s">
        <v>94</v>
      </c>
      <c r="F1049" s="133" t="s">
        <v>15</v>
      </c>
      <c r="G1049" s="133" t="s">
        <v>22</v>
      </c>
      <c r="H1049" s="134">
        <v>10.73</v>
      </c>
      <c r="I1049" s="138">
        <v>7.5</v>
      </c>
      <c r="J1049" s="136">
        <v>1</v>
      </c>
      <c r="K1049" s="137">
        <f t="shared" si="56"/>
        <v>8.0475000000000005E-2</v>
      </c>
      <c r="L1049" s="118"/>
      <c r="M1049" s="111"/>
      <c r="N1049" s="117">
        <f t="shared" si="57"/>
        <v>0</v>
      </c>
      <c r="O1049" s="119">
        <f t="shared" si="58"/>
        <v>1</v>
      </c>
      <c r="P1049" s="120">
        <f t="shared" si="59"/>
        <v>8.0475000000000005E-2</v>
      </c>
      <c r="Q1049" s="130"/>
      <c r="R1049" s="111"/>
      <c r="S1049" s="111"/>
      <c r="T1049" s="111"/>
    </row>
    <row r="1050" spans="2:20" ht="15.6">
      <c r="B1050" s="110" t="s">
        <v>248</v>
      </c>
      <c r="C1050" s="111" t="s">
        <v>227</v>
      </c>
      <c r="D1050" s="112" t="s">
        <v>228</v>
      </c>
      <c r="E1050" s="113" t="s">
        <v>94</v>
      </c>
      <c r="F1050" s="133" t="s">
        <v>15</v>
      </c>
      <c r="G1050" s="133" t="s">
        <v>22</v>
      </c>
      <c r="H1050" s="134">
        <v>10.73</v>
      </c>
      <c r="I1050" s="138">
        <v>8.5</v>
      </c>
      <c r="J1050" s="136">
        <v>1</v>
      </c>
      <c r="K1050" s="137">
        <f t="shared" si="56"/>
        <v>9.1204999999999994E-2</v>
      </c>
      <c r="L1050" s="118"/>
      <c r="M1050" s="111">
        <v>1</v>
      </c>
      <c r="N1050" s="117">
        <f t="shared" si="57"/>
        <v>9.1204999999999994E-2</v>
      </c>
      <c r="O1050" s="119">
        <f t="shared" si="58"/>
        <v>0</v>
      </c>
      <c r="P1050" s="120">
        <f t="shared" si="59"/>
        <v>0</v>
      </c>
      <c r="Q1050" s="172">
        <v>7.8</v>
      </c>
      <c r="R1050" s="93">
        <v>1</v>
      </c>
      <c r="S1050" s="93" t="s">
        <v>279</v>
      </c>
      <c r="T1050" s="111"/>
    </row>
    <row r="1051" spans="2:20" ht="15.6">
      <c r="B1051" s="110" t="s">
        <v>248</v>
      </c>
      <c r="C1051" s="111" t="s">
        <v>227</v>
      </c>
      <c r="D1051" s="112" t="s">
        <v>228</v>
      </c>
      <c r="E1051" s="113" t="s">
        <v>94</v>
      </c>
      <c r="F1051" s="133" t="s">
        <v>15</v>
      </c>
      <c r="G1051" s="133" t="s">
        <v>22</v>
      </c>
      <c r="H1051" s="134">
        <v>10.73</v>
      </c>
      <c r="I1051" s="138">
        <v>11.5</v>
      </c>
      <c r="J1051" s="136">
        <v>3</v>
      </c>
      <c r="K1051" s="137">
        <f t="shared" si="56"/>
        <v>0.37018500000000004</v>
      </c>
      <c r="L1051" s="118"/>
      <c r="M1051" s="111">
        <v>3</v>
      </c>
      <c r="N1051" s="117">
        <f t="shared" si="57"/>
        <v>0.37018499999999999</v>
      </c>
      <c r="O1051" s="119">
        <f t="shared" si="58"/>
        <v>0</v>
      </c>
      <c r="P1051" s="120">
        <f t="shared" si="59"/>
        <v>0</v>
      </c>
      <c r="Q1051" s="130"/>
      <c r="R1051" s="111"/>
      <c r="S1051" s="111"/>
      <c r="T1051" s="111"/>
    </row>
    <row r="1052" spans="2:20" ht="15.6">
      <c r="B1052" s="110" t="s">
        <v>248</v>
      </c>
      <c r="C1052" s="111" t="s">
        <v>227</v>
      </c>
      <c r="D1052" s="112" t="s">
        <v>228</v>
      </c>
      <c r="E1052" s="113" t="s">
        <v>94</v>
      </c>
      <c r="F1052" s="133" t="s">
        <v>15</v>
      </c>
      <c r="G1052" s="133" t="s">
        <v>22</v>
      </c>
      <c r="H1052" s="134">
        <v>10.73</v>
      </c>
      <c r="I1052" s="138">
        <v>9</v>
      </c>
      <c r="J1052" s="136">
        <v>3</v>
      </c>
      <c r="K1052" s="137">
        <f t="shared" si="56"/>
        <v>0.28971000000000002</v>
      </c>
      <c r="L1052" s="118"/>
      <c r="M1052" s="111">
        <v>3</v>
      </c>
      <c r="N1052" s="117">
        <f t="shared" si="57"/>
        <v>0.28971000000000002</v>
      </c>
      <c r="O1052" s="119">
        <f t="shared" si="58"/>
        <v>0</v>
      </c>
      <c r="P1052" s="120">
        <f t="shared" si="59"/>
        <v>0</v>
      </c>
      <c r="Q1052" s="172">
        <v>7.8</v>
      </c>
      <c r="R1052" s="93">
        <v>3</v>
      </c>
      <c r="S1052" s="93" t="s">
        <v>279</v>
      </c>
      <c r="T1052" s="111"/>
    </row>
    <row r="1053" spans="2:20" ht="15.6">
      <c r="B1053" s="110" t="s">
        <v>248</v>
      </c>
      <c r="C1053" s="111" t="s">
        <v>227</v>
      </c>
      <c r="D1053" s="112" t="s">
        <v>228</v>
      </c>
      <c r="E1053" s="113" t="s">
        <v>94</v>
      </c>
      <c r="F1053" s="133" t="s">
        <v>15</v>
      </c>
      <c r="G1053" s="133" t="s">
        <v>22</v>
      </c>
      <c r="H1053" s="134">
        <v>10.73</v>
      </c>
      <c r="I1053" s="138">
        <v>9.5</v>
      </c>
      <c r="J1053" s="136">
        <v>5</v>
      </c>
      <c r="K1053" s="137">
        <f t="shared" si="56"/>
        <v>0.50967499999999999</v>
      </c>
      <c r="L1053" s="118"/>
      <c r="M1053" s="111">
        <v>5</v>
      </c>
      <c r="N1053" s="117">
        <f t="shared" si="57"/>
        <v>0.50967499999999999</v>
      </c>
      <c r="O1053" s="119">
        <f t="shared" si="58"/>
        <v>0</v>
      </c>
      <c r="P1053" s="120">
        <f t="shared" si="59"/>
        <v>0</v>
      </c>
      <c r="Q1053" s="172">
        <v>9.4</v>
      </c>
      <c r="R1053" s="93">
        <v>5</v>
      </c>
      <c r="S1053" s="93" t="s">
        <v>279</v>
      </c>
      <c r="T1053" s="111"/>
    </row>
    <row r="1054" spans="2:20" ht="15.6">
      <c r="B1054" s="110" t="s">
        <v>248</v>
      </c>
      <c r="C1054" s="111" t="s">
        <v>227</v>
      </c>
      <c r="D1054" s="112" t="s">
        <v>228</v>
      </c>
      <c r="E1054" s="113" t="s">
        <v>94</v>
      </c>
      <c r="F1054" s="133" t="s">
        <v>15</v>
      </c>
      <c r="G1054" s="133" t="s">
        <v>22</v>
      </c>
      <c r="H1054" s="134">
        <v>10.73</v>
      </c>
      <c r="I1054" s="138">
        <v>10</v>
      </c>
      <c r="J1054" s="136">
        <v>3</v>
      </c>
      <c r="K1054" s="137">
        <f t="shared" si="56"/>
        <v>0.32190000000000002</v>
      </c>
      <c r="L1054" s="118"/>
      <c r="M1054" s="111">
        <v>3</v>
      </c>
      <c r="N1054" s="117">
        <f t="shared" si="57"/>
        <v>0.32190000000000002</v>
      </c>
      <c r="O1054" s="119">
        <f t="shared" si="58"/>
        <v>0</v>
      </c>
      <c r="P1054" s="120">
        <f t="shared" si="59"/>
        <v>0</v>
      </c>
      <c r="Q1054" s="172">
        <v>9.4</v>
      </c>
      <c r="R1054" s="93">
        <v>3</v>
      </c>
      <c r="S1054" s="93" t="s">
        <v>279</v>
      </c>
      <c r="T1054" s="111"/>
    </row>
    <row r="1055" spans="2:20" ht="15.6">
      <c r="B1055" s="110" t="s">
        <v>248</v>
      </c>
      <c r="C1055" s="111" t="s">
        <v>227</v>
      </c>
      <c r="D1055" s="112" t="s">
        <v>228</v>
      </c>
      <c r="E1055" s="113" t="s">
        <v>94</v>
      </c>
      <c r="F1055" s="133" t="s">
        <v>15</v>
      </c>
      <c r="G1055" s="133" t="s">
        <v>22</v>
      </c>
      <c r="H1055" s="134">
        <v>10.73</v>
      </c>
      <c r="I1055" s="138">
        <v>10.5</v>
      </c>
      <c r="J1055" s="136">
        <v>4</v>
      </c>
      <c r="K1055" s="137">
        <f t="shared" si="56"/>
        <v>0.45066000000000001</v>
      </c>
      <c r="L1055" s="118"/>
      <c r="M1055" s="111">
        <v>4</v>
      </c>
      <c r="N1055" s="117">
        <f t="shared" si="57"/>
        <v>0.45066000000000001</v>
      </c>
      <c r="O1055" s="119">
        <f t="shared" si="58"/>
        <v>0</v>
      </c>
      <c r="P1055" s="120">
        <f t="shared" si="59"/>
        <v>0</v>
      </c>
      <c r="Q1055" s="111"/>
      <c r="R1055" s="111"/>
      <c r="S1055" s="111"/>
      <c r="T1055" s="111"/>
    </row>
    <row r="1056" spans="2:20">
      <c r="J1056" s="6">
        <f>SUM(J1035:J1055)</f>
        <v>140</v>
      </c>
      <c r="K1056" s="5">
        <f>SUM(K1035:K1055)</f>
        <v>15.002685999999997</v>
      </c>
      <c r="M1056" s="6">
        <f>SUM(M1035:M1055)</f>
        <v>135</v>
      </c>
      <c r="N1056" s="5">
        <f>SUM(N1035:N1055)</f>
        <v>14.651814999999997</v>
      </c>
      <c r="O1056" s="78">
        <f>SUM(O1035:O1055)</f>
        <v>5</v>
      </c>
      <c r="P1056" s="128">
        <f>SUM(P1035:P1055)</f>
        <v>0.35087100000000004</v>
      </c>
      <c r="R1056" s="80">
        <f>SUM(R1035:R1055)</f>
        <v>68</v>
      </c>
    </row>
    <row r="1058" spans="1:19">
      <c r="A1058" s="48" t="s">
        <v>179</v>
      </c>
      <c r="B1058" s="48" t="s">
        <v>169</v>
      </c>
      <c r="C1058" s="32"/>
      <c r="D1058" s="32"/>
      <c r="E1058" s="69" t="s">
        <v>152</v>
      </c>
      <c r="F1058" s="69" t="s">
        <v>15</v>
      </c>
      <c r="G1058" s="69" t="s">
        <v>22</v>
      </c>
      <c r="H1058" s="61">
        <v>10.73</v>
      </c>
      <c r="I1058" s="99">
        <v>10.9</v>
      </c>
      <c r="J1058" s="60">
        <v>3</v>
      </c>
      <c r="K1058" s="62">
        <v>0.35087100000000004</v>
      </c>
      <c r="L1058" s="69" t="s">
        <v>46</v>
      </c>
      <c r="M1058" s="32"/>
      <c r="N1058" s="18">
        <v>0</v>
      </c>
      <c r="O1058" s="64">
        <v>3</v>
      </c>
      <c r="P1058" s="65">
        <v>0.35087100000000004</v>
      </c>
      <c r="Q1058" s="58"/>
      <c r="R1058" s="32"/>
      <c r="S1058" s="32"/>
    </row>
    <row r="1059" spans="1:19">
      <c r="A1059" s="48" t="s">
        <v>179</v>
      </c>
      <c r="B1059" s="48" t="s">
        <v>169</v>
      </c>
      <c r="C1059" s="32"/>
      <c r="D1059" s="32"/>
      <c r="E1059" s="69" t="s">
        <v>152</v>
      </c>
      <c r="F1059" s="69" t="s">
        <v>15</v>
      </c>
      <c r="G1059" s="69" t="s">
        <v>22</v>
      </c>
      <c r="H1059" s="61">
        <v>10.73</v>
      </c>
      <c r="I1059" s="99">
        <v>11</v>
      </c>
      <c r="J1059" s="60">
        <v>1</v>
      </c>
      <c r="K1059" s="62">
        <v>0.11803</v>
      </c>
      <c r="L1059" s="69" t="s">
        <v>46</v>
      </c>
      <c r="M1059" s="32"/>
      <c r="N1059" s="18">
        <v>0</v>
      </c>
      <c r="O1059" s="64">
        <v>1</v>
      </c>
      <c r="P1059" s="65">
        <v>0.11803</v>
      </c>
      <c r="Q1059" s="58"/>
      <c r="R1059" s="32"/>
      <c r="S1059" s="32"/>
    </row>
    <row r="1060" spans="1:19">
      <c r="A1060" s="42" t="s">
        <v>90</v>
      </c>
      <c r="B1060" s="48" t="s">
        <v>148</v>
      </c>
      <c r="C1060" s="32">
        <v>62</v>
      </c>
      <c r="D1060" s="32"/>
      <c r="E1060" s="48" t="s">
        <v>20</v>
      </c>
      <c r="F1060" s="48" t="s">
        <v>15</v>
      </c>
      <c r="G1060" s="48" t="s">
        <v>22</v>
      </c>
      <c r="H1060" s="11">
        <v>10.73</v>
      </c>
      <c r="I1060" s="52">
        <v>10.7</v>
      </c>
      <c r="J1060" s="7">
        <v>1</v>
      </c>
      <c r="K1060" s="10">
        <v>0.114811</v>
      </c>
      <c r="L1060" s="32"/>
      <c r="M1060" s="32">
        <v>1</v>
      </c>
      <c r="N1060" s="18">
        <v>0.114811</v>
      </c>
      <c r="O1060" s="19">
        <v>0</v>
      </c>
      <c r="P1060" s="13">
        <v>0</v>
      </c>
      <c r="Q1060" s="94">
        <v>10.4</v>
      </c>
      <c r="R1060" s="93">
        <v>1</v>
      </c>
      <c r="S1060" s="93" t="s">
        <v>279</v>
      </c>
    </row>
    <row r="1061" spans="1:19">
      <c r="A1061" s="42" t="s">
        <v>90</v>
      </c>
      <c r="B1061" s="48" t="s">
        <v>148</v>
      </c>
      <c r="C1061" s="32">
        <v>62</v>
      </c>
      <c r="D1061" s="32"/>
      <c r="E1061" s="48" t="s">
        <v>20</v>
      </c>
      <c r="F1061" s="48" t="s">
        <v>15</v>
      </c>
      <c r="G1061" s="48" t="s">
        <v>22</v>
      </c>
      <c r="H1061" s="11">
        <v>10.73</v>
      </c>
      <c r="I1061" s="52">
        <v>11.2</v>
      </c>
      <c r="J1061" s="7">
        <v>1</v>
      </c>
      <c r="K1061" s="10">
        <v>0.12017600000000001</v>
      </c>
      <c r="L1061" s="32"/>
      <c r="M1061" s="32">
        <v>1</v>
      </c>
      <c r="N1061" s="18">
        <v>0.12017600000000001</v>
      </c>
      <c r="O1061" s="19">
        <v>0</v>
      </c>
      <c r="P1061" s="13">
        <v>0</v>
      </c>
      <c r="Q1061" s="94">
        <v>10.4</v>
      </c>
      <c r="R1061" s="93">
        <v>1</v>
      </c>
      <c r="S1061" s="93" t="s">
        <v>279</v>
      </c>
    </row>
    <row r="1062" spans="1:19">
      <c r="A1062" s="42" t="s">
        <v>90</v>
      </c>
      <c r="B1062" s="48" t="s">
        <v>148</v>
      </c>
      <c r="C1062" s="32">
        <v>85</v>
      </c>
      <c r="D1062" s="32"/>
      <c r="E1062" s="48" t="s">
        <v>152</v>
      </c>
      <c r="F1062" s="48" t="s">
        <v>15</v>
      </c>
      <c r="G1062" s="48" t="s">
        <v>22</v>
      </c>
      <c r="H1062" s="11">
        <v>10.73</v>
      </c>
      <c r="I1062" s="52">
        <v>11.7</v>
      </c>
      <c r="J1062" s="7">
        <v>1</v>
      </c>
      <c r="K1062" s="10">
        <v>0.12554099999999999</v>
      </c>
      <c r="L1062" s="32"/>
      <c r="M1062" s="32">
        <v>1</v>
      </c>
      <c r="N1062" s="18">
        <v>0.12554099999999999</v>
      </c>
      <c r="O1062" s="19">
        <v>0</v>
      </c>
      <c r="P1062" s="13">
        <v>0</v>
      </c>
      <c r="Q1062" s="94">
        <v>11.6</v>
      </c>
      <c r="R1062" s="93">
        <v>1</v>
      </c>
      <c r="S1062" s="93" t="s">
        <v>279</v>
      </c>
    </row>
    <row r="1063" spans="1:19">
      <c r="A1063" s="42" t="s">
        <v>90</v>
      </c>
      <c r="B1063" s="48" t="s">
        <v>148</v>
      </c>
      <c r="C1063" s="32">
        <v>85</v>
      </c>
      <c r="D1063" s="32"/>
      <c r="E1063" s="48" t="s">
        <v>152</v>
      </c>
      <c r="F1063" s="48" t="s">
        <v>15</v>
      </c>
      <c r="G1063" s="48" t="s">
        <v>22</v>
      </c>
      <c r="H1063" s="11">
        <v>10.73</v>
      </c>
      <c r="I1063" s="52">
        <v>9.6999999999999993</v>
      </c>
      <c r="J1063" s="7">
        <v>2</v>
      </c>
      <c r="K1063" s="10">
        <v>0.20816200000000001</v>
      </c>
      <c r="L1063" s="32"/>
      <c r="M1063" s="32">
        <v>2</v>
      </c>
      <c r="N1063" s="18">
        <v>0.20816200000000001</v>
      </c>
      <c r="O1063" s="19">
        <v>0</v>
      </c>
      <c r="P1063" s="13">
        <v>0</v>
      </c>
      <c r="Q1063" s="94">
        <v>9.4</v>
      </c>
      <c r="R1063" s="93">
        <v>2</v>
      </c>
      <c r="S1063" s="93" t="s">
        <v>279</v>
      </c>
    </row>
    <row r="1064" spans="1:19">
      <c r="A1064" s="42" t="s">
        <v>90</v>
      </c>
      <c r="B1064" s="48" t="s">
        <v>148</v>
      </c>
      <c r="C1064" s="32">
        <v>101</v>
      </c>
      <c r="D1064" s="32"/>
      <c r="E1064" s="69" t="s">
        <v>152</v>
      </c>
      <c r="F1064" s="69" t="s">
        <v>15</v>
      </c>
      <c r="G1064" s="69" t="s">
        <v>22</v>
      </c>
      <c r="H1064" s="61">
        <v>10.73</v>
      </c>
      <c r="I1064" s="70">
        <v>10.5</v>
      </c>
      <c r="J1064" s="60">
        <v>1</v>
      </c>
      <c r="K1064" s="62">
        <v>0.112665</v>
      </c>
      <c r="L1064" s="67" t="s">
        <v>158</v>
      </c>
      <c r="M1064" s="67"/>
      <c r="N1064" s="63">
        <v>0</v>
      </c>
      <c r="O1064" s="64">
        <v>1</v>
      </c>
      <c r="P1064" s="65">
        <v>0.112665</v>
      </c>
      <c r="Q1064" s="33"/>
      <c r="R1064" s="32"/>
      <c r="S1064" s="32"/>
    </row>
    <row r="1065" spans="1:19">
      <c r="A1065" s="42" t="s">
        <v>90</v>
      </c>
      <c r="B1065" s="3"/>
      <c r="C1065" s="3">
        <v>106</v>
      </c>
      <c r="D1065" s="1"/>
      <c r="E1065" s="12" t="s">
        <v>94</v>
      </c>
      <c r="F1065" s="7" t="s">
        <v>15</v>
      </c>
      <c r="G1065" s="7" t="s">
        <v>22</v>
      </c>
      <c r="H1065" s="11">
        <v>10.73</v>
      </c>
      <c r="I1065" s="8">
        <v>6.9</v>
      </c>
      <c r="J1065" s="26">
        <v>1</v>
      </c>
      <c r="K1065" s="10">
        <v>7.4037000000000006E-2</v>
      </c>
      <c r="L1065" s="4"/>
      <c r="M1065" s="17"/>
      <c r="N1065" s="18">
        <v>0</v>
      </c>
      <c r="O1065" s="19">
        <v>1</v>
      </c>
      <c r="P1065" s="13">
        <v>7.4037000000000006E-2</v>
      </c>
      <c r="Q1065" s="50"/>
      <c r="R1065" s="2"/>
      <c r="S1065" s="2"/>
    </row>
    <row r="1066" spans="1:19">
      <c r="A1066" s="42" t="s">
        <v>90</v>
      </c>
      <c r="B1066" s="3"/>
      <c r="C1066" s="3">
        <v>106</v>
      </c>
      <c r="D1066" s="1"/>
      <c r="E1066" s="12" t="s">
        <v>94</v>
      </c>
      <c r="F1066" s="7" t="s">
        <v>15</v>
      </c>
      <c r="G1066" s="7" t="s">
        <v>22</v>
      </c>
      <c r="H1066" s="11">
        <v>10.73</v>
      </c>
      <c r="I1066" s="8">
        <v>9.1999999999999993</v>
      </c>
      <c r="J1066" s="26">
        <v>2</v>
      </c>
      <c r="K1066" s="10">
        <v>0.197432</v>
      </c>
      <c r="L1066" s="4"/>
      <c r="M1066" s="17">
        <v>2</v>
      </c>
      <c r="N1066" s="18">
        <v>0.197432</v>
      </c>
      <c r="O1066" s="19">
        <v>0</v>
      </c>
      <c r="P1066" s="13">
        <v>0</v>
      </c>
      <c r="Q1066" s="173">
        <v>7.8</v>
      </c>
      <c r="R1066" s="47">
        <v>2</v>
      </c>
      <c r="S1066" s="93" t="s">
        <v>279</v>
      </c>
    </row>
    <row r="1067" spans="1:19">
      <c r="A1067" s="42" t="s">
        <v>90</v>
      </c>
      <c r="B1067" s="3"/>
      <c r="C1067" s="3">
        <v>106</v>
      </c>
      <c r="D1067" s="1"/>
      <c r="E1067" s="12" t="s">
        <v>94</v>
      </c>
      <c r="F1067" s="7" t="s">
        <v>15</v>
      </c>
      <c r="G1067" s="7" t="s">
        <v>22</v>
      </c>
      <c r="H1067" s="11">
        <v>10.73</v>
      </c>
      <c r="I1067" s="8">
        <v>11.7</v>
      </c>
      <c r="J1067" s="26">
        <v>1</v>
      </c>
      <c r="K1067" s="10">
        <v>0.12554099999999999</v>
      </c>
      <c r="L1067" s="4"/>
      <c r="M1067" s="17">
        <v>1</v>
      </c>
      <c r="N1067" s="18">
        <v>0.12554099999999999</v>
      </c>
      <c r="O1067" s="19">
        <v>0</v>
      </c>
      <c r="P1067" s="13">
        <v>0</v>
      </c>
      <c r="Q1067" s="173">
        <v>11.6</v>
      </c>
      <c r="R1067" s="47">
        <v>1</v>
      </c>
      <c r="S1067" s="93" t="s">
        <v>279</v>
      </c>
    </row>
    <row r="1068" spans="1:19">
      <c r="A1068" s="42" t="s">
        <v>90</v>
      </c>
      <c r="B1068" s="3"/>
      <c r="C1068" s="3">
        <v>106</v>
      </c>
      <c r="D1068" s="1"/>
      <c r="E1068" s="12" t="s">
        <v>94</v>
      </c>
      <c r="F1068" s="7" t="s">
        <v>15</v>
      </c>
      <c r="G1068" s="7" t="s">
        <v>22</v>
      </c>
      <c r="H1068" s="11">
        <v>10.73</v>
      </c>
      <c r="I1068" s="8">
        <v>9.6999999999999993</v>
      </c>
      <c r="J1068" s="26">
        <v>1</v>
      </c>
      <c r="K1068" s="10">
        <v>0.10408100000000001</v>
      </c>
      <c r="L1068" s="4"/>
      <c r="M1068" s="17">
        <v>1</v>
      </c>
      <c r="N1068" s="18">
        <v>0.10408100000000001</v>
      </c>
      <c r="O1068" s="19">
        <v>0</v>
      </c>
      <c r="P1068" s="13">
        <v>0</v>
      </c>
      <c r="Q1068" s="173">
        <v>9.4</v>
      </c>
      <c r="R1068" s="47">
        <v>1</v>
      </c>
      <c r="S1068" s="93" t="s">
        <v>279</v>
      </c>
    </row>
    <row r="1069" spans="1:19">
      <c r="A1069" s="42" t="s">
        <v>90</v>
      </c>
      <c r="B1069" s="3"/>
      <c r="C1069" s="3">
        <v>133</v>
      </c>
      <c r="D1069" s="1"/>
      <c r="E1069" s="12" t="s">
        <v>94</v>
      </c>
      <c r="F1069" s="7" t="s">
        <v>15</v>
      </c>
      <c r="G1069" s="7" t="s">
        <v>22</v>
      </c>
      <c r="H1069" s="11">
        <v>10.73</v>
      </c>
      <c r="I1069" s="8">
        <v>7.5</v>
      </c>
      <c r="J1069" s="26">
        <v>3</v>
      </c>
      <c r="K1069" s="10">
        <v>0.241425</v>
      </c>
      <c r="L1069" s="4"/>
      <c r="M1069" s="17"/>
      <c r="N1069" s="18">
        <v>0</v>
      </c>
      <c r="O1069" s="19">
        <v>3</v>
      </c>
      <c r="P1069" s="13">
        <v>0.241425</v>
      </c>
      <c r="Q1069" s="50"/>
      <c r="R1069" s="2"/>
      <c r="S1069" s="2"/>
    </row>
    <row r="1070" spans="1:19">
      <c r="A1070" s="42" t="s">
        <v>90</v>
      </c>
      <c r="B1070" s="3"/>
      <c r="C1070" s="3">
        <v>175</v>
      </c>
      <c r="D1070" s="1"/>
      <c r="E1070" s="20" t="s">
        <v>20</v>
      </c>
      <c r="F1070" s="7" t="s">
        <v>15</v>
      </c>
      <c r="G1070" s="7" t="s">
        <v>22</v>
      </c>
      <c r="H1070" s="11">
        <v>10.73</v>
      </c>
      <c r="I1070" s="8">
        <v>5.4</v>
      </c>
      <c r="J1070" s="26">
        <v>1</v>
      </c>
      <c r="K1070" s="10">
        <v>5.7942000000000007E-2</v>
      </c>
      <c r="L1070" s="4"/>
      <c r="M1070" s="17"/>
      <c r="N1070" s="18">
        <v>0</v>
      </c>
      <c r="O1070" s="19">
        <v>1</v>
      </c>
      <c r="P1070" s="13">
        <v>5.7942000000000007E-2</v>
      </c>
      <c r="Q1070" s="50"/>
      <c r="R1070" s="2"/>
      <c r="S1070" s="2"/>
    </row>
    <row r="1071" spans="1:19">
      <c r="A1071" s="42" t="s">
        <v>90</v>
      </c>
      <c r="B1071" s="3"/>
      <c r="C1071" s="3">
        <v>175</v>
      </c>
      <c r="D1071" s="1"/>
      <c r="E1071" s="20" t="s">
        <v>20</v>
      </c>
      <c r="F1071" s="7" t="s">
        <v>15</v>
      </c>
      <c r="G1071" s="7" t="s">
        <v>22</v>
      </c>
      <c r="H1071" s="11">
        <v>10.73</v>
      </c>
      <c r="I1071" s="8">
        <v>5.3</v>
      </c>
      <c r="J1071" s="26">
        <v>1</v>
      </c>
      <c r="K1071" s="10">
        <v>5.6869000000000003E-2</v>
      </c>
      <c r="L1071" s="4"/>
      <c r="M1071" s="17"/>
      <c r="N1071" s="18">
        <v>0</v>
      </c>
      <c r="O1071" s="19">
        <v>1</v>
      </c>
      <c r="P1071" s="13">
        <v>5.6869000000000003E-2</v>
      </c>
      <c r="Q1071" s="50"/>
      <c r="R1071" s="2"/>
      <c r="S1071" s="2"/>
    </row>
    <row r="1072" spans="1:19">
      <c r="A1072" s="42" t="s">
        <v>90</v>
      </c>
      <c r="B1072" s="3"/>
      <c r="C1072" s="3">
        <v>214</v>
      </c>
      <c r="D1072" s="1"/>
      <c r="E1072" s="20" t="s">
        <v>20</v>
      </c>
      <c r="F1072" s="7" t="s">
        <v>15</v>
      </c>
      <c r="G1072" s="7" t="s">
        <v>22</v>
      </c>
      <c r="H1072" s="11">
        <v>10.73</v>
      </c>
      <c r="I1072" s="8">
        <v>11.9</v>
      </c>
      <c r="J1072" s="26">
        <v>1</v>
      </c>
      <c r="K1072" s="10">
        <v>0.12768700000000002</v>
      </c>
      <c r="L1072" s="4"/>
      <c r="M1072" s="17">
        <v>1</v>
      </c>
      <c r="N1072" s="18">
        <v>0.12768700000000002</v>
      </c>
      <c r="O1072" s="19">
        <v>0</v>
      </c>
      <c r="P1072" s="13">
        <v>0</v>
      </c>
      <c r="Q1072" s="173">
        <v>11.6</v>
      </c>
      <c r="R1072" s="93">
        <v>1</v>
      </c>
      <c r="S1072" s="93" t="s">
        <v>279</v>
      </c>
    </row>
    <row r="1073" spans="1:19">
      <c r="A1073" s="42" t="s">
        <v>90</v>
      </c>
      <c r="B1073" s="3"/>
      <c r="C1073" s="3">
        <v>217</v>
      </c>
      <c r="D1073" s="1"/>
      <c r="E1073" s="20" t="s">
        <v>20</v>
      </c>
      <c r="F1073" s="7" t="s">
        <v>15</v>
      </c>
      <c r="G1073" s="7" t="s">
        <v>22</v>
      </c>
      <c r="H1073" s="11">
        <v>10.73</v>
      </c>
      <c r="I1073" s="8">
        <v>7.4</v>
      </c>
      <c r="J1073" s="26">
        <v>1</v>
      </c>
      <c r="K1073" s="10">
        <v>7.9402E-2</v>
      </c>
      <c r="L1073" s="4"/>
      <c r="M1073" s="17"/>
      <c r="N1073" s="18">
        <v>0</v>
      </c>
      <c r="O1073" s="19">
        <v>1</v>
      </c>
      <c r="P1073" s="13">
        <v>7.9402E-2</v>
      </c>
      <c r="Q1073" s="50"/>
      <c r="R1073" s="32"/>
      <c r="S1073" s="32"/>
    </row>
    <row r="1074" spans="1:19">
      <c r="A1074" s="42" t="s">
        <v>90</v>
      </c>
      <c r="B1074" s="3"/>
      <c r="C1074" s="3">
        <v>222</v>
      </c>
      <c r="D1074" s="1"/>
      <c r="E1074" s="20" t="s">
        <v>96</v>
      </c>
      <c r="F1074" s="7" t="s">
        <v>15</v>
      </c>
      <c r="G1074" s="7" t="s">
        <v>22</v>
      </c>
      <c r="H1074" s="11">
        <v>10.73</v>
      </c>
      <c r="I1074" s="8">
        <v>7.8</v>
      </c>
      <c r="J1074" s="26">
        <v>1</v>
      </c>
      <c r="K1074" s="10">
        <v>8.3694000000000005E-2</v>
      </c>
      <c r="L1074" s="4"/>
      <c r="M1074" s="17">
        <v>1</v>
      </c>
      <c r="N1074" s="18">
        <v>8.3694000000000005E-2</v>
      </c>
      <c r="O1074" s="19">
        <v>0</v>
      </c>
      <c r="P1074" s="13">
        <v>0</v>
      </c>
      <c r="Q1074" s="173">
        <v>7.8</v>
      </c>
      <c r="R1074" s="93">
        <v>1</v>
      </c>
      <c r="S1074" s="93" t="s">
        <v>279</v>
      </c>
    </row>
    <row r="1075" spans="1:19">
      <c r="A1075" s="42" t="s">
        <v>90</v>
      </c>
      <c r="B1075" s="3"/>
      <c r="C1075" s="3">
        <v>222</v>
      </c>
      <c r="D1075" s="1"/>
      <c r="E1075" s="20" t="s">
        <v>96</v>
      </c>
      <c r="F1075" s="7" t="s">
        <v>15</v>
      </c>
      <c r="G1075" s="7" t="s">
        <v>22</v>
      </c>
      <c r="H1075" s="11">
        <v>10.73</v>
      </c>
      <c r="I1075" s="8">
        <v>9.5</v>
      </c>
      <c r="J1075" s="26">
        <v>1</v>
      </c>
      <c r="K1075" s="10">
        <v>0.101935</v>
      </c>
      <c r="L1075" s="4"/>
      <c r="M1075" s="17">
        <v>1</v>
      </c>
      <c r="N1075" s="18">
        <v>0.101935</v>
      </c>
      <c r="O1075" s="19">
        <v>0</v>
      </c>
      <c r="P1075" s="13">
        <v>0</v>
      </c>
      <c r="Q1075" s="173">
        <v>9.4</v>
      </c>
      <c r="R1075" s="93">
        <v>1</v>
      </c>
      <c r="S1075" s="93" t="s">
        <v>279</v>
      </c>
    </row>
    <row r="1076" spans="1:19">
      <c r="A1076" s="47" t="s">
        <v>147</v>
      </c>
      <c r="B1076" s="48" t="s">
        <v>148</v>
      </c>
      <c r="C1076" s="32">
        <v>295</v>
      </c>
      <c r="D1076" s="32"/>
      <c r="E1076" s="48" t="s">
        <v>20</v>
      </c>
      <c r="F1076" s="48" t="s">
        <v>160</v>
      </c>
      <c r="G1076" s="48" t="s">
        <v>22</v>
      </c>
      <c r="H1076" s="11">
        <v>10.73</v>
      </c>
      <c r="I1076" s="52">
        <v>10.5</v>
      </c>
      <c r="J1076" s="7">
        <v>1</v>
      </c>
      <c r="K1076" s="10">
        <v>0.112665</v>
      </c>
      <c r="L1076" s="32"/>
      <c r="M1076" s="32">
        <v>1</v>
      </c>
      <c r="N1076" s="18">
        <v>0.112665</v>
      </c>
      <c r="O1076" s="19">
        <v>0</v>
      </c>
      <c r="P1076" s="13">
        <v>0</v>
      </c>
      <c r="Q1076" s="94">
        <v>10.4</v>
      </c>
      <c r="R1076" s="93">
        <v>1</v>
      </c>
      <c r="S1076" s="93" t="s">
        <v>279</v>
      </c>
    </row>
    <row r="1077" spans="1:19">
      <c r="A1077" s="45" t="s">
        <v>136</v>
      </c>
      <c r="B1077" s="32" t="s">
        <v>137</v>
      </c>
      <c r="C1077" s="3">
        <v>50</v>
      </c>
      <c r="D1077" s="32"/>
      <c r="E1077" s="20" t="s">
        <v>20</v>
      </c>
      <c r="F1077" s="7" t="s">
        <v>15</v>
      </c>
      <c r="G1077" s="7" t="s">
        <v>22</v>
      </c>
      <c r="H1077" s="11">
        <v>10.73</v>
      </c>
      <c r="I1077" s="33">
        <v>10.5</v>
      </c>
      <c r="J1077" s="40">
        <v>5</v>
      </c>
      <c r="K1077" s="10">
        <v>0.56332500000000008</v>
      </c>
      <c r="L1077" s="4"/>
      <c r="M1077" s="17">
        <v>5</v>
      </c>
      <c r="N1077" s="18">
        <v>0.56332500000000008</v>
      </c>
      <c r="O1077" s="19">
        <v>0</v>
      </c>
      <c r="P1077" s="13">
        <v>0</v>
      </c>
      <c r="Q1077" s="94">
        <v>10.4</v>
      </c>
      <c r="R1077" s="93">
        <v>5</v>
      </c>
      <c r="S1077" s="93" t="s">
        <v>279</v>
      </c>
    </row>
    <row r="1078" spans="1:19">
      <c r="A1078" s="45" t="s">
        <v>136</v>
      </c>
      <c r="B1078" s="32" t="s">
        <v>137</v>
      </c>
      <c r="C1078" s="3">
        <v>63</v>
      </c>
      <c r="D1078" s="32"/>
      <c r="E1078" s="20" t="s">
        <v>20</v>
      </c>
      <c r="F1078" s="7" t="s">
        <v>15</v>
      </c>
      <c r="G1078" s="7" t="s">
        <v>22</v>
      </c>
      <c r="H1078" s="11">
        <v>10.73</v>
      </c>
      <c r="I1078" s="33">
        <v>7.5</v>
      </c>
      <c r="J1078" s="40">
        <v>1</v>
      </c>
      <c r="K1078" s="10">
        <v>8.0475000000000005E-2</v>
      </c>
      <c r="L1078" s="4"/>
      <c r="M1078" s="17"/>
      <c r="N1078" s="18">
        <v>0</v>
      </c>
      <c r="O1078" s="19">
        <v>1</v>
      </c>
      <c r="P1078" s="13">
        <v>8.0475000000000005E-2</v>
      </c>
      <c r="Q1078" s="33"/>
      <c r="R1078" s="32"/>
      <c r="S1078" s="32"/>
    </row>
    <row r="1079" spans="1:19">
      <c r="A1079" s="45" t="s">
        <v>136</v>
      </c>
      <c r="B1079" s="32" t="s">
        <v>137</v>
      </c>
      <c r="C1079" s="3">
        <v>63</v>
      </c>
      <c r="D1079" s="32"/>
      <c r="E1079" s="20" t="s">
        <v>20</v>
      </c>
      <c r="F1079" s="7" t="s">
        <v>15</v>
      </c>
      <c r="G1079" s="7" t="s">
        <v>22</v>
      </c>
      <c r="H1079" s="11">
        <v>10.73</v>
      </c>
      <c r="I1079" s="33">
        <v>11.5</v>
      </c>
      <c r="J1079" s="40">
        <v>1</v>
      </c>
      <c r="K1079" s="10">
        <v>0.123395</v>
      </c>
      <c r="L1079" s="4"/>
      <c r="M1079" s="17">
        <v>1</v>
      </c>
      <c r="N1079" s="18">
        <v>0.123395</v>
      </c>
      <c r="O1079" s="19">
        <v>0</v>
      </c>
      <c r="P1079" s="13">
        <v>0</v>
      </c>
      <c r="Q1079" s="94">
        <v>10.4</v>
      </c>
      <c r="R1079" s="93">
        <v>1</v>
      </c>
      <c r="S1079" s="93" t="s">
        <v>279</v>
      </c>
    </row>
    <row r="1080" spans="1:19">
      <c r="A1080" s="45" t="s">
        <v>136</v>
      </c>
      <c r="B1080" s="48" t="s">
        <v>171</v>
      </c>
      <c r="C1080" s="32">
        <v>162</v>
      </c>
      <c r="D1080" s="32"/>
      <c r="E1080" s="48" t="s">
        <v>94</v>
      </c>
      <c r="F1080" s="48" t="s">
        <v>15</v>
      </c>
      <c r="G1080" s="48" t="s">
        <v>22</v>
      </c>
      <c r="H1080" s="11">
        <v>10.73</v>
      </c>
      <c r="I1080" s="52">
        <v>6.1</v>
      </c>
      <c r="J1080" s="7">
        <v>1</v>
      </c>
      <c r="K1080" s="10">
        <v>6.5452999999999997E-2</v>
      </c>
      <c r="L1080" s="32"/>
      <c r="M1080" s="32"/>
      <c r="N1080" s="18">
        <v>0</v>
      </c>
      <c r="O1080" s="19">
        <v>1</v>
      </c>
      <c r="P1080" s="13">
        <v>6.5452999999999997E-2</v>
      </c>
      <c r="Q1080" s="32"/>
      <c r="R1080" s="32"/>
      <c r="S1080" s="32"/>
    </row>
    <row r="1081" spans="1:19">
      <c r="A1081" s="45" t="s">
        <v>136</v>
      </c>
      <c r="B1081" s="48" t="s">
        <v>171</v>
      </c>
      <c r="C1081" s="32">
        <v>162</v>
      </c>
      <c r="D1081" s="32"/>
      <c r="E1081" s="48" t="s">
        <v>94</v>
      </c>
      <c r="F1081" s="48" t="s">
        <v>15</v>
      </c>
      <c r="G1081" s="48" t="s">
        <v>22</v>
      </c>
      <c r="H1081" s="11">
        <v>10.73</v>
      </c>
      <c r="I1081" s="52">
        <v>6.3</v>
      </c>
      <c r="J1081" s="7">
        <v>1</v>
      </c>
      <c r="K1081" s="10">
        <v>6.7599000000000006E-2</v>
      </c>
      <c r="L1081" s="32"/>
      <c r="M1081" s="32"/>
      <c r="N1081" s="18">
        <v>0</v>
      </c>
      <c r="O1081" s="19">
        <v>1</v>
      </c>
      <c r="P1081" s="13">
        <v>6.7599000000000006E-2</v>
      </c>
      <c r="Q1081" s="32"/>
      <c r="R1081" s="32"/>
      <c r="S1081" s="32"/>
    </row>
    <row r="1082" spans="1:19">
      <c r="O1082" s="78">
        <f>SUM(O1058:O1081)</f>
        <v>15</v>
      </c>
      <c r="R1082" s="78">
        <f>SUM(R1058:R1081)</f>
        <v>19</v>
      </c>
    </row>
    <row r="1083" spans="1:19">
      <c r="R1083" s="6">
        <f>+R1082+R1056</f>
        <v>87</v>
      </c>
    </row>
    <row r="1085" spans="1:19">
      <c r="A1085" s="42" t="s">
        <v>77</v>
      </c>
      <c r="B1085" s="3" t="s">
        <v>68</v>
      </c>
      <c r="C1085" s="3">
        <v>138</v>
      </c>
      <c r="D1085" s="1"/>
      <c r="E1085" s="20" t="s">
        <v>20</v>
      </c>
      <c r="F1085" s="7" t="s">
        <v>15</v>
      </c>
      <c r="G1085" s="7" t="s">
        <v>45</v>
      </c>
      <c r="H1085" s="11">
        <v>13.6</v>
      </c>
      <c r="I1085" s="8">
        <v>8</v>
      </c>
      <c r="J1085" s="26">
        <v>1</v>
      </c>
      <c r="K1085" s="10">
        <v>0.10879999999999999</v>
      </c>
      <c r="L1085" s="4"/>
      <c r="M1085" s="17">
        <v>1</v>
      </c>
      <c r="N1085" s="18">
        <v>0.10879999999999999</v>
      </c>
      <c r="O1085" s="19">
        <v>0</v>
      </c>
      <c r="P1085" s="13">
        <v>0</v>
      </c>
      <c r="Q1085" s="9">
        <v>6.6</v>
      </c>
      <c r="R1085" s="2">
        <v>1</v>
      </c>
      <c r="S1085" s="2" t="s">
        <v>279</v>
      </c>
    </row>
    <row r="1086" spans="1:19">
      <c r="A1086" s="42" t="s">
        <v>77</v>
      </c>
      <c r="B1086" s="3" t="s">
        <v>68</v>
      </c>
      <c r="C1086" s="3">
        <v>238</v>
      </c>
      <c r="D1086" s="1"/>
      <c r="E1086" s="12" t="s">
        <v>20</v>
      </c>
      <c r="F1086" s="7" t="s">
        <v>15</v>
      </c>
      <c r="G1086" s="7" t="s">
        <v>45</v>
      </c>
      <c r="H1086" s="11">
        <v>13.6</v>
      </c>
      <c r="I1086" s="8">
        <v>6.5</v>
      </c>
      <c r="J1086" s="26">
        <v>2</v>
      </c>
      <c r="K1086" s="10">
        <v>0.17679999999999998</v>
      </c>
      <c r="L1086" s="4"/>
      <c r="M1086" s="17"/>
      <c r="N1086" s="18">
        <v>0</v>
      </c>
      <c r="O1086" s="19">
        <v>2</v>
      </c>
      <c r="P1086" s="13">
        <v>0.17679999999999998</v>
      </c>
      <c r="Q1086" s="9"/>
      <c r="R1086" s="2"/>
      <c r="S1086" s="2"/>
    </row>
    <row r="1087" spans="1:19">
      <c r="A1087" s="42" t="s">
        <v>77</v>
      </c>
      <c r="B1087" s="3" t="s">
        <v>68</v>
      </c>
      <c r="C1087" s="3">
        <v>238</v>
      </c>
      <c r="D1087" s="1"/>
      <c r="E1087" s="12" t="s">
        <v>20</v>
      </c>
      <c r="F1087" s="7" t="s">
        <v>15</v>
      </c>
      <c r="G1087" s="7" t="s">
        <v>45</v>
      </c>
      <c r="H1087" s="11">
        <v>13.6</v>
      </c>
      <c r="I1087" s="8">
        <v>7</v>
      </c>
      <c r="J1087" s="26">
        <v>2</v>
      </c>
      <c r="K1087" s="10">
        <v>0.19040000000000001</v>
      </c>
      <c r="L1087" s="4"/>
      <c r="M1087" s="17">
        <v>2</v>
      </c>
      <c r="N1087" s="18">
        <v>0.19040000000000001</v>
      </c>
      <c r="O1087" s="19">
        <v>0</v>
      </c>
      <c r="P1087" s="13">
        <v>0</v>
      </c>
      <c r="Q1087" s="9">
        <v>6.6</v>
      </c>
      <c r="R1087" s="2">
        <v>2</v>
      </c>
      <c r="S1087" s="2" t="s">
        <v>279</v>
      </c>
    </row>
    <row r="1088" spans="1:19">
      <c r="A1088" s="42" t="s">
        <v>77</v>
      </c>
      <c r="B1088" s="3" t="s">
        <v>68</v>
      </c>
      <c r="C1088" s="3">
        <v>238</v>
      </c>
      <c r="D1088" s="1"/>
      <c r="E1088" s="12" t="s">
        <v>20</v>
      </c>
      <c r="F1088" s="7" t="s">
        <v>15</v>
      </c>
      <c r="G1088" s="7" t="s">
        <v>45</v>
      </c>
      <c r="H1088" s="11">
        <v>13.6</v>
      </c>
      <c r="I1088" s="8">
        <v>7.2</v>
      </c>
      <c r="J1088" s="26">
        <v>2</v>
      </c>
      <c r="K1088" s="10">
        <v>0.19584000000000001</v>
      </c>
      <c r="L1088" s="4"/>
      <c r="M1088" s="17">
        <v>2</v>
      </c>
      <c r="N1088" s="18">
        <v>0.19584000000000001</v>
      </c>
      <c r="O1088" s="19">
        <v>0</v>
      </c>
      <c r="P1088" s="13">
        <v>0</v>
      </c>
      <c r="Q1088" s="9">
        <v>6.6</v>
      </c>
      <c r="R1088" s="2">
        <v>2</v>
      </c>
      <c r="S1088" s="2" t="s">
        <v>279</v>
      </c>
    </row>
    <row r="1089" spans="1:20">
      <c r="A1089" s="42" t="s">
        <v>90</v>
      </c>
      <c r="B1089" s="3"/>
      <c r="C1089" s="3">
        <v>120</v>
      </c>
      <c r="D1089" s="1"/>
      <c r="E1089" s="12" t="s">
        <v>94</v>
      </c>
      <c r="F1089" s="7" t="s">
        <v>15</v>
      </c>
      <c r="G1089" s="7" t="s">
        <v>45</v>
      </c>
      <c r="H1089" s="11">
        <v>13.6</v>
      </c>
      <c r="I1089" s="8">
        <v>9.1999999999999993</v>
      </c>
      <c r="J1089" s="26">
        <v>1</v>
      </c>
      <c r="K1089" s="10">
        <v>0.12511999999999998</v>
      </c>
      <c r="L1089" s="4"/>
      <c r="M1089" s="17">
        <v>1</v>
      </c>
      <c r="N1089" s="18">
        <v>0.12511999999999998</v>
      </c>
      <c r="O1089" s="19">
        <v>0</v>
      </c>
      <c r="P1089" s="13">
        <v>0</v>
      </c>
      <c r="Q1089" s="9">
        <v>6.6</v>
      </c>
      <c r="R1089" s="2">
        <v>1</v>
      </c>
      <c r="S1089" s="2" t="s">
        <v>279</v>
      </c>
    </row>
    <row r="1090" spans="1:20">
      <c r="A1090" s="42" t="s">
        <v>90</v>
      </c>
      <c r="B1090" s="3"/>
      <c r="C1090" s="3">
        <v>178</v>
      </c>
      <c r="D1090" s="1"/>
      <c r="E1090" s="20" t="s">
        <v>17</v>
      </c>
      <c r="F1090" s="7" t="s">
        <v>15</v>
      </c>
      <c r="G1090" s="7" t="s">
        <v>45</v>
      </c>
      <c r="H1090" s="11">
        <v>13.6</v>
      </c>
      <c r="I1090" s="8">
        <v>12</v>
      </c>
      <c r="J1090" s="26">
        <v>3</v>
      </c>
      <c r="K1090" s="10">
        <v>0.48959999999999998</v>
      </c>
      <c r="L1090" s="4" t="s">
        <v>26</v>
      </c>
      <c r="M1090" s="17"/>
      <c r="N1090" s="18">
        <v>0</v>
      </c>
      <c r="O1090" s="19">
        <v>3</v>
      </c>
      <c r="P1090" s="13">
        <v>0.48959999999999998</v>
      </c>
      <c r="Q1090" s="9"/>
      <c r="R1090" s="2"/>
      <c r="S1090" s="2"/>
    </row>
    <row r="1091" spans="1:20">
      <c r="A1091" s="42" t="s">
        <v>90</v>
      </c>
      <c r="B1091" s="3"/>
      <c r="C1091" s="3">
        <v>223</v>
      </c>
      <c r="D1091" s="1"/>
      <c r="E1091" s="20" t="s">
        <v>20</v>
      </c>
      <c r="F1091" s="7" t="s">
        <v>15</v>
      </c>
      <c r="G1091" s="7" t="s">
        <v>45</v>
      </c>
      <c r="H1091" s="11">
        <v>13.6</v>
      </c>
      <c r="I1091" s="8">
        <v>6.8</v>
      </c>
      <c r="J1091" s="26">
        <v>2</v>
      </c>
      <c r="K1091" s="10">
        <v>0.18495999999999999</v>
      </c>
      <c r="L1091" s="4"/>
      <c r="M1091" s="17">
        <v>2</v>
      </c>
      <c r="N1091" s="18">
        <v>0.18495999999999999</v>
      </c>
      <c r="O1091" s="19">
        <v>0</v>
      </c>
      <c r="P1091" s="13">
        <v>0</v>
      </c>
      <c r="Q1091" s="9">
        <v>6.6</v>
      </c>
      <c r="R1091" s="32">
        <v>2</v>
      </c>
      <c r="S1091" s="2" t="s">
        <v>279</v>
      </c>
    </row>
    <row r="1092" spans="1:20">
      <c r="A1092" s="42" t="s">
        <v>90</v>
      </c>
      <c r="B1092" s="3"/>
      <c r="C1092" s="3">
        <v>223</v>
      </c>
      <c r="D1092" s="1"/>
      <c r="E1092" s="20" t="s">
        <v>20</v>
      </c>
      <c r="F1092" s="7" t="s">
        <v>15</v>
      </c>
      <c r="G1092" s="7" t="s">
        <v>45</v>
      </c>
      <c r="H1092" s="11">
        <v>13.6</v>
      </c>
      <c r="I1092" s="8">
        <v>10</v>
      </c>
      <c r="J1092" s="26">
        <v>1</v>
      </c>
      <c r="K1092" s="10">
        <v>0.13600000000000001</v>
      </c>
      <c r="L1092" s="4"/>
      <c r="M1092" s="17">
        <v>1</v>
      </c>
      <c r="N1092" s="18">
        <v>0.13600000000000001</v>
      </c>
      <c r="O1092" s="19">
        <v>0</v>
      </c>
      <c r="P1092" s="13">
        <v>0</v>
      </c>
      <c r="Q1092" s="9">
        <v>6.6</v>
      </c>
      <c r="R1092" s="32">
        <v>1</v>
      </c>
      <c r="S1092" s="2" t="s">
        <v>279</v>
      </c>
    </row>
    <row r="1093" spans="1:20">
      <c r="A1093" s="42" t="s">
        <v>90</v>
      </c>
      <c r="B1093" s="32"/>
      <c r="C1093" s="3">
        <v>223</v>
      </c>
      <c r="D1093" s="1"/>
      <c r="E1093" s="20" t="s">
        <v>20</v>
      </c>
      <c r="F1093" s="7" t="s">
        <v>15</v>
      </c>
      <c r="G1093" s="7" t="s">
        <v>45</v>
      </c>
      <c r="H1093" s="11">
        <v>13.6</v>
      </c>
      <c r="I1093" s="8">
        <v>8.6</v>
      </c>
      <c r="J1093" s="26">
        <v>1</v>
      </c>
      <c r="K1093" s="10">
        <v>0.11695999999999999</v>
      </c>
      <c r="L1093" s="4"/>
      <c r="M1093" s="17">
        <v>1</v>
      </c>
      <c r="N1093" s="18">
        <v>0.11695999999999999</v>
      </c>
      <c r="O1093" s="19">
        <v>0</v>
      </c>
      <c r="P1093" s="13">
        <v>0</v>
      </c>
      <c r="Q1093" s="9">
        <v>6.6</v>
      </c>
      <c r="R1093" s="32">
        <v>1</v>
      </c>
      <c r="S1093" s="2" t="s">
        <v>279</v>
      </c>
    </row>
    <row r="1094" spans="1:20">
      <c r="A1094" s="42" t="s">
        <v>90</v>
      </c>
      <c r="B1094" s="3"/>
      <c r="C1094" s="3">
        <v>232</v>
      </c>
      <c r="D1094" s="1"/>
      <c r="E1094" s="20" t="s">
        <v>20</v>
      </c>
      <c r="F1094" s="7" t="s">
        <v>15</v>
      </c>
      <c r="G1094" s="7" t="s">
        <v>45</v>
      </c>
      <c r="H1094" s="11">
        <v>13.6</v>
      </c>
      <c r="I1094" s="8">
        <v>6.5</v>
      </c>
      <c r="J1094" s="26">
        <v>1</v>
      </c>
      <c r="K1094" s="10">
        <v>8.8399999999999992E-2</v>
      </c>
      <c r="L1094" s="4"/>
      <c r="M1094" s="17"/>
      <c r="N1094" s="18">
        <v>0</v>
      </c>
      <c r="O1094" s="19">
        <v>1</v>
      </c>
      <c r="P1094" s="13">
        <v>8.8399999999999992E-2</v>
      </c>
      <c r="Q1094" s="9"/>
      <c r="R1094" s="32"/>
      <c r="S1094" s="32"/>
    </row>
    <row r="1095" spans="1:20">
      <c r="A1095" s="47" t="s">
        <v>147</v>
      </c>
      <c r="B1095" s="48" t="s">
        <v>148</v>
      </c>
      <c r="C1095" s="32">
        <v>291</v>
      </c>
      <c r="D1095" s="32"/>
      <c r="E1095" s="48" t="s">
        <v>20</v>
      </c>
      <c r="F1095" s="48" t="s">
        <v>160</v>
      </c>
      <c r="G1095" s="48" t="s">
        <v>45</v>
      </c>
      <c r="H1095" s="11">
        <v>13.6</v>
      </c>
      <c r="I1095" s="52">
        <v>12</v>
      </c>
      <c r="J1095" s="7">
        <v>2</v>
      </c>
      <c r="K1095" s="10">
        <v>0.32639999999999997</v>
      </c>
      <c r="L1095" s="32"/>
      <c r="M1095" s="32"/>
      <c r="N1095" s="18">
        <v>0</v>
      </c>
      <c r="O1095" s="19">
        <v>2</v>
      </c>
      <c r="P1095" s="13">
        <v>0.32639999999999997</v>
      </c>
      <c r="Q1095" s="32"/>
      <c r="R1095" s="32"/>
      <c r="S1095" s="32"/>
    </row>
    <row r="1096" spans="1:20">
      <c r="A1096" s="47" t="s">
        <v>147</v>
      </c>
      <c r="B1096" s="48" t="s">
        <v>148</v>
      </c>
      <c r="C1096" s="32">
        <v>291</v>
      </c>
      <c r="D1096" s="32"/>
      <c r="E1096" s="48" t="s">
        <v>20</v>
      </c>
      <c r="F1096" s="48" t="s">
        <v>160</v>
      </c>
      <c r="G1096" s="48" t="s">
        <v>45</v>
      </c>
      <c r="H1096" s="11">
        <v>13.6</v>
      </c>
      <c r="I1096" s="52">
        <v>11</v>
      </c>
      <c r="J1096" s="7">
        <v>1</v>
      </c>
      <c r="K1096" s="10">
        <v>0.14959999999999998</v>
      </c>
      <c r="L1096" s="32"/>
      <c r="M1096" s="32"/>
      <c r="N1096" s="18">
        <v>0</v>
      </c>
      <c r="O1096" s="19">
        <v>1</v>
      </c>
      <c r="P1096" s="13">
        <v>0.14959999999999998</v>
      </c>
      <c r="Q1096" s="32"/>
      <c r="R1096" s="32"/>
      <c r="S1096" s="32"/>
    </row>
    <row r="1097" spans="1:20">
      <c r="O1097" s="6">
        <f>SUM(O1085:O1096)</f>
        <v>9</v>
      </c>
      <c r="R1097" s="6">
        <f>SUM(R1085:R1096)</f>
        <v>10</v>
      </c>
    </row>
    <row r="1100" spans="1:20" ht="15.6">
      <c r="B1100" s="110" t="s">
        <v>248</v>
      </c>
      <c r="C1100" s="111" t="s">
        <v>232</v>
      </c>
      <c r="D1100" s="112" t="s">
        <v>228</v>
      </c>
      <c r="E1100" s="113" t="s">
        <v>89</v>
      </c>
      <c r="F1100" s="133" t="s">
        <v>15</v>
      </c>
      <c r="G1100" s="133" t="s">
        <v>45</v>
      </c>
      <c r="H1100" s="134">
        <v>13.6</v>
      </c>
      <c r="I1100" s="135">
        <v>7.6</v>
      </c>
      <c r="J1100" s="136">
        <v>24</v>
      </c>
      <c r="K1100" s="137">
        <f t="shared" ref="K1100:K1104" si="60">(H1100*I1100*J1100/1000)</f>
        <v>2.4806399999999997</v>
      </c>
      <c r="L1100" s="118"/>
      <c r="M1100" s="111">
        <v>24</v>
      </c>
      <c r="N1100" s="117">
        <f t="shared" ref="N1100:N1104" si="61">I1100*M1100*H1100/1000</f>
        <v>2.4806399999999993</v>
      </c>
      <c r="O1100" s="119">
        <f t="shared" ref="O1100:O1104" si="62">J1100-M1100</f>
        <v>0</v>
      </c>
      <c r="P1100" s="120">
        <f t="shared" ref="P1100:P1104" si="63">I1100*O1100*H1100/1000</f>
        <v>0</v>
      </c>
      <c r="Q1100" s="111"/>
      <c r="R1100" s="111"/>
      <c r="S1100" s="111"/>
      <c r="T1100" s="111"/>
    </row>
    <row r="1101" spans="1:20" ht="15.6">
      <c r="B1101" s="110" t="s">
        <v>248</v>
      </c>
      <c r="C1101" s="111" t="s">
        <v>232</v>
      </c>
      <c r="D1101" s="112" t="s">
        <v>228</v>
      </c>
      <c r="E1101" s="113" t="s">
        <v>89</v>
      </c>
      <c r="F1101" s="133" t="s">
        <v>15</v>
      </c>
      <c r="G1101" s="133" t="s">
        <v>45</v>
      </c>
      <c r="H1101" s="134">
        <v>13.6</v>
      </c>
      <c r="I1101" s="135">
        <v>6.8</v>
      </c>
      <c r="J1101" s="136">
        <v>1</v>
      </c>
      <c r="K1101" s="137">
        <f t="shared" si="60"/>
        <v>9.2479999999999993E-2</v>
      </c>
      <c r="L1101" s="118"/>
      <c r="M1101" s="111">
        <v>1</v>
      </c>
      <c r="N1101" s="117">
        <f t="shared" si="61"/>
        <v>9.2479999999999993E-2</v>
      </c>
      <c r="O1101" s="119">
        <f t="shared" si="62"/>
        <v>0</v>
      </c>
      <c r="P1101" s="120">
        <f t="shared" si="63"/>
        <v>0</v>
      </c>
      <c r="Q1101" s="75">
        <v>6.6</v>
      </c>
      <c r="R1101" s="72">
        <v>1</v>
      </c>
      <c r="S1101" s="72" t="s">
        <v>278</v>
      </c>
      <c r="T1101" s="72"/>
    </row>
    <row r="1102" spans="1:20" ht="15.6">
      <c r="B1102" s="110" t="s">
        <v>248</v>
      </c>
      <c r="C1102" s="111" t="s">
        <v>232</v>
      </c>
      <c r="D1102" s="112" t="s">
        <v>228</v>
      </c>
      <c r="E1102" s="113" t="s">
        <v>89</v>
      </c>
      <c r="F1102" s="133" t="s">
        <v>15</v>
      </c>
      <c r="G1102" s="133" t="s">
        <v>45</v>
      </c>
      <c r="H1102" s="134">
        <v>13.6</v>
      </c>
      <c r="I1102" s="135">
        <v>7.1</v>
      </c>
      <c r="J1102" s="136">
        <v>3</v>
      </c>
      <c r="K1102" s="137">
        <f t="shared" si="60"/>
        <v>0.28967999999999994</v>
      </c>
      <c r="L1102" s="118"/>
      <c r="M1102" s="111">
        <v>3</v>
      </c>
      <c r="N1102" s="117">
        <f t="shared" si="61"/>
        <v>0.28967999999999994</v>
      </c>
      <c r="O1102" s="119">
        <f t="shared" si="62"/>
        <v>0</v>
      </c>
      <c r="P1102" s="120">
        <f t="shared" si="63"/>
        <v>0</v>
      </c>
      <c r="Q1102" s="75">
        <v>6.6</v>
      </c>
      <c r="R1102" s="72">
        <v>3</v>
      </c>
      <c r="S1102" s="72" t="s">
        <v>278</v>
      </c>
      <c r="T1102" s="72"/>
    </row>
    <row r="1103" spans="1:20" ht="15.6">
      <c r="B1103" s="110" t="s">
        <v>248</v>
      </c>
      <c r="C1103" s="111" t="s">
        <v>232</v>
      </c>
      <c r="D1103" s="112" t="s">
        <v>228</v>
      </c>
      <c r="E1103" s="113" t="s">
        <v>89</v>
      </c>
      <c r="F1103" s="133" t="s">
        <v>15</v>
      </c>
      <c r="G1103" s="133" t="s">
        <v>45</v>
      </c>
      <c r="H1103" s="134">
        <v>13.6</v>
      </c>
      <c r="I1103" s="135">
        <v>7.6</v>
      </c>
      <c r="J1103" s="136">
        <v>2</v>
      </c>
      <c r="K1103" s="137">
        <f t="shared" si="60"/>
        <v>0.20671999999999999</v>
      </c>
      <c r="L1103" s="118"/>
      <c r="M1103" s="111">
        <v>2</v>
      </c>
      <c r="N1103" s="117">
        <f t="shared" si="61"/>
        <v>0.20671999999999999</v>
      </c>
      <c r="O1103" s="119">
        <f t="shared" si="62"/>
        <v>0</v>
      </c>
      <c r="P1103" s="120">
        <f t="shared" si="63"/>
        <v>0</v>
      </c>
      <c r="Q1103" s="75">
        <v>6.6</v>
      </c>
      <c r="R1103" s="72">
        <v>2</v>
      </c>
      <c r="S1103" s="72" t="s">
        <v>278</v>
      </c>
      <c r="T1103" s="72"/>
    </row>
    <row r="1104" spans="1:20" ht="15.6">
      <c r="B1104" s="110" t="s">
        <v>248</v>
      </c>
      <c r="C1104" s="111" t="s">
        <v>232</v>
      </c>
      <c r="D1104" s="112" t="s">
        <v>228</v>
      </c>
      <c r="E1104" s="113" t="s">
        <v>89</v>
      </c>
      <c r="F1104" s="133" t="s">
        <v>15</v>
      </c>
      <c r="G1104" s="133" t="s">
        <v>45</v>
      </c>
      <c r="H1104" s="134">
        <v>13.6</v>
      </c>
      <c r="I1104" s="135">
        <v>7.6</v>
      </c>
      <c r="J1104" s="136">
        <v>2</v>
      </c>
      <c r="K1104" s="137">
        <f t="shared" si="60"/>
        <v>0.20671999999999999</v>
      </c>
      <c r="L1104" s="118"/>
      <c r="M1104" s="111">
        <v>2</v>
      </c>
      <c r="N1104" s="117">
        <f t="shared" si="61"/>
        <v>0.20671999999999999</v>
      </c>
      <c r="O1104" s="119">
        <f t="shared" si="62"/>
        <v>0</v>
      </c>
      <c r="P1104" s="120">
        <f t="shared" si="63"/>
        <v>0</v>
      </c>
      <c r="Q1104" s="75">
        <v>6.6</v>
      </c>
      <c r="R1104" s="72">
        <v>2</v>
      </c>
      <c r="S1104" s="72" t="s">
        <v>278</v>
      </c>
      <c r="T1104" s="72"/>
    </row>
    <row r="1105" spans="1:20">
      <c r="B1105" s="32"/>
      <c r="C1105" s="32"/>
      <c r="D1105" s="32"/>
      <c r="E1105" s="32"/>
      <c r="F1105" s="32"/>
      <c r="G1105" s="32"/>
      <c r="H1105" s="32"/>
      <c r="I1105" s="32"/>
      <c r="J1105" s="129">
        <f>SUM(J1100:J1104)</f>
        <v>32</v>
      </c>
      <c r="K1105" s="124">
        <f>SUM(K1100:K1104)</f>
        <v>3.2762399999999996</v>
      </c>
      <c r="L1105" s="32"/>
      <c r="M1105" s="129">
        <f>SUM(M1100:M1104)</f>
        <v>32</v>
      </c>
      <c r="N1105" s="124">
        <f>SUM(N1100:N1104)</f>
        <v>3.2762399999999987</v>
      </c>
      <c r="O1105" s="131">
        <f>SUM(O1100:O1104)</f>
        <v>0</v>
      </c>
      <c r="P1105" s="132">
        <f>SUM(P1100:P1104)</f>
        <v>0</v>
      </c>
      <c r="Q1105" s="32"/>
      <c r="R1105" s="171">
        <f>SUM(R1100:R1104)</f>
        <v>8</v>
      </c>
      <c r="S1105" s="32"/>
      <c r="T1105" s="32"/>
    </row>
    <row r="1108" spans="1:20">
      <c r="A1108" s="48" t="s">
        <v>168</v>
      </c>
      <c r="B1108" s="48" t="s">
        <v>169</v>
      </c>
      <c r="C1108" s="32">
        <v>16</v>
      </c>
      <c r="D1108" s="32"/>
      <c r="E1108" s="48" t="s">
        <v>19</v>
      </c>
      <c r="F1108" s="48" t="s">
        <v>14</v>
      </c>
      <c r="G1108" s="48" t="s">
        <v>30</v>
      </c>
      <c r="H1108" s="11">
        <v>9.26</v>
      </c>
      <c r="I1108" s="8">
        <v>13.2</v>
      </c>
      <c r="J1108" s="7">
        <v>1</v>
      </c>
      <c r="K1108" s="10">
        <v>0.12223199999999998</v>
      </c>
      <c r="L1108" s="32" t="s">
        <v>104</v>
      </c>
      <c r="M1108" s="32"/>
      <c r="N1108" s="18">
        <v>0</v>
      </c>
      <c r="O1108" s="19">
        <v>1</v>
      </c>
      <c r="P1108" s="13">
        <v>0.12223199999999998</v>
      </c>
      <c r="Q1108" s="32"/>
      <c r="R1108" s="32"/>
      <c r="S1108" s="32"/>
    </row>
    <row r="1109" spans="1:20">
      <c r="A1109" s="42" t="s">
        <v>78</v>
      </c>
      <c r="B1109" s="3" t="s">
        <v>79</v>
      </c>
      <c r="C1109" s="3">
        <v>3</v>
      </c>
      <c r="D1109" s="1"/>
      <c r="E1109" s="12" t="s">
        <v>19</v>
      </c>
      <c r="F1109" s="7" t="s">
        <v>14</v>
      </c>
      <c r="G1109" s="7" t="s">
        <v>30</v>
      </c>
      <c r="H1109" s="11">
        <v>9.26</v>
      </c>
      <c r="I1109" s="8">
        <v>10</v>
      </c>
      <c r="J1109" s="26">
        <v>1</v>
      </c>
      <c r="K1109" s="10">
        <v>9.2599999999999988E-2</v>
      </c>
      <c r="L1109" s="4"/>
      <c r="M1109" s="17">
        <v>1</v>
      </c>
      <c r="N1109" s="18">
        <v>9.2599999999999988E-2</v>
      </c>
      <c r="O1109" s="19">
        <v>0</v>
      </c>
      <c r="P1109" s="13">
        <v>0</v>
      </c>
      <c r="Q1109" s="9"/>
      <c r="R1109" s="2"/>
      <c r="S1109" s="2"/>
    </row>
    <row r="1110" spans="1:20">
      <c r="A1110" s="42" t="s">
        <v>90</v>
      </c>
      <c r="B1110" s="48" t="s">
        <v>148</v>
      </c>
      <c r="C1110" s="32">
        <v>52</v>
      </c>
      <c r="D1110" s="32"/>
      <c r="E1110" s="48" t="s">
        <v>19</v>
      </c>
      <c r="F1110" s="48" t="s">
        <v>14</v>
      </c>
      <c r="G1110" s="48" t="s">
        <v>30</v>
      </c>
      <c r="H1110" s="11">
        <v>9.26</v>
      </c>
      <c r="I1110" s="8">
        <v>9</v>
      </c>
      <c r="J1110" s="7">
        <v>1</v>
      </c>
      <c r="K1110" s="10">
        <v>8.3339999999999997E-2</v>
      </c>
      <c r="L1110" s="32"/>
      <c r="M1110" s="32">
        <v>1</v>
      </c>
      <c r="N1110" s="18">
        <v>8.3339999999999997E-2</v>
      </c>
      <c r="O1110" s="19">
        <v>0</v>
      </c>
      <c r="P1110" s="13">
        <v>0</v>
      </c>
      <c r="Q1110" s="33"/>
      <c r="R1110" s="32"/>
      <c r="S1110" s="2"/>
    </row>
    <row r="1111" spans="1:20">
      <c r="A1111" s="42" t="s">
        <v>90</v>
      </c>
      <c r="B1111" s="3"/>
      <c r="C1111" s="3">
        <v>137</v>
      </c>
      <c r="D1111" s="1"/>
      <c r="E1111" s="12" t="s">
        <v>19</v>
      </c>
      <c r="F1111" s="7" t="s">
        <v>14</v>
      </c>
      <c r="G1111" s="7" t="s">
        <v>30</v>
      </c>
      <c r="H1111" s="11">
        <v>9.26</v>
      </c>
      <c r="I1111" s="8">
        <v>6.5</v>
      </c>
      <c r="J1111" s="26">
        <v>2</v>
      </c>
      <c r="K1111" s="10">
        <v>0.12038</v>
      </c>
      <c r="L1111" s="4"/>
      <c r="M1111" s="17">
        <v>2</v>
      </c>
      <c r="N1111" s="18">
        <v>0.12038</v>
      </c>
      <c r="O1111" s="19">
        <v>0</v>
      </c>
      <c r="P1111" s="13">
        <v>0</v>
      </c>
      <c r="Q1111" s="73">
        <v>6.5</v>
      </c>
      <c r="R1111" s="74">
        <v>2</v>
      </c>
      <c r="S1111" s="74" t="s">
        <v>279</v>
      </c>
    </row>
    <row r="1112" spans="1:20">
      <c r="A1112" s="42" t="s">
        <v>90</v>
      </c>
      <c r="B1112" s="3"/>
      <c r="C1112" s="3">
        <v>145</v>
      </c>
      <c r="D1112" s="1"/>
      <c r="E1112" s="12" t="s">
        <v>19</v>
      </c>
      <c r="F1112" s="7" t="s">
        <v>14</v>
      </c>
      <c r="G1112" s="7" t="s">
        <v>30</v>
      </c>
      <c r="H1112" s="11">
        <v>9.26</v>
      </c>
      <c r="I1112" s="8">
        <v>6.9</v>
      </c>
      <c r="J1112" s="26">
        <v>1</v>
      </c>
      <c r="K1112" s="10">
        <v>6.3893999999999992E-2</v>
      </c>
      <c r="L1112" s="4"/>
      <c r="M1112" s="17">
        <v>1</v>
      </c>
      <c r="N1112" s="18">
        <v>6.3893999999999992E-2</v>
      </c>
      <c r="O1112" s="19">
        <v>0</v>
      </c>
      <c r="P1112" s="13">
        <v>0</v>
      </c>
      <c r="Q1112" s="73">
        <v>6.5</v>
      </c>
      <c r="R1112" s="74">
        <v>1</v>
      </c>
      <c r="S1112" s="74" t="s">
        <v>279</v>
      </c>
    </row>
    <row r="1113" spans="1:20">
      <c r="A1113" s="42" t="s">
        <v>90</v>
      </c>
      <c r="B1113" s="3"/>
      <c r="C1113" s="3">
        <v>145</v>
      </c>
      <c r="D1113" s="1"/>
      <c r="E1113" s="12" t="s">
        <v>19</v>
      </c>
      <c r="F1113" s="7" t="s">
        <v>14</v>
      </c>
      <c r="G1113" s="7" t="s">
        <v>30</v>
      </c>
      <c r="H1113" s="11">
        <v>9.26</v>
      </c>
      <c r="I1113" s="8">
        <v>8</v>
      </c>
      <c r="J1113" s="26">
        <v>4</v>
      </c>
      <c r="K1113" s="10">
        <v>0.29631999999999997</v>
      </c>
      <c r="L1113" s="4"/>
      <c r="M1113" s="17">
        <v>4</v>
      </c>
      <c r="N1113" s="18">
        <v>0.29631999999999997</v>
      </c>
      <c r="O1113" s="19">
        <v>0</v>
      </c>
      <c r="P1113" s="13">
        <v>0</v>
      </c>
      <c r="Q1113" s="9"/>
      <c r="R1113" s="2"/>
      <c r="S1113" s="2"/>
    </row>
    <row r="1114" spans="1:20">
      <c r="A1114" s="42" t="s">
        <v>90</v>
      </c>
      <c r="B1114" s="3"/>
      <c r="C1114" s="3">
        <v>145</v>
      </c>
      <c r="D1114" s="1"/>
      <c r="E1114" s="12" t="s">
        <v>19</v>
      </c>
      <c r="F1114" s="7" t="s">
        <v>14</v>
      </c>
      <c r="G1114" s="7" t="s">
        <v>30</v>
      </c>
      <c r="H1114" s="11">
        <v>9.26</v>
      </c>
      <c r="I1114" s="8">
        <v>10.25</v>
      </c>
      <c r="J1114" s="26">
        <v>2</v>
      </c>
      <c r="K1114" s="10">
        <v>0.18982999999999997</v>
      </c>
      <c r="L1114" s="4"/>
      <c r="M1114" s="17">
        <v>2</v>
      </c>
      <c r="N1114" s="18">
        <v>0.18982999999999997</v>
      </c>
      <c r="O1114" s="19">
        <v>0</v>
      </c>
      <c r="P1114" s="13">
        <v>0</v>
      </c>
      <c r="Q1114" s="9"/>
      <c r="R1114" s="2"/>
      <c r="S1114" s="2"/>
    </row>
    <row r="1115" spans="1:20">
      <c r="A1115" s="42" t="s">
        <v>90</v>
      </c>
      <c r="B1115" s="3"/>
      <c r="C1115" s="3">
        <v>145</v>
      </c>
      <c r="D1115" s="1"/>
      <c r="E1115" s="12" t="s">
        <v>19</v>
      </c>
      <c r="F1115" s="7" t="s">
        <v>14</v>
      </c>
      <c r="G1115" s="7" t="s">
        <v>30</v>
      </c>
      <c r="H1115" s="11">
        <v>9.26</v>
      </c>
      <c r="I1115" s="8">
        <v>8.6999999999999993</v>
      </c>
      <c r="J1115" s="26">
        <v>1</v>
      </c>
      <c r="K1115" s="10">
        <v>8.0561999999999995E-2</v>
      </c>
      <c r="L1115" s="4"/>
      <c r="M1115" s="17">
        <v>1</v>
      </c>
      <c r="N1115" s="18">
        <v>8.0561999999999995E-2</v>
      </c>
      <c r="O1115" s="19">
        <v>0</v>
      </c>
      <c r="P1115" s="13">
        <v>0</v>
      </c>
      <c r="Q1115" s="9"/>
      <c r="R1115" s="2"/>
      <c r="S1115" s="2"/>
    </row>
    <row r="1116" spans="1:20">
      <c r="A1116" s="42" t="s">
        <v>90</v>
      </c>
      <c r="B1116" s="3"/>
      <c r="C1116" s="3">
        <v>145</v>
      </c>
      <c r="D1116" s="1"/>
      <c r="E1116" s="12" t="s">
        <v>19</v>
      </c>
      <c r="F1116" s="7" t="s">
        <v>14</v>
      </c>
      <c r="G1116" s="7" t="s">
        <v>30</v>
      </c>
      <c r="H1116" s="11">
        <v>9.26</v>
      </c>
      <c r="I1116" s="8">
        <v>9.8000000000000007</v>
      </c>
      <c r="J1116" s="26">
        <v>1</v>
      </c>
      <c r="K1116" s="10">
        <v>9.0748000000000009E-2</v>
      </c>
      <c r="L1116" s="4"/>
      <c r="M1116" s="17">
        <v>1</v>
      </c>
      <c r="N1116" s="18">
        <v>9.0748000000000009E-2</v>
      </c>
      <c r="O1116" s="19">
        <v>0</v>
      </c>
      <c r="P1116" s="13">
        <v>0</v>
      </c>
      <c r="Q1116" s="9"/>
      <c r="R1116" s="2"/>
      <c r="S1116" s="2"/>
    </row>
    <row r="1117" spans="1:20">
      <c r="A1117" s="42" t="s">
        <v>90</v>
      </c>
      <c r="B1117" s="3"/>
      <c r="C1117" s="3">
        <v>155</v>
      </c>
      <c r="D1117" s="1"/>
      <c r="E1117" s="12" t="s">
        <v>19</v>
      </c>
      <c r="F1117" s="7" t="s">
        <v>14</v>
      </c>
      <c r="G1117" s="7" t="s">
        <v>30</v>
      </c>
      <c r="H1117" s="11">
        <v>9.26</v>
      </c>
      <c r="I1117" s="8">
        <v>9</v>
      </c>
      <c r="J1117" s="26">
        <v>1</v>
      </c>
      <c r="K1117" s="10">
        <v>8.3339999999999997E-2</v>
      </c>
      <c r="L1117" s="4"/>
      <c r="M1117" s="17">
        <v>1</v>
      </c>
      <c r="N1117" s="18">
        <v>8.3339999999999997E-2</v>
      </c>
      <c r="O1117" s="19">
        <v>0</v>
      </c>
      <c r="P1117" s="13">
        <v>0</v>
      </c>
      <c r="Q1117" s="9"/>
      <c r="R1117" s="2"/>
      <c r="S1117" s="2"/>
    </row>
    <row r="1118" spans="1:20">
      <c r="A1118" s="42" t="s">
        <v>90</v>
      </c>
      <c r="B1118" s="3"/>
      <c r="C1118" s="3">
        <v>155</v>
      </c>
      <c r="D1118" s="1"/>
      <c r="E1118" s="12" t="s">
        <v>19</v>
      </c>
      <c r="F1118" s="7" t="s">
        <v>14</v>
      </c>
      <c r="G1118" s="7" t="s">
        <v>30</v>
      </c>
      <c r="H1118" s="11">
        <v>9.26</v>
      </c>
      <c r="I1118" s="8">
        <v>9.5</v>
      </c>
      <c r="J1118" s="26">
        <v>1</v>
      </c>
      <c r="K1118" s="10">
        <v>8.7969999999999993E-2</v>
      </c>
      <c r="L1118" s="4"/>
      <c r="M1118" s="17">
        <v>1</v>
      </c>
      <c r="N1118" s="18">
        <v>8.7969999999999993E-2</v>
      </c>
      <c r="O1118" s="19">
        <v>0</v>
      </c>
      <c r="P1118" s="13">
        <v>0</v>
      </c>
      <c r="Q1118" s="9"/>
      <c r="R1118" s="2"/>
      <c r="S1118" s="2"/>
    </row>
    <row r="1119" spans="1:20">
      <c r="A1119" s="42" t="s">
        <v>90</v>
      </c>
      <c r="B1119" s="3"/>
      <c r="C1119" s="3">
        <v>155</v>
      </c>
      <c r="D1119" s="1"/>
      <c r="E1119" s="12" t="s">
        <v>19</v>
      </c>
      <c r="F1119" s="7" t="s">
        <v>14</v>
      </c>
      <c r="G1119" s="7" t="s">
        <v>30</v>
      </c>
      <c r="H1119" s="11">
        <v>9.26</v>
      </c>
      <c r="I1119" s="8">
        <v>10</v>
      </c>
      <c r="J1119" s="26">
        <v>1</v>
      </c>
      <c r="K1119" s="10">
        <v>9.2599999999999988E-2</v>
      </c>
      <c r="L1119" s="4"/>
      <c r="M1119" s="17">
        <v>1</v>
      </c>
      <c r="N1119" s="18">
        <v>9.2599999999999988E-2</v>
      </c>
      <c r="O1119" s="19">
        <v>0</v>
      </c>
      <c r="P1119" s="13">
        <v>0</v>
      </c>
      <c r="Q1119" s="9"/>
      <c r="R1119" s="2"/>
      <c r="S1119" s="2"/>
    </row>
    <row r="1120" spans="1:20">
      <c r="A1120" s="42" t="s">
        <v>90</v>
      </c>
      <c r="B1120" s="3"/>
      <c r="C1120" s="3">
        <v>156</v>
      </c>
      <c r="D1120" s="1"/>
      <c r="E1120" s="59" t="s">
        <v>19</v>
      </c>
      <c r="F1120" s="60" t="s">
        <v>14</v>
      </c>
      <c r="G1120" s="60" t="s">
        <v>30</v>
      </c>
      <c r="H1120" s="61">
        <v>9.26</v>
      </c>
      <c r="I1120" s="21">
        <v>6.5</v>
      </c>
      <c r="J1120" s="22">
        <v>1</v>
      </c>
      <c r="K1120" s="62">
        <v>6.019E-2</v>
      </c>
      <c r="L1120" s="23" t="s">
        <v>97</v>
      </c>
      <c r="M1120" s="22"/>
      <c r="N1120" s="63">
        <v>0</v>
      </c>
      <c r="O1120" s="64">
        <v>1</v>
      </c>
      <c r="P1120" s="65">
        <v>6.019E-2</v>
      </c>
      <c r="Q1120" s="9"/>
      <c r="R1120" s="2"/>
      <c r="S1120" s="2"/>
    </row>
    <row r="1121" spans="1:19">
      <c r="A1121" s="42" t="s">
        <v>90</v>
      </c>
      <c r="B1121" s="3"/>
      <c r="C1121" s="3">
        <v>156</v>
      </c>
      <c r="D1121" s="1"/>
      <c r="E1121" s="59" t="s">
        <v>19</v>
      </c>
      <c r="F1121" s="60" t="s">
        <v>14</v>
      </c>
      <c r="G1121" s="60" t="s">
        <v>30</v>
      </c>
      <c r="H1121" s="61">
        <v>9.26</v>
      </c>
      <c r="I1121" s="21">
        <v>7</v>
      </c>
      <c r="J1121" s="22">
        <v>1</v>
      </c>
      <c r="K1121" s="62">
        <v>6.4819999999999989E-2</v>
      </c>
      <c r="L1121" s="23" t="s">
        <v>97</v>
      </c>
      <c r="M1121" s="22"/>
      <c r="N1121" s="63">
        <v>0</v>
      </c>
      <c r="O1121" s="64">
        <v>1</v>
      </c>
      <c r="P1121" s="13">
        <v>6.4819999999999989E-2</v>
      </c>
      <c r="Q1121" s="9"/>
      <c r="R1121" s="2"/>
      <c r="S1121" s="2"/>
    </row>
    <row r="1122" spans="1:19">
      <c r="A1122" s="42" t="s">
        <v>90</v>
      </c>
      <c r="B1122" s="3"/>
      <c r="C1122" s="3">
        <v>231</v>
      </c>
      <c r="D1122" s="1"/>
      <c r="E1122" s="20" t="s">
        <v>19</v>
      </c>
      <c r="F1122" s="7" t="s">
        <v>14</v>
      </c>
      <c r="G1122" s="7" t="s">
        <v>30</v>
      </c>
      <c r="H1122" s="11">
        <v>9.26</v>
      </c>
      <c r="I1122" s="8">
        <v>10.25</v>
      </c>
      <c r="J1122" s="26">
        <v>2</v>
      </c>
      <c r="K1122" s="10">
        <v>0.18982999999999997</v>
      </c>
      <c r="L1122" s="4"/>
      <c r="M1122" s="17">
        <v>2</v>
      </c>
      <c r="N1122" s="18">
        <v>0.18982999999999997</v>
      </c>
      <c r="O1122" s="19">
        <v>0</v>
      </c>
      <c r="P1122" s="13">
        <v>0</v>
      </c>
      <c r="Q1122" s="9"/>
      <c r="R1122" s="32"/>
      <c r="S1122" s="2"/>
    </row>
    <row r="1123" spans="1:19">
      <c r="A1123" s="47" t="s">
        <v>147</v>
      </c>
      <c r="B1123" s="48" t="s">
        <v>148</v>
      </c>
      <c r="C1123" s="32">
        <v>256</v>
      </c>
      <c r="D1123" s="32"/>
      <c r="E1123" s="48" t="s">
        <v>19</v>
      </c>
      <c r="F1123" s="48" t="s">
        <v>14</v>
      </c>
      <c r="G1123" s="48" t="s">
        <v>30</v>
      </c>
      <c r="H1123" s="53">
        <v>9.26</v>
      </c>
      <c r="I1123" s="8">
        <v>7.2</v>
      </c>
      <c r="J1123" s="7">
        <v>1</v>
      </c>
      <c r="K1123" s="10">
        <v>6.6671999999999995E-2</v>
      </c>
      <c r="L1123" s="32"/>
      <c r="M1123" s="32">
        <v>1</v>
      </c>
      <c r="N1123" s="18">
        <v>6.6671999999999995E-2</v>
      </c>
      <c r="O1123" s="19">
        <v>0</v>
      </c>
      <c r="P1123" s="13">
        <v>0</v>
      </c>
      <c r="Q1123" s="72">
        <v>6.5</v>
      </c>
      <c r="R1123" s="72">
        <v>1</v>
      </c>
      <c r="S1123" s="74" t="s">
        <v>279</v>
      </c>
    </row>
    <row r="1124" spans="1:19">
      <c r="A1124" s="47" t="s">
        <v>147</v>
      </c>
      <c r="B1124" s="48" t="s">
        <v>148</v>
      </c>
      <c r="C1124" s="32">
        <v>256</v>
      </c>
      <c r="D1124" s="32"/>
      <c r="E1124" s="48" t="s">
        <v>19</v>
      </c>
      <c r="F1124" s="48" t="s">
        <v>14</v>
      </c>
      <c r="G1124" s="48" t="s">
        <v>30</v>
      </c>
      <c r="H1124" s="53">
        <v>9.26</v>
      </c>
      <c r="I1124" s="8">
        <v>7.75</v>
      </c>
      <c r="J1124" s="7">
        <v>1</v>
      </c>
      <c r="K1124" s="10">
        <v>7.1764999999999995E-2</v>
      </c>
      <c r="L1124" s="32"/>
      <c r="M1124" s="32">
        <v>1</v>
      </c>
      <c r="N1124" s="18">
        <v>7.1764999999999995E-2</v>
      </c>
      <c r="O1124" s="19">
        <v>0</v>
      </c>
      <c r="P1124" s="13">
        <v>0</v>
      </c>
      <c r="Q1124" s="72">
        <v>7.6</v>
      </c>
      <c r="R1124" s="72">
        <v>1</v>
      </c>
      <c r="S1124" s="74" t="s">
        <v>212</v>
      </c>
    </row>
    <row r="1125" spans="1:19">
      <c r="A1125" s="47" t="s">
        <v>147</v>
      </c>
      <c r="B1125" s="48" t="s">
        <v>148</v>
      </c>
      <c r="C1125" s="32">
        <v>256</v>
      </c>
      <c r="D1125" s="32"/>
      <c r="E1125" s="48" t="s">
        <v>19</v>
      </c>
      <c r="F1125" s="48" t="s">
        <v>14</v>
      </c>
      <c r="G1125" s="48" t="s">
        <v>30</v>
      </c>
      <c r="H1125" s="53">
        <v>9.26</v>
      </c>
      <c r="I1125" s="8">
        <v>6.8</v>
      </c>
      <c r="J1125" s="7">
        <v>1</v>
      </c>
      <c r="K1125" s="10">
        <v>6.2967999999999996E-2</v>
      </c>
      <c r="L1125" s="32"/>
      <c r="M1125" s="32">
        <v>1</v>
      </c>
      <c r="N1125" s="18">
        <v>6.2967999999999996E-2</v>
      </c>
      <c r="O1125" s="19">
        <v>0</v>
      </c>
      <c r="P1125" s="13">
        <v>0</v>
      </c>
      <c r="Q1125" s="32"/>
      <c r="R1125" s="32"/>
      <c r="S1125" s="2"/>
    </row>
    <row r="1126" spans="1:19">
      <c r="A1126" s="47" t="s">
        <v>147</v>
      </c>
      <c r="B1126" s="48" t="s">
        <v>148</v>
      </c>
      <c r="C1126" s="32">
        <v>282</v>
      </c>
      <c r="D1126" s="32"/>
      <c r="E1126" s="69" t="s">
        <v>19</v>
      </c>
      <c r="F1126" s="69" t="s">
        <v>14</v>
      </c>
      <c r="G1126" s="69" t="s">
        <v>30</v>
      </c>
      <c r="H1126" s="61">
        <v>9.26</v>
      </c>
      <c r="I1126" s="21">
        <v>12</v>
      </c>
      <c r="J1126" s="60">
        <v>1</v>
      </c>
      <c r="K1126" s="62">
        <v>0.11112000000000001</v>
      </c>
      <c r="L1126" s="67" t="s">
        <v>46</v>
      </c>
      <c r="M1126" s="32"/>
      <c r="N1126" s="18">
        <v>0</v>
      </c>
      <c r="O1126" s="19">
        <v>1</v>
      </c>
      <c r="P1126" s="13">
        <v>0.11112000000000001</v>
      </c>
      <c r="Q1126" s="32"/>
      <c r="R1126" s="32"/>
      <c r="S1126" s="32"/>
    </row>
    <row r="1127" spans="1:19">
      <c r="O1127" s="6">
        <f>SUM(O1108:O1126)</f>
        <v>4</v>
      </c>
      <c r="R1127" s="6">
        <f>SUM(R1108:R1126)</f>
        <v>5</v>
      </c>
    </row>
    <row r="1130" spans="1:19">
      <c r="A1130" s="42" t="s">
        <v>77</v>
      </c>
      <c r="B1130" s="3" t="s">
        <v>68</v>
      </c>
      <c r="C1130" s="3">
        <v>128</v>
      </c>
      <c r="D1130" s="1"/>
      <c r="E1130" s="20" t="s">
        <v>24</v>
      </c>
      <c r="F1130" s="7" t="s">
        <v>14</v>
      </c>
      <c r="G1130" s="7" t="s">
        <v>22</v>
      </c>
      <c r="H1130" s="11">
        <v>10.73</v>
      </c>
      <c r="I1130" s="8">
        <v>6.9</v>
      </c>
      <c r="J1130" s="26">
        <v>1</v>
      </c>
      <c r="K1130" s="10">
        <v>7.4037000000000006E-2</v>
      </c>
      <c r="L1130" s="4"/>
      <c r="M1130" s="17">
        <v>1</v>
      </c>
      <c r="N1130" s="18">
        <v>7.4037000000000006E-2</v>
      </c>
      <c r="O1130" s="19">
        <v>0</v>
      </c>
      <c r="P1130" s="13">
        <v>0</v>
      </c>
      <c r="Q1130" s="73">
        <v>6.5</v>
      </c>
      <c r="R1130" s="74">
        <v>1</v>
      </c>
      <c r="S1130" s="74" t="s">
        <v>278</v>
      </c>
    </row>
    <row r="1131" spans="1:19">
      <c r="A1131" s="42" t="s">
        <v>77</v>
      </c>
      <c r="B1131" s="3" t="s">
        <v>68</v>
      </c>
      <c r="C1131" s="3">
        <v>128</v>
      </c>
      <c r="D1131" s="1"/>
      <c r="E1131" s="20" t="s">
        <v>24</v>
      </c>
      <c r="F1131" s="7" t="s">
        <v>14</v>
      </c>
      <c r="G1131" s="7" t="s">
        <v>22</v>
      </c>
      <c r="H1131" s="11">
        <v>10.73</v>
      </c>
      <c r="I1131" s="8">
        <v>7</v>
      </c>
      <c r="J1131" s="26">
        <v>3</v>
      </c>
      <c r="K1131" s="10">
        <v>0.22532999999999997</v>
      </c>
      <c r="L1131" s="4"/>
      <c r="M1131" s="17">
        <v>3</v>
      </c>
      <c r="N1131" s="18">
        <v>0.22533</v>
      </c>
      <c r="O1131" s="19">
        <v>0</v>
      </c>
      <c r="P1131" s="13">
        <v>0</v>
      </c>
      <c r="Q1131" s="73">
        <v>6.5</v>
      </c>
      <c r="R1131" s="74">
        <v>3</v>
      </c>
      <c r="S1131" s="74" t="s">
        <v>278</v>
      </c>
    </row>
    <row r="1132" spans="1:19">
      <c r="A1132" s="42" t="s">
        <v>77</v>
      </c>
      <c r="B1132" s="3" t="s">
        <v>68</v>
      </c>
      <c r="C1132" s="3">
        <v>133</v>
      </c>
      <c r="D1132" s="1"/>
      <c r="E1132" s="20" t="s">
        <v>24</v>
      </c>
      <c r="F1132" s="7" t="s">
        <v>14</v>
      </c>
      <c r="G1132" s="7" t="s">
        <v>22</v>
      </c>
      <c r="H1132" s="11">
        <v>10.73</v>
      </c>
      <c r="I1132" s="8">
        <v>9.5</v>
      </c>
      <c r="J1132" s="26">
        <v>1</v>
      </c>
      <c r="K1132" s="10">
        <v>0.101935</v>
      </c>
      <c r="L1132" s="4"/>
      <c r="M1132" s="17">
        <v>1</v>
      </c>
      <c r="N1132" s="18">
        <v>0.101935</v>
      </c>
      <c r="O1132" s="19">
        <v>0</v>
      </c>
      <c r="P1132" s="13">
        <v>0</v>
      </c>
      <c r="Q1132" s="9"/>
      <c r="R1132" s="2"/>
      <c r="S1132" s="2"/>
    </row>
    <row r="1133" spans="1:19">
      <c r="A1133" s="42" t="s">
        <v>77</v>
      </c>
      <c r="B1133" s="3" t="s">
        <v>68</v>
      </c>
      <c r="C1133" s="3">
        <v>133</v>
      </c>
      <c r="D1133" s="1"/>
      <c r="E1133" s="20" t="s">
        <v>24</v>
      </c>
      <c r="F1133" s="7" t="s">
        <v>14</v>
      </c>
      <c r="G1133" s="7" t="s">
        <v>22</v>
      </c>
      <c r="H1133" s="11">
        <v>10.73</v>
      </c>
      <c r="I1133" s="8">
        <v>10</v>
      </c>
      <c r="J1133" s="26">
        <v>2</v>
      </c>
      <c r="K1133" s="10">
        <v>0.21460000000000001</v>
      </c>
      <c r="L1133" s="4"/>
      <c r="M1133" s="17"/>
      <c r="N1133" s="18">
        <v>0</v>
      </c>
      <c r="O1133" s="19">
        <v>2</v>
      </c>
      <c r="P1133" s="13">
        <v>0.21460000000000001</v>
      </c>
      <c r="Q1133" s="9"/>
      <c r="R1133" s="2"/>
      <c r="S1133" s="2"/>
    </row>
    <row r="1134" spans="1:19">
      <c r="A1134" s="42" t="s">
        <v>77</v>
      </c>
      <c r="B1134" s="3" t="s">
        <v>68</v>
      </c>
      <c r="C1134" s="3">
        <v>133</v>
      </c>
      <c r="D1134" s="1"/>
      <c r="E1134" s="20" t="s">
        <v>24</v>
      </c>
      <c r="F1134" s="7" t="s">
        <v>14</v>
      </c>
      <c r="G1134" s="7" t="s">
        <v>22</v>
      </c>
      <c r="H1134" s="11">
        <v>10.73</v>
      </c>
      <c r="I1134" s="8">
        <v>11</v>
      </c>
      <c r="J1134" s="26">
        <v>4</v>
      </c>
      <c r="K1134" s="10">
        <v>0.47211999999999998</v>
      </c>
      <c r="L1134" s="4"/>
      <c r="M1134" s="17">
        <v>4</v>
      </c>
      <c r="N1134" s="18">
        <v>0.47211999999999998</v>
      </c>
      <c r="O1134" s="19">
        <v>0</v>
      </c>
      <c r="P1134" s="13">
        <v>0</v>
      </c>
      <c r="Q1134" s="9"/>
      <c r="R1134" s="2"/>
      <c r="S1134" s="2"/>
    </row>
    <row r="1135" spans="1:19">
      <c r="A1135" s="42" t="s">
        <v>77</v>
      </c>
      <c r="B1135" s="3" t="s">
        <v>68</v>
      </c>
      <c r="C1135" s="3">
        <v>133</v>
      </c>
      <c r="D1135" s="1"/>
      <c r="E1135" s="20" t="s">
        <v>24</v>
      </c>
      <c r="F1135" s="7" t="s">
        <v>14</v>
      </c>
      <c r="G1135" s="7" t="s">
        <v>22</v>
      </c>
      <c r="H1135" s="11">
        <v>10.73</v>
      </c>
      <c r="I1135" s="8">
        <v>12</v>
      </c>
      <c r="J1135" s="26">
        <v>7</v>
      </c>
      <c r="K1135" s="10">
        <v>0.9013199999999999</v>
      </c>
      <c r="L1135" s="4"/>
      <c r="M1135" s="17">
        <v>7</v>
      </c>
      <c r="N1135" s="18">
        <v>0.90132000000000001</v>
      </c>
      <c r="O1135" s="19">
        <v>0</v>
      </c>
      <c r="P1135" s="13">
        <v>0</v>
      </c>
      <c r="Q1135" s="9"/>
      <c r="R1135" s="2"/>
      <c r="S1135" s="2"/>
    </row>
    <row r="1136" spans="1:19">
      <c r="A1136" s="45" t="s">
        <v>136</v>
      </c>
      <c r="B1136" s="32" t="s">
        <v>137</v>
      </c>
      <c r="C1136" s="32">
        <v>104</v>
      </c>
      <c r="D1136" s="32"/>
      <c r="E1136" s="39" t="s">
        <v>24</v>
      </c>
      <c r="F1136" s="46" t="s">
        <v>14</v>
      </c>
      <c r="G1136" s="7" t="s">
        <v>22</v>
      </c>
      <c r="H1136" s="11">
        <v>10.73</v>
      </c>
      <c r="I1136" s="33">
        <v>8.3000000000000007</v>
      </c>
      <c r="J1136" s="41">
        <v>1</v>
      </c>
      <c r="K1136" s="10">
        <v>8.9059000000000013E-2</v>
      </c>
      <c r="L1136" s="4"/>
      <c r="M1136" s="17">
        <v>1</v>
      </c>
      <c r="N1136" s="18">
        <v>8.9059000000000013E-2</v>
      </c>
      <c r="O1136" s="19">
        <v>0</v>
      </c>
      <c r="P1136" s="13">
        <v>0</v>
      </c>
      <c r="Q1136" s="72">
        <v>6.5</v>
      </c>
      <c r="R1136" s="72">
        <v>1</v>
      </c>
      <c r="S1136" s="74" t="s">
        <v>278</v>
      </c>
    </row>
    <row r="1137" spans="1:19">
      <c r="A1137" s="45" t="s">
        <v>136</v>
      </c>
      <c r="B1137" s="32" t="s">
        <v>137</v>
      </c>
      <c r="C1137" s="32">
        <v>104</v>
      </c>
      <c r="D1137" s="32"/>
      <c r="E1137" s="39" t="s">
        <v>24</v>
      </c>
      <c r="F1137" s="46" t="s">
        <v>14</v>
      </c>
      <c r="G1137" s="7" t="s">
        <v>22</v>
      </c>
      <c r="H1137" s="11">
        <v>10.73</v>
      </c>
      <c r="I1137" s="33">
        <v>12</v>
      </c>
      <c r="J1137" s="41">
        <v>1</v>
      </c>
      <c r="K1137" s="10">
        <v>0.12875999999999999</v>
      </c>
      <c r="L1137" s="4"/>
      <c r="M1137" s="17">
        <v>1</v>
      </c>
      <c r="N1137" s="18">
        <v>0.12875999999999999</v>
      </c>
      <c r="O1137" s="19">
        <v>0</v>
      </c>
      <c r="P1137" s="13">
        <v>0</v>
      </c>
      <c r="Q1137" s="32"/>
      <c r="R1137" s="32"/>
      <c r="S1137" s="2"/>
    </row>
    <row r="1138" spans="1:19">
      <c r="O1138" s="6">
        <f>SUM(O1130:O1137)</f>
        <v>2</v>
      </c>
      <c r="R1138" s="6">
        <f>SUM(R1130:R1137)</f>
        <v>5</v>
      </c>
    </row>
    <row r="1140" spans="1:19">
      <c r="A1140" s="48" t="s">
        <v>179</v>
      </c>
      <c r="B1140" s="48" t="s">
        <v>180</v>
      </c>
      <c r="C1140" s="32"/>
      <c r="D1140" s="32"/>
      <c r="E1140" s="48" t="s">
        <v>19</v>
      </c>
      <c r="F1140" s="48" t="s">
        <v>14</v>
      </c>
      <c r="G1140" s="48" t="s">
        <v>22</v>
      </c>
      <c r="H1140" s="11">
        <v>10.73</v>
      </c>
      <c r="I1140" s="9">
        <v>8</v>
      </c>
      <c r="J1140" s="7">
        <v>1</v>
      </c>
      <c r="K1140" s="10">
        <v>8.584E-2</v>
      </c>
      <c r="L1140" s="32"/>
      <c r="M1140" s="32">
        <v>1</v>
      </c>
      <c r="N1140" s="18">
        <v>8.584E-2</v>
      </c>
      <c r="O1140" s="19">
        <v>0</v>
      </c>
      <c r="P1140" s="13">
        <v>0</v>
      </c>
      <c r="Q1140" s="79">
        <v>6.5</v>
      </c>
      <c r="R1140" s="72">
        <v>1</v>
      </c>
      <c r="S1140" s="72" t="s">
        <v>279</v>
      </c>
    </row>
    <row r="1141" spans="1:19">
      <c r="A1141" s="48" t="s">
        <v>179</v>
      </c>
      <c r="B1141" s="48" t="s">
        <v>180</v>
      </c>
      <c r="C1141" s="32"/>
      <c r="D1141" s="32"/>
      <c r="E1141" s="48" t="s">
        <v>19</v>
      </c>
      <c r="F1141" s="48" t="s">
        <v>14</v>
      </c>
      <c r="G1141" s="48" t="s">
        <v>22</v>
      </c>
      <c r="H1141" s="11">
        <v>10.73</v>
      </c>
      <c r="I1141" s="9">
        <v>9.6999999999999993</v>
      </c>
      <c r="J1141" s="7">
        <v>1</v>
      </c>
      <c r="K1141" s="10">
        <v>0.10408100000000001</v>
      </c>
      <c r="L1141" s="32"/>
      <c r="M1141" s="32">
        <v>1</v>
      </c>
      <c r="N1141" s="18">
        <v>0.10408100000000001</v>
      </c>
      <c r="O1141" s="19">
        <v>0</v>
      </c>
      <c r="P1141" s="13">
        <v>0</v>
      </c>
      <c r="Q1141" s="55"/>
      <c r="R1141" s="32"/>
      <c r="S1141" s="2"/>
    </row>
    <row r="1142" spans="1:19">
      <c r="A1142" s="48" t="s">
        <v>179</v>
      </c>
      <c r="B1142" s="48" t="s">
        <v>180</v>
      </c>
      <c r="C1142" s="32"/>
      <c r="D1142" s="32"/>
      <c r="E1142" s="48" t="s">
        <v>19</v>
      </c>
      <c r="F1142" s="48" t="s">
        <v>14</v>
      </c>
      <c r="G1142" s="48" t="s">
        <v>22</v>
      </c>
      <c r="H1142" s="11">
        <v>10.73</v>
      </c>
      <c r="I1142" s="9">
        <v>10</v>
      </c>
      <c r="J1142" s="7">
        <v>1</v>
      </c>
      <c r="K1142" s="10">
        <v>0.10730000000000001</v>
      </c>
      <c r="L1142" s="32"/>
      <c r="M1142" s="32"/>
      <c r="N1142" s="18">
        <v>0</v>
      </c>
      <c r="O1142" s="19">
        <v>1</v>
      </c>
      <c r="P1142" s="13">
        <v>0.10730000000000001</v>
      </c>
      <c r="Q1142" s="55"/>
      <c r="R1142" s="32"/>
      <c r="S1142" s="32"/>
    </row>
    <row r="1143" spans="1:19">
      <c r="A1143" s="48" t="s">
        <v>179</v>
      </c>
      <c r="B1143" s="48" t="s">
        <v>180</v>
      </c>
      <c r="C1143" s="32"/>
      <c r="D1143" s="32"/>
      <c r="E1143" s="48" t="s">
        <v>19</v>
      </c>
      <c r="F1143" s="48" t="s">
        <v>14</v>
      </c>
      <c r="G1143" s="48" t="s">
        <v>22</v>
      </c>
      <c r="H1143" s="11">
        <v>10.73</v>
      </c>
      <c r="I1143" s="9">
        <v>11.5</v>
      </c>
      <c r="J1143" s="7">
        <v>1</v>
      </c>
      <c r="K1143" s="10">
        <v>0.123395</v>
      </c>
      <c r="L1143" s="32"/>
      <c r="M1143" s="32">
        <v>1</v>
      </c>
      <c r="N1143" s="18">
        <v>0.123395</v>
      </c>
      <c r="O1143" s="19">
        <v>0</v>
      </c>
      <c r="P1143" s="13">
        <v>0</v>
      </c>
      <c r="Q1143" s="55"/>
      <c r="R1143" s="32"/>
      <c r="S1143" s="2"/>
    </row>
    <row r="1144" spans="1:19">
      <c r="A1144" s="42" t="s">
        <v>78</v>
      </c>
      <c r="B1144" s="3" t="s">
        <v>79</v>
      </c>
      <c r="C1144" s="3">
        <v>8</v>
      </c>
      <c r="D1144" s="1"/>
      <c r="E1144" s="20" t="s">
        <v>19</v>
      </c>
      <c r="F1144" s="7" t="s">
        <v>14</v>
      </c>
      <c r="G1144" s="7" t="s">
        <v>22</v>
      </c>
      <c r="H1144" s="11">
        <v>10.73</v>
      </c>
      <c r="I1144" s="8">
        <v>12</v>
      </c>
      <c r="J1144" s="26">
        <v>1</v>
      </c>
      <c r="K1144" s="10">
        <v>0.12875999999999999</v>
      </c>
      <c r="L1144" s="4"/>
      <c r="M1144" s="17">
        <v>1</v>
      </c>
      <c r="N1144" s="18">
        <v>0.12875999999999999</v>
      </c>
      <c r="O1144" s="19">
        <v>0</v>
      </c>
      <c r="P1144" s="13">
        <v>0</v>
      </c>
      <c r="Q1144" s="9"/>
      <c r="R1144" s="2"/>
      <c r="S1144" s="2"/>
    </row>
    <row r="1145" spans="1:19">
      <c r="A1145" s="42" t="s">
        <v>78</v>
      </c>
      <c r="B1145" s="3" t="s">
        <v>79</v>
      </c>
      <c r="C1145" s="3">
        <v>8</v>
      </c>
      <c r="D1145" s="1"/>
      <c r="E1145" s="20" t="s">
        <v>19</v>
      </c>
      <c r="F1145" s="7" t="s">
        <v>14</v>
      </c>
      <c r="G1145" s="7" t="s">
        <v>22</v>
      </c>
      <c r="H1145" s="11">
        <v>10.73</v>
      </c>
      <c r="I1145" s="8">
        <v>9</v>
      </c>
      <c r="J1145" s="26">
        <v>2</v>
      </c>
      <c r="K1145" s="10">
        <v>0.19314000000000001</v>
      </c>
      <c r="L1145" s="4"/>
      <c r="M1145" s="17">
        <v>2</v>
      </c>
      <c r="N1145" s="18">
        <v>0.19314000000000001</v>
      </c>
      <c r="O1145" s="19">
        <v>0</v>
      </c>
      <c r="P1145" s="13">
        <v>0</v>
      </c>
      <c r="Q1145" s="73">
        <v>6.5</v>
      </c>
      <c r="R1145" s="74">
        <v>2</v>
      </c>
      <c r="S1145" s="72" t="s">
        <v>279</v>
      </c>
    </row>
    <row r="1146" spans="1:19">
      <c r="A1146" s="42" t="s">
        <v>78</v>
      </c>
      <c r="B1146" s="3" t="s">
        <v>79</v>
      </c>
      <c r="C1146" s="3">
        <v>9</v>
      </c>
      <c r="D1146" s="1"/>
      <c r="E1146" s="20" t="s">
        <v>19</v>
      </c>
      <c r="F1146" s="7" t="s">
        <v>14</v>
      </c>
      <c r="G1146" s="7" t="s">
        <v>22</v>
      </c>
      <c r="H1146" s="11">
        <v>10.73</v>
      </c>
      <c r="I1146" s="8">
        <v>8.8000000000000007</v>
      </c>
      <c r="J1146" s="26">
        <v>1</v>
      </c>
      <c r="K1146" s="10">
        <v>9.4424000000000008E-2</v>
      </c>
      <c r="L1146" s="4"/>
      <c r="M1146" s="17">
        <v>1</v>
      </c>
      <c r="N1146" s="18">
        <v>9.4424000000000008E-2</v>
      </c>
      <c r="O1146" s="19">
        <v>0</v>
      </c>
      <c r="P1146" s="13">
        <v>0</v>
      </c>
      <c r="Q1146" s="9"/>
      <c r="R1146" s="2"/>
      <c r="S1146" s="2"/>
    </row>
    <row r="1147" spans="1:19">
      <c r="A1147" s="42" t="s">
        <v>78</v>
      </c>
      <c r="B1147" s="3" t="s">
        <v>79</v>
      </c>
      <c r="C1147" s="3">
        <v>9</v>
      </c>
      <c r="D1147" s="1"/>
      <c r="E1147" s="20" t="s">
        <v>19</v>
      </c>
      <c r="F1147" s="7" t="s">
        <v>14</v>
      </c>
      <c r="G1147" s="7" t="s">
        <v>22</v>
      </c>
      <c r="H1147" s="11">
        <v>10.73</v>
      </c>
      <c r="I1147" s="8">
        <v>8.5</v>
      </c>
      <c r="J1147" s="26">
        <v>1</v>
      </c>
      <c r="K1147" s="10">
        <v>9.1204999999999994E-2</v>
      </c>
      <c r="L1147" s="4"/>
      <c r="M1147" s="17">
        <v>1</v>
      </c>
      <c r="N1147" s="18">
        <v>9.1204999999999994E-2</v>
      </c>
      <c r="O1147" s="19">
        <v>0</v>
      </c>
      <c r="P1147" s="13">
        <v>0</v>
      </c>
      <c r="Q1147" s="73">
        <v>6.5</v>
      </c>
      <c r="R1147" s="74">
        <v>1</v>
      </c>
      <c r="S1147" s="72" t="s">
        <v>279</v>
      </c>
    </row>
    <row r="1148" spans="1:19">
      <c r="A1148" s="42" t="s">
        <v>84</v>
      </c>
      <c r="B1148" s="3" t="s">
        <v>122</v>
      </c>
      <c r="C1148" s="3">
        <v>1</v>
      </c>
      <c r="D1148" s="1"/>
      <c r="E1148" s="20" t="s">
        <v>19</v>
      </c>
      <c r="F1148" s="7" t="s">
        <v>14</v>
      </c>
      <c r="G1148" s="7" t="s">
        <v>22</v>
      </c>
      <c r="H1148" s="11">
        <v>10.73</v>
      </c>
      <c r="I1148" s="8">
        <v>11.5</v>
      </c>
      <c r="J1148" s="26">
        <v>1</v>
      </c>
      <c r="K1148" s="10">
        <v>0.123395</v>
      </c>
      <c r="L1148" s="4" t="s">
        <v>123</v>
      </c>
      <c r="M1148" s="17"/>
      <c r="N1148" s="18">
        <v>0</v>
      </c>
      <c r="O1148" s="19">
        <v>1</v>
      </c>
      <c r="P1148" s="13">
        <v>0.123395</v>
      </c>
      <c r="Q1148" s="9"/>
      <c r="R1148" s="2"/>
      <c r="S1148" s="2"/>
    </row>
    <row r="1149" spans="1:19">
      <c r="A1149" s="42" t="s">
        <v>84</v>
      </c>
      <c r="B1149" s="3" t="s">
        <v>122</v>
      </c>
      <c r="C1149" s="3">
        <v>1</v>
      </c>
      <c r="D1149" s="1"/>
      <c r="E1149" s="20" t="s">
        <v>19</v>
      </c>
      <c r="F1149" s="7" t="s">
        <v>14</v>
      </c>
      <c r="G1149" s="7" t="s">
        <v>22</v>
      </c>
      <c r="H1149" s="11">
        <v>10.73</v>
      </c>
      <c r="I1149" s="8">
        <v>12</v>
      </c>
      <c r="J1149" s="26">
        <v>1</v>
      </c>
      <c r="K1149" s="10">
        <v>0.12875999999999999</v>
      </c>
      <c r="L1149" s="4" t="s">
        <v>123</v>
      </c>
      <c r="M1149" s="17"/>
      <c r="N1149" s="18">
        <v>0</v>
      </c>
      <c r="O1149" s="19">
        <v>1</v>
      </c>
      <c r="P1149" s="13">
        <v>0.12875999999999999</v>
      </c>
      <c r="Q1149" s="9"/>
      <c r="R1149" s="2"/>
      <c r="S1149" s="2"/>
    </row>
    <row r="1150" spans="1:19">
      <c r="A1150" s="42" t="s">
        <v>90</v>
      </c>
      <c r="B1150" s="48" t="s">
        <v>148</v>
      </c>
      <c r="C1150" s="32">
        <v>61</v>
      </c>
      <c r="D1150" s="32"/>
      <c r="E1150" s="48" t="s">
        <v>19</v>
      </c>
      <c r="F1150" s="48" t="s">
        <v>14</v>
      </c>
      <c r="G1150" s="48" t="s">
        <v>22</v>
      </c>
      <c r="H1150" s="11">
        <v>10.73</v>
      </c>
      <c r="I1150" s="8">
        <v>7.2</v>
      </c>
      <c r="J1150" s="7">
        <v>1</v>
      </c>
      <c r="K1150" s="10">
        <v>7.7256000000000005E-2</v>
      </c>
      <c r="L1150" s="32"/>
      <c r="M1150" s="32">
        <v>1</v>
      </c>
      <c r="N1150" s="18">
        <v>7.7256000000000005E-2</v>
      </c>
      <c r="O1150" s="19">
        <v>0</v>
      </c>
      <c r="P1150" s="13">
        <v>0</v>
      </c>
      <c r="Q1150" s="79">
        <v>6.5</v>
      </c>
      <c r="R1150" s="72">
        <v>1</v>
      </c>
      <c r="S1150" s="72" t="s">
        <v>279</v>
      </c>
    </row>
    <row r="1151" spans="1:19">
      <c r="A1151" s="42" t="s">
        <v>90</v>
      </c>
      <c r="B1151" s="48" t="s">
        <v>148</v>
      </c>
      <c r="C1151" s="32">
        <v>61</v>
      </c>
      <c r="D1151" s="32"/>
      <c r="E1151" s="48" t="s">
        <v>19</v>
      </c>
      <c r="F1151" s="48" t="s">
        <v>14</v>
      </c>
      <c r="G1151" s="48" t="s">
        <v>22</v>
      </c>
      <c r="H1151" s="11">
        <v>10.73</v>
      </c>
      <c r="I1151" s="8">
        <v>7.8</v>
      </c>
      <c r="J1151" s="7">
        <v>2</v>
      </c>
      <c r="K1151" s="10">
        <v>0.16738800000000001</v>
      </c>
      <c r="L1151" s="32"/>
      <c r="M1151" s="32">
        <v>2</v>
      </c>
      <c r="N1151" s="18">
        <v>0.16738800000000001</v>
      </c>
      <c r="O1151" s="19">
        <v>0</v>
      </c>
      <c r="P1151" s="13">
        <v>0</v>
      </c>
      <c r="Q1151" s="79">
        <v>6.5</v>
      </c>
      <c r="R1151" s="72">
        <v>2</v>
      </c>
      <c r="S1151" s="72" t="s">
        <v>279</v>
      </c>
    </row>
    <row r="1152" spans="1:19">
      <c r="A1152" s="42" t="s">
        <v>90</v>
      </c>
      <c r="B1152" s="3"/>
      <c r="C1152" s="3">
        <v>131</v>
      </c>
      <c r="D1152" s="1"/>
      <c r="E1152" s="20" t="s">
        <v>19</v>
      </c>
      <c r="F1152" s="7" t="s">
        <v>14</v>
      </c>
      <c r="G1152" s="7" t="s">
        <v>22</v>
      </c>
      <c r="H1152" s="11">
        <v>10.73</v>
      </c>
      <c r="I1152" s="8">
        <v>7.5</v>
      </c>
      <c r="J1152" s="26">
        <v>1</v>
      </c>
      <c r="K1152" s="10">
        <v>8.0475000000000005E-2</v>
      </c>
      <c r="L1152" s="4"/>
      <c r="M1152" s="17">
        <v>1</v>
      </c>
      <c r="N1152" s="18">
        <v>8.0475000000000005E-2</v>
      </c>
      <c r="O1152" s="19">
        <v>0</v>
      </c>
      <c r="P1152" s="13">
        <v>0</v>
      </c>
      <c r="Q1152" s="79">
        <v>6.5</v>
      </c>
      <c r="R1152" s="74">
        <v>1</v>
      </c>
      <c r="S1152" s="72" t="s">
        <v>279</v>
      </c>
    </row>
    <row r="1153" spans="1:19">
      <c r="A1153" s="42" t="s">
        <v>90</v>
      </c>
      <c r="B1153" s="3"/>
      <c r="C1153" s="3">
        <v>186</v>
      </c>
      <c r="D1153" s="1"/>
      <c r="E1153" s="12" t="s">
        <v>19</v>
      </c>
      <c r="F1153" s="7" t="s">
        <v>14</v>
      </c>
      <c r="G1153" s="7" t="s">
        <v>22</v>
      </c>
      <c r="H1153" s="11">
        <v>10.73</v>
      </c>
      <c r="I1153" s="8">
        <v>10.1</v>
      </c>
      <c r="J1153" s="26">
        <v>2</v>
      </c>
      <c r="K1153" s="10">
        <v>0.21674600000000002</v>
      </c>
      <c r="L1153" s="4"/>
      <c r="M1153" s="17"/>
      <c r="N1153" s="18">
        <v>0</v>
      </c>
      <c r="O1153" s="19">
        <v>2</v>
      </c>
      <c r="P1153" s="13">
        <v>0.21674600000000002</v>
      </c>
      <c r="Q1153" s="9"/>
      <c r="R1153" s="2"/>
      <c r="S1153" s="2"/>
    </row>
    <row r="1154" spans="1:19">
      <c r="A1154" s="42" t="s">
        <v>90</v>
      </c>
      <c r="B1154" s="3"/>
      <c r="C1154" s="3">
        <v>186</v>
      </c>
      <c r="D1154" s="1"/>
      <c r="E1154" s="12" t="s">
        <v>19</v>
      </c>
      <c r="F1154" s="7" t="s">
        <v>14</v>
      </c>
      <c r="G1154" s="7" t="s">
        <v>22</v>
      </c>
      <c r="H1154" s="11">
        <v>10.73</v>
      </c>
      <c r="I1154" s="8">
        <v>8.5</v>
      </c>
      <c r="J1154" s="26">
        <v>1</v>
      </c>
      <c r="K1154" s="10">
        <v>9.1204999999999994E-2</v>
      </c>
      <c r="L1154" s="4"/>
      <c r="M1154" s="17">
        <v>1</v>
      </c>
      <c r="N1154" s="18">
        <v>9.1204999999999994E-2</v>
      </c>
      <c r="O1154" s="19">
        <v>0</v>
      </c>
      <c r="P1154" s="13">
        <v>0</v>
      </c>
      <c r="Q1154" s="73">
        <v>6.5</v>
      </c>
      <c r="R1154" s="74">
        <v>1</v>
      </c>
      <c r="S1154" s="72" t="s">
        <v>279</v>
      </c>
    </row>
    <row r="1155" spans="1:19">
      <c r="A1155" s="42" t="s">
        <v>90</v>
      </c>
      <c r="B1155" s="3"/>
      <c r="C1155" s="3">
        <v>225</v>
      </c>
      <c r="D1155" s="1"/>
      <c r="E1155" s="20" t="s">
        <v>19</v>
      </c>
      <c r="F1155" s="7" t="s">
        <v>14</v>
      </c>
      <c r="G1155" s="7" t="s">
        <v>22</v>
      </c>
      <c r="H1155" s="11">
        <v>10.73</v>
      </c>
      <c r="I1155" s="8">
        <v>8.6</v>
      </c>
      <c r="J1155" s="26">
        <v>1</v>
      </c>
      <c r="K1155" s="10">
        <v>9.2277999999999999E-2</v>
      </c>
      <c r="L1155" s="4"/>
      <c r="M1155" s="17">
        <v>1</v>
      </c>
      <c r="N1155" s="18">
        <v>9.2277999999999999E-2</v>
      </c>
      <c r="O1155" s="19">
        <v>0</v>
      </c>
      <c r="P1155" s="13">
        <v>0</v>
      </c>
      <c r="Q1155" s="73">
        <v>6.5</v>
      </c>
      <c r="R1155" s="72">
        <v>1</v>
      </c>
      <c r="S1155" s="72" t="s">
        <v>279</v>
      </c>
    </row>
    <row r="1156" spans="1:19">
      <c r="A1156" s="42" t="s">
        <v>90</v>
      </c>
      <c r="B1156" s="3"/>
      <c r="C1156" s="3">
        <v>225</v>
      </c>
      <c r="D1156" s="1"/>
      <c r="E1156" s="20" t="s">
        <v>19</v>
      </c>
      <c r="F1156" s="7" t="s">
        <v>14</v>
      </c>
      <c r="G1156" s="7" t="s">
        <v>22</v>
      </c>
      <c r="H1156" s="11">
        <v>10.73</v>
      </c>
      <c r="I1156" s="8">
        <v>11.5</v>
      </c>
      <c r="J1156" s="26">
        <v>1</v>
      </c>
      <c r="K1156" s="10">
        <v>0.123395</v>
      </c>
      <c r="L1156" s="4"/>
      <c r="M1156" s="17"/>
      <c r="N1156" s="18">
        <v>0</v>
      </c>
      <c r="O1156" s="19">
        <v>1</v>
      </c>
      <c r="P1156" s="13">
        <v>0.123395</v>
      </c>
      <c r="Q1156" s="9"/>
      <c r="R1156" s="32"/>
      <c r="S1156" s="32"/>
    </row>
    <row r="1157" spans="1:19">
      <c r="A1157" s="42" t="s">
        <v>90</v>
      </c>
      <c r="B1157" s="3"/>
      <c r="C1157" s="3">
        <v>229</v>
      </c>
      <c r="D1157" s="1"/>
      <c r="E1157" s="20" t="s">
        <v>19</v>
      </c>
      <c r="F1157" s="7" t="s">
        <v>14</v>
      </c>
      <c r="G1157" s="7" t="s">
        <v>22</v>
      </c>
      <c r="H1157" s="11">
        <v>10.73</v>
      </c>
      <c r="I1157" s="8">
        <v>5.3</v>
      </c>
      <c r="J1157" s="26">
        <v>1</v>
      </c>
      <c r="K1157" s="10">
        <v>5.6869000000000003E-2</v>
      </c>
      <c r="L1157" s="4"/>
      <c r="M1157" s="17"/>
      <c r="N1157" s="18">
        <v>0</v>
      </c>
      <c r="O1157" s="19">
        <v>1</v>
      </c>
      <c r="P1157" s="13">
        <v>5.6869000000000003E-2</v>
      </c>
      <c r="Q1157" s="9"/>
      <c r="R1157" s="32"/>
      <c r="S1157" s="32"/>
    </row>
    <row r="1158" spans="1:19">
      <c r="A1158" s="42" t="s">
        <v>90</v>
      </c>
      <c r="B1158" s="3"/>
      <c r="C1158" s="3">
        <v>229</v>
      </c>
      <c r="D1158" s="1"/>
      <c r="E1158" s="20" t="s">
        <v>19</v>
      </c>
      <c r="F1158" s="7" t="s">
        <v>14</v>
      </c>
      <c r="G1158" s="7" t="s">
        <v>22</v>
      </c>
      <c r="H1158" s="11">
        <v>10.73</v>
      </c>
      <c r="I1158" s="8">
        <v>5</v>
      </c>
      <c r="J1158" s="26">
        <v>1</v>
      </c>
      <c r="K1158" s="10">
        <v>5.3650000000000003E-2</v>
      </c>
      <c r="L1158" s="4"/>
      <c r="M1158" s="17"/>
      <c r="N1158" s="18">
        <v>0</v>
      </c>
      <c r="O1158" s="19">
        <v>1</v>
      </c>
      <c r="P1158" s="13">
        <v>5.3650000000000003E-2</v>
      </c>
      <c r="Q1158" s="9"/>
      <c r="R1158" s="32"/>
      <c r="S1158" s="32"/>
    </row>
    <row r="1159" spans="1:19">
      <c r="A1159" s="47" t="s">
        <v>147</v>
      </c>
      <c r="B1159" s="48" t="s">
        <v>148</v>
      </c>
      <c r="C1159" s="32">
        <v>269</v>
      </c>
      <c r="D1159" s="32"/>
      <c r="E1159" s="48" t="s">
        <v>19</v>
      </c>
      <c r="F1159" s="48" t="s">
        <v>14</v>
      </c>
      <c r="G1159" s="48" t="s">
        <v>22</v>
      </c>
      <c r="H1159" s="11">
        <v>10.73</v>
      </c>
      <c r="I1159" s="8">
        <v>6.3</v>
      </c>
      <c r="J1159" s="7">
        <v>9</v>
      </c>
      <c r="K1159" s="10">
        <v>0.60839100000000013</v>
      </c>
      <c r="L1159" s="32"/>
      <c r="M1159" s="32"/>
      <c r="N1159" s="18">
        <v>0</v>
      </c>
      <c r="O1159" s="19">
        <v>9</v>
      </c>
      <c r="P1159" s="13">
        <v>0.60839100000000002</v>
      </c>
      <c r="Q1159" s="32"/>
      <c r="R1159" s="32"/>
      <c r="S1159" s="32"/>
    </row>
    <row r="1160" spans="1:19">
      <c r="A1160" s="45" t="s">
        <v>136</v>
      </c>
      <c r="B1160" s="48" t="s">
        <v>171</v>
      </c>
      <c r="C1160" s="32">
        <v>117</v>
      </c>
      <c r="D1160" s="32"/>
      <c r="E1160" s="48" t="s">
        <v>19</v>
      </c>
      <c r="F1160" s="48" t="s">
        <v>14</v>
      </c>
      <c r="G1160" s="48" t="s">
        <v>22</v>
      </c>
      <c r="H1160" s="11">
        <v>10.73</v>
      </c>
      <c r="I1160" s="8">
        <v>12</v>
      </c>
      <c r="J1160" s="7">
        <v>3</v>
      </c>
      <c r="K1160" s="10">
        <v>0.38627999999999996</v>
      </c>
      <c r="L1160" s="32"/>
      <c r="M1160" s="32">
        <v>3</v>
      </c>
      <c r="N1160" s="18">
        <v>0.38628000000000001</v>
      </c>
      <c r="O1160" s="19">
        <v>0</v>
      </c>
      <c r="P1160" s="13">
        <v>0</v>
      </c>
      <c r="Q1160" s="32"/>
      <c r="R1160" s="32"/>
      <c r="S1160" s="2"/>
    </row>
    <row r="1161" spans="1:19">
      <c r="O1161" s="78">
        <f>SUM(O1140:O1160)</f>
        <v>17</v>
      </c>
      <c r="R1161" s="6">
        <f>SUM(R1140:R1160)</f>
        <v>10</v>
      </c>
    </row>
    <row r="1163" spans="1:19">
      <c r="A1163" s="42" t="s">
        <v>78</v>
      </c>
      <c r="B1163" s="3" t="s">
        <v>79</v>
      </c>
      <c r="C1163" s="3">
        <v>10</v>
      </c>
      <c r="D1163" s="1"/>
      <c r="E1163" s="20" t="s">
        <v>19</v>
      </c>
      <c r="F1163" s="7" t="s">
        <v>14</v>
      </c>
      <c r="G1163" s="7" t="s">
        <v>28</v>
      </c>
      <c r="H1163" s="11">
        <v>12.18</v>
      </c>
      <c r="I1163" s="8">
        <v>12</v>
      </c>
      <c r="J1163" s="26">
        <v>2</v>
      </c>
      <c r="K1163" s="10">
        <v>0.29231999999999997</v>
      </c>
      <c r="L1163" s="4"/>
      <c r="M1163" s="17">
        <v>2</v>
      </c>
      <c r="N1163" s="18">
        <v>0.29231999999999997</v>
      </c>
      <c r="O1163" s="19">
        <v>0</v>
      </c>
      <c r="P1163" s="13">
        <v>0</v>
      </c>
      <c r="Q1163" s="73">
        <v>11.9</v>
      </c>
      <c r="R1163" s="74">
        <v>2</v>
      </c>
      <c r="S1163" s="74" t="s">
        <v>279</v>
      </c>
    </row>
    <row r="1164" spans="1:19">
      <c r="A1164" s="42" t="s">
        <v>78</v>
      </c>
      <c r="B1164" s="3"/>
      <c r="C1164" s="3">
        <v>8</v>
      </c>
      <c r="D1164" s="1"/>
      <c r="E1164" s="20" t="s">
        <v>19</v>
      </c>
      <c r="F1164" s="7" t="s">
        <v>14</v>
      </c>
      <c r="G1164" s="7" t="s">
        <v>28</v>
      </c>
      <c r="H1164" s="11">
        <v>12.18</v>
      </c>
      <c r="I1164" s="8">
        <v>7.1</v>
      </c>
      <c r="J1164" s="26">
        <v>1</v>
      </c>
      <c r="K1164" s="10">
        <v>8.6477999999999999E-2</v>
      </c>
      <c r="L1164" s="4"/>
      <c r="M1164" s="17"/>
      <c r="N1164" s="18">
        <v>0</v>
      </c>
      <c r="O1164" s="19">
        <v>1</v>
      </c>
      <c r="P1164" s="13">
        <v>8.6477999999999999E-2</v>
      </c>
      <c r="Q1164" s="9"/>
      <c r="R1164" s="2"/>
      <c r="S1164" s="2"/>
    </row>
    <row r="1165" spans="1:19">
      <c r="A1165" s="42" t="s">
        <v>78</v>
      </c>
      <c r="B1165" s="3"/>
      <c r="C1165" s="3">
        <v>8</v>
      </c>
      <c r="D1165" s="1"/>
      <c r="E1165" s="20" t="s">
        <v>19</v>
      </c>
      <c r="F1165" s="7" t="s">
        <v>14</v>
      </c>
      <c r="G1165" s="7" t="s">
        <v>28</v>
      </c>
      <c r="H1165" s="11">
        <v>12.18</v>
      </c>
      <c r="I1165" s="8">
        <v>7.9</v>
      </c>
      <c r="J1165" s="26">
        <v>1</v>
      </c>
      <c r="K1165" s="10">
        <v>9.6222000000000002E-2</v>
      </c>
      <c r="L1165" s="4"/>
      <c r="M1165" s="17"/>
      <c r="N1165" s="18">
        <v>0</v>
      </c>
      <c r="O1165" s="19">
        <v>1</v>
      </c>
      <c r="P1165" s="13">
        <v>9.6222000000000002E-2</v>
      </c>
      <c r="Q1165" s="9"/>
      <c r="R1165" s="2"/>
      <c r="S1165" s="2"/>
    </row>
    <row r="1166" spans="1:19">
      <c r="A1166" s="42" t="s">
        <v>84</v>
      </c>
      <c r="B1166" s="3" t="s">
        <v>122</v>
      </c>
      <c r="C1166" s="3">
        <v>1</v>
      </c>
      <c r="D1166" s="1"/>
      <c r="E1166" s="20" t="s">
        <v>19</v>
      </c>
      <c r="F1166" s="7" t="s">
        <v>14</v>
      </c>
      <c r="G1166" s="7" t="s">
        <v>28</v>
      </c>
      <c r="H1166" s="11">
        <v>12.18</v>
      </c>
      <c r="I1166" s="8">
        <v>10.1</v>
      </c>
      <c r="J1166" s="26">
        <v>1</v>
      </c>
      <c r="K1166" s="10">
        <v>0.12301799999999999</v>
      </c>
      <c r="L1166" s="4" t="s">
        <v>123</v>
      </c>
      <c r="M1166" s="17">
        <v>1</v>
      </c>
      <c r="N1166" s="18">
        <v>0.12301799999999999</v>
      </c>
      <c r="O1166" s="19">
        <v>0</v>
      </c>
      <c r="P1166" s="13">
        <v>0</v>
      </c>
      <c r="Q1166" s="73">
        <v>8</v>
      </c>
      <c r="R1166" s="74">
        <v>1</v>
      </c>
      <c r="S1166" s="74" t="s">
        <v>279</v>
      </c>
    </row>
    <row r="1167" spans="1:19">
      <c r="A1167" s="42" t="s">
        <v>84</v>
      </c>
      <c r="B1167" s="3" t="s">
        <v>122</v>
      </c>
      <c r="C1167" s="3">
        <v>1</v>
      </c>
      <c r="D1167" s="1"/>
      <c r="E1167" s="20" t="s">
        <v>19</v>
      </c>
      <c r="F1167" s="7" t="s">
        <v>14</v>
      </c>
      <c r="G1167" s="7" t="s">
        <v>28</v>
      </c>
      <c r="H1167" s="11">
        <v>12.18</v>
      </c>
      <c r="I1167" s="8">
        <v>11.1</v>
      </c>
      <c r="J1167" s="26">
        <v>1</v>
      </c>
      <c r="K1167" s="10">
        <v>0.13519799999999998</v>
      </c>
      <c r="L1167" s="4" t="s">
        <v>123</v>
      </c>
      <c r="M1167" s="17">
        <v>1</v>
      </c>
      <c r="N1167" s="18">
        <v>0.13519799999999998</v>
      </c>
      <c r="O1167" s="19">
        <v>0</v>
      </c>
      <c r="P1167" s="13">
        <v>0</v>
      </c>
      <c r="Q1167" s="73">
        <v>8</v>
      </c>
      <c r="R1167" s="74">
        <v>1</v>
      </c>
      <c r="S1167" s="74" t="s">
        <v>279</v>
      </c>
    </row>
    <row r="1168" spans="1:19">
      <c r="A1168" s="42" t="s">
        <v>90</v>
      </c>
      <c r="B1168" s="48" t="s">
        <v>148</v>
      </c>
      <c r="C1168" s="32">
        <v>33</v>
      </c>
      <c r="D1168" s="32"/>
      <c r="E1168" s="48" t="s">
        <v>19</v>
      </c>
      <c r="F1168" s="48" t="s">
        <v>14</v>
      </c>
      <c r="G1168" s="48" t="s">
        <v>28</v>
      </c>
      <c r="H1168" s="11">
        <v>12.18</v>
      </c>
      <c r="I1168" s="52">
        <v>6.75</v>
      </c>
      <c r="J1168" s="7">
        <v>2</v>
      </c>
      <c r="K1168" s="10">
        <v>0.16443000000000002</v>
      </c>
      <c r="L1168" s="32"/>
      <c r="M1168" s="32"/>
      <c r="N1168" s="18">
        <v>0</v>
      </c>
      <c r="O1168" s="19">
        <v>2</v>
      </c>
      <c r="P1168" s="13">
        <v>0.16443000000000002</v>
      </c>
      <c r="Q1168" s="32"/>
      <c r="R1168" s="32"/>
      <c r="S1168" s="32"/>
    </row>
    <row r="1169" spans="1:19">
      <c r="A1169" s="42" t="s">
        <v>90</v>
      </c>
      <c r="B1169" s="48" t="s">
        <v>148</v>
      </c>
      <c r="C1169" s="32">
        <v>33</v>
      </c>
      <c r="D1169" s="32"/>
      <c r="E1169" s="48" t="s">
        <v>19</v>
      </c>
      <c r="F1169" s="48" t="s">
        <v>14</v>
      </c>
      <c r="G1169" s="48" t="s">
        <v>28</v>
      </c>
      <c r="H1169" s="11">
        <v>12.18</v>
      </c>
      <c r="I1169" s="52">
        <v>9</v>
      </c>
      <c r="J1169" s="7">
        <v>4</v>
      </c>
      <c r="K1169" s="10">
        <v>0.43848000000000004</v>
      </c>
      <c r="L1169" s="32"/>
      <c r="M1169" s="32">
        <v>4</v>
      </c>
      <c r="N1169" s="18">
        <v>0.43848000000000004</v>
      </c>
      <c r="O1169" s="19">
        <v>0</v>
      </c>
      <c r="P1169" s="13">
        <v>0</v>
      </c>
      <c r="Q1169" s="73">
        <v>8</v>
      </c>
      <c r="R1169" s="72">
        <v>4</v>
      </c>
      <c r="S1169" s="74" t="s">
        <v>279</v>
      </c>
    </row>
    <row r="1170" spans="1:19">
      <c r="A1170" s="42" t="s">
        <v>90</v>
      </c>
      <c r="B1170" s="48" t="s">
        <v>148</v>
      </c>
      <c r="C1170" s="32">
        <v>33</v>
      </c>
      <c r="D1170" s="32"/>
      <c r="E1170" s="48" t="s">
        <v>19</v>
      </c>
      <c r="F1170" s="48" t="s">
        <v>14</v>
      </c>
      <c r="G1170" s="48" t="s">
        <v>28</v>
      </c>
      <c r="H1170" s="11">
        <v>12.18</v>
      </c>
      <c r="I1170" s="52">
        <v>10.5</v>
      </c>
      <c r="J1170" s="7">
        <v>1</v>
      </c>
      <c r="K1170" s="10">
        <v>0.12789</v>
      </c>
      <c r="L1170" s="32"/>
      <c r="M1170" s="32">
        <v>1</v>
      </c>
      <c r="N1170" s="18">
        <v>0.12789</v>
      </c>
      <c r="O1170" s="19">
        <v>0</v>
      </c>
      <c r="P1170" s="13">
        <v>0</v>
      </c>
      <c r="Q1170" s="73">
        <v>8</v>
      </c>
      <c r="R1170" s="72">
        <v>1</v>
      </c>
      <c r="S1170" s="74" t="s">
        <v>279</v>
      </c>
    </row>
    <row r="1171" spans="1:19">
      <c r="A1171" s="44" t="s">
        <v>78</v>
      </c>
      <c r="B1171" s="3" t="s">
        <v>80</v>
      </c>
      <c r="C1171" s="3">
        <v>6</v>
      </c>
      <c r="D1171" s="1"/>
      <c r="E1171" s="20" t="s">
        <v>19</v>
      </c>
      <c r="F1171" s="7" t="s">
        <v>14</v>
      </c>
      <c r="G1171" s="7" t="s">
        <v>28</v>
      </c>
      <c r="H1171" s="11">
        <v>12.18</v>
      </c>
      <c r="I1171" s="8">
        <v>5.4</v>
      </c>
      <c r="J1171" s="26">
        <v>1</v>
      </c>
      <c r="K1171" s="10">
        <v>6.5772000000000011E-2</v>
      </c>
      <c r="L1171" s="4"/>
      <c r="M1171" s="17"/>
      <c r="N1171" s="18">
        <v>0</v>
      </c>
      <c r="O1171" s="19">
        <v>1</v>
      </c>
      <c r="P1171" s="13">
        <v>6.5772000000000011E-2</v>
      </c>
      <c r="Q1171" s="9"/>
      <c r="R1171" s="32"/>
      <c r="S1171" s="32"/>
    </row>
    <row r="1172" spans="1:19">
      <c r="A1172" s="44" t="s">
        <v>78</v>
      </c>
      <c r="B1172" s="3" t="s">
        <v>80</v>
      </c>
      <c r="C1172" s="3"/>
      <c r="D1172" s="1"/>
      <c r="E1172" s="20"/>
      <c r="F1172" s="7" t="s">
        <v>14</v>
      </c>
      <c r="G1172" s="7" t="s">
        <v>28</v>
      </c>
      <c r="H1172" s="11">
        <v>12.18</v>
      </c>
      <c r="I1172" s="8">
        <v>6.75</v>
      </c>
      <c r="J1172" s="26">
        <v>1</v>
      </c>
      <c r="K1172" s="10">
        <v>8.221500000000001E-2</v>
      </c>
      <c r="L1172" s="4"/>
      <c r="M1172" s="17"/>
      <c r="N1172" s="18">
        <v>0</v>
      </c>
      <c r="O1172" s="19">
        <v>1</v>
      </c>
      <c r="P1172" s="13">
        <v>8.221500000000001E-2</v>
      </c>
      <c r="Q1172" s="9"/>
      <c r="R1172" s="32"/>
      <c r="S1172" s="32"/>
    </row>
    <row r="1173" spans="1:19">
      <c r="O1173" s="6">
        <f>SUM(O1163:O1172)</f>
        <v>6</v>
      </c>
      <c r="R1173" s="6">
        <f>SUM(R1163:R1172)</f>
        <v>9</v>
      </c>
    </row>
    <row r="1177" spans="1:19">
      <c r="A1177" s="44" t="s">
        <v>78</v>
      </c>
      <c r="B1177" s="3" t="s">
        <v>80</v>
      </c>
      <c r="C1177" s="3">
        <v>4</v>
      </c>
      <c r="D1177" s="1"/>
      <c r="E1177" s="20" t="s">
        <v>20</v>
      </c>
      <c r="F1177" s="7" t="s">
        <v>15</v>
      </c>
      <c r="G1177" s="7" t="s">
        <v>48</v>
      </c>
      <c r="H1177" s="11">
        <v>23.6</v>
      </c>
      <c r="I1177" s="8">
        <v>7.6</v>
      </c>
      <c r="J1177" s="26">
        <v>2</v>
      </c>
      <c r="K1177" s="10">
        <v>0.35872000000000004</v>
      </c>
      <c r="L1177" s="4"/>
      <c r="M1177" s="17"/>
      <c r="N1177" s="18">
        <v>0</v>
      </c>
      <c r="O1177" s="19">
        <v>2</v>
      </c>
      <c r="P1177" s="13">
        <v>0.35872000000000004</v>
      </c>
      <c r="Q1177" s="9"/>
      <c r="R1177" s="32"/>
      <c r="S1177" s="32"/>
    </row>
    <row r="1178" spans="1:19">
      <c r="A1178" s="44" t="s">
        <v>78</v>
      </c>
      <c r="B1178" s="3" t="s">
        <v>80</v>
      </c>
      <c r="C1178" s="3">
        <v>3</v>
      </c>
      <c r="D1178" s="1"/>
      <c r="E1178" s="20" t="s">
        <v>76</v>
      </c>
      <c r="F1178" s="7" t="s">
        <v>15</v>
      </c>
      <c r="G1178" s="7" t="s">
        <v>48</v>
      </c>
      <c r="H1178" s="11">
        <v>23.6</v>
      </c>
      <c r="I1178" s="8">
        <v>11.3</v>
      </c>
      <c r="J1178" s="26">
        <v>11</v>
      </c>
      <c r="K1178" s="10">
        <v>2.9334799999999999</v>
      </c>
      <c r="L1178" s="4"/>
      <c r="M1178" s="17">
        <v>11</v>
      </c>
      <c r="N1178" s="18">
        <v>2.9334800000000003</v>
      </c>
      <c r="O1178" s="19">
        <v>0</v>
      </c>
      <c r="P1178" s="13">
        <v>0</v>
      </c>
      <c r="Q1178" s="9"/>
      <c r="R1178" s="32"/>
      <c r="S1178" s="32"/>
    </row>
    <row r="1179" spans="1:19">
      <c r="A1179" s="44" t="s">
        <v>78</v>
      </c>
      <c r="B1179" s="32" t="s">
        <v>80</v>
      </c>
      <c r="C1179" s="3">
        <v>1</v>
      </c>
      <c r="D1179" s="32"/>
      <c r="E1179" s="20" t="s">
        <v>76</v>
      </c>
      <c r="F1179" s="7" t="s">
        <v>15</v>
      </c>
      <c r="G1179" s="7" t="s">
        <v>48</v>
      </c>
      <c r="H1179" s="11">
        <v>23.6</v>
      </c>
      <c r="I1179" s="33">
        <v>11.3</v>
      </c>
      <c r="J1179" s="40">
        <v>1</v>
      </c>
      <c r="K1179" s="10">
        <v>0.26668000000000003</v>
      </c>
      <c r="L1179" s="4"/>
      <c r="M1179" s="17">
        <v>1</v>
      </c>
      <c r="N1179" s="18">
        <v>0.26668000000000003</v>
      </c>
      <c r="O1179" s="19">
        <v>0</v>
      </c>
      <c r="P1179" s="13">
        <v>0</v>
      </c>
      <c r="Q1179" s="32"/>
      <c r="R1179" s="32"/>
      <c r="S1179" s="32"/>
    </row>
    <row r="1180" spans="1:19">
      <c r="A1180" s="44" t="s">
        <v>78</v>
      </c>
      <c r="B1180" s="32"/>
      <c r="C1180" s="3">
        <v>1</v>
      </c>
      <c r="D1180" s="32"/>
      <c r="E1180" s="20" t="s">
        <v>89</v>
      </c>
      <c r="F1180" s="7" t="s">
        <v>15</v>
      </c>
      <c r="G1180" s="7" t="s">
        <v>48</v>
      </c>
      <c r="H1180" s="11">
        <v>23.6</v>
      </c>
      <c r="I1180" s="33">
        <v>11.65</v>
      </c>
      <c r="J1180" s="40">
        <v>9</v>
      </c>
      <c r="K1180" s="10">
        <v>2.4744600000000001</v>
      </c>
      <c r="L1180" s="4"/>
      <c r="M1180" s="17">
        <v>5</v>
      </c>
      <c r="N1180" s="18">
        <v>1.3747</v>
      </c>
      <c r="O1180" s="19">
        <v>4</v>
      </c>
      <c r="P1180" s="13">
        <v>1.0997600000000001</v>
      </c>
      <c r="Q1180" s="91" t="s">
        <v>285</v>
      </c>
      <c r="R1180" s="91">
        <v>5</v>
      </c>
      <c r="S1180" s="91" t="s">
        <v>286</v>
      </c>
    </row>
    <row r="1181" spans="1:19">
      <c r="A1181" s="45" t="s">
        <v>136</v>
      </c>
      <c r="B1181" s="32" t="s">
        <v>137</v>
      </c>
      <c r="C1181" s="3">
        <v>25</v>
      </c>
      <c r="D1181" s="32"/>
      <c r="E1181" s="20" t="s">
        <v>20</v>
      </c>
      <c r="F1181" s="7" t="s">
        <v>15</v>
      </c>
      <c r="G1181" s="7" t="s">
        <v>48</v>
      </c>
      <c r="H1181" s="11">
        <v>23.6</v>
      </c>
      <c r="I1181" s="33">
        <v>11.6</v>
      </c>
      <c r="J1181" s="40">
        <v>2</v>
      </c>
      <c r="K1181" s="10">
        <v>0.54752000000000001</v>
      </c>
      <c r="L1181" s="4"/>
      <c r="M1181" s="17"/>
      <c r="N1181" s="18">
        <v>0</v>
      </c>
      <c r="O1181" s="19">
        <v>2</v>
      </c>
      <c r="P1181" s="13">
        <v>0.54752000000000001</v>
      </c>
      <c r="Q1181" s="32"/>
      <c r="R1181" s="32"/>
      <c r="S1181" s="32"/>
    </row>
    <row r="1182" spans="1:19">
      <c r="A1182" s="45" t="s">
        <v>136</v>
      </c>
      <c r="B1182" s="32" t="s">
        <v>137</v>
      </c>
      <c r="C1182" s="3">
        <v>71</v>
      </c>
      <c r="D1182" s="32"/>
      <c r="E1182" s="20" t="s">
        <v>20</v>
      </c>
      <c r="F1182" s="7" t="s">
        <v>15</v>
      </c>
      <c r="G1182" s="7" t="s">
        <v>48</v>
      </c>
      <c r="H1182" s="11">
        <v>23.6</v>
      </c>
      <c r="I1182" s="33">
        <v>8.6999999999999993</v>
      </c>
      <c r="J1182" s="40">
        <v>1</v>
      </c>
      <c r="K1182" s="10">
        <v>0.20532</v>
      </c>
      <c r="L1182" s="4"/>
      <c r="M1182" s="17"/>
      <c r="N1182" s="18">
        <v>0</v>
      </c>
      <c r="O1182" s="19">
        <v>1</v>
      </c>
      <c r="P1182" s="13">
        <v>0.20532</v>
      </c>
      <c r="Q1182" s="32"/>
      <c r="R1182" s="32"/>
      <c r="S1182" s="32"/>
    </row>
    <row r="1183" spans="1:19">
      <c r="A1183" s="45" t="s">
        <v>136</v>
      </c>
      <c r="B1183" s="32" t="s">
        <v>137</v>
      </c>
      <c r="C1183" s="3">
        <v>92</v>
      </c>
      <c r="D1183" s="32"/>
      <c r="E1183" s="20" t="s">
        <v>89</v>
      </c>
      <c r="F1183" s="7" t="s">
        <v>15</v>
      </c>
      <c r="G1183" s="7" t="s">
        <v>48</v>
      </c>
      <c r="H1183" s="11">
        <v>23.6</v>
      </c>
      <c r="I1183" s="33">
        <v>12</v>
      </c>
      <c r="J1183" s="40">
        <v>6</v>
      </c>
      <c r="K1183" s="10">
        <v>1.6992000000000003</v>
      </c>
      <c r="L1183" s="4"/>
      <c r="M1183" s="17"/>
      <c r="N1183" s="18">
        <v>0</v>
      </c>
      <c r="O1183" s="19">
        <v>6</v>
      </c>
      <c r="P1183" s="13">
        <v>1.6992</v>
      </c>
      <c r="Q1183" s="32"/>
      <c r="R1183" s="32"/>
      <c r="S1183" s="32"/>
    </row>
    <row r="1184" spans="1:19">
      <c r="A1184" s="45" t="s">
        <v>136</v>
      </c>
      <c r="B1184" s="32" t="s">
        <v>137</v>
      </c>
      <c r="C1184" s="3">
        <v>97</v>
      </c>
      <c r="D1184" s="32"/>
      <c r="E1184" s="20" t="s">
        <v>113</v>
      </c>
      <c r="F1184" s="7" t="s">
        <v>15</v>
      </c>
      <c r="G1184" s="7" t="s">
        <v>48</v>
      </c>
      <c r="H1184" s="11">
        <v>23.6</v>
      </c>
      <c r="I1184" s="33">
        <v>8</v>
      </c>
      <c r="J1184" s="41">
        <v>1</v>
      </c>
      <c r="K1184" s="10">
        <v>0.18880000000000002</v>
      </c>
      <c r="L1184" s="4"/>
      <c r="M1184" s="17"/>
      <c r="N1184" s="18">
        <v>0</v>
      </c>
      <c r="O1184" s="19">
        <v>1</v>
      </c>
      <c r="P1184" s="13">
        <v>0.18880000000000002</v>
      </c>
      <c r="Q1184" s="32"/>
      <c r="R1184" s="32"/>
      <c r="S1184" s="32"/>
    </row>
    <row r="1185" spans="1:19">
      <c r="A1185" s="45" t="s">
        <v>136</v>
      </c>
      <c r="B1185" s="32" t="s">
        <v>137</v>
      </c>
      <c r="C1185" s="3">
        <v>97</v>
      </c>
      <c r="D1185" s="32"/>
      <c r="E1185" s="20" t="s">
        <v>113</v>
      </c>
      <c r="F1185" s="7" t="s">
        <v>15</v>
      </c>
      <c r="G1185" s="7" t="s">
        <v>48</v>
      </c>
      <c r="H1185" s="11">
        <v>23.6</v>
      </c>
      <c r="I1185" s="33">
        <v>7.2</v>
      </c>
      <c r="J1185" s="41">
        <v>1</v>
      </c>
      <c r="K1185" s="10">
        <v>0.16992000000000002</v>
      </c>
      <c r="L1185" s="4"/>
      <c r="M1185" s="17"/>
      <c r="N1185" s="18">
        <v>0</v>
      </c>
      <c r="O1185" s="19">
        <v>1</v>
      </c>
      <c r="P1185" s="13">
        <v>0.16992000000000002</v>
      </c>
      <c r="Q1185" s="32"/>
      <c r="R1185" s="32"/>
      <c r="S1185" s="32"/>
    </row>
    <row r="1186" spans="1:19">
      <c r="A1186" s="45" t="s">
        <v>136</v>
      </c>
      <c r="B1186" s="32" t="s">
        <v>137</v>
      </c>
      <c r="C1186" s="3">
        <v>97</v>
      </c>
      <c r="D1186" s="32"/>
      <c r="E1186" s="20" t="s">
        <v>113</v>
      </c>
      <c r="F1186" s="7" t="s">
        <v>15</v>
      </c>
      <c r="G1186" s="7" t="s">
        <v>48</v>
      </c>
      <c r="H1186" s="11">
        <v>23.6</v>
      </c>
      <c r="I1186" s="33">
        <v>12</v>
      </c>
      <c r="J1186" s="41">
        <v>1</v>
      </c>
      <c r="K1186" s="10">
        <v>0.28320000000000006</v>
      </c>
      <c r="L1186" s="4"/>
      <c r="M1186" s="17"/>
      <c r="N1186" s="18">
        <v>0</v>
      </c>
      <c r="O1186" s="19">
        <v>1</v>
      </c>
      <c r="P1186" s="13">
        <v>0.28320000000000006</v>
      </c>
      <c r="Q1186" s="32"/>
      <c r="R1186" s="32"/>
      <c r="S1186" s="32"/>
    </row>
    <row r="1187" spans="1:19">
      <c r="A1187" s="45" t="s">
        <v>136</v>
      </c>
      <c r="B1187" s="48" t="s">
        <v>171</v>
      </c>
      <c r="C1187" s="32">
        <v>124</v>
      </c>
      <c r="D1187" s="32"/>
      <c r="E1187" s="48" t="s">
        <v>20</v>
      </c>
      <c r="F1187" s="48" t="s">
        <v>15</v>
      </c>
      <c r="G1187" s="48" t="s">
        <v>48</v>
      </c>
      <c r="H1187" s="11">
        <v>23.6</v>
      </c>
      <c r="I1187" s="52">
        <v>10.9</v>
      </c>
      <c r="J1187" s="7">
        <v>1</v>
      </c>
      <c r="K1187" s="10">
        <v>0.25724000000000002</v>
      </c>
      <c r="L1187" s="32"/>
      <c r="M1187" s="32"/>
      <c r="N1187" s="18">
        <v>0</v>
      </c>
      <c r="O1187" s="19">
        <v>1</v>
      </c>
      <c r="P1187" s="13">
        <v>0.25724000000000002</v>
      </c>
      <c r="Q1187" s="32"/>
      <c r="R1187" s="32"/>
      <c r="S1187" s="32"/>
    </row>
    <row r="1188" spans="1:19">
      <c r="A1188" s="45" t="s">
        <v>136</v>
      </c>
      <c r="B1188" s="48" t="s">
        <v>171</v>
      </c>
      <c r="C1188" s="32">
        <v>140</v>
      </c>
      <c r="D1188" s="32"/>
      <c r="E1188" s="48" t="s">
        <v>96</v>
      </c>
      <c r="F1188" s="48" t="s">
        <v>15</v>
      </c>
      <c r="G1188" s="48" t="s">
        <v>48</v>
      </c>
      <c r="H1188" s="11">
        <v>23.6</v>
      </c>
      <c r="I1188" s="52">
        <v>7.6</v>
      </c>
      <c r="J1188" s="7">
        <v>3</v>
      </c>
      <c r="K1188" s="10">
        <v>0.53808</v>
      </c>
      <c r="L1188" s="32"/>
      <c r="M1188" s="32"/>
      <c r="N1188" s="18">
        <v>0</v>
      </c>
      <c r="O1188" s="19">
        <v>3</v>
      </c>
      <c r="P1188" s="13">
        <v>0.53807999999999989</v>
      </c>
      <c r="Q1188" s="32"/>
      <c r="R1188" s="32"/>
      <c r="S1188" s="32"/>
    </row>
    <row r="1189" spans="1:19">
      <c r="A1189" s="45" t="s">
        <v>136</v>
      </c>
      <c r="B1189" s="48" t="s">
        <v>171</v>
      </c>
      <c r="C1189" s="32">
        <v>160</v>
      </c>
      <c r="D1189" s="32"/>
      <c r="E1189" s="48" t="s">
        <v>89</v>
      </c>
      <c r="F1189" s="48" t="s">
        <v>15</v>
      </c>
      <c r="G1189" s="48" t="s">
        <v>48</v>
      </c>
      <c r="H1189" s="11">
        <v>23.6</v>
      </c>
      <c r="I1189" s="52">
        <v>12</v>
      </c>
      <c r="J1189" s="7">
        <v>1</v>
      </c>
      <c r="K1189" s="10">
        <v>0.28320000000000006</v>
      </c>
      <c r="L1189" s="32"/>
      <c r="M1189" s="32"/>
      <c r="N1189" s="18">
        <v>0</v>
      </c>
      <c r="O1189" s="19">
        <v>1</v>
      </c>
      <c r="P1189" s="13">
        <v>0.28320000000000006</v>
      </c>
      <c r="Q1189" s="32"/>
      <c r="R1189" s="32"/>
      <c r="S1189" s="32"/>
    </row>
    <row r="1190" spans="1:19">
      <c r="O1190" s="6">
        <f>SUM(O1177:O1189)</f>
        <v>23</v>
      </c>
      <c r="R1190" s="6">
        <f>SUM(R1177:R1189)</f>
        <v>5</v>
      </c>
    </row>
    <row r="1192" spans="1:19">
      <c r="A1192" s="44" t="s">
        <v>78</v>
      </c>
      <c r="B1192" s="32" t="s">
        <v>80</v>
      </c>
      <c r="C1192" s="3">
        <v>1</v>
      </c>
      <c r="D1192" s="32"/>
      <c r="E1192" s="20" t="s">
        <v>114</v>
      </c>
      <c r="F1192" s="7" t="s">
        <v>15</v>
      </c>
      <c r="G1192" s="7" t="s">
        <v>42</v>
      </c>
      <c r="H1192" s="11">
        <v>19.72</v>
      </c>
      <c r="I1192" s="55">
        <v>11.7</v>
      </c>
      <c r="J1192" s="40">
        <v>2</v>
      </c>
      <c r="K1192" s="10">
        <f t="shared" ref="K1192:K1199" si="64">(H1192*I1192*J1192/1000)</f>
        <v>0.46144799999999991</v>
      </c>
      <c r="L1192" s="4"/>
      <c r="M1192" s="17"/>
      <c r="N1192" s="18">
        <f t="shared" ref="N1192:N1199" si="65">I1192*M1192*H1192/1000</f>
        <v>0</v>
      </c>
      <c r="O1192" s="19">
        <f t="shared" ref="O1192:O1199" si="66">J1192-M1192</f>
        <v>2</v>
      </c>
      <c r="P1192" s="13">
        <f t="shared" ref="P1192:P1199" si="67">I1192*O1192*H1192/1000</f>
        <v>0.46144799999999991</v>
      </c>
      <c r="Q1192" s="32"/>
      <c r="R1192" s="32"/>
      <c r="S1192" s="32"/>
    </row>
    <row r="1193" spans="1:19">
      <c r="A1193" s="44" t="s">
        <v>78</v>
      </c>
      <c r="B1193" s="32" t="s">
        <v>80</v>
      </c>
      <c r="C1193" s="3">
        <v>1</v>
      </c>
      <c r="D1193" s="32"/>
      <c r="E1193" s="20" t="s">
        <v>114</v>
      </c>
      <c r="F1193" s="7" t="s">
        <v>15</v>
      </c>
      <c r="G1193" s="7" t="s">
        <v>42</v>
      </c>
      <c r="H1193" s="11">
        <v>19.72</v>
      </c>
      <c r="I1193" s="55">
        <v>11.6</v>
      </c>
      <c r="J1193" s="40">
        <v>1</v>
      </c>
      <c r="K1193" s="10">
        <f t="shared" si="64"/>
        <v>0.22875199999999998</v>
      </c>
      <c r="L1193" s="4"/>
      <c r="M1193" s="17"/>
      <c r="N1193" s="18">
        <f t="shared" si="65"/>
        <v>0</v>
      </c>
      <c r="O1193" s="19">
        <f t="shared" si="66"/>
        <v>1</v>
      </c>
      <c r="P1193" s="13">
        <f t="shared" si="67"/>
        <v>0.22875199999999998</v>
      </c>
      <c r="Q1193" s="32"/>
      <c r="R1193" s="32"/>
      <c r="S1193" s="32"/>
    </row>
    <row r="1194" spans="1:19">
      <c r="A1194" s="44" t="s">
        <v>78</v>
      </c>
      <c r="B1194" s="32" t="s">
        <v>80</v>
      </c>
      <c r="C1194" s="3">
        <v>1</v>
      </c>
      <c r="D1194" s="32"/>
      <c r="E1194" s="20" t="s">
        <v>114</v>
      </c>
      <c r="F1194" s="7" t="s">
        <v>15</v>
      </c>
      <c r="G1194" s="7" t="s">
        <v>42</v>
      </c>
      <c r="H1194" s="11">
        <v>19.72</v>
      </c>
      <c r="I1194" s="55">
        <v>11.5</v>
      </c>
      <c r="J1194" s="40">
        <v>5</v>
      </c>
      <c r="K1194" s="10">
        <f t="shared" si="64"/>
        <v>1.1338999999999999</v>
      </c>
      <c r="L1194" s="4"/>
      <c r="M1194" s="17">
        <f>3+1</f>
        <v>4</v>
      </c>
      <c r="N1194" s="18">
        <f t="shared" si="65"/>
        <v>0.90711999999999993</v>
      </c>
      <c r="O1194" s="19">
        <f t="shared" si="66"/>
        <v>1</v>
      </c>
      <c r="P1194" s="13">
        <f t="shared" si="67"/>
        <v>0.22677999999999998</v>
      </c>
      <c r="Q1194" s="32"/>
      <c r="R1194" s="72">
        <f>3+1</f>
        <v>4</v>
      </c>
      <c r="S1194" s="72" t="s">
        <v>287</v>
      </c>
    </row>
    <row r="1195" spans="1:19">
      <c r="A1195" s="44" t="s">
        <v>78</v>
      </c>
      <c r="B1195" s="32" t="s">
        <v>80</v>
      </c>
      <c r="C1195" s="3">
        <v>1</v>
      </c>
      <c r="D1195" s="32"/>
      <c r="E1195" s="20" t="s">
        <v>114</v>
      </c>
      <c r="F1195" s="7" t="s">
        <v>15</v>
      </c>
      <c r="G1195" s="7" t="s">
        <v>42</v>
      </c>
      <c r="H1195" s="11">
        <v>19.72</v>
      </c>
      <c r="I1195" s="55">
        <v>11.8</v>
      </c>
      <c r="J1195" s="40">
        <v>1</v>
      </c>
      <c r="K1195" s="10">
        <f t="shared" si="64"/>
        <v>0.23269599999999999</v>
      </c>
      <c r="L1195" s="4"/>
      <c r="M1195" s="17"/>
      <c r="N1195" s="18">
        <f t="shared" si="65"/>
        <v>0</v>
      </c>
      <c r="O1195" s="19">
        <f t="shared" si="66"/>
        <v>1</v>
      </c>
      <c r="P1195" s="13">
        <f t="shared" si="67"/>
        <v>0.23269599999999999</v>
      </c>
      <c r="Q1195" s="32"/>
      <c r="R1195" s="72"/>
      <c r="S1195" s="72"/>
    </row>
    <row r="1196" spans="1:19">
      <c r="A1196" s="44" t="s">
        <v>78</v>
      </c>
      <c r="B1196" s="32" t="s">
        <v>80</v>
      </c>
      <c r="C1196" s="3">
        <v>1</v>
      </c>
      <c r="D1196" s="32"/>
      <c r="E1196" s="20" t="s">
        <v>114</v>
      </c>
      <c r="F1196" s="7" t="s">
        <v>15</v>
      </c>
      <c r="G1196" s="7" t="s">
        <v>42</v>
      </c>
      <c r="H1196" s="11">
        <v>19.72</v>
      </c>
      <c r="I1196" s="55">
        <v>9.3000000000000007</v>
      </c>
      <c r="J1196" s="40">
        <v>3</v>
      </c>
      <c r="K1196" s="10">
        <f t="shared" si="64"/>
        <v>0.55018800000000012</v>
      </c>
      <c r="L1196" s="4"/>
      <c r="M1196" s="17">
        <v>3</v>
      </c>
      <c r="N1196" s="18">
        <f t="shared" si="65"/>
        <v>0.55018800000000001</v>
      </c>
      <c r="O1196" s="19">
        <f t="shared" si="66"/>
        <v>0</v>
      </c>
      <c r="P1196" s="13">
        <f t="shared" si="67"/>
        <v>0</v>
      </c>
      <c r="Q1196" s="32"/>
      <c r="R1196" s="72">
        <v>3</v>
      </c>
      <c r="S1196" s="72" t="s">
        <v>284</v>
      </c>
    </row>
    <row r="1197" spans="1:19">
      <c r="A1197" s="44" t="s">
        <v>78</v>
      </c>
      <c r="B1197" s="32" t="s">
        <v>80</v>
      </c>
      <c r="C1197" s="3">
        <v>1</v>
      </c>
      <c r="D1197" s="32"/>
      <c r="E1197" s="20" t="s">
        <v>114</v>
      </c>
      <c r="F1197" s="7" t="s">
        <v>15</v>
      </c>
      <c r="G1197" s="7" t="s">
        <v>42</v>
      </c>
      <c r="H1197" s="11">
        <v>19.72</v>
      </c>
      <c r="I1197" s="55">
        <v>10.5</v>
      </c>
      <c r="J1197" s="40">
        <v>1</v>
      </c>
      <c r="K1197" s="10">
        <f t="shared" si="64"/>
        <v>0.20705999999999999</v>
      </c>
      <c r="L1197" s="4"/>
      <c r="M1197" s="17">
        <v>1</v>
      </c>
      <c r="N1197" s="18">
        <f t="shared" si="65"/>
        <v>0.20705999999999999</v>
      </c>
      <c r="O1197" s="19">
        <f t="shared" si="66"/>
        <v>0</v>
      </c>
      <c r="P1197" s="13">
        <f t="shared" si="67"/>
        <v>0</v>
      </c>
      <c r="Q1197" s="32"/>
      <c r="R1197" s="72">
        <v>1</v>
      </c>
      <c r="S1197" s="72" t="s">
        <v>284</v>
      </c>
    </row>
    <row r="1198" spans="1:19">
      <c r="A1198" s="44" t="s">
        <v>78</v>
      </c>
      <c r="B1198" s="32" t="s">
        <v>80</v>
      </c>
      <c r="C1198" s="3">
        <v>1</v>
      </c>
      <c r="D1198" s="32"/>
      <c r="E1198" s="20" t="s">
        <v>114</v>
      </c>
      <c r="F1198" s="7" t="s">
        <v>15</v>
      </c>
      <c r="G1198" s="7" t="s">
        <v>42</v>
      </c>
      <c r="H1198" s="11">
        <v>19.72</v>
      </c>
      <c r="I1198" s="55">
        <v>10.7</v>
      </c>
      <c r="J1198" s="40">
        <v>1</v>
      </c>
      <c r="K1198" s="10">
        <f t="shared" si="64"/>
        <v>0.21100399999999997</v>
      </c>
      <c r="L1198" s="4"/>
      <c r="M1198" s="17">
        <v>1</v>
      </c>
      <c r="N1198" s="18">
        <f t="shared" si="65"/>
        <v>0.21100399999999997</v>
      </c>
      <c r="O1198" s="19">
        <f t="shared" si="66"/>
        <v>0</v>
      </c>
      <c r="P1198" s="13">
        <f t="shared" si="67"/>
        <v>0</v>
      </c>
      <c r="Q1198" s="32"/>
      <c r="R1198" s="72">
        <v>1</v>
      </c>
      <c r="S1198" s="72" t="s">
        <v>284</v>
      </c>
    </row>
    <row r="1199" spans="1:19">
      <c r="A1199" s="44" t="s">
        <v>78</v>
      </c>
      <c r="B1199" s="32" t="s">
        <v>80</v>
      </c>
      <c r="C1199" s="3">
        <v>1</v>
      </c>
      <c r="D1199" s="32"/>
      <c r="E1199" s="20" t="s">
        <v>114</v>
      </c>
      <c r="F1199" s="7" t="s">
        <v>15</v>
      </c>
      <c r="G1199" s="7" t="s">
        <v>42</v>
      </c>
      <c r="H1199" s="11">
        <v>19.72</v>
      </c>
      <c r="I1199" s="55">
        <v>11.3</v>
      </c>
      <c r="J1199" s="40">
        <v>1</v>
      </c>
      <c r="K1199" s="10">
        <f t="shared" si="64"/>
        <v>0.22283600000000001</v>
      </c>
      <c r="L1199" s="4"/>
      <c r="M1199" s="17"/>
      <c r="N1199" s="18">
        <f t="shared" si="65"/>
        <v>0</v>
      </c>
      <c r="O1199" s="19">
        <f t="shared" si="66"/>
        <v>1</v>
      </c>
      <c r="P1199" s="13">
        <f t="shared" si="67"/>
        <v>0.22283600000000001</v>
      </c>
      <c r="Q1199" s="32"/>
      <c r="R1199" s="32"/>
      <c r="S1199" s="32"/>
    </row>
    <row r="1200" spans="1:19">
      <c r="O1200" s="6">
        <f>SUM(O1192:O1199)</f>
        <v>6</v>
      </c>
      <c r="R1200" s="6">
        <f>SUM(R1192:R1199)</f>
        <v>9</v>
      </c>
    </row>
    <row r="1202" spans="1:19">
      <c r="A1202" s="42" t="s">
        <v>77</v>
      </c>
      <c r="B1202" s="3" t="s">
        <v>68</v>
      </c>
      <c r="C1202" s="3">
        <v>222</v>
      </c>
      <c r="D1202" s="1"/>
      <c r="E1202" s="20" t="s">
        <v>17</v>
      </c>
      <c r="F1202" s="7" t="s">
        <v>15</v>
      </c>
      <c r="G1202" s="7" t="s">
        <v>66</v>
      </c>
      <c r="H1202" s="11">
        <v>29.5</v>
      </c>
      <c r="I1202" s="8">
        <v>10</v>
      </c>
      <c r="J1202" s="26">
        <v>1</v>
      </c>
      <c r="K1202" s="10">
        <v>0.29499999999999998</v>
      </c>
      <c r="L1202" s="4"/>
      <c r="M1202" s="17">
        <v>1</v>
      </c>
      <c r="N1202" s="18">
        <v>0.29499999999999998</v>
      </c>
      <c r="O1202" s="19">
        <v>0</v>
      </c>
      <c r="P1202" s="13">
        <v>0</v>
      </c>
      <c r="Q1202" s="9"/>
      <c r="R1202" s="2"/>
      <c r="S1202" s="2"/>
    </row>
    <row r="1203" spans="1:19">
      <c r="A1203" s="42" t="s">
        <v>77</v>
      </c>
      <c r="B1203" s="3" t="s">
        <v>68</v>
      </c>
      <c r="C1203" s="3">
        <v>222</v>
      </c>
      <c r="D1203" s="1"/>
      <c r="E1203" s="20" t="s">
        <v>17</v>
      </c>
      <c r="F1203" s="7" t="s">
        <v>15</v>
      </c>
      <c r="G1203" s="7" t="s">
        <v>66</v>
      </c>
      <c r="H1203" s="11">
        <v>29.5</v>
      </c>
      <c r="I1203" s="8">
        <v>7.9</v>
      </c>
      <c r="J1203" s="26">
        <v>1</v>
      </c>
      <c r="K1203" s="10">
        <v>0.23305000000000001</v>
      </c>
      <c r="L1203" s="4"/>
      <c r="M1203" s="17"/>
      <c r="N1203" s="18">
        <v>0</v>
      </c>
      <c r="O1203" s="19">
        <v>1</v>
      </c>
      <c r="P1203" s="13">
        <v>0.23305000000000001</v>
      </c>
      <c r="Q1203" s="9"/>
      <c r="R1203" s="2"/>
      <c r="S1203" s="2"/>
    </row>
    <row r="1204" spans="1:19">
      <c r="A1204" s="42" t="s">
        <v>77</v>
      </c>
      <c r="B1204" s="3" t="s">
        <v>68</v>
      </c>
      <c r="C1204" s="3">
        <v>222</v>
      </c>
      <c r="D1204" s="1"/>
      <c r="E1204" s="20" t="s">
        <v>17</v>
      </c>
      <c r="F1204" s="7" t="s">
        <v>15</v>
      </c>
      <c r="G1204" s="7" t="s">
        <v>66</v>
      </c>
      <c r="H1204" s="11">
        <v>29.5</v>
      </c>
      <c r="I1204" s="8">
        <v>8</v>
      </c>
      <c r="J1204" s="26">
        <v>4</v>
      </c>
      <c r="K1204" s="10">
        <v>0.94399999999999995</v>
      </c>
      <c r="L1204" s="4"/>
      <c r="M1204" s="17">
        <v>4</v>
      </c>
      <c r="N1204" s="18">
        <v>0.94399999999999995</v>
      </c>
      <c r="O1204" s="19">
        <v>0</v>
      </c>
      <c r="P1204" s="13">
        <v>0</v>
      </c>
      <c r="Q1204" s="89">
        <v>8</v>
      </c>
      <c r="R1204" s="90">
        <v>4</v>
      </c>
      <c r="S1204" s="90" t="s">
        <v>278</v>
      </c>
    </row>
    <row r="1205" spans="1:19">
      <c r="A1205" s="42" t="s">
        <v>77</v>
      </c>
      <c r="B1205" s="3" t="s">
        <v>68</v>
      </c>
      <c r="C1205" s="3">
        <v>222</v>
      </c>
      <c r="D1205" s="1"/>
      <c r="E1205" s="20" t="s">
        <v>17</v>
      </c>
      <c r="F1205" s="7" t="s">
        <v>15</v>
      </c>
      <c r="G1205" s="7" t="s">
        <v>66</v>
      </c>
      <c r="H1205" s="11">
        <v>29.5</v>
      </c>
      <c r="I1205" s="8">
        <v>10.6</v>
      </c>
      <c r="J1205" s="26">
        <v>1</v>
      </c>
      <c r="K1205" s="10">
        <v>0.31269999999999998</v>
      </c>
      <c r="L1205" s="4"/>
      <c r="M1205" s="17">
        <v>1</v>
      </c>
      <c r="N1205" s="18">
        <v>0.31269999999999998</v>
      </c>
      <c r="O1205" s="19">
        <v>0</v>
      </c>
      <c r="P1205" s="13">
        <v>0</v>
      </c>
      <c r="Q1205" s="9"/>
      <c r="R1205" s="2"/>
      <c r="S1205" s="2"/>
    </row>
    <row r="1206" spans="1:19">
      <c r="A1206" s="42" t="s">
        <v>77</v>
      </c>
      <c r="B1206" s="3" t="s">
        <v>68</v>
      </c>
      <c r="C1206" s="3">
        <v>222</v>
      </c>
      <c r="D1206" s="1"/>
      <c r="E1206" s="20" t="s">
        <v>17</v>
      </c>
      <c r="F1206" s="7" t="s">
        <v>15</v>
      </c>
      <c r="G1206" s="7" t="s">
        <v>66</v>
      </c>
      <c r="H1206" s="11">
        <v>29.5</v>
      </c>
      <c r="I1206" s="8">
        <v>7.5</v>
      </c>
      <c r="J1206" s="26">
        <v>1</v>
      </c>
      <c r="K1206" s="10">
        <v>0.22125</v>
      </c>
      <c r="L1206" s="4"/>
      <c r="M1206" s="17"/>
      <c r="N1206" s="18">
        <v>0</v>
      </c>
      <c r="O1206" s="19">
        <v>1</v>
      </c>
      <c r="P1206" s="13">
        <v>0.22125</v>
      </c>
      <c r="Q1206" s="9"/>
      <c r="R1206" s="2"/>
      <c r="S1206" s="2"/>
    </row>
    <row r="1207" spans="1:19">
      <c r="A1207" s="42" t="s">
        <v>77</v>
      </c>
      <c r="B1207" s="3" t="s">
        <v>68</v>
      </c>
      <c r="C1207" s="3">
        <v>222</v>
      </c>
      <c r="D1207" s="1"/>
      <c r="E1207" s="20" t="s">
        <v>17</v>
      </c>
      <c r="F1207" s="7" t="s">
        <v>15</v>
      </c>
      <c r="G1207" s="7" t="s">
        <v>66</v>
      </c>
      <c r="H1207" s="11">
        <v>29.5</v>
      </c>
      <c r="I1207" s="8">
        <v>11.2</v>
      </c>
      <c r="J1207" s="26">
        <v>1</v>
      </c>
      <c r="K1207" s="10">
        <v>0.33039999999999997</v>
      </c>
      <c r="L1207" s="4"/>
      <c r="M1207" s="17">
        <v>1</v>
      </c>
      <c r="N1207" s="18">
        <v>0.33039999999999997</v>
      </c>
      <c r="O1207" s="19">
        <v>0</v>
      </c>
      <c r="P1207" s="13">
        <v>0</v>
      </c>
      <c r="Q1207" s="9"/>
      <c r="R1207" s="2"/>
      <c r="S1207" s="2"/>
    </row>
    <row r="1208" spans="1:19">
      <c r="A1208" s="42" t="s">
        <v>77</v>
      </c>
      <c r="B1208" s="3" t="s">
        <v>68</v>
      </c>
      <c r="C1208" s="3">
        <v>222</v>
      </c>
      <c r="D1208" s="1"/>
      <c r="E1208" s="20" t="s">
        <v>17</v>
      </c>
      <c r="F1208" s="7" t="s">
        <v>15</v>
      </c>
      <c r="G1208" s="7" t="s">
        <v>66</v>
      </c>
      <c r="H1208" s="11">
        <v>29.5</v>
      </c>
      <c r="I1208" s="8">
        <v>12</v>
      </c>
      <c r="J1208" s="26">
        <v>1</v>
      </c>
      <c r="K1208" s="10">
        <v>0.35399999999999998</v>
      </c>
      <c r="L1208" s="4"/>
      <c r="M1208" s="17">
        <v>1</v>
      </c>
      <c r="N1208" s="18">
        <v>0.35399999999999998</v>
      </c>
      <c r="O1208" s="19">
        <v>0</v>
      </c>
      <c r="P1208" s="13">
        <v>0</v>
      </c>
      <c r="Q1208" s="9"/>
      <c r="R1208" s="2"/>
      <c r="S1208" s="2"/>
    </row>
    <row r="1209" spans="1:19">
      <c r="A1209" s="44" t="s">
        <v>78</v>
      </c>
      <c r="B1209" s="3" t="s">
        <v>80</v>
      </c>
      <c r="C1209" s="3">
        <v>2</v>
      </c>
      <c r="D1209" s="1"/>
      <c r="E1209" s="20" t="s">
        <v>20</v>
      </c>
      <c r="F1209" s="7" t="s">
        <v>15</v>
      </c>
      <c r="G1209" s="7" t="s">
        <v>66</v>
      </c>
      <c r="H1209" s="11">
        <v>29.5</v>
      </c>
      <c r="I1209" s="8">
        <v>11</v>
      </c>
      <c r="J1209" s="26">
        <v>1</v>
      </c>
      <c r="K1209" s="10">
        <v>0.32450000000000001</v>
      </c>
      <c r="L1209" s="4"/>
      <c r="M1209" s="17"/>
      <c r="N1209" s="18">
        <v>0</v>
      </c>
      <c r="O1209" s="19">
        <v>1</v>
      </c>
      <c r="P1209" s="13">
        <v>0.32450000000000001</v>
      </c>
      <c r="Q1209" s="9"/>
      <c r="R1209" s="32"/>
      <c r="S1209" s="32"/>
    </row>
    <row r="1210" spans="1:19">
      <c r="A1210" s="45" t="s">
        <v>136</v>
      </c>
      <c r="B1210" s="32" t="s">
        <v>137</v>
      </c>
      <c r="C1210" s="3">
        <v>1</v>
      </c>
      <c r="D1210" s="32"/>
      <c r="E1210" s="20" t="s">
        <v>20</v>
      </c>
      <c r="F1210" s="7" t="s">
        <v>15</v>
      </c>
      <c r="G1210" s="7" t="s">
        <v>66</v>
      </c>
      <c r="H1210" s="11">
        <v>29.5</v>
      </c>
      <c r="I1210" s="33">
        <v>9.3000000000000007</v>
      </c>
      <c r="J1210" s="40">
        <v>1</v>
      </c>
      <c r="K1210" s="10">
        <v>0.27435000000000004</v>
      </c>
      <c r="L1210" s="4"/>
      <c r="M1210" s="17"/>
      <c r="N1210" s="18">
        <v>0</v>
      </c>
      <c r="O1210" s="19">
        <v>1</v>
      </c>
      <c r="P1210" s="13">
        <v>0.27435000000000004</v>
      </c>
      <c r="Q1210" s="32"/>
      <c r="R1210" s="32"/>
      <c r="S1210" s="32"/>
    </row>
    <row r="1211" spans="1:19">
      <c r="A1211" s="45" t="s">
        <v>136</v>
      </c>
      <c r="B1211" s="32" t="s">
        <v>137</v>
      </c>
      <c r="C1211" s="3">
        <v>74</v>
      </c>
      <c r="D1211" s="32"/>
      <c r="E1211" s="20" t="s">
        <v>20</v>
      </c>
      <c r="F1211" s="7" t="s">
        <v>15</v>
      </c>
      <c r="G1211" s="7" t="s">
        <v>66</v>
      </c>
      <c r="H1211" s="11">
        <v>29.5</v>
      </c>
      <c r="I1211" s="33">
        <v>8.8000000000000007</v>
      </c>
      <c r="J1211" s="40">
        <v>1</v>
      </c>
      <c r="K1211" s="10">
        <v>0.2596</v>
      </c>
      <c r="L1211" s="4"/>
      <c r="M1211" s="17"/>
      <c r="N1211" s="18">
        <v>0</v>
      </c>
      <c r="O1211" s="19">
        <v>1</v>
      </c>
      <c r="P1211" s="13">
        <v>0.2596</v>
      </c>
      <c r="Q1211" s="32"/>
      <c r="R1211" s="32"/>
      <c r="S1211" s="32"/>
    </row>
    <row r="1212" spans="1:19">
      <c r="A1212" s="45" t="s">
        <v>136</v>
      </c>
      <c r="B1212" s="32" t="s">
        <v>137</v>
      </c>
      <c r="C1212" s="3">
        <v>74</v>
      </c>
      <c r="D1212" s="32"/>
      <c r="E1212" s="20" t="s">
        <v>20</v>
      </c>
      <c r="F1212" s="7" t="s">
        <v>15</v>
      </c>
      <c r="G1212" s="7" t="s">
        <v>66</v>
      </c>
      <c r="H1212" s="11">
        <v>29.5</v>
      </c>
      <c r="I1212" s="33">
        <v>9</v>
      </c>
      <c r="J1212" s="40">
        <v>1</v>
      </c>
      <c r="K1212" s="10">
        <v>0.26550000000000001</v>
      </c>
      <c r="L1212" s="4"/>
      <c r="M1212" s="17"/>
      <c r="N1212" s="18">
        <v>0</v>
      </c>
      <c r="O1212" s="19">
        <v>1</v>
      </c>
      <c r="P1212" s="13">
        <v>0.26550000000000001</v>
      </c>
      <c r="Q1212" s="32"/>
      <c r="R1212" s="32"/>
      <c r="S1212" s="32"/>
    </row>
    <row r="1213" spans="1:19">
      <c r="O1213" s="6">
        <f>SUM(O1202:O1212)</f>
        <v>6</v>
      </c>
      <c r="R1213" s="6">
        <f>SUM(R1202:R1212)</f>
        <v>4</v>
      </c>
    </row>
    <row r="1215" spans="1:19">
      <c r="A1215" s="48" t="s">
        <v>179</v>
      </c>
      <c r="B1215" s="48" t="s">
        <v>180</v>
      </c>
      <c r="C1215" s="32"/>
      <c r="D1215" s="32"/>
      <c r="E1215" s="48" t="s">
        <v>76</v>
      </c>
      <c r="F1215" s="48" t="s">
        <v>15</v>
      </c>
      <c r="G1215" s="48" t="s">
        <v>54</v>
      </c>
      <c r="H1215" s="11">
        <v>31.6</v>
      </c>
      <c r="I1215" s="8">
        <v>6.4</v>
      </c>
      <c r="J1215" s="7">
        <v>2</v>
      </c>
      <c r="K1215" s="10">
        <v>0.40448000000000001</v>
      </c>
      <c r="L1215" s="32"/>
      <c r="M1215" s="32"/>
      <c r="N1215" s="18">
        <v>0</v>
      </c>
      <c r="O1215" s="19">
        <v>2</v>
      </c>
      <c r="P1215" s="13">
        <v>0.40448000000000001</v>
      </c>
      <c r="Q1215" s="32"/>
      <c r="R1215" s="32"/>
      <c r="S1215" s="32"/>
    </row>
    <row r="1216" spans="1:19">
      <c r="A1216" s="48" t="s">
        <v>179</v>
      </c>
      <c r="B1216" s="48" t="s">
        <v>180</v>
      </c>
      <c r="C1216" s="32"/>
      <c r="D1216" s="32"/>
      <c r="E1216" s="48" t="s">
        <v>76</v>
      </c>
      <c r="F1216" s="48" t="s">
        <v>15</v>
      </c>
      <c r="G1216" s="48" t="s">
        <v>54</v>
      </c>
      <c r="H1216" s="11">
        <v>31.6</v>
      </c>
      <c r="I1216" s="9">
        <v>6.5</v>
      </c>
      <c r="J1216" s="7">
        <v>1</v>
      </c>
      <c r="K1216" s="10">
        <v>0.2054</v>
      </c>
      <c r="L1216" s="32"/>
      <c r="M1216" s="32">
        <v>1</v>
      </c>
      <c r="N1216" s="18">
        <v>0.2054</v>
      </c>
      <c r="O1216" s="19">
        <v>0</v>
      </c>
      <c r="P1216" s="13">
        <v>0</v>
      </c>
      <c r="Q1216" s="102">
        <v>6.5</v>
      </c>
      <c r="R1216" s="91">
        <v>1</v>
      </c>
      <c r="S1216" s="90" t="s">
        <v>278</v>
      </c>
    </row>
    <row r="1217" spans="1:19">
      <c r="A1217" s="48" t="s">
        <v>179</v>
      </c>
      <c r="B1217" s="48" t="s">
        <v>180</v>
      </c>
      <c r="C1217" s="32"/>
      <c r="D1217" s="32"/>
      <c r="E1217" s="48" t="s">
        <v>76</v>
      </c>
      <c r="F1217" s="48" t="s">
        <v>15</v>
      </c>
      <c r="G1217" s="48" t="s">
        <v>54</v>
      </c>
      <c r="H1217" s="11">
        <v>31.6</v>
      </c>
      <c r="I1217" s="9">
        <v>6.6</v>
      </c>
      <c r="J1217" s="7">
        <v>1</v>
      </c>
      <c r="K1217" s="10">
        <v>0.20856</v>
      </c>
      <c r="L1217" s="32"/>
      <c r="M1217" s="32">
        <v>1</v>
      </c>
      <c r="N1217" s="18">
        <v>0.20856</v>
      </c>
      <c r="O1217" s="19">
        <v>0</v>
      </c>
      <c r="P1217" s="13">
        <v>0</v>
      </c>
      <c r="Q1217" s="102">
        <v>6.6</v>
      </c>
      <c r="R1217" s="91">
        <v>1</v>
      </c>
      <c r="S1217" s="90" t="s">
        <v>278</v>
      </c>
    </row>
    <row r="1218" spans="1:19">
      <c r="A1218" s="48" t="s">
        <v>179</v>
      </c>
      <c r="B1218" s="48" t="s">
        <v>180</v>
      </c>
      <c r="C1218" s="32"/>
      <c r="D1218" s="32"/>
      <c r="E1218" s="48" t="s">
        <v>76</v>
      </c>
      <c r="F1218" s="48" t="s">
        <v>15</v>
      </c>
      <c r="G1218" s="48" t="s">
        <v>54</v>
      </c>
      <c r="H1218" s="11">
        <v>31.6</v>
      </c>
      <c r="I1218" s="9">
        <v>7.15</v>
      </c>
      <c r="J1218" s="7">
        <v>1</v>
      </c>
      <c r="K1218" s="10">
        <v>0.22594000000000003</v>
      </c>
      <c r="L1218" s="32"/>
      <c r="M1218" s="32">
        <v>1</v>
      </c>
      <c r="N1218" s="18">
        <v>0.22594000000000003</v>
      </c>
      <c r="O1218" s="19">
        <v>0</v>
      </c>
      <c r="P1218" s="13">
        <v>0</v>
      </c>
      <c r="Q1218" s="102">
        <v>7.15</v>
      </c>
      <c r="R1218" s="91">
        <v>1</v>
      </c>
      <c r="S1218" s="90" t="s">
        <v>278</v>
      </c>
    </row>
    <row r="1219" spans="1:19">
      <c r="A1219" s="42" t="s">
        <v>84</v>
      </c>
      <c r="B1219" s="3" t="s">
        <v>124</v>
      </c>
      <c r="C1219" s="3">
        <v>1</v>
      </c>
      <c r="D1219" s="1"/>
      <c r="E1219" s="20" t="s">
        <v>114</v>
      </c>
      <c r="F1219" s="7" t="s">
        <v>15</v>
      </c>
      <c r="G1219" s="7" t="s">
        <v>54</v>
      </c>
      <c r="H1219" s="11">
        <v>31.6</v>
      </c>
      <c r="I1219" s="8">
        <v>7.8</v>
      </c>
      <c r="J1219" s="26">
        <v>1</v>
      </c>
      <c r="K1219" s="10">
        <v>0.24648</v>
      </c>
      <c r="L1219" s="4"/>
      <c r="M1219" s="17">
        <v>1</v>
      </c>
      <c r="N1219" s="18">
        <v>0.24648</v>
      </c>
      <c r="O1219" s="19">
        <v>0</v>
      </c>
      <c r="P1219" s="13">
        <v>0</v>
      </c>
      <c r="Q1219" s="89">
        <v>7.8</v>
      </c>
      <c r="R1219" s="90">
        <v>1</v>
      </c>
      <c r="S1219" s="90" t="s">
        <v>278</v>
      </c>
    </row>
    <row r="1220" spans="1:19">
      <c r="A1220" s="42" t="s">
        <v>84</v>
      </c>
      <c r="B1220" s="3" t="s">
        <v>124</v>
      </c>
      <c r="C1220" s="3">
        <v>1</v>
      </c>
      <c r="D1220" s="1"/>
      <c r="E1220" s="20" t="s">
        <v>114</v>
      </c>
      <c r="F1220" s="7" t="s">
        <v>15</v>
      </c>
      <c r="G1220" s="7" t="s">
        <v>54</v>
      </c>
      <c r="H1220" s="11">
        <v>31.6</v>
      </c>
      <c r="I1220" s="8">
        <v>12</v>
      </c>
      <c r="J1220" s="26">
        <v>1</v>
      </c>
      <c r="K1220" s="10">
        <v>0.37920000000000004</v>
      </c>
      <c r="L1220" s="4"/>
      <c r="M1220" s="17">
        <v>1</v>
      </c>
      <c r="N1220" s="18">
        <v>0.37920000000000004</v>
      </c>
      <c r="O1220" s="19">
        <v>0</v>
      </c>
      <c r="P1220" s="13">
        <v>0</v>
      </c>
      <c r="Q1220" s="89">
        <v>12</v>
      </c>
      <c r="R1220" s="90">
        <v>1</v>
      </c>
      <c r="S1220" s="90" t="s">
        <v>278</v>
      </c>
    </row>
    <row r="1221" spans="1:19">
      <c r="A1221" s="44" t="s">
        <v>78</v>
      </c>
      <c r="B1221" s="3" t="s">
        <v>80</v>
      </c>
      <c r="C1221" s="3">
        <v>14</v>
      </c>
      <c r="D1221" s="1"/>
      <c r="E1221" s="20" t="s">
        <v>20</v>
      </c>
      <c r="F1221" s="7" t="s">
        <v>15</v>
      </c>
      <c r="G1221" s="7" t="s">
        <v>54</v>
      </c>
      <c r="H1221" s="11">
        <v>31.6</v>
      </c>
      <c r="I1221" s="8">
        <v>4.5</v>
      </c>
      <c r="J1221" s="26">
        <v>1</v>
      </c>
      <c r="K1221" s="10">
        <v>0.14220000000000002</v>
      </c>
      <c r="L1221" s="4"/>
      <c r="M1221" s="17"/>
      <c r="N1221" s="18">
        <v>0</v>
      </c>
      <c r="O1221" s="19">
        <v>1</v>
      </c>
      <c r="P1221" s="13">
        <v>0.14220000000000002</v>
      </c>
      <c r="Q1221" s="9"/>
      <c r="R1221" s="32"/>
      <c r="S1221" s="32"/>
    </row>
    <row r="1222" spans="1:19">
      <c r="A1222" s="44" t="s">
        <v>78</v>
      </c>
      <c r="B1222" s="32" t="s">
        <v>80</v>
      </c>
      <c r="C1222" s="3">
        <v>1</v>
      </c>
      <c r="D1222" s="32"/>
      <c r="E1222" s="20" t="s">
        <v>74</v>
      </c>
      <c r="F1222" s="7" t="s">
        <v>15</v>
      </c>
      <c r="G1222" s="7" t="s">
        <v>54</v>
      </c>
      <c r="H1222" s="11">
        <v>31.6</v>
      </c>
      <c r="I1222" s="55">
        <v>11.9</v>
      </c>
      <c r="J1222" s="40">
        <v>1</v>
      </c>
      <c r="K1222" s="10">
        <v>0.37604000000000004</v>
      </c>
      <c r="L1222" s="4"/>
      <c r="M1222" s="17">
        <v>1</v>
      </c>
      <c r="N1222" s="18">
        <v>0.37604000000000004</v>
      </c>
      <c r="O1222" s="19">
        <v>0</v>
      </c>
      <c r="P1222" s="13">
        <v>0</v>
      </c>
      <c r="Q1222" s="91">
        <v>11.9</v>
      </c>
      <c r="R1222" s="91">
        <v>1</v>
      </c>
      <c r="S1222" s="90" t="s">
        <v>278</v>
      </c>
    </row>
    <row r="1223" spans="1:19">
      <c r="A1223" s="45" t="s">
        <v>136</v>
      </c>
      <c r="B1223" s="32" t="s">
        <v>137</v>
      </c>
      <c r="C1223" s="3">
        <v>10</v>
      </c>
      <c r="D1223" s="32"/>
      <c r="E1223" s="39" t="s">
        <v>17</v>
      </c>
      <c r="F1223" s="7" t="s">
        <v>15</v>
      </c>
      <c r="G1223" s="7" t="s">
        <v>54</v>
      </c>
      <c r="H1223" s="11">
        <v>31.6</v>
      </c>
      <c r="I1223" s="55">
        <v>5.8</v>
      </c>
      <c r="J1223" s="40">
        <v>1</v>
      </c>
      <c r="K1223" s="10">
        <v>0.18328</v>
      </c>
      <c r="L1223" s="4"/>
      <c r="M1223" s="17"/>
      <c r="N1223" s="18">
        <v>0</v>
      </c>
      <c r="O1223" s="19">
        <v>1</v>
      </c>
      <c r="P1223" s="13">
        <v>0.18328</v>
      </c>
      <c r="Q1223" s="32"/>
      <c r="R1223" s="32"/>
      <c r="S1223" s="32"/>
    </row>
    <row r="1224" spans="1:19">
      <c r="O1224" s="6">
        <f>SUM(O1215:O1223)</f>
        <v>4</v>
      </c>
      <c r="R1224" s="6">
        <f>SUM(R1215:R1223)</f>
        <v>6</v>
      </c>
    </row>
    <row r="1226" spans="1:19">
      <c r="A1226" s="42" t="s">
        <v>77</v>
      </c>
      <c r="B1226" s="3" t="s">
        <v>68</v>
      </c>
      <c r="C1226" s="3">
        <v>136</v>
      </c>
      <c r="D1226" s="1"/>
      <c r="E1226" s="20" t="s">
        <v>20</v>
      </c>
      <c r="F1226" s="7" t="s">
        <v>15</v>
      </c>
      <c r="G1226" s="7" t="s">
        <v>57</v>
      </c>
      <c r="H1226" s="11">
        <v>33.72</v>
      </c>
      <c r="I1226" s="8">
        <v>6.1</v>
      </c>
      <c r="J1226" s="26">
        <v>2</v>
      </c>
      <c r="K1226" s="10">
        <v>0.41138399999999997</v>
      </c>
      <c r="L1226" s="4"/>
      <c r="M1226" s="17">
        <v>2</v>
      </c>
      <c r="N1226" s="18">
        <v>0.41138399999999997</v>
      </c>
      <c r="O1226" s="19">
        <v>0</v>
      </c>
      <c r="P1226" s="13">
        <v>0</v>
      </c>
      <c r="Q1226" s="89">
        <v>6.1</v>
      </c>
      <c r="R1226" s="90">
        <v>2</v>
      </c>
      <c r="S1226" s="90" t="s">
        <v>278</v>
      </c>
    </row>
    <row r="1227" spans="1:19">
      <c r="A1227" s="42" t="s">
        <v>77</v>
      </c>
      <c r="B1227" s="3" t="s">
        <v>68</v>
      </c>
      <c r="C1227" s="3">
        <v>139</v>
      </c>
      <c r="D1227" s="1"/>
      <c r="E1227" s="20" t="s">
        <v>127</v>
      </c>
      <c r="F1227" s="7" t="s">
        <v>15</v>
      </c>
      <c r="G1227" s="7" t="s">
        <v>57</v>
      </c>
      <c r="H1227" s="11">
        <v>33.72</v>
      </c>
      <c r="I1227" s="8">
        <v>6.3</v>
      </c>
      <c r="J1227" s="26">
        <v>2</v>
      </c>
      <c r="K1227" s="10">
        <v>0.42487199999999997</v>
      </c>
      <c r="L1227" s="4"/>
      <c r="M1227" s="17">
        <v>2</v>
      </c>
      <c r="N1227" s="18">
        <v>0.42487199999999997</v>
      </c>
      <c r="O1227" s="19">
        <v>0</v>
      </c>
      <c r="P1227" s="13">
        <v>0</v>
      </c>
      <c r="Q1227" s="89">
        <v>6.3</v>
      </c>
      <c r="R1227" s="90">
        <v>2</v>
      </c>
      <c r="S1227" s="90" t="s">
        <v>278</v>
      </c>
    </row>
    <row r="1228" spans="1:19">
      <c r="A1228" s="42" t="s">
        <v>77</v>
      </c>
      <c r="B1228" s="3" t="s">
        <v>68</v>
      </c>
      <c r="C1228" s="3">
        <v>139</v>
      </c>
      <c r="D1228" s="1"/>
      <c r="E1228" s="20" t="s">
        <v>127</v>
      </c>
      <c r="F1228" s="7" t="s">
        <v>15</v>
      </c>
      <c r="G1228" s="7" t="s">
        <v>57</v>
      </c>
      <c r="H1228" s="11">
        <v>33.72</v>
      </c>
      <c r="I1228" s="8">
        <v>8.1999999999999993</v>
      </c>
      <c r="J1228" s="26">
        <v>1</v>
      </c>
      <c r="K1228" s="10">
        <v>0.27650399999999997</v>
      </c>
      <c r="L1228" s="4"/>
      <c r="M1228" s="17">
        <v>1</v>
      </c>
      <c r="N1228" s="18">
        <v>0.27650399999999997</v>
      </c>
      <c r="O1228" s="19">
        <v>0</v>
      </c>
      <c r="P1228" s="13">
        <v>0</v>
      </c>
      <c r="Q1228" s="89">
        <v>8.1999999999999993</v>
      </c>
      <c r="R1228" s="90">
        <v>1</v>
      </c>
      <c r="S1228" s="90" t="s">
        <v>278</v>
      </c>
    </row>
    <row r="1229" spans="1:19">
      <c r="A1229" s="42" t="s">
        <v>77</v>
      </c>
      <c r="B1229" s="3" t="s">
        <v>68</v>
      </c>
      <c r="C1229" s="3">
        <v>183</v>
      </c>
      <c r="D1229" s="1"/>
      <c r="E1229" s="12" t="s">
        <v>20</v>
      </c>
      <c r="F1229" s="7" t="s">
        <v>15</v>
      </c>
      <c r="G1229" s="7" t="s">
        <v>57</v>
      </c>
      <c r="H1229" s="11">
        <v>33.72</v>
      </c>
      <c r="I1229" s="8">
        <v>7</v>
      </c>
      <c r="J1229" s="26">
        <v>5</v>
      </c>
      <c r="K1229" s="10">
        <v>1.1802000000000001</v>
      </c>
      <c r="L1229" s="4"/>
      <c r="M1229" s="17">
        <v>5</v>
      </c>
      <c r="N1229" s="18">
        <v>1.1802000000000001</v>
      </c>
      <c r="O1229" s="19">
        <v>0</v>
      </c>
      <c r="P1229" s="13">
        <v>0</v>
      </c>
      <c r="Q1229" s="89">
        <v>7</v>
      </c>
      <c r="R1229" s="90">
        <v>5</v>
      </c>
      <c r="S1229" s="90" t="s">
        <v>278</v>
      </c>
    </row>
    <row r="1230" spans="1:19">
      <c r="A1230" s="42" t="s">
        <v>77</v>
      </c>
      <c r="B1230" s="3" t="s">
        <v>68</v>
      </c>
      <c r="C1230" s="3">
        <v>231</v>
      </c>
      <c r="D1230" s="1"/>
      <c r="E1230" s="20" t="s">
        <v>20</v>
      </c>
      <c r="F1230" s="7" t="s">
        <v>15</v>
      </c>
      <c r="G1230" s="7" t="s">
        <v>57</v>
      </c>
      <c r="H1230" s="11">
        <v>33.72</v>
      </c>
      <c r="I1230" s="8">
        <v>9</v>
      </c>
      <c r="J1230" s="26">
        <v>1</v>
      </c>
      <c r="K1230" s="10">
        <v>0.30348000000000003</v>
      </c>
      <c r="L1230" s="4"/>
      <c r="M1230" s="17">
        <v>1</v>
      </c>
      <c r="N1230" s="18">
        <v>0.30348000000000003</v>
      </c>
      <c r="O1230" s="19">
        <v>0</v>
      </c>
      <c r="P1230" s="13">
        <v>0</v>
      </c>
      <c r="Q1230" s="89">
        <v>9</v>
      </c>
      <c r="R1230" s="90">
        <v>1</v>
      </c>
      <c r="S1230" s="90" t="s">
        <v>278</v>
      </c>
    </row>
    <row r="1231" spans="1:19">
      <c r="A1231" s="48" t="s">
        <v>179</v>
      </c>
      <c r="B1231" s="48" t="s">
        <v>180</v>
      </c>
      <c r="C1231" s="32"/>
      <c r="D1231" s="32"/>
      <c r="E1231" s="48" t="s">
        <v>152</v>
      </c>
      <c r="F1231" s="48" t="s">
        <v>15</v>
      </c>
      <c r="G1231" s="48" t="s">
        <v>57</v>
      </c>
      <c r="H1231" s="11">
        <v>33.72</v>
      </c>
      <c r="I1231" s="9">
        <v>8.6</v>
      </c>
      <c r="J1231" s="7">
        <v>1</v>
      </c>
      <c r="K1231" s="10">
        <v>0.28999199999999997</v>
      </c>
      <c r="L1231" s="32"/>
      <c r="M1231" s="32">
        <v>1</v>
      </c>
      <c r="N1231" s="18">
        <v>0.28999199999999997</v>
      </c>
      <c r="O1231" s="19">
        <v>0</v>
      </c>
      <c r="P1231" s="13">
        <v>0</v>
      </c>
      <c r="Q1231" s="91">
        <v>8.6</v>
      </c>
      <c r="R1231" s="91">
        <v>1</v>
      </c>
      <c r="S1231" s="90" t="s">
        <v>278</v>
      </c>
    </row>
    <row r="1232" spans="1:19">
      <c r="A1232" s="42" t="s">
        <v>84</v>
      </c>
      <c r="B1232" s="3" t="s">
        <v>122</v>
      </c>
      <c r="C1232" s="3">
        <v>1</v>
      </c>
      <c r="D1232" s="1"/>
      <c r="E1232" s="20" t="s">
        <v>20</v>
      </c>
      <c r="F1232" s="7" t="s">
        <v>15</v>
      </c>
      <c r="G1232" s="7" t="s">
        <v>57</v>
      </c>
      <c r="H1232" s="11">
        <v>33.72</v>
      </c>
      <c r="I1232" s="8">
        <v>7.5</v>
      </c>
      <c r="J1232" s="26">
        <v>1</v>
      </c>
      <c r="K1232" s="10">
        <v>0.25289999999999996</v>
      </c>
      <c r="L1232" s="4"/>
      <c r="M1232" s="17">
        <v>1</v>
      </c>
      <c r="N1232" s="18">
        <v>0.25289999999999996</v>
      </c>
      <c r="O1232" s="19">
        <v>0</v>
      </c>
      <c r="P1232" s="13">
        <v>0</v>
      </c>
      <c r="Q1232" s="89">
        <v>7.5</v>
      </c>
      <c r="R1232" s="90">
        <v>1</v>
      </c>
      <c r="S1232" s="90" t="s">
        <v>278</v>
      </c>
    </row>
    <row r="1233" spans="1:19">
      <c r="A1233" s="42" t="s">
        <v>84</v>
      </c>
      <c r="B1233" s="3" t="s">
        <v>122</v>
      </c>
      <c r="C1233" s="3">
        <v>1</v>
      </c>
      <c r="D1233" s="1"/>
      <c r="E1233" s="20" t="s">
        <v>20</v>
      </c>
      <c r="F1233" s="7" t="s">
        <v>15</v>
      </c>
      <c r="G1233" s="7" t="s">
        <v>57</v>
      </c>
      <c r="H1233" s="11">
        <v>33.72</v>
      </c>
      <c r="I1233" s="8">
        <v>7.25</v>
      </c>
      <c r="J1233" s="26">
        <v>1</v>
      </c>
      <c r="K1233" s="10">
        <v>0.24446999999999999</v>
      </c>
      <c r="L1233" s="4"/>
      <c r="M1233" s="17">
        <v>1</v>
      </c>
      <c r="N1233" s="18">
        <v>0.24446999999999999</v>
      </c>
      <c r="O1233" s="19">
        <v>0</v>
      </c>
      <c r="P1233" s="13">
        <v>0</v>
      </c>
      <c r="Q1233" s="89">
        <v>7.25</v>
      </c>
      <c r="R1233" s="90">
        <v>1</v>
      </c>
      <c r="S1233" s="90" t="s">
        <v>278</v>
      </c>
    </row>
    <row r="1234" spans="1:19">
      <c r="R1234" s="76">
        <f>SUM(R1226:R1233)</f>
        <v>14</v>
      </c>
    </row>
    <row r="1237" spans="1:19">
      <c r="A1237" s="42" t="s">
        <v>90</v>
      </c>
      <c r="B1237" s="48" t="s">
        <v>148</v>
      </c>
      <c r="C1237" s="32">
        <v>30</v>
      </c>
      <c r="D1237" s="32"/>
      <c r="E1237" s="48" t="s">
        <v>19</v>
      </c>
      <c r="F1237" s="48" t="s">
        <v>14</v>
      </c>
      <c r="G1237" s="48" t="s">
        <v>16</v>
      </c>
      <c r="H1237" s="11">
        <v>5.77</v>
      </c>
      <c r="I1237" s="52">
        <v>6.5</v>
      </c>
      <c r="J1237" s="7">
        <v>1</v>
      </c>
      <c r="K1237" s="10">
        <v>3.7504999999999997E-2</v>
      </c>
      <c r="L1237" s="32"/>
      <c r="M1237" s="32"/>
      <c r="N1237" s="18">
        <v>0</v>
      </c>
      <c r="O1237" s="19">
        <v>1</v>
      </c>
      <c r="P1237" s="13">
        <v>3.7504999999999997E-2</v>
      </c>
      <c r="Q1237" s="32"/>
      <c r="R1237" s="32"/>
      <c r="S1237" s="32"/>
    </row>
    <row r="1238" spans="1:19">
      <c r="A1238" s="42" t="s">
        <v>90</v>
      </c>
      <c r="B1238" s="48" t="s">
        <v>148</v>
      </c>
      <c r="C1238" s="32">
        <v>30</v>
      </c>
      <c r="D1238" s="32"/>
      <c r="E1238" s="48" t="s">
        <v>19</v>
      </c>
      <c r="F1238" s="48" t="s">
        <v>14</v>
      </c>
      <c r="G1238" s="48" t="s">
        <v>16</v>
      </c>
      <c r="H1238" s="11">
        <v>5.77</v>
      </c>
      <c r="I1238" s="52">
        <v>7.5</v>
      </c>
      <c r="J1238" s="7">
        <v>1</v>
      </c>
      <c r="K1238" s="10">
        <v>4.3275000000000001E-2</v>
      </c>
      <c r="L1238" s="32"/>
      <c r="M1238" s="32">
        <v>1</v>
      </c>
      <c r="N1238" s="18">
        <v>4.3275000000000001E-2</v>
      </c>
      <c r="O1238" s="19">
        <v>0</v>
      </c>
      <c r="P1238" s="13">
        <v>0</v>
      </c>
      <c r="Q1238" s="32"/>
      <c r="R1238" s="91">
        <v>1</v>
      </c>
      <c r="S1238" s="91" t="s">
        <v>278</v>
      </c>
    </row>
    <row r="1239" spans="1:19">
      <c r="A1239" s="42" t="s">
        <v>90</v>
      </c>
      <c r="B1239" s="48" t="s">
        <v>148</v>
      </c>
      <c r="C1239" s="32">
        <v>30</v>
      </c>
      <c r="D1239" s="32"/>
      <c r="E1239" s="48" t="s">
        <v>19</v>
      </c>
      <c r="F1239" s="48" t="s">
        <v>14</v>
      </c>
      <c r="G1239" s="48" t="s">
        <v>16</v>
      </c>
      <c r="H1239" s="11">
        <v>5.77</v>
      </c>
      <c r="I1239" s="52">
        <v>7.3</v>
      </c>
      <c r="J1239" s="7">
        <v>1</v>
      </c>
      <c r="K1239" s="10">
        <v>4.2120999999999992E-2</v>
      </c>
      <c r="L1239" s="32"/>
      <c r="M1239" s="32">
        <v>1</v>
      </c>
      <c r="N1239" s="18">
        <v>4.2120999999999992E-2</v>
      </c>
      <c r="O1239" s="19">
        <v>0</v>
      </c>
      <c r="P1239" s="13">
        <v>0</v>
      </c>
      <c r="Q1239" s="32"/>
      <c r="R1239" s="91">
        <v>1</v>
      </c>
      <c r="S1239" s="91" t="s">
        <v>278</v>
      </c>
    </row>
    <row r="1240" spans="1:19">
      <c r="A1240" s="42" t="s">
        <v>90</v>
      </c>
      <c r="B1240" s="48" t="s">
        <v>148</v>
      </c>
      <c r="C1240" s="32">
        <v>30</v>
      </c>
      <c r="D1240" s="32"/>
      <c r="E1240" s="48" t="s">
        <v>19</v>
      </c>
      <c r="F1240" s="48" t="s">
        <v>14</v>
      </c>
      <c r="G1240" s="48" t="s">
        <v>16</v>
      </c>
      <c r="H1240" s="11">
        <v>5.77</v>
      </c>
      <c r="I1240" s="52">
        <v>7.7</v>
      </c>
      <c r="J1240" s="7">
        <v>1</v>
      </c>
      <c r="K1240" s="10">
        <v>4.4428999999999996E-2</v>
      </c>
      <c r="L1240" s="32"/>
      <c r="M1240" s="32">
        <v>1</v>
      </c>
      <c r="N1240" s="18">
        <v>4.4428999999999996E-2</v>
      </c>
      <c r="O1240" s="19">
        <v>0</v>
      </c>
      <c r="P1240" s="13">
        <v>0</v>
      </c>
      <c r="Q1240" s="32"/>
      <c r="R1240" s="91">
        <v>1</v>
      </c>
      <c r="S1240" s="91" t="s">
        <v>278</v>
      </c>
    </row>
    <row r="1241" spans="1:19">
      <c r="A1241" s="42" t="s">
        <v>90</v>
      </c>
      <c r="B1241" s="48" t="s">
        <v>148</v>
      </c>
      <c r="C1241" s="32">
        <v>30</v>
      </c>
      <c r="D1241" s="32"/>
      <c r="E1241" s="48" t="s">
        <v>19</v>
      </c>
      <c r="F1241" s="48" t="s">
        <v>14</v>
      </c>
      <c r="G1241" s="48" t="s">
        <v>16</v>
      </c>
      <c r="H1241" s="11">
        <v>5.77</v>
      </c>
      <c r="I1241" s="52">
        <v>8</v>
      </c>
      <c r="J1241" s="7">
        <v>2</v>
      </c>
      <c r="K1241" s="10">
        <v>9.2319999999999999E-2</v>
      </c>
      <c r="L1241" s="32"/>
      <c r="M1241" s="32">
        <v>2</v>
      </c>
      <c r="N1241" s="18">
        <v>9.2319999999999999E-2</v>
      </c>
      <c r="O1241" s="19">
        <v>0</v>
      </c>
      <c r="P1241" s="13">
        <v>0</v>
      </c>
      <c r="Q1241" s="32"/>
      <c r="R1241" s="91">
        <v>2</v>
      </c>
      <c r="S1241" s="91" t="s">
        <v>278</v>
      </c>
    </row>
    <row r="1242" spans="1:19">
      <c r="A1242" s="42" t="s">
        <v>90</v>
      </c>
      <c r="B1242" s="48" t="s">
        <v>148</v>
      </c>
      <c r="C1242" s="32">
        <v>30</v>
      </c>
      <c r="D1242" s="32"/>
      <c r="E1242" s="48" t="s">
        <v>19</v>
      </c>
      <c r="F1242" s="48" t="s">
        <v>14</v>
      </c>
      <c r="G1242" s="48" t="s">
        <v>16</v>
      </c>
      <c r="H1242" s="11">
        <v>5.77</v>
      </c>
      <c r="I1242" s="52">
        <v>8.3000000000000007</v>
      </c>
      <c r="J1242" s="7">
        <v>2</v>
      </c>
      <c r="K1242" s="10">
        <v>9.5781999999999992E-2</v>
      </c>
      <c r="L1242" s="32"/>
      <c r="M1242" s="32">
        <v>2</v>
      </c>
      <c r="N1242" s="18">
        <v>9.5781999999999992E-2</v>
      </c>
      <c r="O1242" s="19">
        <v>0</v>
      </c>
      <c r="P1242" s="13">
        <v>0</v>
      </c>
      <c r="Q1242" s="32"/>
      <c r="R1242" s="91">
        <v>2</v>
      </c>
      <c r="S1242" s="91" t="s">
        <v>278</v>
      </c>
    </row>
    <row r="1243" spans="1:19">
      <c r="A1243" s="42" t="s">
        <v>90</v>
      </c>
      <c r="B1243" s="48" t="s">
        <v>148</v>
      </c>
      <c r="C1243" s="32">
        <v>30</v>
      </c>
      <c r="D1243" s="32"/>
      <c r="E1243" s="48" t="s">
        <v>19</v>
      </c>
      <c r="F1243" s="48" t="s">
        <v>14</v>
      </c>
      <c r="G1243" s="48" t="s">
        <v>16</v>
      </c>
      <c r="H1243" s="11">
        <v>5.77</v>
      </c>
      <c r="I1243" s="52">
        <v>8.6</v>
      </c>
      <c r="J1243" s="7">
        <v>1</v>
      </c>
      <c r="K1243" s="10">
        <v>4.9621999999999993E-2</v>
      </c>
      <c r="L1243" s="32"/>
      <c r="M1243" s="32">
        <v>1</v>
      </c>
      <c r="N1243" s="18">
        <v>4.9621999999999993E-2</v>
      </c>
      <c r="O1243" s="19">
        <v>0</v>
      </c>
      <c r="P1243" s="13">
        <v>0</v>
      </c>
      <c r="Q1243" s="32"/>
      <c r="R1243" s="91">
        <v>1</v>
      </c>
      <c r="S1243" s="91" t="s">
        <v>278</v>
      </c>
    </row>
    <row r="1244" spans="1:19">
      <c r="A1244" s="42" t="s">
        <v>90</v>
      </c>
      <c r="B1244" s="48" t="s">
        <v>148</v>
      </c>
      <c r="C1244" s="32">
        <v>34</v>
      </c>
      <c r="D1244" s="32"/>
      <c r="E1244" s="48" t="s">
        <v>19</v>
      </c>
      <c r="F1244" s="48" t="s">
        <v>14</v>
      </c>
      <c r="G1244" s="48" t="s">
        <v>16</v>
      </c>
      <c r="H1244" s="11">
        <v>5.77</v>
      </c>
      <c r="I1244" s="52">
        <v>10.5</v>
      </c>
      <c r="J1244" s="7">
        <v>1</v>
      </c>
      <c r="K1244" s="10">
        <v>6.0584999999999993E-2</v>
      </c>
      <c r="L1244" s="32"/>
      <c r="M1244" s="32"/>
      <c r="N1244" s="18">
        <v>0</v>
      </c>
      <c r="O1244" s="19">
        <v>1</v>
      </c>
      <c r="P1244" s="13">
        <v>6.0584999999999993E-2</v>
      </c>
      <c r="Q1244" s="32"/>
      <c r="R1244" s="32"/>
      <c r="S1244" s="32"/>
    </row>
    <row r="1245" spans="1:19">
      <c r="A1245" s="42" t="s">
        <v>90</v>
      </c>
      <c r="B1245" s="48" t="s">
        <v>148</v>
      </c>
      <c r="C1245" s="32">
        <v>34</v>
      </c>
      <c r="D1245" s="32"/>
      <c r="E1245" s="48" t="s">
        <v>19</v>
      </c>
      <c r="F1245" s="48" t="s">
        <v>14</v>
      </c>
      <c r="G1245" s="48" t="s">
        <v>16</v>
      </c>
      <c r="H1245" s="11">
        <v>5.77</v>
      </c>
      <c r="I1245" s="52">
        <v>11</v>
      </c>
      <c r="J1245" s="7">
        <v>2</v>
      </c>
      <c r="K1245" s="10">
        <v>0.12694</v>
      </c>
      <c r="L1245" s="32"/>
      <c r="M1245" s="32"/>
      <c r="N1245" s="18">
        <v>0</v>
      </c>
      <c r="O1245" s="19">
        <v>2</v>
      </c>
      <c r="P1245" s="13">
        <v>0.12694</v>
      </c>
      <c r="Q1245" s="32"/>
      <c r="R1245" s="32"/>
      <c r="S1245" s="32"/>
    </row>
    <row r="1246" spans="1:19">
      <c r="O1246" s="6">
        <f>SUM(O1237:O1245)</f>
        <v>4</v>
      </c>
      <c r="R1246" s="6">
        <f>SUM(R1237:R1245)</f>
        <v>8</v>
      </c>
    </row>
    <row r="1248" spans="1:19">
      <c r="A1248" s="45" t="s">
        <v>136</v>
      </c>
      <c r="B1248" s="32" t="s">
        <v>137</v>
      </c>
      <c r="C1248" s="3">
        <v>39</v>
      </c>
      <c r="D1248" s="32"/>
      <c r="E1248" s="20" t="s">
        <v>19</v>
      </c>
      <c r="F1248" s="7" t="s">
        <v>14</v>
      </c>
      <c r="G1248" s="7" t="s">
        <v>16</v>
      </c>
      <c r="H1248" s="11">
        <v>5.77</v>
      </c>
      <c r="I1248" s="33">
        <v>8.9499999999999993</v>
      </c>
      <c r="J1248" s="40">
        <v>1</v>
      </c>
      <c r="K1248" s="10">
        <v>5.1641499999999993E-2</v>
      </c>
      <c r="L1248" s="4"/>
      <c r="M1248" s="17"/>
      <c r="N1248" s="18">
        <v>0</v>
      </c>
      <c r="O1248" s="19">
        <v>1</v>
      </c>
      <c r="P1248" s="13">
        <v>5.1641499999999993E-2</v>
      </c>
      <c r="Q1248" s="32"/>
      <c r="R1248" s="32"/>
      <c r="S1248" s="32"/>
    </row>
    <row r="1249" spans="1:22">
      <c r="A1249" s="45" t="s">
        <v>136</v>
      </c>
      <c r="B1249" s="32" t="s">
        <v>137</v>
      </c>
      <c r="C1249" s="3">
        <v>39</v>
      </c>
      <c r="D1249" s="32"/>
      <c r="E1249" s="20" t="s">
        <v>19</v>
      </c>
      <c r="F1249" s="7" t="s">
        <v>14</v>
      </c>
      <c r="G1249" s="7" t="s">
        <v>16</v>
      </c>
      <c r="H1249" s="11">
        <v>5.77</v>
      </c>
      <c r="I1249" s="33">
        <v>8.6</v>
      </c>
      <c r="J1249" s="40">
        <v>1</v>
      </c>
      <c r="K1249" s="10">
        <v>4.9621999999999993E-2</v>
      </c>
      <c r="L1249" s="4"/>
      <c r="M1249" s="17">
        <v>1</v>
      </c>
      <c r="N1249" s="18">
        <v>4.9621999999999993E-2</v>
      </c>
      <c r="O1249" s="19">
        <v>0</v>
      </c>
      <c r="P1249" s="13">
        <v>0</v>
      </c>
      <c r="Q1249" s="32"/>
      <c r="R1249" s="91">
        <v>1</v>
      </c>
      <c r="S1249" s="91" t="s">
        <v>278</v>
      </c>
    </row>
    <row r="1250" spans="1:22">
      <c r="A1250" s="45" t="s">
        <v>136</v>
      </c>
      <c r="B1250" s="48" t="s">
        <v>171</v>
      </c>
      <c r="C1250" s="32">
        <v>131</v>
      </c>
      <c r="D1250" s="32"/>
      <c r="E1250" s="48" t="s">
        <v>19</v>
      </c>
      <c r="F1250" s="48" t="s">
        <v>14</v>
      </c>
      <c r="G1250" s="48" t="s">
        <v>16</v>
      </c>
      <c r="H1250" s="11">
        <v>5.77</v>
      </c>
      <c r="I1250" s="52">
        <v>11.5</v>
      </c>
      <c r="J1250" s="7">
        <v>5</v>
      </c>
      <c r="K1250" s="10">
        <v>0.33177499999999999</v>
      </c>
      <c r="L1250" s="32"/>
      <c r="M1250" s="32"/>
      <c r="N1250" s="18">
        <v>0</v>
      </c>
      <c r="O1250" s="19">
        <v>5</v>
      </c>
      <c r="P1250" s="13">
        <v>0.33177499999999999</v>
      </c>
      <c r="Q1250" s="32"/>
      <c r="R1250" s="111"/>
      <c r="S1250" s="111"/>
    </row>
    <row r="1251" spans="1:22">
      <c r="A1251" s="45" t="s">
        <v>136</v>
      </c>
      <c r="B1251" s="48" t="s">
        <v>171</v>
      </c>
      <c r="C1251" s="32">
        <v>131</v>
      </c>
      <c r="D1251" s="32"/>
      <c r="E1251" s="48" t="s">
        <v>19</v>
      </c>
      <c r="F1251" s="48" t="s">
        <v>14</v>
      </c>
      <c r="G1251" s="48" t="s">
        <v>16</v>
      </c>
      <c r="H1251" s="11">
        <v>5.77</v>
      </c>
      <c r="I1251" s="52">
        <v>10.5</v>
      </c>
      <c r="J1251" s="7">
        <v>2</v>
      </c>
      <c r="K1251" s="10">
        <v>0.12116999999999999</v>
      </c>
      <c r="L1251" s="32"/>
      <c r="M1251" s="32">
        <v>2</v>
      </c>
      <c r="N1251" s="18">
        <v>0.12116999999999999</v>
      </c>
      <c r="O1251" s="19">
        <v>0</v>
      </c>
      <c r="P1251" s="13">
        <v>0</v>
      </c>
      <c r="Q1251" s="32"/>
      <c r="R1251" s="91">
        <v>2</v>
      </c>
      <c r="S1251" s="91" t="s">
        <v>278</v>
      </c>
    </row>
    <row r="1252" spans="1:22">
      <c r="A1252" s="45" t="s">
        <v>136</v>
      </c>
      <c r="B1252" s="48" t="s">
        <v>171</v>
      </c>
      <c r="C1252" s="32">
        <v>131</v>
      </c>
      <c r="D1252" s="32"/>
      <c r="E1252" s="48" t="s">
        <v>19</v>
      </c>
      <c r="F1252" s="48" t="s">
        <v>14</v>
      </c>
      <c r="G1252" s="48" t="s">
        <v>16</v>
      </c>
      <c r="H1252" s="11">
        <v>5.77</v>
      </c>
      <c r="I1252" s="52">
        <v>10</v>
      </c>
      <c r="J1252" s="7">
        <v>1</v>
      </c>
      <c r="K1252" s="10">
        <v>5.7699999999999994E-2</v>
      </c>
      <c r="L1252" s="32"/>
      <c r="M1252" s="32">
        <v>1</v>
      </c>
      <c r="N1252" s="18">
        <v>5.7699999999999994E-2</v>
      </c>
      <c r="O1252" s="19">
        <v>0</v>
      </c>
      <c r="P1252" s="13">
        <v>0</v>
      </c>
      <c r="Q1252" s="32"/>
      <c r="R1252" s="91">
        <v>1</v>
      </c>
      <c r="S1252" s="91" t="s">
        <v>278</v>
      </c>
    </row>
    <row r="1253" spans="1:22">
      <c r="A1253" s="45" t="s">
        <v>136</v>
      </c>
      <c r="B1253" s="48" t="s">
        <v>171</v>
      </c>
      <c r="C1253" s="32">
        <v>131</v>
      </c>
      <c r="D1253" s="32"/>
      <c r="E1253" s="48" t="s">
        <v>19</v>
      </c>
      <c r="F1253" s="48" t="s">
        <v>14</v>
      </c>
      <c r="G1253" s="48" t="s">
        <v>16</v>
      </c>
      <c r="H1253" s="11">
        <v>5.77</v>
      </c>
      <c r="I1253" s="52">
        <v>9.6999999999999993</v>
      </c>
      <c r="J1253" s="7">
        <v>1</v>
      </c>
      <c r="K1253" s="10">
        <v>5.5968999999999991E-2</v>
      </c>
      <c r="L1253" s="32"/>
      <c r="M1253" s="32">
        <v>1</v>
      </c>
      <c r="N1253" s="18">
        <v>5.5968999999999991E-2</v>
      </c>
      <c r="O1253" s="19">
        <v>0</v>
      </c>
      <c r="P1253" s="13">
        <v>0</v>
      </c>
      <c r="Q1253" s="32"/>
      <c r="R1253" s="91">
        <v>1</v>
      </c>
      <c r="S1253" s="91" t="s">
        <v>278</v>
      </c>
    </row>
    <row r="1254" spans="1:22">
      <c r="A1254" s="45" t="s">
        <v>136</v>
      </c>
      <c r="B1254" s="48" t="s">
        <v>171</v>
      </c>
      <c r="C1254" s="32">
        <v>131</v>
      </c>
      <c r="D1254" s="32"/>
      <c r="E1254" s="48" t="s">
        <v>19</v>
      </c>
      <c r="F1254" s="48" t="s">
        <v>14</v>
      </c>
      <c r="G1254" s="48" t="s">
        <v>16</v>
      </c>
      <c r="H1254" s="11">
        <v>5.77</v>
      </c>
      <c r="I1254" s="52">
        <v>9.5</v>
      </c>
      <c r="J1254" s="7">
        <v>3</v>
      </c>
      <c r="K1254" s="10">
        <v>0.16444499999999998</v>
      </c>
      <c r="L1254" s="32"/>
      <c r="M1254" s="32">
        <v>3</v>
      </c>
      <c r="N1254" s="18">
        <v>0.16444499999999998</v>
      </c>
      <c r="O1254" s="19">
        <v>0</v>
      </c>
      <c r="P1254" s="13">
        <v>0</v>
      </c>
      <c r="Q1254" s="32"/>
      <c r="R1254" s="91">
        <v>3</v>
      </c>
      <c r="S1254" s="91" t="s">
        <v>278</v>
      </c>
    </row>
    <row r="1255" spans="1:22">
      <c r="A1255" s="45" t="s">
        <v>136</v>
      </c>
      <c r="B1255" s="48" t="s">
        <v>171</v>
      </c>
      <c r="C1255" s="32">
        <v>131</v>
      </c>
      <c r="D1255" s="32"/>
      <c r="E1255" s="48" t="s">
        <v>19</v>
      </c>
      <c r="F1255" s="48" t="s">
        <v>14</v>
      </c>
      <c r="G1255" s="48" t="s">
        <v>16</v>
      </c>
      <c r="H1255" s="11">
        <v>5.77</v>
      </c>
      <c r="I1255" s="52">
        <v>7.8</v>
      </c>
      <c r="J1255" s="7">
        <v>2</v>
      </c>
      <c r="K1255" s="10">
        <v>9.0011999999999981E-2</v>
      </c>
      <c r="L1255" s="32"/>
      <c r="M1255" s="32">
        <v>2</v>
      </c>
      <c r="N1255" s="18">
        <v>9.0011999999999981E-2</v>
      </c>
      <c r="O1255" s="19">
        <v>0</v>
      </c>
      <c r="P1255" s="13">
        <v>0</v>
      </c>
      <c r="Q1255" s="32"/>
      <c r="R1255" s="91">
        <v>2</v>
      </c>
      <c r="S1255" s="91" t="s">
        <v>278</v>
      </c>
    </row>
    <row r="1256" spans="1:22">
      <c r="O1256" s="78">
        <f>SUM(O1248:O1255)</f>
        <v>6</v>
      </c>
      <c r="R1256" s="6">
        <f>SUM(R1249:R1255)</f>
        <v>10</v>
      </c>
    </row>
    <row r="1258" spans="1:22">
      <c r="A1258" s="42" t="s">
        <v>90</v>
      </c>
      <c r="B1258" s="48" t="s">
        <v>148</v>
      </c>
      <c r="C1258" s="32">
        <v>35</v>
      </c>
      <c r="D1258" s="32"/>
      <c r="E1258" s="48" t="s">
        <v>19</v>
      </c>
      <c r="F1258" s="48" t="s">
        <v>14</v>
      </c>
      <c r="G1258" s="48" t="s">
        <v>18</v>
      </c>
      <c r="H1258" s="11">
        <v>6.86</v>
      </c>
      <c r="I1258" s="52">
        <v>10</v>
      </c>
      <c r="J1258" s="7">
        <v>7</v>
      </c>
      <c r="K1258" s="10">
        <v>0.48020000000000007</v>
      </c>
      <c r="L1258" s="32"/>
      <c r="M1258" s="32">
        <v>7</v>
      </c>
      <c r="N1258" s="18">
        <v>0.48020000000000007</v>
      </c>
      <c r="O1258" s="19">
        <v>0</v>
      </c>
      <c r="P1258" s="13">
        <v>0</v>
      </c>
      <c r="Q1258" s="32"/>
      <c r="R1258" s="72">
        <v>7</v>
      </c>
      <c r="S1258" s="72" t="s">
        <v>278</v>
      </c>
    </row>
    <row r="1259" spans="1:22">
      <c r="A1259" s="47" t="s">
        <v>147</v>
      </c>
      <c r="B1259" s="48" t="s">
        <v>148</v>
      </c>
      <c r="C1259" s="32">
        <v>361</v>
      </c>
      <c r="D1259" s="32"/>
      <c r="E1259" s="48" t="s">
        <v>19</v>
      </c>
      <c r="F1259" s="48" t="s">
        <v>14</v>
      </c>
      <c r="G1259" s="48" t="s">
        <v>18</v>
      </c>
      <c r="H1259" s="11">
        <v>6.86</v>
      </c>
      <c r="I1259" s="52">
        <v>11.7</v>
      </c>
      <c r="J1259" s="7">
        <v>1</v>
      </c>
      <c r="K1259" s="10">
        <v>8.0262E-2</v>
      </c>
      <c r="L1259" s="32"/>
      <c r="M1259" s="32">
        <v>1</v>
      </c>
      <c r="N1259" s="18">
        <v>8.0262E-2</v>
      </c>
      <c r="O1259" s="19">
        <v>0</v>
      </c>
      <c r="P1259" s="13">
        <v>0</v>
      </c>
      <c r="Q1259" s="32"/>
      <c r="R1259" s="72">
        <v>1</v>
      </c>
      <c r="S1259" s="72" t="s">
        <v>278</v>
      </c>
    </row>
    <row r="1260" spans="1:22">
      <c r="A1260" s="47" t="s">
        <v>147</v>
      </c>
      <c r="B1260" s="48" t="s">
        <v>148</v>
      </c>
      <c r="C1260" s="32">
        <v>361</v>
      </c>
      <c r="D1260" s="32"/>
      <c r="E1260" s="48" t="s">
        <v>19</v>
      </c>
      <c r="F1260" s="48" t="s">
        <v>14</v>
      </c>
      <c r="G1260" s="48" t="s">
        <v>18</v>
      </c>
      <c r="H1260" s="11">
        <v>6.86</v>
      </c>
      <c r="I1260" s="52">
        <v>10.5</v>
      </c>
      <c r="J1260" s="7">
        <v>1</v>
      </c>
      <c r="K1260" s="10">
        <v>7.2029999999999997E-2</v>
      </c>
      <c r="L1260" s="32"/>
      <c r="M1260" s="32"/>
      <c r="N1260" s="18">
        <v>0</v>
      </c>
      <c r="O1260" s="19">
        <v>1</v>
      </c>
      <c r="P1260" s="13">
        <v>7.2029999999999997E-2</v>
      </c>
      <c r="Q1260" s="32"/>
      <c r="R1260" s="32"/>
      <c r="S1260" s="32"/>
    </row>
    <row r="1261" spans="1:22">
      <c r="A1261" s="47" t="s">
        <v>147</v>
      </c>
      <c r="B1261" s="48" t="s">
        <v>148</v>
      </c>
      <c r="C1261" s="32">
        <v>361</v>
      </c>
      <c r="D1261" s="32"/>
      <c r="E1261" s="48" t="s">
        <v>19</v>
      </c>
      <c r="F1261" s="48" t="s">
        <v>14</v>
      </c>
      <c r="G1261" s="48" t="s">
        <v>18</v>
      </c>
      <c r="H1261" s="11">
        <v>6.86</v>
      </c>
      <c r="I1261" s="52">
        <v>10</v>
      </c>
      <c r="J1261" s="7">
        <v>1</v>
      </c>
      <c r="K1261" s="10">
        <v>6.8600000000000008E-2</v>
      </c>
      <c r="L1261" s="32"/>
      <c r="M1261" s="32"/>
      <c r="N1261" s="18">
        <v>0</v>
      </c>
      <c r="O1261" s="19">
        <v>1</v>
      </c>
      <c r="P1261" s="13">
        <v>6.8600000000000008E-2</v>
      </c>
      <c r="Q1261" s="32"/>
      <c r="R1261" s="32"/>
      <c r="S1261" s="32"/>
    </row>
    <row r="1264" spans="1:22">
      <c r="A1264" s="42" t="s">
        <v>77</v>
      </c>
      <c r="B1264" s="3" t="s">
        <v>68</v>
      </c>
      <c r="C1264" s="3">
        <v>421</v>
      </c>
      <c r="D1264" s="1"/>
      <c r="E1264" s="20" t="s">
        <v>24</v>
      </c>
      <c r="F1264" s="7" t="s">
        <v>14</v>
      </c>
      <c r="G1264" s="7" t="s">
        <v>27</v>
      </c>
      <c r="H1264" s="11">
        <v>6.17</v>
      </c>
      <c r="I1264" s="8">
        <v>11</v>
      </c>
      <c r="J1264" s="26">
        <v>32</v>
      </c>
      <c r="K1264" s="10">
        <v>2.17184</v>
      </c>
      <c r="L1264" s="4"/>
      <c r="M1264" s="17">
        <v>32</v>
      </c>
      <c r="N1264" s="18">
        <v>2.17184</v>
      </c>
      <c r="O1264" s="19">
        <v>0</v>
      </c>
      <c r="P1264" s="13">
        <v>0</v>
      </c>
      <c r="Q1264" s="9"/>
      <c r="R1264" s="2"/>
      <c r="S1264" s="2"/>
      <c r="T1264" s="77">
        <v>11</v>
      </c>
      <c r="U1264" s="77">
        <v>5</v>
      </c>
      <c r="V1264" s="74" t="s">
        <v>278</v>
      </c>
    </row>
    <row r="1265" spans="1:22">
      <c r="A1265" s="42" t="s">
        <v>77</v>
      </c>
      <c r="B1265" s="3" t="s">
        <v>68</v>
      </c>
      <c r="C1265" s="3">
        <v>421</v>
      </c>
      <c r="D1265" s="1"/>
      <c r="E1265" s="20" t="s">
        <v>24</v>
      </c>
      <c r="F1265" s="7" t="s">
        <v>14</v>
      </c>
      <c r="G1265" s="7" t="s">
        <v>27</v>
      </c>
      <c r="H1265" s="11">
        <v>6.17</v>
      </c>
      <c r="I1265" s="8">
        <v>12</v>
      </c>
      <c r="J1265" s="26">
        <v>29</v>
      </c>
      <c r="K1265" s="10">
        <v>2.14716</v>
      </c>
      <c r="L1265" s="4"/>
      <c r="M1265" s="17">
        <v>25</v>
      </c>
      <c r="N1265" s="18">
        <v>1.851</v>
      </c>
      <c r="O1265" s="19">
        <v>4</v>
      </c>
      <c r="P1265" s="13">
        <v>0.29615999999999998</v>
      </c>
      <c r="Q1265" s="9"/>
      <c r="R1265" s="2"/>
      <c r="S1265" s="2"/>
      <c r="V1265" s="2"/>
    </row>
    <row r="1266" spans="1:22">
      <c r="A1266" s="42" t="s">
        <v>77</v>
      </c>
      <c r="B1266" s="3" t="s">
        <v>68</v>
      </c>
      <c r="C1266" s="3">
        <v>424</v>
      </c>
      <c r="D1266" s="1"/>
      <c r="E1266" s="20" t="s">
        <v>24</v>
      </c>
      <c r="F1266" s="7" t="s">
        <v>14</v>
      </c>
      <c r="G1266" s="7" t="s">
        <v>27</v>
      </c>
      <c r="H1266" s="11">
        <v>6.17</v>
      </c>
      <c r="I1266" s="8">
        <v>7.5</v>
      </c>
      <c r="J1266" s="26">
        <v>7</v>
      </c>
      <c r="K1266" s="10">
        <v>0.32392500000000002</v>
      </c>
      <c r="L1266" s="4"/>
      <c r="M1266" s="17">
        <v>5</v>
      </c>
      <c r="N1266" s="18">
        <v>0.231375</v>
      </c>
      <c r="O1266" s="19">
        <v>2</v>
      </c>
      <c r="P1266" s="13">
        <v>9.2549999999999993E-2</v>
      </c>
      <c r="Q1266" s="9"/>
      <c r="R1266" s="2"/>
      <c r="S1266" s="2"/>
      <c r="T1266" s="77">
        <v>7.5</v>
      </c>
      <c r="U1266" s="77">
        <v>2</v>
      </c>
      <c r="V1266" s="74" t="s">
        <v>278</v>
      </c>
    </row>
    <row r="1267" spans="1:22">
      <c r="A1267" s="42" t="s">
        <v>77</v>
      </c>
      <c r="B1267" s="3" t="s">
        <v>68</v>
      </c>
      <c r="C1267" s="3">
        <v>424</v>
      </c>
      <c r="D1267" s="1"/>
      <c r="E1267" s="20" t="s">
        <v>24</v>
      </c>
      <c r="F1267" s="7" t="s">
        <v>14</v>
      </c>
      <c r="G1267" s="7" t="s">
        <v>27</v>
      </c>
      <c r="H1267" s="11">
        <v>6.17</v>
      </c>
      <c r="I1267" s="8">
        <v>10</v>
      </c>
      <c r="J1267" s="26">
        <v>17</v>
      </c>
      <c r="K1267" s="10">
        <v>1.0489000000000002</v>
      </c>
      <c r="L1267" s="4"/>
      <c r="M1267" s="17">
        <v>16</v>
      </c>
      <c r="N1267" s="18">
        <v>0.98720000000000008</v>
      </c>
      <c r="O1267" s="19">
        <v>1</v>
      </c>
      <c r="P1267" s="13">
        <v>6.1700000000000005E-2</v>
      </c>
      <c r="Q1267" s="9"/>
      <c r="R1267" s="2"/>
      <c r="S1267" s="2"/>
    </row>
    <row r="1268" spans="1:22">
      <c r="A1268" s="42"/>
      <c r="B1268" s="3"/>
      <c r="C1268" s="3"/>
      <c r="D1268" s="1"/>
      <c r="E1268" s="20" t="s">
        <v>24</v>
      </c>
      <c r="F1268" s="7" t="s">
        <v>14</v>
      </c>
      <c r="G1268" s="7" t="s">
        <v>27</v>
      </c>
      <c r="H1268" s="11">
        <v>6.17</v>
      </c>
      <c r="I1268" s="8">
        <v>6.7</v>
      </c>
      <c r="J1268" s="26">
        <v>34</v>
      </c>
      <c r="K1268" s="10">
        <v>1.4055259999999998</v>
      </c>
      <c r="L1268" s="4"/>
      <c r="M1268" s="17">
        <v>33</v>
      </c>
      <c r="N1268" s="18">
        <v>1.3641869999999998</v>
      </c>
      <c r="O1268" s="19">
        <v>1</v>
      </c>
      <c r="P1268" s="13">
        <v>4.1339000000000001E-2</v>
      </c>
      <c r="Q1268" s="9"/>
      <c r="R1268" s="2"/>
      <c r="S1268" s="2"/>
    </row>
    <row r="1269" spans="1:22">
      <c r="A1269" s="42" t="s">
        <v>78</v>
      </c>
      <c r="B1269" s="3" t="s">
        <v>79</v>
      </c>
      <c r="C1269" s="3"/>
      <c r="D1269" s="1"/>
      <c r="E1269" s="20" t="s">
        <v>24</v>
      </c>
      <c r="F1269" s="7" t="s">
        <v>14</v>
      </c>
      <c r="G1269" s="7" t="s">
        <v>27</v>
      </c>
      <c r="H1269" s="11">
        <v>6.17</v>
      </c>
      <c r="I1269" s="8">
        <v>5.7</v>
      </c>
      <c r="J1269" s="26">
        <v>1</v>
      </c>
      <c r="K1269" s="10">
        <v>3.5169000000000006E-2</v>
      </c>
      <c r="L1269" s="4"/>
      <c r="M1269" s="17">
        <v>1</v>
      </c>
      <c r="N1269" s="18">
        <v>3.5169000000000006E-2</v>
      </c>
      <c r="O1269" s="19">
        <v>0</v>
      </c>
      <c r="P1269" s="13">
        <v>0</v>
      </c>
      <c r="Q1269" s="9"/>
      <c r="R1269" s="74">
        <v>1</v>
      </c>
      <c r="S1269" s="74" t="s">
        <v>278</v>
      </c>
    </row>
    <row r="1270" spans="1:22">
      <c r="A1270" s="42" t="s">
        <v>78</v>
      </c>
      <c r="B1270" s="3" t="s">
        <v>79</v>
      </c>
      <c r="C1270" s="3"/>
      <c r="D1270" s="1"/>
      <c r="E1270" s="20" t="s">
        <v>24</v>
      </c>
      <c r="F1270" s="7" t="s">
        <v>14</v>
      </c>
      <c r="G1270" s="7" t="s">
        <v>27</v>
      </c>
      <c r="H1270" s="11">
        <v>6.17</v>
      </c>
      <c r="I1270" s="8">
        <v>7.8</v>
      </c>
      <c r="J1270" s="26">
        <v>2</v>
      </c>
      <c r="K1270" s="10">
        <v>9.625199999999999E-2</v>
      </c>
      <c r="L1270" s="4"/>
      <c r="M1270" s="17">
        <v>2</v>
      </c>
      <c r="N1270" s="18">
        <v>9.625199999999999E-2</v>
      </c>
      <c r="O1270" s="19">
        <v>0</v>
      </c>
      <c r="P1270" s="13">
        <v>0</v>
      </c>
      <c r="Q1270" s="9"/>
      <c r="R1270" s="74">
        <v>2</v>
      </c>
      <c r="S1270" s="74" t="s">
        <v>278</v>
      </c>
    </row>
    <row r="1271" spans="1:22">
      <c r="A1271" s="42" t="s">
        <v>78</v>
      </c>
      <c r="B1271" s="3" t="s">
        <v>79</v>
      </c>
      <c r="C1271" s="3"/>
      <c r="D1271" s="1"/>
      <c r="E1271" s="20" t="s">
        <v>24</v>
      </c>
      <c r="F1271" s="7" t="s">
        <v>14</v>
      </c>
      <c r="G1271" s="7" t="s">
        <v>27</v>
      </c>
      <c r="H1271" s="11">
        <v>6.17</v>
      </c>
      <c r="I1271" s="8">
        <v>10.5</v>
      </c>
      <c r="J1271" s="26">
        <v>1</v>
      </c>
      <c r="K1271" s="10">
        <v>6.4784999999999995E-2</v>
      </c>
      <c r="L1271" s="4"/>
      <c r="M1271" s="17">
        <v>1</v>
      </c>
      <c r="N1271" s="18">
        <v>6.4784999999999995E-2</v>
      </c>
      <c r="O1271" s="19">
        <v>0</v>
      </c>
      <c r="P1271" s="13">
        <v>0</v>
      </c>
      <c r="Q1271" s="9"/>
      <c r="R1271" s="74">
        <v>1</v>
      </c>
      <c r="S1271" s="74" t="s">
        <v>278</v>
      </c>
    </row>
    <row r="1272" spans="1:22">
      <c r="A1272" s="42" t="s">
        <v>78</v>
      </c>
      <c r="B1272" s="3" t="s">
        <v>79</v>
      </c>
      <c r="C1272" s="3"/>
      <c r="D1272" s="1"/>
      <c r="E1272" s="20" t="s">
        <v>24</v>
      </c>
      <c r="F1272" s="7" t="s">
        <v>14</v>
      </c>
      <c r="G1272" s="7" t="s">
        <v>27</v>
      </c>
      <c r="H1272" s="11">
        <v>6.17</v>
      </c>
      <c r="I1272" s="8">
        <v>11.5</v>
      </c>
      <c r="J1272" s="26">
        <v>1</v>
      </c>
      <c r="K1272" s="10">
        <v>7.0955000000000004E-2</v>
      </c>
      <c r="L1272" s="4"/>
      <c r="M1272" s="17">
        <v>1</v>
      </c>
      <c r="N1272" s="18">
        <v>7.0955000000000004E-2</v>
      </c>
      <c r="O1272" s="19">
        <v>0</v>
      </c>
      <c r="P1272" s="13">
        <v>0</v>
      </c>
      <c r="Q1272" s="9"/>
      <c r="R1272" s="74">
        <v>1</v>
      </c>
      <c r="S1272" s="74" t="s">
        <v>278</v>
      </c>
    </row>
    <row r="1273" spans="1:22">
      <c r="A1273" s="42" t="s">
        <v>78</v>
      </c>
      <c r="B1273" s="3"/>
      <c r="C1273" s="3">
        <v>2</v>
      </c>
      <c r="D1273" s="1"/>
      <c r="E1273" s="20" t="s">
        <v>24</v>
      </c>
      <c r="F1273" s="7" t="s">
        <v>14</v>
      </c>
      <c r="G1273" s="7" t="s">
        <v>27</v>
      </c>
      <c r="H1273" s="11">
        <v>6.17</v>
      </c>
      <c r="I1273" s="8">
        <v>7.5</v>
      </c>
      <c r="J1273" s="26">
        <v>2</v>
      </c>
      <c r="K1273" s="10">
        <v>9.2549999999999993E-2</v>
      </c>
      <c r="L1273" s="4"/>
      <c r="M1273" s="17">
        <v>2</v>
      </c>
      <c r="N1273" s="18">
        <v>9.2549999999999993E-2</v>
      </c>
      <c r="O1273" s="19">
        <v>0</v>
      </c>
      <c r="P1273" s="13">
        <v>0</v>
      </c>
      <c r="Q1273" s="9"/>
      <c r="R1273" s="74">
        <v>2</v>
      </c>
      <c r="S1273" s="74" t="s">
        <v>278</v>
      </c>
    </row>
    <row r="1274" spans="1:22">
      <c r="A1274" s="42" t="s">
        <v>78</v>
      </c>
      <c r="B1274" s="3"/>
      <c r="C1274" s="3">
        <v>2</v>
      </c>
      <c r="D1274" s="1"/>
      <c r="E1274" s="20" t="s">
        <v>24</v>
      </c>
      <c r="F1274" s="7" t="s">
        <v>14</v>
      </c>
      <c r="G1274" s="7" t="s">
        <v>27</v>
      </c>
      <c r="H1274" s="11">
        <v>6.17</v>
      </c>
      <c r="I1274" s="8">
        <v>8.6</v>
      </c>
      <c r="J1274" s="26">
        <v>5</v>
      </c>
      <c r="K1274" s="10">
        <v>0.26530999999999999</v>
      </c>
      <c r="L1274" s="4"/>
      <c r="M1274" s="17">
        <v>5</v>
      </c>
      <c r="N1274" s="18">
        <v>0.26530999999999999</v>
      </c>
      <c r="O1274" s="19">
        <v>0</v>
      </c>
      <c r="P1274" s="13">
        <v>0</v>
      </c>
      <c r="Q1274" s="9"/>
      <c r="R1274" s="74">
        <v>5</v>
      </c>
      <c r="S1274" s="74" t="s">
        <v>278</v>
      </c>
    </row>
    <row r="1275" spans="1:22">
      <c r="A1275" s="42" t="s">
        <v>78</v>
      </c>
      <c r="B1275" s="3"/>
      <c r="C1275" s="3">
        <v>3</v>
      </c>
      <c r="D1275" s="1"/>
      <c r="E1275" s="20" t="s">
        <v>24</v>
      </c>
      <c r="F1275" s="7" t="s">
        <v>14</v>
      </c>
      <c r="G1275" s="7" t="s">
        <v>27</v>
      </c>
      <c r="H1275" s="11">
        <v>6.17</v>
      </c>
      <c r="I1275" s="8">
        <v>8.6</v>
      </c>
      <c r="J1275" s="26">
        <v>1</v>
      </c>
      <c r="K1275" s="10">
        <v>5.3061999999999998E-2</v>
      </c>
      <c r="L1275" s="4"/>
      <c r="M1275" s="17">
        <v>1</v>
      </c>
      <c r="N1275" s="18">
        <v>5.3061999999999998E-2</v>
      </c>
      <c r="O1275" s="19">
        <v>0</v>
      </c>
      <c r="P1275" s="13">
        <v>0</v>
      </c>
      <c r="Q1275" s="9"/>
      <c r="R1275" s="74">
        <v>1</v>
      </c>
      <c r="S1275" s="74" t="s">
        <v>278</v>
      </c>
    </row>
    <row r="1276" spans="1:22">
      <c r="A1276" s="42" t="s">
        <v>78</v>
      </c>
      <c r="B1276" s="3"/>
      <c r="C1276" s="3">
        <v>3</v>
      </c>
      <c r="D1276" s="1"/>
      <c r="E1276" s="20" t="s">
        <v>24</v>
      </c>
      <c r="F1276" s="7" t="s">
        <v>14</v>
      </c>
      <c r="G1276" s="7" t="s">
        <v>27</v>
      </c>
      <c r="H1276" s="11">
        <v>6.17</v>
      </c>
      <c r="I1276" s="8">
        <v>9</v>
      </c>
      <c r="J1276" s="26">
        <v>3</v>
      </c>
      <c r="K1276" s="10">
        <v>0.16659000000000002</v>
      </c>
      <c r="L1276" s="4"/>
      <c r="M1276" s="17">
        <v>3</v>
      </c>
      <c r="N1276" s="18">
        <v>0.16659000000000002</v>
      </c>
      <c r="O1276" s="19">
        <v>0</v>
      </c>
      <c r="P1276" s="13">
        <v>0</v>
      </c>
      <c r="Q1276" s="9"/>
      <c r="R1276" s="74">
        <v>3</v>
      </c>
      <c r="S1276" s="74" t="s">
        <v>278</v>
      </c>
    </row>
    <row r="1277" spans="1:22">
      <c r="A1277" s="42" t="s">
        <v>90</v>
      </c>
      <c r="B1277" s="48" t="s">
        <v>148</v>
      </c>
      <c r="C1277" s="32">
        <v>58</v>
      </c>
      <c r="D1277" s="32"/>
      <c r="E1277" s="48" t="s">
        <v>19</v>
      </c>
      <c r="F1277" s="48" t="s">
        <v>14</v>
      </c>
      <c r="G1277" s="48" t="s">
        <v>27</v>
      </c>
      <c r="H1277" s="11">
        <v>6.17</v>
      </c>
      <c r="I1277" s="52">
        <v>10</v>
      </c>
      <c r="J1277" s="7">
        <v>1</v>
      </c>
      <c r="K1277" s="10">
        <v>6.1700000000000005E-2</v>
      </c>
      <c r="L1277" s="32"/>
      <c r="M1277" s="32"/>
      <c r="N1277" s="18">
        <v>0</v>
      </c>
      <c r="O1277" s="19">
        <v>1</v>
      </c>
      <c r="P1277" s="13">
        <v>6.1700000000000005E-2</v>
      </c>
      <c r="Q1277" s="32"/>
      <c r="R1277" s="32"/>
      <c r="S1277" s="32"/>
    </row>
    <row r="1278" spans="1:22">
      <c r="A1278" s="42" t="s">
        <v>90</v>
      </c>
      <c r="B1278" s="48" t="s">
        <v>148</v>
      </c>
      <c r="C1278" s="32">
        <v>89</v>
      </c>
      <c r="D1278" s="32"/>
      <c r="E1278" s="48" t="s">
        <v>19</v>
      </c>
      <c r="F1278" s="48" t="s">
        <v>14</v>
      </c>
      <c r="G1278" s="48" t="s">
        <v>27</v>
      </c>
      <c r="H1278" s="11">
        <v>6.17</v>
      </c>
      <c r="I1278" s="52">
        <v>11.5</v>
      </c>
      <c r="J1278" s="7">
        <v>1</v>
      </c>
      <c r="K1278" s="10">
        <v>7.0955000000000004E-2</v>
      </c>
      <c r="L1278" s="32"/>
      <c r="M1278" s="32"/>
      <c r="N1278" s="18">
        <v>0</v>
      </c>
      <c r="O1278" s="19">
        <v>1</v>
      </c>
      <c r="P1278" s="13">
        <v>7.0955000000000004E-2</v>
      </c>
      <c r="Q1278" s="32"/>
      <c r="R1278" s="32"/>
      <c r="S1278" s="32"/>
    </row>
    <row r="1279" spans="1:22">
      <c r="A1279" s="42" t="s">
        <v>90</v>
      </c>
      <c r="B1279" s="48" t="s">
        <v>148</v>
      </c>
      <c r="C1279" s="32">
        <v>89</v>
      </c>
      <c r="D1279" s="32"/>
      <c r="E1279" s="48" t="s">
        <v>19</v>
      </c>
      <c r="F1279" s="48" t="s">
        <v>14</v>
      </c>
      <c r="G1279" s="48" t="s">
        <v>27</v>
      </c>
      <c r="H1279" s="11">
        <v>6.17</v>
      </c>
      <c r="I1279" s="52">
        <v>11.3</v>
      </c>
      <c r="J1279" s="7">
        <v>1</v>
      </c>
      <c r="K1279" s="10">
        <v>6.9721000000000005E-2</v>
      </c>
      <c r="L1279" s="32"/>
      <c r="M1279" s="32"/>
      <c r="N1279" s="18">
        <v>0</v>
      </c>
      <c r="O1279" s="19">
        <v>1</v>
      </c>
      <c r="P1279" s="13">
        <v>6.9721000000000005E-2</v>
      </c>
      <c r="Q1279" s="32"/>
      <c r="R1279" s="32"/>
      <c r="S1279" s="32"/>
    </row>
    <row r="1280" spans="1:22">
      <c r="A1280" s="47" t="s">
        <v>147</v>
      </c>
      <c r="B1280" s="48" t="s">
        <v>148</v>
      </c>
      <c r="C1280" s="32">
        <v>279</v>
      </c>
      <c r="D1280" s="32"/>
      <c r="E1280" s="48" t="s">
        <v>19</v>
      </c>
      <c r="F1280" s="48" t="s">
        <v>14</v>
      </c>
      <c r="G1280" s="48" t="s">
        <v>27</v>
      </c>
      <c r="H1280" s="11">
        <v>6.17</v>
      </c>
      <c r="I1280" s="52">
        <v>6.25</v>
      </c>
      <c r="J1280" s="7">
        <v>1</v>
      </c>
      <c r="K1280" s="10">
        <v>3.85625E-2</v>
      </c>
      <c r="L1280" s="32"/>
      <c r="M1280" s="32"/>
      <c r="N1280" s="18">
        <v>0</v>
      </c>
      <c r="O1280" s="19">
        <v>1</v>
      </c>
      <c r="P1280" s="13">
        <v>3.85625E-2</v>
      </c>
      <c r="Q1280" s="32"/>
      <c r="R1280" s="32"/>
      <c r="S1280" s="32"/>
    </row>
    <row r="1281" spans="1:21">
      <c r="A1281" s="47" t="s">
        <v>147</v>
      </c>
      <c r="B1281" s="48" t="s">
        <v>148</v>
      </c>
      <c r="C1281" s="32">
        <v>279</v>
      </c>
      <c r="D1281" s="32"/>
      <c r="E1281" s="48" t="s">
        <v>19</v>
      </c>
      <c r="F1281" s="48" t="s">
        <v>14</v>
      </c>
      <c r="G1281" s="48" t="s">
        <v>27</v>
      </c>
      <c r="H1281" s="11">
        <v>6.17</v>
      </c>
      <c r="I1281" s="52">
        <v>10.5</v>
      </c>
      <c r="J1281" s="7">
        <v>1</v>
      </c>
      <c r="K1281" s="10">
        <v>6.4784999999999995E-2</v>
      </c>
      <c r="L1281" s="32"/>
      <c r="M1281" s="32"/>
      <c r="N1281" s="18">
        <v>0</v>
      </c>
      <c r="O1281" s="19">
        <v>1</v>
      </c>
      <c r="P1281" s="13">
        <v>6.4784999999999995E-2</v>
      </c>
      <c r="Q1281" s="32"/>
      <c r="R1281" s="32"/>
      <c r="S1281" s="32"/>
    </row>
    <row r="1282" spans="1:21">
      <c r="O1282" s="6">
        <f>SUM(O1264:O1281)</f>
        <v>13</v>
      </c>
      <c r="R1282" s="6">
        <f>SUM(R1264:R1281)</f>
        <v>16</v>
      </c>
      <c r="U1282" s="6">
        <f>SUM(U1264:U1281)</f>
        <v>7</v>
      </c>
    </row>
    <row r="1284" spans="1:21">
      <c r="A1284" s="42" t="s">
        <v>84</v>
      </c>
      <c r="B1284" s="3" t="s">
        <v>124</v>
      </c>
      <c r="C1284" s="3">
        <v>1</v>
      </c>
      <c r="D1284" s="1"/>
      <c r="E1284" s="20" t="s">
        <v>19</v>
      </c>
      <c r="F1284" s="7" t="s">
        <v>14</v>
      </c>
      <c r="G1284" s="7" t="s">
        <v>25</v>
      </c>
      <c r="H1284" s="11">
        <v>7.34</v>
      </c>
      <c r="I1284" s="8">
        <v>11.5</v>
      </c>
      <c r="J1284" s="26">
        <v>2</v>
      </c>
      <c r="K1284" s="10">
        <v>0.16882</v>
      </c>
      <c r="L1284" s="4"/>
      <c r="M1284" s="17"/>
      <c r="N1284" s="18">
        <v>0</v>
      </c>
      <c r="O1284" s="19">
        <v>2</v>
      </c>
      <c r="P1284" s="13">
        <v>0.16882</v>
      </c>
      <c r="Q1284" s="9"/>
      <c r="R1284" s="2"/>
      <c r="S1284" s="2"/>
    </row>
    <row r="1285" spans="1:21">
      <c r="A1285" s="42" t="s">
        <v>84</v>
      </c>
      <c r="B1285" s="3" t="s">
        <v>124</v>
      </c>
      <c r="C1285" s="3">
        <v>1</v>
      </c>
      <c r="D1285" s="1"/>
      <c r="E1285" s="20" t="s">
        <v>19</v>
      </c>
      <c r="F1285" s="7" t="s">
        <v>14</v>
      </c>
      <c r="G1285" s="7" t="s">
        <v>125</v>
      </c>
      <c r="H1285" s="11">
        <v>8.49</v>
      </c>
      <c r="I1285" s="8">
        <v>9.6999999999999993</v>
      </c>
      <c r="J1285" s="26">
        <v>5</v>
      </c>
      <c r="K1285" s="10">
        <v>0.41176499999999999</v>
      </c>
      <c r="L1285" s="4"/>
      <c r="M1285" s="17">
        <v>5</v>
      </c>
      <c r="N1285" s="18">
        <v>0.41176499999999999</v>
      </c>
      <c r="O1285" s="19">
        <v>0</v>
      </c>
      <c r="P1285" s="13">
        <v>0</v>
      </c>
      <c r="Q1285" s="9"/>
      <c r="R1285" s="2"/>
      <c r="S1285" s="2"/>
    </row>
    <row r="1286" spans="1:21">
      <c r="A1286" s="42" t="s">
        <v>84</v>
      </c>
      <c r="B1286" s="3" t="s">
        <v>124</v>
      </c>
      <c r="C1286" s="3">
        <v>1</v>
      </c>
      <c r="D1286" s="1"/>
      <c r="E1286" s="20" t="s">
        <v>19</v>
      </c>
      <c r="F1286" s="7" t="s">
        <v>14</v>
      </c>
      <c r="G1286" s="7" t="s">
        <v>125</v>
      </c>
      <c r="H1286" s="11">
        <v>8.49</v>
      </c>
      <c r="I1286" s="8">
        <v>9.5</v>
      </c>
      <c r="J1286" s="26">
        <v>6</v>
      </c>
      <c r="K1286" s="10">
        <v>0.48393000000000003</v>
      </c>
      <c r="L1286" s="4"/>
      <c r="M1286" s="17">
        <v>6</v>
      </c>
      <c r="N1286" s="18">
        <v>0.48393000000000003</v>
      </c>
      <c r="O1286" s="19">
        <v>0</v>
      </c>
      <c r="P1286" s="13">
        <v>0</v>
      </c>
      <c r="Q1286" s="9"/>
      <c r="R1286" s="2"/>
      <c r="S1286" s="2"/>
    </row>
    <row r="1287" spans="1:21">
      <c r="A1287" s="42" t="s">
        <v>90</v>
      </c>
      <c r="B1287" s="48" t="s">
        <v>148</v>
      </c>
      <c r="C1287" s="32">
        <v>59</v>
      </c>
      <c r="D1287" s="32"/>
      <c r="E1287" s="48" t="s">
        <v>19</v>
      </c>
      <c r="F1287" s="48" t="s">
        <v>14</v>
      </c>
      <c r="G1287" s="48" t="s">
        <v>25</v>
      </c>
      <c r="H1287" s="11">
        <v>7.34</v>
      </c>
      <c r="I1287" s="52">
        <v>9.5</v>
      </c>
      <c r="J1287" s="7">
        <v>1</v>
      </c>
      <c r="K1287" s="10">
        <v>6.973E-2</v>
      </c>
      <c r="L1287" s="32"/>
      <c r="M1287" s="32">
        <v>1</v>
      </c>
      <c r="N1287" s="18">
        <v>6.973E-2</v>
      </c>
      <c r="O1287" s="19">
        <v>0</v>
      </c>
      <c r="P1287" s="13">
        <v>0</v>
      </c>
      <c r="Q1287" s="32"/>
      <c r="R1287" s="32"/>
      <c r="S1287" s="32"/>
    </row>
    <row r="1288" spans="1:21">
      <c r="A1288" s="42" t="s">
        <v>90</v>
      </c>
      <c r="B1288" s="48" t="s">
        <v>148</v>
      </c>
      <c r="C1288" s="32">
        <v>90</v>
      </c>
      <c r="D1288" s="32"/>
      <c r="E1288" s="48" t="s">
        <v>19</v>
      </c>
      <c r="F1288" s="48" t="s">
        <v>14</v>
      </c>
      <c r="G1288" s="48" t="s">
        <v>25</v>
      </c>
      <c r="H1288" s="11">
        <v>7.34</v>
      </c>
      <c r="I1288" s="8">
        <v>10</v>
      </c>
      <c r="J1288" s="7">
        <v>1</v>
      </c>
      <c r="K1288" s="10">
        <v>7.3400000000000007E-2</v>
      </c>
      <c r="L1288" s="32"/>
      <c r="M1288" s="32">
        <v>1</v>
      </c>
      <c r="N1288" s="18">
        <v>7.3400000000000007E-2</v>
      </c>
      <c r="O1288" s="19">
        <v>0</v>
      </c>
      <c r="P1288" s="13">
        <v>0</v>
      </c>
      <c r="Q1288" s="32"/>
      <c r="R1288" s="72">
        <v>1</v>
      </c>
      <c r="S1288" s="72" t="s">
        <v>278</v>
      </c>
    </row>
    <row r="1289" spans="1:21">
      <c r="A1289" s="42" t="s">
        <v>90</v>
      </c>
      <c r="B1289" s="48" t="s">
        <v>148</v>
      </c>
      <c r="C1289" s="32">
        <v>90</v>
      </c>
      <c r="D1289" s="32"/>
      <c r="E1289" s="48" t="s">
        <v>19</v>
      </c>
      <c r="F1289" s="48" t="s">
        <v>14</v>
      </c>
      <c r="G1289" s="48" t="s">
        <v>25</v>
      </c>
      <c r="H1289" s="11">
        <v>7.34</v>
      </c>
      <c r="I1289" s="8">
        <v>11.9</v>
      </c>
      <c r="J1289" s="7">
        <v>2</v>
      </c>
      <c r="K1289" s="10">
        <v>0.17469200000000001</v>
      </c>
      <c r="L1289" s="32"/>
      <c r="M1289" s="32">
        <v>2</v>
      </c>
      <c r="N1289" s="18">
        <v>0.17469200000000001</v>
      </c>
      <c r="O1289" s="19">
        <v>0</v>
      </c>
      <c r="P1289" s="13">
        <v>0</v>
      </c>
      <c r="Q1289" s="32"/>
      <c r="R1289" s="72">
        <v>2</v>
      </c>
      <c r="S1289" s="72" t="s">
        <v>278</v>
      </c>
    </row>
    <row r="1290" spans="1:21">
      <c r="A1290" s="42" t="s">
        <v>90</v>
      </c>
      <c r="B1290" s="3"/>
      <c r="C1290" s="3">
        <v>127</v>
      </c>
      <c r="D1290" s="1" t="s">
        <v>93</v>
      </c>
      <c r="E1290" s="12" t="s">
        <v>19</v>
      </c>
      <c r="F1290" s="7" t="s">
        <v>14</v>
      </c>
      <c r="G1290" s="7" t="s">
        <v>25</v>
      </c>
      <c r="H1290" s="11">
        <v>7.34</v>
      </c>
      <c r="I1290" s="8">
        <v>10</v>
      </c>
      <c r="J1290" s="26">
        <v>1</v>
      </c>
      <c r="K1290" s="10">
        <v>7.3400000000000007E-2</v>
      </c>
      <c r="L1290" s="4"/>
      <c r="M1290" s="17">
        <v>1</v>
      </c>
      <c r="N1290" s="18">
        <v>7.3400000000000007E-2</v>
      </c>
      <c r="O1290" s="19">
        <v>0</v>
      </c>
      <c r="P1290" s="13">
        <v>0</v>
      </c>
      <c r="Q1290" s="9"/>
      <c r="R1290" s="74">
        <v>1</v>
      </c>
      <c r="S1290" s="72" t="s">
        <v>278</v>
      </c>
    </row>
    <row r="1291" spans="1:21">
      <c r="A1291" s="42" t="s">
        <v>90</v>
      </c>
      <c r="B1291" s="3"/>
      <c r="C1291" s="3">
        <v>127</v>
      </c>
      <c r="D1291" s="1" t="s">
        <v>93</v>
      </c>
      <c r="E1291" s="12" t="s">
        <v>19</v>
      </c>
      <c r="F1291" s="7" t="s">
        <v>14</v>
      </c>
      <c r="G1291" s="7" t="s">
        <v>25</v>
      </c>
      <c r="H1291" s="11">
        <v>7.34</v>
      </c>
      <c r="I1291" s="8">
        <v>11.6</v>
      </c>
      <c r="J1291" s="26">
        <v>1</v>
      </c>
      <c r="K1291" s="10">
        <v>8.5143999999999997E-2</v>
      </c>
      <c r="L1291" s="4"/>
      <c r="M1291" s="17">
        <v>1</v>
      </c>
      <c r="N1291" s="18">
        <v>8.5143999999999997E-2</v>
      </c>
      <c r="O1291" s="19">
        <v>0</v>
      </c>
      <c r="P1291" s="13">
        <v>0</v>
      </c>
      <c r="Q1291" s="9"/>
      <c r="R1291" s="74">
        <v>1</v>
      </c>
      <c r="S1291" s="72" t="s">
        <v>278</v>
      </c>
    </row>
    <row r="1292" spans="1:21">
      <c r="A1292" s="42" t="s">
        <v>90</v>
      </c>
      <c r="B1292" s="3"/>
      <c r="C1292" s="3">
        <v>232</v>
      </c>
      <c r="D1292" s="1"/>
      <c r="E1292" s="20" t="s">
        <v>19</v>
      </c>
      <c r="F1292" s="7" t="s">
        <v>14</v>
      </c>
      <c r="G1292" s="7" t="s">
        <v>25</v>
      </c>
      <c r="H1292" s="11">
        <v>7.34</v>
      </c>
      <c r="I1292" s="8">
        <v>8.4</v>
      </c>
      <c r="J1292" s="26">
        <v>1</v>
      </c>
      <c r="K1292" s="10">
        <v>6.1655999999999996E-2</v>
      </c>
      <c r="L1292" s="4"/>
      <c r="M1292" s="17">
        <v>1</v>
      </c>
      <c r="N1292" s="18">
        <v>6.1655999999999996E-2</v>
      </c>
      <c r="O1292" s="19">
        <v>0</v>
      </c>
      <c r="P1292" s="13">
        <v>0</v>
      </c>
      <c r="Q1292" s="9"/>
      <c r="R1292" s="72">
        <v>1</v>
      </c>
      <c r="S1292" s="72" t="s">
        <v>278</v>
      </c>
    </row>
    <row r="1293" spans="1:21">
      <c r="A1293" s="45" t="s">
        <v>136</v>
      </c>
      <c r="B1293" s="32" t="s">
        <v>137</v>
      </c>
      <c r="C1293" s="3">
        <v>82</v>
      </c>
      <c r="D1293" s="32"/>
      <c r="E1293" s="20" t="s">
        <v>19</v>
      </c>
      <c r="F1293" s="7" t="s">
        <v>14</v>
      </c>
      <c r="G1293" s="7" t="s">
        <v>25</v>
      </c>
      <c r="H1293" s="11">
        <v>7.34</v>
      </c>
      <c r="I1293" s="55">
        <v>9.6</v>
      </c>
      <c r="J1293" s="40">
        <v>1</v>
      </c>
      <c r="K1293" s="10">
        <v>7.0463999999999999E-2</v>
      </c>
      <c r="L1293" s="4"/>
      <c r="M1293" s="17">
        <v>1</v>
      </c>
      <c r="N1293" s="18">
        <v>7.0463999999999999E-2</v>
      </c>
      <c r="O1293" s="19">
        <v>0</v>
      </c>
      <c r="P1293" s="13">
        <v>0</v>
      </c>
      <c r="Q1293" s="32"/>
      <c r="R1293" s="72">
        <v>1</v>
      </c>
      <c r="S1293" s="72" t="s">
        <v>278</v>
      </c>
    </row>
    <row r="1294" spans="1:21">
      <c r="A1294" s="45" t="s">
        <v>136</v>
      </c>
      <c r="B1294" s="32" t="s">
        <v>137</v>
      </c>
      <c r="C1294" s="3">
        <v>82</v>
      </c>
      <c r="D1294" s="32"/>
      <c r="E1294" s="20" t="s">
        <v>19</v>
      </c>
      <c r="F1294" s="7" t="s">
        <v>14</v>
      </c>
      <c r="G1294" s="7" t="s">
        <v>25</v>
      </c>
      <c r="H1294" s="11">
        <v>7.34</v>
      </c>
      <c r="I1294" s="55">
        <v>10</v>
      </c>
      <c r="J1294" s="40">
        <v>2</v>
      </c>
      <c r="K1294" s="10">
        <v>0.14680000000000001</v>
      </c>
      <c r="L1294" s="4"/>
      <c r="M1294" s="17">
        <v>2</v>
      </c>
      <c r="N1294" s="18">
        <v>0.14680000000000001</v>
      </c>
      <c r="O1294" s="19">
        <v>0</v>
      </c>
      <c r="P1294" s="13">
        <v>0</v>
      </c>
      <c r="Q1294" s="32"/>
      <c r="R1294" s="72">
        <v>2</v>
      </c>
      <c r="S1294" s="72" t="s">
        <v>278</v>
      </c>
    </row>
    <row r="1295" spans="1:21">
      <c r="A1295" s="45" t="s">
        <v>136</v>
      </c>
      <c r="B1295" s="48" t="s">
        <v>171</v>
      </c>
      <c r="C1295" s="32">
        <v>139</v>
      </c>
      <c r="D1295" s="32"/>
      <c r="E1295" s="48" t="s">
        <v>19</v>
      </c>
      <c r="F1295" s="48" t="s">
        <v>14</v>
      </c>
      <c r="G1295" s="48" t="s">
        <v>25</v>
      </c>
      <c r="H1295" s="11">
        <v>7.34</v>
      </c>
      <c r="I1295" s="8">
        <v>11.4</v>
      </c>
      <c r="J1295" s="7">
        <v>1</v>
      </c>
      <c r="K1295" s="10">
        <v>8.3676E-2</v>
      </c>
      <c r="L1295" s="32"/>
      <c r="M1295" s="32">
        <v>1</v>
      </c>
      <c r="N1295" s="18">
        <v>8.3676E-2</v>
      </c>
      <c r="O1295" s="19">
        <v>0</v>
      </c>
      <c r="P1295" s="13">
        <v>0</v>
      </c>
      <c r="Q1295" s="32"/>
      <c r="R1295" s="72">
        <v>1</v>
      </c>
      <c r="S1295" s="72" t="s">
        <v>278</v>
      </c>
    </row>
    <row r="1296" spans="1:21">
      <c r="A1296" s="45" t="s">
        <v>136</v>
      </c>
      <c r="B1296" s="48" t="s">
        <v>171</v>
      </c>
      <c r="C1296" s="32">
        <v>139</v>
      </c>
      <c r="D1296" s="32"/>
      <c r="E1296" s="48" t="s">
        <v>19</v>
      </c>
      <c r="F1296" s="48" t="s">
        <v>14</v>
      </c>
      <c r="G1296" s="48" t="s">
        <v>25</v>
      </c>
      <c r="H1296" s="11">
        <v>7.34</v>
      </c>
      <c r="I1296" s="8">
        <v>10.5</v>
      </c>
      <c r="J1296" s="7">
        <v>2</v>
      </c>
      <c r="K1296" s="10">
        <v>0.15414</v>
      </c>
      <c r="L1296" s="32"/>
      <c r="M1296" s="32">
        <v>2</v>
      </c>
      <c r="N1296" s="18">
        <v>0.15414</v>
      </c>
      <c r="O1296" s="19">
        <v>0</v>
      </c>
      <c r="P1296" s="13">
        <v>0</v>
      </c>
      <c r="Q1296" s="32"/>
      <c r="R1296" s="72">
        <v>2</v>
      </c>
      <c r="S1296" s="72" t="s">
        <v>278</v>
      </c>
    </row>
    <row r="1297" spans="1:19">
      <c r="R1297" s="76">
        <f>SUM(R1288:R1296)</f>
        <v>12</v>
      </c>
    </row>
    <row r="1299" spans="1:19">
      <c r="A1299" s="42" t="s">
        <v>90</v>
      </c>
      <c r="B1299" s="3"/>
      <c r="C1299" s="3">
        <v>119</v>
      </c>
      <c r="D1299" s="1"/>
      <c r="E1299" s="12" t="s">
        <v>19</v>
      </c>
      <c r="F1299" s="7" t="s">
        <v>14</v>
      </c>
      <c r="G1299" s="7" t="s">
        <v>32</v>
      </c>
      <c r="H1299" s="11">
        <v>8.3000000000000007</v>
      </c>
      <c r="I1299" s="8">
        <v>9</v>
      </c>
      <c r="J1299" s="26">
        <v>1</v>
      </c>
      <c r="K1299" s="10">
        <v>7.4700000000000003E-2</v>
      </c>
      <c r="L1299" s="4"/>
      <c r="M1299" s="22"/>
      <c r="N1299" s="18">
        <v>0</v>
      </c>
      <c r="O1299" s="19">
        <v>1</v>
      </c>
      <c r="P1299" s="13">
        <v>7.4700000000000003E-2</v>
      </c>
      <c r="Q1299" s="9"/>
      <c r="R1299" s="2"/>
      <c r="S1299" s="2"/>
    </row>
    <row r="1300" spans="1:19">
      <c r="A1300" s="42" t="s">
        <v>90</v>
      </c>
      <c r="B1300" s="3"/>
      <c r="C1300" s="3">
        <v>123</v>
      </c>
      <c r="D1300" s="1"/>
      <c r="E1300" s="20" t="s">
        <v>19</v>
      </c>
      <c r="F1300" s="7" t="s">
        <v>14</v>
      </c>
      <c r="G1300" s="7" t="s">
        <v>32</v>
      </c>
      <c r="H1300" s="11">
        <v>8.3000000000000007</v>
      </c>
      <c r="I1300" s="8">
        <v>5.5</v>
      </c>
      <c r="J1300" s="26">
        <v>1</v>
      </c>
      <c r="K1300" s="10">
        <v>4.5650000000000003E-2</v>
      </c>
      <c r="L1300" s="4"/>
      <c r="M1300" s="17"/>
      <c r="N1300" s="18">
        <v>0</v>
      </c>
      <c r="O1300" s="19">
        <v>1</v>
      </c>
      <c r="P1300" s="13">
        <v>4.5650000000000003E-2</v>
      </c>
      <c r="Q1300" s="9"/>
      <c r="R1300" s="2"/>
      <c r="S1300" s="2"/>
    </row>
    <row r="1301" spans="1:19">
      <c r="A1301" s="42" t="s">
        <v>90</v>
      </c>
      <c r="B1301" s="3"/>
      <c r="C1301" s="3">
        <v>123</v>
      </c>
      <c r="D1301" s="1"/>
      <c r="E1301" s="20" t="s">
        <v>19</v>
      </c>
      <c r="F1301" s="7" t="s">
        <v>14</v>
      </c>
      <c r="G1301" s="7" t="s">
        <v>32</v>
      </c>
      <c r="H1301" s="11">
        <v>8.3000000000000007</v>
      </c>
      <c r="I1301" s="8">
        <v>6.5</v>
      </c>
      <c r="J1301" s="26">
        <v>3</v>
      </c>
      <c r="K1301" s="10">
        <v>0.16185000000000002</v>
      </c>
      <c r="L1301" s="4"/>
      <c r="M1301" s="17">
        <v>3</v>
      </c>
      <c r="N1301" s="18">
        <v>0.16185000000000002</v>
      </c>
      <c r="O1301" s="19">
        <v>0</v>
      </c>
      <c r="P1301" s="13">
        <v>0</v>
      </c>
      <c r="Q1301" s="9"/>
      <c r="R1301" s="74">
        <v>3</v>
      </c>
      <c r="S1301" s="74" t="s">
        <v>278</v>
      </c>
    </row>
    <row r="1302" spans="1:19">
      <c r="A1302" s="42" t="s">
        <v>90</v>
      </c>
      <c r="B1302" s="3"/>
      <c r="C1302" s="3">
        <v>123</v>
      </c>
      <c r="D1302" s="1"/>
      <c r="E1302" s="20" t="s">
        <v>19</v>
      </c>
      <c r="F1302" s="7" t="s">
        <v>14</v>
      </c>
      <c r="G1302" s="7" t="s">
        <v>32</v>
      </c>
      <c r="H1302" s="11">
        <v>8.3000000000000007</v>
      </c>
      <c r="I1302" s="8">
        <v>7</v>
      </c>
      <c r="J1302" s="26">
        <v>5</v>
      </c>
      <c r="K1302" s="10">
        <v>0.29050000000000004</v>
      </c>
      <c r="L1302" s="4"/>
      <c r="M1302" s="17">
        <v>5</v>
      </c>
      <c r="N1302" s="18">
        <v>0.29049999999999998</v>
      </c>
      <c r="O1302" s="19">
        <v>0</v>
      </c>
      <c r="P1302" s="13">
        <v>0</v>
      </c>
      <c r="Q1302" s="9"/>
      <c r="R1302" s="74">
        <v>5</v>
      </c>
      <c r="S1302" s="74" t="s">
        <v>278</v>
      </c>
    </row>
    <row r="1303" spans="1:19">
      <c r="A1303" s="45" t="s">
        <v>136</v>
      </c>
      <c r="B1303" s="32" t="s">
        <v>137</v>
      </c>
      <c r="C1303" s="3">
        <v>23</v>
      </c>
      <c r="D1303" s="32"/>
      <c r="E1303" s="20" t="s">
        <v>19</v>
      </c>
      <c r="F1303" s="7" t="s">
        <v>14</v>
      </c>
      <c r="G1303" s="7" t="s">
        <v>32</v>
      </c>
      <c r="H1303" s="11">
        <v>8.3000000000000007</v>
      </c>
      <c r="I1303" s="33">
        <v>7.2</v>
      </c>
      <c r="J1303" s="40">
        <v>1</v>
      </c>
      <c r="K1303" s="10">
        <v>5.9760000000000008E-2</v>
      </c>
      <c r="L1303" s="4"/>
      <c r="M1303" s="17">
        <v>1</v>
      </c>
      <c r="N1303" s="18">
        <v>5.9760000000000008E-2</v>
      </c>
      <c r="O1303" s="19">
        <v>0</v>
      </c>
      <c r="P1303" s="13">
        <v>0</v>
      </c>
      <c r="Q1303" s="32"/>
      <c r="R1303" s="72">
        <v>1</v>
      </c>
      <c r="S1303" s="74" t="s">
        <v>278</v>
      </c>
    </row>
    <row r="1304" spans="1:19">
      <c r="A1304" s="45" t="s">
        <v>136</v>
      </c>
      <c r="B1304" s="32" t="s">
        <v>137</v>
      </c>
      <c r="C1304" s="3">
        <v>68</v>
      </c>
      <c r="D1304" s="32"/>
      <c r="E1304" s="20" t="s">
        <v>145</v>
      </c>
      <c r="F1304" s="7" t="s">
        <v>14</v>
      </c>
      <c r="G1304" s="7" t="s">
        <v>32</v>
      </c>
      <c r="H1304" s="11">
        <v>8.3000000000000007</v>
      </c>
      <c r="I1304" s="33">
        <v>12</v>
      </c>
      <c r="J1304" s="40">
        <v>1</v>
      </c>
      <c r="K1304" s="10">
        <v>9.9600000000000008E-2</v>
      </c>
      <c r="L1304" s="4"/>
      <c r="M1304" s="17">
        <v>1</v>
      </c>
      <c r="N1304" s="18">
        <v>9.9600000000000008E-2</v>
      </c>
      <c r="O1304" s="19">
        <v>0</v>
      </c>
      <c r="P1304" s="13">
        <v>0</v>
      </c>
      <c r="Q1304" s="32"/>
      <c r="R1304" s="72">
        <v>1</v>
      </c>
      <c r="S1304" s="74" t="s">
        <v>278</v>
      </c>
    </row>
    <row r="1305" spans="1:19">
      <c r="A1305" s="45" t="s">
        <v>136</v>
      </c>
      <c r="B1305" s="32" t="s">
        <v>137</v>
      </c>
      <c r="C1305" s="3">
        <v>68</v>
      </c>
      <c r="D1305" s="32"/>
      <c r="E1305" s="20" t="s">
        <v>145</v>
      </c>
      <c r="F1305" s="7" t="s">
        <v>14</v>
      </c>
      <c r="G1305" s="7" t="s">
        <v>32</v>
      </c>
      <c r="H1305" s="11">
        <v>8.3000000000000007</v>
      </c>
      <c r="I1305" s="33">
        <v>11.5</v>
      </c>
      <c r="J1305" s="40">
        <v>3</v>
      </c>
      <c r="K1305" s="10">
        <v>0.28635000000000005</v>
      </c>
      <c r="L1305" s="4"/>
      <c r="M1305" s="17">
        <v>3</v>
      </c>
      <c r="N1305" s="18">
        <v>0.28635000000000005</v>
      </c>
      <c r="O1305" s="19">
        <v>0</v>
      </c>
      <c r="P1305" s="13">
        <v>0</v>
      </c>
      <c r="Q1305" s="32"/>
      <c r="R1305" s="72">
        <v>3</v>
      </c>
      <c r="S1305" s="74" t="s">
        <v>278</v>
      </c>
    </row>
    <row r="1306" spans="1:19">
      <c r="A1306" s="45" t="s">
        <v>136</v>
      </c>
      <c r="B1306" s="32" t="s">
        <v>137</v>
      </c>
      <c r="C1306" s="3">
        <v>68</v>
      </c>
      <c r="D1306" s="32"/>
      <c r="E1306" s="20" t="s">
        <v>145</v>
      </c>
      <c r="F1306" s="7" t="s">
        <v>14</v>
      </c>
      <c r="G1306" s="7" t="s">
        <v>32</v>
      </c>
      <c r="H1306" s="11">
        <v>8.3000000000000007</v>
      </c>
      <c r="I1306" s="33">
        <v>9</v>
      </c>
      <c r="J1306" s="40">
        <v>1</v>
      </c>
      <c r="K1306" s="10">
        <v>7.4700000000000003E-2</v>
      </c>
      <c r="L1306" s="4"/>
      <c r="M1306" s="17">
        <v>1</v>
      </c>
      <c r="N1306" s="18">
        <v>7.4700000000000003E-2</v>
      </c>
      <c r="O1306" s="19">
        <v>0</v>
      </c>
      <c r="P1306" s="13">
        <v>0</v>
      </c>
      <c r="Q1306" s="32"/>
      <c r="R1306" s="72">
        <v>1</v>
      </c>
      <c r="S1306" s="74" t="s">
        <v>278</v>
      </c>
    </row>
    <row r="1307" spans="1:19">
      <c r="A1307" s="45" t="s">
        <v>136</v>
      </c>
      <c r="B1307" s="32" t="s">
        <v>137</v>
      </c>
      <c r="C1307" s="3">
        <v>68</v>
      </c>
      <c r="D1307" s="32"/>
      <c r="E1307" s="20" t="s">
        <v>145</v>
      </c>
      <c r="F1307" s="7" t="s">
        <v>14</v>
      </c>
      <c r="G1307" s="7" t="s">
        <v>32</v>
      </c>
      <c r="H1307" s="11">
        <v>8.3000000000000007</v>
      </c>
      <c r="I1307" s="33">
        <v>8</v>
      </c>
      <c r="J1307" s="40">
        <v>1</v>
      </c>
      <c r="K1307" s="10">
        <v>6.6400000000000001E-2</v>
      </c>
      <c r="L1307" s="4"/>
      <c r="M1307" s="17">
        <v>1</v>
      </c>
      <c r="N1307" s="18">
        <v>6.6400000000000001E-2</v>
      </c>
      <c r="O1307" s="19">
        <v>0</v>
      </c>
      <c r="P1307" s="13">
        <v>0</v>
      </c>
      <c r="Q1307" s="32"/>
      <c r="R1307" s="72">
        <v>1</v>
      </c>
      <c r="S1307" s="74" t="s">
        <v>278</v>
      </c>
    </row>
    <row r="1308" spans="1:19">
      <c r="A1308" s="45" t="s">
        <v>136</v>
      </c>
      <c r="B1308" s="32" t="s">
        <v>137</v>
      </c>
      <c r="C1308" s="32">
        <v>102</v>
      </c>
      <c r="D1308" s="32"/>
      <c r="E1308" s="32" t="s">
        <v>19</v>
      </c>
      <c r="F1308" s="32" t="s">
        <v>14</v>
      </c>
      <c r="G1308" s="7" t="s">
        <v>32</v>
      </c>
      <c r="H1308" s="11">
        <v>8.3000000000000007</v>
      </c>
      <c r="I1308" s="33">
        <v>12</v>
      </c>
      <c r="J1308" s="41">
        <v>3</v>
      </c>
      <c r="K1308" s="10">
        <v>0.29880000000000001</v>
      </c>
      <c r="L1308" s="4"/>
      <c r="M1308" s="17">
        <v>3</v>
      </c>
      <c r="N1308" s="18">
        <v>0.29880000000000001</v>
      </c>
      <c r="O1308" s="19">
        <v>0</v>
      </c>
      <c r="P1308" s="13">
        <v>0</v>
      </c>
      <c r="Q1308" s="32"/>
      <c r="R1308" s="72">
        <v>3</v>
      </c>
      <c r="S1308" s="74" t="s">
        <v>278</v>
      </c>
    </row>
    <row r="1309" spans="1:19">
      <c r="A1309" s="45" t="s">
        <v>136</v>
      </c>
      <c r="B1309" s="48" t="s">
        <v>171</v>
      </c>
      <c r="C1309" s="32">
        <v>143</v>
      </c>
      <c r="D1309" s="32"/>
      <c r="E1309" s="48" t="s">
        <v>19</v>
      </c>
      <c r="F1309" s="48" t="s">
        <v>14</v>
      </c>
      <c r="G1309" s="48" t="s">
        <v>32</v>
      </c>
      <c r="H1309" s="11">
        <v>8.3000000000000007</v>
      </c>
      <c r="I1309" s="52">
        <v>9.3000000000000007</v>
      </c>
      <c r="J1309" s="7">
        <v>3</v>
      </c>
      <c r="K1309" s="10">
        <v>0.23157000000000005</v>
      </c>
      <c r="L1309" s="32"/>
      <c r="M1309" s="32">
        <v>3</v>
      </c>
      <c r="N1309" s="18">
        <v>0.23157000000000005</v>
      </c>
      <c r="O1309" s="19">
        <v>0</v>
      </c>
      <c r="P1309" s="13">
        <v>0</v>
      </c>
      <c r="Q1309" s="32"/>
      <c r="R1309" s="72">
        <v>3</v>
      </c>
      <c r="S1309" s="74" t="s">
        <v>278</v>
      </c>
    </row>
    <row r="1310" spans="1:19">
      <c r="A1310" s="45" t="s">
        <v>136</v>
      </c>
      <c r="B1310" s="48" t="s">
        <v>171</v>
      </c>
      <c r="C1310" s="32">
        <v>158</v>
      </c>
      <c r="D1310" s="32"/>
      <c r="E1310" s="48" t="s">
        <v>19</v>
      </c>
      <c r="F1310" s="48" t="s">
        <v>14</v>
      </c>
      <c r="G1310" s="48" t="s">
        <v>32</v>
      </c>
      <c r="H1310" s="11">
        <v>8.3000000000000007</v>
      </c>
      <c r="I1310" s="52">
        <v>7.2</v>
      </c>
      <c r="J1310" s="7">
        <v>2</v>
      </c>
      <c r="K1310" s="10">
        <v>0.11952000000000002</v>
      </c>
      <c r="L1310" s="32"/>
      <c r="M1310" s="32">
        <v>2</v>
      </c>
      <c r="N1310" s="18">
        <v>0.11952000000000002</v>
      </c>
      <c r="O1310" s="19">
        <v>0</v>
      </c>
      <c r="P1310" s="13">
        <v>0</v>
      </c>
      <c r="Q1310" s="32"/>
      <c r="R1310" s="72">
        <v>2</v>
      </c>
      <c r="S1310" s="74" t="s">
        <v>278</v>
      </c>
    </row>
    <row r="1311" spans="1:19">
      <c r="R1311" s="76">
        <f>SUM(R1301:R1310)</f>
        <v>23</v>
      </c>
    </row>
    <row r="1313" spans="1:19">
      <c r="A1313" s="42" t="s">
        <v>77</v>
      </c>
      <c r="B1313" s="3" t="s">
        <v>68</v>
      </c>
      <c r="C1313" s="3">
        <v>195</v>
      </c>
      <c r="D1313" s="1"/>
      <c r="E1313" s="20" t="s">
        <v>19</v>
      </c>
      <c r="F1313" s="7" t="s">
        <v>14</v>
      </c>
      <c r="G1313" s="7" t="s">
        <v>34</v>
      </c>
      <c r="H1313" s="11">
        <v>9.61</v>
      </c>
      <c r="I1313" s="8">
        <v>7.9</v>
      </c>
      <c r="J1313" s="26">
        <v>2</v>
      </c>
      <c r="K1313" s="10">
        <v>0.151838</v>
      </c>
      <c r="L1313" s="4"/>
      <c r="M1313" s="17">
        <v>2</v>
      </c>
      <c r="N1313" s="18">
        <v>0.151838</v>
      </c>
      <c r="O1313" s="19">
        <v>0</v>
      </c>
      <c r="P1313" s="13">
        <v>0</v>
      </c>
      <c r="Q1313" s="9"/>
      <c r="R1313" s="74">
        <v>2</v>
      </c>
      <c r="S1313" s="74" t="s">
        <v>278</v>
      </c>
    </row>
    <row r="1314" spans="1:19">
      <c r="A1314" s="42" t="s">
        <v>77</v>
      </c>
      <c r="B1314" s="3" t="s">
        <v>68</v>
      </c>
      <c r="C1314" s="3">
        <v>195</v>
      </c>
      <c r="D1314" s="1"/>
      <c r="E1314" s="20" t="s">
        <v>19</v>
      </c>
      <c r="F1314" s="7" t="s">
        <v>14</v>
      </c>
      <c r="G1314" s="7" t="s">
        <v>34</v>
      </c>
      <c r="H1314" s="11">
        <v>9.61</v>
      </c>
      <c r="I1314" s="8">
        <v>7.6</v>
      </c>
      <c r="J1314" s="26">
        <v>1</v>
      </c>
      <c r="K1314" s="10">
        <v>7.303599999999999E-2</v>
      </c>
      <c r="L1314" s="4"/>
      <c r="M1314" s="17">
        <v>1</v>
      </c>
      <c r="N1314" s="18">
        <v>7.303599999999999E-2</v>
      </c>
      <c r="O1314" s="19">
        <v>0</v>
      </c>
      <c r="P1314" s="13">
        <v>0</v>
      </c>
      <c r="Q1314" s="9"/>
      <c r="R1314" s="74">
        <v>1</v>
      </c>
      <c r="S1314" s="74" t="s">
        <v>278</v>
      </c>
    </row>
    <row r="1315" spans="1:19">
      <c r="A1315" s="42" t="s">
        <v>77</v>
      </c>
      <c r="B1315" s="3" t="s">
        <v>68</v>
      </c>
      <c r="C1315" s="3">
        <v>195</v>
      </c>
      <c r="D1315" s="1"/>
      <c r="E1315" s="20" t="s">
        <v>19</v>
      </c>
      <c r="F1315" s="7" t="s">
        <v>14</v>
      </c>
      <c r="G1315" s="7" t="s">
        <v>34</v>
      </c>
      <c r="H1315" s="11">
        <v>9.61</v>
      </c>
      <c r="I1315" s="8">
        <v>8.8000000000000007</v>
      </c>
      <c r="J1315" s="26">
        <v>2</v>
      </c>
      <c r="K1315" s="10">
        <v>0.16913600000000001</v>
      </c>
      <c r="L1315" s="4"/>
      <c r="M1315" s="17">
        <v>2</v>
      </c>
      <c r="N1315" s="18">
        <v>0.16913600000000001</v>
      </c>
      <c r="O1315" s="19">
        <v>0</v>
      </c>
      <c r="P1315" s="13">
        <v>0</v>
      </c>
      <c r="Q1315" s="9"/>
      <c r="R1315" s="74">
        <v>2</v>
      </c>
      <c r="S1315" s="74" t="s">
        <v>278</v>
      </c>
    </row>
    <row r="1316" spans="1:19">
      <c r="A1316" s="42" t="s">
        <v>77</v>
      </c>
      <c r="B1316" s="3" t="s">
        <v>68</v>
      </c>
      <c r="C1316" s="3">
        <v>247</v>
      </c>
      <c r="D1316" s="1"/>
      <c r="E1316" s="12" t="s">
        <v>19</v>
      </c>
      <c r="F1316" s="7" t="s">
        <v>14</v>
      </c>
      <c r="G1316" s="7" t="s">
        <v>34</v>
      </c>
      <c r="H1316" s="11">
        <v>9.61</v>
      </c>
      <c r="I1316" s="8">
        <v>12</v>
      </c>
      <c r="J1316" s="26">
        <v>2</v>
      </c>
      <c r="K1316" s="10">
        <v>0.23063999999999998</v>
      </c>
      <c r="L1316" s="4"/>
      <c r="M1316" s="17">
        <v>1</v>
      </c>
      <c r="N1316" s="18">
        <v>0.11531999999999999</v>
      </c>
      <c r="O1316" s="19">
        <v>1</v>
      </c>
      <c r="P1316" s="13">
        <v>0.11531999999999999</v>
      </c>
      <c r="Q1316" s="9"/>
      <c r="R1316" s="74">
        <v>1</v>
      </c>
      <c r="S1316" s="74" t="s">
        <v>278</v>
      </c>
    </row>
    <row r="1317" spans="1:19">
      <c r="A1317" s="48" t="s">
        <v>168</v>
      </c>
      <c r="B1317" s="48" t="s">
        <v>169</v>
      </c>
      <c r="C1317" s="32">
        <v>8</v>
      </c>
      <c r="D1317" s="32"/>
      <c r="E1317" s="48" t="s">
        <v>19</v>
      </c>
      <c r="F1317" s="48" t="s">
        <v>14</v>
      </c>
      <c r="G1317" s="48" t="s">
        <v>34</v>
      </c>
      <c r="H1317" s="11">
        <v>9.61</v>
      </c>
      <c r="I1317" s="52">
        <v>9</v>
      </c>
      <c r="J1317" s="7">
        <v>1</v>
      </c>
      <c r="K1317" s="10">
        <v>8.6489999999999997E-2</v>
      </c>
      <c r="L1317" s="32" t="s">
        <v>104</v>
      </c>
      <c r="M1317" s="32"/>
      <c r="N1317" s="18">
        <v>0</v>
      </c>
      <c r="O1317" s="19">
        <v>1</v>
      </c>
      <c r="P1317" s="13">
        <v>8.6489999999999997E-2</v>
      </c>
      <c r="Q1317" s="32"/>
      <c r="R1317" s="72"/>
      <c r="S1317" s="72"/>
    </row>
    <row r="1318" spans="1:19">
      <c r="A1318" s="42" t="s">
        <v>90</v>
      </c>
      <c r="B1318" s="48" t="s">
        <v>148</v>
      </c>
      <c r="C1318" s="32">
        <v>36</v>
      </c>
      <c r="D1318" s="32"/>
      <c r="E1318" s="48" t="s">
        <v>19</v>
      </c>
      <c r="F1318" s="48" t="s">
        <v>14</v>
      </c>
      <c r="G1318" s="48" t="s">
        <v>34</v>
      </c>
      <c r="H1318" s="11">
        <v>9.61</v>
      </c>
      <c r="I1318" s="52">
        <v>12</v>
      </c>
      <c r="J1318" s="7">
        <v>3</v>
      </c>
      <c r="K1318" s="10">
        <v>0.34595999999999999</v>
      </c>
      <c r="L1318" s="32"/>
      <c r="M1318" s="32">
        <v>3</v>
      </c>
      <c r="N1318" s="18">
        <v>0.34595999999999999</v>
      </c>
      <c r="O1318" s="19">
        <v>0</v>
      </c>
      <c r="P1318" s="13">
        <v>0</v>
      </c>
      <c r="Q1318" s="32"/>
      <c r="R1318" s="72">
        <v>3</v>
      </c>
      <c r="S1318" s="74" t="s">
        <v>278</v>
      </c>
    </row>
    <row r="1319" spans="1:19">
      <c r="A1319" s="42" t="s">
        <v>90</v>
      </c>
      <c r="B1319" s="48" t="s">
        <v>148</v>
      </c>
      <c r="C1319" s="32">
        <v>36</v>
      </c>
      <c r="D1319" s="32"/>
      <c r="E1319" s="48" t="s">
        <v>19</v>
      </c>
      <c r="F1319" s="48" t="s">
        <v>14</v>
      </c>
      <c r="G1319" s="48" t="s">
        <v>34</v>
      </c>
      <c r="H1319" s="11">
        <v>9.61</v>
      </c>
      <c r="I1319" s="52">
        <v>6</v>
      </c>
      <c r="J1319" s="7">
        <v>1</v>
      </c>
      <c r="K1319" s="10">
        <v>5.7659999999999996E-2</v>
      </c>
      <c r="L1319" s="32"/>
      <c r="M1319" s="32"/>
      <c r="N1319" s="18">
        <v>0</v>
      </c>
      <c r="O1319" s="19">
        <v>1</v>
      </c>
      <c r="P1319" s="13">
        <v>5.7659999999999996E-2</v>
      </c>
      <c r="Q1319" s="32"/>
      <c r="R1319" s="72"/>
      <c r="S1319" s="72"/>
    </row>
    <row r="1320" spans="1:19">
      <c r="A1320" s="42" t="s">
        <v>90</v>
      </c>
      <c r="B1320" s="48" t="s">
        <v>148</v>
      </c>
      <c r="C1320" s="32">
        <v>84</v>
      </c>
      <c r="D1320" s="32"/>
      <c r="E1320" s="48" t="s">
        <v>19</v>
      </c>
      <c r="F1320" s="48" t="s">
        <v>14</v>
      </c>
      <c r="G1320" s="48" t="s">
        <v>34</v>
      </c>
      <c r="H1320" s="11">
        <v>9.61</v>
      </c>
      <c r="I1320" s="52">
        <v>8.6</v>
      </c>
      <c r="J1320" s="7">
        <v>1</v>
      </c>
      <c r="K1320" s="10">
        <v>8.2645999999999983E-2</v>
      </c>
      <c r="L1320" s="32"/>
      <c r="M1320" s="32">
        <v>1</v>
      </c>
      <c r="N1320" s="18">
        <v>8.2645999999999983E-2</v>
      </c>
      <c r="O1320" s="19">
        <v>0</v>
      </c>
      <c r="P1320" s="13">
        <v>0</v>
      </c>
      <c r="Q1320" s="32"/>
      <c r="R1320" s="72">
        <v>1</v>
      </c>
      <c r="S1320" s="74" t="s">
        <v>278</v>
      </c>
    </row>
    <row r="1321" spans="1:19">
      <c r="A1321" s="42" t="s">
        <v>90</v>
      </c>
      <c r="B1321" s="48" t="s">
        <v>148</v>
      </c>
      <c r="C1321" s="32">
        <v>93</v>
      </c>
      <c r="D1321" s="32"/>
      <c r="E1321" s="48" t="s">
        <v>19</v>
      </c>
      <c r="F1321" s="48" t="s">
        <v>14</v>
      </c>
      <c r="G1321" s="48" t="s">
        <v>34</v>
      </c>
      <c r="H1321" s="11">
        <v>9.61</v>
      </c>
      <c r="I1321" s="52">
        <v>8.3000000000000007</v>
      </c>
      <c r="J1321" s="7">
        <v>1</v>
      </c>
      <c r="K1321" s="10">
        <v>7.9763000000000001E-2</v>
      </c>
      <c r="L1321" s="32"/>
      <c r="M1321" s="32">
        <v>1</v>
      </c>
      <c r="N1321" s="18">
        <v>7.9763000000000001E-2</v>
      </c>
      <c r="O1321" s="19">
        <v>0</v>
      </c>
      <c r="P1321" s="13">
        <v>0</v>
      </c>
      <c r="Q1321" s="32"/>
      <c r="R1321" s="72">
        <v>1</v>
      </c>
      <c r="S1321" s="74" t="s">
        <v>278</v>
      </c>
    </row>
    <row r="1322" spans="1:19">
      <c r="A1322" s="42" t="s">
        <v>90</v>
      </c>
      <c r="B1322" s="48" t="s">
        <v>148</v>
      </c>
      <c r="C1322" s="32">
        <v>93</v>
      </c>
      <c r="D1322" s="32"/>
      <c r="E1322" s="48" t="s">
        <v>19</v>
      </c>
      <c r="F1322" s="48" t="s">
        <v>14</v>
      </c>
      <c r="G1322" s="48" t="s">
        <v>34</v>
      </c>
      <c r="H1322" s="11">
        <v>9.61</v>
      </c>
      <c r="I1322" s="52">
        <v>6.9</v>
      </c>
      <c r="J1322" s="7">
        <v>1</v>
      </c>
      <c r="K1322" s="10">
        <v>6.6308999999999993E-2</v>
      </c>
      <c r="L1322" s="32"/>
      <c r="M1322" s="32">
        <v>1</v>
      </c>
      <c r="N1322" s="18">
        <v>6.6308999999999993E-2</v>
      </c>
      <c r="O1322" s="19">
        <v>0</v>
      </c>
      <c r="P1322" s="13">
        <v>0</v>
      </c>
      <c r="Q1322" s="32"/>
      <c r="R1322" s="72">
        <v>1</v>
      </c>
      <c r="S1322" s="74" t="s">
        <v>278</v>
      </c>
    </row>
    <row r="1323" spans="1:19">
      <c r="A1323" s="42" t="s">
        <v>90</v>
      </c>
      <c r="B1323" s="48" t="s">
        <v>148</v>
      </c>
      <c r="C1323" s="32">
        <v>93</v>
      </c>
      <c r="D1323" s="32"/>
      <c r="E1323" s="48" t="s">
        <v>19</v>
      </c>
      <c r="F1323" s="48" t="s">
        <v>14</v>
      </c>
      <c r="G1323" s="48" t="s">
        <v>34</v>
      </c>
      <c r="H1323" s="11">
        <v>9.61</v>
      </c>
      <c r="I1323" s="52">
        <v>5.4</v>
      </c>
      <c r="J1323" s="7">
        <v>1</v>
      </c>
      <c r="K1323" s="10">
        <v>5.1893999999999996E-2</v>
      </c>
      <c r="L1323" s="32"/>
      <c r="M1323" s="32"/>
      <c r="N1323" s="18">
        <v>0</v>
      </c>
      <c r="O1323" s="19">
        <v>1</v>
      </c>
      <c r="P1323" s="13">
        <v>5.1893999999999996E-2</v>
      </c>
      <c r="Q1323" s="32"/>
      <c r="R1323" s="72"/>
      <c r="S1323" s="72"/>
    </row>
    <row r="1324" spans="1:19">
      <c r="O1324" s="6">
        <f>SUM(O1313:O1323)</f>
        <v>4</v>
      </c>
      <c r="R1324" s="6">
        <f>SUM(R1313:R1323)</f>
        <v>12</v>
      </c>
    </row>
    <row r="1326" spans="1:19">
      <c r="A1326" s="44" t="s">
        <v>78</v>
      </c>
      <c r="B1326" s="32" t="s">
        <v>80</v>
      </c>
      <c r="C1326" s="3">
        <v>2</v>
      </c>
      <c r="D1326" s="32"/>
      <c r="E1326" s="20" t="s">
        <v>114</v>
      </c>
      <c r="F1326" s="7" t="s">
        <v>15</v>
      </c>
      <c r="G1326" s="7" t="s">
        <v>32</v>
      </c>
      <c r="H1326" s="11">
        <v>8.3000000000000007</v>
      </c>
      <c r="I1326" s="33">
        <v>12</v>
      </c>
      <c r="J1326" s="40">
        <v>7</v>
      </c>
      <c r="K1326" s="10">
        <f t="shared" ref="K1326:K1327" si="68">(H1326*I1326*J1326/1000)</f>
        <v>0.69720000000000004</v>
      </c>
      <c r="L1326" s="4"/>
      <c r="M1326" s="17">
        <v>7</v>
      </c>
      <c r="N1326" s="18">
        <f t="shared" ref="N1326:N1327" si="69">I1326*M1326*H1326/1000</f>
        <v>0.69720000000000004</v>
      </c>
      <c r="O1326" s="19">
        <f t="shared" ref="O1326:O1327" si="70">J1326-M1326</f>
        <v>0</v>
      </c>
      <c r="P1326" s="13">
        <f t="shared" ref="P1326:P1327" si="71">I1326*O1326*H1326/1000</f>
        <v>0</v>
      </c>
      <c r="Q1326" s="72">
        <v>12</v>
      </c>
      <c r="R1326" s="72">
        <v>7</v>
      </c>
      <c r="S1326" s="77" t="s">
        <v>290</v>
      </c>
    </row>
    <row r="1327" spans="1:19">
      <c r="A1327" s="44" t="s">
        <v>78</v>
      </c>
      <c r="B1327" s="32" t="s">
        <v>80</v>
      </c>
      <c r="C1327" s="3">
        <v>3</v>
      </c>
      <c r="D1327" s="32"/>
      <c r="E1327" s="20" t="s">
        <v>114</v>
      </c>
      <c r="F1327" s="7" t="s">
        <v>15</v>
      </c>
      <c r="G1327" s="7" t="s">
        <v>32</v>
      </c>
      <c r="H1327" s="11">
        <v>8.3000000000000007</v>
      </c>
      <c r="I1327" s="33">
        <v>11.5</v>
      </c>
      <c r="J1327" s="40">
        <v>16</v>
      </c>
      <c r="K1327" s="10">
        <f t="shared" si="68"/>
        <v>1.5272000000000001</v>
      </c>
      <c r="L1327" s="4"/>
      <c r="M1327" s="17">
        <f>13+3</f>
        <v>16</v>
      </c>
      <c r="N1327" s="18">
        <f t="shared" si="69"/>
        <v>1.5272000000000001</v>
      </c>
      <c r="O1327" s="19">
        <f t="shared" si="70"/>
        <v>0</v>
      </c>
      <c r="P1327" s="13">
        <f t="shared" si="71"/>
        <v>0</v>
      </c>
      <c r="Q1327" s="32"/>
      <c r="R1327" s="32"/>
      <c r="S1327" s="32"/>
    </row>
    <row r="1331" spans="1:19">
      <c r="A1331" s="45" t="s">
        <v>136</v>
      </c>
      <c r="B1331" s="48" t="s">
        <v>171</v>
      </c>
      <c r="C1331" s="32">
        <v>152</v>
      </c>
      <c r="D1331" s="32"/>
      <c r="E1331" s="48" t="s">
        <v>89</v>
      </c>
      <c r="F1331" s="48" t="s">
        <v>15</v>
      </c>
      <c r="G1331" s="48" t="s">
        <v>34</v>
      </c>
      <c r="H1331" s="11">
        <v>9.61</v>
      </c>
      <c r="I1331" s="9">
        <v>9.6999999999999993</v>
      </c>
      <c r="J1331" s="7">
        <v>1</v>
      </c>
      <c r="K1331" s="10">
        <f t="shared" ref="K1331:K1334" si="72">(H1331*I1331*J1331/1000)</f>
        <v>9.321699999999998E-2</v>
      </c>
      <c r="L1331" s="32"/>
      <c r="M1331" s="32">
        <v>1</v>
      </c>
      <c r="N1331" s="18">
        <f t="shared" ref="N1331:N1334" si="73">I1331*M1331*H1331/1000</f>
        <v>9.321699999999998E-2</v>
      </c>
      <c r="O1331" s="19">
        <f t="shared" ref="O1331:O1334" si="74">J1331-M1331</f>
        <v>0</v>
      </c>
      <c r="P1331" s="13">
        <f t="shared" ref="P1331:P1334" si="75">I1331*O1331*H1331/1000</f>
        <v>0</v>
      </c>
      <c r="Q1331" s="32"/>
      <c r="R1331" s="72">
        <v>1</v>
      </c>
      <c r="S1331" s="72" t="s">
        <v>278</v>
      </c>
    </row>
    <row r="1332" spans="1:19">
      <c r="A1332" s="45" t="s">
        <v>136</v>
      </c>
      <c r="B1332" s="48" t="s">
        <v>171</v>
      </c>
      <c r="C1332" s="32">
        <v>152</v>
      </c>
      <c r="D1332" s="32"/>
      <c r="E1332" s="48" t="s">
        <v>89</v>
      </c>
      <c r="F1332" s="48" t="s">
        <v>15</v>
      </c>
      <c r="G1332" s="48" t="s">
        <v>34</v>
      </c>
      <c r="H1332" s="11">
        <v>9.61</v>
      </c>
      <c r="I1332" s="9">
        <v>8.8000000000000007</v>
      </c>
      <c r="J1332" s="7">
        <v>1</v>
      </c>
      <c r="K1332" s="10">
        <f t="shared" si="72"/>
        <v>8.4568000000000004E-2</v>
      </c>
      <c r="L1332" s="32"/>
      <c r="M1332" s="32">
        <v>1</v>
      </c>
      <c r="N1332" s="18">
        <f t="shared" si="73"/>
        <v>8.4568000000000004E-2</v>
      </c>
      <c r="O1332" s="19">
        <f t="shared" si="74"/>
        <v>0</v>
      </c>
      <c r="P1332" s="13">
        <f t="shared" si="75"/>
        <v>0</v>
      </c>
      <c r="Q1332" s="32"/>
      <c r="R1332" s="72">
        <v>1</v>
      </c>
      <c r="S1332" s="72" t="s">
        <v>278</v>
      </c>
    </row>
    <row r="1333" spans="1:19">
      <c r="A1333" s="45" t="s">
        <v>136</v>
      </c>
      <c r="B1333" s="48" t="s">
        <v>171</v>
      </c>
      <c r="C1333" s="32">
        <v>152</v>
      </c>
      <c r="D1333" s="32"/>
      <c r="E1333" s="48" t="s">
        <v>89</v>
      </c>
      <c r="F1333" s="48" t="s">
        <v>15</v>
      </c>
      <c r="G1333" s="48" t="s">
        <v>34</v>
      </c>
      <c r="H1333" s="11">
        <v>9.61</v>
      </c>
      <c r="I1333" s="9">
        <v>8.5</v>
      </c>
      <c r="J1333" s="7">
        <v>1</v>
      </c>
      <c r="K1333" s="10">
        <f t="shared" si="72"/>
        <v>8.1685000000000008E-2</v>
      </c>
      <c r="L1333" s="32"/>
      <c r="M1333" s="32">
        <v>1</v>
      </c>
      <c r="N1333" s="18">
        <f t="shared" si="73"/>
        <v>8.1685000000000008E-2</v>
      </c>
      <c r="O1333" s="19">
        <f t="shared" si="74"/>
        <v>0</v>
      </c>
      <c r="P1333" s="13">
        <f t="shared" si="75"/>
        <v>0</v>
      </c>
      <c r="Q1333" s="32"/>
      <c r="R1333" s="72">
        <v>1</v>
      </c>
      <c r="S1333" s="72" t="s">
        <v>278</v>
      </c>
    </row>
    <row r="1334" spans="1:19">
      <c r="A1334" s="45" t="s">
        <v>136</v>
      </c>
      <c r="B1334" s="48" t="s">
        <v>171</v>
      </c>
      <c r="C1334" s="32">
        <v>152</v>
      </c>
      <c r="D1334" s="32"/>
      <c r="E1334" s="48" t="s">
        <v>89</v>
      </c>
      <c r="F1334" s="48" t="s">
        <v>15</v>
      </c>
      <c r="G1334" s="48" t="s">
        <v>34</v>
      </c>
      <c r="H1334" s="11">
        <v>9.61</v>
      </c>
      <c r="I1334" s="9">
        <v>7.2</v>
      </c>
      <c r="J1334" s="7">
        <v>3</v>
      </c>
      <c r="K1334" s="10">
        <f t="shared" si="72"/>
        <v>0.20757599999999995</v>
      </c>
      <c r="L1334" s="32"/>
      <c r="M1334" s="32">
        <v>3</v>
      </c>
      <c r="N1334" s="18">
        <f t="shared" si="73"/>
        <v>0.20757599999999998</v>
      </c>
      <c r="O1334" s="19">
        <f t="shared" si="74"/>
        <v>0</v>
      </c>
      <c r="P1334" s="13">
        <f t="shared" si="75"/>
        <v>0</v>
      </c>
      <c r="Q1334" s="32"/>
      <c r="R1334" s="72">
        <v>3</v>
      </c>
      <c r="S1334" s="72" t="s">
        <v>278</v>
      </c>
    </row>
    <row r="1336" spans="1:19">
      <c r="A1336" s="42" t="s">
        <v>90</v>
      </c>
      <c r="B1336" s="48" t="s">
        <v>148</v>
      </c>
      <c r="C1336" s="32">
        <v>87</v>
      </c>
      <c r="D1336" s="32"/>
      <c r="E1336" s="48" t="s">
        <v>152</v>
      </c>
      <c r="F1336" s="48" t="s">
        <v>15</v>
      </c>
      <c r="G1336" s="48" t="s">
        <v>34</v>
      </c>
      <c r="H1336" s="11">
        <v>9.61</v>
      </c>
      <c r="I1336" s="52">
        <v>7</v>
      </c>
      <c r="J1336" s="7">
        <v>1</v>
      </c>
      <c r="K1336" s="10">
        <f t="shared" ref="K1336:K1337" si="76">(H1336*I1336*J1336/1000)</f>
        <v>6.7269999999999996E-2</v>
      </c>
      <c r="L1336" s="32"/>
      <c r="M1336" s="32">
        <v>1</v>
      </c>
      <c r="N1336" s="18">
        <f t="shared" ref="N1336:N1337" si="77">I1336*M1336*H1336/1000</f>
        <v>6.7269999999999996E-2</v>
      </c>
      <c r="O1336" s="19">
        <f t="shared" ref="O1336:O1337" si="78">J1336-M1336</f>
        <v>0</v>
      </c>
      <c r="P1336" s="13">
        <f t="shared" ref="P1336:P1337" si="79">I1336*O1336*H1336/1000</f>
        <v>0</v>
      </c>
      <c r="Q1336" s="32"/>
      <c r="R1336" s="72">
        <v>1</v>
      </c>
      <c r="S1336" s="72" t="s">
        <v>278</v>
      </c>
    </row>
    <row r="1337" spans="1:19">
      <c r="A1337" s="42" t="s">
        <v>90</v>
      </c>
      <c r="B1337" s="48" t="s">
        <v>148</v>
      </c>
      <c r="C1337" s="32">
        <v>87</v>
      </c>
      <c r="D1337" s="32"/>
      <c r="E1337" s="48" t="s">
        <v>152</v>
      </c>
      <c r="F1337" s="48" t="s">
        <v>15</v>
      </c>
      <c r="G1337" s="48" t="s">
        <v>34</v>
      </c>
      <c r="H1337" s="11">
        <v>9.61</v>
      </c>
      <c r="I1337" s="52">
        <v>8.3000000000000007</v>
      </c>
      <c r="J1337" s="7">
        <v>2</v>
      </c>
      <c r="K1337" s="10">
        <f t="shared" si="76"/>
        <v>0.159526</v>
      </c>
      <c r="L1337" s="32"/>
      <c r="M1337" s="32">
        <v>2</v>
      </c>
      <c r="N1337" s="18">
        <f t="shared" si="77"/>
        <v>0.159526</v>
      </c>
      <c r="O1337" s="19">
        <f t="shared" si="78"/>
        <v>0</v>
      </c>
      <c r="P1337" s="13">
        <f t="shared" si="79"/>
        <v>0</v>
      </c>
      <c r="Q1337" s="32"/>
      <c r="R1337" s="72">
        <v>2</v>
      </c>
      <c r="S1337" s="72" t="s">
        <v>278</v>
      </c>
    </row>
    <row r="1338" spans="1:19">
      <c r="R1338" s="76">
        <f>SUM(R1331:R1337)</f>
        <v>9</v>
      </c>
    </row>
    <row r="1340" spans="1:19">
      <c r="A1340" s="47" t="s">
        <v>147</v>
      </c>
      <c r="B1340" s="48" t="s">
        <v>148</v>
      </c>
      <c r="C1340" s="32">
        <v>271</v>
      </c>
      <c r="D1340" s="32"/>
      <c r="E1340" s="48" t="s">
        <v>19</v>
      </c>
      <c r="F1340" s="48" t="s">
        <v>14</v>
      </c>
      <c r="G1340" s="48" t="s">
        <v>44</v>
      </c>
      <c r="H1340" s="11">
        <v>13.4</v>
      </c>
      <c r="I1340" s="52">
        <v>12</v>
      </c>
      <c r="J1340" s="7">
        <v>4</v>
      </c>
      <c r="K1340" s="10">
        <v>0.64319999999999999</v>
      </c>
      <c r="L1340" s="32"/>
      <c r="M1340" s="32"/>
      <c r="N1340" s="18">
        <v>0</v>
      </c>
      <c r="O1340" s="19">
        <v>4</v>
      </c>
      <c r="P1340" s="13">
        <v>0.64319999999999999</v>
      </c>
      <c r="Q1340" s="32"/>
      <c r="R1340" s="32"/>
      <c r="S1340" s="32"/>
    </row>
    <row r="1341" spans="1:19">
      <c r="A1341" s="47" t="s">
        <v>147</v>
      </c>
      <c r="B1341" s="48" t="s">
        <v>148</v>
      </c>
      <c r="C1341" s="32">
        <v>271</v>
      </c>
      <c r="D1341" s="32"/>
      <c r="E1341" s="48" t="s">
        <v>19</v>
      </c>
      <c r="F1341" s="48" t="s">
        <v>14</v>
      </c>
      <c r="G1341" s="48" t="s">
        <v>44</v>
      </c>
      <c r="H1341" s="11">
        <v>13.4</v>
      </c>
      <c r="I1341" s="52">
        <v>11.5</v>
      </c>
      <c r="J1341" s="7">
        <v>2</v>
      </c>
      <c r="K1341" s="10">
        <v>0.30819999999999997</v>
      </c>
      <c r="L1341" s="32"/>
      <c r="M1341" s="32"/>
      <c r="N1341" s="18">
        <v>0</v>
      </c>
      <c r="O1341" s="19">
        <v>2</v>
      </c>
      <c r="P1341" s="13">
        <v>0.30819999999999997</v>
      </c>
      <c r="Q1341" s="32"/>
      <c r="R1341" s="32"/>
      <c r="S1341" s="32"/>
    </row>
    <row r="1342" spans="1:19">
      <c r="A1342" s="47" t="s">
        <v>147</v>
      </c>
      <c r="B1342" s="48" t="s">
        <v>148</v>
      </c>
      <c r="C1342" s="32">
        <v>271</v>
      </c>
      <c r="D1342" s="32"/>
      <c r="E1342" s="48" t="s">
        <v>19</v>
      </c>
      <c r="F1342" s="48" t="s">
        <v>14</v>
      </c>
      <c r="G1342" s="48" t="s">
        <v>44</v>
      </c>
      <c r="H1342" s="11">
        <v>13.4</v>
      </c>
      <c r="I1342" s="52">
        <v>11</v>
      </c>
      <c r="J1342" s="7">
        <v>3</v>
      </c>
      <c r="K1342" s="10">
        <v>0.44220000000000004</v>
      </c>
      <c r="L1342" s="32"/>
      <c r="M1342" s="32">
        <v>2</v>
      </c>
      <c r="N1342" s="18">
        <v>0.29480000000000001</v>
      </c>
      <c r="O1342" s="19">
        <v>1</v>
      </c>
      <c r="P1342" s="13">
        <v>0.1474</v>
      </c>
      <c r="Q1342" s="32"/>
      <c r="R1342" s="72">
        <v>2</v>
      </c>
      <c r="S1342" s="72" t="s">
        <v>278</v>
      </c>
    </row>
    <row r="1343" spans="1:19">
      <c r="A1343" s="47" t="s">
        <v>147</v>
      </c>
      <c r="B1343" s="48" t="s">
        <v>148</v>
      </c>
      <c r="C1343" s="32">
        <v>278</v>
      </c>
      <c r="D1343" s="32"/>
      <c r="E1343" s="48" t="s">
        <v>19</v>
      </c>
      <c r="F1343" s="48" t="s">
        <v>14</v>
      </c>
      <c r="G1343" s="48" t="s">
        <v>44</v>
      </c>
      <c r="H1343" s="11">
        <v>13.4</v>
      </c>
      <c r="I1343" s="52">
        <v>10.4</v>
      </c>
      <c r="J1343" s="7">
        <v>2</v>
      </c>
      <c r="K1343" s="10">
        <v>0.27872000000000002</v>
      </c>
      <c r="L1343" s="32"/>
      <c r="M1343" s="32">
        <v>2</v>
      </c>
      <c r="N1343" s="18">
        <v>0.27872000000000002</v>
      </c>
      <c r="O1343" s="19">
        <v>0</v>
      </c>
      <c r="P1343" s="13">
        <v>0</v>
      </c>
      <c r="Q1343" s="32"/>
      <c r="R1343" s="72">
        <v>2</v>
      </c>
      <c r="S1343" s="72" t="s">
        <v>278</v>
      </c>
    </row>
    <row r="1344" spans="1:19">
      <c r="A1344" s="47" t="s">
        <v>147</v>
      </c>
      <c r="B1344" s="48" t="s">
        <v>148</v>
      </c>
      <c r="C1344" s="32">
        <v>362</v>
      </c>
      <c r="D1344" s="32"/>
      <c r="E1344" s="48" t="s">
        <v>24</v>
      </c>
      <c r="F1344" s="48" t="s">
        <v>14</v>
      </c>
      <c r="G1344" s="48" t="s">
        <v>44</v>
      </c>
      <c r="H1344" s="11">
        <v>13.4</v>
      </c>
      <c r="I1344" s="8">
        <v>10.199999999999999</v>
      </c>
      <c r="J1344" s="7">
        <v>3</v>
      </c>
      <c r="K1344" s="10">
        <v>0.41004000000000002</v>
      </c>
      <c r="L1344" s="32"/>
      <c r="M1344" s="32"/>
      <c r="N1344" s="18">
        <v>0</v>
      </c>
      <c r="O1344" s="19">
        <v>3</v>
      </c>
      <c r="P1344" s="13">
        <v>0.41003999999999996</v>
      </c>
      <c r="Q1344" s="32"/>
      <c r="R1344" s="32"/>
      <c r="S1344" s="32"/>
    </row>
    <row r="1345" spans="1:19">
      <c r="R1345" s="76">
        <f>SUM(R1342:R1344)</f>
        <v>4</v>
      </c>
    </row>
    <row r="1347" spans="1:19">
      <c r="A1347" s="45" t="s">
        <v>136</v>
      </c>
      <c r="B1347" s="32" t="s">
        <v>137</v>
      </c>
      <c r="C1347" s="3">
        <v>38</v>
      </c>
      <c r="D1347" s="32"/>
      <c r="E1347" s="20" t="s">
        <v>113</v>
      </c>
      <c r="F1347" s="7" t="s">
        <v>15</v>
      </c>
      <c r="G1347" s="7" t="s">
        <v>44</v>
      </c>
      <c r="H1347" s="11">
        <v>13.4</v>
      </c>
      <c r="I1347" s="55">
        <v>11.75</v>
      </c>
      <c r="J1347" s="40">
        <v>1</v>
      </c>
      <c r="K1347" s="10">
        <v>0.15745000000000001</v>
      </c>
      <c r="L1347" s="4"/>
      <c r="M1347" s="17">
        <v>1</v>
      </c>
      <c r="N1347" s="18">
        <v>0.15745000000000001</v>
      </c>
      <c r="O1347" s="19">
        <v>0</v>
      </c>
      <c r="P1347" s="13">
        <v>0</v>
      </c>
      <c r="Q1347" s="32"/>
      <c r="R1347" s="72">
        <v>1</v>
      </c>
      <c r="S1347" s="72" t="s">
        <v>278</v>
      </c>
    </row>
    <row r="1348" spans="1:19">
      <c r="A1348" s="45" t="s">
        <v>136</v>
      </c>
      <c r="B1348" s="32" t="s">
        <v>137</v>
      </c>
      <c r="C1348" s="3">
        <v>54</v>
      </c>
      <c r="D1348" s="32"/>
      <c r="E1348" s="20" t="s">
        <v>20</v>
      </c>
      <c r="F1348" s="7" t="s">
        <v>15</v>
      </c>
      <c r="G1348" s="7" t="s">
        <v>44</v>
      </c>
      <c r="H1348" s="11">
        <v>13.4</v>
      </c>
      <c r="I1348" s="55">
        <v>6.5</v>
      </c>
      <c r="J1348" s="40">
        <v>1</v>
      </c>
      <c r="K1348" s="10">
        <v>8.7100000000000011E-2</v>
      </c>
      <c r="L1348" s="4"/>
      <c r="M1348" s="17"/>
      <c r="N1348" s="18">
        <v>0</v>
      </c>
      <c r="O1348" s="19">
        <v>1</v>
      </c>
      <c r="P1348" s="13">
        <v>8.7100000000000011E-2</v>
      </c>
      <c r="Q1348" s="32"/>
      <c r="R1348" s="32"/>
      <c r="S1348" s="32"/>
    </row>
    <row r="1349" spans="1:19">
      <c r="A1349" s="45" t="s">
        <v>136</v>
      </c>
      <c r="B1349" s="32" t="s">
        <v>137</v>
      </c>
      <c r="C1349" s="3">
        <v>54</v>
      </c>
      <c r="D1349" s="32"/>
      <c r="E1349" s="20" t="s">
        <v>20</v>
      </c>
      <c r="F1349" s="7" t="s">
        <v>15</v>
      </c>
      <c r="G1349" s="7" t="s">
        <v>44</v>
      </c>
      <c r="H1349" s="11">
        <v>13.4</v>
      </c>
      <c r="I1349" s="55">
        <v>12</v>
      </c>
      <c r="J1349" s="40">
        <v>3</v>
      </c>
      <c r="K1349" s="10">
        <v>0.48240000000000005</v>
      </c>
      <c r="L1349" s="4"/>
      <c r="M1349" s="17">
        <v>3</v>
      </c>
      <c r="N1349" s="18">
        <v>0.48240000000000005</v>
      </c>
      <c r="O1349" s="19">
        <v>0</v>
      </c>
      <c r="P1349" s="13">
        <v>0</v>
      </c>
      <c r="Q1349" s="32"/>
      <c r="R1349" s="72">
        <v>3</v>
      </c>
      <c r="S1349" s="72" t="s">
        <v>278</v>
      </c>
    </row>
    <row r="1350" spans="1:19">
      <c r="O1350" s="78">
        <f>SUM(O1347:O1349)</f>
        <v>1</v>
      </c>
      <c r="R1350" s="78">
        <f>SUM(R1347:R1349)</f>
        <v>4</v>
      </c>
    </row>
    <row r="1352" spans="1:19">
      <c r="A1352" s="42" t="s">
        <v>90</v>
      </c>
      <c r="B1352" s="48" t="s">
        <v>148</v>
      </c>
      <c r="C1352" s="32">
        <v>51</v>
      </c>
      <c r="D1352" s="32"/>
      <c r="E1352" s="48" t="s">
        <v>89</v>
      </c>
      <c r="F1352" s="48" t="s">
        <v>15</v>
      </c>
      <c r="G1352" s="48" t="s">
        <v>37</v>
      </c>
      <c r="H1352" s="11">
        <v>18.149999999999999</v>
      </c>
      <c r="I1352" s="52">
        <v>6</v>
      </c>
      <c r="J1352" s="7">
        <v>1</v>
      </c>
      <c r="K1352" s="10">
        <v>0.1089</v>
      </c>
      <c r="L1352" s="32"/>
      <c r="M1352" s="32"/>
      <c r="N1352" s="18">
        <v>0</v>
      </c>
      <c r="O1352" s="19">
        <v>1</v>
      </c>
      <c r="P1352" s="13">
        <v>0.1089</v>
      </c>
      <c r="Q1352" s="32"/>
      <c r="R1352" s="32"/>
      <c r="S1352" s="32"/>
    </row>
    <row r="1353" spans="1:19">
      <c r="A1353" s="42" t="s">
        <v>90</v>
      </c>
      <c r="B1353" s="3"/>
      <c r="C1353" s="3">
        <v>108</v>
      </c>
      <c r="D1353" s="1" t="s">
        <v>93</v>
      </c>
      <c r="E1353" s="20" t="s">
        <v>89</v>
      </c>
      <c r="F1353" s="7" t="s">
        <v>15</v>
      </c>
      <c r="G1353" s="7" t="s">
        <v>37</v>
      </c>
      <c r="H1353" s="11">
        <v>18.149999999999999</v>
      </c>
      <c r="I1353" s="8">
        <v>6.1</v>
      </c>
      <c r="J1353" s="26">
        <v>1</v>
      </c>
      <c r="K1353" s="10">
        <v>0.11071499999999999</v>
      </c>
      <c r="L1353" s="4"/>
      <c r="M1353" s="17">
        <v>1</v>
      </c>
      <c r="N1353" s="18">
        <v>0.11071499999999999</v>
      </c>
      <c r="O1353" s="19">
        <v>0</v>
      </c>
      <c r="P1353" s="13">
        <v>0</v>
      </c>
      <c r="Q1353" s="9"/>
      <c r="R1353" s="74">
        <v>1</v>
      </c>
      <c r="S1353" s="74" t="s">
        <v>278</v>
      </c>
    </row>
    <row r="1354" spans="1:19">
      <c r="A1354" s="42" t="s">
        <v>90</v>
      </c>
      <c r="B1354" s="3"/>
      <c r="C1354" s="3">
        <v>108</v>
      </c>
      <c r="D1354" s="1" t="s">
        <v>93</v>
      </c>
      <c r="E1354" s="20" t="s">
        <v>89</v>
      </c>
      <c r="F1354" s="7" t="s">
        <v>15</v>
      </c>
      <c r="G1354" s="7" t="s">
        <v>37</v>
      </c>
      <c r="H1354" s="11">
        <v>18.149999999999999</v>
      </c>
      <c r="I1354" s="8">
        <v>11.5</v>
      </c>
      <c r="J1354" s="26">
        <v>1</v>
      </c>
      <c r="K1354" s="10">
        <v>0.20872499999999999</v>
      </c>
      <c r="L1354" s="4"/>
      <c r="M1354" s="17">
        <v>1</v>
      </c>
      <c r="N1354" s="18">
        <v>0.20872499999999999</v>
      </c>
      <c r="O1354" s="19">
        <v>0</v>
      </c>
      <c r="P1354" s="13">
        <v>0</v>
      </c>
      <c r="Q1354" s="9"/>
      <c r="R1354" s="74">
        <v>1</v>
      </c>
      <c r="S1354" s="74" t="s">
        <v>278</v>
      </c>
    </row>
    <row r="1355" spans="1:19">
      <c r="A1355" s="42" t="s">
        <v>90</v>
      </c>
      <c r="B1355" s="3"/>
      <c r="C1355" s="3">
        <v>108</v>
      </c>
      <c r="D1355" s="1" t="s">
        <v>93</v>
      </c>
      <c r="E1355" s="20" t="s">
        <v>89</v>
      </c>
      <c r="F1355" s="7" t="s">
        <v>15</v>
      </c>
      <c r="G1355" s="7" t="s">
        <v>37</v>
      </c>
      <c r="H1355" s="11">
        <v>18.149999999999999</v>
      </c>
      <c r="I1355" s="8">
        <v>12</v>
      </c>
      <c r="J1355" s="26">
        <v>1</v>
      </c>
      <c r="K1355" s="10">
        <v>0.21779999999999999</v>
      </c>
      <c r="L1355" s="4"/>
      <c r="M1355" s="17">
        <v>1</v>
      </c>
      <c r="N1355" s="18">
        <v>0.21779999999999999</v>
      </c>
      <c r="O1355" s="19">
        <v>0</v>
      </c>
      <c r="P1355" s="13">
        <v>0</v>
      </c>
      <c r="Q1355" s="9"/>
      <c r="R1355" s="74">
        <v>1</v>
      </c>
      <c r="S1355" s="74" t="s">
        <v>278</v>
      </c>
    </row>
    <row r="1356" spans="1:19">
      <c r="A1356" s="42" t="s">
        <v>90</v>
      </c>
      <c r="B1356" s="3"/>
      <c r="C1356" s="3">
        <v>112</v>
      </c>
      <c r="D1356" s="1"/>
      <c r="E1356" s="20" t="s">
        <v>20</v>
      </c>
      <c r="F1356" s="7" t="s">
        <v>15</v>
      </c>
      <c r="G1356" s="7" t="s">
        <v>37</v>
      </c>
      <c r="H1356" s="11">
        <v>18.149999999999999</v>
      </c>
      <c r="I1356" s="8">
        <v>9.6</v>
      </c>
      <c r="J1356" s="26">
        <v>1</v>
      </c>
      <c r="K1356" s="10">
        <v>0.17423999999999998</v>
      </c>
      <c r="L1356" s="4"/>
      <c r="M1356" s="17"/>
      <c r="N1356" s="18">
        <v>0</v>
      </c>
      <c r="O1356" s="19">
        <v>1</v>
      </c>
      <c r="P1356" s="13">
        <v>0.17423999999999998</v>
      </c>
      <c r="Q1356" s="9"/>
      <c r="R1356" s="2"/>
      <c r="S1356" s="2"/>
    </row>
    <row r="1357" spans="1:19">
      <c r="A1357" s="42" t="s">
        <v>90</v>
      </c>
      <c r="B1357" s="3"/>
      <c r="C1357" s="3"/>
      <c r="D1357" s="1"/>
      <c r="E1357" s="20"/>
      <c r="F1357" s="7" t="s">
        <v>15</v>
      </c>
      <c r="G1357" s="7" t="s">
        <v>37</v>
      </c>
      <c r="H1357" s="11">
        <v>18.149999999999999</v>
      </c>
      <c r="I1357" s="8">
        <v>12</v>
      </c>
      <c r="J1357" s="26">
        <v>1</v>
      </c>
      <c r="K1357" s="10">
        <v>0.21779999999999999</v>
      </c>
      <c r="L1357" s="4"/>
      <c r="M1357" s="17"/>
      <c r="N1357" s="18">
        <v>0</v>
      </c>
      <c r="O1357" s="19">
        <v>1</v>
      </c>
      <c r="P1357" s="13">
        <v>0.21779999999999999</v>
      </c>
      <c r="Q1357" s="9"/>
      <c r="R1357" s="2"/>
      <c r="S1357" s="2"/>
    </row>
    <row r="1358" spans="1:19">
      <c r="A1358" s="42" t="s">
        <v>90</v>
      </c>
      <c r="B1358" s="3"/>
      <c r="C1358" s="3">
        <v>235</v>
      </c>
      <c r="D1358" s="1"/>
      <c r="E1358" s="20" t="s">
        <v>20</v>
      </c>
      <c r="F1358" s="7" t="s">
        <v>15</v>
      </c>
      <c r="G1358" s="7" t="s">
        <v>37</v>
      </c>
      <c r="H1358" s="11">
        <v>18.149999999999999</v>
      </c>
      <c r="I1358" s="8">
        <v>11.5</v>
      </c>
      <c r="J1358" s="26">
        <v>2</v>
      </c>
      <c r="K1358" s="10">
        <v>0.41744999999999999</v>
      </c>
      <c r="L1358" s="4"/>
      <c r="M1358" s="17"/>
      <c r="N1358" s="18">
        <v>0</v>
      </c>
      <c r="O1358" s="19">
        <v>2</v>
      </c>
      <c r="P1358" s="13">
        <v>0.41744999999999999</v>
      </c>
      <c r="Q1358" s="9"/>
      <c r="R1358" s="32"/>
      <c r="S1358" s="32"/>
    </row>
    <row r="1359" spans="1:19">
      <c r="O1359" s="6">
        <f>SUM(O1352:O1358)</f>
        <v>5</v>
      </c>
      <c r="R1359" s="6">
        <f>SUM(R1352:R1358)</f>
        <v>3</v>
      </c>
    </row>
    <row r="1361" spans="1:19">
      <c r="A1361" s="42" t="s">
        <v>77</v>
      </c>
      <c r="B1361" s="3" t="s">
        <v>68</v>
      </c>
      <c r="C1361" s="3">
        <v>141</v>
      </c>
      <c r="D1361" s="1"/>
      <c r="E1361" s="20" t="s">
        <v>20</v>
      </c>
      <c r="F1361" s="7" t="s">
        <v>15</v>
      </c>
      <c r="G1361" s="7" t="s">
        <v>62</v>
      </c>
      <c r="H1361" s="11">
        <v>19.899999999999999</v>
      </c>
      <c r="I1361" s="8">
        <v>11</v>
      </c>
      <c r="J1361" s="26">
        <v>1</v>
      </c>
      <c r="K1361" s="10">
        <f t="shared" ref="K1361:K1362" si="80">(H1361*I1361*J1361/1000)</f>
        <v>0.21889999999999998</v>
      </c>
      <c r="L1361" s="4"/>
      <c r="M1361" s="17"/>
      <c r="N1361" s="18">
        <f t="shared" ref="N1361:N1362" si="81">I1361*M1361*H1361/1000</f>
        <v>0</v>
      </c>
      <c r="O1361" s="19">
        <f t="shared" ref="O1361:O1362" si="82">J1361-M1361</f>
        <v>1</v>
      </c>
      <c r="P1361" s="13">
        <f t="shared" ref="P1361:P1362" si="83">I1361*O1361*H1361/1000</f>
        <v>0.21889999999999998</v>
      </c>
      <c r="Q1361" s="9"/>
      <c r="R1361" s="2"/>
      <c r="S1361" s="2"/>
    </row>
    <row r="1362" spans="1:19">
      <c r="A1362" s="42" t="s">
        <v>77</v>
      </c>
      <c r="B1362" s="3" t="s">
        <v>68</v>
      </c>
      <c r="C1362" s="3">
        <v>141</v>
      </c>
      <c r="D1362" s="1"/>
      <c r="E1362" s="20" t="s">
        <v>20</v>
      </c>
      <c r="F1362" s="7" t="s">
        <v>15</v>
      </c>
      <c r="G1362" s="7" t="s">
        <v>62</v>
      </c>
      <c r="H1362" s="11">
        <v>19.899999999999999</v>
      </c>
      <c r="I1362" s="8">
        <v>12</v>
      </c>
      <c r="J1362" s="26">
        <v>1</v>
      </c>
      <c r="K1362" s="10">
        <f t="shared" si="80"/>
        <v>0.23879999999999998</v>
      </c>
      <c r="L1362" s="4"/>
      <c r="M1362" s="17">
        <v>1</v>
      </c>
      <c r="N1362" s="18">
        <f t="shared" si="81"/>
        <v>0.23879999999999998</v>
      </c>
      <c r="O1362" s="19">
        <f t="shared" si="82"/>
        <v>0</v>
      </c>
      <c r="P1362" s="13">
        <f t="shared" si="83"/>
        <v>0</v>
      </c>
      <c r="Q1362" s="9"/>
      <c r="R1362" s="74">
        <v>1</v>
      </c>
      <c r="S1362" s="74" t="s">
        <v>278</v>
      </c>
    </row>
    <row r="1366" spans="1:19">
      <c r="A1366" s="42" t="s">
        <v>90</v>
      </c>
      <c r="B1366" s="3"/>
      <c r="C1366" s="3">
        <v>202</v>
      </c>
      <c r="D1366" s="1"/>
      <c r="E1366" s="30" t="s">
        <v>20</v>
      </c>
      <c r="F1366" s="7" t="s">
        <v>15</v>
      </c>
      <c r="G1366" s="7" t="s">
        <v>39</v>
      </c>
      <c r="H1366" s="11">
        <v>14.66</v>
      </c>
      <c r="I1366" s="8">
        <v>10.7</v>
      </c>
      <c r="J1366" s="17">
        <v>1</v>
      </c>
      <c r="K1366" s="10">
        <v>0.156862</v>
      </c>
      <c r="L1366" s="32"/>
      <c r="M1366" s="32"/>
      <c r="N1366" s="18">
        <v>0</v>
      </c>
      <c r="O1366" s="19">
        <v>1</v>
      </c>
      <c r="P1366" s="13">
        <v>0.156862</v>
      </c>
      <c r="Q1366" s="32"/>
      <c r="R1366" s="32"/>
      <c r="S1366" s="32"/>
    </row>
    <row r="1367" spans="1:19">
      <c r="A1367" s="42" t="s">
        <v>90</v>
      </c>
      <c r="B1367" s="3"/>
      <c r="C1367" s="3">
        <v>202</v>
      </c>
      <c r="D1367" s="1"/>
      <c r="E1367" s="30" t="s">
        <v>20</v>
      </c>
      <c r="F1367" s="7" t="s">
        <v>15</v>
      </c>
      <c r="G1367" s="7" t="s">
        <v>39</v>
      </c>
      <c r="H1367" s="11">
        <v>14.66</v>
      </c>
      <c r="I1367" s="31">
        <v>10</v>
      </c>
      <c r="J1367" s="17">
        <v>1</v>
      </c>
      <c r="K1367" s="10">
        <v>0.14660000000000001</v>
      </c>
      <c r="L1367" s="32"/>
      <c r="M1367" s="32">
        <v>1</v>
      </c>
      <c r="N1367" s="18">
        <v>0.14660000000000001</v>
      </c>
      <c r="O1367" s="19">
        <v>0</v>
      </c>
      <c r="P1367" s="13">
        <v>0</v>
      </c>
      <c r="Q1367" s="32"/>
      <c r="R1367" s="72">
        <v>1</v>
      </c>
      <c r="S1367" s="72" t="s">
        <v>278</v>
      </c>
    </row>
    <row r="1368" spans="1:19">
      <c r="A1368" s="42" t="s">
        <v>90</v>
      </c>
      <c r="B1368" s="3"/>
      <c r="C1368" s="3">
        <v>202</v>
      </c>
      <c r="D1368" s="1"/>
      <c r="E1368" s="30" t="s">
        <v>20</v>
      </c>
      <c r="F1368" s="7" t="s">
        <v>15</v>
      </c>
      <c r="G1368" s="7" t="s">
        <v>39</v>
      </c>
      <c r="H1368" s="11">
        <v>14.66</v>
      </c>
      <c r="I1368" s="31">
        <v>6.5</v>
      </c>
      <c r="J1368" s="17">
        <v>1</v>
      </c>
      <c r="K1368" s="10">
        <v>9.529E-2</v>
      </c>
      <c r="L1368" s="32"/>
      <c r="M1368" s="32"/>
      <c r="N1368" s="18">
        <v>0</v>
      </c>
      <c r="O1368" s="19">
        <v>1</v>
      </c>
      <c r="P1368" s="13">
        <v>9.529E-2</v>
      </c>
      <c r="Q1368" s="32"/>
      <c r="R1368" s="32"/>
      <c r="S1368" s="32"/>
    </row>
    <row r="1369" spans="1:19">
      <c r="A1369" s="45" t="s">
        <v>136</v>
      </c>
      <c r="B1369" s="32" t="s">
        <v>137</v>
      </c>
      <c r="C1369" s="3">
        <v>4</v>
      </c>
      <c r="D1369" s="32"/>
      <c r="E1369" s="20" t="s">
        <v>20</v>
      </c>
      <c r="F1369" s="7" t="s">
        <v>15</v>
      </c>
      <c r="G1369" s="7" t="s">
        <v>39</v>
      </c>
      <c r="H1369" s="11">
        <v>14.66</v>
      </c>
      <c r="I1369" s="33">
        <v>10.5</v>
      </c>
      <c r="J1369" s="40">
        <v>1</v>
      </c>
      <c r="K1369" s="10">
        <v>0.15393000000000001</v>
      </c>
      <c r="L1369" s="4"/>
      <c r="M1369" s="17"/>
      <c r="N1369" s="18">
        <v>0</v>
      </c>
      <c r="O1369" s="19">
        <v>1</v>
      </c>
      <c r="P1369" s="13">
        <v>0.15393000000000001</v>
      </c>
      <c r="Q1369" s="32"/>
      <c r="R1369" s="32"/>
      <c r="S1369" s="32"/>
    </row>
    <row r="1370" spans="1:19">
      <c r="A1370" s="45" t="s">
        <v>136</v>
      </c>
      <c r="B1370" s="32" t="s">
        <v>137</v>
      </c>
      <c r="C1370" s="3">
        <v>76</v>
      </c>
      <c r="D1370" s="32"/>
      <c r="E1370" s="20" t="s">
        <v>20</v>
      </c>
      <c r="F1370" s="7" t="s">
        <v>15</v>
      </c>
      <c r="G1370" s="7" t="s">
        <v>39</v>
      </c>
      <c r="H1370" s="11">
        <v>14.66</v>
      </c>
      <c r="I1370" s="33">
        <v>6.5</v>
      </c>
      <c r="J1370" s="40">
        <v>1</v>
      </c>
      <c r="K1370" s="10">
        <v>9.529E-2</v>
      </c>
      <c r="L1370" s="4"/>
      <c r="M1370" s="17"/>
      <c r="N1370" s="18">
        <v>0</v>
      </c>
      <c r="O1370" s="19">
        <v>1</v>
      </c>
      <c r="P1370" s="13">
        <v>9.529E-2</v>
      </c>
      <c r="Q1370" s="32"/>
      <c r="R1370" s="32"/>
      <c r="S1370" s="32"/>
    </row>
    <row r="1371" spans="1:19">
      <c r="A1371" s="45" t="s">
        <v>136</v>
      </c>
      <c r="B1371" s="32" t="s">
        <v>137</v>
      </c>
      <c r="C1371" s="3">
        <v>83</v>
      </c>
      <c r="D1371" s="32"/>
      <c r="E1371" s="20" t="s">
        <v>20</v>
      </c>
      <c r="F1371" s="7" t="s">
        <v>15</v>
      </c>
      <c r="G1371" s="7" t="s">
        <v>39</v>
      </c>
      <c r="H1371" s="11">
        <v>14.66</v>
      </c>
      <c r="I1371" s="33">
        <v>8.3000000000000007</v>
      </c>
      <c r="J1371" s="40">
        <v>2</v>
      </c>
      <c r="K1371" s="10">
        <v>0.24335600000000002</v>
      </c>
      <c r="L1371" s="4"/>
      <c r="M1371" s="17"/>
      <c r="N1371" s="18">
        <v>0</v>
      </c>
      <c r="O1371" s="19">
        <v>2</v>
      </c>
      <c r="P1371" s="13">
        <v>0.24335600000000002</v>
      </c>
      <c r="Q1371" s="32"/>
      <c r="R1371" s="32"/>
      <c r="S1371" s="32"/>
    </row>
    <row r="1372" spans="1:19">
      <c r="A1372" s="45" t="s">
        <v>136</v>
      </c>
      <c r="B1372" s="32" t="s">
        <v>137</v>
      </c>
      <c r="C1372" s="3">
        <v>83</v>
      </c>
      <c r="D1372" s="32"/>
      <c r="E1372" s="20" t="s">
        <v>20</v>
      </c>
      <c r="F1372" s="7" t="s">
        <v>15</v>
      </c>
      <c r="G1372" s="7" t="s">
        <v>39</v>
      </c>
      <c r="H1372" s="11">
        <v>14.66</v>
      </c>
      <c r="I1372" s="33">
        <v>8</v>
      </c>
      <c r="J1372" s="40">
        <v>1</v>
      </c>
      <c r="K1372" s="10">
        <v>0.11728</v>
      </c>
      <c r="L1372" s="4"/>
      <c r="M1372" s="17"/>
      <c r="N1372" s="18">
        <v>0</v>
      </c>
      <c r="O1372" s="19">
        <v>1</v>
      </c>
      <c r="P1372" s="13">
        <v>0.11728</v>
      </c>
      <c r="Q1372" s="32"/>
      <c r="R1372" s="32"/>
      <c r="S1372" s="32"/>
    </row>
    <row r="1375" spans="1:19">
      <c r="A1375" s="42" t="s">
        <v>77</v>
      </c>
      <c r="B1375" s="3" t="s">
        <v>68</v>
      </c>
      <c r="C1375" s="3">
        <v>230</v>
      </c>
      <c r="D1375" s="1"/>
      <c r="E1375" s="20" t="s">
        <v>63</v>
      </c>
      <c r="F1375" s="7" t="s">
        <v>15</v>
      </c>
      <c r="G1375" s="7" t="s">
        <v>40</v>
      </c>
      <c r="H1375" s="11">
        <v>16.5</v>
      </c>
      <c r="I1375" s="8">
        <v>7.1</v>
      </c>
      <c r="J1375" s="26">
        <v>1</v>
      </c>
      <c r="K1375" s="10">
        <v>0.11714999999999999</v>
      </c>
      <c r="L1375" s="4"/>
      <c r="M1375" s="17"/>
      <c r="N1375" s="18">
        <v>0</v>
      </c>
      <c r="O1375" s="19">
        <v>1</v>
      </c>
      <c r="P1375" s="13">
        <v>0.11714999999999999</v>
      </c>
      <c r="Q1375" s="9"/>
      <c r="R1375" s="2"/>
      <c r="S1375" s="2"/>
    </row>
    <row r="1376" spans="1:19">
      <c r="A1376" s="42" t="s">
        <v>77</v>
      </c>
      <c r="B1376" s="3" t="s">
        <v>68</v>
      </c>
      <c r="C1376" s="3">
        <v>240</v>
      </c>
      <c r="D1376" s="1"/>
      <c r="E1376" s="12" t="s">
        <v>20</v>
      </c>
      <c r="F1376" s="7" t="s">
        <v>15</v>
      </c>
      <c r="G1376" s="7" t="s">
        <v>40</v>
      </c>
      <c r="H1376" s="11">
        <v>16.5</v>
      </c>
      <c r="I1376" s="8">
        <v>7.6</v>
      </c>
      <c r="J1376" s="26">
        <v>1</v>
      </c>
      <c r="K1376" s="10">
        <v>0.12539999999999998</v>
      </c>
      <c r="L1376" s="4"/>
      <c r="M1376" s="17">
        <v>1</v>
      </c>
      <c r="N1376" s="18">
        <v>0.12539999999999998</v>
      </c>
      <c r="O1376" s="19">
        <v>0</v>
      </c>
      <c r="P1376" s="13">
        <v>0</v>
      </c>
      <c r="Q1376" s="9"/>
      <c r="R1376" s="74">
        <v>1</v>
      </c>
      <c r="S1376" s="74" t="s">
        <v>278</v>
      </c>
    </row>
    <row r="1377" spans="1:19">
      <c r="A1377" s="42" t="s">
        <v>90</v>
      </c>
      <c r="B1377" s="48" t="s">
        <v>148</v>
      </c>
      <c r="C1377" s="32">
        <v>54</v>
      </c>
      <c r="D1377" s="32"/>
      <c r="E1377" s="48" t="s">
        <v>20</v>
      </c>
      <c r="F1377" s="48" t="s">
        <v>15</v>
      </c>
      <c r="G1377" s="48" t="s">
        <v>40</v>
      </c>
      <c r="H1377" s="11">
        <v>16.5</v>
      </c>
      <c r="I1377" s="52">
        <v>8</v>
      </c>
      <c r="J1377" s="7">
        <v>1</v>
      </c>
      <c r="K1377" s="10">
        <v>0.13200000000000001</v>
      </c>
      <c r="L1377" s="32"/>
      <c r="M1377" s="32">
        <v>1</v>
      </c>
      <c r="N1377" s="18">
        <v>0.13200000000000001</v>
      </c>
      <c r="O1377" s="19">
        <v>0</v>
      </c>
      <c r="P1377" s="13">
        <v>0</v>
      </c>
      <c r="Q1377" s="32"/>
      <c r="R1377" s="111"/>
      <c r="S1377" s="111"/>
    </row>
    <row r="1378" spans="1:19">
      <c r="A1378" s="42" t="s">
        <v>90</v>
      </c>
      <c r="B1378" s="3"/>
      <c r="C1378" s="3">
        <v>107</v>
      </c>
      <c r="D1378" s="1"/>
      <c r="E1378" s="20" t="s">
        <v>20</v>
      </c>
      <c r="F1378" s="7" t="s">
        <v>15</v>
      </c>
      <c r="G1378" s="7" t="s">
        <v>40</v>
      </c>
      <c r="H1378" s="11">
        <v>16.5</v>
      </c>
      <c r="I1378" s="8">
        <v>8.6999999999999993</v>
      </c>
      <c r="J1378" s="26">
        <v>1</v>
      </c>
      <c r="K1378" s="10">
        <v>0.14354999999999998</v>
      </c>
      <c r="L1378" s="4"/>
      <c r="M1378" s="17">
        <v>1</v>
      </c>
      <c r="N1378" s="18">
        <v>0.14354999999999998</v>
      </c>
      <c r="O1378" s="19">
        <v>0</v>
      </c>
      <c r="P1378" s="13">
        <v>0</v>
      </c>
      <c r="Q1378" s="9"/>
      <c r="R1378" s="2"/>
      <c r="S1378" s="111"/>
    </row>
    <row r="1379" spans="1:19">
      <c r="A1379" s="42" t="s">
        <v>90</v>
      </c>
      <c r="B1379" s="3"/>
      <c r="C1379" s="3">
        <v>111</v>
      </c>
      <c r="D1379" s="1"/>
      <c r="E1379" s="20" t="s">
        <v>20</v>
      </c>
      <c r="F1379" s="7" t="s">
        <v>15</v>
      </c>
      <c r="G1379" s="7" t="s">
        <v>40</v>
      </c>
      <c r="H1379" s="11">
        <v>16.5</v>
      </c>
      <c r="I1379" s="8">
        <v>5.7</v>
      </c>
      <c r="J1379" s="26">
        <v>1</v>
      </c>
      <c r="K1379" s="10">
        <v>9.4049999999999995E-2</v>
      </c>
      <c r="L1379" s="4"/>
      <c r="M1379" s="17">
        <v>1</v>
      </c>
      <c r="N1379" s="18">
        <v>9.4049999999999995E-2</v>
      </c>
      <c r="O1379" s="19">
        <v>0</v>
      </c>
      <c r="P1379" s="13">
        <v>0</v>
      </c>
      <c r="Q1379" s="9"/>
      <c r="R1379" s="74">
        <v>1</v>
      </c>
      <c r="S1379" s="74" t="s">
        <v>278</v>
      </c>
    </row>
    <row r="1380" spans="1:19">
      <c r="A1380" s="42" t="s">
        <v>90</v>
      </c>
      <c r="B1380" s="3"/>
      <c r="C1380" s="3">
        <v>116</v>
      </c>
      <c r="D1380" s="1"/>
      <c r="E1380" s="20" t="s">
        <v>20</v>
      </c>
      <c r="F1380" s="7" t="s">
        <v>15</v>
      </c>
      <c r="G1380" s="7" t="s">
        <v>40</v>
      </c>
      <c r="H1380" s="11">
        <v>16.5</v>
      </c>
      <c r="I1380" s="8">
        <v>9.8000000000000007</v>
      </c>
      <c r="J1380" s="26">
        <v>1</v>
      </c>
      <c r="K1380" s="10">
        <v>0.16170000000000001</v>
      </c>
      <c r="L1380" s="4" t="s">
        <v>26</v>
      </c>
      <c r="M1380" s="17">
        <v>1</v>
      </c>
      <c r="N1380" s="18">
        <v>0.16170000000000001</v>
      </c>
      <c r="O1380" s="19">
        <v>0</v>
      </c>
      <c r="P1380" s="13">
        <v>0</v>
      </c>
      <c r="Q1380" s="9"/>
      <c r="R1380" s="74">
        <v>1</v>
      </c>
      <c r="S1380" s="74" t="s">
        <v>278</v>
      </c>
    </row>
    <row r="1381" spans="1:19">
      <c r="A1381" s="42" t="s">
        <v>90</v>
      </c>
      <c r="B1381" s="3"/>
      <c r="C1381" s="3">
        <v>116</v>
      </c>
      <c r="D1381" s="1"/>
      <c r="E1381" s="20" t="s">
        <v>20</v>
      </c>
      <c r="F1381" s="7" t="s">
        <v>15</v>
      </c>
      <c r="G1381" s="7" t="s">
        <v>40</v>
      </c>
      <c r="H1381" s="11">
        <v>16.5</v>
      </c>
      <c r="I1381" s="8">
        <v>8.1999999999999993</v>
      </c>
      <c r="J1381" s="26">
        <v>1</v>
      </c>
      <c r="K1381" s="10">
        <v>0.13529999999999998</v>
      </c>
      <c r="L1381" s="4" t="s">
        <v>26</v>
      </c>
      <c r="M1381" s="17">
        <v>1</v>
      </c>
      <c r="N1381" s="18">
        <v>0.13529999999999998</v>
      </c>
      <c r="O1381" s="19">
        <v>0</v>
      </c>
      <c r="P1381" s="13">
        <v>0</v>
      </c>
      <c r="Q1381" s="9"/>
      <c r="R1381" s="74">
        <v>1</v>
      </c>
      <c r="S1381" s="74" t="s">
        <v>278</v>
      </c>
    </row>
    <row r="1382" spans="1:19">
      <c r="A1382" s="42" t="s">
        <v>90</v>
      </c>
      <c r="B1382" s="3"/>
      <c r="C1382" s="3">
        <v>116</v>
      </c>
      <c r="D1382" s="1"/>
      <c r="E1382" s="20" t="s">
        <v>20</v>
      </c>
      <c r="F1382" s="7" t="s">
        <v>15</v>
      </c>
      <c r="G1382" s="7" t="s">
        <v>40</v>
      </c>
      <c r="H1382" s="11">
        <v>16.5</v>
      </c>
      <c r="I1382" s="8">
        <v>5.7</v>
      </c>
      <c r="J1382" s="26">
        <v>1</v>
      </c>
      <c r="K1382" s="10">
        <v>9.4049999999999995E-2</v>
      </c>
      <c r="L1382" s="4" t="s">
        <v>26</v>
      </c>
      <c r="M1382" s="17">
        <v>1</v>
      </c>
      <c r="N1382" s="18">
        <v>9.4049999999999995E-2</v>
      </c>
      <c r="O1382" s="19">
        <v>0</v>
      </c>
      <c r="P1382" s="13">
        <v>0</v>
      </c>
      <c r="Q1382" s="9"/>
      <c r="R1382" s="74">
        <v>1</v>
      </c>
      <c r="S1382" s="74" t="s">
        <v>278</v>
      </c>
    </row>
    <row r="1383" spans="1:19">
      <c r="A1383" s="42" t="s">
        <v>90</v>
      </c>
      <c r="B1383" s="3"/>
      <c r="C1383" s="3">
        <v>130</v>
      </c>
      <c r="D1383" s="1"/>
      <c r="E1383" s="20" t="s">
        <v>17</v>
      </c>
      <c r="F1383" s="7" t="s">
        <v>15</v>
      </c>
      <c r="G1383" s="7" t="s">
        <v>40</v>
      </c>
      <c r="H1383" s="11">
        <v>16.5</v>
      </c>
      <c r="I1383" s="8">
        <v>8.5</v>
      </c>
      <c r="J1383" s="26">
        <v>2</v>
      </c>
      <c r="K1383" s="10">
        <v>0.28050000000000003</v>
      </c>
      <c r="L1383" s="4"/>
      <c r="M1383" s="17">
        <v>2</v>
      </c>
      <c r="N1383" s="18">
        <v>0.28050000000000003</v>
      </c>
      <c r="O1383" s="19">
        <v>0</v>
      </c>
      <c r="P1383" s="13">
        <v>0</v>
      </c>
      <c r="Q1383" s="9"/>
      <c r="R1383" s="74">
        <v>2</v>
      </c>
      <c r="S1383" s="74" t="s">
        <v>278</v>
      </c>
    </row>
    <row r="1384" spans="1:19">
      <c r="A1384" s="42" t="s">
        <v>90</v>
      </c>
      <c r="B1384" s="3"/>
      <c r="C1384" s="3">
        <v>130</v>
      </c>
      <c r="D1384" s="1"/>
      <c r="E1384" s="20" t="s">
        <v>17</v>
      </c>
      <c r="F1384" s="7" t="s">
        <v>15</v>
      </c>
      <c r="G1384" s="7" t="s">
        <v>40</v>
      </c>
      <c r="H1384" s="11">
        <v>16.5</v>
      </c>
      <c r="I1384" s="8">
        <v>8.3000000000000007</v>
      </c>
      <c r="J1384" s="26">
        <v>1</v>
      </c>
      <c r="K1384" s="10">
        <v>0.13695000000000002</v>
      </c>
      <c r="L1384" s="4"/>
      <c r="M1384" s="17">
        <v>1</v>
      </c>
      <c r="N1384" s="18">
        <v>0.13695000000000002</v>
      </c>
      <c r="O1384" s="19">
        <v>0</v>
      </c>
      <c r="P1384" s="13">
        <v>0</v>
      </c>
      <c r="Q1384" s="9"/>
      <c r="R1384" s="74">
        <v>1</v>
      </c>
      <c r="S1384" s="74" t="s">
        <v>278</v>
      </c>
    </row>
    <row r="1385" spans="1:19">
      <c r="A1385" s="42" t="s">
        <v>90</v>
      </c>
      <c r="B1385" s="3"/>
      <c r="C1385" s="3">
        <v>130</v>
      </c>
      <c r="D1385" s="1"/>
      <c r="E1385" s="20" t="s">
        <v>17</v>
      </c>
      <c r="F1385" s="7" t="s">
        <v>15</v>
      </c>
      <c r="G1385" s="7" t="s">
        <v>40</v>
      </c>
      <c r="H1385" s="11">
        <v>16.5</v>
      </c>
      <c r="I1385" s="8">
        <v>8</v>
      </c>
      <c r="J1385" s="26">
        <v>2</v>
      </c>
      <c r="K1385" s="10">
        <v>0.26400000000000001</v>
      </c>
      <c r="L1385" s="4"/>
      <c r="M1385" s="17">
        <v>2</v>
      </c>
      <c r="N1385" s="18">
        <v>0.26400000000000001</v>
      </c>
      <c r="O1385" s="19">
        <v>0</v>
      </c>
      <c r="P1385" s="13">
        <v>0</v>
      </c>
      <c r="Q1385" s="9"/>
      <c r="R1385" s="74">
        <v>2</v>
      </c>
      <c r="S1385" s="74" t="s">
        <v>278</v>
      </c>
    </row>
    <row r="1386" spans="1:19">
      <c r="A1386" s="42" t="s">
        <v>90</v>
      </c>
      <c r="B1386" s="3"/>
      <c r="C1386" s="3">
        <v>130</v>
      </c>
      <c r="D1386" s="1"/>
      <c r="E1386" s="20" t="s">
        <v>17</v>
      </c>
      <c r="F1386" s="7" t="s">
        <v>15</v>
      </c>
      <c r="G1386" s="7" t="s">
        <v>40</v>
      </c>
      <c r="H1386" s="11">
        <v>16.5</v>
      </c>
      <c r="I1386" s="8">
        <v>7.5</v>
      </c>
      <c r="J1386" s="26">
        <v>1</v>
      </c>
      <c r="K1386" s="10">
        <v>0.12375</v>
      </c>
      <c r="L1386" s="4"/>
      <c r="M1386" s="17">
        <v>1</v>
      </c>
      <c r="N1386" s="18">
        <v>0.12375</v>
      </c>
      <c r="O1386" s="19">
        <v>0</v>
      </c>
      <c r="P1386" s="13">
        <v>0</v>
      </c>
      <c r="Q1386" s="9"/>
      <c r="R1386" s="74">
        <v>1</v>
      </c>
      <c r="S1386" s="74" t="s">
        <v>278</v>
      </c>
    </row>
    <row r="1387" spans="1:19">
      <c r="A1387" s="42" t="s">
        <v>90</v>
      </c>
      <c r="B1387" s="3"/>
      <c r="C1387" s="3">
        <v>157</v>
      </c>
      <c r="D1387" s="1" t="s">
        <v>93</v>
      </c>
      <c r="E1387" s="12" t="s">
        <v>76</v>
      </c>
      <c r="F1387" s="7" t="s">
        <v>15</v>
      </c>
      <c r="G1387" s="7" t="s">
        <v>40</v>
      </c>
      <c r="H1387" s="11">
        <v>16.5</v>
      </c>
      <c r="I1387" s="8">
        <v>8.3000000000000007</v>
      </c>
      <c r="J1387" s="26">
        <v>1</v>
      </c>
      <c r="K1387" s="10">
        <v>0.13695000000000002</v>
      </c>
      <c r="L1387" s="4"/>
      <c r="M1387" s="17">
        <v>1</v>
      </c>
      <c r="N1387" s="18">
        <v>0.13695000000000002</v>
      </c>
      <c r="O1387" s="19">
        <v>0</v>
      </c>
      <c r="P1387" s="13">
        <v>0</v>
      </c>
      <c r="Q1387" s="9"/>
      <c r="R1387" s="2"/>
      <c r="S1387" s="111"/>
    </row>
    <row r="1388" spans="1:19">
      <c r="A1388" s="42" t="s">
        <v>90</v>
      </c>
      <c r="B1388" s="3"/>
      <c r="C1388" s="3">
        <v>157</v>
      </c>
      <c r="D1388" s="1" t="s">
        <v>93</v>
      </c>
      <c r="E1388" s="12" t="s">
        <v>76</v>
      </c>
      <c r="F1388" s="7" t="s">
        <v>15</v>
      </c>
      <c r="G1388" s="7" t="s">
        <v>40</v>
      </c>
      <c r="H1388" s="11">
        <v>16.5</v>
      </c>
      <c r="I1388" s="8">
        <v>9.8000000000000007</v>
      </c>
      <c r="J1388" s="26">
        <v>1</v>
      </c>
      <c r="K1388" s="10">
        <v>0.16170000000000001</v>
      </c>
      <c r="L1388" s="4"/>
      <c r="M1388" s="17">
        <v>1</v>
      </c>
      <c r="N1388" s="18">
        <v>0.16170000000000001</v>
      </c>
      <c r="O1388" s="19">
        <v>0</v>
      </c>
      <c r="P1388" s="13">
        <v>0</v>
      </c>
      <c r="Q1388" s="9"/>
      <c r="R1388" s="2"/>
      <c r="S1388" s="111"/>
    </row>
    <row r="1389" spans="1:19">
      <c r="A1389" s="42" t="s">
        <v>90</v>
      </c>
      <c r="B1389" s="3"/>
      <c r="C1389" s="3">
        <v>158</v>
      </c>
      <c r="D1389" s="1"/>
      <c r="E1389" s="12" t="s">
        <v>20</v>
      </c>
      <c r="F1389" s="7" t="s">
        <v>15</v>
      </c>
      <c r="G1389" s="7" t="s">
        <v>40</v>
      </c>
      <c r="H1389" s="11">
        <v>16.5</v>
      </c>
      <c r="I1389" s="8">
        <v>6</v>
      </c>
      <c r="J1389" s="26">
        <v>1</v>
      </c>
      <c r="K1389" s="10">
        <v>9.9000000000000005E-2</v>
      </c>
      <c r="L1389" s="4" t="s">
        <v>26</v>
      </c>
      <c r="M1389" s="17">
        <v>1</v>
      </c>
      <c r="N1389" s="18">
        <v>9.9000000000000005E-2</v>
      </c>
      <c r="O1389" s="19">
        <v>0</v>
      </c>
      <c r="P1389" s="13">
        <v>0</v>
      </c>
      <c r="Q1389" s="9"/>
      <c r="R1389" s="74">
        <v>1</v>
      </c>
      <c r="S1389" s="74" t="s">
        <v>278</v>
      </c>
    </row>
    <row r="1390" spans="1:19">
      <c r="A1390" s="42" t="s">
        <v>90</v>
      </c>
      <c r="B1390" s="3"/>
      <c r="C1390" s="3">
        <v>158</v>
      </c>
      <c r="D1390" s="1"/>
      <c r="E1390" s="12" t="s">
        <v>20</v>
      </c>
      <c r="F1390" s="7" t="s">
        <v>15</v>
      </c>
      <c r="G1390" s="7" t="s">
        <v>40</v>
      </c>
      <c r="H1390" s="11">
        <v>16.5</v>
      </c>
      <c r="I1390" s="8">
        <v>10</v>
      </c>
      <c r="J1390" s="26">
        <v>1</v>
      </c>
      <c r="K1390" s="10">
        <v>0.16500000000000001</v>
      </c>
      <c r="L1390" s="4" t="s">
        <v>26</v>
      </c>
      <c r="M1390" s="17">
        <v>1</v>
      </c>
      <c r="N1390" s="18">
        <v>0.16500000000000001</v>
      </c>
      <c r="O1390" s="19">
        <v>0</v>
      </c>
      <c r="P1390" s="13">
        <v>0</v>
      </c>
      <c r="Q1390" s="9"/>
      <c r="R1390" s="74">
        <v>1</v>
      </c>
      <c r="S1390" s="74" t="s">
        <v>278</v>
      </c>
    </row>
    <row r="1391" spans="1:19">
      <c r="A1391" s="47" t="s">
        <v>147</v>
      </c>
      <c r="B1391" s="48" t="s">
        <v>148</v>
      </c>
      <c r="C1391" s="32">
        <v>366</v>
      </c>
      <c r="D1391" s="32"/>
      <c r="E1391" s="48" t="s">
        <v>20</v>
      </c>
      <c r="F1391" s="48" t="s">
        <v>160</v>
      </c>
      <c r="G1391" s="48" t="s">
        <v>40</v>
      </c>
      <c r="H1391" s="11">
        <v>16.5</v>
      </c>
      <c r="I1391" s="52">
        <v>7</v>
      </c>
      <c r="J1391" s="7">
        <v>1</v>
      </c>
      <c r="K1391" s="10">
        <v>0.11550000000000001</v>
      </c>
      <c r="L1391" s="32"/>
      <c r="M1391" s="32">
        <v>1</v>
      </c>
      <c r="N1391" s="18">
        <v>0.11550000000000001</v>
      </c>
      <c r="O1391" s="19">
        <v>0</v>
      </c>
      <c r="P1391" s="13">
        <v>0</v>
      </c>
      <c r="Q1391" s="32"/>
      <c r="R1391" s="72">
        <v>1</v>
      </c>
      <c r="S1391" s="74" t="s">
        <v>278</v>
      </c>
    </row>
    <row r="1392" spans="1:19">
      <c r="A1392" s="47" t="s">
        <v>147</v>
      </c>
      <c r="B1392" s="48" t="s">
        <v>148</v>
      </c>
      <c r="C1392" s="32">
        <v>370</v>
      </c>
      <c r="D1392" s="32"/>
      <c r="E1392" s="48" t="s">
        <v>106</v>
      </c>
      <c r="F1392" s="48" t="s">
        <v>160</v>
      </c>
      <c r="G1392" s="48" t="s">
        <v>40</v>
      </c>
      <c r="H1392" s="11">
        <v>16.5</v>
      </c>
      <c r="I1392" s="52">
        <v>7.5</v>
      </c>
      <c r="J1392" s="7">
        <v>2</v>
      </c>
      <c r="K1392" s="10">
        <v>0.2475</v>
      </c>
      <c r="L1392" s="32"/>
      <c r="M1392" s="32"/>
      <c r="N1392" s="18">
        <v>0</v>
      </c>
      <c r="O1392" s="19">
        <v>2</v>
      </c>
      <c r="P1392" s="13">
        <v>0.2475</v>
      </c>
      <c r="Q1392" s="32"/>
      <c r="R1392" s="32"/>
      <c r="S1392" s="32"/>
    </row>
    <row r="1393" spans="1:20">
      <c r="A1393" s="47" t="s">
        <v>147</v>
      </c>
      <c r="B1393" s="48" t="s">
        <v>148</v>
      </c>
      <c r="C1393" s="32">
        <v>370</v>
      </c>
      <c r="D1393" s="32"/>
      <c r="E1393" s="48" t="s">
        <v>106</v>
      </c>
      <c r="F1393" s="48" t="s">
        <v>160</v>
      </c>
      <c r="G1393" s="48" t="s">
        <v>40</v>
      </c>
      <c r="H1393" s="11">
        <v>16.5</v>
      </c>
      <c r="I1393" s="52">
        <v>7.3</v>
      </c>
      <c r="J1393" s="7">
        <v>1</v>
      </c>
      <c r="K1393" s="10">
        <v>0.12045</v>
      </c>
      <c r="L1393" s="32"/>
      <c r="M1393" s="32"/>
      <c r="N1393" s="18">
        <v>0</v>
      </c>
      <c r="O1393" s="19">
        <v>1</v>
      </c>
      <c r="P1393" s="13">
        <v>0.12045</v>
      </c>
      <c r="Q1393" s="32"/>
      <c r="R1393" s="32"/>
      <c r="S1393" s="32"/>
    </row>
    <row r="1394" spans="1:20">
      <c r="A1394" s="47" t="s">
        <v>147</v>
      </c>
      <c r="B1394" s="48" t="s">
        <v>148</v>
      </c>
      <c r="C1394" s="32">
        <v>370</v>
      </c>
      <c r="D1394" s="32"/>
      <c r="E1394" s="48" t="s">
        <v>106</v>
      </c>
      <c r="F1394" s="48" t="s">
        <v>160</v>
      </c>
      <c r="G1394" s="48" t="s">
        <v>40</v>
      </c>
      <c r="H1394" s="11">
        <v>16.5</v>
      </c>
      <c r="I1394" s="52">
        <v>7.4</v>
      </c>
      <c r="J1394" s="7">
        <v>1</v>
      </c>
      <c r="K1394" s="10">
        <v>0.12210000000000001</v>
      </c>
      <c r="L1394" s="32"/>
      <c r="M1394" s="32"/>
      <c r="N1394" s="18">
        <v>0</v>
      </c>
      <c r="O1394" s="19">
        <v>1</v>
      </c>
      <c r="P1394" s="13">
        <v>0.12210000000000001</v>
      </c>
      <c r="Q1394" s="32"/>
      <c r="R1394" s="32"/>
      <c r="S1394" s="32"/>
    </row>
    <row r="1395" spans="1:20">
      <c r="A1395" s="45" t="s">
        <v>136</v>
      </c>
      <c r="B1395" s="48" t="s">
        <v>171</v>
      </c>
      <c r="C1395" s="32">
        <v>125</v>
      </c>
      <c r="D1395" s="32"/>
      <c r="E1395" s="48" t="s">
        <v>20</v>
      </c>
      <c r="F1395" s="48" t="s">
        <v>15</v>
      </c>
      <c r="G1395" s="48" t="s">
        <v>40</v>
      </c>
      <c r="H1395" s="11">
        <v>16.5</v>
      </c>
      <c r="I1395" s="52">
        <v>11.5</v>
      </c>
      <c r="J1395" s="7">
        <v>1</v>
      </c>
      <c r="K1395" s="10">
        <v>0.18975</v>
      </c>
      <c r="L1395" s="32"/>
      <c r="M1395" s="32">
        <v>1</v>
      </c>
      <c r="N1395" s="18">
        <v>0.18975</v>
      </c>
      <c r="O1395" s="19">
        <v>0</v>
      </c>
      <c r="P1395" s="13">
        <v>0</v>
      </c>
      <c r="Q1395" s="32"/>
      <c r="R1395" s="72">
        <v>1</v>
      </c>
      <c r="S1395" s="74" t="s">
        <v>278</v>
      </c>
    </row>
    <row r="1396" spans="1:20">
      <c r="A1396" s="45" t="s">
        <v>136</v>
      </c>
      <c r="B1396" s="48" t="s">
        <v>171</v>
      </c>
      <c r="C1396" s="32">
        <v>160</v>
      </c>
      <c r="D1396" s="32"/>
      <c r="E1396" s="48" t="s">
        <v>139</v>
      </c>
      <c r="F1396" s="48" t="s">
        <v>15</v>
      </c>
      <c r="G1396" s="48" t="s">
        <v>40</v>
      </c>
      <c r="H1396" s="11">
        <v>16.5</v>
      </c>
      <c r="I1396" s="52">
        <v>6.7</v>
      </c>
      <c r="J1396" s="7">
        <v>1</v>
      </c>
      <c r="K1396" s="10">
        <v>0.11055</v>
      </c>
      <c r="L1396" s="32"/>
      <c r="M1396" s="32">
        <v>1</v>
      </c>
      <c r="N1396" s="18">
        <v>0.11055</v>
      </c>
      <c r="O1396" s="19">
        <v>0</v>
      </c>
      <c r="P1396" s="13">
        <v>0</v>
      </c>
      <c r="Q1396" s="32"/>
      <c r="R1396" s="72">
        <v>1</v>
      </c>
      <c r="S1396" s="74" t="s">
        <v>278</v>
      </c>
    </row>
    <row r="1397" spans="1:20">
      <c r="O1397" s="6">
        <f>SUM(O1375:O1396)</f>
        <v>5</v>
      </c>
      <c r="R1397" s="6">
        <f>SUM(R1375:R1396)</f>
        <v>16</v>
      </c>
    </row>
    <row r="1400" spans="1:20" ht="15.6">
      <c r="B1400" s="110" t="s">
        <v>238</v>
      </c>
      <c r="C1400" s="111" t="s">
        <v>232</v>
      </c>
      <c r="D1400" s="112" t="s">
        <v>228</v>
      </c>
      <c r="E1400" s="113" t="s">
        <v>236</v>
      </c>
      <c r="F1400" s="114" t="s">
        <v>15</v>
      </c>
      <c r="G1400" s="115" t="s">
        <v>18</v>
      </c>
      <c r="H1400" s="116">
        <v>6.86</v>
      </c>
      <c r="I1400" s="125">
        <v>10.5</v>
      </c>
      <c r="J1400" s="111">
        <v>3</v>
      </c>
      <c r="K1400" s="117">
        <f t="shared" ref="K1400:K1401" si="84">I1400*H1400*J1400/1000</f>
        <v>0.21609</v>
      </c>
      <c r="L1400" s="118"/>
      <c r="M1400" s="111">
        <v>3</v>
      </c>
      <c r="N1400" s="117">
        <f t="shared" ref="N1400:N1401" si="85">I1400*M1400*H1400/1000</f>
        <v>0.21609</v>
      </c>
      <c r="O1400" s="119">
        <f t="shared" ref="O1400:O1401" si="86">J1400-M1400</f>
        <v>0</v>
      </c>
      <c r="P1400" s="120">
        <f t="shared" ref="P1400:P1401" si="87">I1400*O1400*H1400/1000</f>
        <v>0</v>
      </c>
      <c r="Q1400" s="79">
        <v>10.5</v>
      </c>
      <c r="R1400" s="72">
        <v>3</v>
      </c>
      <c r="S1400" s="72" t="s">
        <v>291</v>
      </c>
      <c r="T1400" s="72"/>
    </row>
    <row r="1401" spans="1:20" ht="15.6">
      <c r="B1401" s="110" t="s">
        <v>238</v>
      </c>
      <c r="C1401" s="111" t="s">
        <v>232</v>
      </c>
      <c r="D1401" s="112" t="s">
        <v>228</v>
      </c>
      <c r="E1401" s="113" t="s">
        <v>236</v>
      </c>
      <c r="F1401" s="114" t="s">
        <v>15</v>
      </c>
      <c r="G1401" s="115" t="s">
        <v>18</v>
      </c>
      <c r="H1401" s="116">
        <v>6.86</v>
      </c>
      <c r="I1401" s="125">
        <v>10</v>
      </c>
      <c r="J1401" s="111">
        <v>1</v>
      </c>
      <c r="K1401" s="117">
        <f t="shared" si="84"/>
        <v>6.8600000000000008E-2</v>
      </c>
      <c r="L1401" s="118"/>
      <c r="M1401" s="111">
        <v>1</v>
      </c>
      <c r="N1401" s="117">
        <f t="shared" si="85"/>
        <v>6.8600000000000008E-2</v>
      </c>
      <c r="O1401" s="119">
        <f t="shared" si="86"/>
        <v>0</v>
      </c>
      <c r="P1401" s="120">
        <f t="shared" si="87"/>
        <v>0</v>
      </c>
      <c r="Q1401" s="130"/>
      <c r="R1401" s="111"/>
      <c r="S1401" s="111"/>
      <c r="T1401" s="111"/>
    </row>
    <row r="1405" spans="1:20">
      <c r="A1405" s="42" t="s">
        <v>90</v>
      </c>
      <c r="B1405" s="48" t="s">
        <v>148</v>
      </c>
      <c r="C1405" s="32">
        <v>43</v>
      </c>
      <c r="D1405" s="32"/>
      <c r="E1405" s="48" t="s">
        <v>20</v>
      </c>
      <c r="F1405" s="48" t="s">
        <v>15</v>
      </c>
      <c r="G1405" s="48" t="s">
        <v>25</v>
      </c>
      <c r="H1405" s="11">
        <v>7.34</v>
      </c>
      <c r="I1405" s="52">
        <v>9.1999999999999993</v>
      </c>
      <c r="J1405" s="7">
        <v>1</v>
      </c>
      <c r="K1405" s="10">
        <v>6.7527999999999991E-2</v>
      </c>
      <c r="L1405" s="32"/>
      <c r="M1405" s="32">
        <v>1</v>
      </c>
      <c r="N1405" s="18">
        <v>6.7527999999999991E-2</v>
      </c>
      <c r="O1405" s="19">
        <v>0</v>
      </c>
      <c r="P1405" s="13">
        <v>0</v>
      </c>
      <c r="Q1405" s="32"/>
      <c r="R1405" s="72">
        <v>1</v>
      </c>
      <c r="S1405" s="72" t="s">
        <v>278</v>
      </c>
    </row>
    <row r="1406" spans="1:20">
      <c r="A1406" s="42" t="s">
        <v>90</v>
      </c>
      <c r="B1406" s="48" t="s">
        <v>148</v>
      </c>
      <c r="C1406" s="32">
        <v>43</v>
      </c>
      <c r="D1406" s="32"/>
      <c r="E1406" s="48" t="s">
        <v>20</v>
      </c>
      <c r="F1406" s="48" t="s">
        <v>15</v>
      </c>
      <c r="G1406" s="48" t="s">
        <v>25</v>
      </c>
      <c r="H1406" s="11">
        <v>7.34</v>
      </c>
      <c r="I1406" s="52">
        <v>11.5</v>
      </c>
      <c r="J1406" s="7">
        <v>4</v>
      </c>
      <c r="K1406" s="10">
        <v>0.33764</v>
      </c>
      <c r="L1406" s="32"/>
      <c r="M1406" s="32">
        <v>4</v>
      </c>
      <c r="N1406" s="18">
        <v>0.33764</v>
      </c>
      <c r="O1406" s="19">
        <v>0</v>
      </c>
      <c r="P1406" s="13">
        <v>0</v>
      </c>
      <c r="Q1406" s="32"/>
      <c r="R1406" s="72">
        <v>4</v>
      </c>
      <c r="S1406" s="72" t="s">
        <v>278</v>
      </c>
    </row>
    <row r="1407" spans="1:20">
      <c r="A1407" s="42" t="s">
        <v>90</v>
      </c>
      <c r="B1407" s="48" t="s">
        <v>148</v>
      </c>
      <c r="C1407" s="32">
        <v>43</v>
      </c>
      <c r="D1407" s="32"/>
      <c r="E1407" s="48" t="s">
        <v>20</v>
      </c>
      <c r="F1407" s="48" t="s">
        <v>15</v>
      </c>
      <c r="G1407" s="48" t="s">
        <v>25</v>
      </c>
      <c r="H1407" s="11">
        <v>7.34</v>
      </c>
      <c r="I1407" s="52">
        <v>7.3</v>
      </c>
      <c r="J1407" s="7">
        <v>1</v>
      </c>
      <c r="K1407" s="10">
        <v>5.3581999999999998E-2</v>
      </c>
      <c r="L1407" s="32"/>
      <c r="M1407" s="32">
        <v>1</v>
      </c>
      <c r="N1407" s="18">
        <v>5.3581999999999998E-2</v>
      </c>
      <c r="O1407" s="19">
        <v>0</v>
      </c>
      <c r="P1407" s="13">
        <v>0</v>
      </c>
      <c r="Q1407" s="32"/>
      <c r="R1407" s="72">
        <v>1</v>
      </c>
      <c r="S1407" s="72" t="s">
        <v>278</v>
      </c>
    </row>
    <row r="1408" spans="1:20">
      <c r="A1408" s="42" t="s">
        <v>90</v>
      </c>
      <c r="B1408" s="48" t="s">
        <v>148</v>
      </c>
      <c r="C1408" s="32">
        <v>43</v>
      </c>
      <c r="D1408" s="32"/>
      <c r="E1408" s="48" t="s">
        <v>20</v>
      </c>
      <c r="F1408" s="48" t="s">
        <v>15</v>
      </c>
      <c r="G1408" s="48" t="s">
        <v>25</v>
      </c>
      <c r="H1408" s="11">
        <v>7.34</v>
      </c>
      <c r="I1408" s="52">
        <v>7</v>
      </c>
      <c r="J1408" s="7">
        <v>1</v>
      </c>
      <c r="K1408" s="10">
        <v>5.1379999999999995E-2</v>
      </c>
      <c r="L1408" s="32"/>
      <c r="M1408" s="32">
        <v>1</v>
      </c>
      <c r="N1408" s="18">
        <v>5.1379999999999995E-2</v>
      </c>
      <c r="O1408" s="19">
        <v>0</v>
      </c>
      <c r="P1408" s="13">
        <v>0</v>
      </c>
      <c r="Q1408" s="32"/>
      <c r="R1408" s="72">
        <v>1</v>
      </c>
      <c r="S1408" s="72" t="s">
        <v>278</v>
      </c>
    </row>
    <row r="1409" spans="1:19">
      <c r="A1409" s="42" t="s">
        <v>90</v>
      </c>
      <c r="B1409" s="48" t="s">
        <v>148</v>
      </c>
      <c r="C1409" s="32">
        <v>64</v>
      </c>
      <c r="D1409" s="32" t="s">
        <v>142</v>
      </c>
      <c r="E1409" s="48" t="s">
        <v>20</v>
      </c>
      <c r="F1409" s="48" t="s">
        <v>15</v>
      </c>
      <c r="G1409" s="48" t="s">
        <v>25</v>
      </c>
      <c r="H1409" s="11">
        <v>7.34</v>
      </c>
      <c r="I1409" s="52">
        <v>9.8000000000000007</v>
      </c>
      <c r="J1409" s="7">
        <v>2</v>
      </c>
      <c r="K1409" s="10">
        <v>0.14386399999999999</v>
      </c>
      <c r="L1409" s="32"/>
      <c r="M1409" s="32">
        <v>2</v>
      </c>
      <c r="N1409" s="18">
        <v>0.14386399999999999</v>
      </c>
      <c r="O1409" s="19">
        <v>0</v>
      </c>
      <c r="P1409" s="13">
        <v>0</v>
      </c>
      <c r="Q1409" s="32"/>
      <c r="R1409" s="72">
        <v>2</v>
      </c>
      <c r="S1409" s="72" t="s">
        <v>278</v>
      </c>
    </row>
    <row r="1410" spans="1:19">
      <c r="A1410" s="42" t="s">
        <v>90</v>
      </c>
      <c r="B1410" s="48" t="s">
        <v>148</v>
      </c>
      <c r="C1410" s="32">
        <v>64</v>
      </c>
      <c r="D1410" s="32" t="s">
        <v>142</v>
      </c>
      <c r="E1410" s="48" t="s">
        <v>20</v>
      </c>
      <c r="F1410" s="48" t="s">
        <v>15</v>
      </c>
      <c r="G1410" s="48" t="s">
        <v>25</v>
      </c>
      <c r="H1410" s="11">
        <v>7.34</v>
      </c>
      <c r="I1410" s="52">
        <v>9.5</v>
      </c>
      <c r="J1410" s="7">
        <v>3</v>
      </c>
      <c r="K1410" s="10">
        <v>0.20918999999999999</v>
      </c>
      <c r="L1410" s="32"/>
      <c r="M1410" s="32"/>
      <c r="N1410" s="18">
        <v>0</v>
      </c>
      <c r="O1410" s="19">
        <v>3</v>
      </c>
      <c r="P1410" s="13">
        <v>0.20918999999999999</v>
      </c>
      <c r="Q1410" s="32"/>
      <c r="R1410" s="32"/>
      <c r="S1410" s="32"/>
    </row>
    <row r="1411" spans="1:19">
      <c r="A1411" s="42" t="s">
        <v>90</v>
      </c>
      <c r="B1411" s="48" t="s">
        <v>148</v>
      </c>
      <c r="C1411" s="32">
        <v>64</v>
      </c>
      <c r="D1411" s="32" t="s">
        <v>142</v>
      </c>
      <c r="E1411" s="48" t="s">
        <v>20</v>
      </c>
      <c r="F1411" s="48" t="s">
        <v>15</v>
      </c>
      <c r="G1411" s="48" t="s">
        <v>25</v>
      </c>
      <c r="H1411" s="11">
        <v>7.34</v>
      </c>
      <c r="I1411" s="52">
        <v>10.8</v>
      </c>
      <c r="J1411" s="7">
        <v>1</v>
      </c>
      <c r="K1411" s="10">
        <v>7.9272000000000009E-2</v>
      </c>
      <c r="L1411" s="32"/>
      <c r="M1411" s="32"/>
      <c r="N1411" s="18">
        <v>0</v>
      </c>
      <c r="O1411" s="19">
        <v>1</v>
      </c>
      <c r="P1411" s="13">
        <v>7.9272000000000009E-2</v>
      </c>
      <c r="Q1411" s="32"/>
      <c r="R1411" s="32"/>
      <c r="S1411" s="32"/>
    </row>
    <row r="1412" spans="1:19">
      <c r="A1412" s="42" t="s">
        <v>90</v>
      </c>
      <c r="B1412" s="48" t="s">
        <v>148</v>
      </c>
      <c r="C1412" s="32">
        <v>64</v>
      </c>
      <c r="D1412" s="32" t="s">
        <v>142</v>
      </c>
      <c r="E1412" s="48" t="s">
        <v>20</v>
      </c>
      <c r="F1412" s="48" t="s">
        <v>15</v>
      </c>
      <c r="G1412" s="48" t="s">
        <v>25</v>
      </c>
      <c r="H1412" s="11">
        <v>7.34</v>
      </c>
      <c r="I1412" s="52">
        <v>9.1999999999999993</v>
      </c>
      <c r="J1412" s="7">
        <v>1</v>
      </c>
      <c r="K1412" s="10">
        <v>6.7527999999999991E-2</v>
      </c>
      <c r="L1412" s="32"/>
      <c r="M1412" s="32"/>
      <c r="N1412" s="18">
        <v>0</v>
      </c>
      <c r="O1412" s="19">
        <v>1</v>
      </c>
      <c r="P1412" s="13">
        <v>6.7527999999999991E-2</v>
      </c>
      <c r="Q1412" s="32"/>
      <c r="R1412" s="32"/>
      <c r="S1412" s="32"/>
    </row>
    <row r="1413" spans="1:19">
      <c r="R1413" s="76">
        <f>SUM(R1405:R1412)</f>
        <v>9</v>
      </c>
    </row>
    <row r="1415" spans="1:19">
      <c r="A1415" s="42" t="s">
        <v>78</v>
      </c>
      <c r="B1415" s="3"/>
      <c r="C1415" s="3"/>
      <c r="D1415" s="1"/>
      <c r="E1415" s="20" t="s">
        <v>17</v>
      </c>
      <c r="F1415" s="7" t="s">
        <v>15</v>
      </c>
      <c r="G1415" s="7" t="s">
        <v>31</v>
      </c>
      <c r="H1415" s="11">
        <v>9.65</v>
      </c>
      <c r="I1415" s="8">
        <v>8</v>
      </c>
      <c r="J1415" s="26">
        <v>14</v>
      </c>
      <c r="K1415" s="10">
        <v>1.0808</v>
      </c>
      <c r="L1415" s="4"/>
      <c r="M1415" s="17">
        <v>14</v>
      </c>
      <c r="N1415" s="18">
        <v>1.0808</v>
      </c>
      <c r="O1415" s="19">
        <v>0</v>
      </c>
      <c r="P1415" s="13">
        <v>0</v>
      </c>
      <c r="Q1415" s="9"/>
      <c r="R1415" s="2"/>
      <c r="S1415" s="2"/>
    </row>
    <row r="1416" spans="1:19">
      <c r="A1416" s="42" t="s">
        <v>78</v>
      </c>
      <c r="B1416" s="3"/>
      <c r="C1416" s="3"/>
      <c r="D1416" s="1"/>
      <c r="E1416" s="20" t="s">
        <v>17</v>
      </c>
      <c r="F1416" s="7" t="s">
        <v>15</v>
      </c>
      <c r="G1416" s="7" t="s">
        <v>31</v>
      </c>
      <c r="H1416" s="11">
        <v>9.65</v>
      </c>
      <c r="I1416" s="8">
        <v>8</v>
      </c>
      <c r="J1416" s="26">
        <v>14</v>
      </c>
      <c r="K1416" s="10">
        <v>1.0808</v>
      </c>
      <c r="L1416" s="4"/>
      <c r="M1416" s="17"/>
      <c r="N1416" s="18">
        <v>0</v>
      </c>
      <c r="O1416" s="19">
        <v>14</v>
      </c>
      <c r="P1416" s="13">
        <v>1.0808</v>
      </c>
      <c r="Q1416" s="9"/>
      <c r="R1416" s="2"/>
      <c r="S1416" s="2"/>
    </row>
    <row r="1417" spans="1:19">
      <c r="A1417" s="42" t="s">
        <v>78</v>
      </c>
      <c r="B1417" s="3"/>
      <c r="C1417" s="3"/>
      <c r="D1417" s="1"/>
      <c r="E1417" s="20" t="s">
        <v>152</v>
      </c>
      <c r="F1417" s="7" t="s">
        <v>15</v>
      </c>
      <c r="G1417" s="7" t="s">
        <v>31</v>
      </c>
      <c r="H1417" s="11">
        <v>9.65</v>
      </c>
      <c r="I1417" s="8">
        <v>8</v>
      </c>
      <c r="J1417" s="26">
        <v>3</v>
      </c>
      <c r="K1417" s="10">
        <v>0.23160000000000003</v>
      </c>
      <c r="L1417" s="23" t="s">
        <v>188</v>
      </c>
      <c r="M1417" s="17"/>
      <c r="N1417" s="18">
        <v>0</v>
      </c>
      <c r="O1417" s="19">
        <v>3</v>
      </c>
      <c r="P1417" s="13">
        <v>0.23160000000000003</v>
      </c>
      <c r="Q1417" s="9"/>
      <c r="R1417" s="2"/>
      <c r="S1417" s="2"/>
    </row>
    <row r="1418" spans="1:19">
      <c r="A1418" s="42" t="s">
        <v>78</v>
      </c>
      <c r="B1418" s="3"/>
      <c r="C1418" s="3"/>
      <c r="D1418" s="1"/>
      <c r="E1418" s="20" t="s">
        <v>17</v>
      </c>
      <c r="F1418" s="7" t="s">
        <v>15</v>
      </c>
      <c r="G1418" s="7" t="s">
        <v>31</v>
      </c>
      <c r="H1418" s="11">
        <v>9.65</v>
      </c>
      <c r="I1418" s="8">
        <v>10</v>
      </c>
      <c r="J1418" s="26">
        <v>1</v>
      </c>
      <c r="K1418" s="10">
        <v>9.6500000000000002E-2</v>
      </c>
      <c r="L1418" s="4"/>
      <c r="M1418" s="17">
        <v>1</v>
      </c>
      <c r="N1418" s="18">
        <v>9.6500000000000002E-2</v>
      </c>
      <c r="O1418" s="19">
        <v>0</v>
      </c>
      <c r="P1418" s="13">
        <v>0</v>
      </c>
      <c r="Q1418" s="9"/>
      <c r="R1418" s="74">
        <v>1</v>
      </c>
      <c r="S1418" s="74" t="s">
        <v>278</v>
      </c>
    </row>
    <row r="1419" spans="1:19">
      <c r="A1419" s="42" t="s">
        <v>90</v>
      </c>
      <c r="B1419" s="3"/>
      <c r="C1419" s="3">
        <v>233</v>
      </c>
      <c r="D1419" s="1"/>
      <c r="E1419" s="20" t="s">
        <v>20</v>
      </c>
      <c r="F1419" s="7" t="s">
        <v>15</v>
      </c>
      <c r="G1419" s="7" t="s">
        <v>31</v>
      </c>
      <c r="H1419" s="11">
        <v>9.65</v>
      </c>
      <c r="I1419" s="8">
        <v>6.5</v>
      </c>
      <c r="J1419" s="26">
        <v>1</v>
      </c>
      <c r="K1419" s="10">
        <v>6.2725000000000003E-2</v>
      </c>
      <c r="L1419" s="4"/>
      <c r="M1419" s="17"/>
      <c r="N1419" s="18">
        <v>0</v>
      </c>
      <c r="O1419" s="19">
        <v>1</v>
      </c>
      <c r="P1419" s="13">
        <v>6.2725000000000003E-2</v>
      </c>
      <c r="Q1419" s="9"/>
      <c r="R1419" s="32"/>
      <c r="S1419" s="32"/>
    </row>
    <row r="1423" spans="1:19">
      <c r="A1423" s="42" t="s">
        <v>77</v>
      </c>
      <c r="B1423" s="3" t="s">
        <v>68</v>
      </c>
      <c r="C1423" s="3">
        <v>236</v>
      </c>
      <c r="D1423" s="1"/>
      <c r="E1423" s="38" t="s">
        <v>63</v>
      </c>
      <c r="F1423" s="7" t="s">
        <v>15</v>
      </c>
      <c r="G1423" s="1" t="s">
        <v>37</v>
      </c>
      <c r="H1423" s="11">
        <v>18.149999999999999</v>
      </c>
      <c r="I1423" s="36">
        <v>9</v>
      </c>
      <c r="J1423" s="37">
        <v>1</v>
      </c>
      <c r="K1423" s="10">
        <v>0.16335</v>
      </c>
      <c r="L1423" s="4"/>
      <c r="M1423" s="37"/>
      <c r="N1423" s="18">
        <v>0</v>
      </c>
      <c r="O1423" s="19">
        <v>1</v>
      </c>
      <c r="P1423" s="13">
        <v>0.16335</v>
      </c>
      <c r="Q1423" s="9"/>
      <c r="R1423" s="2"/>
      <c r="S1423" s="2"/>
    </row>
    <row r="1424" spans="1:19">
      <c r="A1424" s="42" t="s">
        <v>77</v>
      </c>
      <c r="B1424" s="3" t="s">
        <v>68</v>
      </c>
      <c r="C1424" s="3">
        <v>236</v>
      </c>
      <c r="D1424" s="1"/>
      <c r="E1424" s="38" t="s">
        <v>63</v>
      </c>
      <c r="F1424" s="7" t="s">
        <v>15</v>
      </c>
      <c r="G1424" s="1" t="s">
        <v>37</v>
      </c>
      <c r="H1424" s="11">
        <v>18.149999999999999</v>
      </c>
      <c r="I1424" s="36">
        <v>9.3000000000000007</v>
      </c>
      <c r="J1424" s="37">
        <v>1</v>
      </c>
      <c r="K1424" s="10">
        <v>0.168795</v>
      </c>
      <c r="L1424" s="4"/>
      <c r="M1424" s="37"/>
      <c r="N1424" s="18">
        <v>0</v>
      </c>
      <c r="O1424" s="19">
        <v>1</v>
      </c>
      <c r="P1424" s="13">
        <v>0.168795</v>
      </c>
      <c r="Q1424" s="9"/>
      <c r="R1424" s="2"/>
      <c r="S1424" s="2"/>
    </row>
    <row r="1425" spans="1:19">
      <c r="A1425" s="42" t="s">
        <v>77</v>
      </c>
      <c r="B1425" s="3" t="s">
        <v>68</v>
      </c>
      <c r="C1425" s="3">
        <v>236</v>
      </c>
      <c r="D1425" s="1"/>
      <c r="E1425" s="38" t="s">
        <v>63</v>
      </c>
      <c r="F1425" s="7" t="s">
        <v>15</v>
      </c>
      <c r="G1425" s="1" t="s">
        <v>37</v>
      </c>
      <c r="H1425" s="11">
        <v>18.149999999999999</v>
      </c>
      <c r="I1425" s="36">
        <v>10.4</v>
      </c>
      <c r="J1425" s="37">
        <v>2</v>
      </c>
      <c r="K1425" s="10">
        <v>0.37751999999999997</v>
      </c>
      <c r="L1425" s="4"/>
      <c r="M1425" s="37">
        <v>2</v>
      </c>
      <c r="N1425" s="18">
        <v>0.37751999999999997</v>
      </c>
      <c r="O1425" s="19">
        <v>0</v>
      </c>
      <c r="P1425" s="13">
        <v>0</v>
      </c>
      <c r="Q1425" s="92">
        <v>9.5</v>
      </c>
      <c r="R1425" s="47">
        <v>2</v>
      </c>
      <c r="S1425" s="47" t="s">
        <v>209</v>
      </c>
    </row>
    <row r="1426" spans="1:19">
      <c r="A1426" s="42" t="s">
        <v>90</v>
      </c>
      <c r="B1426" s="48" t="s">
        <v>148</v>
      </c>
      <c r="C1426" s="32">
        <v>75</v>
      </c>
      <c r="D1426" s="32"/>
      <c r="E1426" s="48" t="s">
        <v>106</v>
      </c>
      <c r="F1426" s="48" t="s">
        <v>15</v>
      </c>
      <c r="G1426" s="48" t="s">
        <v>37</v>
      </c>
      <c r="H1426" s="11">
        <v>18.149999999999999</v>
      </c>
      <c r="I1426" s="8">
        <v>8.3000000000000007</v>
      </c>
      <c r="J1426" s="7">
        <v>1</v>
      </c>
      <c r="K1426" s="10">
        <v>0.150645</v>
      </c>
      <c r="L1426" s="32"/>
      <c r="M1426" s="32"/>
      <c r="N1426" s="18">
        <v>0</v>
      </c>
      <c r="O1426" s="19">
        <v>1</v>
      </c>
      <c r="P1426" s="13">
        <v>0.150645</v>
      </c>
      <c r="Q1426" s="32"/>
      <c r="R1426" s="32"/>
      <c r="S1426" s="32"/>
    </row>
    <row r="1427" spans="1:19">
      <c r="A1427" s="42" t="s">
        <v>90</v>
      </c>
      <c r="B1427" s="48" t="s">
        <v>148</v>
      </c>
      <c r="C1427" s="32">
        <v>75</v>
      </c>
      <c r="D1427" s="32"/>
      <c r="E1427" s="48" t="s">
        <v>106</v>
      </c>
      <c r="F1427" s="48" t="s">
        <v>15</v>
      </c>
      <c r="G1427" s="48" t="s">
        <v>37</v>
      </c>
      <c r="H1427" s="11">
        <v>18.149999999999999</v>
      </c>
      <c r="I1427" s="8">
        <v>11.5</v>
      </c>
      <c r="J1427" s="7">
        <v>2</v>
      </c>
      <c r="K1427" s="10">
        <v>0.41744999999999999</v>
      </c>
      <c r="L1427" s="32"/>
      <c r="M1427" s="32">
        <v>2</v>
      </c>
      <c r="N1427" s="18">
        <v>0.41744999999999999</v>
      </c>
      <c r="O1427" s="19">
        <v>0</v>
      </c>
      <c r="P1427" s="13">
        <v>0</v>
      </c>
      <c r="Q1427" s="94">
        <v>10.8</v>
      </c>
      <c r="R1427" s="93">
        <v>2</v>
      </c>
      <c r="S1427" s="47" t="s">
        <v>209</v>
      </c>
    </row>
    <row r="1428" spans="1:19">
      <c r="O1428" s="78">
        <f>SUM(O1423:O1427)</f>
        <v>3</v>
      </c>
      <c r="R1428" s="80">
        <f>SUM(R1423:R1427)</f>
        <v>4</v>
      </c>
    </row>
    <row r="1430" spans="1:19">
      <c r="A1430" s="42" t="s">
        <v>77</v>
      </c>
      <c r="B1430" s="3" t="s">
        <v>68</v>
      </c>
      <c r="C1430" s="3">
        <v>172</v>
      </c>
      <c r="D1430" s="1"/>
      <c r="E1430" s="20" t="s">
        <v>71</v>
      </c>
      <c r="F1430" s="7" t="s">
        <v>15</v>
      </c>
      <c r="G1430" s="7" t="s">
        <v>37</v>
      </c>
      <c r="H1430" s="11">
        <v>18.149999999999999</v>
      </c>
      <c r="I1430" s="8">
        <v>6</v>
      </c>
      <c r="J1430" s="26">
        <v>1</v>
      </c>
      <c r="K1430" s="10">
        <v>0.1089</v>
      </c>
      <c r="L1430" s="4"/>
      <c r="M1430" s="17"/>
      <c r="N1430" s="18">
        <v>0</v>
      </c>
      <c r="O1430" s="19">
        <v>1</v>
      </c>
      <c r="P1430" s="13">
        <v>0.1089</v>
      </c>
      <c r="Q1430" s="9"/>
      <c r="R1430" s="2"/>
      <c r="S1430" s="2"/>
    </row>
    <row r="1431" spans="1:19">
      <c r="A1431" s="48" t="s">
        <v>179</v>
      </c>
      <c r="B1431" s="48" t="s">
        <v>180</v>
      </c>
      <c r="C1431" s="32"/>
      <c r="D1431" s="32"/>
      <c r="E1431" s="48" t="s">
        <v>152</v>
      </c>
      <c r="F1431" s="48" t="s">
        <v>15</v>
      </c>
      <c r="G1431" s="48" t="s">
        <v>37</v>
      </c>
      <c r="H1431" s="11">
        <v>18.149999999999999</v>
      </c>
      <c r="I1431" s="52">
        <v>11.3</v>
      </c>
      <c r="J1431" s="7">
        <v>1</v>
      </c>
      <c r="K1431" s="10">
        <v>0.205095</v>
      </c>
      <c r="L1431" s="32"/>
      <c r="M1431" s="32">
        <v>1</v>
      </c>
      <c r="N1431" s="18">
        <v>0.205095</v>
      </c>
      <c r="O1431" s="19">
        <v>0</v>
      </c>
      <c r="P1431" s="13">
        <v>0</v>
      </c>
      <c r="Q1431" s="93">
        <v>11.35</v>
      </c>
      <c r="R1431" s="93">
        <v>1</v>
      </c>
      <c r="S1431" s="93" t="s">
        <v>279</v>
      </c>
    </row>
    <row r="1432" spans="1:19">
      <c r="A1432" s="48" t="s">
        <v>179</v>
      </c>
      <c r="B1432" s="48" t="s">
        <v>180</v>
      </c>
      <c r="C1432" s="32"/>
      <c r="D1432" s="32"/>
      <c r="E1432" s="48" t="s">
        <v>152</v>
      </c>
      <c r="F1432" s="48" t="s">
        <v>15</v>
      </c>
      <c r="G1432" s="48" t="s">
        <v>37</v>
      </c>
      <c r="H1432" s="11">
        <v>18.149999999999999</v>
      </c>
      <c r="I1432" s="52">
        <v>11.4</v>
      </c>
      <c r="J1432" s="7">
        <v>1</v>
      </c>
      <c r="K1432" s="10">
        <v>0.20690999999999998</v>
      </c>
      <c r="L1432" s="32"/>
      <c r="M1432" s="32">
        <v>1</v>
      </c>
      <c r="N1432" s="18">
        <v>0.20690999999999998</v>
      </c>
      <c r="O1432" s="19">
        <v>0</v>
      </c>
      <c r="P1432" s="13">
        <v>0</v>
      </c>
      <c r="Q1432" s="93">
        <v>11.35</v>
      </c>
      <c r="R1432" s="93">
        <v>1</v>
      </c>
      <c r="S1432" s="93" t="s">
        <v>279</v>
      </c>
    </row>
    <row r="1433" spans="1:19">
      <c r="A1433" s="42" t="s">
        <v>90</v>
      </c>
      <c r="B1433" s="48" t="s">
        <v>148</v>
      </c>
      <c r="C1433" s="32">
        <v>51</v>
      </c>
      <c r="D1433" s="32"/>
      <c r="E1433" s="48" t="s">
        <v>89</v>
      </c>
      <c r="F1433" s="48" t="s">
        <v>15</v>
      </c>
      <c r="G1433" s="48" t="s">
        <v>37</v>
      </c>
      <c r="H1433" s="11">
        <v>18.149999999999999</v>
      </c>
      <c r="I1433" s="52">
        <v>6</v>
      </c>
      <c r="J1433" s="7">
        <v>1</v>
      </c>
      <c r="K1433" s="10">
        <v>0.1089</v>
      </c>
      <c r="L1433" s="32"/>
      <c r="M1433" s="32"/>
      <c r="N1433" s="18">
        <v>0</v>
      </c>
      <c r="O1433" s="19">
        <v>1</v>
      </c>
      <c r="P1433" s="13">
        <v>0.1089</v>
      </c>
      <c r="Q1433" s="32"/>
      <c r="R1433" s="32"/>
      <c r="S1433" s="32"/>
    </row>
    <row r="1434" spans="1:19">
      <c r="A1434" s="42" t="s">
        <v>90</v>
      </c>
      <c r="B1434" s="3"/>
      <c r="C1434" s="3">
        <v>108</v>
      </c>
      <c r="D1434" s="1" t="s">
        <v>93</v>
      </c>
      <c r="E1434" s="20" t="s">
        <v>89</v>
      </c>
      <c r="F1434" s="7" t="s">
        <v>15</v>
      </c>
      <c r="G1434" s="7" t="s">
        <v>37</v>
      </c>
      <c r="H1434" s="11">
        <v>18.149999999999999</v>
      </c>
      <c r="I1434" s="8">
        <v>6.1</v>
      </c>
      <c r="J1434" s="26">
        <v>1</v>
      </c>
      <c r="K1434" s="10">
        <v>0.11071499999999999</v>
      </c>
      <c r="L1434" s="4"/>
      <c r="M1434" s="17">
        <v>1</v>
      </c>
      <c r="N1434" s="18">
        <v>0.11071499999999999</v>
      </c>
      <c r="O1434" s="19">
        <v>0</v>
      </c>
      <c r="P1434" s="13">
        <v>0</v>
      </c>
      <c r="Q1434" s="9"/>
      <c r="R1434" s="2"/>
      <c r="S1434" s="2"/>
    </row>
    <row r="1435" spans="1:19">
      <c r="A1435" s="42" t="s">
        <v>90</v>
      </c>
      <c r="B1435" s="3"/>
      <c r="C1435" s="3">
        <v>108</v>
      </c>
      <c r="D1435" s="1" t="s">
        <v>93</v>
      </c>
      <c r="E1435" s="20" t="s">
        <v>89</v>
      </c>
      <c r="F1435" s="7" t="s">
        <v>15</v>
      </c>
      <c r="G1435" s="7" t="s">
        <v>37</v>
      </c>
      <c r="H1435" s="11">
        <v>18.149999999999999</v>
      </c>
      <c r="I1435" s="8">
        <v>11.5</v>
      </c>
      <c r="J1435" s="26">
        <v>1</v>
      </c>
      <c r="K1435" s="10">
        <v>0.20872499999999999</v>
      </c>
      <c r="L1435" s="4"/>
      <c r="M1435" s="17">
        <v>1</v>
      </c>
      <c r="N1435" s="18">
        <v>0.20872499999999999</v>
      </c>
      <c r="O1435" s="19">
        <v>0</v>
      </c>
      <c r="P1435" s="13">
        <v>0</v>
      </c>
      <c r="Q1435" s="9"/>
      <c r="R1435" s="2"/>
      <c r="S1435" s="2"/>
    </row>
    <row r="1436" spans="1:19">
      <c r="A1436" s="42" t="s">
        <v>90</v>
      </c>
      <c r="B1436" s="3"/>
      <c r="C1436" s="3">
        <v>108</v>
      </c>
      <c r="D1436" s="1" t="s">
        <v>93</v>
      </c>
      <c r="E1436" s="20" t="s">
        <v>89</v>
      </c>
      <c r="F1436" s="7" t="s">
        <v>15</v>
      </c>
      <c r="G1436" s="7" t="s">
        <v>37</v>
      </c>
      <c r="H1436" s="11">
        <v>18.149999999999999</v>
      </c>
      <c r="I1436" s="8">
        <v>12</v>
      </c>
      <c r="J1436" s="26">
        <v>1</v>
      </c>
      <c r="K1436" s="10">
        <v>0.21779999999999999</v>
      </c>
      <c r="L1436" s="4"/>
      <c r="M1436" s="17">
        <v>1</v>
      </c>
      <c r="N1436" s="18">
        <v>0.21779999999999999</v>
      </c>
      <c r="O1436" s="19">
        <v>0</v>
      </c>
      <c r="P1436" s="13">
        <v>0</v>
      </c>
      <c r="Q1436" s="9"/>
      <c r="R1436" s="2"/>
      <c r="S1436" s="2"/>
    </row>
    <row r="1437" spans="1:19">
      <c r="A1437" s="42" t="s">
        <v>90</v>
      </c>
      <c r="B1437" s="3"/>
      <c r="C1437" s="3">
        <v>112</v>
      </c>
      <c r="D1437" s="1"/>
      <c r="E1437" s="20" t="s">
        <v>20</v>
      </c>
      <c r="F1437" s="7" t="s">
        <v>15</v>
      </c>
      <c r="G1437" s="7" t="s">
        <v>37</v>
      </c>
      <c r="H1437" s="11">
        <v>18.149999999999999</v>
      </c>
      <c r="I1437" s="8">
        <v>9.6</v>
      </c>
      <c r="J1437" s="26">
        <v>1</v>
      </c>
      <c r="K1437" s="10">
        <v>0.17423999999999998</v>
      </c>
      <c r="L1437" s="4"/>
      <c r="M1437" s="17"/>
      <c r="N1437" s="18">
        <v>0</v>
      </c>
      <c r="O1437" s="19">
        <v>1</v>
      </c>
      <c r="P1437" s="13">
        <v>0.17423999999999998</v>
      </c>
      <c r="Q1437" s="9"/>
      <c r="R1437" s="2"/>
      <c r="S1437" s="2"/>
    </row>
    <row r="1438" spans="1:19">
      <c r="A1438" s="42" t="s">
        <v>90</v>
      </c>
      <c r="B1438" s="3"/>
      <c r="C1438" s="3"/>
      <c r="D1438" s="1"/>
      <c r="E1438" s="20"/>
      <c r="F1438" s="7" t="s">
        <v>15</v>
      </c>
      <c r="G1438" s="7" t="s">
        <v>37</v>
      </c>
      <c r="H1438" s="11">
        <v>18.149999999999999</v>
      </c>
      <c r="I1438" s="8">
        <v>12</v>
      </c>
      <c r="J1438" s="26">
        <v>1</v>
      </c>
      <c r="K1438" s="10">
        <v>0.21779999999999999</v>
      </c>
      <c r="L1438" s="4"/>
      <c r="M1438" s="17">
        <v>1</v>
      </c>
      <c r="N1438" s="18">
        <v>0.21779999999999999</v>
      </c>
      <c r="O1438" s="19">
        <v>0</v>
      </c>
      <c r="P1438" s="13">
        <v>0</v>
      </c>
      <c r="Q1438" s="92">
        <v>12</v>
      </c>
      <c r="R1438" s="47">
        <v>1</v>
      </c>
      <c r="S1438" s="93" t="s">
        <v>279</v>
      </c>
    </row>
    <row r="1439" spans="1:19">
      <c r="A1439" s="42" t="s">
        <v>90</v>
      </c>
      <c r="B1439" s="3"/>
      <c r="C1439" s="3">
        <v>235</v>
      </c>
      <c r="D1439" s="1"/>
      <c r="E1439" s="20" t="s">
        <v>20</v>
      </c>
      <c r="F1439" s="7" t="s">
        <v>15</v>
      </c>
      <c r="G1439" s="7" t="s">
        <v>37</v>
      </c>
      <c r="H1439" s="11">
        <v>18.149999999999999</v>
      </c>
      <c r="I1439" s="8">
        <v>11.5</v>
      </c>
      <c r="J1439" s="26">
        <v>2</v>
      </c>
      <c r="K1439" s="10">
        <v>0.41744999999999999</v>
      </c>
      <c r="L1439" s="4"/>
      <c r="M1439" s="17">
        <v>2</v>
      </c>
      <c r="N1439" s="18">
        <v>0.41744999999999999</v>
      </c>
      <c r="O1439" s="19">
        <v>0</v>
      </c>
      <c r="P1439" s="13">
        <v>0</v>
      </c>
      <c r="Q1439" s="92">
        <v>11.35</v>
      </c>
      <c r="R1439" s="93">
        <v>2</v>
      </c>
      <c r="S1439" s="93" t="s">
        <v>279</v>
      </c>
    </row>
    <row r="1440" spans="1:19">
      <c r="A1440" s="47" t="s">
        <v>147</v>
      </c>
      <c r="B1440" s="48" t="s">
        <v>148</v>
      </c>
      <c r="C1440" s="32">
        <v>289</v>
      </c>
      <c r="D1440" s="32" t="s">
        <v>102</v>
      </c>
      <c r="E1440" s="48" t="s">
        <v>20</v>
      </c>
      <c r="F1440" s="48" t="s">
        <v>160</v>
      </c>
      <c r="G1440" s="48" t="s">
        <v>37</v>
      </c>
      <c r="H1440" s="11">
        <v>18.149999999999999</v>
      </c>
      <c r="I1440" s="8">
        <v>11.9</v>
      </c>
      <c r="J1440" s="7">
        <v>1</v>
      </c>
      <c r="K1440" s="10">
        <v>0.21598499999999998</v>
      </c>
      <c r="L1440" s="32"/>
      <c r="M1440" s="32">
        <v>1</v>
      </c>
      <c r="N1440" s="18">
        <v>0.21598499999999998</v>
      </c>
      <c r="O1440" s="19">
        <v>0</v>
      </c>
      <c r="P1440" s="13">
        <v>0</v>
      </c>
      <c r="Q1440" s="92">
        <v>11.35</v>
      </c>
      <c r="R1440" s="93">
        <v>1</v>
      </c>
      <c r="S1440" s="93" t="s">
        <v>279</v>
      </c>
    </row>
    <row r="1441" spans="1:19">
      <c r="A1441" s="45" t="s">
        <v>136</v>
      </c>
      <c r="B1441" s="32" t="s">
        <v>137</v>
      </c>
      <c r="C1441" s="3">
        <v>96</v>
      </c>
      <c r="D1441" s="32"/>
      <c r="E1441" s="20" t="s">
        <v>20</v>
      </c>
      <c r="F1441" s="7" t="s">
        <v>15</v>
      </c>
      <c r="G1441" s="7" t="s">
        <v>37</v>
      </c>
      <c r="H1441" s="11">
        <v>18.149999999999999</v>
      </c>
      <c r="I1441" s="55">
        <v>6.1</v>
      </c>
      <c r="J1441" s="41">
        <v>1</v>
      </c>
      <c r="K1441" s="10">
        <v>0.11071499999999999</v>
      </c>
      <c r="L1441" s="4"/>
      <c r="M1441" s="17"/>
      <c r="N1441" s="18">
        <v>0</v>
      </c>
      <c r="O1441" s="19">
        <v>1</v>
      </c>
      <c r="P1441" s="13">
        <v>0.11071499999999999</v>
      </c>
      <c r="Q1441" s="32"/>
      <c r="R1441" s="32"/>
      <c r="S1441" s="32"/>
    </row>
    <row r="1442" spans="1:19">
      <c r="O1442" s="78">
        <f>SUM(O1430:O1441)</f>
        <v>4</v>
      </c>
      <c r="R1442" s="80">
        <f>SUM(R1430:R1441)</f>
        <v>6</v>
      </c>
    </row>
    <row r="1444" spans="1:19">
      <c r="A1444" s="42" t="s">
        <v>77</v>
      </c>
      <c r="B1444" s="3" t="s">
        <v>68</v>
      </c>
      <c r="C1444" s="3">
        <v>141</v>
      </c>
      <c r="D1444" s="1"/>
      <c r="E1444" s="20" t="s">
        <v>20</v>
      </c>
      <c r="F1444" s="7" t="s">
        <v>15</v>
      </c>
      <c r="G1444" s="7" t="s">
        <v>62</v>
      </c>
      <c r="H1444" s="11">
        <v>19.899999999999999</v>
      </c>
      <c r="I1444" s="8">
        <v>11</v>
      </c>
      <c r="J1444" s="26">
        <v>1</v>
      </c>
      <c r="K1444" s="10">
        <f t="shared" ref="K1444:K1445" si="88">(H1444*I1444*J1444/1000)</f>
        <v>0.21889999999999998</v>
      </c>
      <c r="L1444" s="4"/>
      <c r="M1444" s="17">
        <v>1</v>
      </c>
      <c r="N1444" s="18">
        <f t="shared" ref="N1444:N1445" si="89">I1444*M1444*H1444/1000</f>
        <v>0.21889999999999998</v>
      </c>
      <c r="O1444" s="19">
        <f t="shared" ref="O1444:O1445" si="90">J1444-M1444</f>
        <v>0</v>
      </c>
      <c r="P1444" s="13">
        <f t="shared" ref="P1444:P1445" si="91">I1444*O1444*H1444/1000</f>
        <v>0</v>
      </c>
      <c r="Q1444" s="92">
        <v>11</v>
      </c>
      <c r="R1444" s="47">
        <v>1</v>
      </c>
      <c r="S1444" s="47" t="s">
        <v>279</v>
      </c>
    </row>
    <row r="1445" spans="1:19">
      <c r="A1445" s="42" t="s">
        <v>77</v>
      </c>
      <c r="B1445" s="3" t="s">
        <v>68</v>
      </c>
      <c r="C1445" s="3">
        <v>141</v>
      </c>
      <c r="D1445" s="1"/>
      <c r="E1445" s="20" t="s">
        <v>20</v>
      </c>
      <c r="F1445" s="7" t="s">
        <v>15</v>
      </c>
      <c r="G1445" s="7" t="s">
        <v>62</v>
      </c>
      <c r="H1445" s="11">
        <v>19.899999999999999</v>
      </c>
      <c r="I1445" s="8">
        <v>12</v>
      </c>
      <c r="J1445" s="26">
        <v>1</v>
      </c>
      <c r="K1445" s="10">
        <f t="shared" si="88"/>
        <v>0.23879999999999998</v>
      </c>
      <c r="L1445" s="4"/>
      <c r="M1445" s="17">
        <v>1</v>
      </c>
      <c r="N1445" s="18">
        <f t="shared" si="89"/>
        <v>0.23879999999999998</v>
      </c>
      <c r="O1445" s="19">
        <f t="shared" si="90"/>
        <v>0</v>
      </c>
      <c r="P1445" s="13">
        <f t="shared" si="91"/>
        <v>0</v>
      </c>
      <c r="Q1445" s="9"/>
      <c r="R1445" s="2"/>
      <c r="S1445" s="2"/>
    </row>
    <row r="1448" spans="1:19">
      <c r="A1448" s="42" t="s">
        <v>78</v>
      </c>
      <c r="B1448" s="3" t="s">
        <v>79</v>
      </c>
      <c r="C1448" s="3">
        <v>5</v>
      </c>
      <c r="D1448" s="1"/>
      <c r="E1448" s="20" t="s">
        <v>24</v>
      </c>
      <c r="F1448" s="7" t="s">
        <v>14</v>
      </c>
      <c r="G1448" s="7" t="s">
        <v>37</v>
      </c>
      <c r="H1448" s="11">
        <v>18.149999999999999</v>
      </c>
      <c r="I1448" s="8">
        <v>11.3</v>
      </c>
      <c r="J1448" s="26">
        <v>6</v>
      </c>
      <c r="K1448" s="10">
        <v>1.2305699999999999</v>
      </c>
      <c r="L1448" s="4"/>
      <c r="M1448" s="17">
        <v>6</v>
      </c>
      <c r="N1448" s="18">
        <v>1.2305700000000002</v>
      </c>
      <c r="O1448" s="19">
        <v>0</v>
      </c>
      <c r="P1448" s="13">
        <v>0</v>
      </c>
      <c r="Q1448" s="92" t="s">
        <v>306</v>
      </c>
      <c r="R1448" s="47">
        <v>6</v>
      </c>
      <c r="S1448" s="47" t="s">
        <v>307</v>
      </c>
    </row>
    <row r="1449" spans="1:19">
      <c r="A1449" s="42" t="s">
        <v>90</v>
      </c>
      <c r="B1449" s="48" t="s">
        <v>148</v>
      </c>
      <c r="C1449" s="32">
        <v>54</v>
      </c>
      <c r="D1449" s="32"/>
      <c r="E1449" s="48" t="s">
        <v>24</v>
      </c>
      <c r="F1449" s="48" t="s">
        <v>14</v>
      </c>
      <c r="G1449" s="48" t="s">
        <v>37</v>
      </c>
      <c r="H1449" s="11">
        <v>18.149999999999999</v>
      </c>
      <c r="I1449" s="8">
        <v>11.35</v>
      </c>
      <c r="J1449" s="7">
        <v>1</v>
      </c>
      <c r="K1449" s="10">
        <v>0.20600249999999998</v>
      </c>
      <c r="L1449" s="32"/>
      <c r="M1449" s="32">
        <v>1</v>
      </c>
      <c r="N1449" s="18">
        <v>0.20600249999999998</v>
      </c>
      <c r="O1449" s="19">
        <v>0</v>
      </c>
      <c r="P1449" s="13">
        <v>0</v>
      </c>
      <c r="Q1449" s="93">
        <v>8.75</v>
      </c>
      <c r="R1449" s="93">
        <v>1</v>
      </c>
      <c r="S1449" s="47" t="s">
        <v>307</v>
      </c>
    </row>
    <row r="1450" spans="1:19">
      <c r="A1450" s="42" t="s">
        <v>90</v>
      </c>
      <c r="B1450" s="48" t="s">
        <v>148</v>
      </c>
      <c r="C1450" s="32">
        <v>76</v>
      </c>
      <c r="D1450" s="32"/>
      <c r="E1450" s="48" t="s">
        <v>19</v>
      </c>
      <c r="F1450" s="48" t="s">
        <v>14</v>
      </c>
      <c r="G1450" s="48" t="s">
        <v>37</v>
      </c>
      <c r="H1450" s="11">
        <v>18.149999999999999</v>
      </c>
      <c r="I1450" s="52">
        <v>7.5</v>
      </c>
      <c r="J1450" s="7">
        <v>5</v>
      </c>
      <c r="K1450" s="10">
        <v>0.68062500000000004</v>
      </c>
      <c r="L1450" s="32"/>
      <c r="M1450" s="32"/>
      <c r="N1450" s="18">
        <v>0</v>
      </c>
      <c r="O1450" s="19">
        <v>5</v>
      </c>
      <c r="P1450" s="13">
        <v>0.68062500000000004</v>
      </c>
      <c r="Q1450" s="32"/>
      <c r="R1450" s="32"/>
      <c r="S1450" s="32"/>
    </row>
    <row r="1451" spans="1:19">
      <c r="A1451" s="42" t="s">
        <v>90</v>
      </c>
      <c r="B1451" s="3"/>
      <c r="C1451" s="3">
        <v>194</v>
      </c>
      <c r="D1451" s="1"/>
      <c r="E1451" s="12" t="s">
        <v>19</v>
      </c>
      <c r="F1451" s="7" t="s">
        <v>14</v>
      </c>
      <c r="G1451" s="7" t="s">
        <v>37</v>
      </c>
      <c r="H1451" s="11">
        <v>18.149999999999999</v>
      </c>
      <c r="I1451" s="8">
        <v>12</v>
      </c>
      <c r="J1451" s="26">
        <v>1</v>
      </c>
      <c r="K1451" s="10">
        <v>0.21779999999999999</v>
      </c>
      <c r="L1451" s="4"/>
      <c r="M1451" s="17"/>
      <c r="N1451" s="18">
        <v>0</v>
      </c>
      <c r="O1451" s="19">
        <v>1</v>
      </c>
      <c r="P1451" s="13">
        <v>0.21779999999999999</v>
      </c>
      <c r="Q1451" s="9"/>
      <c r="R1451" s="2"/>
      <c r="S1451" s="2"/>
    </row>
    <row r="1452" spans="1:19">
      <c r="A1452" s="42" t="s">
        <v>90</v>
      </c>
      <c r="B1452" s="3"/>
      <c r="C1452" s="3"/>
      <c r="D1452" s="1"/>
      <c r="E1452" s="12"/>
      <c r="F1452" s="7" t="s">
        <v>14</v>
      </c>
      <c r="G1452" s="7" t="s">
        <v>37</v>
      </c>
      <c r="H1452" s="11">
        <v>18.149999999999999</v>
      </c>
      <c r="I1452" s="8">
        <v>11.7</v>
      </c>
      <c r="J1452" s="17">
        <v>1</v>
      </c>
      <c r="K1452" s="10">
        <v>0.21235499999999996</v>
      </c>
      <c r="L1452" s="4"/>
      <c r="M1452" s="17"/>
      <c r="N1452" s="18">
        <v>0</v>
      </c>
      <c r="O1452" s="19">
        <v>1</v>
      </c>
      <c r="P1452" s="13">
        <v>0.21235499999999996</v>
      </c>
      <c r="Q1452" s="9"/>
      <c r="R1452" s="2"/>
      <c r="S1452" s="2"/>
    </row>
    <row r="1453" spans="1:19">
      <c r="R1453" s="76">
        <f>SUM(R1448:R1452)</f>
        <v>7</v>
      </c>
    </row>
    <row r="1456" spans="1:19">
      <c r="A1456" s="42" t="s">
        <v>77</v>
      </c>
      <c r="B1456" s="3" t="s">
        <v>68</v>
      </c>
      <c r="C1456" s="3">
        <v>233</v>
      </c>
      <c r="D1456" s="1"/>
      <c r="E1456" s="20" t="s">
        <v>63</v>
      </c>
      <c r="F1456" s="7" t="s">
        <v>15</v>
      </c>
      <c r="G1456" s="7" t="s">
        <v>42</v>
      </c>
      <c r="H1456" s="11">
        <v>19.72</v>
      </c>
      <c r="I1456" s="8">
        <v>6</v>
      </c>
      <c r="J1456" s="26">
        <v>3</v>
      </c>
      <c r="K1456" s="10">
        <v>0.35496</v>
      </c>
      <c r="L1456" s="4"/>
      <c r="M1456" s="17"/>
      <c r="N1456" s="18">
        <v>0</v>
      </c>
      <c r="O1456" s="19">
        <v>3</v>
      </c>
      <c r="P1456" s="13">
        <v>0.35496</v>
      </c>
      <c r="Q1456" s="9"/>
      <c r="R1456" s="2"/>
      <c r="S1456" s="2"/>
    </row>
    <row r="1457" spans="1:19">
      <c r="A1457" s="42" t="s">
        <v>84</v>
      </c>
      <c r="B1457" s="3" t="s">
        <v>122</v>
      </c>
      <c r="C1457" s="3">
        <v>1</v>
      </c>
      <c r="D1457" s="1"/>
      <c r="E1457" s="20" t="s">
        <v>63</v>
      </c>
      <c r="F1457" s="7" t="s">
        <v>15</v>
      </c>
      <c r="G1457" s="7" t="s">
        <v>42</v>
      </c>
      <c r="H1457" s="11">
        <v>19.72</v>
      </c>
      <c r="I1457" s="8">
        <v>10.9</v>
      </c>
      <c r="J1457" s="26">
        <v>2</v>
      </c>
      <c r="K1457" s="10">
        <v>0.429896</v>
      </c>
      <c r="L1457" s="4"/>
      <c r="M1457" s="17">
        <v>2</v>
      </c>
      <c r="N1457" s="18">
        <v>0.429896</v>
      </c>
      <c r="O1457" s="19">
        <v>0</v>
      </c>
      <c r="P1457" s="13">
        <v>0</v>
      </c>
      <c r="Q1457" s="89">
        <v>9.6</v>
      </c>
      <c r="R1457" s="90">
        <v>2</v>
      </c>
      <c r="S1457" s="90" t="s">
        <v>217</v>
      </c>
    </row>
    <row r="1458" spans="1:19">
      <c r="A1458" s="42" t="s">
        <v>84</v>
      </c>
      <c r="B1458" s="3" t="s">
        <v>122</v>
      </c>
      <c r="C1458" s="3">
        <v>1</v>
      </c>
      <c r="D1458" s="1"/>
      <c r="E1458" s="20" t="s">
        <v>63</v>
      </c>
      <c r="F1458" s="7" t="s">
        <v>15</v>
      </c>
      <c r="G1458" s="7" t="s">
        <v>42</v>
      </c>
      <c r="H1458" s="11">
        <v>19.72</v>
      </c>
      <c r="I1458" s="8">
        <v>11.1</v>
      </c>
      <c r="J1458" s="26">
        <v>1</v>
      </c>
      <c r="K1458" s="10">
        <v>0.21889199999999998</v>
      </c>
      <c r="L1458" s="4"/>
      <c r="M1458" s="17">
        <v>1</v>
      </c>
      <c r="N1458" s="18">
        <v>0.21889199999999998</v>
      </c>
      <c r="O1458" s="19">
        <v>0</v>
      </c>
      <c r="P1458" s="13">
        <v>0</v>
      </c>
      <c r="Q1458" s="89">
        <v>9.6</v>
      </c>
      <c r="R1458" s="90">
        <v>1</v>
      </c>
      <c r="S1458" s="90" t="s">
        <v>217</v>
      </c>
    </row>
    <row r="1459" spans="1:19">
      <c r="A1459" s="47" t="s">
        <v>147</v>
      </c>
      <c r="B1459" s="48" t="s">
        <v>148</v>
      </c>
      <c r="C1459" s="32">
        <v>368</v>
      </c>
      <c r="D1459" s="32"/>
      <c r="E1459" s="48" t="s">
        <v>106</v>
      </c>
      <c r="F1459" s="48" t="s">
        <v>160</v>
      </c>
      <c r="G1459" s="48" t="s">
        <v>42</v>
      </c>
      <c r="H1459" s="11">
        <v>19.72</v>
      </c>
      <c r="I1459" s="8">
        <v>11.1</v>
      </c>
      <c r="J1459" s="7">
        <v>7</v>
      </c>
      <c r="K1459" s="10">
        <v>1.5322439999999997</v>
      </c>
      <c r="L1459" s="32"/>
      <c r="M1459" s="32">
        <v>7</v>
      </c>
      <c r="N1459" s="18">
        <v>1.5322439999999999</v>
      </c>
      <c r="O1459" s="19">
        <v>0</v>
      </c>
      <c r="P1459" s="13">
        <v>0</v>
      </c>
      <c r="Q1459" s="89">
        <v>9.6</v>
      </c>
      <c r="R1459" s="91">
        <v>7</v>
      </c>
      <c r="S1459" s="90" t="s">
        <v>217</v>
      </c>
    </row>
    <row r="1460" spans="1:19">
      <c r="A1460" s="42" t="s">
        <v>78</v>
      </c>
      <c r="B1460" s="3" t="s">
        <v>80</v>
      </c>
      <c r="C1460" s="3">
        <v>1</v>
      </c>
      <c r="D1460" s="1"/>
      <c r="E1460" s="12" t="s">
        <v>63</v>
      </c>
      <c r="F1460" s="7" t="s">
        <v>15</v>
      </c>
      <c r="G1460" s="7" t="s">
        <v>42</v>
      </c>
      <c r="H1460" s="11">
        <v>19.72</v>
      </c>
      <c r="I1460" s="8">
        <v>6</v>
      </c>
      <c r="J1460" s="26">
        <v>1</v>
      </c>
      <c r="K1460" s="10">
        <v>0.11831999999999999</v>
      </c>
      <c r="L1460" s="4"/>
      <c r="M1460" s="17"/>
      <c r="N1460" s="18">
        <v>0</v>
      </c>
      <c r="O1460" s="19">
        <v>1</v>
      </c>
      <c r="P1460" s="13">
        <v>0.11831999999999999</v>
      </c>
      <c r="Q1460" s="9"/>
      <c r="R1460" s="2"/>
      <c r="S1460" s="2"/>
    </row>
    <row r="1461" spans="1:19">
      <c r="A1461" s="44" t="s">
        <v>78</v>
      </c>
      <c r="B1461" s="32" t="s">
        <v>80</v>
      </c>
      <c r="C1461" s="3">
        <v>1</v>
      </c>
      <c r="D1461" s="32"/>
      <c r="E1461" s="20" t="s">
        <v>91</v>
      </c>
      <c r="F1461" s="7" t="s">
        <v>15</v>
      </c>
      <c r="G1461" s="7" t="s">
        <v>42</v>
      </c>
      <c r="H1461" s="11">
        <v>19.72</v>
      </c>
      <c r="I1461" s="33">
        <v>7.5</v>
      </c>
      <c r="J1461" s="40">
        <v>2</v>
      </c>
      <c r="K1461" s="10">
        <v>0.29579999999999995</v>
      </c>
      <c r="L1461" s="4"/>
      <c r="M1461" s="17">
        <v>1</v>
      </c>
      <c r="N1461" s="18">
        <v>0.14789999999999998</v>
      </c>
      <c r="O1461" s="19">
        <v>1</v>
      </c>
      <c r="P1461" s="13">
        <v>0.14789999999999998</v>
      </c>
      <c r="Q1461" s="102">
        <v>7.4</v>
      </c>
      <c r="R1461" s="91">
        <v>1</v>
      </c>
      <c r="S1461" s="90" t="s">
        <v>217</v>
      </c>
    </row>
    <row r="1462" spans="1:19">
      <c r="A1462" s="44" t="s">
        <v>78</v>
      </c>
      <c r="B1462" s="32" t="s">
        <v>80</v>
      </c>
      <c r="C1462" s="3">
        <v>1</v>
      </c>
      <c r="D1462" s="32"/>
      <c r="E1462" s="20" t="s">
        <v>91</v>
      </c>
      <c r="F1462" s="7" t="s">
        <v>15</v>
      </c>
      <c r="G1462" s="7" t="s">
        <v>42</v>
      </c>
      <c r="H1462" s="11">
        <v>19.72</v>
      </c>
      <c r="I1462" s="33">
        <v>8.3000000000000007</v>
      </c>
      <c r="J1462" s="40">
        <v>1</v>
      </c>
      <c r="K1462" s="10">
        <v>0.16367600000000002</v>
      </c>
      <c r="L1462" s="4"/>
      <c r="M1462" s="17">
        <v>1</v>
      </c>
      <c r="N1462" s="18">
        <v>0.16367600000000002</v>
      </c>
      <c r="O1462" s="19">
        <v>0</v>
      </c>
      <c r="P1462" s="13">
        <v>0</v>
      </c>
      <c r="Q1462" s="102">
        <v>8.1</v>
      </c>
      <c r="R1462" s="91">
        <v>1</v>
      </c>
      <c r="S1462" s="90" t="s">
        <v>217</v>
      </c>
    </row>
    <row r="1463" spans="1:19">
      <c r="O1463" s="78">
        <f>SUM(O1456:O1462)</f>
        <v>5</v>
      </c>
      <c r="R1463" s="80">
        <f>SUM(R1456:R1462)</f>
        <v>12</v>
      </c>
    </row>
    <row r="1466" spans="1:19">
      <c r="A1466" s="42" t="s">
        <v>77</v>
      </c>
      <c r="B1466" s="3" t="s">
        <v>68</v>
      </c>
      <c r="C1466" s="3">
        <v>244</v>
      </c>
      <c r="D1466" s="1"/>
      <c r="E1466" s="12" t="s">
        <v>20</v>
      </c>
      <c r="F1466" s="7" t="s">
        <v>15</v>
      </c>
      <c r="G1466" s="7" t="s">
        <v>42</v>
      </c>
      <c r="H1466" s="11">
        <v>19.72</v>
      </c>
      <c r="I1466" s="8">
        <v>7.6</v>
      </c>
      <c r="J1466" s="26">
        <v>1</v>
      </c>
      <c r="K1466" s="10">
        <v>0.14987199999999998</v>
      </c>
      <c r="L1466" s="4"/>
      <c r="M1466" s="17">
        <v>1</v>
      </c>
      <c r="N1466" s="18">
        <v>0.14987199999999998</v>
      </c>
      <c r="O1466" s="19">
        <v>0</v>
      </c>
      <c r="P1466" s="13">
        <v>0</v>
      </c>
      <c r="Q1466" s="89">
        <v>7.1</v>
      </c>
      <c r="R1466" s="90">
        <v>1</v>
      </c>
      <c r="S1466" s="90" t="s">
        <v>313</v>
      </c>
    </row>
    <row r="1467" spans="1:19">
      <c r="A1467" s="42" t="s">
        <v>77</v>
      </c>
      <c r="B1467" s="3" t="s">
        <v>68</v>
      </c>
      <c r="C1467" s="3">
        <v>254</v>
      </c>
      <c r="D1467" s="1"/>
      <c r="E1467" s="12" t="s">
        <v>20</v>
      </c>
      <c r="F1467" s="7" t="s">
        <v>15</v>
      </c>
      <c r="G1467" s="7" t="s">
        <v>42</v>
      </c>
      <c r="H1467" s="11">
        <v>19.72</v>
      </c>
      <c r="I1467" s="8">
        <v>6.6</v>
      </c>
      <c r="J1467" s="26">
        <v>1</v>
      </c>
      <c r="K1467" s="10">
        <v>0.13015199999999999</v>
      </c>
      <c r="L1467" s="23"/>
      <c r="M1467" s="17"/>
      <c r="N1467" s="18">
        <v>0</v>
      </c>
      <c r="O1467" s="19">
        <v>1</v>
      </c>
      <c r="P1467" s="13">
        <v>0.13015199999999999</v>
      </c>
      <c r="Q1467" s="9"/>
      <c r="R1467" s="2"/>
      <c r="S1467" s="2"/>
    </row>
    <row r="1468" spans="1:19">
      <c r="A1468" s="42" t="s">
        <v>84</v>
      </c>
      <c r="B1468" s="3"/>
      <c r="C1468" s="3">
        <v>1</v>
      </c>
      <c r="D1468" s="1"/>
      <c r="E1468" s="20" t="s">
        <v>114</v>
      </c>
      <c r="F1468" s="7" t="s">
        <v>15</v>
      </c>
      <c r="G1468" s="7" t="s">
        <v>42</v>
      </c>
      <c r="H1468" s="11">
        <v>19.72</v>
      </c>
      <c r="I1468" s="8">
        <v>11.6</v>
      </c>
      <c r="J1468" s="26">
        <v>13</v>
      </c>
      <c r="K1468" s="10">
        <v>2.973776</v>
      </c>
      <c r="L1468" s="4"/>
      <c r="M1468" s="17">
        <v>13</v>
      </c>
      <c r="N1468" s="18">
        <v>2.9737759999999995</v>
      </c>
      <c r="O1468" s="19">
        <v>0</v>
      </c>
      <c r="P1468" s="13">
        <v>0</v>
      </c>
      <c r="Q1468" s="89">
        <v>11.5</v>
      </c>
      <c r="R1468" s="90">
        <v>13</v>
      </c>
      <c r="S1468" s="90" t="s">
        <v>314</v>
      </c>
    </row>
    <row r="1469" spans="1:19">
      <c r="A1469" s="42" t="s">
        <v>84</v>
      </c>
      <c r="B1469" s="3" t="s">
        <v>124</v>
      </c>
      <c r="C1469" s="3">
        <v>1</v>
      </c>
      <c r="D1469" s="1"/>
      <c r="E1469" s="20" t="s">
        <v>126</v>
      </c>
      <c r="F1469" s="7" t="s">
        <v>15</v>
      </c>
      <c r="G1469" s="7" t="s">
        <v>42</v>
      </c>
      <c r="H1469" s="11">
        <v>19.72</v>
      </c>
      <c r="I1469" s="8">
        <v>6.5</v>
      </c>
      <c r="J1469" s="26">
        <v>1</v>
      </c>
      <c r="K1469" s="10">
        <v>0.12818000000000002</v>
      </c>
      <c r="L1469" s="4"/>
      <c r="M1469" s="17"/>
      <c r="N1469" s="18">
        <v>0</v>
      </c>
      <c r="O1469" s="19">
        <v>1</v>
      </c>
      <c r="P1469" s="13">
        <v>0.12818000000000002</v>
      </c>
      <c r="Q1469" s="9"/>
      <c r="R1469" s="2"/>
      <c r="S1469" s="2"/>
    </row>
    <row r="1470" spans="1:19">
      <c r="A1470" s="42" t="s">
        <v>84</v>
      </c>
      <c r="B1470" s="3" t="s">
        <v>124</v>
      </c>
      <c r="C1470" s="3">
        <v>1</v>
      </c>
      <c r="D1470" s="1"/>
      <c r="E1470" s="20" t="s">
        <v>126</v>
      </c>
      <c r="F1470" s="7" t="s">
        <v>15</v>
      </c>
      <c r="G1470" s="7" t="s">
        <v>42</v>
      </c>
      <c r="H1470" s="11">
        <v>19.72</v>
      </c>
      <c r="I1470" s="8">
        <v>7.6</v>
      </c>
      <c r="J1470" s="26">
        <v>6</v>
      </c>
      <c r="K1470" s="10">
        <v>0.89923199999999992</v>
      </c>
      <c r="L1470" s="4"/>
      <c r="M1470" s="17">
        <v>6</v>
      </c>
      <c r="N1470" s="18">
        <v>0.89923199999999981</v>
      </c>
      <c r="O1470" s="19">
        <v>0</v>
      </c>
      <c r="P1470" s="13">
        <v>0</v>
      </c>
      <c r="Q1470" s="89">
        <v>7.1</v>
      </c>
      <c r="R1470" s="90">
        <v>6</v>
      </c>
      <c r="S1470" s="90" t="s">
        <v>313</v>
      </c>
    </row>
    <row r="1471" spans="1:19">
      <c r="A1471" s="42" t="s">
        <v>84</v>
      </c>
      <c r="B1471" s="3" t="s">
        <v>124</v>
      </c>
      <c r="C1471" s="3">
        <v>1</v>
      </c>
      <c r="D1471" s="1"/>
      <c r="E1471" s="20" t="s">
        <v>114</v>
      </c>
      <c r="F1471" s="7" t="s">
        <v>15</v>
      </c>
      <c r="G1471" s="7" t="s">
        <v>42</v>
      </c>
      <c r="H1471" s="11">
        <v>19.72</v>
      </c>
      <c r="I1471" s="8">
        <v>4.2</v>
      </c>
      <c r="J1471" s="26">
        <v>2</v>
      </c>
      <c r="K1471" s="10">
        <v>0.16564799999999999</v>
      </c>
      <c r="L1471" s="4"/>
      <c r="M1471" s="17"/>
      <c r="N1471" s="18">
        <v>0</v>
      </c>
      <c r="O1471" s="19">
        <v>2</v>
      </c>
      <c r="P1471" s="13">
        <v>0.16564799999999999</v>
      </c>
      <c r="Q1471" s="9"/>
      <c r="R1471" s="2"/>
      <c r="S1471" s="2"/>
    </row>
    <row r="1472" spans="1:19">
      <c r="A1472" s="42" t="s">
        <v>90</v>
      </c>
      <c r="B1472" s="48" t="s">
        <v>148</v>
      </c>
      <c r="C1472" s="32">
        <v>79</v>
      </c>
      <c r="D1472" s="32"/>
      <c r="E1472" s="48" t="s">
        <v>20</v>
      </c>
      <c r="F1472" s="48" t="s">
        <v>15</v>
      </c>
      <c r="G1472" s="48" t="s">
        <v>42</v>
      </c>
      <c r="H1472" s="11">
        <v>19.72</v>
      </c>
      <c r="I1472" s="8">
        <v>11.2</v>
      </c>
      <c r="J1472" s="7">
        <v>1</v>
      </c>
      <c r="K1472" s="10">
        <v>0.22086399999999998</v>
      </c>
      <c r="L1472" s="32"/>
      <c r="M1472" s="32"/>
      <c r="N1472" s="18">
        <v>0</v>
      </c>
      <c r="O1472" s="19">
        <v>1</v>
      </c>
      <c r="P1472" s="13">
        <v>0.22086399999999998</v>
      </c>
      <c r="Q1472" s="32"/>
      <c r="R1472" s="32"/>
      <c r="S1472" s="32"/>
    </row>
    <row r="1473" spans="1:19">
      <c r="A1473" s="42" t="s">
        <v>90</v>
      </c>
      <c r="B1473" s="48" t="s">
        <v>148</v>
      </c>
      <c r="C1473" s="32">
        <v>79</v>
      </c>
      <c r="D1473" s="32"/>
      <c r="E1473" s="48" t="s">
        <v>20</v>
      </c>
      <c r="F1473" s="48" t="s">
        <v>15</v>
      </c>
      <c r="G1473" s="48" t="s">
        <v>42</v>
      </c>
      <c r="H1473" s="11">
        <v>19.72</v>
      </c>
      <c r="I1473" s="8">
        <v>11</v>
      </c>
      <c r="J1473" s="7">
        <v>1</v>
      </c>
      <c r="K1473" s="10">
        <v>0.21691999999999997</v>
      </c>
      <c r="L1473" s="32"/>
      <c r="M1473" s="32"/>
      <c r="N1473" s="18">
        <v>0</v>
      </c>
      <c r="O1473" s="19">
        <v>1</v>
      </c>
      <c r="P1473" s="13">
        <v>0.21691999999999997</v>
      </c>
      <c r="Q1473" s="32"/>
      <c r="R1473" s="32"/>
      <c r="S1473" s="32"/>
    </row>
    <row r="1474" spans="1:19">
      <c r="A1474" s="44" t="s">
        <v>78</v>
      </c>
      <c r="B1474" s="32" t="s">
        <v>80</v>
      </c>
      <c r="C1474" s="3">
        <v>1</v>
      </c>
      <c r="D1474" s="32"/>
      <c r="E1474" s="20" t="s">
        <v>114</v>
      </c>
      <c r="F1474" s="7" t="s">
        <v>15</v>
      </c>
      <c r="G1474" s="7" t="s">
        <v>42</v>
      </c>
      <c r="H1474" s="11">
        <v>19.72</v>
      </c>
      <c r="I1474" s="55">
        <v>11.7</v>
      </c>
      <c r="J1474" s="40">
        <v>2</v>
      </c>
      <c r="K1474" s="10">
        <v>0.46144799999999991</v>
      </c>
      <c r="L1474" s="4"/>
      <c r="M1474" s="17">
        <v>2</v>
      </c>
      <c r="N1474" s="18">
        <v>0.46144799999999991</v>
      </c>
      <c r="O1474" s="19">
        <v>0</v>
      </c>
      <c r="P1474" s="13">
        <v>0</v>
      </c>
      <c r="Q1474" s="98">
        <v>11.5</v>
      </c>
      <c r="R1474" s="91">
        <v>2</v>
      </c>
      <c r="S1474" s="90" t="s">
        <v>314</v>
      </c>
    </row>
    <row r="1475" spans="1:19">
      <c r="A1475" s="44" t="s">
        <v>78</v>
      </c>
      <c r="B1475" s="32" t="s">
        <v>80</v>
      </c>
      <c r="C1475" s="3">
        <v>1</v>
      </c>
      <c r="D1475" s="32"/>
      <c r="E1475" s="20" t="s">
        <v>114</v>
      </c>
      <c r="F1475" s="7" t="s">
        <v>15</v>
      </c>
      <c r="G1475" s="7" t="s">
        <v>42</v>
      </c>
      <c r="H1475" s="11">
        <v>19.72</v>
      </c>
      <c r="I1475" s="55">
        <v>11.6</v>
      </c>
      <c r="J1475" s="40">
        <v>1</v>
      </c>
      <c r="K1475" s="10">
        <v>0.22875199999999998</v>
      </c>
      <c r="L1475" s="4"/>
      <c r="M1475" s="17">
        <v>1</v>
      </c>
      <c r="N1475" s="18">
        <v>0.22875199999999998</v>
      </c>
      <c r="O1475" s="19">
        <v>0</v>
      </c>
      <c r="P1475" s="13">
        <v>0</v>
      </c>
      <c r="Q1475" s="98">
        <v>11.5</v>
      </c>
      <c r="R1475" s="91">
        <v>1</v>
      </c>
      <c r="S1475" s="90" t="s">
        <v>314</v>
      </c>
    </row>
    <row r="1476" spans="1:19">
      <c r="A1476" s="44" t="s">
        <v>78</v>
      </c>
      <c r="B1476" s="32" t="s">
        <v>80</v>
      </c>
      <c r="C1476" s="3">
        <v>1</v>
      </c>
      <c r="D1476" s="32"/>
      <c r="E1476" s="20" t="s">
        <v>114</v>
      </c>
      <c r="F1476" s="7" t="s">
        <v>15</v>
      </c>
      <c r="G1476" s="7" t="s">
        <v>42</v>
      </c>
      <c r="H1476" s="11">
        <v>19.72</v>
      </c>
      <c r="I1476" s="55">
        <v>11.5</v>
      </c>
      <c r="J1476" s="40">
        <v>5</v>
      </c>
      <c r="K1476" s="10">
        <v>1.1338999999999999</v>
      </c>
      <c r="L1476" s="4"/>
      <c r="M1476" s="17">
        <v>5</v>
      </c>
      <c r="N1476" s="18">
        <v>1.1338999999999999</v>
      </c>
      <c r="O1476" s="19">
        <v>0</v>
      </c>
      <c r="P1476" s="13">
        <v>0</v>
      </c>
      <c r="Q1476" s="98">
        <v>11.5</v>
      </c>
      <c r="R1476" s="91">
        <v>2</v>
      </c>
      <c r="S1476" s="90" t="s">
        <v>314</v>
      </c>
    </row>
    <row r="1477" spans="1:19">
      <c r="A1477" s="44" t="s">
        <v>78</v>
      </c>
      <c r="B1477" s="32" t="s">
        <v>80</v>
      </c>
      <c r="C1477" s="3">
        <v>1</v>
      </c>
      <c r="D1477" s="32"/>
      <c r="E1477" s="20" t="s">
        <v>114</v>
      </c>
      <c r="F1477" s="7" t="s">
        <v>15</v>
      </c>
      <c r="G1477" s="7" t="s">
        <v>42</v>
      </c>
      <c r="H1477" s="11">
        <v>19.72</v>
      </c>
      <c r="I1477" s="55">
        <v>11.8</v>
      </c>
      <c r="J1477" s="40">
        <v>1</v>
      </c>
      <c r="K1477" s="10">
        <v>0.23269599999999999</v>
      </c>
      <c r="L1477" s="4"/>
      <c r="M1477" s="17">
        <v>1</v>
      </c>
      <c r="N1477" s="18">
        <v>0.23269599999999999</v>
      </c>
      <c r="O1477" s="19">
        <v>0</v>
      </c>
      <c r="P1477" s="13">
        <v>0</v>
      </c>
      <c r="Q1477" s="98">
        <v>11.5</v>
      </c>
      <c r="R1477" s="91">
        <v>1</v>
      </c>
      <c r="S1477" s="90" t="s">
        <v>314</v>
      </c>
    </row>
    <row r="1478" spans="1:19">
      <c r="A1478" s="44" t="s">
        <v>78</v>
      </c>
      <c r="B1478" s="32" t="s">
        <v>80</v>
      </c>
      <c r="C1478" s="3">
        <v>1</v>
      </c>
      <c r="D1478" s="32"/>
      <c r="E1478" s="20" t="s">
        <v>114</v>
      </c>
      <c r="F1478" s="7" t="s">
        <v>15</v>
      </c>
      <c r="G1478" s="7" t="s">
        <v>42</v>
      </c>
      <c r="H1478" s="11">
        <v>19.72</v>
      </c>
      <c r="I1478" s="55">
        <v>9.3000000000000007</v>
      </c>
      <c r="J1478" s="40">
        <v>3</v>
      </c>
      <c r="K1478" s="10">
        <v>0.55018800000000012</v>
      </c>
      <c r="L1478" s="4"/>
      <c r="M1478" s="17">
        <v>3</v>
      </c>
      <c r="N1478" s="18">
        <v>0.55018800000000001</v>
      </c>
      <c r="O1478" s="19">
        <v>0</v>
      </c>
      <c r="P1478" s="13">
        <v>0</v>
      </c>
      <c r="Q1478" s="32"/>
      <c r="R1478" s="32"/>
      <c r="S1478" s="32"/>
    </row>
    <row r="1479" spans="1:19">
      <c r="A1479" s="44" t="s">
        <v>78</v>
      </c>
      <c r="B1479" s="32" t="s">
        <v>80</v>
      </c>
      <c r="C1479" s="3">
        <v>1</v>
      </c>
      <c r="D1479" s="32"/>
      <c r="E1479" s="20" t="s">
        <v>114</v>
      </c>
      <c r="F1479" s="7" t="s">
        <v>15</v>
      </c>
      <c r="G1479" s="7" t="s">
        <v>42</v>
      </c>
      <c r="H1479" s="11">
        <v>19.72</v>
      </c>
      <c r="I1479" s="55">
        <v>10.5</v>
      </c>
      <c r="J1479" s="40">
        <v>1</v>
      </c>
      <c r="K1479" s="10">
        <v>0.20705999999999999</v>
      </c>
      <c r="L1479" s="4"/>
      <c r="M1479" s="17">
        <v>1</v>
      </c>
      <c r="N1479" s="18">
        <v>0.20705999999999999</v>
      </c>
      <c r="O1479" s="19">
        <v>0</v>
      </c>
      <c r="P1479" s="13">
        <v>0</v>
      </c>
      <c r="Q1479" s="32"/>
      <c r="R1479" s="32"/>
      <c r="S1479" s="32"/>
    </row>
    <row r="1480" spans="1:19">
      <c r="A1480" s="44" t="s">
        <v>78</v>
      </c>
      <c r="B1480" s="32" t="s">
        <v>80</v>
      </c>
      <c r="C1480" s="3">
        <v>1</v>
      </c>
      <c r="D1480" s="32"/>
      <c r="E1480" s="20" t="s">
        <v>114</v>
      </c>
      <c r="F1480" s="7" t="s">
        <v>15</v>
      </c>
      <c r="G1480" s="7" t="s">
        <v>42</v>
      </c>
      <c r="H1480" s="11">
        <v>19.72</v>
      </c>
      <c r="I1480" s="55">
        <v>10.7</v>
      </c>
      <c r="J1480" s="40">
        <v>1</v>
      </c>
      <c r="K1480" s="10">
        <v>0.21100399999999997</v>
      </c>
      <c r="L1480" s="4"/>
      <c r="M1480" s="17">
        <v>1</v>
      </c>
      <c r="N1480" s="18">
        <v>0.21100399999999997</v>
      </c>
      <c r="O1480" s="19">
        <v>0</v>
      </c>
      <c r="P1480" s="13">
        <v>0</v>
      </c>
      <c r="Q1480" s="32"/>
      <c r="R1480" s="32"/>
      <c r="S1480" s="32"/>
    </row>
    <row r="1481" spans="1:19">
      <c r="A1481" s="44" t="s">
        <v>78</v>
      </c>
      <c r="B1481" s="32" t="s">
        <v>80</v>
      </c>
      <c r="C1481" s="3">
        <v>1</v>
      </c>
      <c r="D1481" s="32"/>
      <c r="E1481" s="20" t="s">
        <v>114</v>
      </c>
      <c r="F1481" s="7" t="s">
        <v>15</v>
      </c>
      <c r="G1481" s="7" t="s">
        <v>42</v>
      </c>
      <c r="H1481" s="11">
        <v>19.72</v>
      </c>
      <c r="I1481" s="55">
        <v>11.3</v>
      </c>
      <c r="J1481" s="40">
        <v>1</v>
      </c>
      <c r="K1481" s="10">
        <v>0.22283600000000001</v>
      </c>
      <c r="L1481" s="4"/>
      <c r="M1481" s="17">
        <v>1</v>
      </c>
      <c r="N1481" s="18">
        <v>0.22283600000000001</v>
      </c>
      <c r="O1481" s="19">
        <v>0</v>
      </c>
      <c r="P1481" s="13">
        <v>0</v>
      </c>
      <c r="Q1481" s="32"/>
      <c r="R1481" s="32"/>
      <c r="S1481" s="32"/>
    </row>
    <row r="1482" spans="1:19">
      <c r="A1482" s="45" t="s">
        <v>136</v>
      </c>
      <c r="B1482" s="32" t="s">
        <v>137</v>
      </c>
      <c r="C1482" s="3">
        <v>7</v>
      </c>
      <c r="D1482" s="32"/>
      <c r="E1482" s="20" t="s">
        <v>20</v>
      </c>
      <c r="F1482" s="7" t="s">
        <v>15</v>
      </c>
      <c r="G1482" s="7" t="s">
        <v>42</v>
      </c>
      <c r="H1482" s="11">
        <v>19.72</v>
      </c>
      <c r="I1482" s="55">
        <v>6.2</v>
      </c>
      <c r="J1482" s="40">
        <v>2</v>
      </c>
      <c r="K1482" s="10">
        <v>0.244528</v>
      </c>
      <c r="L1482" s="4"/>
      <c r="M1482" s="17"/>
      <c r="N1482" s="18">
        <v>0</v>
      </c>
      <c r="O1482" s="19">
        <v>2</v>
      </c>
      <c r="P1482" s="13">
        <v>0.244528</v>
      </c>
      <c r="Q1482" s="32"/>
      <c r="R1482" s="32"/>
      <c r="S1482" s="32"/>
    </row>
    <row r="1483" spans="1:19">
      <c r="A1483" s="45" t="s">
        <v>136</v>
      </c>
      <c r="B1483" s="32" t="s">
        <v>137</v>
      </c>
      <c r="C1483" s="3">
        <v>36</v>
      </c>
      <c r="D1483" s="32"/>
      <c r="E1483" s="20" t="s">
        <v>113</v>
      </c>
      <c r="F1483" s="7" t="s">
        <v>15</v>
      </c>
      <c r="G1483" s="7" t="s">
        <v>42</v>
      </c>
      <c r="H1483" s="11">
        <v>19.72</v>
      </c>
      <c r="I1483" s="55">
        <v>8.4</v>
      </c>
      <c r="J1483" s="40">
        <v>1</v>
      </c>
      <c r="K1483" s="10">
        <v>0.16564799999999999</v>
      </c>
      <c r="L1483" s="4"/>
      <c r="M1483" s="17">
        <v>1</v>
      </c>
      <c r="N1483" s="18">
        <v>0.16564799999999999</v>
      </c>
      <c r="O1483" s="19">
        <v>0</v>
      </c>
      <c r="P1483" s="13">
        <v>0</v>
      </c>
      <c r="Q1483" s="102">
        <v>7.1</v>
      </c>
      <c r="R1483" s="91">
        <v>1</v>
      </c>
      <c r="S1483" s="90" t="s">
        <v>313</v>
      </c>
    </row>
    <row r="1484" spans="1:19">
      <c r="A1484" s="45" t="s">
        <v>136</v>
      </c>
      <c r="B1484" s="32" t="s">
        <v>137</v>
      </c>
      <c r="C1484" s="3">
        <v>36</v>
      </c>
      <c r="D1484" s="32"/>
      <c r="E1484" s="20" t="s">
        <v>113</v>
      </c>
      <c r="F1484" s="7" t="s">
        <v>15</v>
      </c>
      <c r="G1484" s="7" t="s">
        <v>42</v>
      </c>
      <c r="H1484" s="11">
        <v>19.72</v>
      </c>
      <c r="I1484" s="55">
        <v>10</v>
      </c>
      <c r="J1484" s="40">
        <v>1</v>
      </c>
      <c r="K1484" s="10">
        <v>0.19719999999999999</v>
      </c>
      <c r="L1484" s="4"/>
      <c r="M1484" s="17">
        <v>1</v>
      </c>
      <c r="N1484" s="18">
        <v>0.19719999999999999</v>
      </c>
      <c r="O1484" s="19">
        <v>0</v>
      </c>
      <c r="P1484" s="13">
        <v>0</v>
      </c>
      <c r="Q1484" s="102">
        <v>7.1</v>
      </c>
      <c r="R1484" s="91">
        <v>1</v>
      </c>
      <c r="S1484" s="90" t="s">
        <v>313</v>
      </c>
    </row>
    <row r="1485" spans="1:19">
      <c r="A1485" s="45" t="s">
        <v>136</v>
      </c>
      <c r="B1485" s="32" t="s">
        <v>137</v>
      </c>
      <c r="C1485" s="3">
        <v>55</v>
      </c>
      <c r="D1485" s="32"/>
      <c r="E1485" s="20" t="s">
        <v>20</v>
      </c>
      <c r="F1485" s="7" t="s">
        <v>15</v>
      </c>
      <c r="G1485" s="7" t="s">
        <v>42</v>
      </c>
      <c r="H1485" s="11">
        <v>19.72</v>
      </c>
      <c r="I1485" s="55">
        <v>11.8</v>
      </c>
      <c r="J1485" s="40">
        <v>1</v>
      </c>
      <c r="K1485" s="10">
        <v>0.23269599999999999</v>
      </c>
      <c r="L1485" s="4"/>
      <c r="M1485" s="17">
        <v>1</v>
      </c>
      <c r="N1485" s="18">
        <v>0.23269599999999999</v>
      </c>
      <c r="O1485" s="19">
        <v>0</v>
      </c>
      <c r="P1485" s="13">
        <v>0</v>
      </c>
      <c r="Q1485" s="102">
        <v>11.5</v>
      </c>
      <c r="R1485" s="91">
        <v>1</v>
      </c>
      <c r="S1485" s="90" t="s">
        <v>314</v>
      </c>
    </row>
    <row r="1486" spans="1:19">
      <c r="A1486" s="45" t="s">
        <v>136</v>
      </c>
      <c r="B1486" s="32" t="s">
        <v>137</v>
      </c>
      <c r="C1486" s="3">
        <v>56</v>
      </c>
      <c r="D1486" s="32"/>
      <c r="E1486" s="20" t="s">
        <v>20</v>
      </c>
      <c r="F1486" s="7" t="s">
        <v>15</v>
      </c>
      <c r="G1486" s="7" t="s">
        <v>42</v>
      </c>
      <c r="H1486" s="11">
        <v>19.72</v>
      </c>
      <c r="I1486" s="55">
        <v>8.3000000000000007</v>
      </c>
      <c r="J1486" s="40">
        <v>1</v>
      </c>
      <c r="K1486" s="10">
        <v>0.16367600000000002</v>
      </c>
      <c r="L1486" s="4"/>
      <c r="M1486" s="17">
        <v>1</v>
      </c>
      <c r="N1486" s="18">
        <v>0.16367600000000002</v>
      </c>
      <c r="O1486" s="19">
        <v>0</v>
      </c>
      <c r="P1486" s="13">
        <v>0</v>
      </c>
      <c r="Q1486" s="102">
        <v>7.1</v>
      </c>
      <c r="R1486" s="91">
        <v>1</v>
      </c>
      <c r="S1486" s="90" t="s">
        <v>313</v>
      </c>
    </row>
    <row r="1487" spans="1:19">
      <c r="A1487" s="45" t="s">
        <v>136</v>
      </c>
      <c r="B1487" s="32" t="s">
        <v>137</v>
      </c>
      <c r="C1487" s="3">
        <v>56</v>
      </c>
      <c r="D1487" s="32"/>
      <c r="E1487" s="20" t="s">
        <v>20</v>
      </c>
      <c r="F1487" s="7" t="s">
        <v>15</v>
      </c>
      <c r="G1487" s="7" t="s">
        <v>42</v>
      </c>
      <c r="H1487" s="11">
        <v>19.72</v>
      </c>
      <c r="I1487" s="55">
        <v>10.3</v>
      </c>
      <c r="J1487" s="40">
        <v>1</v>
      </c>
      <c r="K1487" s="10">
        <v>0.20311600000000002</v>
      </c>
      <c r="L1487" s="4"/>
      <c r="M1487" s="17">
        <v>1</v>
      </c>
      <c r="N1487" s="18">
        <v>0.20311600000000002</v>
      </c>
      <c r="O1487" s="19">
        <v>0</v>
      </c>
      <c r="P1487" s="13">
        <v>0</v>
      </c>
      <c r="Q1487" s="102">
        <v>7.1</v>
      </c>
      <c r="R1487" s="91">
        <v>1</v>
      </c>
      <c r="S1487" s="90" t="s">
        <v>313</v>
      </c>
    </row>
    <row r="1488" spans="1:19">
      <c r="A1488" s="45" t="s">
        <v>136</v>
      </c>
      <c r="B1488" s="32" t="s">
        <v>137</v>
      </c>
      <c r="C1488" s="3">
        <v>56</v>
      </c>
      <c r="D1488" s="32"/>
      <c r="E1488" s="20" t="s">
        <v>20</v>
      </c>
      <c r="F1488" s="7" t="s">
        <v>15</v>
      </c>
      <c r="G1488" s="7" t="s">
        <v>42</v>
      </c>
      <c r="H1488" s="11">
        <v>19.72</v>
      </c>
      <c r="I1488" s="55">
        <v>9.1</v>
      </c>
      <c r="J1488" s="40">
        <v>1</v>
      </c>
      <c r="K1488" s="10">
        <v>0.17945199999999997</v>
      </c>
      <c r="L1488" s="4"/>
      <c r="M1488" s="17">
        <v>1</v>
      </c>
      <c r="N1488" s="18">
        <v>0.17945199999999997</v>
      </c>
      <c r="O1488" s="19">
        <v>0</v>
      </c>
      <c r="P1488" s="13">
        <v>0</v>
      </c>
      <c r="Q1488" s="102">
        <v>7.1</v>
      </c>
      <c r="R1488" s="91">
        <v>1</v>
      </c>
      <c r="S1488" s="90" t="s">
        <v>313</v>
      </c>
    </row>
    <row r="1489" spans="1:19">
      <c r="A1489" s="45" t="s">
        <v>136</v>
      </c>
      <c r="B1489" s="32" t="s">
        <v>137</v>
      </c>
      <c r="C1489" s="3">
        <v>56</v>
      </c>
      <c r="D1489" s="32"/>
      <c r="E1489" s="20" t="s">
        <v>20</v>
      </c>
      <c r="F1489" s="7" t="s">
        <v>15</v>
      </c>
      <c r="G1489" s="7" t="s">
        <v>42</v>
      </c>
      <c r="H1489" s="11">
        <v>19.72</v>
      </c>
      <c r="I1489" s="55">
        <v>6.9</v>
      </c>
      <c r="J1489" s="40">
        <v>1</v>
      </c>
      <c r="K1489" s="10">
        <v>0.13606800000000002</v>
      </c>
      <c r="L1489" s="4"/>
      <c r="M1489" s="17"/>
      <c r="N1489" s="18">
        <v>0</v>
      </c>
      <c r="O1489" s="19">
        <v>1</v>
      </c>
      <c r="P1489" s="13">
        <v>0.13606800000000002</v>
      </c>
      <c r="Q1489" s="55"/>
      <c r="R1489" s="32"/>
      <c r="S1489" s="32"/>
    </row>
    <row r="1490" spans="1:19">
      <c r="A1490" s="45" t="s">
        <v>136</v>
      </c>
      <c r="B1490" s="32" t="s">
        <v>137</v>
      </c>
      <c r="C1490" s="3">
        <v>95</v>
      </c>
      <c r="D1490" s="32"/>
      <c r="E1490" s="20" t="s">
        <v>113</v>
      </c>
      <c r="F1490" s="7" t="s">
        <v>15</v>
      </c>
      <c r="G1490" s="7" t="s">
        <v>42</v>
      </c>
      <c r="H1490" s="11">
        <v>19.72</v>
      </c>
      <c r="I1490" s="55">
        <v>8</v>
      </c>
      <c r="J1490" s="41">
        <v>2</v>
      </c>
      <c r="K1490" s="10">
        <v>0.31551999999999997</v>
      </c>
      <c r="L1490" s="4"/>
      <c r="M1490" s="17">
        <v>2</v>
      </c>
      <c r="N1490" s="18">
        <v>0.31551999999999997</v>
      </c>
      <c r="O1490" s="19">
        <v>0</v>
      </c>
      <c r="P1490" s="13">
        <v>0</v>
      </c>
      <c r="Q1490" s="102">
        <v>7.1</v>
      </c>
      <c r="R1490" s="91">
        <v>1</v>
      </c>
      <c r="S1490" s="90" t="s">
        <v>313</v>
      </c>
    </row>
    <row r="1491" spans="1:19">
      <c r="A1491" s="45" t="s">
        <v>136</v>
      </c>
      <c r="B1491" s="32" t="s">
        <v>137</v>
      </c>
      <c r="C1491" s="3">
        <v>95</v>
      </c>
      <c r="D1491" s="32"/>
      <c r="E1491" s="20" t="s">
        <v>113</v>
      </c>
      <c r="F1491" s="7" t="s">
        <v>15</v>
      </c>
      <c r="G1491" s="7" t="s">
        <v>42</v>
      </c>
      <c r="H1491" s="11">
        <v>19.72</v>
      </c>
      <c r="I1491" s="55">
        <v>12</v>
      </c>
      <c r="J1491" s="41">
        <v>1</v>
      </c>
      <c r="K1491" s="10">
        <v>0.23663999999999999</v>
      </c>
      <c r="L1491" s="4"/>
      <c r="M1491" s="17">
        <v>1</v>
      </c>
      <c r="N1491" s="18">
        <v>0.23663999999999999</v>
      </c>
      <c r="O1491" s="19">
        <v>0</v>
      </c>
      <c r="P1491" s="13">
        <v>0</v>
      </c>
      <c r="Q1491" s="98">
        <v>12</v>
      </c>
      <c r="R1491" s="91">
        <v>1</v>
      </c>
      <c r="S1491" s="90" t="s">
        <v>314</v>
      </c>
    </row>
    <row r="1492" spans="1:19">
      <c r="A1492" s="45" t="s">
        <v>136</v>
      </c>
      <c r="B1492" s="32" t="s">
        <v>137</v>
      </c>
      <c r="C1492" s="3">
        <v>99</v>
      </c>
      <c r="D1492" s="32"/>
      <c r="E1492" s="20" t="s">
        <v>20</v>
      </c>
      <c r="F1492" s="7" t="s">
        <v>15</v>
      </c>
      <c r="G1492" s="7" t="s">
        <v>42</v>
      </c>
      <c r="H1492" s="11">
        <v>19.72</v>
      </c>
      <c r="I1492" s="55">
        <v>5.4</v>
      </c>
      <c r="J1492" s="41">
        <v>1</v>
      </c>
      <c r="K1492" s="10">
        <v>0.106488</v>
      </c>
      <c r="L1492" s="4"/>
      <c r="M1492" s="17"/>
      <c r="N1492" s="18">
        <v>0</v>
      </c>
      <c r="O1492" s="19">
        <v>1</v>
      </c>
      <c r="P1492" s="13">
        <v>0.106488</v>
      </c>
      <c r="Q1492" s="33"/>
      <c r="R1492" s="32"/>
      <c r="S1492" s="32"/>
    </row>
    <row r="1493" spans="1:19">
      <c r="A1493" s="45" t="s">
        <v>136</v>
      </c>
      <c r="B1493" s="32" t="s">
        <v>137</v>
      </c>
      <c r="C1493" s="32">
        <v>105</v>
      </c>
      <c r="D1493" s="32"/>
      <c r="E1493" s="39" t="s">
        <v>94</v>
      </c>
      <c r="F1493" s="46" t="s">
        <v>15</v>
      </c>
      <c r="G1493" s="7" t="s">
        <v>42</v>
      </c>
      <c r="H1493" s="11">
        <v>19.72</v>
      </c>
      <c r="I1493" s="55">
        <v>11</v>
      </c>
      <c r="J1493" s="41">
        <v>1</v>
      </c>
      <c r="K1493" s="10">
        <v>0.21691999999999997</v>
      </c>
      <c r="L1493" s="4"/>
      <c r="M1493" s="17"/>
      <c r="N1493" s="18">
        <v>0</v>
      </c>
      <c r="O1493" s="19">
        <v>1</v>
      </c>
      <c r="P1493" s="13">
        <v>0.21691999999999997</v>
      </c>
      <c r="Q1493" s="33"/>
      <c r="R1493" s="32"/>
      <c r="S1493" s="32"/>
    </row>
    <row r="1494" spans="1:19">
      <c r="A1494" s="45" t="s">
        <v>136</v>
      </c>
      <c r="B1494" s="32" t="s">
        <v>137</v>
      </c>
      <c r="C1494" s="32">
        <v>105</v>
      </c>
      <c r="D1494" s="32"/>
      <c r="E1494" s="39" t="s">
        <v>94</v>
      </c>
      <c r="F1494" s="46" t="s">
        <v>15</v>
      </c>
      <c r="G1494" s="7" t="s">
        <v>42</v>
      </c>
      <c r="H1494" s="11">
        <v>19.72</v>
      </c>
      <c r="I1494" s="55">
        <v>11.3</v>
      </c>
      <c r="J1494" s="41">
        <v>5</v>
      </c>
      <c r="K1494" s="10">
        <v>1.1141800000000002</v>
      </c>
      <c r="L1494" s="4"/>
      <c r="M1494" s="17"/>
      <c r="N1494" s="18">
        <v>0</v>
      </c>
      <c r="O1494" s="19">
        <v>5</v>
      </c>
      <c r="P1494" s="13">
        <v>1.1141799999999997</v>
      </c>
      <c r="Q1494" s="33"/>
      <c r="R1494" s="32"/>
      <c r="S1494" s="32"/>
    </row>
    <row r="1495" spans="1:19">
      <c r="A1495" s="45" t="s">
        <v>136</v>
      </c>
      <c r="B1495" s="32" t="s">
        <v>137</v>
      </c>
      <c r="C1495" s="32">
        <v>105</v>
      </c>
      <c r="D1495" s="32"/>
      <c r="E1495" s="39" t="s">
        <v>94</v>
      </c>
      <c r="F1495" s="46" t="s">
        <v>15</v>
      </c>
      <c r="G1495" s="7" t="s">
        <v>42</v>
      </c>
      <c r="H1495" s="11">
        <v>19.72</v>
      </c>
      <c r="I1495" s="55">
        <v>11.5</v>
      </c>
      <c r="J1495" s="41">
        <v>2</v>
      </c>
      <c r="K1495" s="10">
        <v>0.45355999999999996</v>
      </c>
      <c r="L1495" s="4"/>
      <c r="M1495" s="17">
        <v>2</v>
      </c>
      <c r="N1495" s="18">
        <v>0.45355999999999996</v>
      </c>
      <c r="O1495" s="19">
        <v>0</v>
      </c>
      <c r="P1495" s="13">
        <v>0</v>
      </c>
      <c r="Q1495" s="98">
        <v>11.5</v>
      </c>
      <c r="R1495" s="91">
        <v>2</v>
      </c>
      <c r="S1495" s="90" t="s">
        <v>314</v>
      </c>
    </row>
    <row r="1496" spans="1:19">
      <c r="A1496" s="45" t="s">
        <v>136</v>
      </c>
      <c r="B1496" s="32" t="s">
        <v>137</v>
      </c>
      <c r="C1496" s="32">
        <v>105</v>
      </c>
      <c r="D1496" s="32"/>
      <c r="E1496" s="39" t="s">
        <v>94</v>
      </c>
      <c r="F1496" s="46" t="s">
        <v>15</v>
      </c>
      <c r="G1496" s="7" t="s">
        <v>42</v>
      </c>
      <c r="H1496" s="11">
        <v>19.72</v>
      </c>
      <c r="I1496" s="55">
        <v>11.6</v>
      </c>
      <c r="J1496" s="41">
        <v>1</v>
      </c>
      <c r="K1496" s="10">
        <v>0.22875199999999998</v>
      </c>
      <c r="L1496" s="4"/>
      <c r="M1496" s="17">
        <v>1</v>
      </c>
      <c r="N1496" s="18">
        <v>0.22875199999999998</v>
      </c>
      <c r="O1496" s="19">
        <v>0</v>
      </c>
      <c r="P1496" s="13">
        <v>0</v>
      </c>
      <c r="Q1496" s="98">
        <v>11.5</v>
      </c>
      <c r="R1496" s="91">
        <v>1</v>
      </c>
      <c r="S1496" s="90" t="s">
        <v>314</v>
      </c>
    </row>
    <row r="1497" spans="1:19">
      <c r="A1497" s="45" t="s">
        <v>136</v>
      </c>
      <c r="B1497" s="32" t="s">
        <v>137</v>
      </c>
      <c r="C1497" s="32">
        <v>106</v>
      </c>
      <c r="D1497" s="32"/>
      <c r="E1497" s="39" t="s">
        <v>20</v>
      </c>
      <c r="F1497" s="46" t="s">
        <v>15</v>
      </c>
      <c r="G1497" s="7" t="s">
        <v>42</v>
      </c>
      <c r="H1497" s="11">
        <v>19.72</v>
      </c>
      <c r="I1497" s="55">
        <v>11.9</v>
      </c>
      <c r="J1497" s="41">
        <v>1</v>
      </c>
      <c r="K1497" s="10">
        <v>0.23466800000000002</v>
      </c>
      <c r="L1497" s="4"/>
      <c r="M1497" s="17">
        <v>1</v>
      </c>
      <c r="N1497" s="18">
        <v>0.23466800000000002</v>
      </c>
      <c r="O1497" s="19">
        <v>0</v>
      </c>
      <c r="P1497" s="13">
        <v>0</v>
      </c>
      <c r="Q1497" s="98">
        <v>11.5</v>
      </c>
      <c r="R1497" s="91">
        <v>1</v>
      </c>
      <c r="S1497" s="90" t="s">
        <v>314</v>
      </c>
    </row>
    <row r="1498" spans="1:19">
      <c r="A1498" s="45" t="s">
        <v>136</v>
      </c>
      <c r="B1498" s="48" t="s">
        <v>171</v>
      </c>
      <c r="C1498" s="32">
        <v>116</v>
      </c>
      <c r="D1498" s="32"/>
      <c r="E1498" s="48" t="s">
        <v>96</v>
      </c>
      <c r="F1498" s="48" t="s">
        <v>15</v>
      </c>
      <c r="G1498" s="48" t="s">
        <v>42</v>
      </c>
      <c r="H1498" s="11">
        <v>19.72</v>
      </c>
      <c r="I1498" s="8">
        <v>11</v>
      </c>
      <c r="J1498" s="7">
        <v>1</v>
      </c>
      <c r="K1498" s="10">
        <v>0.21691999999999997</v>
      </c>
      <c r="L1498" s="32"/>
      <c r="M1498" s="32"/>
      <c r="N1498" s="18">
        <v>0</v>
      </c>
      <c r="O1498" s="19">
        <v>1</v>
      </c>
      <c r="P1498" s="13">
        <v>0.21691999999999997</v>
      </c>
      <c r="Q1498" s="33"/>
      <c r="R1498" s="32"/>
      <c r="S1498" s="32"/>
    </row>
    <row r="1499" spans="1:19">
      <c r="A1499" s="45" t="s">
        <v>136</v>
      </c>
      <c r="B1499" s="48" t="s">
        <v>171</v>
      </c>
      <c r="C1499" s="32">
        <v>116</v>
      </c>
      <c r="D1499" s="32"/>
      <c r="E1499" s="48" t="s">
        <v>96</v>
      </c>
      <c r="F1499" s="48" t="s">
        <v>15</v>
      </c>
      <c r="G1499" s="48" t="s">
        <v>42</v>
      </c>
      <c r="H1499" s="11">
        <v>19.72</v>
      </c>
      <c r="I1499" s="8">
        <v>12</v>
      </c>
      <c r="J1499" s="7">
        <v>1</v>
      </c>
      <c r="K1499" s="10">
        <v>0.23663999999999999</v>
      </c>
      <c r="L1499" s="32"/>
      <c r="M1499" s="32">
        <v>1</v>
      </c>
      <c r="N1499" s="18">
        <v>0.23663999999999999</v>
      </c>
      <c r="O1499" s="19">
        <v>0</v>
      </c>
      <c r="P1499" s="13">
        <v>0</v>
      </c>
      <c r="Q1499" s="98">
        <v>12</v>
      </c>
      <c r="R1499" s="91">
        <v>1</v>
      </c>
      <c r="S1499" s="90" t="s">
        <v>314</v>
      </c>
    </row>
    <row r="1500" spans="1:19">
      <c r="A1500" s="45" t="s">
        <v>136</v>
      </c>
      <c r="B1500" s="48" t="s">
        <v>171</v>
      </c>
      <c r="C1500" s="32">
        <v>123</v>
      </c>
      <c r="D1500" s="32"/>
      <c r="E1500" s="48" t="s">
        <v>174</v>
      </c>
      <c r="F1500" s="48" t="s">
        <v>15</v>
      </c>
      <c r="G1500" s="48" t="s">
        <v>42</v>
      </c>
      <c r="H1500" s="11">
        <v>19.72</v>
      </c>
      <c r="I1500" s="8">
        <v>7.2</v>
      </c>
      <c r="J1500" s="7">
        <v>1</v>
      </c>
      <c r="K1500" s="10">
        <v>0.141984</v>
      </c>
      <c r="L1500" s="32"/>
      <c r="M1500" s="32">
        <v>1</v>
      </c>
      <c r="N1500" s="18">
        <v>0.141984</v>
      </c>
      <c r="O1500" s="19">
        <v>0</v>
      </c>
      <c r="P1500" s="13">
        <v>0</v>
      </c>
      <c r="Q1500" s="98">
        <v>7.1</v>
      </c>
      <c r="R1500" s="91">
        <v>1</v>
      </c>
      <c r="S1500" s="90" t="s">
        <v>313</v>
      </c>
    </row>
    <row r="1501" spans="1:19">
      <c r="A1501" s="45" t="s">
        <v>136</v>
      </c>
      <c r="B1501" s="48" t="s">
        <v>171</v>
      </c>
      <c r="C1501" s="32">
        <v>123</v>
      </c>
      <c r="D1501" s="32"/>
      <c r="E1501" s="48" t="s">
        <v>175</v>
      </c>
      <c r="F1501" s="48" t="s">
        <v>15</v>
      </c>
      <c r="G1501" s="48" t="s">
        <v>42</v>
      </c>
      <c r="H1501" s="11">
        <v>19.72</v>
      </c>
      <c r="I1501" s="8">
        <v>11</v>
      </c>
      <c r="J1501" s="7">
        <v>4</v>
      </c>
      <c r="K1501" s="10">
        <v>0.8676799999999999</v>
      </c>
      <c r="L1501" s="32"/>
      <c r="M1501" s="32"/>
      <c r="N1501" s="18">
        <v>0</v>
      </c>
      <c r="O1501" s="19">
        <v>4</v>
      </c>
      <c r="P1501" s="13">
        <v>0.8676799999999999</v>
      </c>
      <c r="Q1501" s="32"/>
      <c r="R1501" s="32"/>
      <c r="S1501" s="32"/>
    </row>
    <row r="1502" spans="1:19">
      <c r="A1502" s="45" t="s">
        <v>136</v>
      </c>
      <c r="B1502" s="48" t="s">
        <v>171</v>
      </c>
      <c r="C1502" s="32">
        <v>148</v>
      </c>
      <c r="D1502" s="32"/>
      <c r="E1502" s="48" t="s">
        <v>89</v>
      </c>
      <c r="F1502" s="48" t="s">
        <v>15</v>
      </c>
      <c r="G1502" s="48" t="s">
        <v>42</v>
      </c>
      <c r="H1502" s="11">
        <v>19.72</v>
      </c>
      <c r="I1502" s="9">
        <v>11.2</v>
      </c>
      <c r="J1502" s="7">
        <v>1</v>
      </c>
      <c r="K1502" s="10">
        <v>0.22086399999999998</v>
      </c>
      <c r="L1502" s="32"/>
      <c r="M1502" s="32"/>
      <c r="N1502" s="18">
        <v>0</v>
      </c>
      <c r="O1502" s="19">
        <v>1</v>
      </c>
      <c r="P1502" s="13">
        <v>0.22086399999999998</v>
      </c>
      <c r="Q1502" s="32"/>
      <c r="R1502" s="32"/>
      <c r="S1502" s="32"/>
    </row>
    <row r="1503" spans="1:19">
      <c r="A1503" s="45" t="s">
        <v>136</v>
      </c>
      <c r="B1503" s="48" t="s">
        <v>171</v>
      </c>
      <c r="C1503" s="32">
        <v>159</v>
      </c>
      <c r="D1503" s="32"/>
      <c r="E1503" s="48" t="s">
        <v>89</v>
      </c>
      <c r="F1503" s="48" t="s">
        <v>15</v>
      </c>
      <c r="G1503" s="48" t="s">
        <v>42</v>
      </c>
      <c r="H1503" s="11">
        <v>19.72</v>
      </c>
      <c r="I1503" s="8">
        <v>9.5</v>
      </c>
      <c r="J1503" s="7">
        <v>1</v>
      </c>
      <c r="K1503" s="10">
        <v>0.18733999999999998</v>
      </c>
      <c r="L1503" s="32"/>
      <c r="M1503" s="32"/>
      <c r="N1503" s="18">
        <v>0</v>
      </c>
      <c r="O1503" s="19">
        <v>1</v>
      </c>
      <c r="P1503" s="13">
        <v>0.18733999999999998</v>
      </c>
      <c r="Q1503" s="32"/>
      <c r="R1503" s="32"/>
      <c r="S1503" s="32"/>
    </row>
    <row r="1504" spans="1:19">
      <c r="A1504" s="45" t="s">
        <v>136</v>
      </c>
      <c r="B1504" s="48" t="s">
        <v>171</v>
      </c>
      <c r="C1504" s="32">
        <v>159</v>
      </c>
      <c r="D1504" s="32"/>
      <c r="E1504" s="48" t="s">
        <v>89</v>
      </c>
      <c r="F1504" s="48" t="s">
        <v>15</v>
      </c>
      <c r="G1504" s="48" t="s">
        <v>42</v>
      </c>
      <c r="H1504" s="11">
        <v>19.72</v>
      </c>
      <c r="I1504" s="8">
        <v>10.5</v>
      </c>
      <c r="J1504" s="7">
        <v>1</v>
      </c>
      <c r="K1504" s="10">
        <v>0.20705999999999999</v>
      </c>
      <c r="L1504" s="32"/>
      <c r="M1504" s="32"/>
      <c r="N1504" s="18">
        <v>0</v>
      </c>
      <c r="O1504" s="19">
        <v>1</v>
      </c>
      <c r="P1504" s="13">
        <v>0.20705999999999999</v>
      </c>
      <c r="Q1504" s="32"/>
      <c r="R1504" s="32"/>
      <c r="S1504" s="32"/>
    </row>
    <row r="1505" spans="1:19">
      <c r="A1505" s="45" t="s">
        <v>136</v>
      </c>
      <c r="B1505" s="48" t="s">
        <v>171</v>
      </c>
      <c r="C1505" s="32">
        <v>159</v>
      </c>
      <c r="D1505" s="32"/>
      <c r="E1505" s="48" t="s">
        <v>89</v>
      </c>
      <c r="F1505" s="48" t="s">
        <v>15</v>
      </c>
      <c r="G1505" s="48" t="s">
        <v>42</v>
      </c>
      <c r="H1505" s="11">
        <v>19.72</v>
      </c>
      <c r="I1505" s="8">
        <v>11.3</v>
      </c>
      <c r="J1505" s="7">
        <v>1</v>
      </c>
      <c r="K1505" s="10">
        <v>0.22283600000000001</v>
      </c>
      <c r="L1505" s="32"/>
      <c r="M1505" s="32"/>
      <c r="N1505" s="18">
        <v>0</v>
      </c>
      <c r="O1505" s="19">
        <v>1</v>
      </c>
      <c r="P1505" s="13">
        <v>0.22283600000000001</v>
      </c>
      <c r="Q1505" s="32"/>
      <c r="R1505" s="32"/>
      <c r="S1505" s="32"/>
    </row>
    <row r="1506" spans="1:19">
      <c r="O1506" s="215">
        <f>SUM(O1466:O1505)</f>
        <v>25</v>
      </c>
      <c r="R1506" s="215">
        <f>SUM(R1466:R1505)</f>
        <v>40</v>
      </c>
    </row>
    <row r="1509" spans="1:19">
      <c r="A1509" s="45" t="s">
        <v>136</v>
      </c>
      <c r="B1509" s="32" t="s">
        <v>137</v>
      </c>
      <c r="C1509" s="3">
        <v>3</v>
      </c>
      <c r="D1509" s="32"/>
      <c r="E1509" s="20" t="s">
        <v>138</v>
      </c>
      <c r="F1509" s="7" t="s">
        <v>15</v>
      </c>
      <c r="G1509" s="7" t="s">
        <v>50</v>
      </c>
      <c r="H1509" s="11">
        <v>21.7</v>
      </c>
      <c r="I1509" s="33">
        <v>7.7</v>
      </c>
      <c r="J1509" s="40">
        <v>1</v>
      </c>
      <c r="K1509" s="10">
        <f t="shared" ref="K1509:K1511" si="92">(H1509*I1509*J1509/1000)</f>
        <v>0.16709000000000002</v>
      </c>
      <c r="L1509" s="4"/>
      <c r="M1509" s="17">
        <v>1</v>
      </c>
      <c r="N1509" s="18">
        <f t="shared" ref="N1509:N1511" si="93">I1509*M1509*H1509/1000</f>
        <v>0.16709000000000002</v>
      </c>
      <c r="O1509" s="19">
        <f t="shared" ref="O1509:O1511" si="94">J1509-M1509</f>
        <v>0</v>
      </c>
      <c r="P1509" s="13">
        <f t="shared" ref="P1509:P1511" si="95">I1509*O1509*H1509/1000</f>
        <v>0</v>
      </c>
      <c r="Q1509" s="102">
        <v>6.3</v>
      </c>
      <c r="R1509" s="91">
        <v>1</v>
      </c>
      <c r="S1509" s="91" t="s">
        <v>217</v>
      </c>
    </row>
    <row r="1510" spans="1:19">
      <c r="A1510" s="45" t="s">
        <v>136</v>
      </c>
      <c r="B1510" s="32" t="s">
        <v>137</v>
      </c>
      <c r="C1510" s="3">
        <v>3</v>
      </c>
      <c r="D1510" s="32"/>
      <c r="E1510" s="20" t="s">
        <v>138</v>
      </c>
      <c r="F1510" s="7" t="s">
        <v>15</v>
      </c>
      <c r="G1510" s="7" t="s">
        <v>50</v>
      </c>
      <c r="H1510" s="11">
        <v>21.7</v>
      </c>
      <c r="I1510" s="33">
        <v>7.8</v>
      </c>
      <c r="J1510" s="40">
        <v>2</v>
      </c>
      <c r="K1510" s="10">
        <f t="shared" si="92"/>
        <v>0.33851999999999999</v>
      </c>
      <c r="L1510" s="4"/>
      <c r="M1510" s="17">
        <v>2</v>
      </c>
      <c r="N1510" s="18">
        <f t="shared" si="93"/>
        <v>0.33851999999999999</v>
      </c>
      <c r="O1510" s="19">
        <f t="shared" si="94"/>
        <v>0</v>
      </c>
      <c r="P1510" s="13">
        <f t="shared" si="95"/>
        <v>0</v>
      </c>
      <c r="Q1510" s="102">
        <v>6.3</v>
      </c>
      <c r="R1510" s="91">
        <v>2</v>
      </c>
      <c r="S1510" s="91" t="s">
        <v>217</v>
      </c>
    </row>
    <row r="1511" spans="1:19">
      <c r="A1511" s="45" t="s">
        <v>136</v>
      </c>
      <c r="B1511" s="32" t="s">
        <v>137</v>
      </c>
      <c r="C1511" s="3">
        <v>3</v>
      </c>
      <c r="D1511" s="32"/>
      <c r="E1511" s="20" t="s">
        <v>138</v>
      </c>
      <c r="F1511" s="7" t="s">
        <v>15</v>
      </c>
      <c r="G1511" s="7" t="s">
        <v>50</v>
      </c>
      <c r="H1511" s="11">
        <v>21.7</v>
      </c>
      <c r="I1511" s="33">
        <v>8.5</v>
      </c>
      <c r="J1511" s="40">
        <v>1</v>
      </c>
      <c r="K1511" s="10">
        <f t="shared" si="92"/>
        <v>0.18444999999999998</v>
      </c>
      <c r="L1511" s="4"/>
      <c r="M1511" s="17">
        <v>1</v>
      </c>
      <c r="N1511" s="18">
        <f t="shared" si="93"/>
        <v>0.18444999999999998</v>
      </c>
      <c r="O1511" s="19">
        <f t="shared" si="94"/>
        <v>0</v>
      </c>
      <c r="P1511" s="13">
        <f t="shared" si="95"/>
        <v>0</v>
      </c>
      <c r="Q1511" s="102">
        <v>8.4</v>
      </c>
      <c r="R1511" s="91">
        <v>1</v>
      </c>
      <c r="S1511" s="91" t="s">
        <v>217</v>
      </c>
    </row>
    <row r="1512" spans="1:19">
      <c r="R1512" s="76">
        <f>SUM(R1509:R1511)</f>
        <v>4</v>
      </c>
    </row>
    <row r="1514" spans="1:19">
      <c r="A1514" s="42" t="s">
        <v>90</v>
      </c>
      <c r="B1514" s="3"/>
      <c r="C1514" s="3">
        <v>236</v>
      </c>
      <c r="D1514" s="1"/>
      <c r="E1514" s="20" t="s">
        <v>17</v>
      </c>
      <c r="F1514" s="7" t="s">
        <v>15</v>
      </c>
      <c r="G1514" s="7" t="s">
        <v>50</v>
      </c>
      <c r="H1514" s="11">
        <v>21.7</v>
      </c>
      <c r="I1514" s="8">
        <v>7.2</v>
      </c>
      <c r="J1514" s="26">
        <v>1</v>
      </c>
      <c r="K1514" s="10">
        <v>0.15624000000000002</v>
      </c>
      <c r="L1514" s="4"/>
      <c r="M1514" s="17">
        <v>1</v>
      </c>
      <c r="N1514" s="18">
        <v>0.15624000000000002</v>
      </c>
      <c r="O1514" s="19">
        <v>0</v>
      </c>
      <c r="P1514" s="13">
        <v>0</v>
      </c>
      <c r="Q1514" s="89">
        <v>6.8</v>
      </c>
      <c r="R1514" s="91">
        <v>1</v>
      </c>
      <c r="S1514" s="91" t="s">
        <v>213</v>
      </c>
    </row>
    <row r="1515" spans="1:19">
      <c r="A1515" s="42" t="s">
        <v>90</v>
      </c>
      <c r="B1515" s="3"/>
      <c r="C1515" s="3">
        <v>236</v>
      </c>
      <c r="D1515" s="1"/>
      <c r="E1515" s="20" t="s">
        <v>17</v>
      </c>
      <c r="F1515" s="7" t="s">
        <v>15</v>
      </c>
      <c r="G1515" s="7" t="s">
        <v>50</v>
      </c>
      <c r="H1515" s="11">
        <v>21.7</v>
      </c>
      <c r="I1515" s="8">
        <v>7.8</v>
      </c>
      <c r="J1515" s="26">
        <v>1</v>
      </c>
      <c r="K1515" s="10">
        <v>0.16925999999999999</v>
      </c>
      <c r="L1515" s="4"/>
      <c r="M1515" s="17">
        <v>1</v>
      </c>
      <c r="N1515" s="18">
        <v>0.16925999999999999</v>
      </c>
      <c r="O1515" s="19">
        <v>0</v>
      </c>
      <c r="P1515" s="13">
        <v>0</v>
      </c>
      <c r="Q1515" s="89">
        <v>6.8</v>
      </c>
      <c r="R1515" s="91">
        <v>1</v>
      </c>
      <c r="S1515" s="91" t="s">
        <v>213</v>
      </c>
    </row>
    <row r="1516" spans="1:19">
      <c r="A1516" s="42" t="s">
        <v>90</v>
      </c>
      <c r="B1516" s="3"/>
      <c r="C1516" s="3">
        <v>236</v>
      </c>
      <c r="D1516" s="1"/>
      <c r="E1516" s="20" t="s">
        <v>17</v>
      </c>
      <c r="F1516" s="7" t="s">
        <v>15</v>
      </c>
      <c r="G1516" s="7" t="s">
        <v>50</v>
      </c>
      <c r="H1516" s="11">
        <v>21.7</v>
      </c>
      <c r="I1516" s="8">
        <v>8.75</v>
      </c>
      <c r="J1516" s="26">
        <v>1</v>
      </c>
      <c r="K1516" s="10">
        <v>0.18987499999999999</v>
      </c>
      <c r="L1516" s="4"/>
      <c r="M1516" s="17">
        <v>1</v>
      </c>
      <c r="N1516" s="18">
        <v>0.18987499999999999</v>
      </c>
      <c r="O1516" s="19">
        <v>0</v>
      </c>
      <c r="P1516" s="13">
        <v>0</v>
      </c>
      <c r="Q1516" s="89">
        <v>8.3000000000000007</v>
      </c>
      <c r="R1516" s="91">
        <v>1</v>
      </c>
      <c r="S1516" s="91" t="s">
        <v>213</v>
      </c>
    </row>
    <row r="1517" spans="1:19">
      <c r="A1517" s="42" t="s">
        <v>90</v>
      </c>
      <c r="B1517" s="3"/>
      <c r="C1517" s="3">
        <v>242</v>
      </c>
      <c r="D1517" s="1"/>
      <c r="E1517" s="20" t="s">
        <v>17</v>
      </c>
      <c r="F1517" s="7" t="s">
        <v>15</v>
      </c>
      <c r="G1517" s="7" t="s">
        <v>50</v>
      </c>
      <c r="H1517" s="11">
        <v>21.7</v>
      </c>
      <c r="I1517" s="8">
        <v>12</v>
      </c>
      <c r="J1517" s="26">
        <v>3</v>
      </c>
      <c r="K1517" s="10">
        <v>0.78119999999999989</v>
      </c>
      <c r="L1517" s="4"/>
      <c r="M1517" s="17">
        <v>3</v>
      </c>
      <c r="N1517" s="18">
        <v>0.78119999999999989</v>
      </c>
      <c r="O1517" s="19">
        <v>0</v>
      </c>
      <c r="P1517" s="13">
        <v>0</v>
      </c>
      <c r="Q1517" s="89">
        <v>11.8</v>
      </c>
      <c r="R1517" s="91">
        <v>3</v>
      </c>
      <c r="S1517" s="91" t="s">
        <v>213</v>
      </c>
    </row>
    <row r="1518" spans="1:19">
      <c r="A1518" s="42" t="s">
        <v>90</v>
      </c>
      <c r="B1518" s="3"/>
      <c r="C1518" s="3">
        <v>242</v>
      </c>
      <c r="D1518" s="1"/>
      <c r="E1518" s="20" t="s">
        <v>17</v>
      </c>
      <c r="F1518" s="7" t="s">
        <v>15</v>
      </c>
      <c r="G1518" s="7" t="s">
        <v>50</v>
      </c>
      <c r="H1518" s="11">
        <v>21.7</v>
      </c>
      <c r="I1518" s="8">
        <v>11.3</v>
      </c>
      <c r="J1518" s="26">
        <v>1</v>
      </c>
      <c r="K1518" s="10">
        <v>0.24521000000000001</v>
      </c>
      <c r="L1518" s="4"/>
      <c r="M1518" s="17">
        <v>1</v>
      </c>
      <c r="N1518" s="18">
        <v>0.24521000000000001</v>
      </c>
      <c r="O1518" s="19">
        <v>0</v>
      </c>
      <c r="P1518" s="13">
        <v>0</v>
      </c>
      <c r="Q1518" s="89">
        <v>10.8</v>
      </c>
      <c r="R1518" s="91">
        <v>1</v>
      </c>
      <c r="S1518" s="91" t="s">
        <v>213</v>
      </c>
    </row>
    <row r="1519" spans="1:19">
      <c r="R1519" s="76">
        <f>SUM(R1514:R1518)</f>
        <v>7</v>
      </c>
    </row>
    <row r="1521" spans="1:19">
      <c r="A1521" s="42" t="s">
        <v>90</v>
      </c>
      <c r="B1521" s="3"/>
      <c r="C1521" s="3">
        <v>241</v>
      </c>
      <c r="D1521" s="1"/>
      <c r="E1521" s="20" t="s">
        <v>17</v>
      </c>
      <c r="F1521" s="7" t="s">
        <v>15</v>
      </c>
      <c r="G1521" s="7" t="s">
        <v>48</v>
      </c>
      <c r="H1521" s="11">
        <v>23.6</v>
      </c>
      <c r="I1521" s="8">
        <v>12</v>
      </c>
      <c r="J1521" s="26">
        <v>6</v>
      </c>
      <c r="K1521" s="10">
        <v>1.6992000000000003</v>
      </c>
      <c r="L1521" s="4"/>
      <c r="M1521" s="17">
        <v>6</v>
      </c>
      <c r="N1521" s="18">
        <v>1.6992</v>
      </c>
      <c r="O1521" s="19">
        <v>0</v>
      </c>
      <c r="P1521" s="13">
        <v>0</v>
      </c>
      <c r="Q1521" s="89" t="s">
        <v>316</v>
      </c>
      <c r="R1521" s="91">
        <v>6</v>
      </c>
      <c r="S1521" s="91" t="s">
        <v>317</v>
      </c>
    </row>
    <row r="1522" spans="1:19">
      <c r="A1522" s="42" t="s">
        <v>90</v>
      </c>
      <c r="B1522" s="3"/>
      <c r="C1522" s="3">
        <v>241</v>
      </c>
      <c r="D1522" s="1"/>
      <c r="E1522" s="20" t="s">
        <v>17</v>
      </c>
      <c r="F1522" s="7" t="s">
        <v>15</v>
      </c>
      <c r="G1522" s="7" t="s">
        <v>48</v>
      </c>
      <c r="H1522" s="11">
        <v>23.6</v>
      </c>
      <c r="I1522" s="8">
        <v>11.1</v>
      </c>
      <c r="J1522" s="26">
        <v>3</v>
      </c>
      <c r="K1522" s="10">
        <v>0.78587999999999991</v>
      </c>
      <c r="L1522" s="4"/>
      <c r="M1522" s="17">
        <v>3</v>
      </c>
      <c r="N1522" s="18">
        <v>0.78588000000000002</v>
      </c>
      <c r="O1522" s="19">
        <v>0</v>
      </c>
      <c r="P1522" s="13">
        <v>0</v>
      </c>
      <c r="Q1522" s="89">
        <v>10.4</v>
      </c>
      <c r="R1522" s="91">
        <v>3</v>
      </c>
      <c r="S1522" s="91" t="s">
        <v>317</v>
      </c>
    </row>
    <row r="1523" spans="1:19">
      <c r="A1523" s="42" t="s">
        <v>90</v>
      </c>
      <c r="B1523" s="3"/>
      <c r="C1523" s="3">
        <v>241</v>
      </c>
      <c r="D1523" s="1"/>
      <c r="E1523" s="20" t="s">
        <v>17</v>
      </c>
      <c r="F1523" s="7" t="s">
        <v>15</v>
      </c>
      <c r="G1523" s="7" t="s">
        <v>48</v>
      </c>
      <c r="H1523" s="11">
        <v>23.6</v>
      </c>
      <c r="I1523" s="8">
        <v>9.4</v>
      </c>
      <c r="J1523" s="26">
        <v>3</v>
      </c>
      <c r="K1523" s="10">
        <v>0.66552000000000011</v>
      </c>
      <c r="L1523" s="4"/>
      <c r="M1523" s="17"/>
      <c r="N1523" s="18">
        <v>0</v>
      </c>
      <c r="O1523" s="19">
        <v>3</v>
      </c>
      <c r="P1523" s="13">
        <v>0.66552000000000011</v>
      </c>
      <c r="Q1523" s="9"/>
      <c r="R1523" s="32"/>
      <c r="S1523" s="32"/>
    </row>
    <row r="1524" spans="1:19">
      <c r="A1524" s="44" t="s">
        <v>78</v>
      </c>
      <c r="B1524" s="3" t="s">
        <v>80</v>
      </c>
      <c r="C1524" s="3">
        <v>4</v>
      </c>
      <c r="D1524" s="1"/>
      <c r="E1524" s="20" t="s">
        <v>20</v>
      </c>
      <c r="F1524" s="7" t="s">
        <v>15</v>
      </c>
      <c r="G1524" s="7" t="s">
        <v>48</v>
      </c>
      <c r="H1524" s="11">
        <v>23.6</v>
      </c>
      <c r="I1524" s="8">
        <v>7.6</v>
      </c>
      <c r="J1524" s="26">
        <v>2</v>
      </c>
      <c r="K1524" s="10">
        <v>0.35872000000000004</v>
      </c>
      <c r="L1524" s="4"/>
      <c r="M1524" s="17"/>
      <c r="N1524" s="18">
        <v>0</v>
      </c>
      <c r="O1524" s="19">
        <v>2</v>
      </c>
      <c r="P1524" s="13">
        <v>0.35872000000000004</v>
      </c>
      <c r="Q1524" s="9"/>
      <c r="R1524" s="32"/>
      <c r="S1524" s="32"/>
    </row>
    <row r="1525" spans="1:19">
      <c r="A1525" s="44" t="s">
        <v>78</v>
      </c>
      <c r="B1525" s="3" t="s">
        <v>80</v>
      </c>
      <c r="C1525" s="3">
        <v>3</v>
      </c>
      <c r="D1525" s="1"/>
      <c r="E1525" s="20" t="s">
        <v>76</v>
      </c>
      <c r="F1525" s="7" t="s">
        <v>15</v>
      </c>
      <c r="G1525" s="7" t="s">
        <v>48</v>
      </c>
      <c r="H1525" s="11">
        <v>23.6</v>
      </c>
      <c r="I1525" s="8">
        <v>11.3</v>
      </c>
      <c r="J1525" s="26">
        <v>11</v>
      </c>
      <c r="K1525" s="10">
        <v>2.9334799999999999</v>
      </c>
      <c r="L1525" s="4"/>
      <c r="M1525" s="17">
        <v>11</v>
      </c>
      <c r="N1525" s="18">
        <v>2.9334800000000003</v>
      </c>
      <c r="O1525" s="19">
        <v>0</v>
      </c>
      <c r="P1525" s="13">
        <v>0</v>
      </c>
      <c r="Q1525" s="9"/>
      <c r="R1525" s="32"/>
      <c r="S1525" s="32"/>
    </row>
    <row r="1526" spans="1:19">
      <c r="A1526" s="44" t="s">
        <v>78</v>
      </c>
      <c r="B1526" s="32" t="s">
        <v>80</v>
      </c>
      <c r="C1526" s="3">
        <v>1</v>
      </c>
      <c r="D1526" s="32"/>
      <c r="E1526" s="20" t="s">
        <v>76</v>
      </c>
      <c r="F1526" s="7" t="s">
        <v>15</v>
      </c>
      <c r="G1526" s="7" t="s">
        <v>48</v>
      </c>
      <c r="H1526" s="11">
        <v>23.6</v>
      </c>
      <c r="I1526" s="55">
        <v>11.3</v>
      </c>
      <c r="J1526" s="40">
        <v>1</v>
      </c>
      <c r="K1526" s="10">
        <v>0.26668000000000003</v>
      </c>
      <c r="L1526" s="4"/>
      <c r="M1526" s="17">
        <v>1</v>
      </c>
      <c r="N1526" s="18">
        <v>0.26668000000000003</v>
      </c>
      <c r="O1526" s="19">
        <v>0</v>
      </c>
      <c r="P1526" s="13">
        <v>0</v>
      </c>
      <c r="Q1526" s="32"/>
      <c r="R1526" s="32"/>
      <c r="S1526" s="32"/>
    </row>
    <row r="1527" spans="1:19">
      <c r="A1527" s="44" t="s">
        <v>78</v>
      </c>
      <c r="B1527" s="32"/>
      <c r="C1527" s="3">
        <v>1</v>
      </c>
      <c r="D1527" s="32"/>
      <c r="E1527" s="20" t="s">
        <v>89</v>
      </c>
      <c r="F1527" s="7" t="s">
        <v>15</v>
      </c>
      <c r="G1527" s="7" t="s">
        <v>48</v>
      </c>
      <c r="H1527" s="11">
        <v>23.6</v>
      </c>
      <c r="I1527" s="55">
        <v>11.65</v>
      </c>
      <c r="J1527" s="40">
        <v>9</v>
      </c>
      <c r="K1527" s="10">
        <v>2.4744600000000001</v>
      </c>
      <c r="L1527" s="4"/>
      <c r="M1527" s="17">
        <v>9</v>
      </c>
      <c r="N1527" s="18">
        <v>2.4744600000000005</v>
      </c>
      <c r="O1527" s="19">
        <v>0</v>
      </c>
      <c r="P1527" s="13">
        <v>0</v>
      </c>
      <c r="Q1527" s="91">
        <v>11.5</v>
      </c>
      <c r="R1527" s="91">
        <v>4</v>
      </c>
      <c r="S1527" s="91" t="s">
        <v>313</v>
      </c>
    </row>
    <row r="1528" spans="1:19">
      <c r="A1528" s="45" t="s">
        <v>136</v>
      </c>
      <c r="B1528" s="32" t="s">
        <v>137</v>
      </c>
      <c r="C1528" s="3">
        <v>25</v>
      </c>
      <c r="D1528" s="32"/>
      <c r="E1528" s="20" t="s">
        <v>20</v>
      </c>
      <c r="F1528" s="7" t="s">
        <v>15</v>
      </c>
      <c r="G1528" s="7" t="s">
        <v>48</v>
      </c>
      <c r="H1528" s="11">
        <v>23.6</v>
      </c>
      <c r="I1528" s="55">
        <v>11.6</v>
      </c>
      <c r="J1528" s="40">
        <v>2</v>
      </c>
      <c r="K1528" s="10">
        <v>0.54752000000000001</v>
      </c>
      <c r="L1528" s="4"/>
      <c r="M1528" s="17">
        <v>2</v>
      </c>
      <c r="N1528" s="18">
        <v>0.54752000000000001</v>
      </c>
      <c r="O1528" s="19">
        <v>0</v>
      </c>
      <c r="P1528" s="13">
        <v>0</v>
      </c>
      <c r="Q1528" s="91">
        <v>11.5</v>
      </c>
      <c r="R1528" s="91">
        <v>2</v>
      </c>
      <c r="S1528" s="91" t="s">
        <v>313</v>
      </c>
    </row>
    <row r="1529" spans="1:19">
      <c r="A1529" s="45" t="s">
        <v>136</v>
      </c>
      <c r="B1529" s="32" t="s">
        <v>137</v>
      </c>
      <c r="C1529" s="3">
        <v>71</v>
      </c>
      <c r="D1529" s="32"/>
      <c r="E1529" s="20" t="s">
        <v>20</v>
      </c>
      <c r="F1529" s="7" t="s">
        <v>15</v>
      </c>
      <c r="G1529" s="7" t="s">
        <v>48</v>
      </c>
      <c r="H1529" s="11">
        <v>23.6</v>
      </c>
      <c r="I1529" s="55">
        <v>8.6999999999999993</v>
      </c>
      <c r="J1529" s="40">
        <v>1</v>
      </c>
      <c r="K1529" s="10">
        <v>0.20532</v>
      </c>
      <c r="L1529" s="4"/>
      <c r="M1529" s="17"/>
      <c r="N1529" s="18">
        <v>0</v>
      </c>
      <c r="O1529" s="19">
        <v>1</v>
      </c>
      <c r="P1529" s="13">
        <v>0.20532</v>
      </c>
      <c r="Q1529" s="32"/>
      <c r="R1529" s="32"/>
      <c r="S1529" s="32"/>
    </row>
    <row r="1530" spans="1:19">
      <c r="A1530" s="45" t="s">
        <v>136</v>
      </c>
      <c r="B1530" s="32" t="s">
        <v>137</v>
      </c>
      <c r="C1530" s="3">
        <v>92</v>
      </c>
      <c r="D1530" s="32"/>
      <c r="E1530" s="20" t="s">
        <v>89</v>
      </c>
      <c r="F1530" s="7" t="s">
        <v>15</v>
      </c>
      <c r="G1530" s="7" t="s">
        <v>48</v>
      </c>
      <c r="H1530" s="11">
        <v>23.6</v>
      </c>
      <c r="I1530" s="55">
        <v>12</v>
      </c>
      <c r="J1530" s="40">
        <v>6</v>
      </c>
      <c r="K1530" s="10">
        <v>1.6992000000000003</v>
      </c>
      <c r="L1530" s="4"/>
      <c r="M1530" s="17">
        <v>6</v>
      </c>
      <c r="N1530" s="18">
        <v>1.6992</v>
      </c>
      <c r="O1530" s="19">
        <v>0</v>
      </c>
      <c r="P1530" s="13">
        <v>0</v>
      </c>
      <c r="Q1530" s="91" t="s">
        <v>315</v>
      </c>
      <c r="R1530" s="91">
        <v>6</v>
      </c>
      <c r="S1530" s="91" t="s">
        <v>318</v>
      </c>
    </row>
    <row r="1531" spans="1:19">
      <c r="A1531" s="45" t="s">
        <v>136</v>
      </c>
      <c r="B1531" s="32" t="s">
        <v>137</v>
      </c>
      <c r="C1531" s="3">
        <v>97</v>
      </c>
      <c r="D1531" s="32"/>
      <c r="E1531" s="20" t="s">
        <v>113</v>
      </c>
      <c r="F1531" s="7" t="s">
        <v>15</v>
      </c>
      <c r="G1531" s="7" t="s">
        <v>48</v>
      </c>
      <c r="H1531" s="11">
        <v>23.6</v>
      </c>
      <c r="I1531" s="55">
        <v>8</v>
      </c>
      <c r="J1531" s="41">
        <v>1</v>
      </c>
      <c r="K1531" s="10">
        <v>0.18880000000000002</v>
      </c>
      <c r="L1531" s="4"/>
      <c r="M1531" s="17"/>
      <c r="N1531" s="18">
        <v>0</v>
      </c>
      <c r="O1531" s="19">
        <v>1</v>
      </c>
      <c r="P1531" s="13">
        <v>0.18880000000000002</v>
      </c>
      <c r="Q1531" s="32"/>
      <c r="R1531" s="32"/>
      <c r="S1531" s="32"/>
    </row>
    <row r="1532" spans="1:19">
      <c r="A1532" s="45" t="s">
        <v>136</v>
      </c>
      <c r="B1532" s="32" t="s">
        <v>137</v>
      </c>
      <c r="C1532" s="3">
        <v>97</v>
      </c>
      <c r="D1532" s="32"/>
      <c r="E1532" s="20" t="s">
        <v>113</v>
      </c>
      <c r="F1532" s="7" t="s">
        <v>15</v>
      </c>
      <c r="G1532" s="7" t="s">
        <v>48</v>
      </c>
      <c r="H1532" s="11">
        <v>23.6</v>
      </c>
      <c r="I1532" s="55">
        <v>7.2</v>
      </c>
      <c r="J1532" s="41">
        <v>1</v>
      </c>
      <c r="K1532" s="10">
        <v>0.16992000000000002</v>
      </c>
      <c r="L1532" s="4"/>
      <c r="M1532" s="17"/>
      <c r="N1532" s="18">
        <v>0</v>
      </c>
      <c r="O1532" s="19">
        <v>1</v>
      </c>
      <c r="P1532" s="13">
        <v>0.16992000000000002</v>
      </c>
      <c r="Q1532" s="32"/>
      <c r="R1532" s="32"/>
      <c r="S1532" s="32"/>
    </row>
    <row r="1533" spans="1:19">
      <c r="A1533" s="45" t="s">
        <v>136</v>
      </c>
      <c r="B1533" s="32" t="s">
        <v>137</v>
      </c>
      <c r="C1533" s="3">
        <v>97</v>
      </c>
      <c r="D1533" s="32"/>
      <c r="E1533" s="20" t="s">
        <v>113</v>
      </c>
      <c r="F1533" s="7" t="s">
        <v>15</v>
      </c>
      <c r="G1533" s="7" t="s">
        <v>48</v>
      </c>
      <c r="H1533" s="11">
        <v>23.6</v>
      </c>
      <c r="I1533" s="55">
        <v>12</v>
      </c>
      <c r="J1533" s="41">
        <v>1</v>
      </c>
      <c r="K1533" s="10">
        <v>0.28320000000000006</v>
      </c>
      <c r="L1533" s="4"/>
      <c r="M1533" s="17">
        <v>1</v>
      </c>
      <c r="N1533" s="18">
        <v>0.28320000000000006</v>
      </c>
      <c r="O1533" s="19">
        <v>0</v>
      </c>
      <c r="P1533" s="13">
        <v>0</v>
      </c>
      <c r="Q1533" s="91">
        <v>10.4</v>
      </c>
      <c r="R1533" s="91">
        <v>1</v>
      </c>
      <c r="S1533" s="91" t="s">
        <v>317</v>
      </c>
    </row>
    <row r="1534" spans="1:19">
      <c r="A1534" s="45" t="s">
        <v>136</v>
      </c>
      <c r="B1534" s="48" t="s">
        <v>171</v>
      </c>
      <c r="C1534" s="32">
        <v>124</v>
      </c>
      <c r="D1534" s="32"/>
      <c r="E1534" s="48" t="s">
        <v>20</v>
      </c>
      <c r="F1534" s="48" t="s">
        <v>15</v>
      </c>
      <c r="G1534" s="48" t="s">
        <v>48</v>
      </c>
      <c r="H1534" s="11">
        <v>23.6</v>
      </c>
      <c r="I1534" s="8">
        <v>10.9</v>
      </c>
      <c r="J1534" s="7">
        <v>1</v>
      </c>
      <c r="K1534" s="10">
        <v>0.25724000000000002</v>
      </c>
      <c r="L1534" s="32"/>
      <c r="M1534" s="32">
        <v>1</v>
      </c>
      <c r="N1534" s="18">
        <v>0.25724000000000002</v>
      </c>
      <c r="O1534" s="19">
        <v>0</v>
      </c>
      <c r="P1534" s="13">
        <v>0</v>
      </c>
      <c r="Q1534" s="91">
        <v>10.4</v>
      </c>
      <c r="R1534" s="91">
        <v>1</v>
      </c>
      <c r="S1534" s="91" t="s">
        <v>317</v>
      </c>
    </row>
    <row r="1535" spans="1:19">
      <c r="A1535" s="45" t="s">
        <v>136</v>
      </c>
      <c r="B1535" s="48" t="s">
        <v>171</v>
      </c>
      <c r="C1535" s="32">
        <v>140</v>
      </c>
      <c r="D1535" s="32"/>
      <c r="E1535" s="48" t="s">
        <v>96</v>
      </c>
      <c r="F1535" s="48" t="s">
        <v>15</v>
      </c>
      <c r="G1535" s="48" t="s">
        <v>48</v>
      </c>
      <c r="H1535" s="11">
        <v>23.6</v>
      </c>
      <c r="I1535" s="8">
        <v>7.6</v>
      </c>
      <c r="J1535" s="7">
        <v>3</v>
      </c>
      <c r="K1535" s="10">
        <v>0.53808</v>
      </c>
      <c r="L1535" s="32"/>
      <c r="M1535" s="32"/>
      <c r="N1535" s="18">
        <v>0</v>
      </c>
      <c r="O1535" s="19">
        <v>3</v>
      </c>
      <c r="P1535" s="13">
        <v>0.53807999999999989</v>
      </c>
      <c r="Q1535" s="32"/>
      <c r="R1535" s="32"/>
      <c r="S1535" s="32"/>
    </row>
    <row r="1536" spans="1:19">
      <c r="A1536" s="45" t="s">
        <v>136</v>
      </c>
      <c r="B1536" s="48" t="s">
        <v>171</v>
      </c>
      <c r="C1536" s="32">
        <v>160</v>
      </c>
      <c r="D1536" s="32"/>
      <c r="E1536" s="48" t="s">
        <v>89</v>
      </c>
      <c r="F1536" s="48" t="s">
        <v>15</v>
      </c>
      <c r="G1536" s="48" t="s">
        <v>48</v>
      </c>
      <c r="H1536" s="11">
        <v>23.6</v>
      </c>
      <c r="I1536" s="8">
        <v>12</v>
      </c>
      <c r="J1536" s="7">
        <v>1</v>
      </c>
      <c r="K1536" s="10">
        <v>0.28320000000000006</v>
      </c>
      <c r="L1536" s="32"/>
      <c r="M1536" s="32">
        <v>1</v>
      </c>
      <c r="N1536" s="18">
        <v>0.28320000000000006</v>
      </c>
      <c r="O1536" s="19">
        <v>0</v>
      </c>
      <c r="P1536" s="13">
        <v>0</v>
      </c>
      <c r="Q1536" s="91">
        <v>10.4</v>
      </c>
      <c r="R1536" s="91">
        <v>1</v>
      </c>
      <c r="S1536" s="91" t="s">
        <v>317</v>
      </c>
    </row>
    <row r="1537" spans="1:19">
      <c r="O1537" s="215">
        <f>SUM(O1521:O1536)</f>
        <v>11</v>
      </c>
      <c r="R1537" s="215">
        <f>SUM(R1521:R1536)</f>
        <v>24</v>
      </c>
    </row>
    <row r="1540" spans="1:19">
      <c r="A1540" s="42" t="s">
        <v>77</v>
      </c>
      <c r="B1540" s="3" t="s">
        <v>68</v>
      </c>
      <c r="C1540" s="3">
        <v>173</v>
      </c>
      <c r="D1540" s="1"/>
      <c r="E1540" s="20" t="s">
        <v>72</v>
      </c>
      <c r="F1540" s="7" t="s">
        <v>15</v>
      </c>
      <c r="G1540" s="7" t="s">
        <v>49</v>
      </c>
      <c r="H1540" s="11">
        <v>17.82</v>
      </c>
      <c r="I1540" s="8">
        <v>5.5</v>
      </c>
      <c r="J1540" s="26">
        <v>1</v>
      </c>
      <c r="K1540" s="10">
        <v>9.801E-2</v>
      </c>
      <c r="L1540" s="4"/>
      <c r="M1540" s="17"/>
      <c r="N1540" s="18">
        <v>0</v>
      </c>
      <c r="O1540" s="19">
        <v>1</v>
      </c>
      <c r="P1540" s="13">
        <v>9.801E-2</v>
      </c>
      <c r="Q1540" s="9"/>
      <c r="R1540" s="2"/>
      <c r="S1540" s="2"/>
    </row>
    <row r="1541" spans="1:19">
      <c r="A1541" s="42" t="s">
        <v>77</v>
      </c>
      <c r="B1541" s="3" t="s">
        <v>68</v>
      </c>
      <c r="C1541" s="3">
        <v>173</v>
      </c>
      <c r="D1541" s="1"/>
      <c r="E1541" s="20" t="s">
        <v>72</v>
      </c>
      <c r="F1541" s="7" t="s">
        <v>15</v>
      </c>
      <c r="G1541" s="7" t="s">
        <v>49</v>
      </c>
      <c r="H1541" s="11">
        <v>17.82</v>
      </c>
      <c r="I1541" s="8">
        <v>6.1</v>
      </c>
      <c r="J1541" s="26">
        <v>2</v>
      </c>
      <c r="K1541" s="10">
        <v>0.21740399999999999</v>
      </c>
      <c r="L1541" s="4"/>
      <c r="M1541" s="17"/>
      <c r="N1541" s="18">
        <v>0</v>
      </c>
      <c r="O1541" s="19">
        <v>2</v>
      </c>
      <c r="P1541" s="13">
        <v>0.21740399999999999</v>
      </c>
      <c r="Q1541" s="9"/>
      <c r="R1541" s="2"/>
      <c r="S1541" s="2"/>
    </row>
    <row r="1542" spans="1:19">
      <c r="A1542" s="42" t="s">
        <v>77</v>
      </c>
      <c r="B1542" s="3" t="s">
        <v>68</v>
      </c>
      <c r="C1542" s="3">
        <v>176</v>
      </c>
      <c r="D1542" s="1"/>
      <c r="E1542" s="12" t="s">
        <v>91</v>
      </c>
      <c r="F1542" s="7" t="s">
        <v>15</v>
      </c>
      <c r="G1542" s="7" t="s">
        <v>49</v>
      </c>
      <c r="H1542" s="11">
        <v>17.82</v>
      </c>
      <c r="I1542" s="8">
        <v>6.2</v>
      </c>
      <c r="J1542" s="26">
        <v>1</v>
      </c>
      <c r="K1542" s="10">
        <v>0.11048400000000001</v>
      </c>
      <c r="L1542" s="4"/>
      <c r="M1542" s="17"/>
      <c r="N1542" s="18">
        <v>0</v>
      </c>
      <c r="O1542" s="19">
        <v>1</v>
      </c>
      <c r="P1542" s="13">
        <v>0.11048400000000001</v>
      </c>
      <c r="Q1542" s="9"/>
      <c r="R1542" s="2"/>
      <c r="S1542" s="2"/>
    </row>
    <row r="1543" spans="1:19">
      <c r="A1543" s="42" t="s">
        <v>78</v>
      </c>
      <c r="B1543" s="3"/>
      <c r="C1543" s="3">
        <v>6</v>
      </c>
      <c r="D1543" s="1"/>
      <c r="E1543" s="20" t="s">
        <v>63</v>
      </c>
      <c r="F1543" s="7" t="s">
        <v>15</v>
      </c>
      <c r="G1543" s="7" t="s">
        <v>49</v>
      </c>
      <c r="H1543" s="11">
        <v>17.82</v>
      </c>
      <c r="I1543" s="8">
        <v>11</v>
      </c>
      <c r="J1543" s="26">
        <v>3</v>
      </c>
      <c r="K1543" s="10">
        <v>0.58806000000000003</v>
      </c>
      <c r="L1543" s="4"/>
      <c r="M1543" s="17">
        <v>3</v>
      </c>
      <c r="N1543" s="18">
        <v>0.58806000000000003</v>
      </c>
      <c r="O1543" s="19">
        <v>0</v>
      </c>
      <c r="P1543" s="13">
        <v>0</v>
      </c>
      <c r="Q1543" s="89">
        <v>9.6999999999999993</v>
      </c>
      <c r="R1543" s="90">
        <v>3</v>
      </c>
      <c r="S1543" s="90" t="s">
        <v>209</v>
      </c>
    </row>
    <row r="1544" spans="1:19">
      <c r="A1544" s="42" t="s">
        <v>78</v>
      </c>
      <c r="B1544" s="3"/>
      <c r="C1544" s="3">
        <v>7</v>
      </c>
      <c r="D1544" s="1"/>
      <c r="E1544" s="20" t="s">
        <v>63</v>
      </c>
      <c r="F1544" s="7" t="s">
        <v>15</v>
      </c>
      <c r="G1544" s="7" t="s">
        <v>49</v>
      </c>
      <c r="H1544" s="11">
        <v>17.82</v>
      </c>
      <c r="I1544" s="8">
        <v>6.8</v>
      </c>
      <c r="J1544" s="26">
        <v>1</v>
      </c>
      <c r="K1544" s="10">
        <v>0.12117600000000001</v>
      </c>
      <c r="L1544" s="4"/>
      <c r="M1544" s="17"/>
      <c r="N1544" s="18">
        <v>0</v>
      </c>
      <c r="O1544" s="19">
        <v>1</v>
      </c>
      <c r="P1544" s="13">
        <v>0.12117600000000001</v>
      </c>
      <c r="Q1544" s="9"/>
      <c r="R1544" s="2"/>
      <c r="S1544" s="2"/>
    </row>
    <row r="1545" spans="1:19">
      <c r="A1545" s="42" t="s">
        <v>78</v>
      </c>
      <c r="B1545" s="3"/>
      <c r="C1545" s="3">
        <v>7</v>
      </c>
      <c r="D1545" s="1"/>
      <c r="E1545" s="20" t="s">
        <v>63</v>
      </c>
      <c r="F1545" s="7" t="s">
        <v>15</v>
      </c>
      <c r="G1545" s="7" t="s">
        <v>49</v>
      </c>
      <c r="H1545" s="11">
        <v>17.82</v>
      </c>
      <c r="I1545" s="8">
        <v>7.6</v>
      </c>
      <c r="J1545" s="26">
        <v>1</v>
      </c>
      <c r="K1545" s="10">
        <v>0.135432</v>
      </c>
      <c r="L1545" s="4"/>
      <c r="M1545" s="17"/>
      <c r="N1545" s="18">
        <v>0</v>
      </c>
      <c r="O1545" s="19">
        <v>1</v>
      </c>
      <c r="P1545" s="13">
        <v>0.135432</v>
      </c>
      <c r="Q1545" s="9"/>
      <c r="R1545" s="2"/>
      <c r="S1545" s="2"/>
    </row>
    <row r="1546" spans="1:19">
      <c r="A1546" s="42" t="s">
        <v>78</v>
      </c>
      <c r="B1546" s="3"/>
      <c r="C1546" s="3">
        <v>7</v>
      </c>
      <c r="D1546" s="1"/>
      <c r="E1546" s="20" t="s">
        <v>63</v>
      </c>
      <c r="F1546" s="7" t="s">
        <v>15</v>
      </c>
      <c r="G1546" s="7" t="s">
        <v>49</v>
      </c>
      <c r="H1546" s="11">
        <v>17.82</v>
      </c>
      <c r="I1546" s="8">
        <v>8</v>
      </c>
      <c r="J1546" s="26">
        <v>3</v>
      </c>
      <c r="K1546" s="10">
        <v>0.42768</v>
      </c>
      <c r="L1546" s="4"/>
      <c r="M1546" s="17">
        <v>3</v>
      </c>
      <c r="N1546" s="18">
        <v>0.42768</v>
      </c>
      <c r="O1546" s="19">
        <v>0</v>
      </c>
      <c r="P1546" s="13">
        <v>0</v>
      </c>
      <c r="Q1546" s="89">
        <v>7.7</v>
      </c>
      <c r="R1546" s="90">
        <v>3</v>
      </c>
      <c r="S1546" s="90" t="s">
        <v>209</v>
      </c>
    </row>
    <row r="1547" spans="1:19">
      <c r="A1547" s="42" t="s">
        <v>78</v>
      </c>
      <c r="B1547" s="3"/>
      <c r="C1547" s="3">
        <v>7</v>
      </c>
      <c r="D1547" s="1"/>
      <c r="E1547" s="20" t="s">
        <v>63</v>
      </c>
      <c r="F1547" s="7" t="s">
        <v>15</v>
      </c>
      <c r="G1547" s="7" t="s">
        <v>49</v>
      </c>
      <c r="H1547" s="11">
        <v>17.82</v>
      </c>
      <c r="I1547" s="8">
        <v>11.7</v>
      </c>
      <c r="J1547" s="26">
        <v>1</v>
      </c>
      <c r="K1547" s="10">
        <v>0.20849400000000001</v>
      </c>
      <c r="L1547" s="4"/>
      <c r="M1547" s="17">
        <v>1</v>
      </c>
      <c r="N1547" s="18">
        <v>0.20849400000000001</v>
      </c>
      <c r="O1547" s="19">
        <v>0</v>
      </c>
      <c r="P1547" s="13">
        <v>0</v>
      </c>
      <c r="Q1547" s="89">
        <v>11.7</v>
      </c>
      <c r="R1547" s="90">
        <v>1</v>
      </c>
      <c r="S1547" s="90" t="s">
        <v>209</v>
      </c>
    </row>
    <row r="1548" spans="1:19">
      <c r="A1548" s="42" t="s">
        <v>90</v>
      </c>
      <c r="B1548" s="3"/>
      <c r="C1548" s="3">
        <v>244</v>
      </c>
      <c r="D1548" s="1"/>
      <c r="E1548" s="20" t="s">
        <v>88</v>
      </c>
      <c r="F1548" s="7" t="s">
        <v>15</v>
      </c>
      <c r="G1548" s="7" t="s">
        <v>49</v>
      </c>
      <c r="H1548" s="11">
        <v>17.82</v>
      </c>
      <c r="I1548" s="8">
        <v>6.6</v>
      </c>
      <c r="J1548" s="26">
        <v>15</v>
      </c>
      <c r="K1548" s="10">
        <v>1.7641799999999999</v>
      </c>
      <c r="L1548" s="4"/>
      <c r="M1548" s="17"/>
      <c r="N1548" s="18">
        <v>0</v>
      </c>
      <c r="O1548" s="19">
        <v>15</v>
      </c>
      <c r="P1548" s="13">
        <v>1.7641800000000001</v>
      </c>
      <c r="Q1548" s="9"/>
      <c r="R1548" s="32"/>
      <c r="S1548" s="32"/>
    </row>
    <row r="1549" spans="1:19">
      <c r="O1549" s="215">
        <f>SUM(O1540:O1548)</f>
        <v>21</v>
      </c>
      <c r="R1549" s="215">
        <f>SUM(R1540:R1548)</f>
        <v>7</v>
      </c>
    </row>
    <row r="1552" spans="1:19">
      <c r="A1552" s="42" t="s">
        <v>90</v>
      </c>
      <c r="B1552" s="3"/>
      <c r="C1552" s="3">
        <v>141</v>
      </c>
      <c r="D1552" s="1"/>
      <c r="E1552" s="20" t="s">
        <v>88</v>
      </c>
      <c r="F1552" s="7" t="s">
        <v>15</v>
      </c>
      <c r="G1552" s="7" t="s">
        <v>33</v>
      </c>
      <c r="H1552" s="11">
        <v>15.92</v>
      </c>
      <c r="I1552" s="8">
        <v>6.75</v>
      </c>
      <c r="J1552" s="26">
        <v>1</v>
      </c>
      <c r="K1552" s="10">
        <v>0.10746</v>
      </c>
      <c r="L1552" s="4"/>
      <c r="M1552" s="17">
        <v>1</v>
      </c>
      <c r="N1552" s="18">
        <v>0.10746</v>
      </c>
      <c r="O1552" s="19">
        <v>0</v>
      </c>
      <c r="P1552" s="13">
        <v>0</v>
      </c>
      <c r="Q1552" s="89">
        <v>6.1</v>
      </c>
      <c r="R1552" s="90">
        <v>1</v>
      </c>
      <c r="S1552" s="90" t="s">
        <v>209</v>
      </c>
    </row>
    <row r="1553" spans="1:19">
      <c r="A1553" s="42" t="s">
        <v>90</v>
      </c>
      <c r="B1553" s="3"/>
      <c r="C1553" s="3">
        <v>141</v>
      </c>
      <c r="D1553" s="1"/>
      <c r="E1553" s="20" t="s">
        <v>88</v>
      </c>
      <c r="F1553" s="7" t="s">
        <v>15</v>
      </c>
      <c r="G1553" s="7" t="s">
        <v>33</v>
      </c>
      <c r="H1553" s="11">
        <v>15.92</v>
      </c>
      <c r="I1553" s="8">
        <v>10</v>
      </c>
      <c r="J1553" s="26">
        <v>1</v>
      </c>
      <c r="K1553" s="10">
        <v>0.15919999999999998</v>
      </c>
      <c r="L1553" s="4"/>
      <c r="M1553" s="17">
        <v>1</v>
      </c>
      <c r="N1553" s="18">
        <v>0.15919999999999998</v>
      </c>
      <c r="O1553" s="19">
        <v>0</v>
      </c>
      <c r="P1553" s="13">
        <v>0</v>
      </c>
      <c r="Q1553" s="89">
        <v>10</v>
      </c>
      <c r="R1553" s="90">
        <v>1</v>
      </c>
      <c r="S1553" s="90" t="s">
        <v>209</v>
      </c>
    </row>
    <row r="1554" spans="1:19">
      <c r="A1554" s="42" t="s">
        <v>90</v>
      </c>
      <c r="B1554" s="3"/>
      <c r="C1554" s="3">
        <v>141</v>
      </c>
      <c r="D1554" s="1"/>
      <c r="E1554" s="20" t="s">
        <v>88</v>
      </c>
      <c r="F1554" s="7" t="s">
        <v>15</v>
      </c>
      <c r="G1554" s="7" t="s">
        <v>33</v>
      </c>
      <c r="H1554" s="11">
        <v>15.92</v>
      </c>
      <c r="I1554" s="8">
        <v>6.8</v>
      </c>
      <c r="J1554" s="26">
        <v>1</v>
      </c>
      <c r="K1554" s="10">
        <v>0.10825600000000001</v>
      </c>
      <c r="L1554" s="4"/>
      <c r="M1554" s="17">
        <v>1</v>
      </c>
      <c r="N1554" s="18">
        <v>0.10825600000000001</v>
      </c>
      <c r="O1554" s="19">
        <v>0</v>
      </c>
      <c r="P1554" s="13">
        <v>0</v>
      </c>
      <c r="Q1554" s="89">
        <v>6.1</v>
      </c>
      <c r="R1554" s="90">
        <v>1</v>
      </c>
      <c r="S1554" s="90" t="s">
        <v>209</v>
      </c>
    </row>
    <row r="1555" spans="1:19">
      <c r="A1555" s="42" t="s">
        <v>90</v>
      </c>
      <c r="B1555" s="3"/>
      <c r="C1555" s="3">
        <v>141</v>
      </c>
      <c r="D1555" s="1"/>
      <c r="E1555" s="20" t="s">
        <v>88</v>
      </c>
      <c r="F1555" s="7" t="s">
        <v>15</v>
      </c>
      <c r="G1555" s="7" t="s">
        <v>33</v>
      </c>
      <c r="H1555" s="11">
        <v>15.92</v>
      </c>
      <c r="I1555" s="8">
        <v>7.1</v>
      </c>
      <c r="J1555" s="26">
        <v>1</v>
      </c>
      <c r="K1555" s="10">
        <v>0.11303199999999999</v>
      </c>
      <c r="L1555" s="4"/>
      <c r="M1555" s="17">
        <v>1</v>
      </c>
      <c r="N1555" s="18">
        <v>0.11303199999999999</v>
      </c>
      <c r="O1555" s="19">
        <v>0</v>
      </c>
      <c r="P1555" s="13">
        <v>0</v>
      </c>
      <c r="Q1555" s="89">
        <v>6.1</v>
      </c>
      <c r="R1555" s="90">
        <v>1</v>
      </c>
      <c r="S1555" s="90" t="s">
        <v>209</v>
      </c>
    </row>
    <row r="1556" spans="1:19">
      <c r="A1556" s="42" t="s">
        <v>90</v>
      </c>
      <c r="B1556" s="3"/>
      <c r="C1556" s="3">
        <v>141</v>
      </c>
      <c r="D1556" s="1"/>
      <c r="E1556" s="20" t="s">
        <v>88</v>
      </c>
      <c r="F1556" s="7" t="s">
        <v>15</v>
      </c>
      <c r="G1556" s="7" t="s">
        <v>33</v>
      </c>
      <c r="H1556" s="11">
        <v>15.92</v>
      </c>
      <c r="I1556" s="8">
        <v>7.2</v>
      </c>
      <c r="J1556" s="26">
        <v>1</v>
      </c>
      <c r="K1556" s="10">
        <v>0.11462399999999999</v>
      </c>
      <c r="L1556" s="4"/>
      <c r="M1556" s="17">
        <v>1</v>
      </c>
      <c r="N1556" s="18">
        <v>0.11462399999999999</v>
      </c>
      <c r="O1556" s="19">
        <v>0</v>
      </c>
      <c r="P1556" s="13">
        <v>0</v>
      </c>
      <c r="Q1556" s="89">
        <v>7.2</v>
      </c>
      <c r="R1556" s="90">
        <v>1</v>
      </c>
      <c r="S1556" s="90" t="s">
        <v>209</v>
      </c>
    </row>
    <row r="1557" spans="1:19">
      <c r="A1557" s="42" t="s">
        <v>90</v>
      </c>
      <c r="B1557" s="3"/>
      <c r="C1557" s="3">
        <v>141</v>
      </c>
      <c r="D1557" s="1"/>
      <c r="E1557" s="20" t="s">
        <v>88</v>
      </c>
      <c r="F1557" s="7" t="s">
        <v>15</v>
      </c>
      <c r="G1557" s="7" t="s">
        <v>33</v>
      </c>
      <c r="H1557" s="11">
        <v>15.92</v>
      </c>
      <c r="I1557" s="8">
        <v>9.6</v>
      </c>
      <c r="J1557" s="26">
        <v>1</v>
      </c>
      <c r="K1557" s="10">
        <v>0.152832</v>
      </c>
      <c r="L1557" s="4"/>
      <c r="M1557" s="17">
        <v>1</v>
      </c>
      <c r="N1557" s="18">
        <v>0.152832</v>
      </c>
      <c r="O1557" s="19">
        <v>0</v>
      </c>
      <c r="P1557" s="13">
        <v>0</v>
      </c>
      <c r="Q1557" s="89">
        <v>7.5</v>
      </c>
      <c r="R1557" s="90">
        <v>1</v>
      </c>
      <c r="S1557" s="90" t="s">
        <v>209</v>
      </c>
    </row>
    <row r="1558" spans="1:19">
      <c r="A1558" s="42" t="s">
        <v>90</v>
      </c>
      <c r="B1558" s="3"/>
      <c r="C1558" s="3">
        <v>239</v>
      </c>
      <c r="D1558" s="1"/>
      <c r="E1558" s="20" t="s">
        <v>63</v>
      </c>
      <c r="F1558" s="7" t="s">
        <v>15</v>
      </c>
      <c r="G1558" s="7" t="s">
        <v>33</v>
      </c>
      <c r="H1558" s="11">
        <v>15.92</v>
      </c>
      <c r="I1558" s="8">
        <v>7.5</v>
      </c>
      <c r="J1558" s="26">
        <v>1</v>
      </c>
      <c r="K1558" s="10">
        <v>0.11940000000000001</v>
      </c>
      <c r="L1558" s="4"/>
      <c r="M1558" s="17">
        <v>1</v>
      </c>
      <c r="N1558" s="18">
        <v>0.11940000000000001</v>
      </c>
      <c r="O1558" s="19">
        <v>0</v>
      </c>
      <c r="P1558" s="13">
        <v>0</v>
      </c>
      <c r="Q1558" s="89">
        <v>7.5</v>
      </c>
      <c r="R1558" s="91">
        <v>1</v>
      </c>
      <c r="S1558" s="90" t="s">
        <v>209</v>
      </c>
    </row>
    <row r="1559" spans="1:19">
      <c r="A1559" s="42" t="s">
        <v>90</v>
      </c>
      <c r="B1559" s="3"/>
      <c r="C1559" s="3">
        <v>239</v>
      </c>
      <c r="D1559" s="1"/>
      <c r="E1559" s="20" t="s">
        <v>63</v>
      </c>
      <c r="F1559" s="7" t="s">
        <v>15</v>
      </c>
      <c r="G1559" s="7" t="s">
        <v>33</v>
      </c>
      <c r="H1559" s="11">
        <v>15.92</v>
      </c>
      <c r="I1559" s="8">
        <v>11</v>
      </c>
      <c r="J1559" s="26">
        <v>1</v>
      </c>
      <c r="K1559" s="10">
        <v>0.17512</v>
      </c>
      <c r="L1559" s="4"/>
      <c r="M1559" s="17">
        <v>1</v>
      </c>
      <c r="N1559" s="18">
        <v>0.17512</v>
      </c>
      <c r="O1559" s="19">
        <v>0</v>
      </c>
      <c r="P1559" s="13">
        <v>0</v>
      </c>
      <c r="Q1559" s="89">
        <v>10</v>
      </c>
      <c r="R1559" s="91">
        <v>1</v>
      </c>
      <c r="S1559" s="90" t="s">
        <v>209</v>
      </c>
    </row>
    <row r="1560" spans="1:19">
      <c r="A1560" s="42" t="s">
        <v>90</v>
      </c>
      <c r="B1560" s="3"/>
      <c r="C1560" s="3">
        <v>239</v>
      </c>
      <c r="D1560" s="1"/>
      <c r="E1560" s="20" t="s">
        <v>63</v>
      </c>
      <c r="F1560" s="7" t="s">
        <v>15</v>
      </c>
      <c r="G1560" s="7" t="s">
        <v>33</v>
      </c>
      <c r="H1560" s="11">
        <v>15.92</v>
      </c>
      <c r="I1560" s="8">
        <v>11.1</v>
      </c>
      <c r="J1560" s="26">
        <v>1</v>
      </c>
      <c r="K1560" s="10">
        <v>0.17671199999999998</v>
      </c>
      <c r="L1560" s="4"/>
      <c r="M1560" s="17">
        <v>1</v>
      </c>
      <c r="N1560" s="18">
        <v>0.17671199999999998</v>
      </c>
      <c r="O1560" s="19">
        <v>0</v>
      </c>
      <c r="P1560" s="13">
        <v>0</v>
      </c>
      <c r="Q1560" s="89">
        <v>10</v>
      </c>
      <c r="R1560" s="91">
        <v>1</v>
      </c>
      <c r="S1560" s="90" t="s">
        <v>209</v>
      </c>
    </row>
    <row r="1561" spans="1:19">
      <c r="A1561" s="47" t="s">
        <v>147</v>
      </c>
      <c r="B1561" s="48" t="s">
        <v>148</v>
      </c>
      <c r="C1561" s="32">
        <v>369</v>
      </c>
      <c r="D1561" s="32"/>
      <c r="E1561" s="48" t="s">
        <v>106</v>
      </c>
      <c r="F1561" s="48" t="s">
        <v>160</v>
      </c>
      <c r="G1561" s="48" t="s">
        <v>33</v>
      </c>
      <c r="H1561" s="11">
        <v>15.92</v>
      </c>
      <c r="I1561" s="52">
        <v>8.6999999999999993</v>
      </c>
      <c r="J1561" s="7">
        <v>1</v>
      </c>
      <c r="K1561" s="10">
        <v>0.13850399999999999</v>
      </c>
      <c r="L1561" s="32"/>
      <c r="M1561" s="32">
        <v>1</v>
      </c>
      <c r="N1561" s="18">
        <v>0.13850399999999999</v>
      </c>
      <c r="O1561" s="19">
        <v>0</v>
      </c>
      <c r="P1561" s="13">
        <v>0</v>
      </c>
      <c r="Q1561" s="91">
        <v>7.5</v>
      </c>
      <c r="R1561" s="91">
        <v>1</v>
      </c>
      <c r="S1561" s="90" t="s">
        <v>209</v>
      </c>
    </row>
    <row r="1562" spans="1:19">
      <c r="A1562" s="47" t="s">
        <v>147</v>
      </c>
      <c r="B1562" s="48" t="s">
        <v>148</v>
      </c>
      <c r="C1562" s="32">
        <v>369</v>
      </c>
      <c r="D1562" s="32"/>
      <c r="E1562" s="48" t="s">
        <v>106</v>
      </c>
      <c r="F1562" s="48" t="s">
        <v>160</v>
      </c>
      <c r="G1562" s="48" t="s">
        <v>33</v>
      </c>
      <c r="H1562" s="11">
        <v>15.92</v>
      </c>
      <c r="I1562" s="52">
        <v>9</v>
      </c>
      <c r="J1562" s="7">
        <v>1</v>
      </c>
      <c r="K1562" s="10">
        <v>0.14327999999999999</v>
      </c>
      <c r="L1562" s="32"/>
      <c r="M1562" s="32">
        <v>1</v>
      </c>
      <c r="N1562" s="18">
        <v>0.14327999999999999</v>
      </c>
      <c r="O1562" s="19">
        <v>0</v>
      </c>
      <c r="P1562" s="13">
        <v>0</v>
      </c>
      <c r="Q1562" s="91">
        <v>7.5</v>
      </c>
      <c r="R1562" s="91">
        <v>1</v>
      </c>
      <c r="S1562" s="90" t="s">
        <v>209</v>
      </c>
    </row>
    <row r="1563" spans="1:19">
      <c r="A1563" s="47" t="s">
        <v>147</v>
      </c>
      <c r="B1563" s="48" t="s">
        <v>148</v>
      </c>
      <c r="C1563" s="32">
        <v>369</v>
      </c>
      <c r="D1563" s="32"/>
      <c r="E1563" s="48" t="s">
        <v>106</v>
      </c>
      <c r="F1563" s="48" t="s">
        <v>160</v>
      </c>
      <c r="G1563" s="48" t="s">
        <v>33</v>
      </c>
      <c r="H1563" s="11">
        <v>15.92</v>
      </c>
      <c r="I1563" s="52">
        <v>9.6</v>
      </c>
      <c r="J1563" s="7">
        <v>1</v>
      </c>
      <c r="K1563" s="10">
        <v>0.152832</v>
      </c>
      <c r="L1563" s="32"/>
      <c r="M1563" s="32">
        <v>1</v>
      </c>
      <c r="N1563" s="18">
        <v>0.152832</v>
      </c>
      <c r="O1563" s="19">
        <v>0</v>
      </c>
      <c r="P1563" s="13">
        <v>0</v>
      </c>
      <c r="Q1563" s="91">
        <v>7.5</v>
      </c>
      <c r="R1563" s="91">
        <v>1</v>
      </c>
      <c r="S1563" s="90" t="s">
        <v>209</v>
      </c>
    </row>
    <row r="1564" spans="1:19">
      <c r="A1564" s="47" t="s">
        <v>147</v>
      </c>
      <c r="B1564" s="48" t="s">
        <v>148</v>
      </c>
      <c r="C1564" s="32">
        <v>369</v>
      </c>
      <c r="D1564" s="32"/>
      <c r="E1564" s="48" t="s">
        <v>106</v>
      </c>
      <c r="F1564" s="48" t="s">
        <v>160</v>
      </c>
      <c r="G1564" s="48" t="s">
        <v>33</v>
      </c>
      <c r="H1564" s="11">
        <v>15.92</v>
      </c>
      <c r="I1564" s="52">
        <v>9.8000000000000007</v>
      </c>
      <c r="J1564" s="7">
        <v>2</v>
      </c>
      <c r="K1564" s="10">
        <v>0.31203200000000003</v>
      </c>
      <c r="L1564" s="32"/>
      <c r="M1564" s="32">
        <v>2</v>
      </c>
      <c r="N1564" s="18">
        <v>0.31203200000000003</v>
      </c>
      <c r="O1564" s="19">
        <v>0</v>
      </c>
      <c r="P1564" s="13">
        <v>0</v>
      </c>
      <c r="Q1564" s="91">
        <v>7.5</v>
      </c>
      <c r="R1564" s="91">
        <v>2</v>
      </c>
      <c r="S1564" s="90" t="s">
        <v>209</v>
      </c>
    </row>
    <row r="1565" spans="1:19">
      <c r="A1565" s="47" t="s">
        <v>147</v>
      </c>
      <c r="B1565" s="48" t="s">
        <v>148</v>
      </c>
      <c r="C1565" s="32">
        <v>371</v>
      </c>
      <c r="D1565" s="32"/>
      <c r="E1565" s="48" t="s">
        <v>106</v>
      </c>
      <c r="F1565" s="48" t="s">
        <v>160</v>
      </c>
      <c r="G1565" s="48" t="s">
        <v>33</v>
      </c>
      <c r="H1565" s="11">
        <v>15.92</v>
      </c>
      <c r="I1565" s="52">
        <v>11.8</v>
      </c>
      <c r="J1565" s="7">
        <v>1</v>
      </c>
      <c r="K1565" s="10">
        <v>0.18785600000000002</v>
      </c>
      <c r="L1565" s="32"/>
      <c r="M1565" s="32">
        <v>1</v>
      </c>
      <c r="N1565" s="18">
        <v>0.18785600000000002</v>
      </c>
      <c r="O1565" s="19">
        <v>0</v>
      </c>
      <c r="P1565" s="13">
        <v>0</v>
      </c>
      <c r="Q1565" s="91">
        <v>11.8</v>
      </c>
      <c r="R1565" s="91">
        <v>1</v>
      </c>
      <c r="S1565" s="90" t="s">
        <v>209</v>
      </c>
    </row>
    <row r="1566" spans="1:19">
      <c r="A1566" s="45" t="s">
        <v>136</v>
      </c>
      <c r="B1566" s="32" t="s">
        <v>137</v>
      </c>
      <c r="C1566" s="3">
        <v>65</v>
      </c>
      <c r="D1566" s="32"/>
      <c r="E1566" s="20" t="s">
        <v>88</v>
      </c>
      <c r="F1566" s="7" t="s">
        <v>15</v>
      </c>
      <c r="G1566" s="7" t="s">
        <v>33</v>
      </c>
      <c r="H1566" s="11">
        <v>15.92</v>
      </c>
      <c r="I1566" s="33">
        <v>9.9</v>
      </c>
      <c r="J1566" s="40">
        <v>1</v>
      </c>
      <c r="K1566" s="10">
        <v>0.157608</v>
      </c>
      <c r="L1566" s="4"/>
      <c r="M1566" s="17">
        <v>1</v>
      </c>
      <c r="N1566" s="18">
        <v>0.157608</v>
      </c>
      <c r="O1566" s="19">
        <v>0</v>
      </c>
      <c r="P1566" s="13">
        <v>0</v>
      </c>
      <c r="Q1566" s="91">
        <v>7.5</v>
      </c>
      <c r="R1566" s="91">
        <v>1</v>
      </c>
      <c r="S1566" s="90" t="s">
        <v>209</v>
      </c>
    </row>
    <row r="1567" spans="1:19">
      <c r="A1567" s="45" t="s">
        <v>136</v>
      </c>
      <c r="B1567" s="32" t="s">
        <v>137</v>
      </c>
      <c r="C1567" s="3">
        <v>65</v>
      </c>
      <c r="D1567" s="32"/>
      <c r="E1567" s="20" t="s">
        <v>88</v>
      </c>
      <c r="F1567" s="7" t="s">
        <v>15</v>
      </c>
      <c r="G1567" s="7" t="s">
        <v>33</v>
      </c>
      <c r="H1567" s="11">
        <v>15.92</v>
      </c>
      <c r="I1567" s="33">
        <v>7.8</v>
      </c>
      <c r="J1567" s="40">
        <v>1</v>
      </c>
      <c r="K1567" s="10">
        <v>0.12417600000000001</v>
      </c>
      <c r="L1567" s="4"/>
      <c r="M1567" s="17">
        <v>1</v>
      </c>
      <c r="N1567" s="18">
        <v>0.12417600000000001</v>
      </c>
      <c r="O1567" s="19">
        <v>0</v>
      </c>
      <c r="P1567" s="13">
        <v>0</v>
      </c>
      <c r="Q1567" s="91">
        <v>7.5</v>
      </c>
      <c r="R1567" s="91">
        <v>1</v>
      </c>
      <c r="S1567" s="90" t="s">
        <v>209</v>
      </c>
    </row>
    <row r="1568" spans="1:19">
      <c r="R1568" s="76">
        <f>SUM(R1552:R1567)</f>
        <v>17</v>
      </c>
    </row>
    <row r="1571" spans="1:19">
      <c r="A1571" s="42" t="s">
        <v>78</v>
      </c>
      <c r="B1571" s="3"/>
      <c r="C1571" s="3"/>
      <c r="D1571" s="1"/>
      <c r="E1571" s="20" t="s">
        <v>75</v>
      </c>
      <c r="F1571" s="7" t="s">
        <v>15</v>
      </c>
      <c r="G1571" s="7" t="s">
        <v>32</v>
      </c>
      <c r="H1571" s="11">
        <v>8.3000000000000007</v>
      </c>
      <c r="I1571" s="8">
        <v>10.5</v>
      </c>
      <c r="J1571" s="26">
        <v>1</v>
      </c>
      <c r="K1571" s="10">
        <v>8.7150000000000005E-2</v>
      </c>
      <c r="L1571" s="4"/>
      <c r="M1571" s="17"/>
      <c r="N1571" s="18">
        <v>0</v>
      </c>
      <c r="O1571" s="19">
        <v>1</v>
      </c>
      <c r="P1571" s="13">
        <v>8.7150000000000005E-2</v>
      </c>
      <c r="Q1571" s="9"/>
      <c r="R1571" s="2"/>
      <c r="S1571" s="2"/>
    </row>
    <row r="1572" spans="1:19">
      <c r="A1572" s="42" t="s">
        <v>78</v>
      </c>
      <c r="B1572" s="3"/>
      <c r="C1572" s="3"/>
      <c r="D1572" s="1"/>
      <c r="E1572" s="20" t="s">
        <v>75</v>
      </c>
      <c r="F1572" s="7" t="s">
        <v>15</v>
      </c>
      <c r="G1572" s="7" t="s">
        <v>32</v>
      </c>
      <c r="H1572" s="11">
        <v>8.3000000000000007</v>
      </c>
      <c r="I1572" s="8">
        <v>8.25</v>
      </c>
      <c r="J1572" s="26">
        <v>1</v>
      </c>
      <c r="K1572" s="10">
        <v>6.8475000000000008E-2</v>
      </c>
      <c r="L1572" s="4"/>
      <c r="M1572" s="17"/>
      <c r="N1572" s="18">
        <v>0</v>
      </c>
      <c r="O1572" s="19">
        <v>1</v>
      </c>
      <c r="P1572" s="13">
        <v>6.8475000000000008E-2</v>
      </c>
      <c r="Q1572" s="9"/>
      <c r="R1572" s="2"/>
      <c r="S1572" s="2"/>
    </row>
    <row r="1573" spans="1:19">
      <c r="A1573" s="42" t="s">
        <v>90</v>
      </c>
      <c r="B1573" s="48" t="s">
        <v>148</v>
      </c>
      <c r="C1573" s="32">
        <v>65</v>
      </c>
      <c r="D1573" s="32" t="s">
        <v>142</v>
      </c>
      <c r="E1573" s="20" t="s">
        <v>75</v>
      </c>
      <c r="F1573" s="48" t="s">
        <v>15</v>
      </c>
      <c r="G1573" s="48" t="s">
        <v>32</v>
      </c>
      <c r="H1573" s="11">
        <v>8.3000000000000007</v>
      </c>
      <c r="I1573" s="52">
        <v>11.5</v>
      </c>
      <c r="J1573" s="7">
        <v>3</v>
      </c>
      <c r="K1573" s="10">
        <v>0.28635000000000005</v>
      </c>
      <c r="L1573" s="32"/>
      <c r="M1573" s="32"/>
      <c r="N1573" s="18">
        <v>0</v>
      </c>
      <c r="O1573" s="19">
        <v>3</v>
      </c>
      <c r="P1573" s="13">
        <v>0.28635000000000005</v>
      </c>
      <c r="Q1573" s="32"/>
      <c r="R1573" s="32"/>
      <c r="S1573" s="32"/>
    </row>
    <row r="1574" spans="1:19">
      <c r="A1574" s="42" t="s">
        <v>90</v>
      </c>
      <c r="B1574" s="48" t="s">
        <v>148</v>
      </c>
      <c r="C1574" s="32">
        <v>65</v>
      </c>
      <c r="D1574" s="32" t="s">
        <v>142</v>
      </c>
      <c r="E1574" s="20" t="s">
        <v>75</v>
      </c>
      <c r="F1574" s="48" t="s">
        <v>15</v>
      </c>
      <c r="G1574" s="48" t="s">
        <v>32</v>
      </c>
      <c r="H1574" s="11">
        <v>8.3000000000000007</v>
      </c>
      <c r="I1574" s="52">
        <v>10.5</v>
      </c>
      <c r="J1574" s="7">
        <v>4</v>
      </c>
      <c r="K1574" s="10">
        <v>0.34860000000000002</v>
      </c>
      <c r="L1574" s="32"/>
      <c r="M1574" s="32"/>
      <c r="N1574" s="18">
        <v>0</v>
      </c>
      <c r="O1574" s="19">
        <v>4</v>
      </c>
      <c r="P1574" s="13">
        <v>0.34860000000000002</v>
      </c>
      <c r="Q1574" s="32"/>
      <c r="R1574" s="32"/>
      <c r="S1574" s="32"/>
    </row>
    <row r="1575" spans="1:19">
      <c r="A1575" s="42" t="s">
        <v>90</v>
      </c>
      <c r="B1575" s="48" t="s">
        <v>148</v>
      </c>
      <c r="C1575" s="32">
        <v>65</v>
      </c>
      <c r="D1575" s="32" t="s">
        <v>142</v>
      </c>
      <c r="E1575" s="20" t="s">
        <v>75</v>
      </c>
      <c r="F1575" s="48" t="s">
        <v>15</v>
      </c>
      <c r="G1575" s="48" t="s">
        <v>32</v>
      </c>
      <c r="H1575" s="11">
        <v>8.3000000000000007</v>
      </c>
      <c r="I1575" s="52">
        <v>8.75</v>
      </c>
      <c r="J1575" s="7">
        <v>3</v>
      </c>
      <c r="K1575" s="10">
        <v>0.21787500000000001</v>
      </c>
      <c r="L1575" s="32"/>
      <c r="M1575" s="32"/>
      <c r="N1575" s="18">
        <v>0</v>
      </c>
      <c r="O1575" s="19">
        <v>3</v>
      </c>
      <c r="P1575" s="13">
        <v>0.21787500000000004</v>
      </c>
      <c r="Q1575" s="33"/>
      <c r="R1575" s="32"/>
      <c r="S1575" s="32"/>
    </row>
    <row r="1576" spans="1:19">
      <c r="A1576" s="47" t="s">
        <v>147</v>
      </c>
      <c r="B1576" s="48" t="s">
        <v>148</v>
      </c>
      <c r="C1576" s="32">
        <v>292</v>
      </c>
      <c r="D1576" s="32" t="s">
        <v>142</v>
      </c>
      <c r="E1576" s="20" t="s">
        <v>75</v>
      </c>
      <c r="F1576" s="48" t="s">
        <v>15</v>
      </c>
      <c r="G1576" s="48" t="s">
        <v>32</v>
      </c>
      <c r="H1576" s="11">
        <v>8.3000000000000007</v>
      </c>
      <c r="I1576" s="52">
        <v>9</v>
      </c>
      <c r="J1576" s="7">
        <v>20</v>
      </c>
      <c r="K1576" s="10">
        <v>1.494</v>
      </c>
      <c r="L1576" s="32"/>
      <c r="M1576" s="32">
        <v>20</v>
      </c>
      <c r="N1576" s="18">
        <v>1.4940000000000002</v>
      </c>
      <c r="O1576" s="19">
        <v>0</v>
      </c>
      <c r="P1576" s="13">
        <v>0</v>
      </c>
      <c r="Q1576" s="32"/>
      <c r="R1576" s="32"/>
      <c r="S1576" s="32"/>
    </row>
    <row r="1577" spans="1:19">
      <c r="A1577" s="47" t="s">
        <v>147</v>
      </c>
      <c r="B1577" s="48" t="s">
        <v>148</v>
      </c>
      <c r="C1577" s="32">
        <v>292</v>
      </c>
      <c r="D1577" s="32" t="s">
        <v>142</v>
      </c>
      <c r="E1577" s="20" t="s">
        <v>75</v>
      </c>
      <c r="F1577" s="48" t="s">
        <v>15</v>
      </c>
      <c r="G1577" s="48" t="s">
        <v>32</v>
      </c>
      <c r="H1577" s="11">
        <v>8.3000000000000007</v>
      </c>
      <c r="I1577" s="52">
        <v>11.1</v>
      </c>
      <c r="J1577" s="7">
        <v>17</v>
      </c>
      <c r="K1577" s="10">
        <v>1.5662100000000003</v>
      </c>
      <c r="L1577" s="32"/>
      <c r="M1577" s="32">
        <v>17</v>
      </c>
      <c r="N1577" s="18">
        <v>1.5662100000000001</v>
      </c>
      <c r="O1577" s="19">
        <v>0</v>
      </c>
      <c r="P1577" s="13">
        <v>0</v>
      </c>
      <c r="Q1577" s="32"/>
      <c r="R1577" s="32"/>
      <c r="S1577" s="32"/>
    </row>
    <row r="1578" spans="1:19">
      <c r="A1578" s="47" t="s">
        <v>147</v>
      </c>
      <c r="B1578" s="48" t="s">
        <v>148</v>
      </c>
      <c r="C1578" s="32">
        <v>292</v>
      </c>
      <c r="D1578" s="32" t="s">
        <v>142</v>
      </c>
      <c r="E1578" s="20" t="s">
        <v>75</v>
      </c>
      <c r="F1578" s="48" t="s">
        <v>15</v>
      </c>
      <c r="G1578" s="48" t="s">
        <v>32</v>
      </c>
      <c r="H1578" s="11">
        <v>8.3000000000000007</v>
      </c>
      <c r="I1578" s="52">
        <v>10.8</v>
      </c>
      <c r="J1578" s="7">
        <v>2</v>
      </c>
      <c r="K1578" s="10">
        <v>0.17928000000000002</v>
      </c>
      <c r="L1578" s="32"/>
      <c r="M1578" s="32"/>
      <c r="N1578" s="18">
        <v>0</v>
      </c>
      <c r="O1578" s="19">
        <v>2</v>
      </c>
      <c r="P1578" s="13">
        <v>0.17928000000000002</v>
      </c>
      <c r="Q1578" s="32"/>
      <c r="R1578" s="32"/>
      <c r="S1578" s="32"/>
    </row>
    <row r="1579" spans="1:19">
      <c r="A1579" s="47" t="s">
        <v>147</v>
      </c>
      <c r="B1579" s="48" t="s">
        <v>148</v>
      </c>
      <c r="C1579" s="32">
        <v>286</v>
      </c>
      <c r="D1579" s="32" t="s">
        <v>167</v>
      </c>
      <c r="E1579" s="20" t="s">
        <v>75</v>
      </c>
      <c r="F1579" s="48" t="s">
        <v>160</v>
      </c>
      <c r="G1579" s="48" t="s">
        <v>32</v>
      </c>
      <c r="H1579" s="11">
        <v>8.3000000000000007</v>
      </c>
      <c r="I1579" s="52">
        <v>11</v>
      </c>
      <c r="J1579" s="7">
        <v>3</v>
      </c>
      <c r="K1579" s="10">
        <v>0.27390000000000003</v>
      </c>
      <c r="L1579" s="32"/>
      <c r="M1579" s="32">
        <v>3</v>
      </c>
      <c r="N1579" s="18">
        <v>0.27390000000000003</v>
      </c>
      <c r="O1579" s="19">
        <v>0</v>
      </c>
      <c r="P1579" s="13">
        <v>0</v>
      </c>
      <c r="Q1579" s="32"/>
      <c r="R1579" s="32"/>
      <c r="S1579" s="32"/>
    </row>
    <row r="1580" spans="1:19">
      <c r="A1580" s="44" t="s">
        <v>78</v>
      </c>
      <c r="B1580" s="32" t="s">
        <v>80</v>
      </c>
      <c r="C1580" s="3">
        <v>1</v>
      </c>
      <c r="D1580" s="32"/>
      <c r="E1580" s="20" t="s">
        <v>75</v>
      </c>
      <c r="F1580" s="7" t="s">
        <v>15</v>
      </c>
      <c r="G1580" s="7" t="s">
        <v>32</v>
      </c>
      <c r="H1580" s="11">
        <v>8.3000000000000007</v>
      </c>
      <c r="I1580" s="33">
        <v>9</v>
      </c>
      <c r="J1580" s="40">
        <v>32</v>
      </c>
      <c r="K1580" s="10">
        <v>2.3904000000000001</v>
      </c>
      <c r="L1580" s="4"/>
      <c r="M1580" s="17">
        <v>32</v>
      </c>
      <c r="N1580" s="18">
        <v>2.3904000000000001</v>
      </c>
      <c r="O1580" s="19">
        <v>0</v>
      </c>
      <c r="P1580" s="13">
        <v>0</v>
      </c>
      <c r="Q1580" s="32"/>
      <c r="R1580" s="32"/>
      <c r="S1580" s="32"/>
    </row>
    <row r="1581" spans="1:19">
      <c r="A1581" s="44" t="s">
        <v>78</v>
      </c>
      <c r="B1581" s="32" t="s">
        <v>80</v>
      </c>
      <c r="C1581" s="3">
        <v>2</v>
      </c>
      <c r="D1581" s="32"/>
      <c r="E1581" s="20" t="s">
        <v>75</v>
      </c>
      <c r="F1581" s="7" t="s">
        <v>15</v>
      </c>
      <c r="G1581" s="7" t="s">
        <v>32</v>
      </c>
      <c r="H1581" s="11">
        <v>8.3000000000000007</v>
      </c>
      <c r="I1581" s="33">
        <v>10.8</v>
      </c>
      <c r="J1581" s="40">
        <v>4</v>
      </c>
      <c r="K1581" s="10">
        <v>0.35856000000000005</v>
      </c>
      <c r="L1581" s="4"/>
      <c r="M1581" s="17">
        <v>4</v>
      </c>
      <c r="N1581" s="18">
        <v>0.35856000000000005</v>
      </c>
      <c r="O1581" s="19">
        <v>0</v>
      </c>
      <c r="P1581" s="13">
        <v>0</v>
      </c>
      <c r="Q1581" s="32"/>
      <c r="R1581" s="32"/>
      <c r="S1581" s="32"/>
    </row>
    <row r="1582" spans="1:19">
      <c r="A1582" s="44" t="s">
        <v>78</v>
      </c>
      <c r="B1582" s="32" t="s">
        <v>80</v>
      </c>
      <c r="C1582" s="3">
        <v>2</v>
      </c>
      <c r="D1582" s="32"/>
      <c r="E1582" s="20" t="s">
        <v>75</v>
      </c>
      <c r="F1582" s="7" t="s">
        <v>15</v>
      </c>
      <c r="G1582" s="7" t="s">
        <v>32</v>
      </c>
      <c r="H1582" s="11">
        <v>8.3000000000000007</v>
      </c>
      <c r="I1582" s="33">
        <v>11.1</v>
      </c>
      <c r="J1582" s="40">
        <v>9</v>
      </c>
      <c r="K1582" s="10">
        <v>0.82917000000000007</v>
      </c>
      <c r="L1582" s="4"/>
      <c r="M1582" s="17">
        <v>7</v>
      </c>
      <c r="N1582" s="18">
        <v>0.64491000000000009</v>
      </c>
      <c r="O1582" s="19">
        <v>2</v>
      </c>
      <c r="P1582" s="13">
        <v>0.18426000000000001</v>
      </c>
      <c r="Q1582" s="32"/>
      <c r="R1582" s="32"/>
      <c r="S1582" s="32"/>
    </row>
    <row r="1583" spans="1:19">
      <c r="A1583" s="44" t="s">
        <v>78</v>
      </c>
      <c r="B1583" s="32" t="s">
        <v>80</v>
      </c>
      <c r="C1583" s="3">
        <v>3</v>
      </c>
      <c r="D1583" s="32"/>
      <c r="E1583" s="20" t="s">
        <v>75</v>
      </c>
      <c r="F1583" s="7" t="s">
        <v>15</v>
      </c>
      <c r="G1583" s="7" t="s">
        <v>32</v>
      </c>
      <c r="H1583" s="11">
        <v>8.3000000000000007</v>
      </c>
      <c r="I1583" s="33">
        <v>10</v>
      </c>
      <c r="J1583" s="40">
        <v>3</v>
      </c>
      <c r="K1583" s="10">
        <v>0.249</v>
      </c>
      <c r="L1583" s="4"/>
      <c r="M1583" s="17">
        <v>3</v>
      </c>
      <c r="N1583" s="18">
        <v>0.24900000000000003</v>
      </c>
      <c r="O1583" s="19">
        <v>0</v>
      </c>
      <c r="P1583" s="13">
        <v>0</v>
      </c>
      <c r="Q1583" s="32">
        <v>9</v>
      </c>
      <c r="R1583" s="32">
        <v>3</v>
      </c>
      <c r="S1583" s="32"/>
    </row>
    <row r="1584" spans="1:19">
      <c r="A1584" s="44" t="s">
        <v>78</v>
      </c>
      <c r="B1584" s="32" t="s">
        <v>80</v>
      </c>
      <c r="C1584" s="3">
        <v>3</v>
      </c>
      <c r="D1584" s="32"/>
      <c r="E1584" s="20" t="s">
        <v>75</v>
      </c>
      <c r="F1584" s="7" t="s">
        <v>15</v>
      </c>
      <c r="G1584" s="7" t="s">
        <v>32</v>
      </c>
      <c r="H1584" s="11">
        <v>8.3000000000000007</v>
      </c>
      <c r="I1584" s="33">
        <v>10.5</v>
      </c>
      <c r="J1584" s="40">
        <v>4</v>
      </c>
      <c r="K1584" s="10">
        <v>0.34860000000000002</v>
      </c>
      <c r="L1584" s="4"/>
      <c r="M1584" s="17"/>
      <c r="N1584" s="18">
        <v>0</v>
      </c>
      <c r="O1584" s="19">
        <v>4</v>
      </c>
      <c r="P1584" s="13">
        <v>0.34860000000000002</v>
      </c>
      <c r="Q1584" s="32"/>
      <c r="R1584" s="32"/>
      <c r="S1584" s="32"/>
    </row>
    <row r="1585" spans="1:19">
      <c r="A1585" s="44" t="s">
        <v>78</v>
      </c>
      <c r="B1585" s="32" t="s">
        <v>80</v>
      </c>
      <c r="C1585" s="3">
        <v>3</v>
      </c>
      <c r="D1585" s="32"/>
      <c r="E1585" s="20" t="s">
        <v>75</v>
      </c>
      <c r="F1585" s="7" t="s">
        <v>15</v>
      </c>
      <c r="G1585" s="7" t="s">
        <v>32</v>
      </c>
      <c r="H1585" s="11">
        <v>8.3000000000000007</v>
      </c>
      <c r="I1585" s="33">
        <v>10.8</v>
      </c>
      <c r="J1585" s="40">
        <v>1</v>
      </c>
      <c r="K1585" s="10">
        <v>8.9640000000000011E-2</v>
      </c>
      <c r="L1585" s="4"/>
      <c r="M1585" s="17"/>
      <c r="N1585" s="18">
        <v>0</v>
      </c>
      <c r="O1585" s="19">
        <v>1</v>
      </c>
      <c r="P1585" s="13">
        <v>8.9640000000000011E-2</v>
      </c>
      <c r="Q1585" s="32"/>
      <c r="R1585" s="32"/>
      <c r="S1585" s="32"/>
    </row>
    <row r="1586" spans="1:19">
      <c r="A1586" s="44" t="s">
        <v>78</v>
      </c>
      <c r="B1586" s="32" t="s">
        <v>80</v>
      </c>
      <c r="C1586" s="3">
        <v>4</v>
      </c>
      <c r="D1586" s="32"/>
      <c r="E1586" s="20" t="s">
        <v>75</v>
      </c>
      <c r="F1586" s="7" t="s">
        <v>15</v>
      </c>
      <c r="G1586" s="7" t="s">
        <v>32</v>
      </c>
      <c r="H1586" s="11">
        <v>8.3000000000000007</v>
      </c>
      <c r="I1586" s="33">
        <v>11.1</v>
      </c>
      <c r="J1586" s="40">
        <v>30</v>
      </c>
      <c r="K1586" s="10">
        <v>2.7639</v>
      </c>
      <c r="L1586" s="4"/>
      <c r="M1586" s="17">
        <v>30</v>
      </c>
      <c r="N1586" s="18">
        <v>2.7639</v>
      </c>
      <c r="O1586" s="19">
        <v>0</v>
      </c>
      <c r="P1586" s="13">
        <v>0</v>
      </c>
      <c r="Q1586" s="32"/>
      <c r="R1586" s="32"/>
      <c r="S1586" s="32"/>
    </row>
    <row r="1587" spans="1:19">
      <c r="A1587" s="44" t="s">
        <v>78</v>
      </c>
      <c r="B1587" s="32" t="s">
        <v>80</v>
      </c>
      <c r="C1587" s="3">
        <v>5</v>
      </c>
      <c r="D1587" s="32"/>
      <c r="E1587" s="20" t="s">
        <v>75</v>
      </c>
      <c r="F1587" s="7" t="s">
        <v>15</v>
      </c>
      <c r="G1587" s="7" t="s">
        <v>32</v>
      </c>
      <c r="H1587" s="11">
        <v>8.32</v>
      </c>
      <c r="I1587" s="33">
        <v>11</v>
      </c>
      <c r="J1587" s="40">
        <v>28</v>
      </c>
      <c r="K1587" s="10">
        <v>2.5625600000000004</v>
      </c>
      <c r="L1587" s="4"/>
      <c r="M1587" s="17">
        <v>28</v>
      </c>
      <c r="N1587" s="18">
        <v>2.5625599999999999</v>
      </c>
      <c r="O1587" s="19">
        <v>0</v>
      </c>
      <c r="P1587" s="13">
        <v>0</v>
      </c>
      <c r="Q1587" s="32" t="s">
        <v>271</v>
      </c>
      <c r="R1587" s="32"/>
      <c r="S1587" s="32"/>
    </row>
    <row r="1590" spans="1:19">
      <c r="A1590" s="42" t="s">
        <v>84</v>
      </c>
      <c r="B1590" s="3" t="s">
        <v>116</v>
      </c>
      <c r="C1590" s="3">
        <v>1</v>
      </c>
      <c r="D1590" s="1"/>
      <c r="E1590" s="20" t="s">
        <v>100</v>
      </c>
      <c r="F1590" s="7" t="s">
        <v>15</v>
      </c>
      <c r="G1590" s="7" t="s">
        <v>25</v>
      </c>
      <c r="H1590" s="11">
        <v>7.34</v>
      </c>
      <c r="I1590" s="8">
        <v>11.5</v>
      </c>
      <c r="J1590" s="26">
        <v>8</v>
      </c>
      <c r="K1590" s="10">
        <v>0.67527999999999999</v>
      </c>
      <c r="L1590" s="4"/>
      <c r="M1590" s="17">
        <v>8</v>
      </c>
      <c r="N1590" s="18">
        <v>0.67527999999999999</v>
      </c>
      <c r="O1590" s="19">
        <v>0</v>
      </c>
      <c r="P1590" s="13">
        <v>0</v>
      </c>
      <c r="Q1590" s="9"/>
      <c r="R1590" s="2"/>
      <c r="S1590" s="2"/>
    </row>
    <row r="1591" spans="1:19">
      <c r="A1591" s="42" t="s">
        <v>84</v>
      </c>
      <c r="B1591" s="3" t="s">
        <v>116</v>
      </c>
      <c r="C1591" s="3">
        <v>1</v>
      </c>
      <c r="D1591" s="1"/>
      <c r="E1591" s="20" t="s">
        <v>100</v>
      </c>
      <c r="F1591" s="7" t="s">
        <v>15</v>
      </c>
      <c r="G1591" s="7" t="s">
        <v>25</v>
      </c>
      <c r="H1591" s="11">
        <v>7.34</v>
      </c>
      <c r="I1591" s="8">
        <v>12</v>
      </c>
      <c r="J1591" s="26">
        <v>1</v>
      </c>
      <c r="K1591" s="10">
        <v>8.8079999999999992E-2</v>
      </c>
      <c r="L1591" s="4"/>
      <c r="M1591" s="17">
        <v>1</v>
      </c>
      <c r="N1591" s="18">
        <v>8.8079999999999992E-2</v>
      </c>
      <c r="O1591" s="19">
        <v>0</v>
      </c>
      <c r="P1591" s="13">
        <v>0</v>
      </c>
      <c r="Q1591" s="9"/>
      <c r="R1591" s="2"/>
      <c r="S1591" s="2"/>
    </row>
    <row r="1592" spans="1:19">
      <c r="A1592" s="42" t="s">
        <v>84</v>
      </c>
      <c r="B1592" s="3" t="s">
        <v>116</v>
      </c>
      <c r="C1592" s="3">
        <v>2</v>
      </c>
      <c r="D1592" s="1"/>
      <c r="E1592" s="20" t="s">
        <v>100</v>
      </c>
      <c r="F1592" s="7" t="s">
        <v>15</v>
      </c>
      <c r="G1592" s="7" t="s">
        <v>25</v>
      </c>
      <c r="H1592" s="11">
        <v>7.34</v>
      </c>
      <c r="I1592" s="8">
        <v>11</v>
      </c>
      <c r="J1592" s="26">
        <v>20</v>
      </c>
      <c r="K1592" s="10">
        <v>1.6148</v>
      </c>
      <c r="L1592" s="4"/>
      <c r="M1592" s="17">
        <v>20</v>
      </c>
      <c r="N1592" s="18">
        <v>1.6148</v>
      </c>
      <c r="O1592" s="19">
        <v>0</v>
      </c>
      <c r="P1592" s="13">
        <v>0</v>
      </c>
      <c r="Q1592" s="9"/>
      <c r="R1592" s="2"/>
      <c r="S1592" s="2"/>
    </row>
    <row r="1593" spans="1:19">
      <c r="A1593" s="42" t="s">
        <v>84</v>
      </c>
      <c r="B1593" s="3" t="s">
        <v>116</v>
      </c>
      <c r="C1593" s="3">
        <v>3</v>
      </c>
      <c r="D1593" s="1"/>
      <c r="E1593" s="20" t="s">
        <v>100</v>
      </c>
      <c r="F1593" s="7" t="s">
        <v>15</v>
      </c>
      <c r="G1593" s="7" t="s">
        <v>25</v>
      </c>
      <c r="H1593" s="11">
        <v>7.34</v>
      </c>
      <c r="I1593" s="8">
        <v>10</v>
      </c>
      <c r="J1593" s="26">
        <v>39</v>
      </c>
      <c r="K1593" s="10">
        <v>2.8626000000000005</v>
      </c>
      <c r="L1593" s="4"/>
      <c r="M1593" s="17">
        <v>39</v>
      </c>
      <c r="N1593" s="18">
        <v>2.8626</v>
      </c>
      <c r="O1593" s="19">
        <v>0</v>
      </c>
      <c r="P1593" s="13">
        <v>0</v>
      </c>
      <c r="Q1593" s="9"/>
      <c r="R1593" s="2"/>
      <c r="S1593" s="2"/>
    </row>
    <row r="1594" spans="1:19">
      <c r="A1594" s="42" t="s">
        <v>84</v>
      </c>
      <c r="B1594" s="3" t="s">
        <v>116</v>
      </c>
      <c r="C1594" s="3">
        <v>4</v>
      </c>
      <c r="D1594" s="1"/>
      <c r="E1594" s="20" t="s">
        <v>100</v>
      </c>
      <c r="F1594" s="7" t="s">
        <v>15</v>
      </c>
      <c r="G1594" s="7" t="s">
        <v>25</v>
      </c>
      <c r="H1594" s="11">
        <v>7.34</v>
      </c>
      <c r="I1594" s="8">
        <v>9.5</v>
      </c>
      <c r="J1594" s="26">
        <v>1</v>
      </c>
      <c r="K1594" s="10">
        <v>6.973E-2</v>
      </c>
      <c r="L1594" s="4"/>
      <c r="M1594" s="17"/>
      <c r="N1594" s="18">
        <v>0</v>
      </c>
      <c r="O1594" s="19">
        <v>1</v>
      </c>
      <c r="P1594" s="13">
        <v>6.973E-2</v>
      </c>
      <c r="Q1594" s="9"/>
      <c r="R1594" s="2"/>
      <c r="S1594" s="2"/>
    </row>
    <row r="1595" spans="1:19">
      <c r="A1595" s="42" t="s">
        <v>84</v>
      </c>
      <c r="B1595" s="3" t="s">
        <v>116</v>
      </c>
      <c r="C1595" s="3">
        <v>4</v>
      </c>
      <c r="D1595" s="1"/>
      <c r="E1595" s="20" t="s">
        <v>100</v>
      </c>
      <c r="F1595" s="7" t="s">
        <v>15</v>
      </c>
      <c r="G1595" s="7" t="s">
        <v>25</v>
      </c>
      <c r="H1595" s="11">
        <v>7.34</v>
      </c>
      <c r="I1595" s="8">
        <v>9.9</v>
      </c>
      <c r="J1595" s="26">
        <v>1</v>
      </c>
      <c r="K1595" s="10">
        <v>7.2665999999999994E-2</v>
      </c>
      <c r="L1595" s="4"/>
      <c r="M1595" s="17"/>
      <c r="N1595" s="18">
        <v>0</v>
      </c>
      <c r="O1595" s="19">
        <v>1</v>
      </c>
      <c r="P1595" s="13">
        <v>7.2665999999999994E-2</v>
      </c>
      <c r="Q1595" s="9"/>
      <c r="R1595" s="2"/>
      <c r="S1595" s="2"/>
    </row>
    <row r="1596" spans="1:19">
      <c r="A1596" s="42" t="s">
        <v>84</v>
      </c>
      <c r="B1596" s="3" t="s">
        <v>116</v>
      </c>
      <c r="C1596" s="3">
        <v>4</v>
      </c>
      <c r="D1596" s="1"/>
      <c r="E1596" s="20" t="s">
        <v>100</v>
      </c>
      <c r="F1596" s="7" t="s">
        <v>15</v>
      </c>
      <c r="G1596" s="7" t="s">
        <v>25</v>
      </c>
      <c r="H1596" s="11">
        <v>7.34</v>
      </c>
      <c r="I1596" s="8">
        <v>10</v>
      </c>
      <c r="J1596" s="26">
        <v>13</v>
      </c>
      <c r="K1596" s="10">
        <v>0.95420000000000005</v>
      </c>
      <c r="L1596" s="4"/>
      <c r="M1596" s="17">
        <v>13</v>
      </c>
      <c r="N1596" s="18">
        <v>0.95419999999999994</v>
      </c>
      <c r="O1596" s="19">
        <v>0</v>
      </c>
      <c r="P1596" s="13">
        <v>0</v>
      </c>
      <c r="Q1596" s="9"/>
      <c r="R1596" s="2"/>
      <c r="S1596" s="2"/>
    </row>
    <row r="1597" spans="1:19">
      <c r="A1597" s="42" t="s">
        <v>84</v>
      </c>
      <c r="B1597" s="3" t="s">
        <v>116</v>
      </c>
      <c r="C1597" s="3">
        <v>6</v>
      </c>
      <c r="D1597" s="1"/>
      <c r="E1597" s="20" t="s">
        <v>100</v>
      </c>
      <c r="F1597" s="7" t="s">
        <v>15</v>
      </c>
      <c r="G1597" s="7" t="s">
        <v>25</v>
      </c>
      <c r="H1597" s="11">
        <v>7.34</v>
      </c>
      <c r="I1597" s="8">
        <v>10.5</v>
      </c>
      <c r="J1597" s="26">
        <v>23</v>
      </c>
      <c r="K1597" s="10">
        <v>1.7726099999999998</v>
      </c>
      <c r="L1597" s="4"/>
      <c r="M1597" s="17">
        <v>23</v>
      </c>
      <c r="N1597" s="18">
        <v>1.7726099999999998</v>
      </c>
      <c r="O1597" s="19">
        <v>0</v>
      </c>
      <c r="P1597" s="13">
        <v>0</v>
      </c>
      <c r="Q1597" s="9"/>
      <c r="R1597" s="2"/>
      <c r="S1597" s="2"/>
    </row>
    <row r="1598" spans="1:19">
      <c r="A1598" s="42" t="s">
        <v>84</v>
      </c>
      <c r="B1598" s="3" t="s">
        <v>124</v>
      </c>
      <c r="C1598" s="3">
        <v>1</v>
      </c>
      <c r="D1598" s="1"/>
      <c r="E1598" s="20" t="s">
        <v>75</v>
      </c>
      <c r="F1598" s="7" t="s">
        <v>15</v>
      </c>
      <c r="G1598" s="7" t="s">
        <v>25</v>
      </c>
      <c r="H1598" s="11">
        <v>7.34</v>
      </c>
      <c r="I1598" s="8">
        <v>11.2</v>
      </c>
      <c r="J1598" s="26">
        <v>1</v>
      </c>
      <c r="K1598" s="10">
        <v>8.2208000000000003E-2</v>
      </c>
      <c r="L1598" s="4"/>
      <c r="M1598" s="17"/>
      <c r="N1598" s="18">
        <v>0</v>
      </c>
      <c r="O1598" s="19">
        <v>1</v>
      </c>
      <c r="P1598" s="13">
        <v>8.2208000000000003E-2</v>
      </c>
      <c r="Q1598" s="9"/>
      <c r="R1598" s="2"/>
      <c r="S1598" s="2"/>
    </row>
    <row r="1599" spans="1:19">
      <c r="A1599" s="42" t="s">
        <v>84</v>
      </c>
      <c r="B1599" s="3" t="s">
        <v>124</v>
      </c>
      <c r="C1599" s="3">
        <v>1</v>
      </c>
      <c r="D1599" s="1"/>
      <c r="E1599" s="20" t="s">
        <v>75</v>
      </c>
      <c r="F1599" s="7" t="s">
        <v>15</v>
      </c>
      <c r="G1599" s="7" t="s">
        <v>25</v>
      </c>
      <c r="H1599" s="11">
        <v>7.34</v>
      </c>
      <c r="I1599" s="8">
        <v>9.5</v>
      </c>
      <c r="J1599" s="26">
        <v>3</v>
      </c>
      <c r="K1599" s="10">
        <v>0.20918999999999999</v>
      </c>
      <c r="L1599" s="4"/>
      <c r="M1599" s="17"/>
      <c r="N1599" s="18">
        <v>0</v>
      </c>
      <c r="O1599" s="19">
        <v>3</v>
      </c>
      <c r="P1599" s="13">
        <v>0.20918999999999999</v>
      </c>
      <c r="Q1599" s="9"/>
      <c r="R1599" s="2"/>
      <c r="S1599" s="2"/>
    </row>
    <row r="1600" spans="1:19">
      <c r="A1600" s="42" t="s">
        <v>84</v>
      </c>
      <c r="B1600" s="3" t="s">
        <v>124</v>
      </c>
      <c r="C1600" s="3">
        <v>2</v>
      </c>
      <c r="D1600" s="1"/>
      <c r="E1600" s="20" t="s">
        <v>75</v>
      </c>
      <c r="F1600" s="7" t="s">
        <v>15</v>
      </c>
      <c r="G1600" s="7" t="s">
        <v>25</v>
      </c>
      <c r="H1600" s="11">
        <v>7.34</v>
      </c>
      <c r="I1600" s="8">
        <v>11.7</v>
      </c>
      <c r="J1600" s="26">
        <v>11</v>
      </c>
      <c r="K1600" s="10">
        <v>0.944658</v>
      </c>
      <c r="L1600" s="4"/>
      <c r="M1600" s="17">
        <v>11</v>
      </c>
      <c r="N1600" s="18">
        <v>0.94465799999999989</v>
      </c>
      <c r="O1600" s="19">
        <v>0</v>
      </c>
      <c r="P1600" s="13">
        <v>0</v>
      </c>
      <c r="Q1600" s="9"/>
      <c r="R1600" s="2"/>
      <c r="S1600" s="2"/>
    </row>
    <row r="1601" spans="1:19">
      <c r="A1601" s="42" t="s">
        <v>84</v>
      </c>
      <c r="B1601" s="3" t="s">
        <v>124</v>
      </c>
      <c r="C1601" s="3">
        <v>2</v>
      </c>
      <c r="D1601" s="1"/>
      <c r="E1601" s="20" t="s">
        <v>75</v>
      </c>
      <c r="F1601" s="7" t="s">
        <v>15</v>
      </c>
      <c r="G1601" s="7" t="s">
        <v>25</v>
      </c>
      <c r="H1601" s="11">
        <v>7.34</v>
      </c>
      <c r="I1601" s="8">
        <v>11.8</v>
      </c>
      <c r="J1601" s="26">
        <v>9</v>
      </c>
      <c r="K1601" s="10">
        <v>0.77950800000000009</v>
      </c>
      <c r="L1601" s="4"/>
      <c r="M1601" s="17"/>
      <c r="N1601" s="18">
        <v>0</v>
      </c>
      <c r="O1601" s="19">
        <v>9</v>
      </c>
      <c r="P1601" s="13">
        <v>0.77950800000000009</v>
      </c>
      <c r="Q1601" s="9"/>
      <c r="R1601" s="2"/>
      <c r="S1601" s="2"/>
    </row>
    <row r="1602" spans="1:19">
      <c r="A1602" s="42" t="s">
        <v>84</v>
      </c>
      <c r="B1602" s="3" t="s">
        <v>124</v>
      </c>
      <c r="C1602" s="3">
        <v>2</v>
      </c>
      <c r="D1602" s="1"/>
      <c r="E1602" s="20" t="s">
        <v>75</v>
      </c>
      <c r="F1602" s="7" t="s">
        <v>15</v>
      </c>
      <c r="G1602" s="7" t="s">
        <v>25</v>
      </c>
      <c r="H1602" s="11">
        <v>7.34</v>
      </c>
      <c r="I1602" s="8">
        <v>11</v>
      </c>
      <c r="J1602" s="26">
        <v>5</v>
      </c>
      <c r="K1602" s="10">
        <v>0.4037</v>
      </c>
      <c r="L1602" s="4"/>
      <c r="M1602" s="17">
        <v>5</v>
      </c>
      <c r="N1602" s="18">
        <v>0.4037</v>
      </c>
      <c r="O1602" s="19">
        <v>0</v>
      </c>
      <c r="P1602" s="13">
        <v>0</v>
      </c>
      <c r="Q1602" s="9"/>
      <c r="R1602" s="2"/>
      <c r="S1602" s="2"/>
    </row>
    <row r="1603" spans="1:19">
      <c r="A1603" s="42" t="s">
        <v>84</v>
      </c>
      <c r="B1603" s="3" t="s">
        <v>124</v>
      </c>
      <c r="C1603" s="3">
        <v>2</v>
      </c>
      <c r="D1603" s="1"/>
      <c r="E1603" s="20" t="s">
        <v>75</v>
      </c>
      <c r="F1603" s="7" t="s">
        <v>15</v>
      </c>
      <c r="G1603" s="7" t="s">
        <v>25</v>
      </c>
      <c r="H1603" s="11">
        <v>7.34</v>
      </c>
      <c r="I1603" s="8">
        <v>11.3</v>
      </c>
      <c r="J1603" s="26">
        <v>5</v>
      </c>
      <c r="K1603" s="10">
        <v>0.41471000000000002</v>
      </c>
      <c r="L1603" s="4"/>
      <c r="M1603" s="17">
        <v>5</v>
      </c>
      <c r="N1603" s="18">
        <v>0.41470999999999997</v>
      </c>
      <c r="O1603" s="19">
        <v>0</v>
      </c>
      <c r="P1603" s="13">
        <v>0</v>
      </c>
      <c r="Q1603" s="9"/>
      <c r="R1603" s="2"/>
      <c r="S1603" s="2"/>
    </row>
    <row r="1604" spans="1:19">
      <c r="A1604" s="42" t="s">
        <v>84</v>
      </c>
      <c r="B1604" s="3" t="s">
        <v>124</v>
      </c>
      <c r="C1604" s="3">
        <v>3</v>
      </c>
      <c r="D1604" s="1"/>
      <c r="E1604" s="20" t="s">
        <v>75</v>
      </c>
      <c r="F1604" s="7" t="s">
        <v>15</v>
      </c>
      <c r="G1604" s="7" t="s">
        <v>25</v>
      </c>
      <c r="H1604" s="11">
        <v>7.34</v>
      </c>
      <c r="I1604" s="8">
        <v>12</v>
      </c>
      <c r="J1604" s="26">
        <v>35</v>
      </c>
      <c r="K1604" s="10">
        <v>3.0827999999999998</v>
      </c>
      <c r="L1604" s="4"/>
      <c r="M1604" s="17">
        <v>35</v>
      </c>
      <c r="N1604" s="18">
        <v>3.0827999999999998</v>
      </c>
      <c r="O1604" s="19">
        <v>0</v>
      </c>
      <c r="P1604" s="13">
        <v>0</v>
      </c>
      <c r="Q1604" s="9"/>
      <c r="R1604" s="2"/>
      <c r="S1604" s="2"/>
    </row>
    <row r="1605" spans="1:19">
      <c r="A1605" s="42" t="s">
        <v>84</v>
      </c>
      <c r="B1605" s="3" t="s">
        <v>124</v>
      </c>
      <c r="C1605" s="3">
        <v>4</v>
      </c>
      <c r="D1605" s="1"/>
      <c r="E1605" s="20" t="s">
        <v>75</v>
      </c>
      <c r="F1605" s="7" t="s">
        <v>15</v>
      </c>
      <c r="G1605" s="7" t="s">
        <v>25</v>
      </c>
      <c r="H1605" s="11">
        <v>7.34</v>
      </c>
      <c r="I1605" s="8">
        <v>10</v>
      </c>
      <c r="J1605" s="26">
        <v>38</v>
      </c>
      <c r="K1605" s="10">
        <v>2.7892000000000001</v>
      </c>
      <c r="L1605" s="4"/>
      <c r="M1605" s="17">
        <v>38</v>
      </c>
      <c r="N1605" s="18">
        <v>2.7891999999999997</v>
      </c>
      <c r="O1605" s="19">
        <v>0</v>
      </c>
      <c r="P1605" s="13">
        <v>0</v>
      </c>
      <c r="Q1605" s="9"/>
      <c r="R1605" s="2"/>
      <c r="S1605" s="2"/>
    </row>
    <row r="1606" spans="1:19">
      <c r="A1606" s="42" t="s">
        <v>84</v>
      </c>
      <c r="B1606" s="3" t="s">
        <v>124</v>
      </c>
      <c r="C1606" s="3">
        <v>5</v>
      </c>
      <c r="D1606" s="1"/>
      <c r="E1606" s="20" t="s">
        <v>75</v>
      </c>
      <c r="F1606" s="7" t="s">
        <v>15</v>
      </c>
      <c r="G1606" s="7" t="s">
        <v>25</v>
      </c>
      <c r="H1606" s="11">
        <v>7.34</v>
      </c>
      <c r="I1606" s="8">
        <v>10.5</v>
      </c>
      <c r="J1606" s="26">
        <v>12</v>
      </c>
      <c r="K1606" s="10">
        <v>0.92483999999999988</v>
      </c>
      <c r="L1606" s="4"/>
      <c r="M1606" s="17">
        <v>12</v>
      </c>
      <c r="N1606" s="18">
        <v>0.92484</v>
      </c>
      <c r="O1606" s="19">
        <v>0</v>
      </c>
      <c r="P1606" s="13">
        <v>0</v>
      </c>
      <c r="Q1606" s="9"/>
      <c r="R1606" s="2"/>
      <c r="S1606" s="2"/>
    </row>
    <row r="1607" spans="1:19">
      <c r="A1607" s="42" t="s">
        <v>84</v>
      </c>
      <c r="B1607" s="3" t="s">
        <v>124</v>
      </c>
      <c r="C1607" s="3">
        <v>6</v>
      </c>
      <c r="D1607" s="1"/>
      <c r="E1607" s="20" t="s">
        <v>75</v>
      </c>
      <c r="F1607" s="7" t="s">
        <v>15</v>
      </c>
      <c r="G1607" s="7" t="s">
        <v>25</v>
      </c>
      <c r="H1607" s="11">
        <v>7.34</v>
      </c>
      <c r="I1607" s="8">
        <v>12</v>
      </c>
      <c r="J1607" s="26">
        <v>34</v>
      </c>
      <c r="K1607" s="10">
        <v>2.9947199999999996</v>
      </c>
      <c r="L1607" s="4"/>
      <c r="M1607" s="17">
        <v>34</v>
      </c>
      <c r="N1607" s="18">
        <v>2.9947199999999996</v>
      </c>
      <c r="O1607" s="19">
        <v>0</v>
      </c>
      <c r="P1607" s="13">
        <v>0</v>
      </c>
      <c r="Q1607" s="9"/>
      <c r="R1607" s="2"/>
      <c r="S1607" s="2"/>
    </row>
    <row r="1608" spans="1:19">
      <c r="A1608" s="42" t="s">
        <v>84</v>
      </c>
      <c r="B1608" s="3" t="s">
        <v>124</v>
      </c>
      <c r="C1608" s="3">
        <v>7</v>
      </c>
      <c r="D1608" s="1"/>
      <c r="E1608" s="20" t="s">
        <v>75</v>
      </c>
      <c r="F1608" s="7" t="s">
        <v>15</v>
      </c>
      <c r="G1608" s="7" t="s">
        <v>25</v>
      </c>
      <c r="H1608" s="11">
        <v>7.34</v>
      </c>
      <c r="I1608" s="8">
        <v>11.5</v>
      </c>
      <c r="J1608" s="26">
        <v>39</v>
      </c>
      <c r="K1608" s="10">
        <v>3.2919899999999997</v>
      </c>
      <c r="L1608" s="4"/>
      <c r="M1608" s="17">
        <v>39</v>
      </c>
      <c r="N1608" s="18">
        <v>3.2919899999999997</v>
      </c>
      <c r="O1608" s="19">
        <v>0</v>
      </c>
      <c r="P1608" s="13">
        <v>0</v>
      </c>
      <c r="Q1608" s="9"/>
      <c r="R1608" s="2"/>
      <c r="S1608" s="2"/>
    </row>
    <row r="1609" spans="1:19">
      <c r="A1609" s="42" t="s">
        <v>84</v>
      </c>
      <c r="B1609" s="3" t="s">
        <v>124</v>
      </c>
      <c r="C1609" s="3">
        <v>8</v>
      </c>
      <c r="D1609" s="1"/>
      <c r="E1609" s="20" t="s">
        <v>75</v>
      </c>
      <c r="F1609" s="7" t="s">
        <v>15</v>
      </c>
      <c r="G1609" s="7" t="s">
        <v>25</v>
      </c>
      <c r="H1609" s="11">
        <v>7.34</v>
      </c>
      <c r="I1609" s="8">
        <v>10</v>
      </c>
      <c r="J1609" s="26">
        <v>40</v>
      </c>
      <c r="K1609" s="10">
        <v>2.9359999999999999</v>
      </c>
      <c r="L1609" s="4"/>
      <c r="M1609" s="17">
        <v>40</v>
      </c>
      <c r="N1609" s="18">
        <v>2.9359999999999999</v>
      </c>
      <c r="O1609" s="19">
        <v>0</v>
      </c>
      <c r="P1609" s="13">
        <v>0</v>
      </c>
      <c r="Q1609" s="9"/>
      <c r="R1609" s="2"/>
      <c r="S1609" s="2"/>
    </row>
    <row r="1610" spans="1:19">
      <c r="A1610" s="42" t="s">
        <v>84</v>
      </c>
      <c r="B1610" s="3" t="s">
        <v>124</v>
      </c>
      <c r="C1610" s="3">
        <v>9</v>
      </c>
      <c r="D1610" s="1"/>
      <c r="E1610" s="20" t="s">
        <v>75</v>
      </c>
      <c r="F1610" s="7" t="s">
        <v>15</v>
      </c>
      <c r="G1610" s="7" t="s">
        <v>25</v>
      </c>
      <c r="H1610" s="11">
        <v>7.34</v>
      </c>
      <c r="I1610" s="8">
        <v>10.5</v>
      </c>
      <c r="J1610" s="26">
        <v>39</v>
      </c>
      <c r="K1610" s="10">
        <v>3.0057299999999993</v>
      </c>
      <c r="L1610" s="4"/>
      <c r="M1610" s="17">
        <v>39</v>
      </c>
      <c r="N1610" s="18">
        <v>3.0057300000000002</v>
      </c>
      <c r="O1610" s="19">
        <v>0</v>
      </c>
      <c r="P1610" s="13">
        <v>0</v>
      </c>
      <c r="Q1610" s="9"/>
      <c r="R1610" s="2"/>
      <c r="S1610" s="2"/>
    </row>
    <row r="1611" spans="1:19">
      <c r="A1611" s="42" t="s">
        <v>84</v>
      </c>
      <c r="B1611" s="3" t="s">
        <v>124</v>
      </c>
      <c r="C1611" s="3">
        <v>10</v>
      </c>
      <c r="D1611" s="1"/>
      <c r="E1611" s="20" t="s">
        <v>75</v>
      </c>
      <c r="F1611" s="7" t="s">
        <v>15</v>
      </c>
      <c r="G1611" s="7" t="s">
        <v>25</v>
      </c>
      <c r="H1611" s="11">
        <v>7.34</v>
      </c>
      <c r="I1611" s="8">
        <v>10.5</v>
      </c>
      <c r="J1611" s="26">
        <v>39</v>
      </c>
      <c r="K1611" s="10">
        <v>3.0057299999999993</v>
      </c>
      <c r="L1611" s="4"/>
      <c r="M1611" s="17">
        <v>39</v>
      </c>
      <c r="N1611" s="18">
        <v>3.0057300000000002</v>
      </c>
      <c r="O1611" s="19">
        <v>0</v>
      </c>
      <c r="P1611" s="13">
        <v>0</v>
      </c>
      <c r="Q1611" s="9"/>
      <c r="R1611" s="2"/>
      <c r="S1611" s="2"/>
    </row>
    <row r="1612" spans="1:19">
      <c r="A1612" s="42" t="s">
        <v>84</v>
      </c>
      <c r="B1612" s="3" t="s">
        <v>124</v>
      </c>
      <c r="C1612" s="3">
        <v>11</v>
      </c>
      <c r="D1612" s="1"/>
      <c r="E1612" s="20" t="s">
        <v>75</v>
      </c>
      <c r="F1612" s="7" t="s">
        <v>15</v>
      </c>
      <c r="G1612" s="7" t="s">
        <v>25</v>
      </c>
      <c r="H1612" s="11">
        <v>7.34</v>
      </c>
      <c r="I1612" s="8">
        <v>11</v>
      </c>
      <c r="J1612" s="26">
        <v>39</v>
      </c>
      <c r="K1612" s="10">
        <v>3.1488599999999995</v>
      </c>
      <c r="L1612" s="4"/>
      <c r="M1612" s="17">
        <v>39</v>
      </c>
      <c r="N1612" s="18">
        <v>3.14886</v>
      </c>
      <c r="O1612" s="19">
        <v>0</v>
      </c>
      <c r="P1612" s="13">
        <v>0</v>
      </c>
      <c r="Q1612" s="9"/>
      <c r="R1612" s="2"/>
      <c r="S1612" s="2"/>
    </row>
    <row r="1613" spans="1:19">
      <c r="A1613" s="42" t="s">
        <v>84</v>
      </c>
      <c r="B1613" s="3" t="s">
        <v>124</v>
      </c>
      <c r="C1613" s="3">
        <v>12</v>
      </c>
      <c r="D1613" s="1"/>
      <c r="E1613" s="20" t="s">
        <v>75</v>
      </c>
      <c r="F1613" s="7" t="s">
        <v>15</v>
      </c>
      <c r="G1613" s="7" t="s">
        <v>25</v>
      </c>
      <c r="H1613" s="11">
        <v>7.34</v>
      </c>
      <c r="I1613" s="8">
        <v>12</v>
      </c>
      <c r="J1613" s="26">
        <v>36</v>
      </c>
      <c r="K1613" s="10">
        <v>3.1708799999999999</v>
      </c>
      <c r="L1613" s="4"/>
      <c r="M1613" s="17">
        <v>36</v>
      </c>
      <c r="N1613" s="18">
        <v>3.1708799999999999</v>
      </c>
      <c r="O1613" s="19">
        <v>0</v>
      </c>
      <c r="P1613" s="13">
        <v>0</v>
      </c>
      <c r="Q1613" s="9"/>
      <c r="R1613" s="2"/>
      <c r="S1613" s="2"/>
    </row>
    <row r="1614" spans="1:19">
      <c r="A1614" s="42" t="s">
        <v>84</v>
      </c>
      <c r="B1614" s="3" t="s">
        <v>124</v>
      </c>
      <c r="C1614" s="3">
        <v>13</v>
      </c>
      <c r="D1614" s="1"/>
      <c r="E1614" s="20" t="s">
        <v>75</v>
      </c>
      <c r="F1614" s="7" t="s">
        <v>15</v>
      </c>
      <c r="G1614" s="7" t="s">
        <v>25</v>
      </c>
      <c r="H1614" s="11">
        <v>7.34</v>
      </c>
      <c r="I1614" s="8">
        <v>10.5</v>
      </c>
      <c r="J1614" s="26">
        <v>39</v>
      </c>
      <c r="K1614" s="10">
        <v>3.0057299999999993</v>
      </c>
      <c r="L1614" s="4"/>
      <c r="M1614" s="17">
        <v>39</v>
      </c>
      <c r="N1614" s="18">
        <v>3.0057300000000002</v>
      </c>
      <c r="O1614" s="19">
        <v>0</v>
      </c>
      <c r="P1614" s="13">
        <v>0</v>
      </c>
      <c r="Q1614" s="9"/>
      <c r="R1614" s="2"/>
      <c r="S1614" s="2"/>
    </row>
    <row r="1615" spans="1:19">
      <c r="A1615" s="42" t="s">
        <v>84</v>
      </c>
      <c r="B1615" s="3" t="s">
        <v>124</v>
      </c>
      <c r="C1615" s="3">
        <v>14</v>
      </c>
      <c r="D1615" s="1"/>
      <c r="E1615" s="20" t="s">
        <v>75</v>
      </c>
      <c r="F1615" s="7" t="s">
        <v>15</v>
      </c>
      <c r="G1615" s="7" t="s">
        <v>25</v>
      </c>
      <c r="H1615" s="11">
        <v>7.34</v>
      </c>
      <c r="I1615" s="8">
        <v>10.5</v>
      </c>
      <c r="J1615" s="26">
        <v>39</v>
      </c>
      <c r="K1615" s="10">
        <v>3.0057299999999993</v>
      </c>
      <c r="L1615" s="4"/>
      <c r="M1615" s="17">
        <v>39</v>
      </c>
      <c r="N1615" s="18">
        <v>3.0057300000000002</v>
      </c>
      <c r="O1615" s="19">
        <v>0</v>
      </c>
      <c r="P1615" s="13">
        <v>0</v>
      </c>
      <c r="Q1615" s="9"/>
      <c r="R1615" s="2"/>
      <c r="S1615" s="2"/>
    </row>
    <row r="1616" spans="1:19">
      <c r="A1616" s="42" t="s">
        <v>84</v>
      </c>
      <c r="B1616" s="3" t="s">
        <v>124</v>
      </c>
      <c r="C1616" s="3">
        <v>15</v>
      </c>
      <c r="D1616" s="1"/>
      <c r="E1616" s="20" t="s">
        <v>75</v>
      </c>
      <c r="F1616" s="7" t="s">
        <v>15</v>
      </c>
      <c r="G1616" s="7" t="s">
        <v>25</v>
      </c>
      <c r="H1616" s="11">
        <v>7.34</v>
      </c>
      <c r="I1616" s="8">
        <v>12</v>
      </c>
      <c r="J1616" s="26">
        <v>36</v>
      </c>
      <c r="K1616" s="10">
        <v>3.1708799999999999</v>
      </c>
      <c r="L1616" s="4"/>
      <c r="M1616" s="17">
        <v>36</v>
      </c>
      <c r="N1616" s="18">
        <v>3.1708799999999999</v>
      </c>
      <c r="O1616" s="19">
        <v>0</v>
      </c>
      <c r="P1616" s="13">
        <v>0</v>
      </c>
      <c r="Q1616" s="9"/>
      <c r="R1616" s="2"/>
      <c r="S1616" s="2"/>
    </row>
    <row r="1617" spans="1:19">
      <c r="A1617" s="42" t="s">
        <v>84</v>
      </c>
      <c r="B1617" s="3" t="s">
        <v>124</v>
      </c>
      <c r="C1617" s="3">
        <v>16</v>
      </c>
      <c r="D1617" s="1"/>
      <c r="E1617" s="20" t="s">
        <v>75</v>
      </c>
      <c r="F1617" s="7" t="s">
        <v>15</v>
      </c>
      <c r="G1617" s="7" t="s">
        <v>25</v>
      </c>
      <c r="H1617" s="11">
        <v>7.34</v>
      </c>
      <c r="I1617" s="8">
        <v>10.5</v>
      </c>
      <c r="J1617" s="26">
        <v>38</v>
      </c>
      <c r="K1617" s="10">
        <v>2.9286599999999998</v>
      </c>
      <c r="L1617" s="4"/>
      <c r="M1617" s="17">
        <v>38</v>
      </c>
      <c r="N1617" s="18">
        <v>2.9286599999999998</v>
      </c>
      <c r="O1617" s="19">
        <v>0</v>
      </c>
      <c r="P1617" s="13">
        <v>0</v>
      </c>
      <c r="Q1617" s="9"/>
      <c r="R1617" s="2"/>
      <c r="S1617" s="2"/>
    </row>
    <row r="1618" spans="1:19">
      <c r="A1618" s="42" t="s">
        <v>84</v>
      </c>
      <c r="B1618" s="3" t="s">
        <v>124</v>
      </c>
      <c r="C1618" s="3">
        <v>17</v>
      </c>
      <c r="D1618" s="1"/>
      <c r="E1618" s="20" t="s">
        <v>75</v>
      </c>
      <c r="F1618" s="7" t="s">
        <v>15</v>
      </c>
      <c r="G1618" s="7" t="s">
        <v>25</v>
      </c>
      <c r="H1618" s="11">
        <v>7.34</v>
      </c>
      <c r="I1618" s="8">
        <v>11</v>
      </c>
      <c r="J1618" s="26">
        <v>39</v>
      </c>
      <c r="K1618" s="10">
        <v>3.1488599999999995</v>
      </c>
      <c r="L1618" s="4"/>
      <c r="M1618" s="17">
        <v>39</v>
      </c>
      <c r="N1618" s="18">
        <v>3.14886</v>
      </c>
      <c r="O1618" s="19">
        <v>0</v>
      </c>
      <c r="P1618" s="13">
        <v>0</v>
      </c>
      <c r="Q1618" s="9"/>
      <c r="R1618" s="2"/>
      <c r="S1618" s="2"/>
    </row>
    <row r="1619" spans="1:19">
      <c r="A1619" s="42" t="s">
        <v>84</v>
      </c>
      <c r="B1619" s="3" t="s">
        <v>124</v>
      </c>
      <c r="C1619" s="3">
        <v>18</v>
      </c>
      <c r="D1619" s="1"/>
      <c r="E1619" s="20" t="s">
        <v>75</v>
      </c>
      <c r="F1619" s="7" t="s">
        <v>15</v>
      </c>
      <c r="G1619" s="7" t="s">
        <v>25</v>
      </c>
      <c r="H1619" s="11">
        <v>7.34</v>
      </c>
      <c r="I1619" s="8">
        <v>10.5</v>
      </c>
      <c r="J1619" s="26">
        <v>39</v>
      </c>
      <c r="K1619" s="10">
        <v>3.0057299999999993</v>
      </c>
      <c r="L1619" s="4"/>
      <c r="M1619" s="17">
        <v>39</v>
      </c>
      <c r="N1619" s="18">
        <v>3.0057300000000002</v>
      </c>
      <c r="O1619" s="19">
        <v>0</v>
      </c>
      <c r="P1619" s="13">
        <v>0</v>
      </c>
      <c r="Q1619" s="9"/>
      <c r="R1619" s="2"/>
      <c r="S1619" s="2"/>
    </row>
    <row r="1620" spans="1:19">
      <c r="A1620" s="42" t="s">
        <v>84</v>
      </c>
      <c r="B1620" s="3" t="s">
        <v>124</v>
      </c>
      <c r="C1620" s="3">
        <v>19</v>
      </c>
      <c r="D1620" s="1"/>
      <c r="E1620" s="20" t="s">
        <v>75</v>
      </c>
      <c r="F1620" s="7" t="s">
        <v>15</v>
      </c>
      <c r="G1620" s="7" t="s">
        <v>25</v>
      </c>
      <c r="H1620" s="11">
        <v>7.34</v>
      </c>
      <c r="I1620" s="8">
        <v>10.5</v>
      </c>
      <c r="J1620" s="26">
        <v>39</v>
      </c>
      <c r="K1620" s="10">
        <v>3.0057299999999993</v>
      </c>
      <c r="L1620" s="4"/>
      <c r="M1620" s="17">
        <v>39</v>
      </c>
      <c r="N1620" s="18">
        <v>3.0057300000000002</v>
      </c>
      <c r="O1620" s="19">
        <v>0</v>
      </c>
      <c r="P1620" s="13">
        <v>0</v>
      </c>
      <c r="Q1620" s="9"/>
      <c r="R1620" s="2"/>
      <c r="S1620" s="2"/>
    </row>
    <row r="1621" spans="1:19">
      <c r="A1621" s="42" t="s">
        <v>84</v>
      </c>
      <c r="B1621" s="3" t="s">
        <v>124</v>
      </c>
      <c r="C1621" s="3">
        <v>20</v>
      </c>
      <c r="D1621" s="1"/>
      <c r="E1621" s="20" t="s">
        <v>75</v>
      </c>
      <c r="F1621" s="7" t="s">
        <v>15</v>
      </c>
      <c r="G1621" s="7" t="s">
        <v>25</v>
      </c>
      <c r="H1621" s="11">
        <v>7.34</v>
      </c>
      <c r="I1621" s="8">
        <v>10.5</v>
      </c>
      <c r="J1621" s="26">
        <v>36</v>
      </c>
      <c r="K1621" s="10">
        <v>2.7745199999999994</v>
      </c>
      <c r="L1621" s="4"/>
      <c r="M1621" s="17">
        <v>36</v>
      </c>
      <c r="N1621" s="18">
        <v>2.7745199999999999</v>
      </c>
      <c r="O1621" s="19">
        <v>0</v>
      </c>
      <c r="P1621" s="13">
        <v>0</v>
      </c>
      <c r="Q1621" s="9"/>
      <c r="R1621" s="2"/>
      <c r="S1621" s="2"/>
    </row>
    <row r="1622" spans="1:19">
      <c r="A1622" s="42" t="s">
        <v>84</v>
      </c>
      <c r="B1622" s="3" t="s">
        <v>124</v>
      </c>
      <c r="C1622" s="3">
        <v>21</v>
      </c>
      <c r="D1622" s="1"/>
      <c r="E1622" s="20" t="s">
        <v>75</v>
      </c>
      <c r="F1622" s="7" t="s">
        <v>15</v>
      </c>
      <c r="G1622" s="7" t="s">
        <v>25</v>
      </c>
      <c r="H1622" s="11">
        <v>7.34</v>
      </c>
      <c r="I1622" s="8">
        <v>11.5</v>
      </c>
      <c r="J1622" s="26">
        <v>36</v>
      </c>
      <c r="K1622" s="10">
        <v>3.0387599999999999</v>
      </c>
      <c r="L1622" s="4"/>
      <c r="M1622" s="17">
        <v>36</v>
      </c>
      <c r="N1622" s="18">
        <v>3.0387599999999999</v>
      </c>
      <c r="O1622" s="19">
        <v>0</v>
      </c>
      <c r="P1622" s="13">
        <v>0</v>
      </c>
      <c r="Q1622" s="9"/>
      <c r="R1622" s="2"/>
      <c r="S1622" s="2"/>
    </row>
    <row r="1623" spans="1:19">
      <c r="A1623" s="42" t="s">
        <v>84</v>
      </c>
      <c r="B1623" s="3" t="s">
        <v>124</v>
      </c>
      <c r="C1623" s="3">
        <v>22</v>
      </c>
      <c r="D1623" s="1"/>
      <c r="E1623" s="20" t="s">
        <v>75</v>
      </c>
      <c r="F1623" s="7" t="s">
        <v>15</v>
      </c>
      <c r="G1623" s="7" t="s">
        <v>25</v>
      </c>
      <c r="H1623" s="11">
        <v>7.34</v>
      </c>
      <c r="I1623" s="8">
        <v>11.5</v>
      </c>
      <c r="J1623" s="26">
        <v>36</v>
      </c>
      <c r="K1623" s="10">
        <v>3.0387599999999999</v>
      </c>
      <c r="L1623" s="4"/>
      <c r="M1623" s="17">
        <v>36</v>
      </c>
      <c r="N1623" s="18">
        <v>3.0387599999999999</v>
      </c>
      <c r="O1623" s="19">
        <v>0</v>
      </c>
      <c r="P1623" s="13">
        <v>0</v>
      </c>
      <c r="Q1623" s="9"/>
      <c r="R1623" s="2"/>
      <c r="S1623" s="2"/>
    </row>
    <row r="1624" spans="1:19">
      <c r="A1624" s="42" t="s">
        <v>84</v>
      </c>
      <c r="B1624" s="3" t="s">
        <v>124</v>
      </c>
      <c r="C1624" s="3">
        <v>23</v>
      </c>
      <c r="D1624" s="1"/>
      <c r="E1624" s="20" t="s">
        <v>75</v>
      </c>
      <c r="F1624" s="7" t="s">
        <v>15</v>
      </c>
      <c r="G1624" s="7" t="s">
        <v>25</v>
      </c>
      <c r="H1624" s="11">
        <v>7.34</v>
      </c>
      <c r="I1624" s="8">
        <v>11.5</v>
      </c>
      <c r="J1624" s="26">
        <v>36</v>
      </c>
      <c r="K1624" s="10">
        <v>3.0387599999999999</v>
      </c>
      <c r="L1624" s="4"/>
      <c r="M1624" s="17">
        <v>36</v>
      </c>
      <c r="N1624" s="18">
        <v>3.0387599999999999</v>
      </c>
      <c r="O1624" s="19">
        <v>0</v>
      </c>
      <c r="P1624" s="13">
        <v>0</v>
      </c>
      <c r="Q1624" s="9"/>
      <c r="R1624" s="2"/>
      <c r="S1624" s="2"/>
    </row>
    <row r="1625" spans="1:19">
      <c r="A1625" s="47" t="s">
        <v>147</v>
      </c>
      <c r="B1625" s="48" t="s">
        <v>148</v>
      </c>
      <c r="C1625" s="32">
        <v>293</v>
      </c>
      <c r="D1625" s="32"/>
      <c r="E1625" s="20" t="s">
        <v>75</v>
      </c>
      <c r="F1625" s="48" t="s">
        <v>160</v>
      </c>
      <c r="G1625" s="48" t="s">
        <v>25</v>
      </c>
      <c r="H1625" s="11">
        <v>7.34</v>
      </c>
      <c r="I1625" s="52">
        <v>10</v>
      </c>
      <c r="J1625" s="7">
        <v>39</v>
      </c>
      <c r="K1625" s="10">
        <v>2.8626000000000005</v>
      </c>
      <c r="L1625" s="32"/>
      <c r="M1625" s="32">
        <v>39</v>
      </c>
      <c r="N1625" s="18">
        <v>2.8626</v>
      </c>
      <c r="O1625" s="19">
        <v>0</v>
      </c>
      <c r="P1625" s="13">
        <v>0</v>
      </c>
      <c r="Q1625" s="32"/>
      <c r="R1625" s="32"/>
      <c r="S1625" s="32"/>
    </row>
    <row r="1626" spans="1:19">
      <c r="A1626" s="47" t="s">
        <v>147</v>
      </c>
      <c r="B1626" s="48" t="s">
        <v>148</v>
      </c>
      <c r="C1626" s="32">
        <v>294</v>
      </c>
      <c r="D1626" s="32"/>
      <c r="E1626" s="20" t="s">
        <v>75</v>
      </c>
      <c r="F1626" s="48" t="s">
        <v>160</v>
      </c>
      <c r="G1626" s="48" t="s">
        <v>25</v>
      </c>
      <c r="H1626" s="11">
        <v>7.34</v>
      </c>
      <c r="I1626" s="52">
        <v>10.5</v>
      </c>
      <c r="J1626" s="7">
        <v>35</v>
      </c>
      <c r="K1626" s="10">
        <v>2.6974499999999999</v>
      </c>
      <c r="L1626" s="32"/>
      <c r="M1626" s="32">
        <v>35</v>
      </c>
      <c r="N1626" s="18">
        <v>2.6974499999999999</v>
      </c>
      <c r="O1626" s="19">
        <v>0</v>
      </c>
      <c r="P1626" s="13">
        <v>0</v>
      </c>
      <c r="Q1626" s="32"/>
      <c r="R1626" s="32"/>
      <c r="S1626" s="32"/>
    </row>
    <row r="1627" spans="1:19">
      <c r="A1627" s="47" t="s">
        <v>147</v>
      </c>
      <c r="B1627" s="48" t="s">
        <v>148</v>
      </c>
      <c r="C1627" s="32">
        <v>295</v>
      </c>
      <c r="D1627" s="32"/>
      <c r="E1627" s="20" t="s">
        <v>75</v>
      </c>
      <c r="F1627" s="48" t="s">
        <v>160</v>
      </c>
      <c r="G1627" s="48" t="s">
        <v>25</v>
      </c>
      <c r="H1627" s="11">
        <v>7.34</v>
      </c>
      <c r="I1627" s="52">
        <v>10.5</v>
      </c>
      <c r="J1627" s="7">
        <v>36</v>
      </c>
      <c r="K1627" s="10">
        <v>2.7745199999999994</v>
      </c>
      <c r="L1627" s="32"/>
      <c r="M1627" s="32">
        <v>36</v>
      </c>
      <c r="N1627" s="18">
        <v>2.7745199999999999</v>
      </c>
      <c r="O1627" s="19">
        <v>0</v>
      </c>
      <c r="P1627" s="13">
        <v>0</v>
      </c>
      <c r="Q1627" s="32"/>
      <c r="R1627" s="32"/>
      <c r="S1627" s="32"/>
    </row>
    <row r="1628" spans="1:19">
      <c r="A1628" s="47" t="s">
        <v>147</v>
      </c>
      <c r="B1628" s="48" t="s">
        <v>148</v>
      </c>
      <c r="C1628" s="32">
        <v>296</v>
      </c>
      <c r="D1628" s="32"/>
      <c r="E1628" s="48" t="s">
        <v>89</v>
      </c>
      <c r="F1628" s="48" t="s">
        <v>160</v>
      </c>
      <c r="G1628" s="48" t="s">
        <v>25</v>
      </c>
      <c r="H1628" s="11">
        <v>7.34</v>
      </c>
      <c r="I1628" s="184">
        <v>12</v>
      </c>
      <c r="J1628" s="7">
        <v>32</v>
      </c>
      <c r="K1628" s="10">
        <v>2.8185599999999997</v>
      </c>
      <c r="L1628" s="32"/>
      <c r="M1628" s="32">
        <v>22</v>
      </c>
      <c r="N1628" s="18">
        <v>1.9377599999999999</v>
      </c>
      <c r="O1628" s="196">
        <v>10</v>
      </c>
      <c r="P1628" s="197">
        <v>0.88079999999999992</v>
      </c>
      <c r="Q1628" s="32" t="s">
        <v>246</v>
      </c>
      <c r="R1628" s="32"/>
      <c r="S1628" s="32"/>
    </row>
    <row r="1629" spans="1:19">
      <c r="A1629" s="47" t="s">
        <v>147</v>
      </c>
      <c r="B1629" s="48" t="s">
        <v>148</v>
      </c>
      <c r="C1629" s="32">
        <v>297</v>
      </c>
      <c r="D1629" s="32"/>
      <c r="E1629" s="20" t="s">
        <v>75</v>
      </c>
      <c r="F1629" s="48" t="s">
        <v>160</v>
      </c>
      <c r="G1629" s="48" t="s">
        <v>25</v>
      </c>
      <c r="H1629" s="11">
        <v>7.34</v>
      </c>
      <c r="I1629" s="52">
        <v>11.5</v>
      </c>
      <c r="J1629" s="7">
        <v>30</v>
      </c>
      <c r="K1629" s="10">
        <v>2.5322999999999998</v>
      </c>
      <c r="L1629" s="32"/>
      <c r="M1629" s="32">
        <v>30</v>
      </c>
      <c r="N1629" s="18">
        <v>2.5322999999999998</v>
      </c>
      <c r="O1629" s="19">
        <v>0</v>
      </c>
      <c r="P1629" s="13">
        <v>0</v>
      </c>
      <c r="Q1629" s="32"/>
      <c r="R1629" s="32"/>
      <c r="S1629" s="32"/>
    </row>
    <row r="1630" spans="1:19">
      <c r="A1630" s="47" t="s">
        <v>147</v>
      </c>
      <c r="B1630" s="48" t="s">
        <v>148</v>
      </c>
      <c r="C1630" s="32">
        <v>298</v>
      </c>
      <c r="D1630" s="32"/>
      <c r="E1630" s="20" t="s">
        <v>75</v>
      </c>
      <c r="F1630" s="48" t="s">
        <v>160</v>
      </c>
      <c r="G1630" s="48" t="s">
        <v>25</v>
      </c>
      <c r="H1630" s="11">
        <v>7.34</v>
      </c>
      <c r="I1630" s="52">
        <v>10.5</v>
      </c>
      <c r="J1630" s="7">
        <v>35</v>
      </c>
      <c r="K1630" s="10">
        <v>2.6974499999999999</v>
      </c>
      <c r="L1630" s="32"/>
      <c r="M1630" s="32">
        <v>35</v>
      </c>
      <c r="N1630" s="18">
        <v>2.6974499999999999</v>
      </c>
      <c r="O1630" s="19">
        <v>0</v>
      </c>
      <c r="P1630" s="13">
        <v>0</v>
      </c>
      <c r="Q1630" s="32"/>
      <c r="R1630" s="32"/>
      <c r="S1630" s="32"/>
    </row>
    <row r="1631" spans="1:19">
      <c r="A1631" s="47" t="s">
        <v>147</v>
      </c>
      <c r="B1631" s="48" t="s">
        <v>148</v>
      </c>
      <c r="C1631" s="32">
        <v>289</v>
      </c>
      <c r="D1631" s="32"/>
      <c r="E1631" s="20" t="s">
        <v>75</v>
      </c>
      <c r="F1631" s="48" t="s">
        <v>160</v>
      </c>
      <c r="G1631" s="48" t="s">
        <v>25</v>
      </c>
      <c r="H1631" s="11">
        <v>7.34</v>
      </c>
      <c r="I1631" s="52">
        <v>10.5</v>
      </c>
      <c r="J1631" s="7">
        <v>32</v>
      </c>
      <c r="K1631" s="10">
        <v>2.46624</v>
      </c>
      <c r="L1631" s="32"/>
      <c r="M1631" s="32">
        <v>32</v>
      </c>
      <c r="N1631" s="18">
        <v>2.46624</v>
      </c>
      <c r="O1631" s="19">
        <v>0</v>
      </c>
      <c r="P1631" s="13">
        <v>0</v>
      </c>
      <c r="Q1631" s="32"/>
      <c r="R1631" s="32"/>
      <c r="S1631" s="32"/>
    </row>
    <row r="1632" spans="1:19">
      <c r="A1632" s="47" t="s">
        <v>147</v>
      </c>
      <c r="B1632" s="48" t="s">
        <v>148</v>
      </c>
      <c r="C1632" s="32">
        <v>290</v>
      </c>
      <c r="D1632" s="32"/>
      <c r="E1632" s="20" t="s">
        <v>75</v>
      </c>
      <c r="F1632" s="48" t="s">
        <v>160</v>
      </c>
      <c r="G1632" s="48" t="s">
        <v>25</v>
      </c>
      <c r="H1632" s="11">
        <v>7.34</v>
      </c>
      <c r="I1632" s="52">
        <v>10</v>
      </c>
      <c r="J1632" s="7">
        <v>39</v>
      </c>
      <c r="K1632" s="10">
        <v>2.8626000000000005</v>
      </c>
      <c r="L1632" s="32"/>
      <c r="M1632" s="32">
        <v>39</v>
      </c>
      <c r="N1632" s="18">
        <v>2.8626</v>
      </c>
      <c r="O1632" s="19">
        <v>0</v>
      </c>
      <c r="P1632" s="13">
        <v>0</v>
      </c>
      <c r="Q1632" s="32"/>
      <c r="R1632" s="32"/>
      <c r="S1632" s="32"/>
    </row>
    <row r="1633" spans="1:19">
      <c r="A1633" s="47" t="s">
        <v>147</v>
      </c>
      <c r="B1633" s="48" t="s">
        <v>148</v>
      </c>
      <c r="C1633" s="32">
        <v>291</v>
      </c>
      <c r="D1633" s="32"/>
      <c r="E1633" s="48" t="s">
        <v>89</v>
      </c>
      <c r="F1633" s="48" t="s">
        <v>160</v>
      </c>
      <c r="G1633" s="48" t="s">
        <v>25</v>
      </c>
      <c r="H1633" s="11">
        <v>7.34</v>
      </c>
      <c r="I1633" s="184">
        <v>12</v>
      </c>
      <c r="J1633" s="7">
        <v>36</v>
      </c>
      <c r="K1633" s="10">
        <v>3.1708799999999999</v>
      </c>
      <c r="L1633" s="32"/>
      <c r="M1633" s="32">
        <v>36</v>
      </c>
      <c r="N1633" s="18">
        <v>3.1708799999999999</v>
      </c>
      <c r="O1633" s="19">
        <v>0</v>
      </c>
      <c r="P1633" s="13">
        <v>0</v>
      </c>
      <c r="Q1633" s="32"/>
      <c r="R1633" s="32"/>
      <c r="S1633" s="32"/>
    </row>
    <row r="1634" spans="1:19">
      <c r="A1634" s="47" t="s">
        <v>147</v>
      </c>
      <c r="B1634" s="48" t="s">
        <v>148</v>
      </c>
      <c r="C1634" s="32">
        <v>292</v>
      </c>
      <c r="D1634" s="32"/>
      <c r="E1634" s="20" t="s">
        <v>75</v>
      </c>
      <c r="F1634" s="48" t="s">
        <v>160</v>
      </c>
      <c r="G1634" s="48" t="s">
        <v>25</v>
      </c>
      <c r="H1634" s="11">
        <v>7.34</v>
      </c>
      <c r="I1634" s="52">
        <v>10.5</v>
      </c>
      <c r="J1634" s="7">
        <v>33</v>
      </c>
      <c r="K1634" s="10">
        <v>2.54331</v>
      </c>
      <c r="L1634" s="32"/>
      <c r="M1634" s="32">
        <v>33</v>
      </c>
      <c r="N1634" s="18">
        <v>2.54331</v>
      </c>
      <c r="O1634" s="19">
        <v>0</v>
      </c>
      <c r="P1634" s="13">
        <v>0</v>
      </c>
      <c r="Q1634" s="32"/>
      <c r="R1634" s="32"/>
      <c r="S1634" s="32"/>
    </row>
    <row r="1635" spans="1:19">
      <c r="A1635" s="47" t="s">
        <v>147</v>
      </c>
      <c r="B1635" s="48" t="s">
        <v>148</v>
      </c>
      <c r="C1635" s="32">
        <v>293</v>
      </c>
      <c r="D1635" s="32"/>
      <c r="E1635" s="20" t="s">
        <v>75</v>
      </c>
      <c r="F1635" s="48" t="s">
        <v>160</v>
      </c>
      <c r="G1635" s="48" t="s">
        <v>25</v>
      </c>
      <c r="H1635" s="11">
        <v>7.34</v>
      </c>
      <c r="I1635" s="52">
        <v>11</v>
      </c>
      <c r="J1635" s="7">
        <v>34</v>
      </c>
      <c r="K1635" s="10">
        <v>2.7451599999999998</v>
      </c>
      <c r="L1635" s="32"/>
      <c r="M1635" s="32">
        <v>34</v>
      </c>
      <c r="N1635" s="18">
        <v>2.7451599999999998</v>
      </c>
      <c r="O1635" s="19">
        <v>0</v>
      </c>
      <c r="P1635" s="13">
        <v>0</v>
      </c>
      <c r="Q1635" s="32"/>
      <c r="R1635" s="32"/>
      <c r="S1635" s="32"/>
    </row>
    <row r="1636" spans="1:19">
      <c r="A1636" s="47" t="s">
        <v>147</v>
      </c>
      <c r="B1636" s="48" t="s">
        <v>148</v>
      </c>
      <c r="C1636" s="32">
        <v>294</v>
      </c>
      <c r="D1636" s="32"/>
      <c r="E1636" s="20" t="s">
        <v>75</v>
      </c>
      <c r="F1636" s="48" t="s">
        <v>160</v>
      </c>
      <c r="G1636" s="48" t="s">
        <v>25</v>
      </c>
      <c r="H1636" s="11">
        <v>7.34</v>
      </c>
      <c r="I1636" s="52">
        <v>11.5</v>
      </c>
      <c r="J1636" s="7">
        <v>30</v>
      </c>
      <c r="K1636" s="10">
        <v>2.5322999999999998</v>
      </c>
      <c r="L1636" s="32"/>
      <c r="M1636" s="32">
        <v>30</v>
      </c>
      <c r="N1636" s="18">
        <v>2.5322999999999998</v>
      </c>
      <c r="O1636" s="19">
        <v>0</v>
      </c>
      <c r="P1636" s="13">
        <v>0</v>
      </c>
      <c r="Q1636" s="32"/>
      <c r="R1636" s="32"/>
      <c r="S1636" s="32"/>
    </row>
    <row r="1637" spans="1:19">
      <c r="A1637" s="47" t="s">
        <v>147</v>
      </c>
      <c r="B1637" s="48" t="s">
        <v>148</v>
      </c>
      <c r="C1637" s="32">
        <v>351</v>
      </c>
      <c r="D1637" s="32"/>
      <c r="E1637" s="20" t="s">
        <v>75</v>
      </c>
      <c r="F1637" s="48" t="s">
        <v>160</v>
      </c>
      <c r="G1637" s="48" t="s">
        <v>25</v>
      </c>
      <c r="H1637" s="11">
        <v>7.34</v>
      </c>
      <c r="I1637" s="52">
        <v>10</v>
      </c>
      <c r="J1637" s="7">
        <v>6</v>
      </c>
      <c r="K1637" s="10">
        <v>0.44040000000000001</v>
      </c>
      <c r="L1637" s="32"/>
      <c r="M1637" s="32">
        <v>6</v>
      </c>
      <c r="N1637" s="18">
        <v>0.44039999999999996</v>
      </c>
      <c r="O1637" s="19">
        <v>0</v>
      </c>
      <c r="P1637" s="13">
        <v>0</v>
      </c>
      <c r="Q1637" s="32"/>
      <c r="R1637" s="32"/>
      <c r="S1637" s="32"/>
    </row>
    <row r="1638" spans="1:19">
      <c r="A1638" s="47" t="s">
        <v>147</v>
      </c>
      <c r="B1638" s="48" t="s">
        <v>148</v>
      </c>
      <c r="C1638" s="32">
        <v>351</v>
      </c>
      <c r="D1638" s="32"/>
      <c r="E1638" s="20" t="s">
        <v>75</v>
      </c>
      <c r="F1638" s="48" t="s">
        <v>160</v>
      </c>
      <c r="G1638" s="48" t="s">
        <v>25</v>
      </c>
      <c r="H1638" s="11">
        <v>7.34</v>
      </c>
      <c r="I1638" s="52">
        <v>10.5</v>
      </c>
      <c r="J1638" s="7">
        <v>13</v>
      </c>
      <c r="K1638" s="10">
        <v>1.0019099999999999</v>
      </c>
      <c r="L1638" s="32"/>
      <c r="M1638" s="32">
        <v>13</v>
      </c>
      <c r="N1638" s="18">
        <v>1.0019100000000001</v>
      </c>
      <c r="O1638" s="19">
        <v>0</v>
      </c>
      <c r="P1638" s="13">
        <v>0</v>
      </c>
      <c r="Q1638" s="32"/>
      <c r="R1638" s="32"/>
      <c r="S1638" s="32"/>
    </row>
    <row r="1639" spans="1:19">
      <c r="A1639" s="47" t="s">
        <v>147</v>
      </c>
      <c r="B1639" s="48" t="s">
        <v>148</v>
      </c>
      <c r="C1639" s="32">
        <v>352</v>
      </c>
      <c r="D1639" s="32"/>
      <c r="E1639" s="20" t="s">
        <v>75</v>
      </c>
      <c r="F1639" s="48" t="s">
        <v>160</v>
      </c>
      <c r="G1639" s="48" t="s">
        <v>25</v>
      </c>
      <c r="H1639" s="11">
        <v>7.34</v>
      </c>
      <c r="I1639" s="52">
        <v>9.5</v>
      </c>
      <c r="J1639" s="7">
        <v>1</v>
      </c>
      <c r="K1639" s="10">
        <v>6.973E-2</v>
      </c>
      <c r="L1639" s="32"/>
      <c r="M1639" s="32"/>
      <c r="N1639" s="18">
        <v>0</v>
      </c>
      <c r="O1639" s="19">
        <v>1</v>
      </c>
      <c r="P1639" s="13">
        <v>6.973E-2</v>
      </c>
      <c r="Q1639" s="32"/>
      <c r="R1639" s="32"/>
      <c r="S1639" s="32"/>
    </row>
    <row r="1640" spans="1:19">
      <c r="A1640" s="47" t="s">
        <v>147</v>
      </c>
      <c r="B1640" s="48" t="s">
        <v>148</v>
      </c>
      <c r="C1640" s="32">
        <v>352</v>
      </c>
      <c r="D1640" s="32"/>
      <c r="E1640" s="20" t="s">
        <v>75</v>
      </c>
      <c r="F1640" s="48" t="s">
        <v>160</v>
      </c>
      <c r="G1640" s="48" t="s">
        <v>25</v>
      </c>
      <c r="H1640" s="11">
        <v>7.34</v>
      </c>
      <c r="I1640" s="52">
        <v>9.8000000000000007</v>
      </c>
      <c r="J1640" s="7">
        <v>1</v>
      </c>
      <c r="K1640" s="10">
        <v>7.1931999999999996E-2</v>
      </c>
      <c r="L1640" s="32"/>
      <c r="M1640" s="32"/>
      <c r="N1640" s="18">
        <v>0</v>
      </c>
      <c r="O1640" s="19">
        <v>1</v>
      </c>
      <c r="P1640" s="13">
        <v>7.1931999999999996E-2</v>
      </c>
      <c r="Q1640" s="32"/>
      <c r="R1640" s="32"/>
      <c r="S1640" s="32"/>
    </row>
    <row r="1641" spans="1:19">
      <c r="A1641" s="47" t="s">
        <v>147</v>
      </c>
      <c r="B1641" s="48" t="s">
        <v>148</v>
      </c>
      <c r="C1641" s="32">
        <v>353</v>
      </c>
      <c r="D1641" s="32"/>
      <c r="E1641" s="20" t="s">
        <v>75</v>
      </c>
      <c r="F1641" s="48" t="s">
        <v>160</v>
      </c>
      <c r="G1641" s="48" t="s">
        <v>25</v>
      </c>
      <c r="H1641" s="11">
        <v>7.34</v>
      </c>
      <c r="I1641" s="52">
        <v>11.5</v>
      </c>
      <c r="J1641" s="7">
        <v>21</v>
      </c>
      <c r="K1641" s="10">
        <v>1.7726099999999998</v>
      </c>
      <c r="L1641" s="32"/>
      <c r="M1641" s="32">
        <v>21</v>
      </c>
      <c r="N1641" s="18">
        <v>1.7726099999999998</v>
      </c>
      <c r="O1641" s="19">
        <v>0</v>
      </c>
      <c r="P1641" s="13">
        <v>0</v>
      </c>
      <c r="Q1641" s="32"/>
      <c r="R1641" s="32"/>
      <c r="S1641" s="32"/>
    </row>
    <row r="1642" spans="1:19">
      <c r="A1642" s="47" t="s">
        <v>147</v>
      </c>
      <c r="B1642" s="48" t="s">
        <v>148</v>
      </c>
      <c r="C1642" s="32">
        <v>354</v>
      </c>
      <c r="D1642" s="32"/>
      <c r="E1642" s="48" t="s">
        <v>163</v>
      </c>
      <c r="F1642" s="48" t="s">
        <v>160</v>
      </c>
      <c r="G1642" s="48" t="s">
        <v>25</v>
      </c>
      <c r="H1642" s="11">
        <v>7.34</v>
      </c>
      <c r="I1642" s="8">
        <v>10.9</v>
      </c>
      <c r="J1642" s="7">
        <v>1</v>
      </c>
      <c r="K1642" s="10">
        <v>8.0005999999999994E-2</v>
      </c>
      <c r="L1642" s="32"/>
      <c r="M1642" s="32"/>
      <c r="N1642" s="18">
        <v>0</v>
      </c>
      <c r="O1642" s="19">
        <v>1</v>
      </c>
      <c r="P1642" s="13">
        <v>8.0005999999999994E-2</v>
      </c>
      <c r="Q1642" s="32"/>
      <c r="R1642" s="32"/>
      <c r="S1642" s="32"/>
    </row>
    <row r="1643" spans="1:19">
      <c r="A1643" s="47" t="s">
        <v>147</v>
      </c>
      <c r="B1643" s="48" t="s">
        <v>148</v>
      </c>
      <c r="C1643" s="32">
        <v>354</v>
      </c>
      <c r="D1643" s="32"/>
      <c r="E1643" s="20" t="s">
        <v>75</v>
      </c>
      <c r="F1643" s="48" t="s">
        <v>160</v>
      </c>
      <c r="G1643" s="48" t="s">
        <v>25</v>
      </c>
      <c r="H1643" s="11">
        <v>7.34</v>
      </c>
      <c r="I1643" s="52">
        <v>11</v>
      </c>
      <c r="J1643" s="7">
        <v>29</v>
      </c>
      <c r="K1643" s="10">
        <v>2.3414600000000001</v>
      </c>
      <c r="L1643" s="32"/>
      <c r="M1643" s="32">
        <v>29</v>
      </c>
      <c r="N1643" s="18">
        <v>2.3414600000000001</v>
      </c>
      <c r="O1643" s="19">
        <v>0</v>
      </c>
      <c r="P1643" s="13">
        <v>0</v>
      </c>
      <c r="Q1643" s="32"/>
      <c r="R1643" s="32"/>
      <c r="S1643" s="32"/>
    </row>
    <row r="1644" spans="1:19">
      <c r="A1644" s="47" t="s">
        <v>147</v>
      </c>
      <c r="B1644" s="48" t="s">
        <v>148</v>
      </c>
      <c r="C1644" s="32">
        <v>355</v>
      </c>
      <c r="D1644" s="32"/>
      <c r="E1644" s="48" t="s">
        <v>163</v>
      </c>
      <c r="F1644" s="48" t="s">
        <v>160</v>
      </c>
      <c r="G1644" s="48" t="s">
        <v>25</v>
      </c>
      <c r="H1644" s="11">
        <v>7.34</v>
      </c>
      <c r="I1644" s="8">
        <v>11.7</v>
      </c>
      <c r="J1644" s="7">
        <v>7</v>
      </c>
      <c r="K1644" s="10">
        <v>0.60114599999999996</v>
      </c>
      <c r="L1644" s="32"/>
      <c r="M1644" s="32">
        <v>7</v>
      </c>
      <c r="N1644" s="18">
        <v>0.60114599999999996</v>
      </c>
      <c r="O1644" s="19">
        <v>0</v>
      </c>
      <c r="P1644" s="13">
        <v>0</v>
      </c>
      <c r="Q1644" s="32"/>
      <c r="R1644" s="32"/>
      <c r="S1644" s="32"/>
    </row>
    <row r="1645" spans="1:19">
      <c r="A1645" s="47" t="s">
        <v>147</v>
      </c>
      <c r="B1645" s="48" t="s">
        <v>148</v>
      </c>
      <c r="C1645" s="32">
        <v>355</v>
      </c>
      <c r="D1645" s="32"/>
      <c r="E1645" s="48" t="s">
        <v>163</v>
      </c>
      <c r="F1645" s="48" t="s">
        <v>160</v>
      </c>
      <c r="G1645" s="48" t="s">
        <v>25</v>
      </c>
      <c r="H1645" s="11">
        <v>7.34</v>
      </c>
      <c r="I1645" s="184">
        <v>12</v>
      </c>
      <c r="J1645" s="7">
        <v>26</v>
      </c>
      <c r="K1645" s="10">
        <v>2.2900800000000001</v>
      </c>
      <c r="L1645" s="32"/>
      <c r="M1645" s="32">
        <v>26</v>
      </c>
      <c r="N1645" s="18">
        <v>2.2900800000000001</v>
      </c>
      <c r="O1645" s="19">
        <v>0</v>
      </c>
      <c r="P1645" s="13">
        <v>0</v>
      </c>
      <c r="Q1645" s="32"/>
      <c r="R1645" s="32"/>
      <c r="S1645" s="32"/>
    </row>
    <row r="1646" spans="1:19">
      <c r="A1646" s="47" t="s">
        <v>147</v>
      </c>
      <c r="B1646" s="48" t="s">
        <v>148</v>
      </c>
      <c r="C1646" s="32">
        <v>356</v>
      </c>
      <c r="D1646" s="32"/>
      <c r="E1646" s="20" t="s">
        <v>75</v>
      </c>
      <c r="F1646" s="48" t="s">
        <v>160</v>
      </c>
      <c r="G1646" s="48" t="s">
        <v>25</v>
      </c>
      <c r="H1646" s="11">
        <v>7.34</v>
      </c>
      <c r="I1646" s="52">
        <v>11.5</v>
      </c>
      <c r="J1646" s="7">
        <v>32</v>
      </c>
      <c r="K1646" s="10">
        <v>2.70112</v>
      </c>
      <c r="L1646" s="32"/>
      <c r="M1646" s="32">
        <v>32</v>
      </c>
      <c r="N1646" s="18">
        <v>2.70112</v>
      </c>
      <c r="O1646" s="19">
        <v>0</v>
      </c>
      <c r="P1646" s="13">
        <v>0</v>
      </c>
      <c r="Q1646" s="32"/>
      <c r="R1646" s="32"/>
      <c r="S1646" s="32"/>
    </row>
    <row r="1647" spans="1:19">
      <c r="A1647" s="47" t="s">
        <v>147</v>
      </c>
      <c r="B1647" s="48" t="s">
        <v>148</v>
      </c>
      <c r="C1647" s="32">
        <v>357</v>
      </c>
      <c r="D1647" s="32"/>
      <c r="E1647" s="20" t="s">
        <v>75</v>
      </c>
      <c r="F1647" s="48" t="s">
        <v>160</v>
      </c>
      <c r="G1647" s="48" t="s">
        <v>25</v>
      </c>
      <c r="H1647" s="11">
        <v>7.34</v>
      </c>
      <c r="I1647" s="52">
        <v>11.5</v>
      </c>
      <c r="J1647" s="7">
        <v>32</v>
      </c>
      <c r="K1647" s="10">
        <v>2.70112</v>
      </c>
      <c r="L1647" s="32"/>
      <c r="M1647" s="32">
        <v>41</v>
      </c>
      <c r="N1647" s="18">
        <v>3.4608099999999999</v>
      </c>
      <c r="O1647" s="64">
        <v>-9</v>
      </c>
      <c r="P1647" s="65">
        <v>-0.75968999999999998</v>
      </c>
      <c r="Q1647" s="32" t="s">
        <v>246</v>
      </c>
      <c r="R1647" s="32"/>
      <c r="S1647" s="32"/>
    </row>
    <row r="1648" spans="1:19">
      <c r="A1648" s="47" t="s">
        <v>147</v>
      </c>
      <c r="B1648" s="48" t="s">
        <v>148</v>
      </c>
      <c r="C1648" s="32">
        <v>358</v>
      </c>
      <c r="D1648" s="32"/>
      <c r="E1648" s="20" t="s">
        <v>75</v>
      </c>
      <c r="F1648" s="48" t="s">
        <v>160</v>
      </c>
      <c r="G1648" s="48" t="s">
        <v>25</v>
      </c>
      <c r="H1648" s="11">
        <v>7.34</v>
      </c>
      <c r="I1648" s="52">
        <v>10</v>
      </c>
      <c r="J1648" s="7">
        <v>35</v>
      </c>
      <c r="K1648" s="10">
        <v>2.569</v>
      </c>
      <c r="L1648" s="32"/>
      <c r="M1648" s="32">
        <v>35</v>
      </c>
      <c r="N1648" s="18">
        <v>2.569</v>
      </c>
      <c r="O1648" s="19">
        <v>0</v>
      </c>
      <c r="P1648" s="13">
        <v>0</v>
      </c>
      <c r="Q1648" s="32"/>
      <c r="R1648" s="32"/>
      <c r="S1648" s="32"/>
    </row>
    <row r="1649" spans="1:22">
      <c r="A1649" s="47" t="s">
        <v>147</v>
      </c>
      <c r="B1649" s="48" t="s">
        <v>148</v>
      </c>
      <c r="C1649" s="32">
        <v>359</v>
      </c>
      <c r="D1649" s="32"/>
      <c r="E1649" s="20" t="s">
        <v>75</v>
      </c>
      <c r="F1649" s="48" t="s">
        <v>160</v>
      </c>
      <c r="G1649" s="48" t="s">
        <v>25</v>
      </c>
      <c r="H1649" s="11">
        <v>7.34</v>
      </c>
      <c r="I1649" s="52">
        <v>10.5</v>
      </c>
      <c r="J1649" s="7">
        <v>32</v>
      </c>
      <c r="K1649" s="10">
        <v>2.46624</v>
      </c>
      <c r="L1649" s="32"/>
      <c r="M1649" s="32">
        <v>32</v>
      </c>
      <c r="N1649" s="18">
        <v>2.46624</v>
      </c>
      <c r="O1649" s="19">
        <v>0</v>
      </c>
      <c r="P1649" s="13">
        <v>0</v>
      </c>
      <c r="Q1649" s="32"/>
      <c r="R1649" s="32"/>
      <c r="S1649" s="32"/>
    </row>
    <row r="1650" spans="1:22">
      <c r="A1650" s="47" t="s">
        <v>147</v>
      </c>
      <c r="B1650" s="48" t="s">
        <v>148</v>
      </c>
      <c r="C1650" s="32">
        <v>360</v>
      </c>
      <c r="D1650" s="32"/>
      <c r="E1650" s="20" t="s">
        <v>75</v>
      </c>
      <c r="F1650" s="48" t="s">
        <v>160</v>
      </c>
      <c r="G1650" s="48" t="s">
        <v>25</v>
      </c>
      <c r="H1650" s="11">
        <v>7.34</v>
      </c>
      <c r="I1650" s="52">
        <v>10</v>
      </c>
      <c r="J1650" s="7">
        <v>32</v>
      </c>
      <c r="K1650" s="10">
        <v>2.3488000000000002</v>
      </c>
      <c r="L1650" s="32"/>
      <c r="M1650" s="32">
        <v>32</v>
      </c>
      <c r="N1650" s="18">
        <v>2.3488000000000002</v>
      </c>
      <c r="O1650" s="19">
        <v>0</v>
      </c>
      <c r="P1650" s="13">
        <v>0</v>
      </c>
      <c r="Q1650" s="32"/>
      <c r="R1650" s="32"/>
      <c r="S1650" s="32"/>
    </row>
    <row r="1651" spans="1:22">
      <c r="A1651" s="44" t="s">
        <v>78</v>
      </c>
      <c r="B1651" s="3" t="s">
        <v>80</v>
      </c>
      <c r="C1651" s="3">
        <v>11</v>
      </c>
      <c r="D1651" s="1"/>
      <c r="E1651" s="20" t="s">
        <v>76</v>
      </c>
      <c r="F1651" s="7" t="s">
        <v>15</v>
      </c>
      <c r="G1651" s="7" t="s">
        <v>25</v>
      </c>
      <c r="H1651" s="11">
        <v>7.34</v>
      </c>
      <c r="I1651" s="8">
        <v>10.3</v>
      </c>
      <c r="J1651" s="26">
        <v>3</v>
      </c>
      <c r="K1651" s="10">
        <v>0.22680600000000001</v>
      </c>
      <c r="L1651" s="4"/>
      <c r="M1651" s="17"/>
      <c r="N1651" s="18">
        <v>0</v>
      </c>
      <c r="O1651" s="19">
        <v>3</v>
      </c>
      <c r="P1651" s="13">
        <v>0.22680600000000001</v>
      </c>
      <c r="Q1651" s="9"/>
      <c r="R1651" s="32"/>
      <c r="S1651" s="32"/>
    </row>
    <row r="1652" spans="1:22">
      <c r="A1652" s="45" t="s">
        <v>136</v>
      </c>
      <c r="B1652" s="32" t="s">
        <v>137</v>
      </c>
      <c r="C1652" s="3">
        <v>12</v>
      </c>
      <c r="D1652" s="32" t="s">
        <v>142</v>
      </c>
      <c r="E1652" s="20" t="s">
        <v>89</v>
      </c>
      <c r="F1652" s="7" t="s">
        <v>15</v>
      </c>
      <c r="G1652" s="7" t="s">
        <v>25</v>
      </c>
      <c r="H1652" s="11">
        <v>7.34</v>
      </c>
      <c r="I1652" s="55">
        <v>8.8000000000000007</v>
      </c>
      <c r="J1652" s="40">
        <v>1</v>
      </c>
      <c r="K1652" s="10">
        <v>6.4591999999999997E-2</v>
      </c>
      <c r="L1652" s="32"/>
      <c r="M1652" s="17"/>
      <c r="N1652" s="18">
        <v>0</v>
      </c>
      <c r="O1652" s="19">
        <v>1</v>
      </c>
      <c r="P1652" s="13">
        <v>6.4591999999999997E-2</v>
      </c>
      <c r="Q1652" s="32"/>
      <c r="R1652" s="32"/>
      <c r="S1652" s="32"/>
    </row>
    <row r="1653" spans="1:22">
      <c r="A1653" s="45" t="s">
        <v>136</v>
      </c>
      <c r="B1653" s="32" t="s">
        <v>137</v>
      </c>
      <c r="C1653" s="3">
        <v>12</v>
      </c>
      <c r="D1653" s="32" t="s">
        <v>142</v>
      </c>
      <c r="E1653" s="20" t="s">
        <v>89</v>
      </c>
      <c r="F1653" s="7" t="s">
        <v>15</v>
      </c>
      <c r="G1653" s="7" t="s">
        <v>25</v>
      </c>
      <c r="H1653" s="11">
        <v>7.34</v>
      </c>
      <c r="I1653" s="55">
        <v>9</v>
      </c>
      <c r="J1653" s="40">
        <v>1</v>
      </c>
      <c r="K1653" s="10">
        <v>6.6060000000000008E-2</v>
      </c>
      <c r="L1653" s="32"/>
      <c r="M1653" s="17"/>
      <c r="N1653" s="18">
        <v>0</v>
      </c>
      <c r="O1653" s="19">
        <v>1</v>
      </c>
      <c r="P1653" s="13">
        <v>6.6060000000000008E-2</v>
      </c>
      <c r="Q1653" s="32"/>
      <c r="R1653" s="32"/>
      <c r="S1653" s="32"/>
    </row>
    <row r="1654" spans="1:22">
      <c r="A1654" s="45" t="s">
        <v>136</v>
      </c>
      <c r="B1654" s="32" t="s">
        <v>137</v>
      </c>
      <c r="C1654" s="3">
        <v>12</v>
      </c>
      <c r="D1654" s="32" t="s">
        <v>142</v>
      </c>
      <c r="E1654" s="20" t="s">
        <v>89</v>
      </c>
      <c r="F1654" s="7" t="s">
        <v>15</v>
      </c>
      <c r="G1654" s="7" t="s">
        <v>25</v>
      </c>
      <c r="H1654" s="11">
        <v>7.34</v>
      </c>
      <c r="I1654" s="55">
        <v>9.4</v>
      </c>
      <c r="J1654" s="40">
        <v>4</v>
      </c>
      <c r="K1654" s="10">
        <v>0.27598400000000001</v>
      </c>
      <c r="L1654" s="32"/>
      <c r="M1654" s="17"/>
      <c r="N1654" s="18">
        <v>0</v>
      </c>
      <c r="O1654" s="19">
        <v>4</v>
      </c>
      <c r="P1654" s="13">
        <v>0.27598400000000001</v>
      </c>
      <c r="Q1654" s="32"/>
      <c r="R1654" s="32"/>
      <c r="S1654" s="32"/>
    </row>
    <row r="1655" spans="1:22">
      <c r="A1655" s="45" t="s">
        <v>136</v>
      </c>
      <c r="B1655" s="32" t="s">
        <v>137</v>
      </c>
      <c r="C1655" s="3">
        <v>12</v>
      </c>
      <c r="D1655" s="32" t="s">
        <v>142</v>
      </c>
      <c r="E1655" s="20" t="s">
        <v>89</v>
      </c>
      <c r="F1655" s="7" t="s">
        <v>15</v>
      </c>
      <c r="G1655" s="7" t="s">
        <v>25</v>
      </c>
      <c r="H1655" s="11">
        <v>7.34</v>
      </c>
      <c r="I1655" s="55">
        <v>9.5</v>
      </c>
      <c r="J1655" s="40">
        <v>1</v>
      </c>
      <c r="K1655" s="10">
        <v>6.973E-2</v>
      </c>
      <c r="L1655" s="32"/>
      <c r="M1655" s="17"/>
      <c r="N1655" s="18">
        <v>0</v>
      </c>
      <c r="O1655" s="19">
        <v>1</v>
      </c>
      <c r="P1655" s="13">
        <v>6.973E-2</v>
      </c>
      <c r="Q1655" s="32"/>
      <c r="R1655" s="32"/>
      <c r="S1655" s="32"/>
    </row>
    <row r="1656" spans="1:22">
      <c r="A1656" s="45" t="s">
        <v>136</v>
      </c>
      <c r="B1656" s="32" t="s">
        <v>137</v>
      </c>
      <c r="C1656" s="3">
        <v>12</v>
      </c>
      <c r="D1656" s="32" t="s">
        <v>142</v>
      </c>
      <c r="E1656" s="20" t="s">
        <v>89</v>
      </c>
      <c r="F1656" s="7" t="s">
        <v>15</v>
      </c>
      <c r="G1656" s="7" t="s">
        <v>25</v>
      </c>
      <c r="H1656" s="11">
        <v>7.34</v>
      </c>
      <c r="I1656" s="55">
        <v>9.6</v>
      </c>
      <c r="J1656" s="40">
        <v>5</v>
      </c>
      <c r="K1656" s="10">
        <v>0.35231999999999997</v>
      </c>
      <c r="L1656" s="32"/>
      <c r="M1656" s="17"/>
      <c r="N1656" s="18">
        <v>0</v>
      </c>
      <c r="O1656" s="19">
        <v>5</v>
      </c>
      <c r="P1656" s="13">
        <v>0.35231999999999997</v>
      </c>
      <c r="Q1656" s="32"/>
      <c r="R1656" s="32"/>
      <c r="S1656" s="32"/>
    </row>
    <row r="1659" spans="1:22">
      <c r="A1659" s="42" t="s">
        <v>77</v>
      </c>
      <c r="B1659" s="3" t="s">
        <v>68</v>
      </c>
      <c r="C1659" s="3">
        <v>302</v>
      </c>
      <c r="D1659" s="1"/>
      <c r="E1659" s="20" t="s">
        <v>17</v>
      </c>
      <c r="F1659" s="7" t="s">
        <v>15</v>
      </c>
      <c r="G1659" s="7" t="s">
        <v>27</v>
      </c>
      <c r="H1659" s="11">
        <v>6.17</v>
      </c>
      <c r="I1659" s="8">
        <v>7.25</v>
      </c>
      <c r="J1659" s="26">
        <v>35</v>
      </c>
      <c r="K1659" s="10">
        <v>1.5656375</v>
      </c>
      <c r="L1659" s="4"/>
      <c r="M1659" s="17">
        <v>35</v>
      </c>
      <c r="N1659" s="18">
        <v>1.5656375</v>
      </c>
      <c r="O1659" s="19">
        <v>0</v>
      </c>
      <c r="P1659" s="13">
        <v>0</v>
      </c>
      <c r="Q1659" s="9"/>
      <c r="R1659" s="2"/>
      <c r="S1659" s="2"/>
      <c r="T1659" s="213"/>
      <c r="U1659" s="213"/>
      <c r="V1659" s="213"/>
    </row>
    <row r="1660" spans="1:22">
      <c r="A1660" s="42" t="s">
        <v>77</v>
      </c>
      <c r="B1660" s="3" t="s">
        <v>68</v>
      </c>
      <c r="C1660" s="3">
        <v>303</v>
      </c>
      <c r="D1660" s="1"/>
      <c r="E1660" s="20" t="s">
        <v>17</v>
      </c>
      <c r="F1660" s="7" t="s">
        <v>15</v>
      </c>
      <c r="G1660" s="7" t="s">
        <v>27</v>
      </c>
      <c r="H1660" s="11">
        <v>6.17</v>
      </c>
      <c r="I1660" s="8">
        <v>10.5</v>
      </c>
      <c r="J1660" s="26">
        <v>25</v>
      </c>
      <c r="K1660" s="10">
        <v>1.6196250000000001</v>
      </c>
      <c r="L1660" s="4"/>
      <c r="M1660" s="26">
        <v>25</v>
      </c>
      <c r="N1660" s="18">
        <v>1.6196250000000001</v>
      </c>
      <c r="O1660" s="19">
        <v>0</v>
      </c>
      <c r="P1660" s="13">
        <v>0</v>
      </c>
      <c r="Q1660" s="9"/>
      <c r="R1660" s="2"/>
      <c r="S1660" s="2"/>
      <c r="T1660" s="213"/>
      <c r="U1660" s="213"/>
      <c r="V1660" s="213"/>
    </row>
    <row r="1661" spans="1:22">
      <c r="A1661" s="42" t="s">
        <v>77</v>
      </c>
      <c r="B1661" s="3" t="s">
        <v>68</v>
      </c>
      <c r="C1661" s="3">
        <v>304</v>
      </c>
      <c r="D1661" s="1"/>
      <c r="E1661" s="20" t="s">
        <v>17</v>
      </c>
      <c r="F1661" s="7" t="s">
        <v>15</v>
      </c>
      <c r="G1661" s="7" t="s">
        <v>27</v>
      </c>
      <c r="H1661" s="11">
        <v>6.17</v>
      </c>
      <c r="I1661" s="8">
        <v>7.25</v>
      </c>
      <c r="J1661" s="26">
        <v>1</v>
      </c>
      <c r="K1661" s="10">
        <v>4.4732500000000001E-2</v>
      </c>
      <c r="L1661" s="4"/>
      <c r="M1661" s="17"/>
      <c r="N1661" s="18">
        <v>0</v>
      </c>
      <c r="O1661" s="19">
        <v>1</v>
      </c>
      <c r="P1661" s="13">
        <v>4.4732500000000001E-2</v>
      </c>
      <c r="Q1661" s="9"/>
      <c r="R1661" s="2"/>
      <c r="S1661" s="2"/>
      <c r="T1661" s="213"/>
      <c r="U1661" s="213"/>
      <c r="V1661" s="213"/>
    </row>
    <row r="1662" spans="1:22">
      <c r="A1662" s="42" t="s">
        <v>77</v>
      </c>
      <c r="B1662" s="3" t="s">
        <v>68</v>
      </c>
      <c r="C1662" s="3">
        <v>304</v>
      </c>
      <c r="D1662" s="1"/>
      <c r="E1662" s="20" t="s">
        <v>17</v>
      </c>
      <c r="F1662" s="7" t="s">
        <v>15</v>
      </c>
      <c r="G1662" s="7" t="s">
        <v>27</v>
      </c>
      <c r="H1662" s="11">
        <v>6.17</v>
      </c>
      <c r="I1662" s="8">
        <v>9.5</v>
      </c>
      <c r="J1662" s="26">
        <v>6</v>
      </c>
      <c r="K1662" s="10">
        <v>0.35169</v>
      </c>
      <c r="L1662" s="4"/>
      <c r="M1662" s="17">
        <v>6</v>
      </c>
      <c r="N1662" s="18">
        <v>0.35169</v>
      </c>
      <c r="O1662" s="19">
        <v>0</v>
      </c>
      <c r="P1662" s="13">
        <v>0</v>
      </c>
      <c r="Q1662" s="9"/>
      <c r="R1662" s="2"/>
      <c r="S1662" s="2"/>
      <c r="T1662" s="213"/>
      <c r="U1662" s="213"/>
      <c r="V1662" s="213"/>
    </row>
    <row r="1663" spans="1:22">
      <c r="A1663" s="42" t="s">
        <v>77</v>
      </c>
      <c r="B1663" s="3" t="s">
        <v>68</v>
      </c>
      <c r="C1663" s="3">
        <v>304</v>
      </c>
      <c r="D1663" s="1"/>
      <c r="E1663" s="20" t="s">
        <v>17</v>
      </c>
      <c r="F1663" s="7" t="s">
        <v>15</v>
      </c>
      <c r="G1663" s="7" t="s">
        <v>27</v>
      </c>
      <c r="H1663" s="11">
        <v>6.17</v>
      </c>
      <c r="I1663" s="8">
        <v>10.5</v>
      </c>
      <c r="J1663" s="26">
        <v>15</v>
      </c>
      <c r="K1663" s="10">
        <v>0.97177499999999994</v>
      </c>
      <c r="L1663" s="4"/>
      <c r="M1663" s="17">
        <v>15</v>
      </c>
      <c r="N1663" s="18">
        <v>0.97177499999999994</v>
      </c>
      <c r="O1663" s="19">
        <v>0</v>
      </c>
      <c r="P1663" s="13">
        <v>0</v>
      </c>
      <c r="Q1663" s="9">
        <v>9.5</v>
      </c>
      <c r="R1663" s="2">
        <v>4</v>
      </c>
      <c r="S1663" s="2"/>
      <c r="T1663" s="247">
        <v>10.5</v>
      </c>
      <c r="U1663" s="77">
        <v>1</v>
      </c>
      <c r="V1663" s="77" t="s">
        <v>213</v>
      </c>
    </row>
    <row r="1664" spans="1:22">
      <c r="A1664" s="42" t="s">
        <v>77</v>
      </c>
      <c r="B1664" s="3" t="s">
        <v>68</v>
      </c>
      <c r="C1664" s="3">
        <v>305</v>
      </c>
      <c r="D1664" s="1"/>
      <c r="E1664" s="20" t="s">
        <v>17</v>
      </c>
      <c r="F1664" s="7" t="s">
        <v>15</v>
      </c>
      <c r="G1664" s="7" t="s">
        <v>27</v>
      </c>
      <c r="H1664" s="11">
        <v>6.17</v>
      </c>
      <c r="I1664" s="8">
        <v>9.75</v>
      </c>
      <c r="J1664" s="26">
        <v>9</v>
      </c>
      <c r="K1664" s="10">
        <v>0.5414175</v>
      </c>
      <c r="L1664" s="4"/>
      <c r="M1664" s="17">
        <v>9</v>
      </c>
      <c r="N1664" s="18">
        <v>0.5414175</v>
      </c>
      <c r="O1664" s="19">
        <v>0</v>
      </c>
      <c r="P1664" s="13">
        <v>0</v>
      </c>
      <c r="Q1664" s="9"/>
      <c r="R1664" s="2"/>
      <c r="S1664" s="2"/>
      <c r="T1664" s="247"/>
      <c r="U1664" s="77"/>
      <c r="V1664" s="77"/>
    </row>
    <row r="1665" spans="1:22">
      <c r="A1665" s="42" t="s">
        <v>77</v>
      </c>
      <c r="B1665" s="3" t="s">
        <v>68</v>
      </c>
      <c r="C1665" s="3">
        <v>306</v>
      </c>
      <c r="D1665" s="1"/>
      <c r="E1665" s="20" t="s">
        <v>17</v>
      </c>
      <c r="F1665" s="7" t="s">
        <v>15</v>
      </c>
      <c r="G1665" s="7" t="s">
        <v>27</v>
      </c>
      <c r="H1665" s="11">
        <v>6.17</v>
      </c>
      <c r="I1665" s="8">
        <v>9</v>
      </c>
      <c r="J1665" s="26">
        <v>4</v>
      </c>
      <c r="K1665" s="10">
        <v>0.22212000000000001</v>
      </c>
      <c r="L1665" s="4"/>
      <c r="M1665" s="17">
        <v>4</v>
      </c>
      <c r="N1665" s="18">
        <v>0.22212000000000001</v>
      </c>
      <c r="O1665" s="19">
        <v>0</v>
      </c>
      <c r="P1665" s="13">
        <v>0</v>
      </c>
      <c r="Q1665" s="9"/>
      <c r="R1665" s="2"/>
      <c r="S1665" s="2"/>
      <c r="T1665" s="247">
        <v>8</v>
      </c>
      <c r="U1665" s="77">
        <v>4</v>
      </c>
      <c r="V1665" s="77" t="s">
        <v>213</v>
      </c>
    </row>
    <row r="1666" spans="1:22">
      <c r="A1666" s="42" t="s">
        <v>77</v>
      </c>
      <c r="B1666" s="3" t="s">
        <v>68</v>
      </c>
      <c r="C1666" s="3">
        <v>307</v>
      </c>
      <c r="D1666" s="1"/>
      <c r="E1666" s="20" t="s">
        <v>17</v>
      </c>
      <c r="F1666" s="7" t="s">
        <v>15</v>
      </c>
      <c r="G1666" s="7" t="s">
        <v>27</v>
      </c>
      <c r="H1666" s="11">
        <v>6.17</v>
      </c>
      <c r="I1666" s="8">
        <v>11</v>
      </c>
      <c r="J1666" s="26">
        <v>3</v>
      </c>
      <c r="K1666" s="10">
        <v>0.20361000000000001</v>
      </c>
      <c r="L1666" s="4"/>
      <c r="M1666" s="17">
        <v>3</v>
      </c>
      <c r="N1666" s="18">
        <v>0.20360999999999999</v>
      </c>
      <c r="O1666" s="19">
        <v>0</v>
      </c>
      <c r="P1666" s="13">
        <v>0</v>
      </c>
      <c r="Q1666" s="9"/>
      <c r="R1666" s="2"/>
      <c r="S1666" s="2"/>
      <c r="T1666" s="247">
        <v>11</v>
      </c>
      <c r="U1666" s="77">
        <v>3</v>
      </c>
      <c r="V1666" s="77" t="s">
        <v>213</v>
      </c>
    </row>
    <row r="1667" spans="1:22">
      <c r="A1667" s="42" t="s">
        <v>77</v>
      </c>
      <c r="B1667" s="3" t="s">
        <v>68</v>
      </c>
      <c r="C1667" s="3">
        <v>307</v>
      </c>
      <c r="D1667" s="1"/>
      <c r="E1667" s="20" t="s">
        <v>17</v>
      </c>
      <c r="F1667" s="7" t="s">
        <v>15</v>
      </c>
      <c r="G1667" s="7" t="s">
        <v>27</v>
      </c>
      <c r="H1667" s="11">
        <v>6.17</v>
      </c>
      <c r="I1667" s="8">
        <v>12</v>
      </c>
      <c r="J1667" s="26">
        <v>26</v>
      </c>
      <c r="K1667" s="10">
        <v>1.9250399999999996</v>
      </c>
      <c r="L1667" s="4"/>
      <c r="M1667" s="17">
        <v>26</v>
      </c>
      <c r="N1667" s="18">
        <v>1.9250399999999999</v>
      </c>
      <c r="O1667" s="19">
        <v>0</v>
      </c>
      <c r="P1667" s="13">
        <v>0</v>
      </c>
      <c r="Q1667" s="9"/>
      <c r="R1667" s="2"/>
      <c r="S1667" s="2"/>
      <c r="T1667" s="158"/>
      <c r="U1667" s="213"/>
      <c r="V1667" s="213"/>
    </row>
    <row r="1668" spans="1:22">
      <c r="A1668" s="42" t="s">
        <v>77</v>
      </c>
      <c r="B1668" s="3" t="s">
        <v>68</v>
      </c>
      <c r="C1668" s="3">
        <v>308</v>
      </c>
      <c r="D1668" s="1"/>
      <c r="E1668" s="20" t="s">
        <v>17</v>
      </c>
      <c r="F1668" s="7" t="s">
        <v>15</v>
      </c>
      <c r="G1668" s="7" t="s">
        <v>27</v>
      </c>
      <c r="H1668" s="11">
        <v>6.17</v>
      </c>
      <c r="I1668" s="8">
        <v>11</v>
      </c>
      <c r="J1668" s="26">
        <v>30</v>
      </c>
      <c r="K1668" s="10">
        <v>2.0361000000000002</v>
      </c>
      <c r="L1668" s="4"/>
      <c r="M1668" s="17">
        <v>30</v>
      </c>
      <c r="N1668" s="18">
        <v>2.0360999999999998</v>
      </c>
      <c r="O1668" s="19">
        <v>0</v>
      </c>
      <c r="P1668" s="13">
        <v>0</v>
      </c>
      <c r="Q1668" s="9"/>
      <c r="R1668" s="2"/>
      <c r="S1668" s="2"/>
      <c r="T1668" s="158"/>
      <c r="U1668" s="213"/>
      <c r="V1668" s="213"/>
    </row>
    <row r="1669" spans="1:22">
      <c r="A1669" s="42" t="s">
        <v>77</v>
      </c>
      <c r="B1669" s="3" t="s">
        <v>68</v>
      </c>
      <c r="C1669" s="3">
        <v>309</v>
      </c>
      <c r="D1669" s="1"/>
      <c r="E1669" s="20" t="s">
        <v>17</v>
      </c>
      <c r="F1669" s="7" t="s">
        <v>15</v>
      </c>
      <c r="G1669" s="7" t="s">
        <v>27</v>
      </c>
      <c r="H1669" s="11">
        <v>6.17</v>
      </c>
      <c r="I1669" s="8">
        <v>12</v>
      </c>
      <c r="J1669" s="26">
        <v>31</v>
      </c>
      <c r="K1669" s="10">
        <v>2.2952399999999997</v>
      </c>
      <c r="L1669" s="4"/>
      <c r="M1669" s="17">
        <v>31</v>
      </c>
      <c r="N1669" s="18">
        <v>2.2952399999999997</v>
      </c>
      <c r="O1669" s="19">
        <v>0</v>
      </c>
      <c r="P1669" s="13">
        <v>0</v>
      </c>
      <c r="Q1669" s="9"/>
      <c r="R1669" s="2"/>
      <c r="S1669" s="2"/>
      <c r="T1669" s="158"/>
      <c r="U1669" s="213"/>
      <c r="V1669" s="213"/>
    </row>
    <row r="1670" spans="1:22">
      <c r="A1670" s="42" t="s">
        <v>77</v>
      </c>
      <c r="B1670" s="3" t="s">
        <v>68</v>
      </c>
      <c r="C1670" s="3">
        <v>1</v>
      </c>
      <c r="D1670" s="1"/>
      <c r="E1670" s="20" t="s">
        <v>17</v>
      </c>
      <c r="F1670" s="7" t="s">
        <v>15</v>
      </c>
      <c r="G1670" s="7" t="s">
        <v>27</v>
      </c>
      <c r="H1670" s="11">
        <v>6.17</v>
      </c>
      <c r="I1670" s="8">
        <v>9.75</v>
      </c>
      <c r="J1670" s="26">
        <v>9</v>
      </c>
      <c r="K1670" s="10">
        <v>0.5414175</v>
      </c>
      <c r="L1670" s="4"/>
      <c r="M1670" s="17">
        <v>9</v>
      </c>
      <c r="N1670" s="18">
        <v>0.5414175</v>
      </c>
      <c r="O1670" s="19">
        <v>0</v>
      </c>
      <c r="P1670" s="13">
        <v>0</v>
      </c>
      <c r="Q1670" s="9"/>
      <c r="R1670" s="2"/>
      <c r="S1670" s="2"/>
      <c r="T1670" s="247">
        <v>9.6999999999999993</v>
      </c>
      <c r="U1670" s="77">
        <v>1</v>
      </c>
      <c r="V1670" s="77" t="s">
        <v>213</v>
      </c>
    </row>
    <row r="1671" spans="1:22">
      <c r="A1671" s="42" t="s">
        <v>77</v>
      </c>
      <c r="B1671" s="3" t="s">
        <v>68</v>
      </c>
      <c r="C1671" s="3">
        <v>1</v>
      </c>
      <c r="D1671" s="1"/>
      <c r="E1671" s="20" t="s">
        <v>17</v>
      </c>
      <c r="F1671" s="7" t="s">
        <v>15</v>
      </c>
      <c r="G1671" s="7" t="s">
        <v>27</v>
      </c>
      <c r="H1671" s="11">
        <v>6.17</v>
      </c>
      <c r="I1671" s="8">
        <v>9.5</v>
      </c>
      <c r="J1671" s="26">
        <v>1</v>
      </c>
      <c r="K1671" s="10">
        <v>5.8615E-2</v>
      </c>
      <c r="L1671" s="4"/>
      <c r="M1671" s="17">
        <v>1</v>
      </c>
      <c r="N1671" s="18">
        <v>5.8615E-2</v>
      </c>
      <c r="O1671" s="19">
        <v>0</v>
      </c>
      <c r="P1671" s="13">
        <v>0</v>
      </c>
      <c r="Q1671" s="9"/>
      <c r="R1671" s="2"/>
      <c r="S1671" s="2"/>
      <c r="T1671" s="158"/>
      <c r="U1671" s="213"/>
      <c r="V1671" s="213"/>
    </row>
    <row r="1672" spans="1:22">
      <c r="A1672" s="42" t="s">
        <v>77</v>
      </c>
      <c r="B1672" s="3" t="s">
        <v>68</v>
      </c>
      <c r="C1672" s="3">
        <v>1</v>
      </c>
      <c r="D1672" s="1"/>
      <c r="E1672" s="20" t="s">
        <v>17</v>
      </c>
      <c r="F1672" s="7" t="s">
        <v>15</v>
      </c>
      <c r="G1672" s="7" t="s">
        <v>27</v>
      </c>
      <c r="H1672" s="11">
        <v>6.17</v>
      </c>
      <c r="I1672" s="8">
        <v>9</v>
      </c>
      <c r="J1672" s="26">
        <v>1</v>
      </c>
      <c r="K1672" s="10">
        <v>5.5530000000000003E-2</v>
      </c>
      <c r="L1672" s="4"/>
      <c r="M1672" s="17">
        <v>1</v>
      </c>
      <c r="N1672" s="18">
        <v>5.5530000000000003E-2</v>
      </c>
      <c r="O1672" s="19">
        <v>0</v>
      </c>
      <c r="P1672" s="13">
        <v>0</v>
      </c>
      <c r="Q1672" s="9"/>
      <c r="R1672" s="2"/>
      <c r="S1672" s="2"/>
      <c r="T1672" s="247">
        <v>8</v>
      </c>
      <c r="U1672" s="77">
        <v>1</v>
      </c>
      <c r="V1672" s="77" t="s">
        <v>213</v>
      </c>
    </row>
    <row r="1673" spans="1:22">
      <c r="A1673" s="42" t="s">
        <v>77</v>
      </c>
      <c r="B1673" s="3" t="s">
        <v>68</v>
      </c>
      <c r="C1673" s="3">
        <v>2</v>
      </c>
      <c r="D1673" s="1"/>
      <c r="E1673" s="20" t="s">
        <v>17</v>
      </c>
      <c r="F1673" s="7" t="s">
        <v>15</v>
      </c>
      <c r="G1673" s="7" t="s">
        <v>27</v>
      </c>
      <c r="H1673" s="11">
        <v>6.17</v>
      </c>
      <c r="I1673" s="8">
        <v>11</v>
      </c>
      <c r="J1673" s="26">
        <v>4</v>
      </c>
      <c r="K1673" s="10">
        <v>0.27148</v>
      </c>
      <c r="L1673" s="4"/>
      <c r="M1673" s="17">
        <v>4</v>
      </c>
      <c r="N1673" s="18">
        <v>0.27148</v>
      </c>
      <c r="O1673" s="19">
        <v>0</v>
      </c>
      <c r="P1673" s="13">
        <v>0</v>
      </c>
      <c r="Q1673" s="9"/>
      <c r="R1673" s="2"/>
      <c r="S1673" s="2"/>
      <c r="T1673" s="247">
        <v>11</v>
      </c>
      <c r="U1673" s="77">
        <v>4</v>
      </c>
      <c r="V1673" s="77" t="s">
        <v>213</v>
      </c>
    </row>
    <row r="1674" spans="1:22">
      <c r="A1674" s="42" t="s">
        <v>77</v>
      </c>
      <c r="B1674" s="3" t="s">
        <v>68</v>
      </c>
      <c r="C1674" s="3">
        <v>2</v>
      </c>
      <c r="D1674" s="1"/>
      <c r="E1674" s="20" t="s">
        <v>17</v>
      </c>
      <c r="F1674" s="7" t="s">
        <v>15</v>
      </c>
      <c r="G1674" s="7" t="s">
        <v>27</v>
      </c>
      <c r="H1674" s="11">
        <v>6.17</v>
      </c>
      <c r="I1674" s="8">
        <v>10.5</v>
      </c>
      <c r="J1674" s="26">
        <v>3</v>
      </c>
      <c r="K1674" s="10">
        <v>0.194355</v>
      </c>
      <c r="L1674" s="4"/>
      <c r="M1674" s="17">
        <v>3</v>
      </c>
      <c r="N1674" s="18">
        <v>0.194355</v>
      </c>
      <c r="O1674" s="19">
        <v>0</v>
      </c>
      <c r="P1674" s="13">
        <v>0</v>
      </c>
      <c r="Q1674" s="9"/>
      <c r="R1674" s="2"/>
      <c r="S1674" s="2"/>
      <c r="T1674" s="247">
        <v>10.5</v>
      </c>
      <c r="U1674" s="77">
        <v>3</v>
      </c>
      <c r="V1674" s="77" t="s">
        <v>213</v>
      </c>
    </row>
    <row r="1675" spans="1:22">
      <c r="A1675" s="42" t="s">
        <v>77</v>
      </c>
      <c r="B1675" s="3" t="s">
        <v>68</v>
      </c>
      <c r="C1675" s="3">
        <v>2</v>
      </c>
      <c r="D1675" s="1"/>
      <c r="E1675" s="20" t="s">
        <v>17</v>
      </c>
      <c r="F1675" s="7" t="s">
        <v>15</v>
      </c>
      <c r="G1675" s="7" t="s">
        <v>27</v>
      </c>
      <c r="H1675" s="11">
        <v>6.17</v>
      </c>
      <c r="I1675" s="8">
        <v>7.25</v>
      </c>
      <c r="J1675" s="26">
        <v>2</v>
      </c>
      <c r="K1675" s="10">
        <v>8.9465000000000003E-2</v>
      </c>
      <c r="L1675" s="4"/>
      <c r="M1675" s="17"/>
      <c r="N1675" s="18">
        <v>0</v>
      </c>
      <c r="O1675" s="19">
        <v>2</v>
      </c>
      <c r="P1675" s="13">
        <v>8.9465000000000003E-2</v>
      </c>
      <c r="Q1675" s="9"/>
      <c r="R1675" s="2"/>
      <c r="S1675" s="2"/>
      <c r="T1675" s="213"/>
      <c r="U1675" s="213"/>
      <c r="V1675" s="213"/>
    </row>
    <row r="1676" spans="1:22">
      <c r="A1676" s="42" t="s">
        <v>77</v>
      </c>
      <c r="B1676" s="3" t="s">
        <v>68</v>
      </c>
      <c r="C1676" s="3">
        <v>3</v>
      </c>
      <c r="D1676" s="1"/>
      <c r="E1676" s="20" t="s">
        <v>17</v>
      </c>
      <c r="F1676" s="7" t="s">
        <v>15</v>
      </c>
      <c r="G1676" s="7" t="s">
        <v>27</v>
      </c>
      <c r="H1676" s="11">
        <v>6.17</v>
      </c>
      <c r="I1676" s="8">
        <v>12</v>
      </c>
      <c r="J1676" s="26">
        <v>10</v>
      </c>
      <c r="K1676" s="10">
        <v>0.74039999999999984</v>
      </c>
      <c r="L1676" s="4"/>
      <c r="M1676" s="17">
        <v>10</v>
      </c>
      <c r="N1676" s="18">
        <v>0.74039999999999995</v>
      </c>
      <c r="O1676" s="19">
        <v>0</v>
      </c>
      <c r="P1676" s="13">
        <v>0</v>
      </c>
      <c r="Q1676" s="9">
        <v>11.55</v>
      </c>
      <c r="R1676" s="2">
        <v>10</v>
      </c>
      <c r="S1676" s="2" t="s">
        <v>241</v>
      </c>
      <c r="T1676" s="213"/>
      <c r="U1676" s="213"/>
      <c r="V1676" s="213"/>
    </row>
    <row r="1677" spans="1:22">
      <c r="A1677" s="42" t="s">
        <v>77</v>
      </c>
      <c r="B1677" s="3" t="s">
        <v>68</v>
      </c>
      <c r="C1677" s="3">
        <v>3</v>
      </c>
      <c r="D1677" s="1"/>
      <c r="E1677" s="20" t="s">
        <v>17</v>
      </c>
      <c r="F1677" s="7" t="s">
        <v>15</v>
      </c>
      <c r="G1677" s="7" t="s">
        <v>27</v>
      </c>
      <c r="H1677" s="11">
        <v>6.17</v>
      </c>
      <c r="I1677" s="8">
        <v>9.9</v>
      </c>
      <c r="J1677" s="26">
        <v>5</v>
      </c>
      <c r="K1677" s="10">
        <v>0.30541499999999994</v>
      </c>
      <c r="L1677" s="4"/>
      <c r="M1677" s="17">
        <v>5</v>
      </c>
      <c r="N1677" s="18">
        <v>0.30541500000000005</v>
      </c>
      <c r="O1677" s="19">
        <v>0</v>
      </c>
      <c r="P1677" s="13">
        <v>0</v>
      </c>
      <c r="Q1677" s="9">
        <v>9.5</v>
      </c>
      <c r="R1677" s="2">
        <v>5</v>
      </c>
      <c r="S1677" s="2"/>
      <c r="T1677" s="213"/>
      <c r="U1677" s="213"/>
      <c r="V1677" s="213"/>
    </row>
    <row r="1678" spans="1:22">
      <c r="A1678" s="42" t="s">
        <v>78</v>
      </c>
      <c r="B1678" s="3"/>
      <c r="C1678" s="3">
        <v>39</v>
      </c>
      <c r="D1678" s="1"/>
      <c r="E1678" s="20" t="s">
        <v>17</v>
      </c>
      <c r="F1678" s="7" t="s">
        <v>15</v>
      </c>
      <c r="G1678" s="7" t="s">
        <v>27</v>
      </c>
      <c r="H1678" s="11">
        <v>6.17</v>
      </c>
      <c r="I1678" s="8">
        <v>9.5</v>
      </c>
      <c r="J1678" s="26">
        <v>6</v>
      </c>
      <c r="K1678" s="10">
        <v>0.35169</v>
      </c>
      <c r="L1678" s="4"/>
      <c r="M1678" s="17">
        <v>6</v>
      </c>
      <c r="N1678" s="18">
        <v>0.35169</v>
      </c>
      <c r="O1678" s="19">
        <v>0</v>
      </c>
      <c r="P1678" s="13">
        <v>0</v>
      </c>
      <c r="Q1678" s="9"/>
      <c r="R1678" s="2"/>
      <c r="S1678" s="2"/>
      <c r="T1678" s="213"/>
      <c r="U1678" s="213"/>
      <c r="V1678" s="213"/>
    </row>
    <row r="1679" spans="1:22">
      <c r="A1679" s="42" t="s">
        <v>78</v>
      </c>
      <c r="B1679" s="3"/>
      <c r="C1679" s="3">
        <v>39</v>
      </c>
      <c r="D1679" s="1"/>
      <c r="E1679" s="20" t="s">
        <v>17</v>
      </c>
      <c r="F1679" s="7" t="s">
        <v>15</v>
      </c>
      <c r="G1679" s="7" t="s">
        <v>27</v>
      </c>
      <c r="H1679" s="11">
        <v>6.17</v>
      </c>
      <c r="I1679" s="8">
        <v>9</v>
      </c>
      <c r="J1679" s="26">
        <v>3</v>
      </c>
      <c r="K1679" s="10">
        <v>0.16659000000000002</v>
      </c>
      <c r="L1679" s="4"/>
      <c r="M1679" s="17">
        <v>3</v>
      </c>
      <c r="N1679" s="18">
        <v>0.16659000000000002</v>
      </c>
      <c r="O1679" s="19">
        <v>0</v>
      </c>
      <c r="P1679" s="13">
        <v>0</v>
      </c>
      <c r="Q1679" s="9"/>
      <c r="R1679" s="2"/>
      <c r="S1679" s="2"/>
      <c r="T1679" s="247">
        <v>8</v>
      </c>
      <c r="U1679" s="77">
        <v>3</v>
      </c>
      <c r="V1679" s="77" t="s">
        <v>213</v>
      </c>
    </row>
    <row r="1680" spans="1:22">
      <c r="A1680" s="42" t="s">
        <v>78</v>
      </c>
      <c r="B1680" s="3"/>
      <c r="C1680" s="3">
        <v>39</v>
      </c>
      <c r="D1680" s="1"/>
      <c r="E1680" s="20" t="s">
        <v>17</v>
      </c>
      <c r="F1680" s="7" t="s">
        <v>15</v>
      </c>
      <c r="G1680" s="7" t="s">
        <v>27</v>
      </c>
      <c r="H1680" s="11">
        <v>6.17</v>
      </c>
      <c r="I1680" s="8">
        <v>8.8000000000000007</v>
      </c>
      <c r="J1680" s="26">
        <v>1</v>
      </c>
      <c r="K1680" s="10">
        <v>5.4296000000000004E-2</v>
      </c>
      <c r="L1680" s="4"/>
      <c r="M1680" s="17">
        <v>1</v>
      </c>
      <c r="N1680" s="18">
        <v>5.4296000000000004E-2</v>
      </c>
      <c r="O1680" s="19">
        <v>0</v>
      </c>
      <c r="P1680" s="13">
        <v>0</v>
      </c>
      <c r="Q1680" s="9"/>
      <c r="R1680" s="2"/>
      <c r="S1680" s="2"/>
      <c r="T1680" s="247">
        <v>8</v>
      </c>
      <c r="U1680" s="77">
        <v>1</v>
      </c>
      <c r="V1680" s="77" t="s">
        <v>213</v>
      </c>
    </row>
    <row r="1681" spans="1:22">
      <c r="A1681" s="42" t="s">
        <v>78</v>
      </c>
      <c r="B1681" s="3"/>
      <c r="C1681" s="3">
        <v>39</v>
      </c>
      <c r="D1681" s="1"/>
      <c r="E1681" s="20" t="s">
        <v>17</v>
      </c>
      <c r="F1681" s="7" t="s">
        <v>15</v>
      </c>
      <c r="G1681" s="7" t="s">
        <v>27</v>
      </c>
      <c r="H1681" s="11">
        <v>6.17</v>
      </c>
      <c r="I1681" s="8">
        <v>7.5</v>
      </c>
      <c r="J1681" s="26">
        <v>1</v>
      </c>
      <c r="K1681" s="10">
        <v>4.6274999999999997E-2</v>
      </c>
      <c r="L1681" s="4"/>
      <c r="M1681" s="17"/>
      <c r="N1681" s="18">
        <v>0</v>
      </c>
      <c r="O1681" s="19">
        <v>1</v>
      </c>
      <c r="P1681" s="13">
        <v>4.6274999999999997E-2</v>
      </c>
      <c r="Q1681" s="9"/>
      <c r="R1681" s="2"/>
      <c r="S1681" s="2"/>
      <c r="T1681" s="158"/>
      <c r="U1681" s="213"/>
      <c r="V1681" s="213"/>
    </row>
    <row r="1682" spans="1:22">
      <c r="A1682" s="42" t="s">
        <v>78</v>
      </c>
      <c r="B1682" s="3"/>
      <c r="C1682" s="3">
        <v>39</v>
      </c>
      <c r="D1682" s="1"/>
      <c r="E1682" s="20" t="s">
        <v>17</v>
      </c>
      <c r="F1682" s="7" t="s">
        <v>15</v>
      </c>
      <c r="G1682" s="7" t="s">
        <v>27</v>
      </c>
      <c r="H1682" s="11">
        <v>6.17</v>
      </c>
      <c r="I1682" s="8">
        <v>7</v>
      </c>
      <c r="J1682" s="26">
        <v>1</v>
      </c>
      <c r="K1682" s="10">
        <v>4.3189999999999999E-2</v>
      </c>
      <c r="L1682" s="4"/>
      <c r="M1682" s="17"/>
      <c r="N1682" s="18">
        <v>0</v>
      </c>
      <c r="O1682" s="19">
        <v>1</v>
      </c>
      <c r="P1682" s="13">
        <v>4.3189999999999999E-2</v>
      </c>
      <c r="Q1682" s="9"/>
      <c r="R1682" s="2"/>
      <c r="S1682" s="2"/>
      <c r="T1682" s="158"/>
      <c r="U1682" s="213"/>
      <c r="V1682" s="213"/>
    </row>
    <row r="1683" spans="1:22">
      <c r="A1683" s="42" t="s">
        <v>78</v>
      </c>
      <c r="B1683" s="3"/>
      <c r="C1683" s="3">
        <v>10</v>
      </c>
      <c r="D1683" s="1"/>
      <c r="E1683" s="20" t="s">
        <v>17</v>
      </c>
      <c r="F1683" s="7" t="s">
        <v>15</v>
      </c>
      <c r="G1683" s="7" t="s">
        <v>27</v>
      </c>
      <c r="H1683" s="11">
        <v>6.17</v>
      </c>
      <c r="I1683" s="8">
        <v>5.5</v>
      </c>
      <c r="J1683" s="26">
        <v>1</v>
      </c>
      <c r="K1683" s="10">
        <v>3.3935E-2</v>
      </c>
      <c r="L1683" s="4"/>
      <c r="M1683" s="17"/>
      <c r="N1683" s="18">
        <v>0</v>
      </c>
      <c r="O1683" s="19">
        <v>1</v>
      </c>
      <c r="P1683" s="13">
        <v>3.3935E-2</v>
      </c>
      <c r="Q1683" s="9"/>
      <c r="R1683" s="2"/>
      <c r="S1683" s="2"/>
      <c r="T1683" s="158"/>
      <c r="U1683" s="213"/>
      <c r="V1683" s="213"/>
    </row>
    <row r="1684" spans="1:22">
      <c r="A1684" s="42" t="s">
        <v>78</v>
      </c>
      <c r="B1684" s="3"/>
      <c r="C1684" s="3">
        <v>10</v>
      </c>
      <c r="D1684" s="1"/>
      <c r="E1684" s="20" t="s">
        <v>17</v>
      </c>
      <c r="F1684" s="7" t="s">
        <v>15</v>
      </c>
      <c r="G1684" s="7" t="s">
        <v>27</v>
      </c>
      <c r="H1684" s="11">
        <v>6.17</v>
      </c>
      <c r="I1684" s="8">
        <v>5.85</v>
      </c>
      <c r="J1684" s="26">
        <v>1</v>
      </c>
      <c r="K1684" s="10">
        <v>3.6094499999999995E-2</v>
      </c>
      <c r="L1684" s="4"/>
      <c r="M1684" s="17"/>
      <c r="N1684" s="18">
        <v>0</v>
      </c>
      <c r="O1684" s="19">
        <v>1</v>
      </c>
      <c r="P1684" s="13">
        <v>3.6094499999999995E-2</v>
      </c>
      <c r="Q1684" s="9"/>
      <c r="R1684" s="2"/>
      <c r="S1684" s="2"/>
      <c r="T1684" s="158"/>
      <c r="U1684" s="213"/>
      <c r="V1684" s="213"/>
    </row>
    <row r="1685" spans="1:22">
      <c r="A1685" s="42" t="s">
        <v>78</v>
      </c>
      <c r="B1685" s="3"/>
      <c r="C1685" s="3">
        <v>10</v>
      </c>
      <c r="D1685" s="1"/>
      <c r="E1685" s="20" t="s">
        <v>17</v>
      </c>
      <c r="F1685" s="7" t="s">
        <v>15</v>
      </c>
      <c r="G1685" s="7" t="s">
        <v>27</v>
      </c>
      <c r="H1685" s="11">
        <v>6.17</v>
      </c>
      <c r="I1685" s="8">
        <v>6</v>
      </c>
      <c r="J1685" s="26">
        <v>1</v>
      </c>
      <c r="K1685" s="10">
        <v>3.7019999999999997E-2</v>
      </c>
      <c r="L1685" s="4"/>
      <c r="M1685" s="22"/>
      <c r="N1685" s="18">
        <v>0</v>
      </c>
      <c r="O1685" s="19">
        <v>1</v>
      </c>
      <c r="P1685" s="13">
        <v>3.7019999999999997E-2</v>
      </c>
      <c r="Q1685" s="9"/>
      <c r="R1685" s="2"/>
      <c r="S1685" s="2"/>
      <c r="T1685" s="158"/>
      <c r="U1685" s="213"/>
      <c r="V1685" s="213"/>
    </row>
    <row r="1686" spans="1:22">
      <c r="A1686" s="42" t="s">
        <v>78</v>
      </c>
      <c r="B1686" s="3"/>
      <c r="C1686" s="3">
        <v>10</v>
      </c>
      <c r="D1686" s="1"/>
      <c r="E1686" s="20" t="s">
        <v>17</v>
      </c>
      <c r="F1686" s="7" t="s">
        <v>15</v>
      </c>
      <c r="G1686" s="7" t="s">
        <v>27</v>
      </c>
      <c r="H1686" s="11">
        <v>6.17</v>
      </c>
      <c r="I1686" s="8">
        <v>6.75</v>
      </c>
      <c r="J1686" s="26">
        <v>1</v>
      </c>
      <c r="K1686" s="10">
        <v>4.1647500000000004E-2</v>
      </c>
      <c r="L1686" s="4"/>
      <c r="M1686" s="22"/>
      <c r="N1686" s="18">
        <v>0</v>
      </c>
      <c r="O1686" s="19">
        <v>1</v>
      </c>
      <c r="P1686" s="13">
        <v>4.1647500000000004E-2</v>
      </c>
      <c r="Q1686" s="9"/>
      <c r="R1686" s="2"/>
      <c r="S1686" s="2"/>
      <c r="T1686" s="158"/>
      <c r="U1686" s="213"/>
      <c r="V1686" s="213"/>
    </row>
    <row r="1687" spans="1:22">
      <c r="A1687" s="42" t="s">
        <v>78</v>
      </c>
      <c r="B1687" s="3"/>
      <c r="C1687" s="3">
        <v>10</v>
      </c>
      <c r="D1687" s="1"/>
      <c r="E1687" s="20" t="s">
        <v>17</v>
      </c>
      <c r="F1687" s="7" t="s">
        <v>15</v>
      </c>
      <c r="G1687" s="7" t="s">
        <v>27</v>
      </c>
      <c r="H1687" s="11">
        <v>6.17</v>
      </c>
      <c r="I1687" s="8">
        <v>11</v>
      </c>
      <c r="J1687" s="26">
        <v>2</v>
      </c>
      <c r="K1687" s="10">
        <v>0.13574</v>
      </c>
      <c r="L1687" s="4"/>
      <c r="M1687" s="22">
        <v>2</v>
      </c>
      <c r="N1687" s="18">
        <v>0.13574</v>
      </c>
      <c r="O1687" s="19">
        <v>0</v>
      </c>
      <c r="P1687" s="13">
        <v>0</v>
      </c>
      <c r="Q1687" s="9"/>
      <c r="R1687" s="2"/>
      <c r="S1687" s="2"/>
      <c r="T1687" s="247">
        <v>11</v>
      </c>
      <c r="U1687" s="77">
        <v>2</v>
      </c>
      <c r="V1687" s="77" t="s">
        <v>213</v>
      </c>
    </row>
    <row r="1688" spans="1:22">
      <c r="A1688" s="42" t="s">
        <v>78</v>
      </c>
      <c r="B1688" s="3"/>
      <c r="C1688" s="3">
        <v>10</v>
      </c>
      <c r="D1688" s="1"/>
      <c r="E1688" s="20" t="s">
        <v>17</v>
      </c>
      <c r="F1688" s="7" t="s">
        <v>15</v>
      </c>
      <c r="G1688" s="7" t="s">
        <v>27</v>
      </c>
      <c r="H1688" s="11">
        <v>6.17</v>
      </c>
      <c r="I1688" s="8">
        <v>12</v>
      </c>
      <c r="J1688" s="26">
        <v>1</v>
      </c>
      <c r="K1688" s="10">
        <v>7.4039999999999995E-2</v>
      </c>
      <c r="L1688" s="4"/>
      <c r="M1688" s="22">
        <v>1</v>
      </c>
      <c r="N1688" s="18">
        <v>7.4039999999999995E-2</v>
      </c>
      <c r="O1688" s="19">
        <v>0</v>
      </c>
      <c r="P1688" s="13">
        <v>0</v>
      </c>
      <c r="Q1688" s="9"/>
      <c r="R1688" s="2"/>
      <c r="S1688" s="2"/>
      <c r="T1688" s="247">
        <v>12</v>
      </c>
      <c r="U1688" s="77">
        <v>1</v>
      </c>
      <c r="V1688" s="77" t="s">
        <v>213</v>
      </c>
    </row>
    <row r="1689" spans="1:22">
      <c r="A1689" s="42" t="s">
        <v>78</v>
      </c>
      <c r="B1689" s="3"/>
      <c r="C1689" s="3">
        <v>10</v>
      </c>
      <c r="D1689" s="1"/>
      <c r="E1689" s="20" t="s">
        <v>17</v>
      </c>
      <c r="F1689" s="7" t="s">
        <v>15</v>
      </c>
      <c r="G1689" s="7" t="s">
        <v>27</v>
      </c>
      <c r="H1689" s="11">
        <v>6.17</v>
      </c>
      <c r="I1689" s="8">
        <v>6.5</v>
      </c>
      <c r="J1689" s="26">
        <v>1</v>
      </c>
      <c r="K1689" s="10">
        <v>4.0104999999999995E-2</v>
      </c>
      <c r="L1689" s="4"/>
      <c r="M1689" s="22"/>
      <c r="N1689" s="18">
        <v>0</v>
      </c>
      <c r="O1689" s="19">
        <v>1</v>
      </c>
      <c r="P1689" s="13">
        <v>4.0104999999999995E-2</v>
      </c>
      <c r="Q1689" s="9"/>
      <c r="R1689" s="2"/>
      <c r="S1689" s="2"/>
      <c r="T1689" s="158"/>
      <c r="U1689" s="213"/>
      <c r="V1689" s="213"/>
    </row>
    <row r="1690" spans="1:22">
      <c r="A1690" s="42" t="s">
        <v>78</v>
      </c>
      <c r="B1690" s="3"/>
      <c r="C1690" s="3">
        <v>10</v>
      </c>
      <c r="D1690" s="1"/>
      <c r="E1690" s="20" t="s">
        <v>17</v>
      </c>
      <c r="F1690" s="7" t="s">
        <v>15</v>
      </c>
      <c r="G1690" s="7" t="s">
        <v>27</v>
      </c>
      <c r="H1690" s="11">
        <v>6.17</v>
      </c>
      <c r="I1690" s="8">
        <v>7.25</v>
      </c>
      <c r="J1690" s="26">
        <v>34</v>
      </c>
      <c r="K1690" s="10">
        <v>1.520905</v>
      </c>
      <c r="L1690" s="4"/>
      <c r="M1690" s="17">
        <v>28</v>
      </c>
      <c r="N1690" s="18">
        <v>1.25251</v>
      </c>
      <c r="O1690" s="19">
        <v>6</v>
      </c>
      <c r="P1690" s="13">
        <v>0.26839499999999999</v>
      </c>
      <c r="Q1690" s="9"/>
      <c r="R1690" s="2"/>
      <c r="S1690" s="2"/>
      <c r="T1690" s="158"/>
      <c r="U1690" s="213"/>
      <c r="V1690" s="213"/>
    </row>
    <row r="1691" spans="1:22">
      <c r="A1691" s="42" t="s">
        <v>78</v>
      </c>
      <c r="B1691" s="3"/>
      <c r="C1691" s="3">
        <v>18</v>
      </c>
      <c r="D1691" s="1"/>
      <c r="E1691" s="20" t="s">
        <v>17</v>
      </c>
      <c r="F1691" s="7" t="s">
        <v>15</v>
      </c>
      <c r="G1691" s="7" t="s">
        <v>27</v>
      </c>
      <c r="H1691" s="11">
        <v>6.17</v>
      </c>
      <c r="I1691" s="8">
        <v>9.5</v>
      </c>
      <c r="J1691" s="26">
        <v>10</v>
      </c>
      <c r="K1691" s="10">
        <v>0.58614999999999995</v>
      </c>
      <c r="L1691" s="4"/>
      <c r="M1691" s="17">
        <v>10</v>
      </c>
      <c r="N1691" s="18">
        <v>0.58614999999999995</v>
      </c>
      <c r="O1691" s="64">
        <v>0</v>
      </c>
      <c r="P1691" s="65">
        <v>0</v>
      </c>
      <c r="Q1691" s="9"/>
      <c r="R1691" s="2"/>
      <c r="S1691" s="2"/>
      <c r="T1691" s="158"/>
      <c r="U1691" s="213"/>
      <c r="V1691" s="213"/>
    </row>
    <row r="1692" spans="1:22">
      <c r="A1692" s="42" t="s">
        <v>78</v>
      </c>
      <c r="B1692" s="3"/>
      <c r="C1692" s="3">
        <v>18</v>
      </c>
      <c r="D1692" s="1"/>
      <c r="E1692" s="20" t="s">
        <v>17</v>
      </c>
      <c r="F1692" s="7" t="s">
        <v>15</v>
      </c>
      <c r="G1692" s="7" t="s">
        <v>27</v>
      </c>
      <c r="H1692" s="11">
        <v>6.17</v>
      </c>
      <c r="I1692" s="8">
        <v>7.25</v>
      </c>
      <c r="J1692" s="26">
        <v>3</v>
      </c>
      <c r="K1692" s="10">
        <v>0.1341975</v>
      </c>
      <c r="L1692" s="4"/>
      <c r="M1692" s="17"/>
      <c r="N1692" s="18">
        <v>0</v>
      </c>
      <c r="O1692" s="19">
        <v>3</v>
      </c>
      <c r="P1692" s="13">
        <v>0.1341975</v>
      </c>
      <c r="Q1692" s="9"/>
      <c r="R1692" s="2"/>
      <c r="S1692" s="2"/>
      <c r="T1692" s="158"/>
      <c r="U1692" s="213"/>
      <c r="V1692" s="213"/>
    </row>
    <row r="1693" spans="1:22">
      <c r="A1693" s="42" t="s">
        <v>78</v>
      </c>
      <c r="B1693" s="3"/>
      <c r="C1693" s="3">
        <v>19</v>
      </c>
      <c r="D1693" s="1"/>
      <c r="E1693" s="20" t="s">
        <v>17</v>
      </c>
      <c r="F1693" s="7" t="s">
        <v>15</v>
      </c>
      <c r="G1693" s="7" t="s">
        <v>27</v>
      </c>
      <c r="H1693" s="11">
        <v>6.17</v>
      </c>
      <c r="I1693" s="8">
        <v>12</v>
      </c>
      <c r="J1693" s="26">
        <v>22</v>
      </c>
      <c r="K1693" s="10">
        <v>1.6288799999999999</v>
      </c>
      <c r="L1693" s="4"/>
      <c r="M1693" s="17">
        <v>22</v>
      </c>
      <c r="N1693" s="18">
        <v>1.6288799999999999</v>
      </c>
      <c r="O1693" s="19">
        <v>0</v>
      </c>
      <c r="P1693" s="13">
        <v>0</v>
      </c>
      <c r="Q1693" s="9">
        <v>11.8</v>
      </c>
      <c r="R1693" s="2">
        <v>13</v>
      </c>
      <c r="S1693" s="2" t="s">
        <v>242</v>
      </c>
      <c r="T1693" s="247">
        <v>12</v>
      </c>
      <c r="U1693" s="77">
        <v>7</v>
      </c>
      <c r="V1693" s="77" t="s">
        <v>213</v>
      </c>
    </row>
    <row r="1694" spans="1:22">
      <c r="A1694" s="42" t="s">
        <v>78</v>
      </c>
      <c r="B1694" s="3"/>
      <c r="C1694" s="3">
        <v>19</v>
      </c>
      <c r="D1694" s="1"/>
      <c r="E1694" s="20" t="s">
        <v>17</v>
      </c>
      <c r="F1694" s="7" t="s">
        <v>15</v>
      </c>
      <c r="G1694" s="7" t="s">
        <v>27</v>
      </c>
      <c r="H1694" s="11">
        <v>6.17</v>
      </c>
      <c r="I1694" s="8">
        <v>9.75</v>
      </c>
      <c r="J1694" s="26">
        <v>2</v>
      </c>
      <c r="K1694" s="10">
        <v>0.12031499999999999</v>
      </c>
      <c r="L1694" s="4"/>
      <c r="M1694" s="17">
        <v>2</v>
      </c>
      <c r="N1694" s="18">
        <v>0.12031499999999999</v>
      </c>
      <c r="O1694" s="19">
        <v>0</v>
      </c>
      <c r="P1694" s="13">
        <v>0</v>
      </c>
      <c r="Q1694" s="9"/>
      <c r="R1694" s="2"/>
      <c r="S1694" s="2"/>
      <c r="T1694" s="247">
        <v>9.6999999999999993</v>
      </c>
      <c r="U1694" s="77">
        <v>2</v>
      </c>
      <c r="V1694" s="77" t="s">
        <v>213</v>
      </c>
    </row>
    <row r="1695" spans="1:22">
      <c r="A1695" s="42" t="s">
        <v>78</v>
      </c>
      <c r="B1695" s="3"/>
      <c r="C1695" s="3">
        <v>19</v>
      </c>
      <c r="D1695" s="1"/>
      <c r="E1695" s="20" t="s">
        <v>17</v>
      </c>
      <c r="F1695" s="7" t="s">
        <v>15</v>
      </c>
      <c r="G1695" s="7" t="s">
        <v>27</v>
      </c>
      <c r="H1695" s="11">
        <v>6.17</v>
      </c>
      <c r="I1695" s="8">
        <v>9.4</v>
      </c>
      <c r="J1695" s="26">
        <v>2</v>
      </c>
      <c r="K1695" s="10">
        <v>0.11599600000000002</v>
      </c>
      <c r="L1695" s="4"/>
      <c r="M1695" s="17">
        <v>2</v>
      </c>
      <c r="N1695" s="18">
        <v>0.11599600000000002</v>
      </c>
      <c r="O1695" s="19">
        <v>0</v>
      </c>
      <c r="P1695" s="13">
        <v>0</v>
      </c>
      <c r="Q1695" s="9"/>
      <c r="R1695" s="2"/>
      <c r="S1695" s="2"/>
      <c r="T1695" s="247">
        <v>9.1999999999999993</v>
      </c>
      <c r="U1695" s="77">
        <v>2</v>
      </c>
      <c r="V1695" s="77" t="s">
        <v>213</v>
      </c>
    </row>
    <row r="1696" spans="1:22">
      <c r="A1696" s="42" t="s">
        <v>78</v>
      </c>
      <c r="B1696" s="3"/>
      <c r="C1696" s="3">
        <v>19</v>
      </c>
      <c r="D1696" s="1"/>
      <c r="E1696" s="20" t="s">
        <v>17</v>
      </c>
      <c r="F1696" s="7" t="s">
        <v>15</v>
      </c>
      <c r="G1696" s="7" t="s">
        <v>27</v>
      </c>
      <c r="H1696" s="11">
        <v>6.17</v>
      </c>
      <c r="I1696" s="8">
        <v>6</v>
      </c>
      <c r="J1696" s="26">
        <v>1</v>
      </c>
      <c r="K1696" s="10">
        <v>3.7019999999999997E-2</v>
      </c>
      <c r="L1696" s="4"/>
      <c r="M1696" s="17"/>
      <c r="N1696" s="18">
        <v>0</v>
      </c>
      <c r="O1696" s="19">
        <v>1</v>
      </c>
      <c r="P1696" s="13">
        <v>3.7019999999999997E-2</v>
      </c>
      <c r="Q1696" s="9"/>
      <c r="R1696" s="2"/>
      <c r="S1696" s="2"/>
      <c r="T1696" s="213"/>
      <c r="U1696" s="213"/>
      <c r="V1696" s="213"/>
    </row>
    <row r="1697" spans="1:22">
      <c r="A1697" s="42" t="s">
        <v>78</v>
      </c>
      <c r="B1697" s="3"/>
      <c r="C1697" s="3">
        <v>20</v>
      </c>
      <c r="D1697" s="1"/>
      <c r="E1697" s="20" t="s">
        <v>17</v>
      </c>
      <c r="F1697" s="7" t="s">
        <v>15</v>
      </c>
      <c r="G1697" s="7" t="s">
        <v>27</v>
      </c>
      <c r="H1697" s="11">
        <v>6.17</v>
      </c>
      <c r="I1697" s="8">
        <v>10.5</v>
      </c>
      <c r="J1697" s="26">
        <v>22</v>
      </c>
      <c r="K1697" s="10">
        <v>1.42527</v>
      </c>
      <c r="L1697" s="4"/>
      <c r="M1697" s="26">
        <v>22</v>
      </c>
      <c r="N1697" s="18">
        <v>1.42527</v>
      </c>
      <c r="O1697" s="19">
        <v>0</v>
      </c>
      <c r="P1697" s="13">
        <v>0</v>
      </c>
      <c r="Q1697" s="9"/>
      <c r="R1697" s="2"/>
      <c r="S1697" s="2"/>
      <c r="T1697" s="213"/>
      <c r="U1697" s="213"/>
      <c r="V1697" s="213"/>
    </row>
    <row r="1698" spans="1:22">
      <c r="A1698" s="42" t="s">
        <v>78</v>
      </c>
      <c r="B1698" s="3"/>
      <c r="C1698" s="3">
        <v>21</v>
      </c>
      <c r="D1698" s="1"/>
      <c r="E1698" s="20" t="s">
        <v>17</v>
      </c>
      <c r="F1698" s="7" t="s">
        <v>15</v>
      </c>
      <c r="G1698" s="7" t="s">
        <v>27</v>
      </c>
      <c r="H1698" s="11">
        <v>6.17</v>
      </c>
      <c r="I1698" s="8">
        <v>11</v>
      </c>
      <c r="J1698" s="26">
        <v>20</v>
      </c>
      <c r="K1698" s="10">
        <v>1.3574000000000002</v>
      </c>
      <c r="L1698" s="4"/>
      <c r="M1698" s="17">
        <v>20</v>
      </c>
      <c r="N1698" s="18">
        <v>1.3574000000000002</v>
      </c>
      <c r="O1698" s="19">
        <v>0</v>
      </c>
      <c r="P1698" s="13">
        <v>0</v>
      </c>
      <c r="Q1698" s="9"/>
      <c r="R1698" s="2"/>
      <c r="S1698" s="2"/>
      <c r="T1698" s="248">
        <v>11</v>
      </c>
      <c r="U1698" s="77">
        <v>10</v>
      </c>
      <c r="V1698" s="77" t="s">
        <v>213</v>
      </c>
    </row>
    <row r="1699" spans="1:22">
      <c r="A1699" s="42" t="s">
        <v>78</v>
      </c>
      <c r="B1699" s="3"/>
      <c r="C1699" s="3">
        <v>21</v>
      </c>
      <c r="D1699" s="1"/>
      <c r="E1699" s="20" t="s">
        <v>17</v>
      </c>
      <c r="F1699" s="7" t="s">
        <v>15</v>
      </c>
      <c r="G1699" s="7" t="s">
        <v>27</v>
      </c>
      <c r="H1699" s="11">
        <v>6.17</v>
      </c>
      <c r="I1699" s="8">
        <v>10.5</v>
      </c>
      <c r="J1699" s="26">
        <v>3</v>
      </c>
      <c r="K1699" s="10">
        <v>0.194355</v>
      </c>
      <c r="L1699" s="4"/>
      <c r="M1699" s="17">
        <v>3</v>
      </c>
      <c r="N1699" s="18">
        <v>0.194355</v>
      </c>
      <c r="O1699" s="19">
        <v>0</v>
      </c>
      <c r="P1699" s="13">
        <v>0</v>
      </c>
      <c r="Q1699" s="9">
        <v>9.85</v>
      </c>
      <c r="R1699" s="2">
        <v>3</v>
      </c>
      <c r="S1699" s="2" t="s">
        <v>243</v>
      </c>
      <c r="T1699" s="213"/>
      <c r="U1699" s="213"/>
      <c r="V1699" s="213"/>
    </row>
    <row r="1700" spans="1:22">
      <c r="A1700" s="42" t="s">
        <v>90</v>
      </c>
      <c r="B1700" s="48" t="s">
        <v>148</v>
      </c>
      <c r="C1700" s="32">
        <v>37</v>
      </c>
      <c r="D1700" s="32"/>
      <c r="E1700" s="48" t="s">
        <v>17</v>
      </c>
      <c r="F1700" s="48" t="s">
        <v>15</v>
      </c>
      <c r="G1700" s="48" t="s">
        <v>27</v>
      </c>
      <c r="H1700" s="11">
        <v>6.17</v>
      </c>
      <c r="I1700" s="52">
        <v>6.65</v>
      </c>
      <c r="J1700" s="7">
        <v>1</v>
      </c>
      <c r="K1700" s="10">
        <v>4.1030500000000004E-2</v>
      </c>
      <c r="L1700" s="32"/>
      <c r="M1700" s="32"/>
      <c r="N1700" s="18">
        <v>0</v>
      </c>
      <c r="O1700" s="19">
        <v>1</v>
      </c>
      <c r="P1700" s="13">
        <v>4.1030500000000004E-2</v>
      </c>
      <c r="Q1700" s="32"/>
      <c r="R1700" s="32"/>
      <c r="S1700" s="32"/>
      <c r="T1700" s="213"/>
      <c r="U1700" s="213"/>
      <c r="V1700" s="213"/>
    </row>
    <row r="1701" spans="1:22">
      <c r="A1701" s="42" t="s">
        <v>90</v>
      </c>
      <c r="B1701" s="48" t="s">
        <v>148</v>
      </c>
      <c r="C1701" s="32">
        <v>37</v>
      </c>
      <c r="D1701" s="32"/>
      <c r="E1701" s="48" t="s">
        <v>17</v>
      </c>
      <c r="F1701" s="48" t="s">
        <v>15</v>
      </c>
      <c r="G1701" s="48" t="s">
        <v>27</v>
      </c>
      <c r="H1701" s="11">
        <v>6.17</v>
      </c>
      <c r="I1701" s="52">
        <v>11</v>
      </c>
      <c r="J1701" s="7">
        <v>1</v>
      </c>
      <c r="K1701" s="10">
        <v>6.787E-2</v>
      </c>
      <c r="L1701" s="32"/>
      <c r="M1701" s="32"/>
      <c r="N1701" s="18">
        <v>0</v>
      </c>
      <c r="O1701" s="19">
        <v>1</v>
      </c>
      <c r="P1701" s="13">
        <v>6.787E-2</v>
      </c>
      <c r="Q1701" s="32"/>
      <c r="R1701" s="32"/>
      <c r="S1701" s="32"/>
      <c r="T1701" s="213"/>
      <c r="U1701" s="213"/>
      <c r="V1701" s="213"/>
    </row>
    <row r="1702" spans="1:22">
      <c r="A1702" s="47" t="s">
        <v>147</v>
      </c>
      <c r="B1702" s="48" t="s">
        <v>148</v>
      </c>
      <c r="C1702" s="32">
        <v>274</v>
      </c>
      <c r="D1702" s="32"/>
      <c r="E1702" s="48" t="s">
        <v>17</v>
      </c>
      <c r="F1702" s="48" t="s">
        <v>160</v>
      </c>
      <c r="G1702" s="48" t="s">
        <v>27</v>
      </c>
      <c r="H1702" s="11">
        <v>6.17</v>
      </c>
      <c r="I1702" s="8">
        <v>7.6</v>
      </c>
      <c r="J1702" s="7">
        <v>1</v>
      </c>
      <c r="K1702" s="10">
        <v>4.6891999999999996E-2</v>
      </c>
      <c r="L1702" s="32"/>
      <c r="M1702" s="32"/>
      <c r="N1702" s="18">
        <v>0</v>
      </c>
      <c r="O1702" s="19">
        <v>1</v>
      </c>
      <c r="P1702" s="13">
        <v>4.6891999999999996E-2</v>
      </c>
      <c r="Q1702" s="32"/>
      <c r="R1702" s="32"/>
      <c r="S1702" s="32"/>
      <c r="T1702" s="213"/>
      <c r="U1702" s="213"/>
      <c r="V1702" s="213"/>
    </row>
    <row r="1703" spans="1:22">
      <c r="A1703" s="47" t="s">
        <v>147</v>
      </c>
      <c r="B1703" s="48" t="s">
        <v>148</v>
      </c>
      <c r="C1703" s="32">
        <v>274</v>
      </c>
      <c r="D1703" s="32"/>
      <c r="E1703" s="48" t="s">
        <v>17</v>
      </c>
      <c r="F1703" s="48" t="s">
        <v>160</v>
      </c>
      <c r="G1703" s="48" t="s">
        <v>27</v>
      </c>
      <c r="H1703" s="11">
        <v>6.17</v>
      </c>
      <c r="I1703" s="8">
        <v>9.9</v>
      </c>
      <c r="J1703" s="7">
        <v>1</v>
      </c>
      <c r="K1703" s="10">
        <v>6.1082999999999998E-2</v>
      </c>
      <c r="L1703" s="32"/>
      <c r="M1703" s="32"/>
      <c r="N1703" s="18">
        <v>0</v>
      </c>
      <c r="O1703" s="19">
        <v>1</v>
      </c>
      <c r="P1703" s="13">
        <v>6.1082999999999998E-2</v>
      </c>
      <c r="Q1703" s="32"/>
      <c r="R1703" s="32"/>
      <c r="S1703" s="32"/>
      <c r="T1703" s="213"/>
      <c r="U1703" s="213"/>
      <c r="V1703" s="213"/>
    </row>
    <row r="1704" spans="1:22">
      <c r="A1704" s="47" t="s">
        <v>147</v>
      </c>
      <c r="B1704" s="48" t="s">
        <v>148</v>
      </c>
      <c r="C1704" s="32">
        <v>274</v>
      </c>
      <c r="D1704" s="32"/>
      <c r="E1704" s="48" t="s">
        <v>17</v>
      </c>
      <c r="F1704" s="48" t="s">
        <v>160</v>
      </c>
      <c r="G1704" s="48" t="s">
        <v>27</v>
      </c>
      <c r="H1704" s="11">
        <v>6.17</v>
      </c>
      <c r="I1704" s="8">
        <v>9.6</v>
      </c>
      <c r="J1704" s="7">
        <v>1</v>
      </c>
      <c r="K1704" s="10">
        <v>5.9232E-2</v>
      </c>
      <c r="L1704" s="32"/>
      <c r="M1704" s="32"/>
      <c r="N1704" s="18">
        <v>0</v>
      </c>
      <c r="O1704" s="19">
        <v>1</v>
      </c>
      <c r="P1704" s="13">
        <v>5.9232E-2</v>
      </c>
      <c r="Q1704" s="32"/>
      <c r="R1704" s="32"/>
      <c r="S1704" s="32"/>
      <c r="T1704" s="213"/>
      <c r="U1704" s="213"/>
      <c r="V1704" s="213"/>
    </row>
    <row r="1705" spans="1:22">
      <c r="O1705" s="215">
        <f>SUM(O1659:O1704)</f>
        <v>25</v>
      </c>
      <c r="U1705" s="215">
        <f>SUM(U1659:U1704)</f>
        <v>45</v>
      </c>
    </row>
    <row r="1708" spans="1:22">
      <c r="A1708" s="42" t="s">
        <v>77</v>
      </c>
      <c r="B1708" s="3" t="s">
        <v>68</v>
      </c>
      <c r="C1708" s="3">
        <v>304</v>
      </c>
      <c r="D1708" s="1"/>
      <c r="E1708" s="20" t="s">
        <v>17</v>
      </c>
      <c r="F1708" s="7" t="s">
        <v>15</v>
      </c>
      <c r="G1708" s="7" t="s">
        <v>27</v>
      </c>
      <c r="H1708" s="11">
        <v>6.17</v>
      </c>
      <c r="I1708" s="8">
        <v>7.25</v>
      </c>
      <c r="J1708" s="26">
        <v>1</v>
      </c>
      <c r="K1708" s="10">
        <v>4.4732500000000001E-2</v>
      </c>
      <c r="L1708" s="4"/>
      <c r="M1708" s="17">
        <v>1</v>
      </c>
      <c r="N1708" s="18">
        <v>4.4732500000000001E-2</v>
      </c>
      <c r="O1708" s="19">
        <v>0</v>
      </c>
      <c r="P1708" s="13">
        <v>0</v>
      </c>
      <c r="Q1708" s="73">
        <v>6.5</v>
      </c>
      <c r="R1708" s="74">
        <v>1</v>
      </c>
      <c r="S1708" s="74" t="s">
        <v>272</v>
      </c>
    </row>
    <row r="1709" spans="1:22">
      <c r="A1709" s="42" t="s">
        <v>77</v>
      </c>
      <c r="B1709" s="3" t="s">
        <v>68</v>
      </c>
      <c r="C1709" s="3">
        <v>2</v>
      </c>
      <c r="D1709" s="1"/>
      <c r="E1709" s="20" t="s">
        <v>17</v>
      </c>
      <c r="F1709" s="7" t="s">
        <v>15</v>
      </c>
      <c r="G1709" s="7" t="s">
        <v>27</v>
      </c>
      <c r="H1709" s="11">
        <v>6.17</v>
      </c>
      <c r="I1709" s="8">
        <v>7.25</v>
      </c>
      <c r="J1709" s="26">
        <v>2</v>
      </c>
      <c r="K1709" s="10">
        <v>8.9465000000000003E-2</v>
      </c>
      <c r="L1709" s="4"/>
      <c r="M1709" s="17">
        <v>2</v>
      </c>
      <c r="N1709" s="18">
        <v>8.9465000000000003E-2</v>
      </c>
      <c r="O1709" s="19">
        <v>0</v>
      </c>
      <c r="P1709" s="13">
        <v>0</v>
      </c>
      <c r="Q1709" s="73">
        <v>6.5</v>
      </c>
      <c r="R1709" s="74">
        <v>2</v>
      </c>
      <c r="S1709" s="74" t="s">
        <v>272</v>
      </c>
    </row>
    <row r="1710" spans="1:22">
      <c r="A1710" s="42" t="s">
        <v>78</v>
      </c>
      <c r="B1710" s="3"/>
      <c r="C1710" s="3">
        <v>39</v>
      </c>
      <c r="D1710" s="1"/>
      <c r="E1710" s="20" t="s">
        <v>17</v>
      </c>
      <c r="F1710" s="7" t="s">
        <v>15</v>
      </c>
      <c r="G1710" s="7" t="s">
        <v>27</v>
      </c>
      <c r="H1710" s="11">
        <v>6.17</v>
      </c>
      <c r="I1710" s="8">
        <v>7.5</v>
      </c>
      <c r="J1710" s="26">
        <v>1</v>
      </c>
      <c r="K1710" s="10">
        <v>4.6274999999999997E-2</v>
      </c>
      <c r="L1710" s="4"/>
      <c r="M1710" s="17">
        <v>1</v>
      </c>
      <c r="N1710" s="18">
        <v>4.6274999999999997E-2</v>
      </c>
      <c r="O1710" s="19">
        <v>0</v>
      </c>
      <c r="P1710" s="13">
        <v>0</v>
      </c>
      <c r="Q1710" s="73">
        <v>6.5</v>
      </c>
      <c r="R1710" s="74">
        <v>1</v>
      </c>
      <c r="S1710" s="74" t="s">
        <v>272</v>
      </c>
    </row>
    <row r="1711" spans="1:22">
      <c r="A1711" s="42" t="s">
        <v>78</v>
      </c>
      <c r="B1711" s="3"/>
      <c r="C1711" s="3">
        <v>39</v>
      </c>
      <c r="D1711" s="1"/>
      <c r="E1711" s="20" t="s">
        <v>17</v>
      </c>
      <c r="F1711" s="7" t="s">
        <v>15</v>
      </c>
      <c r="G1711" s="7" t="s">
        <v>27</v>
      </c>
      <c r="H1711" s="11">
        <v>6.17</v>
      </c>
      <c r="I1711" s="8">
        <v>7</v>
      </c>
      <c r="J1711" s="26">
        <v>1</v>
      </c>
      <c r="K1711" s="10">
        <v>4.3189999999999999E-2</v>
      </c>
      <c r="L1711" s="4"/>
      <c r="M1711" s="17">
        <v>1</v>
      </c>
      <c r="N1711" s="18">
        <v>4.3189999999999999E-2</v>
      </c>
      <c r="O1711" s="19">
        <v>0</v>
      </c>
      <c r="P1711" s="13">
        <v>0</v>
      </c>
      <c r="Q1711" s="73">
        <v>6.5</v>
      </c>
      <c r="R1711" s="74">
        <v>1</v>
      </c>
      <c r="S1711" s="74" t="s">
        <v>272</v>
      </c>
    </row>
    <row r="1712" spans="1:22">
      <c r="A1712" s="42" t="s">
        <v>78</v>
      </c>
      <c r="B1712" s="3"/>
      <c r="C1712" s="3">
        <v>10</v>
      </c>
      <c r="D1712" s="1"/>
      <c r="E1712" s="20" t="s">
        <v>17</v>
      </c>
      <c r="F1712" s="7" t="s">
        <v>15</v>
      </c>
      <c r="G1712" s="7" t="s">
        <v>27</v>
      </c>
      <c r="H1712" s="11">
        <v>6.17</v>
      </c>
      <c r="I1712" s="8">
        <v>5.5</v>
      </c>
      <c r="J1712" s="26">
        <v>1</v>
      </c>
      <c r="K1712" s="10">
        <v>3.3935E-2</v>
      </c>
      <c r="L1712" s="4"/>
      <c r="M1712" s="17"/>
      <c r="N1712" s="18">
        <v>0</v>
      </c>
      <c r="O1712" s="19">
        <v>1</v>
      </c>
      <c r="P1712" s="13">
        <v>3.3935E-2</v>
      </c>
      <c r="Q1712" s="9"/>
      <c r="R1712" s="2"/>
      <c r="S1712" s="2"/>
    </row>
    <row r="1713" spans="1:21">
      <c r="A1713" s="42" t="s">
        <v>78</v>
      </c>
      <c r="B1713" s="3"/>
      <c r="C1713" s="3">
        <v>10</v>
      </c>
      <c r="D1713" s="1"/>
      <c r="E1713" s="20" t="s">
        <v>17</v>
      </c>
      <c r="F1713" s="7" t="s">
        <v>15</v>
      </c>
      <c r="G1713" s="7" t="s">
        <v>27</v>
      </c>
      <c r="H1713" s="11">
        <v>6.17</v>
      </c>
      <c r="I1713" s="8">
        <v>5.85</v>
      </c>
      <c r="J1713" s="26">
        <v>1</v>
      </c>
      <c r="K1713" s="10">
        <v>3.6094499999999995E-2</v>
      </c>
      <c r="L1713" s="4"/>
      <c r="M1713" s="17"/>
      <c r="N1713" s="18">
        <v>0</v>
      </c>
      <c r="O1713" s="19">
        <v>1</v>
      </c>
      <c r="P1713" s="13">
        <v>3.6094499999999995E-2</v>
      </c>
      <c r="Q1713" s="9"/>
      <c r="R1713" s="2"/>
      <c r="S1713" s="2"/>
    </row>
    <row r="1714" spans="1:21">
      <c r="A1714" s="42" t="s">
        <v>78</v>
      </c>
      <c r="B1714" s="3"/>
      <c r="C1714" s="3">
        <v>10</v>
      </c>
      <c r="D1714" s="1"/>
      <c r="E1714" s="20" t="s">
        <v>17</v>
      </c>
      <c r="F1714" s="7" t="s">
        <v>15</v>
      </c>
      <c r="G1714" s="7" t="s">
        <v>27</v>
      </c>
      <c r="H1714" s="11">
        <v>6.17</v>
      </c>
      <c r="I1714" s="8">
        <v>6</v>
      </c>
      <c r="J1714" s="26">
        <v>1</v>
      </c>
      <c r="K1714" s="10">
        <v>3.7019999999999997E-2</v>
      </c>
      <c r="L1714" s="4"/>
      <c r="M1714" s="22"/>
      <c r="N1714" s="18">
        <v>0</v>
      </c>
      <c r="O1714" s="19">
        <v>1</v>
      </c>
      <c r="P1714" s="13">
        <v>3.7019999999999997E-2</v>
      </c>
      <c r="Q1714" s="9"/>
      <c r="R1714" s="2"/>
      <c r="S1714" s="2"/>
    </row>
    <row r="1715" spans="1:21">
      <c r="A1715" s="42" t="s">
        <v>78</v>
      </c>
      <c r="B1715" s="3"/>
      <c r="C1715" s="3">
        <v>10</v>
      </c>
      <c r="D1715" s="1"/>
      <c r="E1715" s="20" t="s">
        <v>17</v>
      </c>
      <c r="F1715" s="7" t="s">
        <v>15</v>
      </c>
      <c r="G1715" s="7" t="s">
        <v>27</v>
      </c>
      <c r="H1715" s="11">
        <v>6.17</v>
      </c>
      <c r="I1715" s="8">
        <v>6.75</v>
      </c>
      <c r="J1715" s="26">
        <v>1</v>
      </c>
      <c r="K1715" s="10">
        <v>4.1647500000000004E-2</v>
      </c>
      <c r="L1715" s="4"/>
      <c r="M1715" s="22">
        <v>1</v>
      </c>
      <c r="N1715" s="18">
        <v>4.1647500000000004E-2</v>
      </c>
      <c r="O1715" s="19">
        <v>0</v>
      </c>
      <c r="P1715" s="13">
        <v>0</v>
      </c>
      <c r="Q1715" s="73">
        <v>6.5</v>
      </c>
      <c r="R1715" s="74">
        <v>1</v>
      </c>
      <c r="S1715" s="74" t="s">
        <v>272</v>
      </c>
    </row>
    <row r="1716" spans="1:21">
      <c r="A1716" s="42" t="s">
        <v>78</v>
      </c>
      <c r="B1716" s="3"/>
      <c r="C1716" s="3">
        <v>10</v>
      </c>
      <c r="D1716" s="1"/>
      <c r="E1716" s="20" t="s">
        <v>17</v>
      </c>
      <c r="F1716" s="7" t="s">
        <v>15</v>
      </c>
      <c r="G1716" s="7" t="s">
        <v>27</v>
      </c>
      <c r="H1716" s="11">
        <v>6.17</v>
      </c>
      <c r="I1716" s="8">
        <v>6.5</v>
      </c>
      <c r="J1716" s="26">
        <v>1</v>
      </c>
      <c r="K1716" s="10">
        <v>4.0104999999999995E-2</v>
      </c>
      <c r="L1716" s="4"/>
      <c r="M1716" s="22">
        <v>1</v>
      </c>
      <c r="N1716" s="18">
        <v>4.0104999999999995E-2</v>
      </c>
      <c r="O1716" s="19">
        <v>0</v>
      </c>
      <c r="P1716" s="13">
        <v>0</v>
      </c>
      <c r="Q1716" s="73">
        <v>6.5</v>
      </c>
      <c r="R1716" s="74">
        <v>1</v>
      </c>
      <c r="S1716" s="74" t="s">
        <v>272</v>
      </c>
    </row>
    <row r="1717" spans="1:21">
      <c r="A1717" s="42" t="s">
        <v>78</v>
      </c>
      <c r="B1717" s="3"/>
      <c r="C1717" s="3">
        <v>10</v>
      </c>
      <c r="D1717" s="1"/>
      <c r="E1717" s="20" t="s">
        <v>17</v>
      </c>
      <c r="F1717" s="7" t="s">
        <v>15</v>
      </c>
      <c r="G1717" s="7" t="s">
        <v>27</v>
      </c>
      <c r="H1717" s="11">
        <v>6.17</v>
      </c>
      <c r="I1717" s="8">
        <v>7.25</v>
      </c>
      <c r="J1717" s="26">
        <v>34</v>
      </c>
      <c r="K1717" s="10">
        <v>1.520905</v>
      </c>
      <c r="L1717" s="4"/>
      <c r="M1717" s="17">
        <v>34</v>
      </c>
      <c r="N1717" s="18">
        <v>1.520905</v>
      </c>
      <c r="O1717" s="19">
        <v>0</v>
      </c>
      <c r="P1717" s="13">
        <v>0</v>
      </c>
      <c r="Q1717" s="73">
        <v>6.5</v>
      </c>
      <c r="R1717" s="74">
        <v>6</v>
      </c>
      <c r="S1717" s="74" t="s">
        <v>272</v>
      </c>
    </row>
    <row r="1718" spans="1:21">
      <c r="A1718" s="42" t="s">
        <v>78</v>
      </c>
      <c r="B1718" s="3"/>
      <c r="C1718" s="3">
        <v>18</v>
      </c>
      <c r="D1718" s="1"/>
      <c r="E1718" s="20" t="s">
        <v>17</v>
      </c>
      <c r="F1718" s="7" t="s">
        <v>15</v>
      </c>
      <c r="G1718" s="7" t="s">
        <v>27</v>
      </c>
      <c r="H1718" s="11">
        <v>6.17</v>
      </c>
      <c r="I1718" s="8">
        <v>7.25</v>
      </c>
      <c r="J1718" s="26">
        <v>3</v>
      </c>
      <c r="K1718" s="10">
        <v>0.1341975</v>
      </c>
      <c r="L1718" s="4"/>
      <c r="M1718" s="17">
        <v>3</v>
      </c>
      <c r="N1718" s="18">
        <v>0.1341975</v>
      </c>
      <c r="O1718" s="19">
        <v>0</v>
      </c>
      <c r="P1718" s="13">
        <v>0</v>
      </c>
      <c r="Q1718" s="73">
        <v>6.5</v>
      </c>
      <c r="R1718" s="74">
        <v>3</v>
      </c>
      <c r="S1718" s="74" t="s">
        <v>272</v>
      </c>
    </row>
    <row r="1719" spans="1:21">
      <c r="A1719" s="42" t="s">
        <v>78</v>
      </c>
      <c r="B1719" s="3"/>
      <c r="C1719" s="3">
        <v>19</v>
      </c>
      <c r="D1719" s="1"/>
      <c r="E1719" s="20" t="s">
        <v>17</v>
      </c>
      <c r="F1719" s="7" t="s">
        <v>15</v>
      </c>
      <c r="G1719" s="7" t="s">
        <v>27</v>
      </c>
      <c r="H1719" s="11">
        <v>6.17</v>
      </c>
      <c r="I1719" s="8">
        <v>6</v>
      </c>
      <c r="J1719" s="26">
        <v>1</v>
      </c>
      <c r="K1719" s="10">
        <v>3.7019999999999997E-2</v>
      </c>
      <c r="L1719" s="4"/>
      <c r="M1719" s="17"/>
      <c r="N1719" s="18">
        <v>0</v>
      </c>
      <c r="O1719" s="19">
        <v>1</v>
      </c>
      <c r="P1719" s="13">
        <v>3.7019999999999997E-2</v>
      </c>
      <c r="Q1719" s="9"/>
      <c r="R1719" s="2"/>
      <c r="S1719" s="2"/>
    </row>
    <row r="1720" spans="1:21">
      <c r="A1720" s="42" t="s">
        <v>90</v>
      </c>
      <c r="B1720" s="48" t="s">
        <v>148</v>
      </c>
      <c r="C1720" s="32">
        <v>37</v>
      </c>
      <c r="D1720" s="32"/>
      <c r="E1720" s="48" t="s">
        <v>17</v>
      </c>
      <c r="F1720" s="48" t="s">
        <v>15</v>
      </c>
      <c r="G1720" s="48" t="s">
        <v>27</v>
      </c>
      <c r="H1720" s="11">
        <v>6.17</v>
      </c>
      <c r="I1720" s="52">
        <v>6.65</v>
      </c>
      <c r="J1720" s="7">
        <v>1</v>
      </c>
      <c r="K1720" s="10">
        <v>4.1030500000000004E-2</v>
      </c>
      <c r="L1720" s="32"/>
      <c r="M1720" s="32">
        <v>1</v>
      </c>
      <c r="N1720" s="18">
        <v>4.1030500000000004E-2</v>
      </c>
      <c r="O1720" s="19">
        <v>0</v>
      </c>
      <c r="P1720" s="13">
        <v>0</v>
      </c>
      <c r="Q1720" s="73">
        <v>6.5</v>
      </c>
      <c r="R1720" s="72">
        <v>1</v>
      </c>
      <c r="S1720" s="74" t="s">
        <v>272</v>
      </c>
    </row>
    <row r="1721" spans="1:21">
      <c r="A1721" s="42" t="s">
        <v>90</v>
      </c>
      <c r="B1721" s="48" t="s">
        <v>148</v>
      </c>
      <c r="C1721" s="32">
        <v>37</v>
      </c>
      <c r="D1721" s="32"/>
      <c r="E1721" s="48" t="s">
        <v>17</v>
      </c>
      <c r="F1721" s="48" t="s">
        <v>15</v>
      </c>
      <c r="G1721" s="48" t="s">
        <v>27</v>
      </c>
      <c r="H1721" s="11">
        <v>6.17</v>
      </c>
      <c r="I1721" s="52">
        <v>11</v>
      </c>
      <c r="J1721" s="7">
        <v>1</v>
      </c>
      <c r="K1721" s="10">
        <v>6.787E-2</v>
      </c>
      <c r="L1721" s="32"/>
      <c r="M1721" s="32">
        <v>1</v>
      </c>
      <c r="N1721" s="18">
        <v>6.787E-2</v>
      </c>
      <c r="O1721" s="19">
        <v>0</v>
      </c>
      <c r="P1721" s="13">
        <v>0</v>
      </c>
      <c r="Q1721" s="79">
        <v>11</v>
      </c>
      <c r="R1721" s="72">
        <v>1</v>
      </c>
      <c r="S1721" s="74" t="s">
        <v>272</v>
      </c>
    </row>
    <row r="1722" spans="1:21">
      <c r="A1722" s="47" t="s">
        <v>147</v>
      </c>
      <c r="B1722" s="48" t="s">
        <v>148</v>
      </c>
      <c r="C1722" s="32">
        <v>274</v>
      </c>
      <c r="D1722" s="32"/>
      <c r="E1722" s="48" t="s">
        <v>17</v>
      </c>
      <c r="F1722" s="48" t="s">
        <v>160</v>
      </c>
      <c r="G1722" s="48" t="s">
        <v>27</v>
      </c>
      <c r="H1722" s="11">
        <v>6.17</v>
      </c>
      <c r="I1722" s="8">
        <v>7.6</v>
      </c>
      <c r="J1722" s="7">
        <v>1</v>
      </c>
      <c r="K1722" s="10">
        <v>4.6891999999999996E-2</v>
      </c>
      <c r="L1722" s="32"/>
      <c r="M1722" s="32">
        <v>1</v>
      </c>
      <c r="N1722" s="18">
        <v>4.6891999999999996E-2</v>
      </c>
      <c r="O1722" s="19">
        <v>0</v>
      </c>
      <c r="P1722" s="13">
        <v>0</v>
      </c>
      <c r="Q1722" s="73">
        <v>6.5</v>
      </c>
      <c r="R1722" s="72">
        <v>1</v>
      </c>
      <c r="S1722" s="74" t="s">
        <v>272</v>
      </c>
    </row>
    <row r="1723" spans="1:21">
      <c r="A1723" s="47" t="s">
        <v>147</v>
      </c>
      <c r="B1723" s="48" t="s">
        <v>148</v>
      </c>
      <c r="C1723" s="32">
        <v>274</v>
      </c>
      <c r="D1723" s="32"/>
      <c r="E1723" s="48" t="s">
        <v>17</v>
      </c>
      <c r="F1723" s="48" t="s">
        <v>160</v>
      </c>
      <c r="G1723" s="48" t="s">
        <v>27</v>
      </c>
      <c r="H1723" s="11">
        <v>6.17</v>
      </c>
      <c r="I1723" s="8">
        <v>9.9</v>
      </c>
      <c r="J1723" s="7">
        <v>1</v>
      </c>
      <c r="K1723" s="10">
        <v>6.1082999999999998E-2</v>
      </c>
      <c r="L1723" s="32"/>
      <c r="M1723" s="32">
        <v>1</v>
      </c>
      <c r="N1723" s="18">
        <v>6.1082999999999998E-2</v>
      </c>
      <c r="O1723" s="19">
        <v>0</v>
      </c>
      <c r="P1723" s="13">
        <v>0</v>
      </c>
      <c r="Q1723" s="79">
        <v>8</v>
      </c>
      <c r="R1723" s="72">
        <v>1</v>
      </c>
      <c r="S1723" s="74" t="s">
        <v>272</v>
      </c>
    </row>
    <row r="1724" spans="1:21">
      <c r="A1724" s="47" t="s">
        <v>147</v>
      </c>
      <c r="B1724" s="48" t="s">
        <v>148</v>
      </c>
      <c r="C1724" s="32">
        <v>274</v>
      </c>
      <c r="D1724" s="32"/>
      <c r="E1724" s="48" t="s">
        <v>17</v>
      </c>
      <c r="F1724" s="48" t="s">
        <v>160</v>
      </c>
      <c r="G1724" s="48" t="s">
        <v>27</v>
      </c>
      <c r="H1724" s="11">
        <v>6.17</v>
      </c>
      <c r="I1724" s="8">
        <v>9.6</v>
      </c>
      <c r="J1724" s="7">
        <v>1</v>
      </c>
      <c r="K1724" s="10">
        <v>5.9232E-2</v>
      </c>
      <c r="L1724" s="32"/>
      <c r="M1724" s="32">
        <v>1</v>
      </c>
      <c r="N1724" s="18">
        <v>5.9232E-2</v>
      </c>
      <c r="O1724" s="19">
        <v>0</v>
      </c>
      <c r="P1724" s="13">
        <v>0</v>
      </c>
      <c r="Q1724" s="79">
        <v>8</v>
      </c>
      <c r="R1724" s="72">
        <v>1</v>
      </c>
      <c r="S1724" s="74" t="s">
        <v>272</v>
      </c>
    </row>
    <row r="1725" spans="1:21">
      <c r="O1725" s="215">
        <f>SUM(O1708:O1724)</f>
        <v>4</v>
      </c>
      <c r="R1725" s="215">
        <f>SUM(R1708:R1724)</f>
        <v>21</v>
      </c>
    </row>
    <row r="1727" spans="1:21">
      <c r="A1727" s="42" t="s">
        <v>84</v>
      </c>
      <c r="B1727" s="3" t="s">
        <v>120</v>
      </c>
      <c r="C1727" s="3">
        <v>1</v>
      </c>
      <c r="D1727" s="1"/>
      <c r="E1727" s="20" t="s">
        <v>114</v>
      </c>
      <c r="F1727" s="7" t="s">
        <v>15</v>
      </c>
      <c r="G1727" s="7" t="s">
        <v>27</v>
      </c>
      <c r="H1727" s="11">
        <v>6.17</v>
      </c>
      <c r="I1727" s="8">
        <v>11.55</v>
      </c>
      <c r="J1727" s="26">
        <v>18</v>
      </c>
      <c r="K1727" s="10">
        <v>1.2827430000000002</v>
      </c>
      <c r="L1727" s="4"/>
      <c r="M1727" s="17">
        <v>18</v>
      </c>
      <c r="N1727" s="18">
        <v>1.282743</v>
      </c>
      <c r="O1727" s="19">
        <v>0</v>
      </c>
      <c r="P1727" s="13">
        <v>0</v>
      </c>
      <c r="Q1727" s="9">
        <v>11.55</v>
      </c>
      <c r="R1727" s="2">
        <v>18</v>
      </c>
      <c r="S1727" s="2"/>
      <c r="T1727" s="213"/>
      <c r="U1727" s="213"/>
    </row>
    <row r="1728" spans="1:21">
      <c r="A1728" s="42" t="s">
        <v>84</v>
      </c>
      <c r="B1728" s="3" t="s">
        <v>120</v>
      </c>
      <c r="C1728" s="3">
        <v>1</v>
      </c>
      <c r="D1728" s="1"/>
      <c r="E1728" s="20" t="s">
        <v>114</v>
      </c>
      <c r="F1728" s="7" t="s">
        <v>15</v>
      </c>
      <c r="G1728" s="7" t="s">
        <v>27</v>
      </c>
      <c r="H1728" s="11">
        <v>6.17</v>
      </c>
      <c r="I1728" s="8">
        <v>9.85</v>
      </c>
      <c r="J1728" s="26">
        <v>1</v>
      </c>
      <c r="K1728" s="10">
        <v>6.0774499999999995E-2</v>
      </c>
      <c r="L1728" s="4"/>
      <c r="M1728" s="17">
        <v>1</v>
      </c>
      <c r="N1728" s="18">
        <v>6.0774499999999995E-2</v>
      </c>
      <c r="O1728" s="19">
        <v>0</v>
      </c>
      <c r="P1728" s="13">
        <v>0</v>
      </c>
      <c r="Q1728" s="9">
        <v>9.85</v>
      </c>
      <c r="R1728" s="2">
        <v>1</v>
      </c>
      <c r="S1728" s="2"/>
      <c r="T1728" s="213"/>
      <c r="U1728" s="213"/>
    </row>
    <row r="1729" spans="1:22">
      <c r="A1729" s="42" t="s">
        <v>84</v>
      </c>
      <c r="B1729" s="3" t="s">
        <v>120</v>
      </c>
      <c r="C1729" s="3">
        <v>1</v>
      </c>
      <c r="D1729" s="1"/>
      <c r="E1729" s="20" t="s">
        <v>114</v>
      </c>
      <c r="F1729" s="7" t="s">
        <v>15</v>
      </c>
      <c r="G1729" s="7" t="s">
        <v>27</v>
      </c>
      <c r="H1729" s="11">
        <v>6.17</v>
      </c>
      <c r="I1729" s="8">
        <v>9.4</v>
      </c>
      <c r="J1729" s="26">
        <v>1</v>
      </c>
      <c r="K1729" s="10">
        <v>5.7998000000000008E-2</v>
      </c>
      <c r="L1729" s="4"/>
      <c r="M1729" s="17">
        <v>1</v>
      </c>
      <c r="N1729" s="18">
        <v>5.7998000000000008E-2</v>
      </c>
      <c r="O1729" s="19">
        <v>0</v>
      </c>
      <c r="P1729" s="13">
        <v>0</v>
      </c>
      <c r="Q1729" s="9"/>
      <c r="R1729" s="2"/>
      <c r="S1729" s="81">
        <v>8</v>
      </c>
      <c r="T1729" s="77">
        <v>1</v>
      </c>
      <c r="U1729" s="77" t="s">
        <v>272</v>
      </c>
      <c r="V1729" s="77"/>
    </row>
    <row r="1730" spans="1:22">
      <c r="A1730" s="42" t="s">
        <v>84</v>
      </c>
      <c r="B1730" s="3" t="s">
        <v>120</v>
      </c>
      <c r="C1730" s="3">
        <v>1</v>
      </c>
      <c r="D1730" s="1"/>
      <c r="E1730" s="20" t="s">
        <v>114</v>
      </c>
      <c r="F1730" s="7" t="s">
        <v>15</v>
      </c>
      <c r="G1730" s="7" t="s">
        <v>27</v>
      </c>
      <c r="H1730" s="11">
        <v>6.17</v>
      </c>
      <c r="I1730" s="8">
        <v>8.5</v>
      </c>
      <c r="J1730" s="26">
        <v>1</v>
      </c>
      <c r="K1730" s="10">
        <v>5.2444999999999999E-2</v>
      </c>
      <c r="L1730" s="4"/>
      <c r="M1730" s="17">
        <v>1</v>
      </c>
      <c r="N1730" s="18">
        <v>5.2444999999999999E-2</v>
      </c>
      <c r="O1730" s="19">
        <v>0</v>
      </c>
      <c r="P1730" s="13">
        <v>0</v>
      </c>
      <c r="Q1730" s="9"/>
      <c r="R1730" s="2"/>
      <c r="S1730" s="81">
        <v>8</v>
      </c>
      <c r="T1730" s="77">
        <v>1</v>
      </c>
      <c r="U1730" s="77" t="s">
        <v>272</v>
      </c>
      <c r="V1730" s="77"/>
    </row>
    <row r="1731" spans="1:22">
      <c r="A1731" s="42" t="s">
        <v>90</v>
      </c>
      <c r="B1731" s="48" t="s">
        <v>148</v>
      </c>
      <c r="C1731" s="32">
        <v>38</v>
      </c>
      <c r="D1731" s="32"/>
      <c r="E1731" s="48" t="s">
        <v>20</v>
      </c>
      <c r="F1731" s="48" t="s">
        <v>15</v>
      </c>
      <c r="G1731" s="48" t="s">
        <v>27</v>
      </c>
      <c r="H1731" s="11">
        <v>6.17</v>
      </c>
      <c r="I1731" s="8">
        <v>5.5</v>
      </c>
      <c r="J1731" s="7">
        <v>1</v>
      </c>
      <c r="K1731" s="10">
        <v>3.3935E-2</v>
      </c>
      <c r="L1731" s="32"/>
      <c r="M1731" s="32"/>
      <c r="N1731" s="18">
        <v>0</v>
      </c>
      <c r="O1731" s="19">
        <v>1</v>
      </c>
      <c r="P1731" s="13">
        <v>3.3935E-2</v>
      </c>
      <c r="Q1731" s="32"/>
      <c r="R1731" s="32"/>
      <c r="S1731" s="33"/>
      <c r="T1731" s="213"/>
      <c r="U1731" s="213"/>
    </row>
    <row r="1732" spans="1:22">
      <c r="A1732" s="42" t="s">
        <v>90</v>
      </c>
      <c r="B1732" s="48" t="s">
        <v>148</v>
      </c>
      <c r="C1732" s="32">
        <v>38</v>
      </c>
      <c r="D1732" s="32"/>
      <c r="E1732" s="48" t="s">
        <v>20</v>
      </c>
      <c r="F1732" s="48" t="s">
        <v>15</v>
      </c>
      <c r="G1732" s="48" t="s">
        <v>27</v>
      </c>
      <c r="H1732" s="11">
        <v>6.17</v>
      </c>
      <c r="I1732" s="8">
        <v>5.4</v>
      </c>
      <c r="J1732" s="7">
        <v>1</v>
      </c>
      <c r="K1732" s="10">
        <v>3.3318000000000007E-2</v>
      </c>
      <c r="L1732" s="32"/>
      <c r="M1732" s="32"/>
      <c r="N1732" s="18">
        <v>0</v>
      </c>
      <c r="O1732" s="19">
        <v>1</v>
      </c>
      <c r="P1732" s="13">
        <v>3.3318000000000007E-2</v>
      </c>
      <c r="Q1732" s="32"/>
      <c r="R1732" s="32"/>
      <c r="S1732" s="33"/>
      <c r="T1732" s="213"/>
      <c r="U1732" s="213"/>
    </row>
    <row r="1733" spans="1:22">
      <c r="A1733" s="42" t="s">
        <v>90</v>
      </c>
      <c r="B1733" s="48" t="s">
        <v>148</v>
      </c>
      <c r="C1733" s="32">
        <v>53</v>
      </c>
      <c r="D1733" s="32"/>
      <c r="E1733" s="48" t="s">
        <v>20</v>
      </c>
      <c r="F1733" s="48" t="s">
        <v>15</v>
      </c>
      <c r="G1733" s="48" t="s">
        <v>27</v>
      </c>
      <c r="H1733" s="11">
        <v>6.17</v>
      </c>
      <c r="I1733" s="8">
        <v>5.5</v>
      </c>
      <c r="J1733" s="7">
        <v>1</v>
      </c>
      <c r="K1733" s="10">
        <v>3.3935E-2</v>
      </c>
      <c r="L1733" s="32"/>
      <c r="M1733" s="32"/>
      <c r="N1733" s="18">
        <v>0</v>
      </c>
      <c r="O1733" s="19">
        <v>1</v>
      </c>
      <c r="P1733" s="13">
        <v>3.3935E-2</v>
      </c>
      <c r="Q1733" s="32"/>
      <c r="R1733" s="32"/>
      <c r="S1733" s="33"/>
      <c r="T1733" s="213"/>
      <c r="U1733" s="213"/>
    </row>
    <row r="1734" spans="1:22">
      <c r="A1734" s="42" t="s">
        <v>90</v>
      </c>
      <c r="B1734" s="48" t="s">
        <v>148</v>
      </c>
      <c r="C1734" s="32">
        <v>56</v>
      </c>
      <c r="D1734" s="32"/>
      <c r="E1734" s="48" t="s">
        <v>157</v>
      </c>
      <c r="F1734" s="48" t="s">
        <v>15</v>
      </c>
      <c r="G1734" s="48" t="s">
        <v>27</v>
      </c>
      <c r="H1734" s="11">
        <v>6.17</v>
      </c>
      <c r="I1734" s="8">
        <v>8.5</v>
      </c>
      <c r="J1734" s="7">
        <v>3</v>
      </c>
      <c r="K1734" s="10">
        <v>0.157335</v>
      </c>
      <c r="L1734" s="32"/>
      <c r="M1734" s="32">
        <v>3</v>
      </c>
      <c r="N1734" s="18">
        <v>0.157335</v>
      </c>
      <c r="O1734" s="19">
        <v>0</v>
      </c>
      <c r="P1734" s="13">
        <v>0</v>
      </c>
      <c r="Q1734" s="32"/>
      <c r="R1734" s="32"/>
      <c r="S1734" s="75">
        <v>8</v>
      </c>
      <c r="T1734" s="77">
        <v>3</v>
      </c>
      <c r="U1734" s="77" t="s">
        <v>272</v>
      </c>
    </row>
    <row r="1735" spans="1:22">
      <c r="A1735" s="42" t="s">
        <v>90</v>
      </c>
      <c r="B1735" s="48" t="s">
        <v>148</v>
      </c>
      <c r="C1735" s="32">
        <v>56</v>
      </c>
      <c r="D1735" s="32"/>
      <c r="E1735" s="48" t="s">
        <v>157</v>
      </c>
      <c r="F1735" s="48" t="s">
        <v>15</v>
      </c>
      <c r="G1735" s="48" t="s">
        <v>27</v>
      </c>
      <c r="H1735" s="11">
        <v>6.17</v>
      </c>
      <c r="I1735" s="8">
        <v>9</v>
      </c>
      <c r="J1735" s="7">
        <v>8</v>
      </c>
      <c r="K1735" s="10">
        <v>0.44424000000000002</v>
      </c>
      <c r="L1735" s="32"/>
      <c r="M1735" s="32">
        <v>8</v>
      </c>
      <c r="N1735" s="18">
        <v>0.44424000000000002</v>
      </c>
      <c r="O1735" s="19">
        <v>0</v>
      </c>
      <c r="P1735" s="13">
        <v>0</v>
      </c>
      <c r="Q1735" s="32"/>
      <c r="R1735" s="32"/>
      <c r="S1735" s="75">
        <v>8</v>
      </c>
      <c r="T1735" s="77">
        <v>8</v>
      </c>
      <c r="U1735" s="77" t="s">
        <v>272</v>
      </c>
    </row>
    <row r="1736" spans="1:22">
      <c r="A1736" s="42" t="s">
        <v>90</v>
      </c>
      <c r="B1736" s="48" t="s">
        <v>148</v>
      </c>
      <c r="C1736" s="32">
        <v>57</v>
      </c>
      <c r="D1736" s="32"/>
      <c r="E1736" s="48" t="s">
        <v>89</v>
      </c>
      <c r="F1736" s="48" t="s">
        <v>15</v>
      </c>
      <c r="G1736" s="48" t="s">
        <v>27</v>
      </c>
      <c r="H1736" s="11">
        <v>6.17</v>
      </c>
      <c r="I1736" s="8">
        <v>8</v>
      </c>
      <c r="J1736" s="7">
        <v>1</v>
      </c>
      <c r="K1736" s="10">
        <v>4.9360000000000001E-2</v>
      </c>
      <c r="L1736" s="32"/>
      <c r="M1736" s="32">
        <v>1</v>
      </c>
      <c r="N1736" s="18">
        <v>4.9360000000000001E-2</v>
      </c>
      <c r="O1736" s="19">
        <v>0</v>
      </c>
      <c r="P1736" s="13">
        <v>0</v>
      </c>
      <c r="Q1736" s="32"/>
      <c r="R1736" s="32"/>
      <c r="S1736" s="75">
        <v>8</v>
      </c>
      <c r="T1736" s="77">
        <v>1</v>
      </c>
      <c r="U1736" s="77" t="s">
        <v>272</v>
      </c>
    </row>
    <row r="1737" spans="1:22">
      <c r="A1737" s="42" t="s">
        <v>90</v>
      </c>
      <c r="B1737" s="3"/>
      <c r="C1737" s="3">
        <v>126</v>
      </c>
      <c r="D1737" s="1" t="s">
        <v>93</v>
      </c>
      <c r="E1737" s="12" t="s">
        <v>20</v>
      </c>
      <c r="F1737" s="7" t="s">
        <v>15</v>
      </c>
      <c r="G1737" s="7" t="s">
        <v>27</v>
      </c>
      <c r="H1737" s="11">
        <v>6.17</v>
      </c>
      <c r="I1737" s="8">
        <v>9.8000000000000007</v>
      </c>
      <c r="J1737" s="26">
        <v>2</v>
      </c>
      <c r="K1737" s="10">
        <v>0.120932</v>
      </c>
      <c r="L1737" s="4"/>
      <c r="M1737" s="22">
        <v>2</v>
      </c>
      <c r="N1737" s="18">
        <v>0.120932</v>
      </c>
      <c r="O1737" s="19">
        <v>0</v>
      </c>
      <c r="P1737" s="13">
        <v>0</v>
      </c>
      <c r="Q1737" s="9">
        <v>9.85</v>
      </c>
      <c r="R1737" s="2">
        <v>2</v>
      </c>
      <c r="S1737" s="2"/>
      <c r="T1737" s="213"/>
      <c r="U1737" s="213"/>
    </row>
    <row r="1738" spans="1:22">
      <c r="A1738" s="42" t="s">
        <v>90</v>
      </c>
      <c r="B1738" s="3"/>
      <c r="C1738" s="3">
        <v>126</v>
      </c>
      <c r="D1738" s="1" t="s">
        <v>93</v>
      </c>
      <c r="E1738" s="12" t="s">
        <v>20</v>
      </c>
      <c r="F1738" s="7" t="s">
        <v>15</v>
      </c>
      <c r="G1738" s="7" t="s">
        <v>27</v>
      </c>
      <c r="H1738" s="11">
        <v>6.17</v>
      </c>
      <c r="I1738" s="8">
        <v>9</v>
      </c>
      <c r="J1738" s="26">
        <v>1</v>
      </c>
      <c r="K1738" s="10">
        <v>5.5530000000000003E-2</v>
      </c>
      <c r="L1738" s="4"/>
      <c r="M1738" s="17">
        <v>1</v>
      </c>
      <c r="N1738" s="18">
        <v>5.5530000000000003E-2</v>
      </c>
      <c r="O1738" s="19">
        <v>0</v>
      </c>
      <c r="P1738" s="13">
        <v>0</v>
      </c>
      <c r="Q1738" s="9"/>
      <c r="R1738" s="2"/>
      <c r="S1738" s="81">
        <v>8</v>
      </c>
      <c r="T1738" s="77">
        <v>1</v>
      </c>
      <c r="U1738" s="77" t="s">
        <v>272</v>
      </c>
    </row>
    <row r="1739" spans="1:22">
      <c r="A1739" s="47" t="s">
        <v>147</v>
      </c>
      <c r="B1739" s="48" t="s">
        <v>148</v>
      </c>
      <c r="C1739" s="32">
        <v>308</v>
      </c>
      <c r="D1739" s="32"/>
      <c r="E1739" s="48" t="s">
        <v>20</v>
      </c>
      <c r="F1739" s="48" t="s">
        <v>160</v>
      </c>
      <c r="G1739" s="48" t="s">
        <v>27</v>
      </c>
      <c r="H1739" s="11">
        <v>6.17</v>
      </c>
      <c r="I1739" s="8">
        <v>9.4</v>
      </c>
      <c r="J1739" s="7">
        <v>2</v>
      </c>
      <c r="K1739" s="10">
        <v>0.11599600000000002</v>
      </c>
      <c r="L1739" s="32"/>
      <c r="M1739" s="32">
        <v>2</v>
      </c>
      <c r="N1739" s="18">
        <v>0.11599600000000002</v>
      </c>
      <c r="O1739" s="19">
        <v>0</v>
      </c>
      <c r="P1739" s="13">
        <v>0</v>
      </c>
      <c r="Q1739" s="32"/>
      <c r="R1739" s="32"/>
      <c r="S1739" s="75">
        <v>8</v>
      </c>
      <c r="T1739" s="77">
        <v>2</v>
      </c>
      <c r="U1739" s="77" t="s">
        <v>272</v>
      </c>
    </row>
    <row r="1740" spans="1:22">
      <c r="A1740" s="47" t="s">
        <v>147</v>
      </c>
      <c r="B1740" s="48" t="s">
        <v>148</v>
      </c>
      <c r="C1740" s="32">
        <v>308</v>
      </c>
      <c r="D1740" s="32"/>
      <c r="E1740" s="48" t="s">
        <v>20</v>
      </c>
      <c r="F1740" s="48" t="s">
        <v>160</v>
      </c>
      <c r="G1740" s="48" t="s">
        <v>27</v>
      </c>
      <c r="H1740" s="11">
        <v>6.17</v>
      </c>
      <c r="I1740" s="8">
        <v>9.6999999999999993</v>
      </c>
      <c r="J1740" s="7">
        <v>2</v>
      </c>
      <c r="K1740" s="10">
        <v>0.119698</v>
      </c>
      <c r="L1740" s="32"/>
      <c r="M1740" s="32">
        <v>56</v>
      </c>
      <c r="N1740" s="18">
        <v>3.3515439999999996</v>
      </c>
      <c r="O1740" s="64">
        <v>-54</v>
      </c>
      <c r="P1740" s="65">
        <v>-3.2318459999999996</v>
      </c>
      <c r="Q1740" s="32" t="s">
        <v>225</v>
      </c>
      <c r="R1740" s="32"/>
      <c r="S1740" s="33"/>
      <c r="T1740" s="213"/>
      <c r="U1740" s="213"/>
    </row>
    <row r="1741" spans="1:22">
      <c r="A1741" s="47" t="s">
        <v>147</v>
      </c>
      <c r="B1741" s="48" t="s">
        <v>148</v>
      </c>
      <c r="C1741" s="32">
        <v>308</v>
      </c>
      <c r="D1741" s="32"/>
      <c r="E1741" s="48" t="s">
        <v>20</v>
      </c>
      <c r="F1741" s="48" t="s">
        <v>160</v>
      </c>
      <c r="G1741" s="48" t="s">
        <v>27</v>
      </c>
      <c r="H1741" s="11">
        <v>6.17</v>
      </c>
      <c r="I1741" s="8">
        <v>9</v>
      </c>
      <c r="J1741" s="7">
        <v>2</v>
      </c>
      <c r="K1741" s="10">
        <v>0.11106000000000001</v>
      </c>
      <c r="L1741" s="32"/>
      <c r="M1741" s="32">
        <v>2</v>
      </c>
      <c r="N1741" s="18">
        <v>0.11106000000000001</v>
      </c>
      <c r="O1741" s="19">
        <v>0</v>
      </c>
      <c r="P1741" s="13">
        <v>0</v>
      </c>
      <c r="Q1741" s="32"/>
      <c r="R1741" s="32"/>
      <c r="S1741" s="75">
        <v>8</v>
      </c>
      <c r="T1741" s="77">
        <v>2</v>
      </c>
      <c r="U1741" s="77" t="s">
        <v>272</v>
      </c>
      <c r="V1741" s="77"/>
    </row>
    <row r="1742" spans="1:22">
      <c r="A1742" s="44" t="s">
        <v>78</v>
      </c>
      <c r="B1742" s="32" t="s">
        <v>80</v>
      </c>
      <c r="C1742" s="3">
        <v>1</v>
      </c>
      <c r="D1742" s="32"/>
      <c r="E1742" s="20" t="s">
        <v>20</v>
      </c>
      <c r="F1742" s="7" t="s">
        <v>15</v>
      </c>
      <c r="G1742" s="7" t="s">
        <v>27</v>
      </c>
      <c r="H1742" s="11">
        <v>6.17</v>
      </c>
      <c r="I1742" s="55">
        <v>8.1</v>
      </c>
      <c r="J1742" s="40">
        <v>1</v>
      </c>
      <c r="K1742" s="10">
        <v>4.9976999999999994E-2</v>
      </c>
      <c r="L1742" s="4"/>
      <c r="M1742" s="17">
        <v>1</v>
      </c>
      <c r="N1742" s="18">
        <v>4.9976999999999994E-2</v>
      </c>
      <c r="O1742" s="19">
        <v>0</v>
      </c>
      <c r="P1742" s="13">
        <v>0</v>
      </c>
      <c r="Q1742" s="32"/>
      <c r="R1742" s="32"/>
      <c r="S1742" s="75">
        <v>8</v>
      </c>
      <c r="T1742" s="77">
        <v>1</v>
      </c>
      <c r="U1742" s="77" t="s">
        <v>272</v>
      </c>
      <c r="V1742" s="77"/>
    </row>
    <row r="1743" spans="1:22">
      <c r="A1743" s="44" t="s">
        <v>78</v>
      </c>
      <c r="B1743" s="32" t="s">
        <v>80</v>
      </c>
      <c r="C1743" s="3">
        <v>1</v>
      </c>
      <c r="D1743" s="32"/>
      <c r="E1743" s="20" t="s">
        <v>20</v>
      </c>
      <c r="F1743" s="7" t="s">
        <v>15</v>
      </c>
      <c r="G1743" s="7" t="s">
        <v>27</v>
      </c>
      <c r="H1743" s="11">
        <v>6.17</v>
      </c>
      <c r="I1743" s="55">
        <v>8.9</v>
      </c>
      <c r="J1743" s="40">
        <v>3</v>
      </c>
      <c r="K1743" s="10">
        <v>0.164739</v>
      </c>
      <c r="L1743" s="4"/>
      <c r="M1743" s="17">
        <v>3</v>
      </c>
      <c r="N1743" s="18">
        <v>0.164739</v>
      </c>
      <c r="O1743" s="19">
        <v>0</v>
      </c>
      <c r="P1743" s="13">
        <v>0</v>
      </c>
      <c r="Q1743" s="32"/>
      <c r="R1743" s="32"/>
      <c r="S1743" s="75">
        <v>8</v>
      </c>
      <c r="T1743" s="77">
        <v>3</v>
      </c>
      <c r="U1743" s="77" t="s">
        <v>272</v>
      </c>
      <c r="V1743" s="77"/>
    </row>
    <row r="1744" spans="1:22">
      <c r="A1744" s="44" t="s">
        <v>78</v>
      </c>
      <c r="B1744" s="32" t="s">
        <v>80</v>
      </c>
      <c r="C1744" s="3">
        <v>1</v>
      </c>
      <c r="D1744" s="32"/>
      <c r="E1744" s="20" t="s">
        <v>20</v>
      </c>
      <c r="F1744" s="7" t="s">
        <v>15</v>
      </c>
      <c r="G1744" s="7" t="s">
        <v>27</v>
      </c>
      <c r="H1744" s="11">
        <v>6.17</v>
      </c>
      <c r="I1744" s="55">
        <v>9.5</v>
      </c>
      <c r="J1744" s="40">
        <v>2</v>
      </c>
      <c r="K1744" s="10">
        <v>0.11723</v>
      </c>
      <c r="L1744" s="4"/>
      <c r="M1744" s="17">
        <v>2</v>
      </c>
      <c r="N1744" s="18">
        <v>0.11723</v>
      </c>
      <c r="O1744" s="19">
        <v>0</v>
      </c>
      <c r="P1744" s="13">
        <v>0</v>
      </c>
      <c r="Q1744" s="32"/>
      <c r="R1744" s="32"/>
      <c r="S1744" s="75">
        <v>8</v>
      </c>
      <c r="T1744" s="77">
        <v>2</v>
      </c>
      <c r="U1744" s="77" t="s">
        <v>272</v>
      </c>
      <c r="V1744" s="77"/>
    </row>
    <row r="1745" spans="1:22">
      <c r="A1745" s="44" t="s">
        <v>78</v>
      </c>
      <c r="B1745" s="32" t="s">
        <v>80</v>
      </c>
      <c r="C1745" s="3">
        <v>1</v>
      </c>
      <c r="D1745" s="32"/>
      <c r="E1745" s="20" t="s">
        <v>20</v>
      </c>
      <c r="F1745" s="7" t="s">
        <v>15</v>
      </c>
      <c r="G1745" s="7" t="s">
        <v>27</v>
      </c>
      <c r="H1745" s="11">
        <v>6.17</v>
      </c>
      <c r="I1745" s="55">
        <v>10.9</v>
      </c>
      <c r="J1745" s="40">
        <v>2</v>
      </c>
      <c r="K1745" s="10">
        <v>0.13450599999999999</v>
      </c>
      <c r="L1745" s="4"/>
      <c r="M1745" s="17">
        <v>2</v>
      </c>
      <c r="N1745" s="18">
        <v>0.13450599999999999</v>
      </c>
      <c r="O1745" s="19">
        <v>0</v>
      </c>
      <c r="P1745" s="13">
        <v>0</v>
      </c>
      <c r="Q1745" s="9">
        <v>9.85</v>
      </c>
      <c r="R1745" s="32">
        <v>2</v>
      </c>
      <c r="S1745" s="32"/>
      <c r="T1745" s="213"/>
      <c r="U1745" s="213"/>
    </row>
    <row r="1746" spans="1:22">
      <c r="A1746" s="44" t="s">
        <v>78</v>
      </c>
      <c r="B1746" s="32" t="s">
        <v>80</v>
      </c>
      <c r="C1746" s="3">
        <v>1</v>
      </c>
      <c r="D1746" s="32"/>
      <c r="E1746" s="20" t="s">
        <v>20</v>
      </c>
      <c r="F1746" s="7" t="s">
        <v>15</v>
      </c>
      <c r="G1746" s="7" t="s">
        <v>27</v>
      </c>
      <c r="H1746" s="11">
        <v>6.17</v>
      </c>
      <c r="I1746" s="55">
        <v>11</v>
      </c>
      <c r="J1746" s="40">
        <v>4</v>
      </c>
      <c r="K1746" s="10">
        <v>0.27148</v>
      </c>
      <c r="L1746" s="4"/>
      <c r="M1746" s="17">
        <v>4</v>
      </c>
      <c r="N1746" s="18">
        <v>0.27148</v>
      </c>
      <c r="O1746" s="19">
        <v>0</v>
      </c>
      <c r="P1746" s="13">
        <v>0</v>
      </c>
      <c r="Q1746" s="9">
        <v>9.85</v>
      </c>
      <c r="R1746" s="32">
        <v>4</v>
      </c>
      <c r="S1746" s="32"/>
      <c r="T1746" s="213"/>
      <c r="U1746" s="213"/>
    </row>
    <row r="1747" spans="1:22">
      <c r="A1747" s="45" t="s">
        <v>136</v>
      </c>
      <c r="B1747" s="32" t="s">
        <v>137</v>
      </c>
      <c r="C1747" s="3">
        <v>84</v>
      </c>
      <c r="D1747" s="32"/>
      <c r="E1747" s="20" t="s">
        <v>20</v>
      </c>
      <c r="F1747" s="7" t="s">
        <v>15</v>
      </c>
      <c r="G1747" s="7" t="s">
        <v>27</v>
      </c>
      <c r="H1747" s="11">
        <v>6.17</v>
      </c>
      <c r="I1747" s="55">
        <v>11.5</v>
      </c>
      <c r="J1747" s="40">
        <v>1</v>
      </c>
      <c r="K1747" s="10">
        <v>7.0955000000000004E-2</v>
      </c>
      <c r="L1747" s="4"/>
      <c r="M1747" s="17">
        <v>1</v>
      </c>
      <c r="N1747" s="18">
        <v>7.0955000000000004E-2</v>
      </c>
      <c r="O1747" s="19">
        <v>0</v>
      </c>
      <c r="P1747" s="13">
        <v>0</v>
      </c>
      <c r="Q1747" s="32"/>
      <c r="R1747" s="32"/>
      <c r="S1747" s="75">
        <v>11.5</v>
      </c>
      <c r="T1747" s="77">
        <v>1</v>
      </c>
      <c r="U1747" s="77" t="s">
        <v>272</v>
      </c>
    </row>
    <row r="1748" spans="1:22">
      <c r="A1748" s="45" t="s">
        <v>136</v>
      </c>
      <c r="B1748" s="32" t="s">
        <v>137</v>
      </c>
      <c r="C1748" s="3">
        <v>84</v>
      </c>
      <c r="D1748" s="32"/>
      <c r="E1748" s="20" t="s">
        <v>20</v>
      </c>
      <c r="F1748" s="7" t="s">
        <v>15</v>
      </c>
      <c r="G1748" s="7" t="s">
        <v>27</v>
      </c>
      <c r="H1748" s="11">
        <v>6.17</v>
      </c>
      <c r="I1748" s="55">
        <v>12</v>
      </c>
      <c r="J1748" s="40">
        <v>1</v>
      </c>
      <c r="K1748" s="10">
        <v>7.4039999999999995E-2</v>
      </c>
      <c r="L1748" s="4"/>
      <c r="M1748" s="17">
        <v>1</v>
      </c>
      <c r="N1748" s="18">
        <v>7.4039999999999995E-2</v>
      </c>
      <c r="O1748" s="19">
        <v>0</v>
      </c>
      <c r="P1748" s="13">
        <v>0</v>
      </c>
      <c r="Q1748" s="32"/>
      <c r="R1748" s="32"/>
      <c r="S1748" s="75">
        <v>12</v>
      </c>
      <c r="T1748" s="77">
        <v>1</v>
      </c>
      <c r="U1748" s="77" t="s">
        <v>272</v>
      </c>
    </row>
    <row r="1749" spans="1:22">
      <c r="A1749" s="45" t="s">
        <v>136</v>
      </c>
      <c r="B1749" s="48" t="s">
        <v>171</v>
      </c>
      <c r="C1749" s="32">
        <v>137</v>
      </c>
      <c r="D1749" s="32"/>
      <c r="E1749" s="48" t="s">
        <v>20</v>
      </c>
      <c r="F1749" s="48" t="s">
        <v>15</v>
      </c>
      <c r="G1749" s="48" t="s">
        <v>27</v>
      </c>
      <c r="H1749" s="11">
        <v>6.17</v>
      </c>
      <c r="I1749" s="8">
        <v>7</v>
      </c>
      <c r="J1749" s="7">
        <v>1</v>
      </c>
      <c r="K1749" s="10">
        <v>4.3189999999999999E-2</v>
      </c>
      <c r="L1749" s="32"/>
      <c r="M1749" s="32">
        <v>1</v>
      </c>
      <c r="N1749" s="18">
        <v>4.3189999999999999E-2</v>
      </c>
      <c r="O1749" s="19">
        <v>0</v>
      </c>
      <c r="P1749" s="13">
        <v>0</v>
      </c>
      <c r="Q1749" s="32"/>
      <c r="R1749" s="32"/>
      <c r="S1749" s="75">
        <v>6.5</v>
      </c>
      <c r="T1749" s="77">
        <v>1</v>
      </c>
      <c r="U1749" s="77" t="s">
        <v>272</v>
      </c>
    </row>
    <row r="1750" spans="1:22">
      <c r="A1750" s="45" t="s">
        <v>136</v>
      </c>
      <c r="B1750" s="48" t="s">
        <v>171</v>
      </c>
      <c r="C1750" s="32">
        <v>137</v>
      </c>
      <c r="D1750" s="32"/>
      <c r="E1750" s="48" t="s">
        <v>20</v>
      </c>
      <c r="F1750" s="48" t="s">
        <v>15</v>
      </c>
      <c r="G1750" s="48" t="s">
        <v>27</v>
      </c>
      <c r="H1750" s="11">
        <v>6.17</v>
      </c>
      <c r="I1750" s="8">
        <v>10.5</v>
      </c>
      <c r="J1750" s="7">
        <v>1</v>
      </c>
      <c r="K1750" s="10">
        <v>6.4784999999999995E-2</v>
      </c>
      <c r="L1750" s="32"/>
      <c r="M1750" s="32">
        <v>1</v>
      </c>
      <c r="N1750" s="18">
        <v>6.4784999999999995E-2</v>
      </c>
      <c r="O1750" s="19">
        <v>0</v>
      </c>
      <c r="P1750" s="13">
        <v>0</v>
      </c>
      <c r="Q1750" s="9">
        <v>9.85</v>
      </c>
      <c r="R1750" s="32">
        <v>1</v>
      </c>
      <c r="S1750" s="32"/>
      <c r="T1750" s="213"/>
      <c r="U1750" s="213"/>
    </row>
    <row r="1751" spans="1:22">
      <c r="A1751" s="45" t="s">
        <v>136</v>
      </c>
      <c r="B1751" s="48" t="s">
        <v>171</v>
      </c>
      <c r="C1751" s="32">
        <v>137</v>
      </c>
      <c r="D1751" s="32"/>
      <c r="E1751" s="48" t="s">
        <v>20</v>
      </c>
      <c r="F1751" s="48" t="s">
        <v>15</v>
      </c>
      <c r="G1751" s="48" t="s">
        <v>27</v>
      </c>
      <c r="H1751" s="11">
        <v>6.17</v>
      </c>
      <c r="I1751" s="8">
        <v>12</v>
      </c>
      <c r="J1751" s="7">
        <v>1</v>
      </c>
      <c r="K1751" s="10">
        <v>7.4039999999999995E-2</v>
      </c>
      <c r="L1751" s="32"/>
      <c r="M1751" s="32">
        <v>1</v>
      </c>
      <c r="N1751" s="18">
        <v>7.4039999999999995E-2</v>
      </c>
      <c r="O1751" s="19">
        <v>0</v>
      </c>
      <c r="P1751" s="13">
        <v>0</v>
      </c>
      <c r="Q1751" s="32"/>
      <c r="R1751" s="32"/>
      <c r="S1751" s="75">
        <v>12</v>
      </c>
      <c r="T1751" s="77">
        <v>1</v>
      </c>
      <c r="U1751" s="77" t="s">
        <v>272</v>
      </c>
    </row>
    <row r="1752" spans="1:22">
      <c r="A1752" s="45" t="s">
        <v>136</v>
      </c>
      <c r="B1752" s="48" t="s">
        <v>171</v>
      </c>
      <c r="C1752" s="32">
        <v>153</v>
      </c>
      <c r="D1752" s="32"/>
      <c r="E1752" s="48" t="s">
        <v>89</v>
      </c>
      <c r="F1752" s="48" t="s">
        <v>15</v>
      </c>
      <c r="G1752" s="48" t="s">
        <v>27</v>
      </c>
      <c r="H1752" s="11">
        <v>6.17</v>
      </c>
      <c r="I1752" s="9">
        <v>8</v>
      </c>
      <c r="J1752" s="7">
        <v>1</v>
      </c>
      <c r="K1752" s="10">
        <v>4.9360000000000001E-2</v>
      </c>
      <c r="L1752" s="32"/>
      <c r="M1752" s="32">
        <v>1</v>
      </c>
      <c r="N1752" s="18">
        <v>4.9360000000000001E-2</v>
      </c>
      <c r="O1752" s="19">
        <v>0</v>
      </c>
      <c r="P1752" s="13">
        <v>0</v>
      </c>
      <c r="Q1752" s="32"/>
      <c r="R1752" s="32"/>
      <c r="S1752" s="75">
        <v>8</v>
      </c>
      <c r="T1752" s="77">
        <v>1</v>
      </c>
      <c r="U1752" s="77" t="s">
        <v>272</v>
      </c>
    </row>
    <row r="1753" spans="1:22">
      <c r="A1753" s="45" t="s">
        <v>136</v>
      </c>
      <c r="B1753" s="48" t="s">
        <v>171</v>
      </c>
      <c r="C1753" s="32">
        <v>153</v>
      </c>
      <c r="D1753" s="32"/>
      <c r="E1753" s="48" t="s">
        <v>89</v>
      </c>
      <c r="F1753" s="48" t="s">
        <v>15</v>
      </c>
      <c r="G1753" s="48" t="s">
        <v>27</v>
      </c>
      <c r="H1753" s="11">
        <v>6.17</v>
      </c>
      <c r="I1753" s="9">
        <v>8.1</v>
      </c>
      <c r="J1753" s="7">
        <v>1</v>
      </c>
      <c r="K1753" s="10">
        <v>4.9976999999999994E-2</v>
      </c>
      <c r="L1753" s="32"/>
      <c r="M1753" s="32">
        <v>1</v>
      </c>
      <c r="N1753" s="18">
        <v>4.9976999999999994E-2</v>
      </c>
      <c r="O1753" s="19">
        <v>0</v>
      </c>
      <c r="P1753" s="13">
        <v>0</v>
      </c>
      <c r="Q1753" s="32"/>
      <c r="R1753" s="32"/>
      <c r="S1753" s="75">
        <v>8</v>
      </c>
      <c r="T1753" s="77">
        <v>1</v>
      </c>
      <c r="U1753" s="77" t="s">
        <v>272</v>
      </c>
    </row>
    <row r="1754" spans="1:22">
      <c r="A1754" s="45" t="s">
        <v>136</v>
      </c>
      <c r="B1754" s="48" t="s">
        <v>171</v>
      </c>
      <c r="C1754" s="32">
        <v>153</v>
      </c>
      <c r="D1754" s="32"/>
      <c r="E1754" s="48" t="s">
        <v>89</v>
      </c>
      <c r="F1754" s="48" t="s">
        <v>15</v>
      </c>
      <c r="G1754" s="48" t="s">
        <v>27</v>
      </c>
      <c r="H1754" s="11">
        <v>6.17</v>
      </c>
      <c r="I1754" s="9">
        <v>8.9</v>
      </c>
      <c r="J1754" s="7">
        <v>1</v>
      </c>
      <c r="K1754" s="10">
        <v>5.4913000000000003E-2</v>
      </c>
      <c r="L1754" s="32"/>
      <c r="M1754" s="32">
        <v>1</v>
      </c>
      <c r="N1754" s="18">
        <v>5.4913000000000003E-2</v>
      </c>
      <c r="O1754" s="19">
        <v>0</v>
      </c>
      <c r="P1754" s="13">
        <v>0</v>
      </c>
      <c r="Q1754" s="32"/>
      <c r="R1754" s="32"/>
      <c r="S1754" s="75">
        <v>8</v>
      </c>
      <c r="T1754" s="77">
        <v>1</v>
      </c>
      <c r="U1754" s="77" t="s">
        <v>272</v>
      </c>
    </row>
    <row r="1755" spans="1:22">
      <c r="O1755" s="215">
        <f>SUM(O1727:O1754)</f>
        <v>-51</v>
      </c>
      <c r="T1755" s="215">
        <f>SUM(T1727:T1754)</f>
        <v>32</v>
      </c>
    </row>
    <row r="1757" spans="1:22">
      <c r="A1757" s="42" t="s">
        <v>78</v>
      </c>
      <c r="B1757" s="3" t="s">
        <v>79</v>
      </c>
      <c r="C1757" s="3">
        <v>7</v>
      </c>
      <c r="D1757" s="1"/>
      <c r="E1757" s="20" t="s">
        <v>17</v>
      </c>
      <c r="F1757" s="7" t="s">
        <v>15</v>
      </c>
      <c r="G1757" s="7" t="s">
        <v>25</v>
      </c>
      <c r="H1757" s="11">
        <v>7.34</v>
      </c>
      <c r="I1757" s="8">
        <v>11.2</v>
      </c>
      <c r="J1757" s="26">
        <v>2</v>
      </c>
      <c r="K1757" s="10">
        <v>0.16441600000000001</v>
      </c>
      <c r="L1757" s="4"/>
      <c r="M1757" s="17">
        <v>2</v>
      </c>
      <c r="N1757" s="18">
        <v>0.16441600000000001</v>
      </c>
      <c r="O1757" s="19">
        <v>0</v>
      </c>
      <c r="P1757" s="13">
        <v>0</v>
      </c>
      <c r="Q1757" s="9"/>
      <c r="R1757" s="2"/>
      <c r="S1757" s="81">
        <v>11</v>
      </c>
      <c r="T1757" s="77">
        <v>2</v>
      </c>
      <c r="U1757" s="77" t="s">
        <v>268</v>
      </c>
      <c r="V1757" s="77"/>
    </row>
    <row r="1758" spans="1:22">
      <c r="A1758" s="42" t="s">
        <v>78</v>
      </c>
      <c r="B1758" s="3"/>
      <c r="C1758" s="3">
        <v>3</v>
      </c>
      <c r="D1758" s="1"/>
      <c r="E1758" s="20" t="s">
        <v>17</v>
      </c>
      <c r="F1758" s="7" t="s">
        <v>15</v>
      </c>
      <c r="G1758" s="7" t="s">
        <v>25</v>
      </c>
      <c r="H1758" s="11">
        <v>7.34</v>
      </c>
      <c r="I1758" s="8">
        <v>9.5</v>
      </c>
      <c r="J1758" s="26">
        <v>7</v>
      </c>
      <c r="K1758" s="10">
        <v>0.48810999999999999</v>
      </c>
      <c r="L1758" s="4"/>
      <c r="M1758" s="17">
        <v>7</v>
      </c>
      <c r="N1758" s="18">
        <v>0.48810999999999999</v>
      </c>
      <c r="O1758" s="19">
        <v>0</v>
      </c>
      <c r="P1758" s="13">
        <v>0</v>
      </c>
      <c r="Q1758" s="9"/>
      <c r="R1758" s="2"/>
      <c r="S1758" s="81">
        <v>9.25</v>
      </c>
      <c r="T1758" s="77">
        <v>6</v>
      </c>
      <c r="U1758" s="77" t="s">
        <v>268</v>
      </c>
      <c r="V1758" s="77"/>
    </row>
    <row r="1759" spans="1:22">
      <c r="A1759" s="42" t="s">
        <v>78</v>
      </c>
      <c r="B1759" s="3"/>
      <c r="C1759" s="3">
        <v>3</v>
      </c>
      <c r="D1759" s="1"/>
      <c r="E1759" s="20" t="s">
        <v>17</v>
      </c>
      <c r="F1759" s="7" t="s">
        <v>15</v>
      </c>
      <c r="G1759" s="7" t="s">
        <v>25</v>
      </c>
      <c r="H1759" s="11">
        <v>7.34</v>
      </c>
      <c r="I1759" s="8">
        <v>10</v>
      </c>
      <c r="J1759" s="26">
        <v>5</v>
      </c>
      <c r="K1759" s="10">
        <v>0.36699999999999999</v>
      </c>
      <c r="L1759" s="4"/>
      <c r="M1759" s="17">
        <v>5</v>
      </c>
      <c r="N1759" s="18">
        <v>0.36699999999999999</v>
      </c>
      <c r="O1759" s="19">
        <v>0</v>
      </c>
      <c r="P1759" s="13">
        <v>0</v>
      </c>
      <c r="Q1759" s="9">
        <v>10.050000000000001</v>
      </c>
      <c r="R1759" s="2">
        <v>4</v>
      </c>
      <c r="S1759" s="81">
        <v>10</v>
      </c>
      <c r="T1759" s="77">
        <v>1</v>
      </c>
      <c r="U1759" s="77" t="s">
        <v>268</v>
      </c>
      <c r="V1759" s="77"/>
    </row>
    <row r="1760" spans="1:22">
      <c r="A1760" s="42" t="s">
        <v>78</v>
      </c>
      <c r="B1760" s="3"/>
      <c r="C1760" s="3">
        <v>3</v>
      </c>
      <c r="D1760" s="1"/>
      <c r="E1760" s="20" t="s">
        <v>17</v>
      </c>
      <c r="F1760" s="7" t="s">
        <v>15</v>
      </c>
      <c r="G1760" s="7" t="s">
        <v>25</v>
      </c>
      <c r="H1760" s="11">
        <v>7.34</v>
      </c>
      <c r="I1760" s="8">
        <v>11.5</v>
      </c>
      <c r="J1760" s="26">
        <v>6</v>
      </c>
      <c r="K1760" s="10">
        <v>0.50646000000000002</v>
      </c>
      <c r="L1760" s="4"/>
      <c r="M1760" s="17">
        <v>6</v>
      </c>
      <c r="N1760" s="18">
        <v>0.50646000000000002</v>
      </c>
      <c r="O1760" s="19">
        <v>0</v>
      </c>
      <c r="P1760" s="13">
        <v>0</v>
      </c>
      <c r="Q1760" s="9"/>
      <c r="R1760" s="2"/>
      <c r="S1760" s="81">
        <v>11.5</v>
      </c>
      <c r="T1760" s="77">
        <v>6</v>
      </c>
      <c r="U1760" s="77" t="s">
        <v>268</v>
      </c>
      <c r="V1760" s="77"/>
    </row>
    <row r="1761" spans="1:22">
      <c r="A1761" s="42" t="s">
        <v>78</v>
      </c>
      <c r="B1761" s="3"/>
      <c r="C1761" s="3">
        <v>8</v>
      </c>
      <c r="D1761" s="1"/>
      <c r="E1761" s="20" t="s">
        <v>17</v>
      </c>
      <c r="F1761" s="7" t="s">
        <v>15</v>
      </c>
      <c r="G1761" s="7" t="s">
        <v>25</v>
      </c>
      <c r="H1761" s="11">
        <v>7.34</v>
      </c>
      <c r="I1761" s="8">
        <v>11.55</v>
      </c>
      <c r="J1761" s="26">
        <v>24</v>
      </c>
      <c r="K1761" s="10">
        <v>2.0346480000000002</v>
      </c>
      <c r="L1761" s="4"/>
      <c r="M1761" s="17">
        <v>24</v>
      </c>
      <c r="N1761" s="18">
        <v>2.0346480000000002</v>
      </c>
      <c r="O1761" s="19">
        <v>0</v>
      </c>
      <c r="P1761" s="13">
        <v>0</v>
      </c>
      <c r="Q1761" s="9"/>
      <c r="R1761" s="2"/>
      <c r="S1761" s="81">
        <v>11.5</v>
      </c>
      <c r="T1761" s="77">
        <v>6</v>
      </c>
      <c r="U1761" s="77" t="s">
        <v>268</v>
      </c>
      <c r="V1761" s="77"/>
    </row>
    <row r="1762" spans="1:22">
      <c r="A1762" s="42" t="s">
        <v>78</v>
      </c>
      <c r="B1762" s="3"/>
      <c r="C1762" s="3">
        <v>10</v>
      </c>
      <c r="D1762" s="1"/>
      <c r="E1762" s="20" t="s">
        <v>17</v>
      </c>
      <c r="F1762" s="7" t="s">
        <v>15</v>
      </c>
      <c r="G1762" s="7" t="s">
        <v>25</v>
      </c>
      <c r="H1762" s="11">
        <v>7.34</v>
      </c>
      <c r="I1762" s="8">
        <v>11.5</v>
      </c>
      <c r="J1762" s="26">
        <v>1</v>
      </c>
      <c r="K1762" s="10">
        <v>8.4409999999999999E-2</v>
      </c>
      <c r="L1762" s="4"/>
      <c r="M1762" s="17">
        <v>1</v>
      </c>
      <c r="N1762" s="18">
        <v>8.4409999999999999E-2</v>
      </c>
      <c r="O1762" s="19">
        <v>0</v>
      </c>
      <c r="P1762" s="13">
        <v>0</v>
      </c>
      <c r="Q1762" s="9"/>
      <c r="R1762" s="2"/>
      <c r="S1762" s="81">
        <v>11.5</v>
      </c>
      <c r="T1762" s="77">
        <v>1</v>
      </c>
      <c r="U1762" s="77" t="s">
        <v>268</v>
      </c>
      <c r="V1762" s="77"/>
    </row>
    <row r="1763" spans="1:22">
      <c r="A1763" s="42" t="s">
        <v>78</v>
      </c>
      <c r="B1763" s="3"/>
      <c r="C1763" s="3">
        <v>11</v>
      </c>
      <c r="D1763" s="1"/>
      <c r="E1763" s="20" t="s">
        <v>17</v>
      </c>
      <c r="F1763" s="7" t="s">
        <v>15</v>
      </c>
      <c r="G1763" s="7" t="s">
        <v>25</v>
      </c>
      <c r="H1763" s="11">
        <v>7.34</v>
      </c>
      <c r="I1763" s="8">
        <v>12</v>
      </c>
      <c r="J1763" s="26">
        <v>30</v>
      </c>
      <c r="K1763" s="10">
        <v>2.6424000000000003</v>
      </c>
      <c r="L1763" s="4"/>
      <c r="M1763" s="17">
        <v>30</v>
      </c>
      <c r="N1763" s="18">
        <v>2.6424000000000003</v>
      </c>
      <c r="O1763" s="19">
        <v>0</v>
      </c>
      <c r="P1763" s="13">
        <v>0</v>
      </c>
      <c r="Q1763" s="9"/>
      <c r="R1763" s="2"/>
      <c r="S1763" s="81">
        <v>12</v>
      </c>
      <c r="T1763" s="77">
        <v>14</v>
      </c>
      <c r="U1763" s="77" t="s">
        <v>268</v>
      </c>
      <c r="V1763" s="77"/>
    </row>
    <row r="1764" spans="1:22">
      <c r="A1764" s="42" t="s">
        <v>78</v>
      </c>
      <c r="B1764" s="3"/>
      <c r="C1764" s="3">
        <v>12</v>
      </c>
      <c r="D1764" s="1"/>
      <c r="E1764" s="20" t="s">
        <v>17</v>
      </c>
      <c r="F1764" s="7" t="s">
        <v>15</v>
      </c>
      <c r="G1764" s="7" t="s">
        <v>25</v>
      </c>
      <c r="H1764" s="11">
        <v>7.34</v>
      </c>
      <c r="I1764" s="8">
        <v>5.8</v>
      </c>
      <c r="J1764" s="26">
        <v>1</v>
      </c>
      <c r="K1764" s="10">
        <v>4.2571999999999999E-2</v>
      </c>
      <c r="L1764" s="4"/>
      <c r="M1764" s="17"/>
      <c r="N1764" s="18">
        <v>0</v>
      </c>
      <c r="O1764" s="19">
        <v>1</v>
      </c>
      <c r="P1764" s="13">
        <v>4.2571999999999999E-2</v>
      </c>
      <c r="Q1764" s="9"/>
      <c r="R1764" s="2"/>
      <c r="S1764" s="50"/>
      <c r="T1764" s="213"/>
      <c r="U1764" s="213"/>
      <c r="V1764" s="213"/>
    </row>
    <row r="1765" spans="1:22">
      <c r="A1765" s="42" t="s">
        <v>78</v>
      </c>
      <c r="B1765" s="3"/>
      <c r="C1765" s="3">
        <v>12</v>
      </c>
      <c r="D1765" s="1"/>
      <c r="E1765" s="20" t="s">
        <v>17</v>
      </c>
      <c r="F1765" s="7" t="s">
        <v>15</v>
      </c>
      <c r="G1765" s="7" t="s">
        <v>25</v>
      </c>
      <c r="H1765" s="11">
        <v>7.34</v>
      </c>
      <c r="I1765" s="8">
        <v>6.5</v>
      </c>
      <c r="J1765" s="26">
        <v>1</v>
      </c>
      <c r="K1765" s="10">
        <v>4.7710000000000002E-2</v>
      </c>
      <c r="L1765" s="4"/>
      <c r="M1765" s="17">
        <v>1</v>
      </c>
      <c r="N1765" s="18">
        <v>4.7710000000000002E-2</v>
      </c>
      <c r="O1765" s="19">
        <v>0</v>
      </c>
      <c r="P1765" s="13">
        <v>0</v>
      </c>
      <c r="Q1765" s="9"/>
      <c r="R1765" s="2"/>
      <c r="S1765" s="81">
        <v>6.3</v>
      </c>
      <c r="T1765" s="77">
        <v>1</v>
      </c>
      <c r="U1765" s="77" t="s">
        <v>307</v>
      </c>
      <c r="V1765" s="77"/>
    </row>
    <row r="1766" spans="1:22">
      <c r="A1766" s="42" t="s">
        <v>78</v>
      </c>
      <c r="B1766" s="3"/>
      <c r="C1766" s="3">
        <v>12</v>
      </c>
      <c r="D1766" s="1"/>
      <c r="E1766" s="20" t="s">
        <v>17</v>
      </c>
      <c r="F1766" s="7" t="s">
        <v>15</v>
      </c>
      <c r="G1766" s="7" t="s">
        <v>25</v>
      </c>
      <c r="H1766" s="11">
        <v>7.34</v>
      </c>
      <c r="I1766" s="8">
        <v>7.2</v>
      </c>
      <c r="J1766" s="26">
        <v>1</v>
      </c>
      <c r="K1766" s="10">
        <v>5.2847999999999999E-2</v>
      </c>
      <c r="L1766" s="4"/>
      <c r="M1766" s="17">
        <v>1</v>
      </c>
      <c r="N1766" s="18">
        <v>5.2847999999999999E-2</v>
      </c>
      <c r="O1766" s="19">
        <v>0</v>
      </c>
      <c r="P1766" s="13">
        <v>0</v>
      </c>
      <c r="Q1766" s="9"/>
      <c r="R1766" s="2"/>
      <c r="S1766" s="81">
        <v>6.3</v>
      </c>
      <c r="T1766" s="77">
        <v>1</v>
      </c>
      <c r="U1766" s="77" t="s">
        <v>307</v>
      </c>
      <c r="V1766" s="77"/>
    </row>
    <row r="1767" spans="1:22">
      <c r="A1767" s="42" t="s">
        <v>78</v>
      </c>
      <c r="B1767" s="3"/>
      <c r="C1767" s="3">
        <v>12</v>
      </c>
      <c r="D1767" s="1"/>
      <c r="E1767" s="20" t="s">
        <v>17</v>
      </c>
      <c r="F1767" s="7" t="s">
        <v>15</v>
      </c>
      <c r="G1767" s="7" t="s">
        <v>25</v>
      </c>
      <c r="H1767" s="11">
        <v>7.34</v>
      </c>
      <c r="I1767" s="8">
        <v>7.4</v>
      </c>
      <c r="J1767" s="26">
        <v>1</v>
      </c>
      <c r="K1767" s="10">
        <v>5.4316000000000003E-2</v>
      </c>
      <c r="L1767" s="4"/>
      <c r="M1767" s="17">
        <v>1</v>
      </c>
      <c r="N1767" s="18">
        <v>5.4316000000000003E-2</v>
      </c>
      <c r="O1767" s="19">
        <v>0</v>
      </c>
      <c r="P1767" s="13">
        <v>0</v>
      </c>
      <c r="Q1767" s="9"/>
      <c r="R1767" s="2"/>
      <c r="S1767" s="81">
        <v>6.3</v>
      </c>
      <c r="T1767" s="77">
        <v>1</v>
      </c>
      <c r="U1767" s="77" t="s">
        <v>307</v>
      </c>
      <c r="V1767" s="77"/>
    </row>
    <row r="1768" spans="1:22">
      <c r="A1768" s="42" t="s">
        <v>78</v>
      </c>
      <c r="B1768" s="3"/>
      <c r="C1768" s="3">
        <v>15</v>
      </c>
      <c r="D1768" s="1"/>
      <c r="E1768" s="20" t="s">
        <v>17</v>
      </c>
      <c r="F1768" s="7" t="s">
        <v>15</v>
      </c>
      <c r="G1768" s="7" t="s">
        <v>25</v>
      </c>
      <c r="H1768" s="11">
        <v>7.34</v>
      </c>
      <c r="I1768" s="8">
        <v>11</v>
      </c>
      <c r="J1768" s="26">
        <v>9</v>
      </c>
      <c r="K1768" s="10">
        <v>0.72665999999999997</v>
      </c>
      <c r="L1768" s="4"/>
      <c r="M1768" s="17">
        <v>9</v>
      </c>
      <c r="N1768" s="18">
        <v>0.72665999999999997</v>
      </c>
      <c r="O1768" s="19">
        <v>0</v>
      </c>
      <c r="P1768" s="13">
        <v>0</v>
      </c>
      <c r="Q1768" s="9"/>
      <c r="R1768" s="2"/>
      <c r="S1768" s="81">
        <v>11</v>
      </c>
      <c r="T1768" s="77">
        <v>1</v>
      </c>
      <c r="U1768" s="77" t="s">
        <v>268</v>
      </c>
      <c r="V1768" s="77"/>
    </row>
    <row r="1769" spans="1:22">
      <c r="A1769" s="42" t="s">
        <v>78</v>
      </c>
      <c r="B1769" s="3"/>
      <c r="C1769" s="3">
        <v>16</v>
      </c>
      <c r="D1769" s="1"/>
      <c r="E1769" s="20" t="s">
        <v>17</v>
      </c>
      <c r="F1769" s="7" t="s">
        <v>15</v>
      </c>
      <c r="G1769" s="7" t="s">
        <v>25</v>
      </c>
      <c r="H1769" s="11">
        <v>7.34</v>
      </c>
      <c r="I1769" s="8">
        <v>7.55</v>
      </c>
      <c r="J1769" s="26">
        <v>25</v>
      </c>
      <c r="K1769" s="10">
        <v>1.3854249999999999</v>
      </c>
      <c r="L1769" s="4"/>
      <c r="M1769" s="17">
        <v>25</v>
      </c>
      <c r="N1769" s="18">
        <v>1.3854249999999999</v>
      </c>
      <c r="O1769" s="19">
        <v>0</v>
      </c>
      <c r="P1769" s="13">
        <v>0</v>
      </c>
      <c r="Q1769" s="9"/>
      <c r="R1769" s="2"/>
      <c r="S1769" s="81">
        <v>7.5</v>
      </c>
      <c r="T1769" s="77">
        <v>2</v>
      </c>
      <c r="U1769" s="77" t="s">
        <v>307</v>
      </c>
      <c r="V1769" s="77"/>
    </row>
    <row r="1770" spans="1:22">
      <c r="A1770" s="42" t="s">
        <v>78</v>
      </c>
      <c r="B1770" s="3"/>
      <c r="C1770" s="3"/>
      <c r="D1770" s="1"/>
      <c r="E1770" s="20" t="s">
        <v>17</v>
      </c>
      <c r="F1770" s="7" t="s">
        <v>15</v>
      </c>
      <c r="G1770" s="7" t="s">
        <v>25</v>
      </c>
      <c r="H1770" s="11">
        <v>7.34</v>
      </c>
      <c r="I1770" s="8">
        <v>9.5</v>
      </c>
      <c r="J1770" s="26">
        <v>3</v>
      </c>
      <c r="K1770" s="10">
        <v>0.20918999999999999</v>
      </c>
      <c r="L1770" s="4"/>
      <c r="M1770" s="17">
        <v>3</v>
      </c>
      <c r="N1770" s="18">
        <v>0.20918999999999999</v>
      </c>
      <c r="O1770" s="19">
        <v>0</v>
      </c>
      <c r="P1770" s="13">
        <v>0</v>
      </c>
      <c r="Q1770" s="9"/>
      <c r="R1770" s="2"/>
      <c r="S1770" s="81">
        <v>9.25</v>
      </c>
      <c r="T1770" s="77">
        <v>3</v>
      </c>
      <c r="U1770" s="77" t="s">
        <v>268</v>
      </c>
      <c r="V1770" s="77"/>
    </row>
    <row r="1771" spans="1:22">
      <c r="A1771" s="42" t="s">
        <v>78</v>
      </c>
      <c r="B1771" s="3"/>
      <c r="C1771" s="3"/>
      <c r="D1771" s="1"/>
      <c r="E1771" s="20" t="s">
        <v>17</v>
      </c>
      <c r="F1771" s="7" t="s">
        <v>15</v>
      </c>
      <c r="G1771" s="7" t="s">
        <v>25</v>
      </c>
      <c r="H1771" s="11">
        <v>7.34</v>
      </c>
      <c r="I1771" s="8">
        <v>9.1999999999999993</v>
      </c>
      <c r="J1771" s="26">
        <v>1</v>
      </c>
      <c r="K1771" s="10">
        <v>6.7527999999999991E-2</v>
      </c>
      <c r="L1771" s="4"/>
      <c r="M1771" s="17">
        <v>1</v>
      </c>
      <c r="N1771" s="18">
        <v>6.7527999999999991E-2</v>
      </c>
      <c r="O1771" s="19">
        <v>0</v>
      </c>
      <c r="P1771" s="13">
        <v>0</v>
      </c>
      <c r="Q1771" s="9"/>
      <c r="R1771" s="2"/>
      <c r="S1771" s="81">
        <v>9.25</v>
      </c>
      <c r="T1771" s="77">
        <v>1</v>
      </c>
      <c r="U1771" s="77" t="s">
        <v>268</v>
      </c>
      <c r="V1771" s="77"/>
    </row>
    <row r="1772" spans="1:22">
      <c r="A1772" s="42" t="s">
        <v>78</v>
      </c>
      <c r="B1772" s="3"/>
      <c r="C1772" s="3"/>
      <c r="D1772" s="1"/>
      <c r="E1772" s="20" t="s">
        <v>17</v>
      </c>
      <c r="F1772" s="7" t="s">
        <v>15</v>
      </c>
      <c r="G1772" s="7" t="s">
        <v>25</v>
      </c>
      <c r="H1772" s="11">
        <v>7.34</v>
      </c>
      <c r="I1772" s="8">
        <v>11.5</v>
      </c>
      <c r="J1772" s="26">
        <v>1</v>
      </c>
      <c r="K1772" s="10">
        <v>8.4409999999999999E-2</v>
      </c>
      <c r="L1772" s="4"/>
      <c r="M1772" s="17">
        <v>1</v>
      </c>
      <c r="N1772" s="18">
        <v>8.4409999999999999E-2</v>
      </c>
      <c r="O1772" s="19">
        <v>0</v>
      </c>
      <c r="P1772" s="13">
        <v>0</v>
      </c>
      <c r="Q1772" s="9"/>
      <c r="R1772" s="2"/>
      <c r="S1772" s="81">
        <v>11.5</v>
      </c>
      <c r="T1772" s="77">
        <v>1</v>
      </c>
      <c r="U1772" s="77" t="s">
        <v>268</v>
      </c>
      <c r="V1772" s="77"/>
    </row>
    <row r="1773" spans="1:22">
      <c r="A1773" s="42" t="s">
        <v>84</v>
      </c>
      <c r="B1773" s="3" t="s">
        <v>121</v>
      </c>
      <c r="C1773" s="3">
        <v>1</v>
      </c>
      <c r="D1773" s="1"/>
      <c r="E1773" s="20" t="s">
        <v>17</v>
      </c>
      <c r="F1773" s="7" t="s">
        <v>15</v>
      </c>
      <c r="G1773" s="7" t="s">
        <v>25</v>
      </c>
      <c r="H1773" s="11">
        <v>7.34</v>
      </c>
      <c r="I1773" s="8">
        <v>8.5</v>
      </c>
      <c r="J1773" s="26">
        <v>1</v>
      </c>
      <c r="K1773" s="10">
        <v>6.2390000000000001E-2</v>
      </c>
      <c r="L1773" s="4"/>
      <c r="M1773" s="17">
        <v>1</v>
      </c>
      <c r="N1773" s="18">
        <v>6.2390000000000001E-2</v>
      </c>
      <c r="O1773" s="19">
        <v>0</v>
      </c>
      <c r="P1773" s="13">
        <v>0</v>
      </c>
      <c r="Q1773" s="9"/>
      <c r="R1773" s="2"/>
      <c r="S1773" s="81">
        <v>7.5</v>
      </c>
      <c r="T1773" s="77">
        <v>1</v>
      </c>
      <c r="U1773" s="77" t="s">
        <v>307</v>
      </c>
      <c r="V1773" s="77"/>
    </row>
    <row r="1774" spans="1:22">
      <c r="A1774" s="42" t="s">
        <v>84</v>
      </c>
      <c r="B1774" s="3" t="s">
        <v>121</v>
      </c>
      <c r="C1774" s="3">
        <v>1</v>
      </c>
      <c r="D1774" s="1"/>
      <c r="E1774" s="20" t="s">
        <v>17</v>
      </c>
      <c r="F1774" s="7" t="s">
        <v>15</v>
      </c>
      <c r="G1774" s="7" t="s">
        <v>25</v>
      </c>
      <c r="H1774" s="11">
        <v>7.34</v>
      </c>
      <c r="I1774" s="8">
        <v>10.5</v>
      </c>
      <c r="J1774" s="26">
        <v>7</v>
      </c>
      <c r="K1774" s="10">
        <v>0.53949000000000003</v>
      </c>
      <c r="L1774" s="4"/>
      <c r="M1774" s="17">
        <v>7</v>
      </c>
      <c r="N1774" s="18">
        <v>0.53949000000000003</v>
      </c>
      <c r="O1774" s="19">
        <v>0</v>
      </c>
      <c r="P1774" s="13">
        <v>0</v>
      </c>
      <c r="Q1774" s="9"/>
      <c r="R1774" s="2"/>
      <c r="S1774" s="81">
        <v>10.5</v>
      </c>
      <c r="T1774" s="77">
        <v>7</v>
      </c>
      <c r="U1774" s="77" t="s">
        <v>268</v>
      </c>
      <c r="V1774" s="77"/>
    </row>
    <row r="1775" spans="1:22">
      <c r="A1775" s="42" t="s">
        <v>84</v>
      </c>
      <c r="B1775" s="3" t="s">
        <v>121</v>
      </c>
      <c r="C1775" s="3">
        <v>1</v>
      </c>
      <c r="D1775" s="1"/>
      <c r="E1775" s="20" t="s">
        <v>17</v>
      </c>
      <c r="F1775" s="7" t="s">
        <v>15</v>
      </c>
      <c r="G1775" s="7" t="s">
        <v>25</v>
      </c>
      <c r="H1775" s="11">
        <v>7.34</v>
      </c>
      <c r="I1775" s="8">
        <v>10.199999999999999</v>
      </c>
      <c r="J1775" s="26">
        <v>1</v>
      </c>
      <c r="K1775" s="10">
        <v>7.486799999999999E-2</v>
      </c>
      <c r="L1775" s="4"/>
      <c r="M1775" s="17">
        <v>1</v>
      </c>
      <c r="N1775" s="18">
        <v>7.486799999999999E-2</v>
      </c>
      <c r="O1775" s="19">
        <v>0</v>
      </c>
      <c r="P1775" s="13">
        <v>0</v>
      </c>
      <c r="Q1775" s="9"/>
      <c r="R1775" s="2"/>
      <c r="S1775" s="81">
        <v>10</v>
      </c>
      <c r="T1775" s="77">
        <v>1</v>
      </c>
      <c r="U1775" s="77" t="s">
        <v>268</v>
      </c>
      <c r="V1775" s="77"/>
    </row>
    <row r="1776" spans="1:22">
      <c r="A1776" s="42" t="s">
        <v>84</v>
      </c>
      <c r="B1776" s="3" t="s">
        <v>121</v>
      </c>
      <c r="C1776" s="3">
        <v>1</v>
      </c>
      <c r="D1776" s="1"/>
      <c r="E1776" s="20" t="s">
        <v>17</v>
      </c>
      <c r="F1776" s="7" t="s">
        <v>15</v>
      </c>
      <c r="G1776" s="7" t="s">
        <v>25</v>
      </c>
      <c r="H1776" s="11">
        <v>7.34</v>
      </c>
      <c r="I1776" s="8">
        <v>10</v>
      </c>
      <c r="J1776" s="26">
        <v>3</v>
      </c>
      <c r="K1776" s="10">
        <v>0.22020000000000001</v>
      </c>
      <c r="L1776" s="4"/>
      <c r="M1776" s="17">
        <v>3</v>
      </c>
      <c r="N1776" s="18">
        <v>0.22019999999999998</v>
      </c>
      <c r="O1776" s="19">
        <v>0</v>
      </c>
      <c r="P1776" s="13">
        <v>0</v>
      </c>
      <c r="Q1776" s="9"/>
      <c r="R1776" s="2"/>
      <c r="S1776" s="81">
        <v>10</v>
      </c>
      <c r="T1776" s="77">
        <v>3</v>
      </c>
      <c r="U1776" s="77" t="s">
        <v>268</v>
      </c>
      <c r="V1776" s="77"/>
    </row>
    <row r="1777" spans="1:22">
      <c r="A1777" s="42" t="s">
        <v>84</v>
      </c>
      <c r="B1777" s="3" t="s">
        <v>121</v>
      </c>
      <c r="C1777" s="3">
        <v>2</v>
      </c>
      <c r="D1777" s="1"/>
      <c r="E1777" s="20" t="s">
        <v>17</v>
      </c>
      <c r="F1777" s="7" t="s">
        <v>15</v>
      </c>
      <c r="G1777" s="7" t="s">
        <v>25</v>
      </c>
      <c r="H1777" s="11">
        <v>7.34</v>
      </c>
      <c r="I1777" s="8">
        <v>10.25</v>
      </c>
      <c r="J1777" s="26">
        <v>4</v>
      </c>
      <c r="K1777" s="10">
        <v>0.30093999999999999</v>
      </c>
      <c r="L1777" s="4"/>
      <c r="M1777" s="17">
        <v>4</v>
      </c>
      <c r="N1777" s="18">
        <v>0.30093999999999999</v>
      </c>
      <c r="O1777" s="19">
        <v>0</v>
      </c>
      <c r="P1777" s="13">
        <v>0</v>
      </c>
      <c r="Q1777" s="9"/>
      <c r="R1777" s="2"/>
      <c r="S1777" s="81">
        <v>10</v>
      </c>
      <c r="T1777" s="77">
        <v>4</v>
      </c>
      <c r="U1777" s="77" t="s">
        <v>268</v>
      </c>
      <c r="V1777" s="77"/>
    </row>
    <row r="1778" spans="1:22">
      <c r="A1778" s="42" t="s">
        <v>90</v>
      </c>
      <c r="B1778" s="48" t="s">
        <v>148</v>
      </c>
      <c r="C1778" s="32">
        <v>55</v>
      </c>
      <c r="D1778" s="32"/>
      <c r="E1778" s="48" t="s">
        <v>17</v>
      </c>
      <c r="F1778" s="48" t="s">
        <v>15</v>
      </c>
      <c r="G1778" s="48" t="s">
        <v>25</v>
      </c>
      <c r="H1778" s="11">
        <v>7.34</v>
      </c>
      <c r="I1778" s="52">
        <v>9</v>
      </c>
      <c r="J1778" s="7">
        <v>2</v>
      </c>
      <c r="K1778" s="10">
        <v>0.13212000000000002</v>
      </c>
      <c r="L1778" s="32"/>
      <c r="M1778" s="32">
        <v>2</v>
      </c>
      <c r="N1778" s="18">
        <v>0.13212000000000002</v>
      </c>
      <c r="O1778" s="19">
        <v>0</v>
      </c>
      <c r="P1778" s="13">
        <v>0</v>
      </c>
      <c r="Q1778" s="32"/>
      <c r="R1778" s="32"/>
      <c r="S1778" s="75">
        <v>8</v>
      </c>
      <c r="T1778" s="77">
        <v>2</v>
      </c>
      <c r="U1778" s="77" t="s">
        <v>268</v>
      </c>
      <c r="V1778" s="77"/>
    </row>
    <row r="1779" spans="1:22">
      <c r="A1779" s="47" t="s">
        <v>147</v>
      </c>
      <c r="B1779" s="48" t="s">
        <v>148</v>
      </c>
      <c r="C1779" s="32">
        <v>360</v>
      </c>
      <c r="D1779" s="32"/>
      <c r="E1779" s="48" t="s">
        <v>17</v>
      </c>
      <c r="F1779" s="48" t="s">
        <v>160</v>
      </c>
      <c r="G1779" s="48" t="s">
        <v>25</v>
      </c>
      <c r="H1779" s="11">
        <v>7.34</v>
      </c>
      <c r="I1779" s="52">
        <v>9</v>
      </c>
      <c r="J1779" s="7">
        <v>3</v>
      </c>
      <c r="K1779" s="10">
        <v>0.19818</v>
      </c>
      <c r="L1779" s="32"/>
      <c r="M1779" s="32">
        <v>3</v>
      </c>
      <c r="N1779" s="18">
        <v>0.19818</v>
      </c>
      <c r="O1779" s="19">
        <v>0</v>
      </c>
      <c r="P1779" s="13">
        <v>0</v>
      </c>
      <c r="Q1779" s="32"/>
      <c r="R1779" s="32"/>
      <c r="S1779" s="75">
        <v>8</v>
      </c>
      <c r="T1779" s="77">
        <v>3</v>
      </c>
      <c r="U1779" s="77" t="s">
        <v>268</v>
      </c>
      <c r="V1779" s="77"/>
    </row>
    <row r="1780" spans="1:22">
      <c r="A1780" s="47" t="s">
        <v>147</v>
      </c>
      <c r="B1780" s="48" t="s">
        <v>148</v>
      </c>
      <c r="C1780" s="32">
        <v>360</v>
      </c>
      <c r="D1780" s="32"/>
      <c r="E1780" s="48" t="s">
        <v>17</v>
      </c>
      <c r="F1780" s="48" t="s">
        <v>160</v>
      </c>
      <c r="G1780" s="48" t="s">
        <v>25</v>
      </c>
      <c r="H1780" s="11">
        <v>7.34</v>
      </c>
      <c r="I1780" s="52">
        <v>7.4</v>
      </c>
      <c r="J1780" s="7">
        <v>1</v>
      </c>
      <c r="K1780" s="10">
        <v>5.4316000000000003E-2</v>
      </c>
      <c r="L1780" s="32"/>
      <c r="M1780" s="32">
        <v>1</v>
      </c>
      <c r="N1780" s="18">
        <v>5.4316000000000003E-2</v>
      </c>
      <c r="O1780" s="19">
        <v>0</v>
      </c>
      <c r="P1780" s="13">
        <v>0</v>
      </c>
      <c r="Q1780" s="32"/>
      <c r="R1780" s="32"/>
      <c r="S1780" s="75">
        <v>6.3</v>
      </c>
      <c r="T1780" s="77">
        <v>1</v>
      </c>
      <c r="U1780" s="77" t="s">
        <v>307</v>
      </c>
      <c r="V1780" s="77"/>
    </row>
    <row r="1781" spans="1:22">
      <c r="A1781" s="47" t="s">
        <v>147</v>
      </c>
      <c r="B1781" s="48" t="s">
        <v>148</v>
      </c>
      <c r="C1781" s="32">
        <v>360</v>
      </c>
      <c r="D1781" s="32"/>
      <c r="E1781" s="48" t="s">
        <v>17</v>
      </c>
      <c r="F1781" s="48" t="s">
        <v>160</v>
      </c>
      <c r="G1781" s="48" t="s">
        <v>25</v>
      </c>
      <c r="H1781" s="11">
        <v>7.34</v>
      </c>
      <c r="I1781" s="52">
        <v>6.3</v>
      </c>
      <c r="J1781" s="7">
        <v>2</v>
      </c>
      <c r="K1781" s="10">
        <v>9.2483999999999997E-2</v>
      </c>
      <c r="L1781" s="32"/>
      <c r="M1781" s="32">
        <v>2</v>
      </c>
      <c r="N1781" s="18">
        <v>9.2483999999999997E-2</v>
      </c>
      <c r="O1781" s="19">
        <v>0</v>
      </c>
      <c r="P1781" s="13">
        <v>0</v>
      </c>
      <c r="Q1781" s="32"/>
      <c r="R1781" s="32"/>
      <c r="S1781" s="75">
        <v>6.3</v>
      </c>
      <c r="T1781" s="77">
        <v>2</v>
      </c>
      <c r="U1781" s="77" t="s">
        <v>307</v>
      </c>
      <c r="V1781" s="77"/>
    </row>
    <row r="1784" spans="1:22">
      <c r="A1784" s="42"/>
      <c r="B1784" s="3" t="s">
        <v>122</v>
      </c>
      <c r="C1784" s="3"/>
      <c r="D1784" s="1"/>
      <c r="E1784" s="20" t="s">
        <v>114</v>
      </c>
      <c r="F1784" s="7" t="s">
        <v>15</v>
      </c>
      <c r="G1784" s="7" t="s">
        <v>25</v>
      </c>
      <c r="H1784" s="11">
        <v>7.34</v>
      </c>
      <c r="I1784" s="8">
        <v>10</v>
      </c>
      <c r="J1784" s="26">
        <v>1</v>
      </c>
      <c r="K1784" s="10">
        <v>7.3400000000000007E-2</v>
      </c>
      <c r="L1784" s="4"/>
      <c r="M1784" s="17">
        <v>1</v>
      </c>
      <c r="N1784" s="18">
        <v>7.3400000000000007E-2</v>
      </c>
      <c r="O1784" s="19">
        <v>0</v>
      </c>
      <c r="P1784" s="13">
        <v>0</v>
      </c>
      <c r="Q1784" s="73">
        <v>10</v>
      </c>
      <c r="R1784" s="74">
        <v>1</v>
      </c>
      <c r="S1784" s="74" t="s">
        <v>335</v>
      </c>
    </row>
    <row r="1785" spans="1:22">
      <c r="A1785" s="42"/>
      <c r="B1785" s="3" t="s">
        <v>122</v>
      </c>
      <c r="C1785" s="3"/>
      <c r="D1785" s="1"/>
      <c r="E1785" s="20" t="s">
        <v>114</v>
      </c>
      <c r="F1785" s="7" t="s">
        <v>15</v>
      </c>
      <c r="G1785" s="7" t="s">
        <v>25</v>
      </c>
      <c r="H1785" s="11">
        <v>7.34</v>
      </c>
      <c r="I1785" s="8">
        <v>10.199999999999999</v>
      </c>
      <c r="J1785" s="26">
        <v>1</v>
      </c>
      <c r="K1785" s="10">
        <v>7.486799999999999E-2</v>
      </c>
      <c r="L1785" s="4"/>
      <c r="M1785" s="17">
        <v>1</v>
      </c>
      <c r="N1785" s="18">
        <v>7.486799999999999E-2</v>
      </c>
      <c r="O1785" s="19">
        <v>0</v>
      </c>
      <c r="P1785" s="13">
        <v>0</v>
      </c>
      <c r="Q1785" s="73">
        <v>10</v>
      </c>
      <c r="R1785" s="74">
        <v>1</v>
      </c>
      <c r="S1785" s="74" t="s">
        <v>335</v>
      </c>
    </row>
    <row r="1786" spans="1:22">
      <c r="A1786" s="42" t="s">
        <v>90</v>
      </c>
      <c r="B1786" s="3"/>
      <c r="C1786" s="3">
        <v>115</v>
      </c>
      <c r="D1786" s="1"/>
      <c r="E1786" s="20" t="s">
        <v>96</v>
      </c>
      <c r="F1786" s="7" t="s">
        <v>15</v>
      </c>
      <c r="G1786" s="7" t="s">
        <v>25</v>
      </c>
      <c r="H1786" s="11">
        <v>7.34</v>
      </c>
      <c r="I1786" s="8">
        <v>10.5</v>
      </c>
      <c r="J1786" s="26">
        <v>1</v>
      </c>
      <c r="K1786" s="10">
        <v>7.707E-2</v>
      </c>
      <c r="L1786" s="4"/>
      <c r="M1786" s="17">
        <v>1</v>
      </c>
      <c r="N1786" s="18">
        <v>7.707E-2</v>
      </c>
      <c r="O1786" s="19">
        <v>0</v>
      </c>
      <c r="P1786" s="13">
        <v>0</v>
      </c>
      <c r="Q1786" s="73">
        <v>10</v>
      </c>
      <c r="R1786" s="74">
        <v>1</v>
      </c>
      <c r="S1786" s="74" t="s">
        <v>335</v>
      </c>
    </row>
    <row r="1787" spans="1:22">
      <c r="A1787" s="42" t="s">
        <v>90</v>
      </c>
      <c r="B1787" s="3"/>
      <c r="C1787" s="3">
        <v>135</v>
      </c>
      <c r="D1787" s="1"/>
      <c r="E1787" s="12" t="s">
        <v>20</v>
      </c>
      <c r="F1787" s="7" t="s">
        <v>15</v>
      </c>
      <c r="G1787" s="7" t="s">
        <v>25</v>
      </c>
      <c r="H1787" s="11">
        <v>7.34</v>
      </c>
      <c r="I1787" s="8">
        <v>8.4</v>
      </c>
      <c r="J1787" s="26">
        <v>1</v>
      </c>
      <c r="K1787" s="10">
        <v>6.1655999999999996E-2</v>
      </c>
      <c r="L1787" s="4"/>
      <c r="M1787" s="17">
        <v>1</v>
      </c>
      <c r="N1787" s="18">
        <v>6.1655999999999996E-2</v>
      </c>
      <c r="O1787" s="19">
        <v>0</v>
      </c>
      <c r="P1787" s="13">
        <v>0</v>
      </c>
      <c r="Q1787" s="73">
        <v>8.25</v>
      </c>
      <c r="R1787" s="74">
        <v>1</v>
      </c>
      <c r="S1787" s="74" t="s">
        <v>335</v>
      </c>
    </row>
    <row r="1788" spans="1:22">
      <c r="A1788" s="42" t="s">
        <v>90</v>
      </c>
      <c r="B1788" s="3"/>
      <c r="C1788" s="3">
        <v>135</v>
      </c>
      <c r="D1788" s="1"/>
      <c r="E1788" s="12" t="s">
        <v>20</v>
      </c>
      <c r="F1788" s="7" t="s">
        <v>15</v>
      </c>
      <c r="G1788" s="7" t="s">
        <v>25</v>
      </c>
      <c r="H1788" s="11">
        <v>7.34</v>
      </c>
      <c r="I1788" s="8">
        <v>8</v>
      </c>
      <c r="J1788" s="26">
        <v>2</v>
      </c>
      <c r="K1788" s="10">
        <v>0.11744</v>
      </c>
      <c r="L1788" s="4"/>
      <c r="M1788" s="17"/>
      <c r="N1788" s="18">
        <v>0</v>
      </c>
      <c r="O1788" s="19">
        <v>2</v>
      </c>
      <c r="P1788" s="13">
        <v>0.11744</v>
      </c>
      <c r="Q1788" s="9"/>
      <c r="R1788" s="2"/>
      <c r="S1788" s="2"/>
    </row>
    <row r="1789" spans="1:22">
      <c r="A1789" s="42" t="s">
        <v>90</v>
      </c>
      <c r="B1789" s="3"/>
      <c r="C1789" s="3">
        <v>135</v>
      </c>
      <c r="D1789" s="1"/>
      <c r="E1789" s="12" t="s">
        <v>20</v>
      </c>
      <c r="F1789" s="7" t="s">
        <v>15</v>
      </c>
      <c r="G1789" s="7" t="s">
        <v>25</v>
      </c>
      <c r="H1789" s="11">
        <v>7.34</v>
      </c>
      <c r="I1789" s="8">
        <v>8.5</v>
      </c>
      <c r="J1789" s="26">
        <v>1</v>
      </c>
      <c r="K1789" s="10">
        <v>6.2390000000000001E-2</v>
      </c>
      <c r="L1789" s="4"/>
      <c r="M1789" s="17">
        <v>1</v>
      </c>
      <c r="N1789" s="18">
        <v>6.2390000000000001E-2</v>
      </c>
      <c r="O1789" s="19">
        <v>0</v>
      </c>
      <c r="P1789" s="13">
        <v>0</v>
      </c>
      <c r="Q1789" s="73">
        <v>8.25</v>
      </c>
      <c r="R1789" s="74">
        <v>1</v>
      </c>
      <c r="S1789" s="74" t="s">
        <v>335</v>
      </c>
    </row>
    <row r="1790" spans="1:22">
      <c r="A1790" s="47" t="s">
        <v>147</v>
      </c>
      <c r="B1790" s="48" t="s">
        <v>148</v>
      </c>
      <c r="C1790" s="32">
        <v>354</v>
      </c>
      <c r="D1790" s="32"/>
      <c r="E1790" s="48" t="s">
        <v>163</v>
      </c>
      <c r="F1790" s="48" t="s">
        <v>160</v>
      </c>
      <c r="G1790" s="48" t="s">
        <v>25</v>
      </c>
      <c r="H1790" s="11">
        <v>7.34</v>
      </c>
      <c r="I1790" s="8">
        <v>10.9</v>
      </c>
      <c r="J1790" s="7">
        <v>1</v>
      </c>
      <c r="K1790" s="10">
        <v>8.0005999999999994E-2</v>
      </c>
      <c r="L1790" s="32"/>
      <c r="M1790" s="32">
        <v>1</v>
      </c>
      <c r="N1790" s="18">
        <v>8.0005999999999994E-2</v>
      </c>
      <c r="O1790" s="19">
        <v>0</v>
      </c>
      <c r="P1790" s="13">
        <v>0</v>
      </c>
      <c r="Q1790" s="249">
        <v>10</v>
      </c>
      <c r="R1790" s="72">
        <v>1</v>
      </c>
      <c r="S1790" s="74" t="s">
        <v>335</v>
      </c>
    </row>
    <row r="1791" spans="1:22">
      <c r="A1791" s="47" t="s">
        <v>147</v>
      </c>
      <c r="B1791" s="48" t="s">
        <v>148</v>
      </c>
      <c r="C1791" s="32">
        <v>301</v>
      </c>
      <c r="D1791" s="32"/>
      <c r="E1791" s="48" t="s">
        <v>20</v>
      </c>
      <c r="F1791" s="48" t="s">
        <v>160</v>
      </c>
      <c r="G1791" s="48" t="s">
        <v>25</v>
      </c>
      <c r="H1791" s="11">
        <v>7.34</v>
      </c>
      <c r="I1791" s="52">
        <v>10.5</v>
      </c>
      <c r="J1791" s="7">
        <v>4</v>
      </c>
      <c r="K1791" s="10">
        <v>0.30828</v>
      </c>
      <c r="L1791" s="32"/>
      <c r="M1791" s="32">
        <v>4</v>
      </c>
      <c r="N1791" s="18">
        <v>0.30828</v>
      </c>
      <c r="O1791" s="19">
        <v>0</v>
      </c>
      <c r="P1791" s="13">
        <v>0</v>
      </c>
      <c r="Q1791" s="249">
        <v>10</v>
      </c>
      <c r="R1791" s="72">
        <v>4</v>
      </c>
      <c r="S1791" s="74" t="s">
        <v>335</v>
      </c>
    </row>
    <row r="1792" spans="1:22">
      <c r="A1792" s="44" t="s">
        <v>78</v>
      </c>
      <c r="B1792" s="3" t="s">
        <v>80</v>
      </c>
      <c r="C1792" s="3">
        <v>11</v>
      </c>
      <c r="D1792" s="1"/>
      <c r="E1792" s="20" t="s">
        <v>76</v>
      </c>
      <c r="F1792" s="7" t="s">
        <v>15</v>
      </c>
      <c r="G1792" s="7" t="s">
        <v>25</v>
      </c>
      <c r="H1792" s="11">
        <v>7.34</v>
      </c>
      <c r="I1792" s="8">
        <v>10.3</v>
      </c>
      <c r="J1792" s="26">
        <v>3</v>
      </c>
      <c r="K1792" s="10">
        <v>0.22680600000000001</v>
      </c>
      <c r="L1792" s="4"/>
      <c r="M1792" s="17">
        <v>3</v>
      </c>
      <c r="N1792" s="18">
        <v>0.22680600000000001</v>
      </c>
      <c r="O1792" s="19">
        <v>0</v>
      </c>
      <c r="P1792" s="13">
        <v>0</v>
      </c>
      <c r="Q1792" s="73">
        <v>10</v>
      </c>
      <c r="R1792" s="72">
        <v>3</v>
      </c>
      <c r="S1792" s="74" t="s">
        <v>335</v>
      </c>
    </row>
    <row r="1793" spans="1:19">
      <c r="A1793" s="45" t="s">
        <v>136</v>
      </c>
      <c r="B1793" s="48" t="s">
        <v>171</v>
      </c>
      <c r="C1793" s="32">
        <v>138</v>
      </c>
      <c r="D1793" s="32"/>
      <c r="E1793" s="48" t="s">
        <v>20</v>
      </c>
      <c r="F1793" s="48" t="s">
        <v>15</v>
      </c>
      <c r="G1793" s="48" t="s">
        <v>25</v>
      </c>
      <c r="H1793" s="11">
        <v>7.34</v>
      </c>
      <c r="I1793" s="8">
        <v>6.8</v>
      </c>
      <c r="J1793" s="7">
        <v>1</v>
      </c>
      <c r="K1793" s="10">
        <v>4.9911999999999998E-2</v>
      </c>
      <c r="L1793" s="32"/>
      <c r="M1793" s="32"/>
      <c r="N1793" s="18">
        <v>0</v>
      </c>
      <c r="O1793" s="19">
        <v>1</v>
      </c>
      <c r="P1793" s="13">
        <v>4.9911999999999998E-2</v>
      </c>
      <c r="Q1793" s="32"/>
      <c r="R1793" s="32"/>
      <c r="S1793" s="32"/>
    </row>
    <row r="1794" spans="1:19">
      <c r="O1794" s="215">
        <f>SUM(O1784:O1793)</f>
        <v>3</v>
      </c>
      <c r="R1794" s="215">
        <f>SUM(R1784:R1793)</f>
        <v>13</v>
      </c>
    </row>
    <row r="1796" spans="1:19">
      <c r="A1796" s="42" t="s">
        <v>84</v>
      </c>
      <c r="B1796" s="3" t="s">
        <v>115</v>
      </c>
      <c r="C1796" s="3">
        <v>10</v>
      </c>
      <c r="D1796" s="1"/>
      <c r="E1796" s="20" t="s">
        <v>81</v>
      </c>
      <c r="F1796" s="7" t="s">
        <v>14</v>
      </c>
      <c r="G1796" s="7" t="s">
        <v>31</v>
      </c>
      <c r="H1796" s="11">
        <v>9.65</v>
      </c>
      <c r="I1796" s="8">
        <v>13.1</v>
      </c>
      <c r="J1796" s="26">
        <v>24</v>
      </c>
      <c r="K1796" s="10">
        <f t="shared" ref="K1796" si="96">(H1796*I1796*J1796/1000)</f>
        <v>3.03396</v>
      </c>
      <c r="L1796" s="4"/>
      <c r="M1796" s="17">
        <f>15+2</f>
        <v>17</v>
      </c>
      <c r="N1796" s="18">
        <f t="shared" ref="N1796" si="97">I1796*M1796*H1796/1000</f>
        <v>2.1490549999999997</v>
      </c>
      <c r="O1796" s="19">
        <f t="shared" ref="O1796" si="98">J1796-M1796</f>
        <v>7</v>
      </c>
      <c r="P1796" s="13">
        <f t="shared" ref="P1796" si="99">I1796*O1796*H1796/1000</f>
        <v>0.88490500000000005</v>
      </c>
      <c r="Q1796" s="73">
        <v>11.5</v>
      </c>
      <c r="R1796" s="74">
        <v>2</v>
      </c>
      <c r="S1796" s="74" t="s">
        <v>336</v>
      </c>
    </row>
    <row r="1797" spans="1:19">
      <c r="R1797" s="76">
        <f>SUM(R1796)</f>
        <v>2</v>
      </c>
    </row>
    <row r="1799" spans="1:19">
      <c r="A1799" s="42" t="s">
        <v>77</v>
      </c>
      <c r="B1799" s="3" t="s">
        <v>68</v>
      </c>
      <c r="C1799" s="3">
        <v>256</v>
      </c>
      <c r="D1799" s="1"/>
      <c r="E1799" s="20" t="s">
        <v>24</v>
      </c>
      <c r="F1799" s="7" t="s">
        <v>14</v>
      </c>
      <c r="G1799" s="7" t="s">
        <v>25</v>
      </c>
      <c r="H1799" s="11">
        <v>7.34</v>
      </c>
      <c r="I1799" s="8">
        <v>8</v>
      </c>
      <c r="J1799" s="26">
        <v>7</v>
      </c>
      <c r="K1799" s="10">
        <v>0.41103999999999996</v>
      </c>
      <c r="L1799" s="4"/>
      <c r="M1799" s="17">
        <v>7</v>
      </c>
      <c r="N1799" s="18">
        <v>0.41103999999999996</v>
      </c>
      <c r="O1799" s="19">
        <v>0</v>
      </c>
      <c r="P1799" s="13">
        <v>0</v>
      </c>
      <c r="Q1799" s="73">
        <v>7.55</v>
      </c>
      <c r="R1799" s="74">
        <v>2</v>
      </c>
      <c r="S1799" s="74" t="s">
        <v>335</v>
      </c>
    </row>
    <row r="1800" spans="1:19">
      <c r="A1800" s="42" t="s">
        <v>84</v>
      </c>
      <c r="B1800" s="3" t="s">
        <v>121</v>
      </c>
      <c r="C1800" s="3">
        <v>3</v>
      </c>
      <c r="D1800" s="1"/>
      <c r="E1800" s="20" t="s">
        <v>24</v>
      </c>
      <c r="F1800" s="7" t="s">
        <v>14</v>
      </c>
      <c r="G1800" s="7" t="s">
        <v>25</v>
      </c>
      <c r="H1800" s="11">
        <v>7.34</v>
      </c>
      <c r="I1800" s="8">
        <v>10</v>
      </c>
      <c r="J1800" s="26">
        <v>6</v>
      </c>
      <c r="K1800" s="10">
        <v>0.44040000000000001</v>
      </c>
      <c r="L1800" s="4"/>
      <c r="M1800" s="17">
        <v>6</v>
      </c>
      <c r="N1800" s="18">
        <v>0.44039999999999996</v>
      </c>
      <c r="O1800" s="19">
        <v>0</v>
      </c>
      <c r="P1800" s="13">
        <v>0</v>
      </c>
      <c r="Q1800" s="73">
        <v>7.55</v>
      </c>
      <c r="R1800" s="74">
        <v>1</v>
      </c>
      <c r="S1800" s="74" t="s">
        <v>335</v>
      </c>
    </row>
    <row r="1801" spans="1:19">
      <c r="A1801" s="42" t="s">
        <v>84</v>
      </c>
      <c r="B1801" s="3" t="s">
        <v>121</v>
      </c>
      <c r="C1801" s="3">
        <v>4</v>
      </c>
      <c r="D1801" s="1"/>
      <c r="E1801" s="20" t="s">
        <v>24</v>
      </c>
      <c r="F1801" s="7" t="s">
        <v>14</v>
      </c>
      <c r="G1801" s="7" t="s">
        <v>25</v>
      </c>
      <c r="H1801" s="11">
        <v>7.34</v>
      </c>
      <c r="I1801" s="8">
        <v>12</v>
      </c>
      <c r="J1801" s="26">
        <v>20</v>
      </c>
      <c r="K1801" s="10">
        <v>1.7615999999999998</v>
      </c>
      <c r="L1801" s="4"/>
      <c r="M1801" s="17">
        <v>20</v>
      </c>
      <c r="N1801" s="18">
        <v>1.7615999999999998</v>
      </c>
      <c r="O1801" s="19">
        <v>0</v>
      </c>
      <c r="P1801" s="13">
        <v>0</v>
      </c>
      <c r="Q1801" s="73">
        <v>12</v>
      </c>
      <c r="R1801" s="74">
        <v>2</v>
      </c>
      <c r="S1801" s="74" t="s">
        <v>336</v>
      </c>
    </row>
    <row r="1802" spans="1:19">
      <c r="A1802" s="42" t="s">
        <v>84</v>
      </c>
      <c r="B1802" s="3" t="s">
        <v>121</v>
      </c>
      <c r="C1802" s="3">
        <v>5</v>
      </c>
      <c r="D1802" s="1"/>
      <c r="E1802" s="20" t="s">
        <v>24</v>
      </c>
      <c r="F1802" s="7" t="s">
        <v>14</v>
      </c>
      <c r="G1802" s="7" t="s">
        <v>25</v>
      </c>
      <c r="H1802" s="11">
        <v>7.34</v>
      </c>
      <c r="I1802" s="8">
        <v>6.5</v>
      </c>
      <c r="J1802" s="26">
        <v>1</v>
      </c>
      <c r="K1802" s="10">
        <v>4.7710000000000002E-2</v>
      </c>
      <c r="L1802" s="4"/>
      <c r="M1802" s="17"/>
      <c r="N1802" s="18">
        <v>0</v>
      </c>
      <c r="O1802" s="19">
        <v>1</v>
      </c>
      <c r="P1802" s="13">
        <v>4.7710000000000002E-2</v>
      </c>
      <c r="Q1802" s="9"/>
      <c r="R1802" s="2"/>
      <c r="S1802" s="2"/>
    </row>
    <row r="1803" spans="1:19">
      <c r="A1803" s="42" t="s">
        <v>84</v>
      </c>
      <c r="B1803" s="3" t="s">
        <v>121</v>
      </c>
      <c r="C1803" s="3">
        <v>5</v>
      </c>
      <c r="D1803" s="1"/>
      <c r="E1803" s="20" t="s">
        <v>24</v>
      </c>
      <c r="F1803" s="7" t="s">
        <v>14</v>
      </c>
      <c r="G1803" s="7" t="s">
        <v>25</v>
      </c>
      <c r="H1803" s="11">
        <v>7.34</v>
      </c>
      <c r="I1803" s="8">
        <v>6.4</v>
      </c>
      <c r="J1803" s="26">
        <v>1</v>
      </c>
      <c r="K1803" s="10">
        <v>4.6975999999999997E-2</v>
      </c>
      <c r="L1803" s="4"/>
      <c r="M1803" s="17"/>
      <c r="N1803" s="18">
        <v>0</v>
      </c>
      <c r="O1803" s="19">
        <v>1</v>
      </c>
      <c r="P1803" s="13">
        <v>4.6975999999999997E-2</v>
      </c>
      <c r="Q1803" s="9"/>
      <c r="R1803" s="2"/>
      <c r="S1803" s="2"/>
    </row>
    <row r="1804" spans="1:19">
      <c r="A1804" s="42" t="s">
        <v>84</v>
      </c>
      <c r="B1804" s="3" t="s">
        <v>121</v>
      </c>
      <c r="C1804" s="3">
        <v>5</v>
      </c>
      <c r="D1804" s="1"/>
      <c r="E1804" s="20" t="s">
        <v>24</v>
      </c>
      <c r="F1804" s="7" t="s">
        <v>14</v>
      </c>
      <c r="G1804" s="7" t="s">
        <v>25</v>
      </c>
      <c r="H1804" s="11">
        <v>7.34</v>
      </c>
      <c r="I1804" s="8">
        <v>7.4</v>
      </c>
      <c r="J1804" s="26">
        <v>4</v>
      </c>
      <c r="K1804" s="10">
        <v>0.21726400000000001</v>
      </c>
      <c r="L1804" s="4"/>
      <c r="M1804" s="17"/>
      <c r="N1804" s="18">
        <v>0</v>
      </c>
      <c r="O1804" s="19">
        <v>4</v>
      </c>
      <c r="P1804" s="13">
        <v>0.21726400000000001</v>
      </c>
      <c r="Q1804" s="9"/>
      <c r="R1804" s="2"/>
      <c r="S1804" s="2"/>
    </row>
    <row r="1805" spans="1:19">
      <c r="A1805" s="42" t="s">
        <v>84</v>
      </c>
      <c r="B1805" s="3" t="s">
        <v>121</v>
      </c>
      <c r="C1805" s="3">
        <v>5</v>
      </c>
      <c r="D1805" s="1"/>
      <c r="E1805" s="20" t="s">
        <v>24</v>
      </c>
      <c r="F1805" s="7" t="s">
        <v>14</v>
      </c>
      <c r="G1805" s="7" t="s">
        <v>25</v>
      </c>
      <c r="H1805" s="11">
        <v>7.34</v>
      </c>
      <c r="I1805" s="8">
        <v>7.7</v>
      </c>
      <c r="J1805" s="26">
        <v>5</v>
      </c>
      <c r="K1805" s="10">
        <v>0.28259000000000001</v>
      </c>
      <c r="L1805" s="4"/>
      <c r="M1805" s="17">
        <v>5</v>
      </c>
      <c r="N1805" s="18">
        <v>0.28258999999999995</v>
      </c>
      <c r="O1805" s="19">
        <v>0</v>
      </c>
      <c r="P1805" s="13">
        <v>0</v>
      </c>
      <c r="Q1805" s="73">
        <v>7.55</v>
      </c>
      <c r="R1805" s="74">
        <v>1</v>
      </c>
      <c r="S1805" s="74" t="s">
        <v>335</v>
      </c>
    </row>
    <row r="1806" spans="1:19">
      <c r="A1806" s="42" t="s">
        <v>84</v>
      </c>
      <c r="B1806" s="3" t="s">
        <v>121</v>
      </c>
      <c r="C1806" s="3">
        <v>5</v>
      </c>
      <c r="D1806" s="1"/>
      <c r="E1806" s="20" t="s">
        <v>24</v>
      </c>
      <c r="F1806" s="7" t="s">
        <v>14</v>
      </c>
      <c r="G1806" s="7" t="s">
        <v>25</v>
      </c>
      <c r="H1806" s="11">
        <v>7.34</v>
      </c>
      <c r="I1806" s="8">
        <v>8.5</v>
      </c>
      <c r="J1806" s="26">
        <v>1</v>
      </c>
      <c r="K1806" s="10">
        <v>6.2390000000000001E-2</v>
      </c>
      <c r="L1806" s="4"/>
      <c r="M1806" s="17">
        <v>1</v>
      </c>
      <c r="N1806" s="18">
        <v>6.2390000000000001E-2</v>
      </c>
      <c r="O1806" s="19">
        <v>0</v>
      </c>
      <c r="P1806" s="13">
        <v>0</v>
      </c>
      <c r="Q1806" s="73">
        <v>7.55</v>
      </c>
      <c r="R1806" s="74">
        <v>1</v>
      </c>
      <c r="S1806" s="74" t="s">
        <v>335</v>
      </c>
    </row>
    <row r="1807" spans="1:19">
      <c r="A1807" s="42" t="s">
        <v>84</v>
      </c>
      <c r="B1807" s="3" t="s">
        <v>121</v>
      </c>
      <c r="C1807" s="3">
        <v>5</v>
      </c>
      <c r="D1807" s="1"/>
      <c r="E1807" s="20" t="s">
        <v>24</v>
      </c>
      <c r="F1807" s="7" t="s">
        <v>14</v>
      </c>
      <c r="G1807" s="7" t="s">
        <v>25</v>
      </c>
      <c r="H1807" s="11">
        <v>7.34</v>
      </c>
      <c r="I1807" s="8">
        <v>9</v>
      </c>
      <c r="J1807" s="26">
        <v>3</v>
      </c>
      <c r="K1807" s="10">
        <v>0.19818</v>
      </c>
      <c r="L1807" s="4"/>
      <c r="M1807" s="17">
        <v>3</v>
      </c>
      <c r="N1807" s="18">
        <v>0.19818</v>
      </c>
      <c r="O1807" s="19">
        <v>0</v>
      </c>
      <c r="P1807" s="13">
        <v>0</v>
      </c>
      <c r="Q1807" s="73">
        <v>7.55</v>
      </c>
      <c r="R1807" s="74">
        <v>3</v>
      </c>
      <c r="S1807" s="74" t="s">
        <v>335</v>
      </c>
    </row>
    <row r="1808" spans="1:19">
      <c r="A1808" s="42" t="s">
        <v>84</v>
      </c>
      <c r="B1808" s="3" t="s">
        <v>121</v>
      </c>
      <c r="C1808" s="3">
        <v>5</v>
      </c>
      <c r="D1808" s="1"/>
      <c r="E1808" s="20" t="s">
        <v>24</v>
      </c>
      <c r="F1808" s="7" t="s">
        <v>14</v>
      </c>
      <c r="G1808" s="7" t="s">
        <v>25</v>
      </c>
      <c r="H1808" s="11">
        <v>7.34</v>
      </c>
      <c r="I1808" s="8">
        <v>9.5</v>
      </c>
      <c r="J1808" s="26">
        <v>1</v>
      </c>
      <c r="K1808" s="10">
        <v>6.973E-2</v>
      </c>
      <c r="L1808" s="4"/>
      <c r="M1808" s="17">
        <v>1</v>
      </c>
      <c r="N1808" s="18">
        <v>6.973E-2</v>
      </c>
      <c r="O1808" s="19">
        <v>0</v>
      </c>
      <c r="P1808" s="13">
        <v>0</v>
      </c>
      <c r="Q1808" s="73">
        <v>7.55</v>
      </c>
      <c r="R1808" s="74">
        <v>1</v>
      </c>
      <c r="S1808" s="74" t="s">
        <v>335</v>
      </c>
    </row>
    <row r="1809" spans="1:19">
      <c r="A1809" s="42" t="s">
        <v>78</v>
      </c>
      <c r="B1809" s="3"/>
      <c r="C1809" s="3">
        <v>23</v>
      </c>
      <c r="D1809" s="1"/>
      <c r="E1809" s="20" t="s">
        <v>24</v>
      </c>
      <c r="F1809" s="7" t="s">
        <v>14</v>
      </c>
      <c r="G1809" s="7" t="s">
        <v>25</v>
      </c>
      <c r="H1809" s="11">
        <v>7.34</v>
      </c>
      <c r="I1809" s="8">
        <v>12</v>
      </c>
      <c r="J1809" s="26">
        <v>5</v>
      </c>
      <c r="K1809" s="10">
        <v>0.44039999999999996</v>
      </c>
      <c r="L1809" s="4"/>
      <c r="M1809" s="17">
        <v>5</v>
      </c>
      <c r="N1809" s="18">
        <v>0.44039999999999996</v>
      </c>
      <c r="O1809" s="19">
        <v>0</v>
      </c>
      <c r="P1809" s="13">
        <v>0</v>
      </c>
      <c r="Q1809" s="73">
        <v>12</v>
      </c>
      <c r="R1809" s="74">
        <v>5</v>
      </c>
      <c r="S1809" s="74" t="s">
        <v>336</v>
      </c>
    </row>
    <row r="1810" spans="1:19">
      <c r="A1810" s="42" t="s">
        <v>78</v>
      </c>
      <c r="B1810" s="3"/>
      <c r="C1810" s="3"/>
      <c r="D1810" s="1"/>
      <c r="E1810" s="20" t="s">
        <v>24</v>
      </c>
      <c r="F1810" s="7" t="s">
        <v>14</v>
      </c>
      <c r="G1810" s="7" t="s">
        <v>25</v>
      </c>
      <c r="H1810" s="11">
        <v>7.34</v>
      </c>
      <c r="I1810" s="8">
        <v>11</v>
      </c>
      <c r="J1810" s="26">
        <v>1</v>
      </c>
      <c r="K1810" s="10">
        <v>8.0739999999999992E-2</v>
      </c>
      <c r="L1810" s="4"/>
      <c r="M1810" s="17">
        <v>1</v>
      </c>
      <c r="N1810" s="18">
        <v>8.0739999999999992E-2</v>
      </c>
      <c r="O1810" s="19">
        <v>0</v>
      </c>
      <c r="P1810" s="13">
        <v>0</v>
      </c>
      <c r="Q1810" s="73">
        <v>10.15</v>
      </c>
      <c r="R1810" s="74">
        <v>1</v>
      </c>
      <c r="S1810" s="74" t="s">
        <v>335</v>
      </c>
    </row>
    <row r="1811" spans="1:19">
      <c r="A1811" s="42" t="s">
        <v>78</v>
      </c>
      <c r="B1811" s="3"/>
      <c r="C1811" s="3"/>
      <c r="D1811" s="1"/>
      <c r="E1811" s="20" t="s">
        <v>24</v>
      </c>
      <c r="F1811" s="7" t="s">
        <v>14</v>
      </c>
      <c r="G1811" s="7" t="s">
        <v>25</v>
      </c>
      <c r="H1811" s="11">
        <v>7.34</v>
      </c>
      <c r="I1811" s="8">
        <v>9.5</v>
      </c>
      <c r="J1811" s="26">
        <v>1</v>
      </c>
      <c r="K1811" s="10">
        <v>6.973E-2</v>
      </c>
      <c r="L1811" s="4"/>
      <c r="M1811" s="17">
        <v>1</v>
      </c>
      <c r="N1811" s="18">
        <v>6.973E-2</v>
      </c>
      <c r="O1811" s="19">
        <v>0</v>
      </c>
      <c r="P1811" s="13">
        <v>0</v>
      </c>
      <c r="Q1811" s="73">
        <v>7.55</v>
      </c>
      <c r="R1811" s="74">
        <v>1</v>
      </c>
      <c r="S1811" s="74" t="s">
        <v>335</v>
      </c>
    </row>
    <row r="1812" spans="1:19">
      <c r="A1812" s="42" t="s">
        <v>78</v>
      </c>
      <c r="B1812" s="3"/>
      <c r="C1812" s="3"/>
      <c r="D1812" s="1"/>
      <c r="E1812" s="20" t="s">
        <v>24</v>
      </c>
      <c r="F1812" s="7" t="s">
        <v>14</v>
      </c>
      <c r="G1812" s="7" t="s">
        <v>25</v>
      </c>
      <c r="H1812" s="11">
        <v>7.34</v>
      </c>
      <c r="I1812" s="8">
        <v>6.7</v>
      </c>
      <c r="J1812" s="26">
        <v>1</v>
      </c>
      <c r="K1812" s="10">
        <v>4.9177999999999999E-2</v>
      </c>
      <c r="L1812" s="4"/>
      <c r="M1812" s="17"/>
      <c r="N1812" s="18">
        <v>0</v>
      </c>
      <c r="O1812" s="19">
        <v>1</v>
      </c>
      <c r="P1812" s="13">
        <v>4.9177999999999999E-2</v>
      </c>
      <c r="Q1812" s="9"/>
      <c r="R1812" s="2"/>
      <c r="S1812" s="2"/>
    </row>
    <row r="1813" spans="1:19">
      <c r="A1813" s="42" t="s">
        <v>84</v>
      </c>
      <c r="B1813" s="3" t="s">
        <v>124</v>
      </c>
      <c r="C1813" s="3">
        <v>1</v>
      </c>
      <c r="D1813" s="1"/>
      <c r="E1813" s="20" t="s">
        <v>19</v>
      </c>
      <c r="F1813" s="7" t="s">
        <v>14</v>
      </c>
      <c r="G1813" s="7" t="s">
        <v>25</v>
      </c>
      <c r="H1813" s="11">
        <v>7.34</v>
      </c>
      <c r="I1813" s="8">
        <v>11.5</v>
      </c>
      <c r="J1813" s="26">
        <v>2</v>
      </c>
      <c r="K1813" s="10">
        <v>0.16882</v>
      </c>
      <c r="L1813" s="4"/>
      <c r="M1813" s="17">
        <v>2</v>
      </c>
      <c r="N1813" s="18">
        <v>0.16882</v>
      </c>
      <c r="O1813" s="19">
        <v>0</v>
      </c>
      <c r="P1813" s="13">
        <v>0</v>
      </c>
      <c r="Q1813" s="73">
        <v>10.15</v>
      </c>
      <c r="R1813" s="74">
        <v>2</v>
      </c>
      <c r="S1813" s="74" t="s">
        <v>335</v>
      </c>
    </row>
    <row r="1814" spans="1:19">
      <c r="A1814" s="42" t="s">
        <v>90</v>
      </c>
      <c r="B1814" s="48" t="s">
        <v>148</v>
      </c>
      <c r="C1814" s="32">
        <v>40</v>
      </c>
      <c r="D1814" s="32"/>
      <c r="E1814" s="48" t="s">
        <v>24</v>
      </c>
      <c r="F1814" s="48" t="s">
        <v>14</v>
      </c>
      <c r="G1814" s="48" t="s">
        <v>25</v>
      </c>
      <c r="H1814" s="11">
        <v>7.34</v>
      </c>
      <c r="I1814" s="52">
        <v>6</v>
      </c>
      <c r="J1814" s="7">
        <v>2</v>
      </c>
      <c r="K1814" s="10">
        <v>8.8079999999999992E-2</v>
      </c>
      <c r="L1814" s="32"/>
      <c r="M1814" s="32"/>
      <c r="N1814" s="18">
        <v>0</v>
      </c>
      <c r="O1814" s="19">
        <v>2</v>
      </c>
      <c r="P1814" s="13">
        <v>8.8079999999999992E-2</v>
      </c>
      <c r="Q1814" s="32"/>
      <c r="R1814" s="32"/>
      <c r="S1814" s="32"/>
    </row>
    <row r="1815" spans="1:19">
      <c r="A1815" s="42" t="s">
        <v>90</v>
      </c>
      <c r="B1815" s="48" t="s">
        <v>148</v>
      </c>
      <c r="C1815" s="32">
        <v>40</v>
      </c>
      <c r="D1815" s="32"/>
      <c r="E1815" s="48" t="s">
        <v>24</v>
      </c>
      <c r="F1815" s="48" t="s">
        <v>14</v>
      </c>
      <c r="G1815" s="48" t="s">
        <v>25</v>
      </c>
      <c r="H1815" s="11">
        <v>7.34</v>
      </c>
      <c r="I1815" s="52">
        <v>8</v>
      </c>
      <c r="J1815" s="7">
        <v>3</v>
      </c>
      <c r="K1815" s="10">
        <v>0.17615999999999998</v>
      </c>
      <c r="L1815" s="32"/>
      <c r="M1815" s="32">
        <v>3</v>
      </c>
      <c r="N1815" s="18">
        <v>0.17615999999999998</v>
      </c>
      <c r="O1815" s="19">
        <v>0</v>
      </c>
      <c r="P1815" s="13">
        <v>0</v>
      </c>
      <c r="Q1815" s="72">
        <v>7.55</v>
      </c>
      <c r="R1815" s="72">
        <v>3</v>
      </c>
      <c r="S1815" s="74" t="s">
        <v>335</v>
      </c>
    </row>
    <row r="1816" spans="1:19">
      <c r="A1816" s="42" t="s">
        <v>90</v>
      </c>
      <c r="B1816" s="48" t="s">
        <v>148</v>
      </c>
      <c r="C1816" s="32">
        <v>40</v>
      </c>
      <c r="D1816" s="32"/>
      <c r="E1816" s="48" t="s">
        <v>24</v>
      </c>
      <c r="F1816" s="48" t="s">
        <v>14</v>
      </c>
      <c r="G1816" s="48" t="s">
        <v>25</v>
      </c>
      <c r="H1816" s="11">
        <v>7.34</v>
      </c>
      <c r="I1816" s="52">
        <v>12</v>
      </c>
      <c r="J1816" s="7">
        <v>1</v>
      </c>
      <c r="K1816" s="10">
        <v>8.8079999999999992E-2</v>
      </c>
      <c r="L1816" s="32"/>
      <c r="M1816" s="32">
        <v>1</v>
      </c>
      <c r="N1816" s="18">
        <v>8.8079999999999992E-2</v>
      </c>
      <c r="O1816" s="19">
        <v>0</v>
      </c>
      <c r="P1816" s="13">
        <v>0</v>
      </c>
      <c r="Q1816" s="72">
        <v>12</v>
      </c>
      <c r="R1816" s="72">
        <v>1</v>
      </c>
      <c r="S1816" s="74" t="s">
        <v>336</v>
      </c>
    </row>
    <row r="1817" spans="1:19">
      <c r="A1817" s="42" t="s">
        <v>90</v>
      </c>
      <c r="B1817" s="48" t="s">
        <v>148</v>
      </c>
      <c r="C1817" s="32">
        <v>90</v>
      </c>
      <c r="D1817" s="32"/>
      <c r="E1817" s="48" t="s">
        <v>19</v>
      </c>
      <c r="F1817" s="48" t="s">
        <v>14</v>
      </c>
      <c r="G1817" s="48" t="s">
        <v>25</v>
      </c>
      <c r="H1817" s="11">
        <v>7.34</v>
      </c>
      <c r="I1817" s="8">
        <v>10</v>
      </c>
      <c r="J1817" s="7">
        <v>1</v>
      </c>
      <c r="K1817" s="10">
        <v>7.3400000000000007E-2</v>
      </c>
      <c r="L1817" s="32"/>
      <c r="M1817" s="32">
        <v>1</v>
      </c>
      <c r="N1817" s="18">
        <v>7.3400000000000007E-2</v>
      </c>
      <c r="O1817" s="19">
        <v>0</v>
      </c>
      <c r="P1817" s="13">
        <v>0</v>
      </c>
      <c r="Q1817" s="72">
        <v>7.55</v>
      </c>
      <c r="R1817" s="72">
        <v>1</v>
      </c>
      <c r="S1817" s="74" t="s">
        <v>335</v>
      </c>
    </row>
    <row r="1818" spans="1:19">
      <c r="A1818" s="42" t="s">
        <v>90</v>
      </c>
      <c r="B1818" s="48" t="s">
        <v>148</v>
      </c>
      <c r="C1818" s="32">
        <v>90</v>
      </c>
      <c r="D1818" s="32"/>
      <c r="E1818" s="48" t="s">
        <v>19</v>
      </c>
      <c r="F1818" s="48" t="s">
        <v>14</v>
      </c>
      <c r="G1818" s="48" t="s">
        <v>25</v>
      </c>
      <c r="H1818" s="11">
        <v>7.34</v>
      </c>
      <c r="I1818" s="8">
        <v>11.9</v>
      </c>
      <c r="J1818" s="7">
        <v>2</v>
      </c>
      <c r="K1818" s="10">
        <v>0.17469200000000001</v>
      </c>
      <c r="L1818" s="32"/>
      <c r="M1818" s="32">
        <v>2</v>
      </c>
      <c r="N1818" s="18">
        <v>0.17469200000000001</v>
      </c>
      <c r="O1818" s="19">
        <v>0</v>
      </c>
      <c r="P1818" s="13">
        <v>0</v>
      </c>
      <c r="Q1818" s="72">
        <v>10.15</v>
      </c>
      <c r="R1818" s="72">
        <v>2</v>
      </c>
      <c r="S1818" s="74" t="s">
        <v>335</v>
      </c>
    </row>
    <row r="1819" spans="1:19">
      <c r="A1819" s="42" t="s">
        <v>90</v>
      </c>
      <c r="B1819" s="3"/>
      <c r="C1819" s="3">
        <v>127</v>
      </c>
      <c r="D1819" s="1" t="s">
        <v>93</v>
      </c>
      <c r="E1819" s="12" t="s">
        <v>19</v>
      </c>
      <c r="F1819" s="7" t="s">
        <v>14</v>
      </c>
      <c r="G1819" s="7" t="s">
        <v>25</v>
      </c>
      <c r="H1819" s="11">
        <v>7.34</v>
      </c>
      <c r="I1819" s="8">
        <v>10</v>
      </c>
      <c r="J1819" s="26">
        <v>1</v>
      </c>
      <c r="K1819" s="10">
        <v>7.3400000000000007E-2</v>
      </c>
      <c r="L1819" s="4"/>
      <c r="M1819" s="17">
        <v>1</v>
      </c>
      <c r="N1819" s="18">
        <v>7.3400000000000007E-2</v>
      </c>
      <c r="O1819" s="19">
        <v>0</v>
      </c>
      <c r="P1819" s="13">
        <v>0</v>
      </c>
      <c r="Q1819" s="73">
        <v>7.55</v>
      </c>
      <c r="R1819" s="72">
        <v>1</v>
      </c>
      <c r="S1819" s="74" t="s">
        <v>335</v>
      </c>
    </row>
    <row r="1820" spans="1:19">
      <c r="A1820" s="42" t="s">
        <v>90</v>
      </c>
      <c r="B1820" s="3"/>
      <c r="C1820" s="3">
        <v>127</v>
      </c>
      <c r="D1820" s="1" t="s">
        <v>93</v>
      </c>
      <c r="E1820" s="12" t="s">
        <v>19</v>
      </c>
      <c r="F1820" s="7" t="s">
        <v>14</v>
      </c>
      <c r="G1820" s="7" t="s">
        <v>25</v>
      </c>
      <c r="H1820" s="11">
        <v>7.34</v>
      </c>
      <c r="I1820" s="8">
        <v>11.6</v>
      </c>
      <c r="J1820" s="26">
        <v>1</v>
      </c>
      <c r="K1820" s="10">
        <v>8.5143999999999997E-2</v>
      </c>
      <c r="L1820" s="4"/>
      <c r="M1820" s="17">
        <v>1</v>
      </c>
      <c r="N1820" s="18">
        <v>8.5143999999999997E-2</v>
      </c>
      <c r="O1820" s="19">
        <v>0</v>
      </c>
      <c r="P1820" s="13">
        <v>0</v>
      </c>
      <c r="Q1820" s="72">
        <v>10.15</v>
      </c>
      <c r="R1820" s="72">
        <v>1</v>
      </c>
      <c r="S1820" s="74" t="s">
        <v>335</v>
      </c>
    </row>
    <row r="1821" spans="1:19">
      <c r="A1821" s="42" t="s">
        <v>90</v>
      </c>
      <c r="B1821" s="3"/>
      <c r="C1821" s="3">
        <v>232</v>
      </c>
      <c r="D1821" s="1"/>
      <c r="E1821" s="20" t="s">
        <v>19</v>
      </c>
      <c r="F1821" s="7" t="s">
        <v>14</v>
      </c>
      <c r="G1821" s="7" t="s">
        <v>25</v>
      </c>
      <c r="H1821" s="11">
        <v>7.34</v>
      </c>
      <c r="I1821" s="8">
        <v>8.4</v>
      </c>
      <c r="J1821" s="26">
        <v>1</v>
      </c>
      <c r="K1821" s="10">
        <v>6.1655999999999996E-2</v>
      </c>
      <c r="L1821" s="4"/>
      <c r="M1821" s="17">
        <v>1</v>
      </c>
      <c r="N1821" s="18">
        <v>6.1655999999999996E-2</v>
      </c>
      <c r="O1821" s="19">
        <v>0</v>
      </c>
      <c r="P1821" s="13">
        <v>0</v>
      </c>
      <c r="Q1821" s="73">
        <v>7.55</v>
      </c>
      <c r="R1821" s="72">
        <v>1</v>
      </c>
      <c r="S1821" s="74" t="s">
        <v>335</v>
      </c>
    </row>
    <row r="1822" spans="1:19">
      <c r="A1822" s="45" t="s">
        <v>136</v>
      </c>
      <c r="B1822" s="32" t="s">
        <v>137</v>
      </c>
      <c r="C1822" s="3">
        <v>82</v>
      </c>
      <c r="D1822" s="32"/>
      <c r="E1822" s="20" t="s">
        <v>19</v>
      </c>
      <c r="F1822" s="7" t="s">
        <v>14</v>
      </c>
      <c r="G1822" s="7" t="s">
        <v>25</v>
      </c>
      <c r="H1822" s="11">
        <v>7.34</v>
      </c>
      <c r="I1822" s="55">
        <v>9.6</v>
      </c>
      <c r="J1822" s="40">
        <v>1</v>
      </c>
      <c r="K1822" s="10">
        <v>7.0463999999999999E-2</v>
      </c>
      <c r="L1822" s="4"/>
      <c r="M1822" s="17">
        <v>1</v>
      </c>
      <c r="N1822" s="18">
        <v>7.0463999999999999E-2</v>
      </c>
      <c r="O1822" s="19">
        <v>0</v>
      </c>
      <c r="P1822" s="13">
        <v>0</v>
      </c>
      <c r="Q1822" s="73">
        <v>7.55</v>
      </c>
      <c r="R1822" s="72">
        <v>1</v>
      </c>
      <c r="S1822" s="74" t="s">
        <v>335</v>
      </c>
    </row>
    <row r="1823" spans="1:19">
      <c r="A1823" s="45" t="s">
        <v>136</v>
      </c>
      <c r="B1823" s="32" t="s">
        <v>137</v>
      </c>
      <c r="C1823" s="3">
        <v>82</v>
      </c>
      <c r="D1823" s="32"/>
      <c r="E1823" s="20" t="s">
        <v>19</v>
      </c>
      <c r="F1823" s="7" t="s">
        <v>14</v>
      </c>
      <c r="G1823" s="7" t="s">
        <v>25</v>
      </c>
      <c r="H1823" s="11">
        <v>7.34</v>
      </c>
      <c r="I1823" s="55">
        <v>10</v>
      </c>
      <c r="J1823" s="40">
        <v>2</v>
      </c>
      <c r="K1823" s="10">
        <v>0.14680000000000001</v>
      </c>
      <c r="L1823" s="4"/>
      <c r="M1823" s="17">
        <v>2</v>
      </c>
      <c r="N1823" s="18">
        <v>0.14680000000000001</v>
      </c>
      <c r="O1823" s="19">
        <v>0</v>
      </c>
      <c r="P1823" s="13">
        <v>0</v>
      </c>
      <c r="Q1823" s="72">
        <v>7.55</v>
      </c>
      <c r="R1823" s="72">
        <v>2</v>
      </c>
      <c r="S1823" s="74" t="s">
        <v>335</v>
      </c>
    </row>
    <row r="1824" spans="1:19">
      <c r="A1824" s="45" t="s">
        <v>136</v>
      </c>
      <c r="B1824" s="48" t="s">
        <v>171</v>
      </c>
      <c r="C1824" s="32">
        <v>139</v>
      </c>
      <c r="D1824" s="32"/>
      <c r="E1824" s="48" t="s">
        <v>19</v>
      </c>
      <c r="F1824" s="48" t="s">
        <v>14</v>
      </c>
      <c r="G1824" s="48" t="s">
        <v>25</v>
      </c>
      <c r="H1824" s="11">
        <v>7.34</v>
      </c>
      <c r="I1824" s="8">
        <v>11.4</v>
      </c>
      <c r="J1824" s="7">
        <v>1</v>
      </c>
      <c r="K1824" s="10">
        <v>8.3676E-2</v>
      </c>
      <c r="L1824" s="32"/>
      <c r="M1824" s="32">
        <v>1</v>
      </c>
      <c r="N1824" s="18">
        <v>8.3676E-2</v>
      </c>
      <c r="O1824" s="19">
        <v>0</v>
      </c>
      <c r="P1824" s="13">
        <v>0</v>
      </c>
      <c r="Q1824" s="72">
        <v>10.15</v>
      </c>
      <c r="R1824" s="72">
        <v>1</v>
      </c>
      <c r="S1824" s="74" t="s">
        <v>335</v>
      </c>
    </row>
    <row r="1825" spans="1:19">
      <c r="A1825" s="45" t="s">
        <v>136</v>
      </c>
      <c r="B1825" s="48" t="s">
        <v>171</v>
      </c>
      <c r="C1825" s="32">
        <v>139</v>
      </c>
      <c r="D1825" s="32"/>
      <c r="E1825" s="48" t="s">
        <v>19</v>
      </c>
      <c r="F1825" s="48" t="s">
        <v>14</v>
      </c>
      <c r="G1825" s="48" t="s">
        <v>25</v>
      </c>
      <c r="H1825" s="11">
        <v>7.34</v>
      </c>
      <c r="I1825" s="8">
        <v>10.5</v>
      </c>
      <c r="J1825" s="7">
        <v>2</v>
      </c>
      <c r="K1825" s="10">
        <v>0.15414</v>
      </c>
      <c r="L1825" s="32"/>
      <c r="M1825" s="32">
        <v>2</v>
      </c>
      <c r="N1825" s="18">
        <v>0.15414</v>
      </c>
      <c r="O1825" s="19">
        <v>0</v>
      </c>
      <c r="P1825" s="13">
        <v>0</v>
      </c>
      <c r="Q1825" s="72">
        <v>7.55</v>
      </c>
      <c r="R1825" s="72">
        <v>2</v>
      </c>
      <c r="S1825" s="74" t="s">
        <v>335</v>
      </c>
    </row>
    <row r="1826" spans="1:19">
      <c r="O1826" s="215">
        <f>SUM(O1799:O1825)</f>
        <v>9</v>
      </c>
      <c r="R1826" s="215">
        <f>SUM(R1799:R1825)</f>
        <v>36</v>
      </c>
    </row>
    <row r="1828" spans="1:19">
      <c r="A1828" s="42" t="s">
        <v>77</v>
      </c>
      <c r="B1828" s="3" t="s">
        <v>68</v>
      </c>
      <c r="C1828" s="3">
        <v>30</v>
      </c>
      <c r="D1828" s="1"/>
      <c r="E1828" s="20" t="s">
        <v>24</v>
      </c>
      <c r="F1828" s="7" t="s">
        <v>14</v>
      </c>
      <c r="G1828" s="7" t="s">
        <v>16</v>
      </c>
      <c r="H1828" s="11">
        <v>5.77</v>
      </c>
      <c r="I1828" s="8">
        <v>7</v>
      </c>
      <c r="J1828" s="26">
        <v>2</v>
      </c>
      <c r="K1828" s="10">
        <v>8.0780000000000005E-2</v>
      </c>
      <c r="L1828" s="4"/>
      <c r="M1828" s="17">
        <v>2</v>
      </c>
      <c r="N1828" s="18">
        <v>8.0780000000000005E-2</v>
      </c>
      <c r="O1828" s="19">
        <v>0</v>
      </c>
      <c r="P1828" s="13">
        <v>0</v>
      </c>
      <c r="Q1828" s="89">
        <v>7</v>
      </c>
      <c r="R1828" s="90">
        <v>2</v>
      </c>
      <c r="S1828" s="90" t="s">
        <v>351</v>
      </c>
    </row>
    <row r="1829" spans="1:19">
      <c r="A1829" s="42" t="s">
        <v>77</v>
      </c>
      <c r="B1829" s="3" t="s">
        <v>68</v>
      </c>
      <c r="C1829" s="3">
        <v>30</v>
      </c>
      <c r="D1829" s="1"/>
      <c r="E1829" s="20" t="s">
        <v>24</v>
      </c>
      <c r="F1829" s="7" t="s">
        <v>14</v>
      </c>
      <c r="G1829" s="7" t="s">
        <v>16</v>
      </c>
      <c r="H1829" s="11">
        <v>5.77</v>
      </c>
      <c r="I1829" s="8">
        <v>8</v>
      </c>
      <c r="J1829" s="26">
        <v>1</v>
      </c>
      <c r="K1829" s="10">
        <v>4.616E-2</v>
      </c>
      <c r="L1829" s="4"/>
      <c r="M1829" s="17">
        <v>1</v>
      </c>
      <c r="N1829" s="18">
        <v>4.616E-2</v>
      </c>
      <c r="O1829" s="19">
        <v>0</v>
      </c>
      <c r="P1829" s="13">
        <v>0</v>
      </c>
      <c r="Q1829" s="89">
        <v>7</v>
      </c>
      <c r="R1829" s="90">
        <v>1</v>
      </c>
      <c r="S1829" s="90" t="s">
        <v>351</v>
      </c>
    </row>
    <row r="1830" spans="1:19">
      <c r="A1830" s="42" t="s">
        <v>77</v>
      </c>
      <c r="B1830" s="3" t="s">
        <v>68</v>
      </c>
      <c r="C1830" s="3">
        <v>30</v>
      </c>
      <c r="D1830" s="1"/>
      <c r="E1830" s="20" t="s">
        <v>24</v>
      </c>
      <c r="F1830" s="7" t="s">
        <v>14</v>
      </c>
      <c r="G1830" s="7" t="s">
        <v>16</v>
      </c>
      <c r="H1830" s="11">
        <v>5.77</v>
      </c>
      <c r="I1830" s="8">
        <v>8.5</v>
      </c>
      <c r="J1830" s="26">
        <v>1</v>
      </c>
      <c r="K1830" s="10">
        <v>4.9044999999999991E-2</v>
      </c>
      <c r="L1830" s="4"/>
      <c r="M1830" s="17">
        <v>1</v>
      </c>
      <c r="N1830" s="18">
        <v>4.9044999999999991E-2</v>
      </c>
      <c r="O1830" s="19">
        <v>0</v>
      </c>
      <c r="P1830" s="13">
        <v>0</v>
      </c>
      <c r="Q1830" s="89">
        <v>7</v>
      </c>
      <c r="R1830" s="90">
        <v>1</v>
      </c>
      <c r="S1830" s="90" t="s">
        <v>351</v>
      </c>
    </row>
    <row r="1831" spans="1:19">
      <c r="A1831" s="42" t="s">
        <v>77</v>
      </c>
      <c r="B1831" s="3" t="s">
        <v>68</v>
      </c>
      <c r="C1831" s="3">
        <v>30</v>
      </c>
      <c r="D1831" s="1"/>
      <c r="E1831" s="20" t="s">
        <v>24</v>
      </c>
      <c r="F1831" s="7" t="s">
        <v>14</v>
      </c>
      <c r="G1831" s="7" t="s">
        <v>16</v>
      </c>
      <c r="H1831" s="11">
        <v>5.77</v>
      </c>
      <c r="I1831" s="8">
        <v>8.9</v>
      </c>
      <c r="J1831" s="26">
        <v>1</v>
      </c>
      <c r="K1831" s="10">
        <v>5.1353000000000003E-2</v>
      </c>
      <c r="L1831" s="4"/>
      <c r="M1831" s="17">
        <v>1</v>
      </c>
      <c r="N1831" s="18">
        <v>5.1353000000000003E-2</v>
      </c>
      <c r="O1831" s="19">
        <v>0</v>
      </c>
      <c r="P1831" s="13">
        <v>0</v>
      </c>
      <c r="Q1831" s="89">
        <v>7</v>
      </c>
      <c r="R1831" s="90">
        <v>1</v>
      </c>
      <c r="S1831" s="90" t="s">
        <v>351</v>
      </c>
    </row>
    <row r="1832" spans="1:19">
      <c r="A1832" s="42" t="s">
        <v>77</v>
      </c>
      <c r="B1832" s="3" t="s">
        <v>68</v>
      </c>
      <c r="C1832" s="3">
        <v>30</v>
      </c>
      <c r="D1832" s="1"/>
      <c r="E1832" s="20" t="s">
        <v>24</v>
      </c>
      <c r="F1832" s="7" t="s">
        <v>14</v>
      </c>
      <c r="G1832" s="7" t="s">
        <v>16</v>
      </c>
      <c r="H1832" s="11">
        <v>5.77</v>
      </c>
      <c r="I1832" s="8">
        <v>9</v>
      </c>
      <c r="J1832" s="26">
        <v>3</v>
      </c>
      <c r="K1832" s="10">
        <v>0.15578999999999996</v>
      </c>
      <c r="L1832" s="4"/>
      <c r="M1832" s="17">
        <v>3</v>
      </c>
      <c r="N1832" s="18">
        <v>0.15578999999999998</v>
      </c>
      <c r="O1832" s="19">
        <v>0</v>
      </c>
      <c r="P1832" s="13">
        <v>0</v>
      </c>
      <c r="Q1832" s="89">
        <v>7</v>
      </c>
      <c r="R1832" s="90">
        <v>3</v>
      </c>
      <c r="S1832" s="90" t="s">
        <v>351</v>
      </c>
    </row>
    <row r="1833" spans="1:19">
      <c r="A1833" s="42" t="s">
        <v>77</v>
      </c>
      <c r="B1833" s="3" t="s">
        <v>68</v>
      </c>
      <c r="C1833" s="3">
        <v>30</v>
      </c>
      <c r="D1833" s="1"/>
      <c r="E1833" s="20" t="s">
        <v>24</v>
      </c>
      <c r="F1833" s="7" t="s">
        <v>14</v>
      </c>
      <c r="G1833" s="7" t="s">
        <v>16</v>
      </c>
      <c r="H1833" s="11">
        <v>5.77</v>
      </c>
      <c r="I1833" s="8">
        <v>9.5</v>
      </c>
      <c r="J1833" s="26">
        <v>4</v>
      </c>
      <c r="K1833" s="10">
        <v>0.21925999999999998</v>
      </c>
      <c r="L1833" s="4"/>
      <c r="M1833" s="17">
        <v>4</v>
      </c>
      <c r="N1833" s="18">
        <v>0.21925999999999998</v>
      </c>
      <c r="O1833" s="19">
        <v>0</v>
      </c>
      <c r="P1833" s="13">
        <v>0</v>
      </c>
      <c r="Q1833" s="89">
        <v>9.1999999999999993</v>
      </c>
      <c r="R1833" s="90">
        <v>4</v>
      </c>
      <c r="S1833" s="90" t="s">
        <v>218</v>
      </c>
    </row>
    <row r="1834" spans="1:19">
      <c r="A1834" s="42" t="s">
        <v>77</v>
      </c>
      <c r="B1834" s="3" t="s">
        <v>68</v>
      </c>
      <c r="C1834" s="3">
        <v>30</v>
      </c>
      <c r="D1834" s="1"/>
      <c r="E1834" s="20" t="s">
        <v>24</v>
      </c>
      <c r="F1834" s="7" t="s">
        <v>14</v>
      </c>
      <c r="G1834" s="7" t="s">
        <v>16</v>
      </c>
      <c r="H1834" s="11">
        <v>5.77</v>
      </c>
      <c r="I1834" s="8">
        <v>9.6999999999999993</v>
      </c>
      <c r="J1834" s="26">
        <v>8</v>
      </c>
      <c r="K1834" s="10">
        <v>0.44775199999999993</v>
      </c>
      <c r="L1834" s="4"/>
      <c r="M1834" s="17">
        <v>4</v>
      </c>
      <c r="N1834" s="18">
        <v>0.22387599999999996</v>
      </c>
      <c r="O1834" s="19">
        <v>4</v>
      </c>
      <c r="P1834" s="13">
        <v>0.22387599999999996</v>
      </c>
      <c r="Q1834" s="89" t="s">
        <v>348</v>
      </c>
      <c r="R1834" s="90">
        <v>4</v>
      </c>
      <c r="S1834" s="90" t="s">
        <v>349</v>
      </c>
    </row>
    <row r="1835" spans="1:19">
      <c r="A1835" s="42" t="s">
        <v>78</v>
      </c>
      <c r="B1835" s="3"/>
      <c r="C1835" s="3"/>
      <c r="D1835" s="1"/>
      <c r="E1835" s="20" t="s">
        <v>134</v>
      </c>
      <c r="F1835" s="7" t="s">
        <v>14</v>
      </c>
      <c r="G1835" s="7" t="s">
        <v>16</v>
      </c>
      <c r="H1835" s="11">
        <v>5.77</v>
      </c>
      <c r="I1835" s="8">
        <v>8</v>
      </c>
      <c r="J1835" s="26">
        <v>1</v>
      </c>
      <c r="K1835" s="10">
        <v>4.616E-2</v>
      </c>
      <c r="L1835" s="4"/>
      <c r="M1835" s="17">
        <v>1</v>
      </c>
      <c r="N1835" s="18">
        <v>4.616E-2</v>
      </c>
      <c r="O1835" s="19">
        <v>0</v>
      </c>
      <c r="P1835" s="13">
        <v>0</v>
      </c>
      <c r="Q1835" s="89">
        <v>8</v>
      </c>
      <c r="R1835" s="90">
        <v>1</v>
      </c>
      <c r="S1835" s="90" t="s">
        <v>350</v>
      </c>
    </row>
    <row r="1836" spans="1:19">
      <c r="A1836" s="42" t="s">
        <v>78</v>
      </c>
      <c r="B1836" s="3"/>
      <c r="C1836" s="3"/>
      <c r="D1836" s="1"/>
      <c r="E1836" s="20" t="s">
        <v>134</v>
      </c>
      <c r="F1836" s="7" t="s">
        <v>14</v>
      </c>
      <c r="G1836" s="7" t="s">
        <v>16</v>
      </c>
      <c r="H1836" s="11">
        <v>5.77</v>
      </c>
      <c r="I1836" s="8">
        <v>8.5</v>
      </c>
      <c r="J1836" s="26">
        <v>1</v>
      </c>
      <c r="K1836" s="10">
        <v>4.9044999999999991E-2</v>
      </c>
      <c r="L1836" s="4"/>
      <c r="M1836" s="17">
        <v>1</v>
      </c>
      <c r="N1836" s="18">
        <v>4.9044999999999991E-2</v>
      </c>
      <c r="O1836" s="19">
        <v>0</v>
      </c>
      <c r="P1836" s="13">
        <v>0</v>
      </c>
      <c r="Q1836" s="89">
        <v>8</v>
      </c>
      <c r="R1836" s="90">
        <v>1</v>
      </c>
      <c r="S1836" s="90" t="s">
        <v>350</v>
      </c>
    </row>
    <row r="1837" spans="1:19">
      <c r="A1837" s="42" t="s">
        <v>78</v>
      </c>
      <c r="B1837" s="3"/>
      <c r="C1837" s="3"/>
      <c r="D1837" s="1"/>
      <c r="E1837" s="20" t="s">
        <v>134</v>
      </c>
      <c r="F1837" s="7" t="s">
        <v>14</v>
      </c>
      <c r="G1837" s="7" t="s">
        <v>16</v>
      </c>
      <c r="H1837" s="11">
        <v>5.77</v>
      </c>
      <c r="I1837" s="8">
        <v>9</v>
      </c>
      <c r="J1837" s="26">
        <v>1</v>
      </c>
      <c r="K1837" s="10">
        <v>5.192999999999999E-2</v>
      </c>
      <c r="L1837" s="4"/>
      <c r="M1837" s="17">
        <v>1</v>
      </c>
      <c r="N1837" s="18">
        <v>5.192999999999999E-2</v>
      </c>
      <c r="O1837" s="19">
        <v>0</v>
      </c>
      <c r="P1837" s="13">
        <v>0</v>
      </c>
      <c r="Q1837" s="89">
        <v>8</v>
      </c>
      <c r="R1837" s="90">
        <v>1</v>
      </c>
      <c r="S1837" s="90" t="s">
        <v>350</v>
      </c>
    </row>
    <row r="1838" spans="1:19">
      <c r="A1838" s="42" t="s">
        <v>78</v>
      </c>
      <c r="B1838" s="3"/>
      <c r="C1838" s="3"/>
      <c r="D1838" s="1"/>
      <c r="E1838" s="20" t="s">
        <v>134</v>
      </c>
      <c r="F1838" s="7" t="s">
        <v>14</v>
      </c>
      <c r="G1838" s="7" t="s">
        <v>16</v>
      </c>
      <c r="H1838" s="11">
        <v>5.77</v>
      </c>
      <c r="I1838" s="8">
        <v>9.5</v>
      </c>
      <c r="J1838" s="26">
        <v>11</v>
      </c>
      <c r="K1838" s="10">
        <v>0.60296499999999997</v>
      </c>
      <c r="L1838" s="4"/>
      <c r="M1838" s="17">
        <v>11</v>
      </c>
      <c r="N1838" s="18">
        <v>0.60296499999999997</v>
      </c>
      <c r="O1838" s="19">
        <v>0</v>
      </c>
      <c r="P1838" s="13">
        <v>0</v>
      </c>
      <c r="Q1838" s="89">
        <v>9.1999999999999993</v>
      </c>
      <c r="R1838" s="90">
        <v>11</v>
      </c>
      <c r="S1838" s="90" t="s">
        <v>218</v>
      </c>
    </row>
    <row r="1839" spans="1:19">
      <c r="A1839" s="42" t="s">
        <v>90</v>
      </c>
      <c r="B1839" s="48" t="s">
        <v>148</v>
      </c>
      <c r="C1839" s="32">
        <v>39</v>
      </c>
      <c r="D1839" s="32"/>
      <c r="E1839" s="48" t="s">
        <v>24</v>
      </c>
      <c r="F1839" s="48" t="s">
        <v>14</v>
      </c>
      <c r="G1839" s="48" t="s">
        <v>16</v>
      </c>
      <c r="H1839" s="11">
        <v>5.77</v>
      </c>
      <c r="I1839" s="52">
        <v>9</v>
      </c>
      <c r="J1839" s="7">
        <v>2</v>
      </c>
      <c r="K1839" s="10">
        <v>0.10385999999999998</v>
      </c>
      <c r="L1839" s="32"/>
      <c r="M1839" s="32"/>
      <c r="N1839" s="18">
        <v>0</v>
      </c>
      <c r="O1839" s="19">
        <v>2</v>
      </c>
      <c r="P1839" s="13">
        <v>0.10385999999999998</v>
      </c>
      <c r="Q1839" s="32"/>
      <c r="R1839" s="32"/>
      <c r="S1839" s="32"/>
    </row>
    <row r="1840" spans="1:19">
      <c r="A1840" s="47" t="s">
        <v>147</v>
      </c>
      <c r="B1840" s="48" t="s">
        <v>148</v>
      </c>
      <c r="C1840" s="32">
        <v>278</v>
      </c>
      <c r="D1840" s="32"/>
      <c r="E1840" s="48" t="s">
        <v>24</v>
      </c>
      <c r="F1840" s="48" t="s">
        <v>14</v>
      </c>
      <c r="G1840" s="48" t="s">
        <v>16</v>
      </c>
      <c r="H1840" s="11">
        <v>5.77</v>
      </c>
      <c r="I1840" s="52">
        <v>11.65</v>
      </c>
      <c r="J1840" s="7">
        <v>1</v>
      </c>
      <c r="K1840" s="10">
        <v>6.7220500000000002E-2</v>
      </c>
      <c r="L1840" s="32"/>
      <c r="M1840" s="32"/>
      <c r="N1840" s="18">
        <v>0</v>
      </c>
      <c r="O1840" s="19">
        <v>1</v>
      </c>
      <c r="P1840" s="13">
        <v>6.7220500000000002E-2</v>
      </c>
      <c r="Q1840" s="32"/>
      <c r="R1840" s="32"/>
      <c r="S1840" s="32"/>
    </row>
    <row r="1841" spans="1:19">
      <c r="A1841" s="47" t="s">
        <v>147</v>
      </c>
      <c r="B1841" s="48" t="s">
        <v>148</v>
      </c>
      <c r="C1841" s="32">
        <v>294</v>
      </c>
      <c r="D1841" s="32"/>
      <c r="E1841" s="48" t="s">
        <v>24</v>
      </c>
      <c r="F1841" s="48" t="s">
        <v>14</v>
      </c>
      <c r="G1841" s="48" t="s">
        <v>16</v>
      </c>
      <c r="H1841" s="11">
        <v>5.77</v>
      </c>
      <c r="I1841" s="52">
        <v>10.5</v>
      </c>
      <c r="J1841" s="7">
        <v>2</v>
      </c>
      <c r="K1841" s="10">
        <v>0.12116999999999999</v>
      </c>
      <c r="L1841" s="32"/>
      <c r="M1841" s="32"/>
      <c r="N1841" s="18">
        <v>0</v>
      </c>
      <c r="O1841" s="19">
        <v>2</v>
      </c>
      <c r="P1841" s="13">
        <v>0.12116999999999999</v>
      </c>
      <c r="Q1841" s="32"/>
      <c r="R1841" s="32"/>
      <c r="S1841" s="32"/>
    </row>
    <row r="1842" spans="1:19">
      <c r="A1842" s="42" t="s">
        <v>78</v>
      </c>
      <c r="B1842" s="3" t="s">
        <v>80</v>
      </c>
      <c r="C1842" s="3">
        <v>4</v>
      </c>
      <c r="D1842" s="1"/>
      <c r="E1842" s="20" t="s">
        <v>24</v>
      </c>
      <c r="F1842" s="7" t="s">
        <v>14</v>
      </c>
      <c r="G1842" s="7" t="s">
        <v>16</v>
      </c>
      <c r="H1842" s="11">
        <v>5.77</v>
      </c>
      <c r="I1842" s="8">
        <v>12</v>
      </c>
      <c r="J1842" s="26">
        <v>2</v>
      </c>
      <c r="K1842" s="10">
        <v>0.13847999999999999</v>
      </c>
      <c r="L1842" s="4"/>
      <c r="M1842" s="17"/>
      <c r="N1842" s="18">
        <v>0</v>
      </c>
      <c r="O1842" s="19">
        <v>2</v>
      </c>
      <c r="P1842" s="13">
        <v>0.13847999999999999</v>
      </c>
      <c r="Q1842" s="9"/>
      <c r="R1842" s="2"/>
      <c r="S1842" s="2"/>
    </row>
    <row r="1843" spans="1:19">
      <c r="A1843" s="42" t="s">
        <v>78</v>
      </c>
      <c r="B1843" s="3" t="s">
        <v>80</v>
      </c>
      <c r="C1843" s="3">
        <v>4</v>
      </c>
      <c r="D1843" s="1"/>
      <c r="E1843" s="20" t="s">
        <v>24</v>
      </c>
      <c r="F1843" s="7" t="s">
        <v>14</v>
      </c>
      <c r="G1843" s="7" t="s">
        <v>16</v>
      </c>
      <c r="H1843" s="11">
        <v>5.77</v>
      </c>
      <c r="I1843" s="8">
        <v>10</v>
      </c>
      <c r="J1843" s="26">
        <v>1</v>
      </c>
      <c r="K1843" s="10">
        <v>5.7699999999999994E-2</v>
      </c>
      <c r="L1843" s="4"/>
      <c r="M1843" s="17"/>
      <c r="N1843" s="18">
        <v>0</v>
      </c>
      <c r="O1843" s="19">
        <v>1</v>
      </c>
      <c r="P1843" s="13">
        <v>5.7699999999999994E-2</v>
      </c>
      <c r="Q1843" s="9"/>
      <c r="R1843" s="2"/>
      <c r="S1843" s="2"/>
    </row>
    <row r="1844" spans="1:19">
      <c r="A1844" s="45" t="s">
        <v>136</v>
      </c>
      <c r="B1844" s="48" t="s">
        <v>171</v>
      </c>
      <c r="C1844" s="32">
        <v>144</v>
      </c>
      <c r="D1844" s="32"/>
      <c r="E1844" s="48" t="s">
        <v>24</v>
      </c>
      <c r="F1844" s="48" t="s">
        <v>14</v>
      </c>
      <c r="G1844" s="48" t="s">
        <v>16</v>
      </c>
      <c r="H1844" s="11">
        <v>5.77</v>
      </c>
      <c r="I1844" s="52">
        <v>9.5</v>
      </c>
      <c r="J1844" s="7">
        <v>3</v>
      </c>
      <c r="K1844" s="10">
        <v>0.16444499999999998</v>
      </c>
      <c r="L1844" s="32"/>
      <c r="M1844" s="32"/>
      <c r="N1844" s="18">
        <v>0</v>
      </c>
      <c r="O1844" s="19">
        <v>3</v>
      </c>
      <c r="P1844" s="13">
        <v>0.16444499999999998</v>
      </c>
      <c r="Q1844" s="32"/>
      <c r="R1844" s="32"/>
      <c r="S1844" s="32"/>
    </row>
    <row r="1845" spans="1:19">
      <c r="A1845" s="45" t="s">
        <v>136</v>
      </c>
      <c r="B1845" s="48" t="s">
        <v>171</v>
      </c>
      <c r="C1845" s="32">
        <v>144</v>
      </c>
      <c r="D1845" s="32"/>
      <c r="E1845" s="48" t="s">
        <v>24</v>
      </c>
      <c r="F1845" s="48" t="s">
        <v>14</v>
      </c>
      <c r="G1845" s="48" t="s">
        <v>16</v>
      </c>
      <c r="H1845" s="11">
        <v>5.77</v>
      </c>
      <c r="I1845" s="52">
        <v>9.3000000000000007</v>
      </c>
      <c r="J1845" s="7">
        <v>1</v>
      </c>
      <c r="K1845" s="10">
        <v>5.3661E-2</v>
      </c>
      <c r="L1845" s="32"/>
      <c r="M1845" s="32"/>
      <c r="N1845" s="18">
        <v>0</v>
      </c>
      <c r="O1845" s="19">
        <v>1</v>
      </c>
      <c r="P1845" s="13">
        <v>5.3661E-2</v>
      </c>
      <c r="Q1845" s="32"/>
      <c r="R1845" s="32"/>
      <c r="S1845" s="32"/>
    </row>
    <row r="1846" spans="1:19">
      <c r="A1846" s="45" t="s">
        <v>136</v>
      </c>
      <c r="B1846" s="48" t="s">
        <v>171</v>
      </c>
      <c r="C1846" s="32">
        <v>144</v>
      </c>
      <c r="D1846" s="32"/>
      <c r="E1846" s="48" t="s">
        <v>24</v>
      </c>
      <c r="F1846" s="48" t="s">
        <v>14</v>
      </c>
      <c r="G1846" s="48" t="s">
        <v>16</v>
      </c>
      <c r="H1846" s="11">
        <v>5.77</v>
      </c>
      <c r="I1846" s="52">
        <v>8.5</v>
      </c>
      <c r="J1846" s="7">
        <v>1</v>
      </c>
      <c r="K1846" s="10">
        <v>4.9044999999999991E-2</v>
      </c>
      <c r="L1846" s="32"/>
      <c r="M1846" s="32"/>
      <c r="N1846" s="18">
        <v>0</v>
      </c>
      <c r="O1846" s="19">
        <v>1</v>
      </c>
      <c r="P1846" s="13">
        <v>4.9044999999999991E-2</v>
      </c>
      <c r="Q1846" s="32"/>
      <c r="R1846" s="32"/>
      <c r="S1846" s="32"/>
    </row>
    <row r="1847" spans="1:19">
      <c r="R1847" s="76">
        <f>SUM(R1828:R1846)</f>
        <v>30</v>
      </c>
    </row>
    <row r="1848" spans="1:19" ht="15.6">
      <c r="B1848" s="110" t="s">
        <v>231</v>
      </c>
      <c r="C1848" s="111" t="s">
        <v>232</v>
      </c>
      <c r="D1848" s="112" t="s">
        <v>228</v>
      </c>
      <c r="E1848" s="113" t="s">
        <v>24</v>
      </c>
      <c r="F1848" s="114" t="s">
        <v>14</v>
      </c>
      <c r="G1848" s="115" t="s">
        <v>16</v>
      </c>
      <c r="H1848" s="116">
        <v>5.77</v>
      </c>
      <c r="I1848" s="125">
        <v>10.5</v>
      </c>
      <c r="J1848" s="111">
        <f>15+6</f>
        <v>21</v>
      </c>
      <c r="K1848" s="309">
        <f t="shared" ref="K1848:K1857" si="100">I1848*H1848*J1848/1000</f>
        <v>1.2722849999999999</v>
      </c>
      <c r="L1848" s="118"/>
      <c r="M1848" s="111">
        <f>18+3</f>
        <v>21</v>
      </c>
      <c r="N1848" s="117">
        <f t="shared" ref="N1848:N1857" si="101">I1848*M1848*H1848/1000</f>
        <v>1.2722849999999999</v>
      </c>
      <c r="O1848" s="119">
        <f t="shared" ref="O1848:O1857" si="102">J1848-M1848</f>
        <v>0</v>
      </c>
      <c r="P1848" s="120">
        <f t="shared" ref="P1848:P1857" si="103">I1848*O1848*H1848/1000</f>
        <v>0</v>
      </c>
      <c r="Q1848" s="102">
        <v>10.5</v>
      </c>
      <c r="R1848" s="91">
        <v>3</v>
      </c>
      <c r="S1848" s="91" t="s">
        <v>352</v>
      </c>
    </row>
    <row r="1849" spans="1:19" ht="15.6">
      <c r="B1849" s="110" t="s">
        <v>231</v>
      </c>
      <c r="C1849" s="111" t="s">
        <v>232</v>
      </c>
      <c r="D1849" s="112" t="s">
        <v>228</v>
      </c>
      <c r="E1849" s="113" t="s">
        <v>24</v>
      </c>
      <c r="F1849" s="114" t="s">
        <v>14</v>
      </c>
      <c r="G1849" s="115" t="s">
        <v>16</v>
      </c>
      <c r="H1849" s="116">
        <v>5.77</v>
      </c>
      <c r="I1849" s="125">
        <v>12</v>
      </c>
      <c r="J1849" s="111">
        <f>45+20+30</f>
        <v>95</v>
      </c>
      <c r="K1849" s="309">
        <f t="shared" si="100"/>
        <v>6.577799999999999</v>
      </c>
      <c r="L1849" s="118"/>
      <c r="M1849" s="111">
        <f>89+6</f>
        <v>95</v>
      </c>
      <c r="N1849" s="117">
        <f t="shared" si="101"/>
        <v>6.577799999999999</v>
      </c>
      <c r="O1849" s="119">
        <f t="shared" si="102"/>
        <v>0</v>
      </c>
      <c r="P1849" s="120">
        <f t="shared" si="103"/>
        <v>0</v>
      </c>
      <c r="Q1849" s="102">
        <v>12</v>
      </c>
      <c r="R1849" s="91">
        <v>6</v>
      </c>
      <c r="S1849" s="91" t="s">
        <v>352</v>
      </c>
    </row>
    <row r="1850" spans="1:19" ht="15.6">
      <c r="B1850" s="110" t="s">
        <v>231</v>
      </c>
      <c r="C1850" s="111" t="s">
        <v>232</v>
      </c>
      <c r="D1850" s="112" t="s">
        <v>228</v>
      </c>
      <c r="E1850" s="113" t="s">
        <v>24</v>
      </c>
      <c r="F1850" s="114" t="s">
        <v>14</v>
      </c>
      <c r="G1850" s="115" t="s">
        <v>16</v>
      </c>
      <c r="H1850" s="116">
        <v>5.77</v>
      </c>
      <c r="I1850" s="125">
        <v>10</v>
      </c>
      <c r="J1850" s="111">
        <v>2</v>
      </c>
      <c r="K1850" s="309">
        <f t="shared" si="100"/>
        <v>0.11539999999999999</v>
      </c>
      <c r="L1850" s="118" t="s">
        <v>233</v>
      </c>
      <c r="M1850" s="111">
        <v>2</v>
      </c>
      <c r="N1850" s="117">
        <f t="shared" si="101"/>
        <v>0.11539999999999999</v>
      </c>
      <c r="O1850" s="119">
        <f t="shared" si="102"/>
        <v>0</v>
      </c>
      <c r="P1850" s="120">
        <f t="shared" si="103"/>
        <v>0</v>
      </c>
      <c r="Q1850" s="102">
        <v>10</v>
      </c>
      <c r="R1850" s="91">
        <v>2</v>
      </c>
      <c r="S1850" s="91" t="s">
        <v>352</v>
      </c>
    </row>
    <row r="1851" spans="1:19" ht="15.6">
      <c r="B1851" s="110" t="s">
        <v>231</v>
      </c>
      <c r="C1851" s="111" t="s">
        <v>232</v>
      </c>
      <c r="D1851" s="112" t="s">
        <v>228</v>
      </c>
      <c r="E1851" s="113" t="s">
        <v>24</v>
      </c>
      <c r="F1851" s="114" t="s">
        <v>14</v>
      </c>
      <c r="G1851" s="115" t="s">
        <v>16</v>
      </c>
      <c r="H1851" s="116">
        <v>5.77</v>
      </c>
      <c r="I1851" s="125">
        <v>11.5</v>
      </c>
      <c r="J1851" s="111">
        <v>1</v>
      </c>
      <c r="K1851" s="309">
        <f t="shared" si="100"/>
        <v>6.6354999999999983E-2</v>
      </c>
      <c r="L1851" s="118" t="s">
        <v>233</v>
      </c>
      <c r="M1851" s="111">
        <v>1</v>
      </c>
      <c r="N1851" s="117">
        <f t="shared" si="101"/>
        <v>6.6354999999999983E-2</v>
      </c>
      <c r="O1851" s="119">
        <f t="shared" si="102"/>
        <v>0</v>
      </c>
      <c r="P1851" s="120">
        <f t="shared" si="103"/>
        <v>0</v>
      </c>
      <c r="Q1851" s="102">
        <v>11.5</v>
      </c>
      <c r="R1851" s="91">
        <v>1</v>
      </c>
      <c r="S1851" s="91" t="s">
        <v>352</v>
      </c>
    </row>
    <row r="1852" spans="1:19" ht="15.6">
      <c r="B1852" s="110" t="s">
        <v>231</v>
      </c>
      <c r="C1852" s="111" t="s">
        <v>232</v>
      </c>
      <c r="D1852" s="112" t="s">
        <v>228</v>
      </c>
      <c r="E1852" s="113" t="s">
        <v>24</v>
      </c>
      <c r="F1852" s="114" t="s">
        <v>14</v>
      </c>
      <c r="G1852" s="115" t="s">
        <v>16</v>
      </c>
      <c r="H1852" s="116">
        <v>5.77</v>
      </c>
      <c r="I1852" s="125">
        <v>9</v>
      </c>
      <c r="J1852" s="111">
        <v>1</v>
      </c>
      <c r="K1852" s="309">
        <f t="shared" si="100"/>
        <v>5.192999999999999E-2</v>
      </c>
      <c r="L1852" s="118" t="s">
        <v>233</v>
      </c>
      <c r="M1852" s="111"/>
      <c r="N1852" s="117">
        <f t="shared" si="101"/>
        <v>0</v>
      </c>
      <c r="O1852" s="119">
        <f t="shared" si="102"/>
        <v>1</v>
      </c>
      <c r="P1852" s="120">
        <f t="shared" si="103"/>
        <v>5.192999999999999E-2</v>
      </c>
      <c r="Q1852" s="102"/>
      <c r="R1852" s="91"/>
      <c r="S1852" s="91"/>
    </row>
    <row r="1853" spans="1:19" ht="15.6">
      <c r="B1853" s="110" t="s">
        <v>231</v>
      </c>
      <c r="C1853" s="111" t="s">
        <v>232</v>
      </c>
      <c r="D1853" s="112" t="s">
        <v>228</v>
      </c>
      <c r="E1853" s="113" t="s">
        <v>24</v>
      </c>
      <c r="F1853" s="114" t="s">
        <v>14</v>
      </c>
      <c r="G1853" s="115" t="s">
        <v>16</v>
      </c>
      <c r="H1853" s="116">
        <v>5.77</v>
      </c>
      <c r="I1853" s="125">
        <v>10</v>
      </c>
      <c r="J1853" s="111">
        <v>1</v>
      </c>
      <c r="K1853" s="309">
        <f t="shared" si="100"/>
        <v>5.7699999999999994E-2</v>
      </c>
      <c r="L1853" s="118" t="s">
        <v>235</v>
      </c>
      <c r="M1853" s="111">
        <v>1</v>
      </c>
      <c r="N1853" s="117">
        <f t="shared" si="101"/>
        <v>5.7699999999999994E-2</v>
      </c>
      <c r="O1853" s="119">
        <f t="shared" si="102"/>
        <v>0</v>
      </c>
      <c r="P1853" s="120">
        <f t="shared" si="103"/>
        <v>0</v>
      </c>
      <c r="Q1853" s="102">
        <v>10</v>
      </c>
      <c r="R1853" s="91">
        <v>1</v>
      </c>
      <c r="S1853" s="91" t="s">
        <v>352</v>
      </c>
    </row>
    <row r="1854" spans="1:19" ht="15.6">
      <c r="B1854" s="110" t="s">
        <v>231</v>
      </c>
      <c r="C1854" s="111" t="s">
        <v>232</v>
      </c>
      <c r="D1854" s="112" t="s">
        <v>228</v>
      </c>
      <c r="E1854" s="113" t="s">
        <v>24</v>
      </c>
      <c r="F1854" s="114" t="s">
        <v>14</v>
      </c>
      <c r="G1854" s="115" t="s">
        <v>16</v>
      </c>
      <c r="H1854" s="116">
        <v>5.77</v>
      </c>
      <c r="I1854" s="125">
        <v>10.5</v>
      </c>
      <c r="J1854" s="111">
        <v>1</v>
      </c>
      <c r="K1854" s="309">
        <f t="shared" si="100"/>
        <v>6.0584999999999993E-2</v>
      </c>
      <c r="L1854" s="118" t="s">
        <v>235</v>
      </c>
      <c r="M1854" s="111">
        <v>1</v>
      </c>
      <c r="N1854" s="117">
        <f t="shared" si="101"/>
        <v>6.0584999999999993E-2</v>
      </c>
      <c r="O1854" s="119">
        <f t="shared" si="102"/>
        <v>0</v>
      </c>
      <c r="P1854" s="120">
        <f t="shared" si="103"/>
        <v>0</v>
      </c>
      <c r="Q1854" s="102">
        <v>10.5</v>
      </c>
      <c r="R1854" s="91">
        <v>1</v>
      </c>
      <c r="S1854" s="91" t="s">
        <v>352</v>
      </c>
    </row>
    <row r="1855" spans="1:19" ht="15.6">
      <c r="B1855" s="110" t="s">
        <v>231</v>
      </c>
      <c r="C1855" s="111" t="s">
        <v>232</v>
      </c>
      <c r="D1855" s="112" t="s">
        <v>228</v>
      </c>
      <c r="E1855" s="113" t="s">
        <v>24</v>
      </c>
      <c r="F1855" s="114" t="s">
        <v>14</v>
      </c>
      <c r="G1855" s="115" t="s">
        <v>16</v>
      </c>
      <c r="H1855" s="116">
        <v>5.77</v>
      </c>
      <c r="I1855" s="125">
        <v>11.8</v>
      </c>
      <c r="J1855" s="111">
        <v>1</v>
      </c>
      <c r="K1855" s="309">
        <f t="shared" si="100"/>
        <v>6.8085999999999994E-2</v>
      </c>
      <c r="L1855" s="118" t="s">
        <v>235</v>
      </c>
      <c r="M1855" s="111">
        <v>1</v>
      </c>
      <c r="N1855" s="117">
        <f t="shared" si="101"/>
        <v>6.8085999999999994E-2</v>
      </c>
      <c r="O1855" s="119">
        <f t="shared" si="102"/>
        <v>0</v>
      </c>
      <c r="P1855" s="120">
        <f t="shared" si="103"/>
        <v>0</v>
      </c>
      <c r="Q1855" s="102">
        <v>11.5</v>
      </c>
      <c r="R1855" s="91">
        <v>1</v>
      </c>
      <c r="S1855" s="91" t="s">
        <v>352</v>
      </c>
    </row>
    <row r="1856" spans="1:19" ht="15.6">
      <c r="B1856" s="110" t="s">
        <v>231</v>
      </c>
      <c r="C1856" s="111" t="s">
        <v>232</v>
      </c>
      <c r="D1856" s="112" t="s">
        <v>228</v>
      </c>
      <c r="E1856" s="113" t="s">
        <v>24</v>
      </c>
      <c r="F1856" s="114" t="s">
        <v>14</v>
      </c>
      <c r="G1856" s="115" t="s">
        <v>16</v>
      </c>
      <c r="H1856" s="116">
        <v>5.77</v>
      </c>
      <c r="I1856" s="127">
        <v>12</v>
      </c>
      <c r="J1856" s="111">
        <v>1</v>
      </c>
      <c r="K1856" s="309">
        <f t="shared" si="100"/>
        <v>6.9239999999999996E-2</v>
      </c>
      <c r="L1856" s="118" t="s">
        <v>235</v>
      </c>
      <c r="M1856" s="111">
        <v>1</v>
      </c>
      <c r="N1856" s="117">
        <f t="shared" si="101"/>
        <v>6.9239999999999996E-2</v>
      </c>
      <c r="O1856" s="119">
        <f t="shared" si="102"/>
        <v>0</v>
      </c>
      <c r="P1856" s="120">
        <f t="shared" si="103"/>
        <v>0</v>
      </c>
      <c r="Q1856" s="102">
        <v>12</v>
      </c>
      <c r="R1856" s="91">
        <v>1</v>
      </c>
      <c r="S1856" s="91" t="s">
        <v>352</v>
      </c>
    </row>
    <row r="1857" spans="1:19" ht="15.6">
      <c r="B1857" s="110" t="s">
        <v>231</v>
      </c>
      <c r="C1857" s="111" t="s">
        <v>232</v>
      </c>
      <c r="D1857" s="112" t="s">
        <v>228</v>
      </c>
      <c r="E1857" s="113" t="s">
        <v>24</v>
      </c>
      <c r="F1857" s="114" t="s">
        <v>14</v>
      </c>
      <c r="G1857" s="115" t="s">
        <v>16</v>
      </c>
      <c r="H1857" s="116">
        <v>5.77</v>
      </c>
      <c r="I1857" s="126">
        <v>11.5</v>
      </c>
      <c r="J1857" s="111">
        <v>2</v>
      </c>
      <c r="K1857" s="309">
        <f t="shared" si="100"/>
        <v>0.13270999999999997</v>
      </c>
      <c r="L1857" s="118" t="s">
        <v>235</v>
      </c>
      <c r="M1857" s="111">
        <v>2</v>
      </c>
      <c r="N1857" s="117">
        <f t="shared" si="101"/>
        <v>0.13270999999999997</v>
      </c>
      <c r="O1857" s="119">
        <f t="shared" si="102"/>
        <v>0</v>
      </c>
      <c r="P1857" s="120">
        <f t="shared" si="103"/>
        <v>0</v>
      </c>
      <c r="Q1857" s="102">
        <v>11.5</v>
      </c>
      <c r="R1857" s="91">
        <v>2</v>
      </c>
      <c r="S1857" s="91" t="s">
        <v>352</v>
      </c>
    </row>
    <row r="1858" spans="1:19">
      <c r="B1858" s="213"/>
      <c r="C1858" s="213"/>
      <c r="D1858" s="213"/>
      <c r="E1858" s="213"/>
      <c r="F1858" s="213"/>
      <c r="G1858" s="213"/>
      <c r="H1858" s="213"/>
      <c r="I1858" s="213"/>
      <c r="J1858" s="215">
        <f>SUM(J1848:J1857)</f>
        <v>126</v>
      </c>
      <c r="K1858" s="245">
        <f>SUM(K1848:K1857)</f>
        <v>8.4720909999999989</v>
      </c>
      <c r="L1858" s="213"/>
      <c r="M1858" s="215">
        <f>SUM(M1848:M1857)</f>
        <v>125</v>
      </c>
      <c r="N1858" s="214">
        <f>SUM(N1848:N1857)</f>
        <v>8.4201609999999985</v>
      </c>
      <c r="O1858" s="78">
        <f>SUM(O1848:O1857)</f>
        <v>1</v>
      </c>
      <c r="P1858" s="214">
        <f>SUM(P1848:P1857)</f>
        <v>5.192999999999999E-2</v>
      </c>
      <c r="Q1858" s="213"/>
      <c r="R1858" s="80">
        <f>SUM(R1848:R1857)</f>
        <v>18</v>
      </c>
      <c r="S1858" s="213"/>
    </row>
    <row r="1859" spans="1:19">
      <c r="R1859" s="80">
        <f>+R1858+R1847</f>
        <v>48</v>
      </c>
    </row>
    <row r="1861" spans="1:19">
      <c r="A1861" s="42" t="s">
        <v>78</v>
      </c>
      <c r="B1861" s="3" t="s">
        <v>83</v>
      </c>
      <c r="C1861" s="3">
        <v>1</v>
      </c>
      <c r="D1861" s="1"/>
      <c r="E1861" s="20" t="s">
        <v>19</v>
      </c>
      <c r="F1861" s="7" t="s">
        <v>14</v>
      </c>
      <c r="G1861" s="7" t="s">
        <v>16</v>
      </c>
      <c r="H1861" s="11">
        <v>5.77</v>
      </c>
      <c r="I1861" s="8">
        <v>12</v>
      </c>
      <c r="J1861" s="26">
        <v>5</v>
      </c>
      <c r="K1861" s="10">
        <v>0.34620000000000001</v>
      </c>
      <c r="L1861" s="4"/>
      <c r="M1861" s="17">
        <v>5</v>
      </c>
      <c r="N1861" s="18">
        <v>0.34620000000000001</v>
      </c>
      <c r="O1861" s="19">
        <v>0</v>
      </c>
      <c r="P1861" s="13">
        <v>0</v>
      </c>
      <c r="Q1861" s="89">
        <v>11</v>
      </c>
      <c r="R1861" s="90">
        <v>5</v>
      </c>
      <c r="S1861" s="90" t="s">
        <v>279</v>
      </c>
    </row>
    <row r="1862" spans="1:19">
      <c r="A1862" s="42" t="s">
        <v>90</v>
      </c>
      <c r="B1862" s="48" t="s">
        <v>148</v>
      </c>
      <c r="C1862" s="32">
        <v>30</v>
      </c>
      <c r="D1862" s="32"/>
      <c r="E1862" s="48" t="s">
        <v>19</v>
      </c>
      <c r="F1862" s="48" t="s">
        <v>14</v>
      </c>
      <c r="G1862" s="48" t="s">
        <v>16</v>
      </c>
      <c r="H1862" s="11">
        <v>5.77</v>
      </c>
      <c r="I1862" s="52">
        <v>6.5</v>
      </c>
      <c r="J1862" s="7">
        <v>1</v>
      </c>
      <c r="K1862" s="10">
        <v>3.7504999999999997E-2</v>
      </c>
      <c r="L1862" s="32"/>
      <c r="M1862" s="32"/>
      <c r="N1862" s="18">
        <v>0</v>
      </c>
      <c r="O1862" s="19">
        <v>1</v>
      </c>
      <c r="P1862" s="13">
        <v>3.7504999999999997E-2</v>
      </c>
      <c r="Q1862" s="32"/>
      <c r="R1862" s="32"/>
      <c r="S1862" s="32"/>
    </row>
    <row r="1863" spans="1:19">
      <c r="A1863" s="42" t="s">
        <v>90</v>
      </c>
      <c r="B1863" s="48" t="s">
        <v>148</v>
      </c>
      <c r="C1863" s="32">
        <v>34</v>
      </c>
      <c r="D1863" s="32"/>
      <c r="E1863" s="48" t="s">
        <v>19</v>
      </c>
      <c r="F1863" s="48" t="s">
        <v>14</v>
      </c>
      <c r="G1863" s="48" t="s">
        <v>16</v>
      </c>
      <c r="H1863" s="11">
        <v>5.77</v>
      </c>
      <c r="I1863" s="52">
        <v>10.5</v>
      </c>
      <c r="J1863" s="7">
        <v>1</v>
      </c>
      <c r="K1863" s="10">
        <v>6.0584999999999993E-2</v>
      </c>
      <c r="L1863" s="32"/>
      <c r="M1863" s="32">
        <v>1</v>
      </c>
      <c r="N1863" s="18">
        <v>6.0584999999999993E-2</v>
      </c>
      <c r="O1863" s="19">
        <v>0</v>
      </c>
      <c r="P1863" s="13">
        <v>0</v>
      </c>
      <c r="Q1863" s="102">
        <v>7.1</v>
      </c>
      <c r="R1863" s="91">
        <v>1</v>
      </c>
      <c r="S1863" s="90" t="s">
        <v>279</v>
      </c>
    </row>
    <row r="1864" spans="1:19">
      <c r="A1864" s="42" t="s">
        <v>90</v>
      </c>
      <c r="B1864" s="48" t="s">
        <v>148</v>
      </c>
      <c r="C1864" s="32">
        <v>34</v>
      </c>
      <c r="D1864" s="32"/>
      <c r="E1864" s="48" t="s">
        <v>19</v>
      </c>
      <c r="F1864" s="48" t="s">
        <v>14</v>
      </c>
      <c r="G1864" s="48" t="s">
        <v>16</v>
      </c>
      <c r="H1864" s="11">
        <v>5.77</v>
      </c>
      <c r="I1864" s="52">
        <v>11</v>
      </c>
      <c r="J1864" s="7">
        <v>2</v>
      </c>
      <c r="K1864" s="10">
        <v>0.12694</v>
      </c>
      <c r="L1864" s="32"/>
      <c r="M1864" s="32">
        <v>2</v>
      </c>
      <c r="N1864" s="18">
        <v>0.12694</v>
      </c>
      <c r="O1864" s="19">
        <v>0</v>
      </c>
      <c r="P1864" s="13">
        <v>0</v>
      </c>
      <c r="Q1864" s="102">
        <v>11</v>
      </c>
      <c r="R1864" s="91">
        <v>2</v>
      </c>
      <c r="S1864" s="90" t="s">
        <v>279</v>
      </c>
    </row>
    <row r="1865" spans="1:19">
      <c r="A1865" s="47" t="s">
        <v>147</v>
      </c>
      <c r="B1865" s="48" t="s">
        <v>148</v>
      </c>
      <c r="C1865" s="32">
        <v>344</v>
      </c>
      <c r="D1865" s="32"/>
      <c r="E1865" s="48" t="s">
        <v>19</v>
      </c>
      <c r="F1865" s="48" t="s">
        <v>14</v>
      </c>
      <c r="G1865" s="48" t="s">
        <v>16</v>
      </c>
      <c r="H1865" s="11">
        <v>5.77</v>
      </c>
      <c r="I1865" s="52">
        <v>6</v>
      </c>
      <c r="J1865" s="7">
        <v>2</v>
      </c>
      <c r="K1865" s="10">
        <v>6.9239999999999996E-2</v>
      </c>
      <c r="L1865" s="32"/>
      <c r="M1865" s="32"/>
      <c r="N1865" s="18">
        <v>0</v>
      </c>
      <c r="O1865" s="19">
        <v>2</v>
      </c>
      <c r="P1865" s="13">
        <v>6.9239999999999996E-2</v>
      </c>
      <c r="Q1865" s="55"/>
      <c r="R1865" s="32"/>
      <c r="S1865" s="32"/>
    </row>
    <row r="1866" spans="1:19">
      <c r="A1866" s="47" t="s">
        <v>147</v>
      </c>
      <c r="B1866" s="48" t="s">
        <v>148</v>
      </c>
      <c r="C1866" s="32">
        <v>344</v>
      </c>
      <c r="D1866" s="32"/>
      <c r="E1866" s="48" t="s">
        <v>19</v>
      </c>
      <c r="F1866" s="48" t="s">
        <v>14</v>
      </c>
      <c r="G1866" s="48" t="s">
        <v>16</v>
      </c>
      <c r="H1866" s="11">
        <v>5.77</v>
      </c>
      <c r="I1866" s="52">
        <v>6.5</v>
      </c>
      <c r="J1866" s="7">
        <v>1</v>
      </c>
      <c r="K1866" s="10">
        <v>3.7504999999999997E-2</v>
      </c>
      <c r="L1866" s="32"/>
      <c r="M1866" s="32"/>
      <c r="N1866" s="18">
        <v>0</v>
      </c>
      <c r="O1866" s="19">
        <v>1</v>
      </c>
      <c r="P1866" s="13">
        <v>3.7504999999999997E-2</v>
      </c>
      <c r="Q1866" s="55"/>
      <c r="R1866" s="32"/>
      <c r="S1866" s="32"/>
    </row>
    <row r="1867" spans="1:19">
      <c r="A1867" s="47" t="s">
        <v>147</v>
      </c>
      <c r="B1867" s="48" t="s">
        <v>148</v>
      </c>
      <c r="C1867" s="32">
        <v>344</v>
      </c>
      <c r="D1867" s="32"/>
      <c r="E1867" s="48" t="s">
        <v>19</v>
      </c>
      <c r="F1867" s="48" t="s">
        <v>14</v>
      </c>
      <c r="G1867" s="48" t="s">
        <v>16</v>
      </c>
      <c r="H1867" s="11">
        <v>5.77</v>
      </c>
      <c r="I1867" s="52">
        <v>7.75</v>
      </c>
      <c r="J1867" s="7">
        <v>1</v>
      </c>
      <c r="K1867" s="10">
        <v>4.4717499999999993E-2</v>
      </c>
      <c r="L1867" s="32"/>
      <c r="M1867" s="32">
        <v>1</v>
      </c>
      <c r="N1867" s="18">
        <v>4.4717499999999993E-2</v>
      </c>
      <c r="O1867" s="19">
        <v>0</v>
      </c>
      <c r="P1867" s="13">
        <v>0</v>
      </c>
      <c r="Q1867" s="102">
        <v>7.1</v>
      </c>
      <c r="R1867" s="91">
        <v>1</v>
      </c>
      <c r="S1867" s="90" t="s">
        <v>279</v>
      </c>
    </row>
    <row r="1868" spans="1:19">
      <c r="A1868" s="47" t="s">
        <v>147</v>
      </c>
      <c r="B1868" s="48" t="s">
        <v>148</v>
      </c>
      <c r="C1868" s="32">
        <v>344</v>
      </c>
      <c r="D1868" s="32"/>
      <c r="E1868" s="48" t="s">
        <v>19</v>
      </c>
      <c r="F1868" s="48" t="s">
        <v>14</v>
      </c>
      <c r="G1868" s="48" t="s">
        <v>16</v>
      </c>
      <c r="H1868" s="11">
        <v>5.77</v>
      </c>
      <c r="I1868" s="52">
        <v>9</v>
      </c>
      <c r="J1868" s="7">
        <v>1</v>
      </c>
      <c r="K1868" s="10">
        <v>5.192999999999999E-2</v>
      </c>
      <c r="L1868" s="32"/>
      <c r="M1868" s="32">
        <v>1</v>
      </c>
      <c r="N1868" s="18">
        <v>5.192999999999999E-2</v>
      </c>
      <c r="O1868" s="19">
        <v>0</v>
      </c>
      <c r="P1868" s="13">
        <v>0</v>
      </c>
      <c r="Q1868" s="102">
        <v>7.1</v>
      </c>
      <c r="R1868" s="91">
        <v>1</v>
      </c>
      <c r="S1868" s="90" t="s">
        <v>279</v>
      </c>
    </row>
    <row r="1869" spans="1:19">
      <c r="A1869" s="47" t="s">
        <v>147</v>
      </c>
      <c r="B1869" s="48" t="s">
        <v>148</v>
      </c>
      <c r="C1869" s="32">
        <v>344</v>
      </c>
      <c r="D1869" s="32"/>
      <c r="E1869" s="48" t="s">
        <v>19</v>
      </c>
      <c r="F1869" s="48" t="s">
        <v>14</v>
      </c>
      <c r="G1869" s="48" t="s">
        <v>16</v>
      </c>
      <c r="H1869" s="11">
        <v>5.77</v>
      </c>
      <c r="I1869" s="52">
        <v>9.5</v>
      </c>
      <c r="J1869" s="7">
        <v>1</v>
      </c>
      <c r="K1869" s="10">
        <v>5.4814999999999996E-2</v>
      </c>
      <c r="L1869" s="32"/>
      <c r="M1869" s="32">
        <v>1</v>
      </c>
      <c r="N1869" s="18">
        <v>5.4814999999999996E-2</v>
      </c>
      <c r="O1869" s="19">
        <v>0</v>
      </c>
      <c r="P1869" s="13">
        <v>0</v>
      </c>
      <c r="Q1869" s="102">
        <v>7.1</v>
      </c>
      <c r="R1869" s="91">
        <v>1</v>
      </c>
      <c r="S1869" s="90" t="s">
        <v>279</v>
      </c>
    </row>
    <row r="1870" spans="1:19">
      <c r="A1870" s="47" t="s">
        <v>147</v>
      </c>
      <c r="B1870" s="48" t="s">
        <v>148</v>
      </c>
      <c r="C1870" s="32">
        <v>284</v>
      </c>
      <c r="D1870" s="32"/>
      <c r="E1870" s="69" t="s">
        <v>19</v>
      </c>
      <c r="F1870" s="69" t="s">
        <v>14</v>
      </c>
      <c r="G1870" s="69" t="s">
        <v>16</v>
      </c>
      <c r="H1870" s="61">
        <v>5.77</v>
      </c>
      <c r="I1870" s="109">
        <v>12</v>
      </c>
      <c r="J1870" s="60">
        <v>1</v>
      </c>
      <c r="K1870" s="62">
        <v>6.9239999999999996E-2</v>
      </c>
      <c r="L1870" s="108" t="s">
        <v>166</v>
      </c>
      <c r="M1870" s="67"/>
      <c r="N1870" s="63">
        <v>0</v>
      </c>
      <c r="O1870" s="64">
        <v>1</v>
      </c>
      <c r="P1870" s="65">
        <v>6.9239999999999996E-2</v>
      </c>
      <c r="Q1870" s="55"/>
      <c r="R1870" s="32"/>
      <c r="S1870" s="32"/>
    </row>
    <row r="1871" spans="1:19">
      <c r="A1871" s="47" t="s">
        <v>147</v>
      </c>
      <c r="B1871" s="48" t="s">
        <v>148</v>
      </c>
      <c r="C1871" s="32">
        <v>290</v>
      </c>
      <c r="D1871" s="32"/>
      <c r="E1871" s="48" t="s">
        <v>19</v>
      </c>
      <c r="F1871" s="48" t="s">
        <v>14</v>
      </c>
      <c r="G1871" s="48" t="s">
        <v>16</v>
      </c>
      <c r="H1871" s="11">
        <v>5.77</v>
      </c>
      <c r="I1871" s="52">
        <v>11.5</v>
      </c>
      <c r="J1871" s="7">
        <v>2</v>
      </c>
      <c r="K1871" s="10">
        <v>0.13270999999999997</v>
      </c>
      <c r="L1871" s="32"/>
      <c r="M1871" s="32">
        <v>2</v>
      </c>
      <c r="N1871" s="18">
        <v>0.13270999999999997</v>
      </c>
      <c r="O1871" s="19">
        <v>0</v>
      </c>
      <c r="P1871" s="13">
        <v>0</v>
      </c>
      <c r="Q1871" s="102">
        <v>11</v>
      </c>
      <c r="R1871" s="91">
        <v>2</v>
      </c>
      <c r="S1871" s="90" t="s">
        <v>279</v>
      </c>
    </row>
    <row r="1872" spans="1:19">
      <c r="A1872" s="45" t="s">
        <v>136</v>
      </c>
      <c r="B1872" s="32" t="s">
        <v>137</v>
      </c>
      <c r="C1872" s="3">
        <v>39</v>
      </c>
      <c r="D1872" s="32"/>
      <c r="E1872" s="20" t="s">
        <v>19</v>
      </c>
      <c r="F1872" s="7" t="s">
        <v>14</v>
      </c>
      <c r="G1872" s="7" t="s">
        <v>16</v>
      </c>
      <c r="H1872" s="11">
        <v>5.77</v>
      </c>
      <c r="I1872" s="33">
        <v>8.9499999999999993</v>
      </c>
      <c r="J1872" s="40">
        <v>1</v>
      </c>
      <c r="K1872" s="10">
        <v>5.1641499999999993E-2</v>
      </c>
      <c r="L1872" s="4"/>
      <c r="M1872" s="17">
        <v>1</v>
      </c>
      <c r="N1872" s="18">
        <v>5.1641499999999993E-2</v>
      </c>
      <c r="O1872" s="19">
        <v>0</v>
      </c>
      <c r="P1872" s="13">
        <v>0</v>
      </c>
      <c r="Q1872" s="102">
        <v>7.1</v>
      </c>
      <c r="R1872" s="91">
        <v>1</v>
      </c>
      <c r="S1872" s="90" t="s">
        <v>279</v>
      </c>
    </row>
    <row r="1873" spans="1:19">
      <c r="A1873" s="45" t="s">
        <v>136</v>
      </c>
      <c r="B1873" s="48" t="s">
        <v>171</v>
      </c>
      <c r="C1873" s="32">
        <v>131</v>
      </c>
      <c r="D1873" s="32"/>
      <c r="E1873" s="48" t="s">
        <v>19</v>
      </c>
      <c r="F1873" s="48" t="s">
        <v>14</v>
      </c>
      <c r="G1873" s="48" t="s">
        <v>16</v>
      </c>
      <c r="H1873" s="11">
        <v>5.77</v>
      </c>
      <c r="I1873" s="52">
        <v>11.5</v>
      </c>
      <c r="J1873" s="7">
        <v>5</v>
      </c>
      <c r="K1873" s="10">
        <v>0.33177499999999999</v>
      </c>
      <c r="L1873" s="32"/>
      <c r="M1873" s="32">
        <v>5</v>
      </c>
      <c r="N1873" s="18">
        <v>0.33177499999999999</v>
      </c>
      <c r="O1873" s="19">
        <v>0</v>
      </c>
      <c r="P1873" s="13">
        <v>0</v>
      </c>
      <c r="Q1873" s="102">
        <v>11</v>
      </c>
      <c r="R1873" s="91">
        <v>5</v>
      </c>
      <c r="S1873" s="90" t="s">
        <v>279</v>
      </c>
    </row>
    <row r="1874" spans="1:19">
      <c r="A1874" s="45" t="s">
        <v>136</v>
      </c>
      <c r="B1874" s="48" t="s">
        <v>171</v>
      </c>
      <c r="C1874" s="32">
        <v>131</v>
      </c>
      <c r="D1874" s="32"/>
      <c r="E1874" s="48" t="s">
        <v>19</v>
      </c>
      <c r="F1874" s="48" t="s">
        <v>14</v>
      </c>
      <c r="G1874" s="48" t="s">
        <v>16</v>
      </c>
      <c r="H1874" s="11">
        <v>5.77</v>
      </c>
      <c r="I1874" s="52">
        <v>6.3</v>
      </c>
      <c r="J1874" s="7">
        <v>1</v>
      </c>
      <c r="K1874" s="10">
        <v>3.6351000000000001E-2</v>
      </c>
      <c r="L1874" s="32"/>
      <c r="M1874" s="32"/>
      <c r="N1874" s="18">
        <v>0</v>
      </c>
      <c r="O1874" s="19">
        <v>1</v>
      </c>
      <c r="P1874" s="13">
        <v>3.6351000000000001E-2</v>
      </c>
      <c r="Q1874" s="32"/>
      <c r="R1874" s="32"/>
      <c r="S1874" s="32"/>
    </row>
    <row r="1875" spans="1:19">
      <c r="A1875" s="45" t="s">
        <v>136</v>
      </c>
      <c r="B1875" s="48" t="s">
        <v>171</v>
      </c>
      <c r="C1875" s="32">
        <v>146</v>
      </c>
      <c r="D1875" s="32"/>
      <c r="E1875" s="48" t="s">
        <v>19</v>
      </c>
      <c r="F1875" s="48" t="s">
        <v>14</v>
      </c>
      <c r="G1875" s="48" t="s">
        <v>16</v>
      </c>
      <c r="H1875" s="11">
        <v>5.77</v>
      </c>
      <c r="I1875" s="9">
        <v>9</v>
      </c>
      <c r="J1875" s="7">
        <v>1</v>
      </c>
      <c r="K1875" s="10">
        <v>5.192999999999999E-2</v>
      </c>
      <c r="L1875" s="32" t="s">
        <v>176</v>
      </c>
      <c r="M1875" s="32"/>
      <c r="N1875" s="18">
        <v>0</v>
      </c>
      <c r="O1875" s="19">
        <v>1</v>
      </c>
      <c r="P1875" s="13">
        <v>5.192999999999999E-2</v>
      </c>
      <c r="Q1875" s="32"/>
      <c r="R1875" s="32"/>
      <c r="S1875" s="32"/>
    </row>
    <row r="1876" spans="1:19">
      <c r="A1876" s="45" t="s">
        <v>136</v>
      </c>
      <c r="B1876" s="48" t="s">
        <v>171</v>
      </c>
      <c r="C1876" s="32">
        <v>146</v>
      </c>
      <c r="D1876" s="32"/>
      <c r="E1876" s="48" t="s">
        <v>19</v>
      </c>
      <c r="F1876" s="48" t="s">
        <v>14</v>
      </c>
      <c r="G1876" s="48" t="s">
        <v>16</v>
      </c>
      <c r="H1876" s="11">
        <v>5.77</v>
      </c>
      <c r="I1876" s="9">
        <v>9.5</v>
      </c>
      <c r="J1876" s="7">
        <v>1</v>
      </c>
      <c r="K1876" s="10">
        <v>5.4814999999999996E-2</v>
      </c>
      <c r="L1876" s="32" t="s">
        <v>176</v>
      </c>
      <c r="M1876" s="32"/>
      <c r="N1876" s="18">
        <v>0</v>
      </c>
      <c r="O1876" s="19">
        <v>1</v>
      </c>
      <c r="P1876" s="13">
        <v>5.4814999999999996E-2</v>
      </c>
      <c r="Q1876" s="32"/>
      <c r="R1876" s="32"/>
      <c r="S1876" s="32"/>
    </row>
    <row r="1877" spans="1:19">
      <c r="A1877" s="45" t="s">
        <v>136</v>
      </c>
      <c r="B1877" s="48" t="s">
        <v>171</v>
      </c>
      <c r="C1877" s="32">
        <v>146</v>
      </c>
      <c r="D1877" s="32"/>
      <c r="E1877" s="48" t="s">
        <v>19</v>
      </c>
      <c r="F1877" s="48" t="s">
        <v>14</v>
      </c>
      <c r="G1877" s="48" t="s">
        <v>16</v>
      </c>
      <c r="H1877" s="11">
        <v>5.77</v>
      </c>
      <c r="I1877" s="9">
        <v>12</v>
      </c>
      <c r="J1877" s="7">
        <v>1</v>
      </c>
      <c r="K1877" s="10">
        <v>6.9239999999999996E-2</v>
      </c>
      <c r="L1877" s="32" t="s">
        <v>176</v>
      </c>
      <c r="M1877" s="32"/>
      <c r="N1877" s="18">
        <v>0</v>
      </c>
      <c r="O1877" s="19">
        <v>1</v>
      </c>
      <c r="P1877" s="13">
        <v>6.9239999999999996E-2</v>
      </c>
      <c r="Q1877" s="32"/>
      <c r="R1877" s="32"/>
      <c r="S1877" s="32"/>
    </row>
    <row r="1878" spans="1:19">
      <c r="A1878" s="45" t="s">
        <v>136</v>
      </c>
      <c r="B1878" s="48" t="s">
        <v>171</v>
      </c>
      <c r="C1878" s="32">
        <v>146</v>
      </c>
      <c r="D1878" s="32"/>
      <c r="E1878" s="48" t="s">
        <v>19</v>
      </c>
      <c r="F1878" s="48" t="s">
        <v>14</v>
      </c>
      <c r="G1878" s="48" t="s">
        <v>16</v>
      </c>
      <c r="H1878" s="11">
        <v>5.77</v>
      </c>
      <c r="I1878" s="9">
        <v>10.8</v>
      </c>
      <c r="J1878" s="7">
        <v>1</v>
      </c>
      <c r="K1878" s="10">
        <v>6.2316000000000003E-2</v>
      </c>
      <c r="L1878" s="32" t="s">
        <v>176</v>
      </c>
      <c r="M1878" s="32"/>
      <c r="N1878" s="18">
        <v>0</v>
      </c>
      <c r="O1878" s="19">
        <v>1</v>
      </c>
      <c r="P1878" s="13">
        <v>6.2316000000000003E-2</v>
      </c>
      <c r="Q1878" s="32"/>
      <c r="R1878" s="32"/>
      <c r="S1878" s="32"/>
    </row>
    <row r="1879" spans="1:19">
      <c r="O1879" s="78">
        <f>SUM(O1861:O1878)</f>
        <v>10</v>
      </c>
      <c r="R1879" s="215">
        <f>SUM(R1861:R1878)</f>
        <v>19</v>
      </c>
    </row>
    <row r="1882" spans="1:19">
      <c r="A1882" s="47" t="s">
        <v>147</v>
      </c>
      <c r="B1882" s="48" t="s">
        <v>148</v>
      </c>
      <c r="C1882" s="32">
        <v>271</v>
      </c>
      <c r="D1882" s="32"/>
      <c r="E1882" s="48" t="s">
        <v>19</v>
      </c>
      <c r="F1882" s="48" t="s">
        <v>14</v>
      </c>
      <c r="G1882" s="48" t="s">
        <v>44</v>
      </c>
      <c r="H1882" s="11">
        <v>13.4</v>
      </c>
      <c r="I1882" s="52">
        <v>12</v>
      </c>
      <c r="J1882" s="7">
        <v>4</v>
      </c>
      <c r="K1882" s="10">
        <v>0.64319999999999999</v>
      </c>
      <c r="L1882" s="32"/>
      <c r="M1882" s="32">
        <v>4</v>
      </c>
      <c r="N1882" s="18">
        <v>0.64319999999999999</v>
      </c>
      <c r="O1882" s="19">
        <v>0</v>
      </c>
      <c r="P1882" s="13">
        <v>0</v>
      </c>
      <c r="Q1882" s="75">
        <v>12</v>
      </c>
      <c r="R1882" s="72">
        <v>4</v>
      </c>
      <c r="S1882" s="72" t="s">
        <v>279</v>
      </c>
    </row>
    <row r="1883" spans="1:19">
      <c r="A1883" s="47" t="s">
        <v>147</v>
      </c>
      <c r="B1883" s="48" t="s">
        <v>148</v>
      </c>
      <c r="C1883" s="32">
        <v>271</v>
      </c>
      <c r="D1883" s="32"/>
      <c r="E1883" s="48" t="s">
        <v>19</v>
      </c>
      <c r="F1883" s="48" t="s">
        <v>14</v>
      </c>
      <c r="G1883" s="48" t="s">
        <v>44</v>
      </c>
      <c r="H1883" s="11">
        <v>13.4</v>
      </c>
      <c r="I1883" s="52">
        <v>11.5</v>
      </c>
      <c r="J1883" s="7">
        <v>2</v>
      </c>
      <c r="K1883" s="10">
        <v>0.30819999999999997</v>
      </c>
      <c r="L1883" s="32"/>
      <c r="M1883" s="32"/>
      <c r="N1883" s="18">
        <v>0</v>
      </c>
      <c r="O1883" s="19">
        <v>2</v>
      </c>
      <c r="P1883" s="13">
        <v>0.30819999999999997</v>
      </c>
      <c r="Q1883" s="32"/>
      <c r="R1883" s="32"/>
      <c r="S1883" s="32"/>
    </row>
    <row r="1884" spans="1:19">
      <c r="A1884" s="47" t="s">
        <v>147</v>
      </c>
      <c r="B1884" s="48" t="s">
        <v>148</v>
      </c>
      <c r="C1884" s="32">
        <v>271</v>
      </c>
      <c r="D1884" s="32"/>
      <c r="E1884" s="48" t="s">
        <v>19</v>
      </c>
      <c r="F1884" s="48" t="s">
        <v>14</v>
      </c>
      <c r="G1884" s="48" t="s">
        <v>44</v>
      </c>
      <c r="H1884" s="11">
        <v>13.4</v>
      </c>
      <c r="I1884" s="52">
        <v>11</v>
      </c>
      <c r="J1884" s="7">
        <v>3</v>
      </c>
      <c r="K1884" s="10">
        <v>0.44220000000000004</v>
      </c>
      <c r="L1884" s="32"/>
      <c r="M1884" s="32">
        <v>2</v>
      </c>
      <c r="N1884" s="18">
        <v>0.29480000000000001</v>
      </c>
      <c r="O1884" s="19">
        <v>1</v>
      </c>
      <c r="P1884" s="13">
        <v>0.1474</v>
      </c>
      <c r="Q1884" s="32"/>
      <c r="R1884" s="32"/>
      <c r="S1884" s="32"/>
    </row>
    <row r="1885" spans="1:19">
      <c r="A1885" s="47" t="s">
        <v>147</v>
      </c>
      <c r="B1885" s="48" t="s">
        <v>148</v>
      </c>
      <c r="C1885" s="32">
        <v>278</v>
      </c>
      <c r="D1885" s="32"/>
      <c r="E1885" s="48" t="s">
        <v>19</v>
      </c>
      <c r="F1885" s="48" t="s">
        <v>14</v>
      </c>
      <c r="G1885" s="48" t="s">
        <v>44</v>
      </c>
      <c r="H1885" s="11">
        <v>13.4</v>
      </c>
      <c r="I1885" s="52">
        <v>10.4</v>
      </c>
      <c r="J1885" s="7">
        <v>2</v>
      </c>
      <c r="K1885" s="10">
        <v>0.27872000000000002</v>
      </c>
      <c r="L1885" s="32"/>
      <c r="M1885" s="32">
        <v>2</v>
      </c>
      <c r="N1885" s="18">
        <v>0.27872000000000002</v>
      </c>
      <c r="O1885" s="19">
        <v>0</v>
      </c>
      <c r="P1885" s="13">
        <v>0</v>
      </c>
      <c r="Q1885" s="32"/>
      <c r="R1885" s="32"/>
      <c r="S1885" s="32"/>
    </row>
    <row r="1886" spans="1:19">
      <c r="A1886" s="47" t="s">
        <v>147</v>
      </c>
      <c r="B1886" s="48" t="s">
        <v>148</v>
      </c>
      <c r="C1886" s="32">
        <v>362</v>
      </c>
      <c r="D1886" s="32"/>
      <c r="E1886" s="48" t="s">
        <v>24</v>
      </c>
      <c r="F1886" s="48" t="s">
        <v>14</v>
      </c>
      <c r="G1886" s="48" t="s">
        <v>44</v>
      </c>
      <c r="H1886" s="11">
        <v>13.4</v>
      </c>
      <c r="I1886" s="8">
        <v>10.199999999999999</v>
      </c>
      <c r="J1886" s="7">
        <v>3</v>
      </c>
      <c r="K1886" s="10">
        <v>0.41004000000000002</v>
      </c>
      <c r="L1886" s="32"/>
      <c r="M1886" s="32"/>
      <c r="N1886" s="18">
        <v>0</v>
      </c>
      <c r="O1886" s="19">
        <v>3</v>
      </c>
      <c r="P1886" s="13">
        <v>0.41003999999999996</v>
      </c>
      <c r="Q1886" s="32"/>
      <c r="R1886" s="32"/>
      <c r="S1886" s="32"/>
    </row>
    <row r="1887" spans="1:19">
      <c r="R1887" s="76">
        <f>SUM(R1882:R1886)</f>
        <v>4</v>
      </c>
    </row>
    <row r="1889" spans="1:19">
      <c r="A1889" s="42" t="s">
        <v>90</v>
      </c>
      <c r="B1889" s="48" t="s">
        <v>148</v>
      </c>
      <c r="C1889" s="32">
        <v>80</v>
      </c>
      <c r="D1889" s="32"/>
      <c r="E1889" s="48" t="s">
        <v>19</v>
      </c>
      <c r="F1889" s="48" t="s">
        <v>14</v>
      </c>
      <c r="G1889" s="48" t="s">
        <v>35</v>
      </c>
      <c r="H1889" s="11">
        <v>16.579999999999998</v>
      </c>
      <c r="I1889" s="52">
        <v>12</v>
      </c>
      <c r="J1889" s="7">
        <v>3</v>
      </c>
      <c r="K1889" s="10">
        <f t="shared" ref="K1889:K1890" si="104">(H1889*I1889*J1889/1000)</f>
        <v>0.59687999999999986</v>
      </c>
      <c r="L1889" s="32"/>
      <c r="M1889" s="32"/>
      <c r="N1889" s="18">
        <f t="shared" ref="N1889:N1890" si="105">I1889*M1889*H1889/1000</f>
        <v>0</v>
      </c>
      <c r="O1889" s="19">
        <f t="shared" ref="O1889:O1890" si="106">J1889-M1889</f>
        <v>3</v>
      </c>
      <c r="P1889" s="13">
        <f t="shared" ref="P1889:P1890" si="107">I1889*O1889*H1889/1000</f>
        <v>0.59687999999999986</v>
      </c>
      <c r="Q1889" s="32"/>
      <c r="R1889" s="32"/>
      <c r="S1889" s="32"/>
    </row>
    <row r="1890" spans="1:19">
      <c r="A1890" s="42" t="s">
        <v>90</v>
      </c>
      <c r="B1890" s="48" t="s">
        <v>148</v>
      </c>
      <c r="C1890" s="32">
        <v>80</v>
      </c>
      <c r="D1890" s="32"/>
      <c r="E1890" s="48" t="s">
        <v>19</v>
      </c>
      <c r="F1890" s="48" t="s">
        <v>14</v>
      </c>
      <c r="G1890" s="48" t="s">
        <v>35</v>
      </c>
      <c r="H1890" s="11">
        <v>16.579999999999998</v>
      </c>
      <c r="I1890" s="52">
        <v>10.9</v>
      </c>
      <c r="J1890" s="7">
        <v>1</v>
      </c>
      <c r="K1890" s="10">
        <f t="shared" si="104"/>
        <v>0.18072199999999999</v>
      </c>
      <c r="L1890" s="32"/>
      <c r="M1890" s="32">
        <v>1</v>
      </c>
      <c r="N1890" s="18">
        <f t="shared" si="105"/>
        <v>0.18072199999999999</v>
      </c>
      <c r="O1890" s="19">
        <f t="shared" si="106"/>
        <v>0</v>
      </c>
      <c r="P1890" s="13">
        <f t="shared" si="107"/>
        <v>0</v>
      </c>
      <c r="Q1890" s="79">
        <v>10.9</v>
      </c>
      <c r="R1890" s="72">
        <v>1</v>
      </c>
      <c r="S1890" s="72" t="s">
        <v>336</v>
      </c>
    </row>
    <row r="1891" spans="1:19">
      <c r="R1891" s="76">
        <f>SUM(R1890)</f>
        <v>1</v>
      </c>
    </row>
    <row r="1895" spans="1:19">
      <c r="A1895" s="42" t="s">
        <v>84</v>
      </c>
      <c r="B1895" s="3" t="s">
        <v>119</v>
      </c>
      <c r="C1895" s="3">
        <v>1</v>
      </c>
      <c r="D1895" s="1"/>
      <c r="E1895" s="20" t="s">
        <v>76</v>
      </c>
      <c r="F1895" s="7" t="s">
        <v>15</v>
      </c>
      <c r="G1895" s="7" t="s">
        <v>112</v>
      </c>
      <c r="H1895" s="11">
        <v>25.4</v>
      </c>
      <c r="I1895" s="8">
        <v>10</v>
      </c>
      <c r="J1895" s="26">
        <v>1</v>
      </c>
      <c r="K1895" s="10">
        <v>0.254</v>
      </c>
      <c r="L1895" s="4"/>
      <c r="M1895" s="17"/>
      <c r="N1895" s="18">
        <v>0</v>
      </c>
      <c r="O1895" s="310">
        <v>1</v>
      </c>
      <c r="P1895" s="165">
        <v>0.254</v>
      </c>
      <c r="Q1895" s="73" t="s">
        <v>361</v>
      </c>
    </row>
    <row r="1896" spans="1:19">
      <c r="A1896" s="42" t="s">
        <v>84</v>
      </c>
      <c r="B1896" s="3"/>
      <c r="C1896" s="3">
        <v>1</v>
      </c>
      <c r="D1896" s="1"/>
      <c r="E1896" s="20" t="s">
        <v>76</v>
      </c>
      <c r="F1896" s="7" t="s">
        <v>15</v>
      </c>
      <c r="G1896" s="7" t="s">
        <v>112</v>
      </c>
      <c r="H1896" s="11">
        <v>25.4</v>
      </c>
      <c r="I1896" s="8">
        <v>11.3</v>
      </c>
      <c r="J1896" s="26">
        <v>2</v>
      </c>
      <c r="K1896" s="10">
        <v>0.57403999999999999</v>
      </c>
      <c r="L1896" s="4"/>
      <c r="M1896" s="17"/>
      <c r="N1896" s="18">
        <v>0</v>
      </c>
      <c r="O1896" s="310">
        <v>2</v>
      </c>
      <c r="P1896" s="165">
        <v>0.57403999999999999</v>
      </c>
      <c r="Q1896" s="73" t="s">
        <v>361</v>
      </c>
    </row>
    <row r="1897" spans="1:19">
      <c r="A1897" s="45" t="s">
        <v>136</v>
      </c>
      <c r="B1897" s="32" t="s">
        <v>137</v>
      </c>
      <c r="C1897" s="3">
        <v>26</v>
      </c>
      <c r="D1897" s="32"/>
      <c r="E1897" s="20" t="s">
        <v>20</v>
      </c>
      <c r="F1897" s="7" t="s">
        <v>15</v>
      </c>
      <c r="G1897" s="7" t="s">
        <v>112</v>
      </c>
      <c r="H1897" s="11">
        <v>25.4</v>
      </c>
      <c r="I1897" s="33">
        <v>7.1</v>
      </c>
      <c r="J1897" s="40">
        <v>4</v>
      </c>
      <c r="K1897" s="10">
        <v>0.72135999999999989</v>
      </c>
      <c r="L1897" s="4"/>
      <c r="M1897" s="17"/>
      <c r="N1897" s="18">
        <v>0</v>
      </c>
      <c r="O1897" s="310">
        <v>4</v>
      </c>
      <c r="P1897" s="165">
        <v>0.72135999999999989</v>
      </c>
      <c r="Q1897" s="73" t="s">
        <v>361</v>
      </c>
    </row>
    <row r="1898" spans="1:19">
      <c r="A1898" s="45" t="s">
        <v>136</v>
      </c>
      <c r="B1898" s="32" t="s">
        <v>137</v>
      </c>
      <c r="C1898" s="3">
        <v>38</v>
      </c>
      <c r="D1898" s="32"/>
      <c r="E1898" s="20" t="s">
        <v>113</v>
      </c>
      <c r="F1898" s="7" t="s">
        <v>15</v>
      </c>
      <c r="G1898" s="7" t="s">
        <v>112</v>
      </c>
      <c r="H1898" s="11">
        <v>25.4</v>
      </c>
      <c r="I1898" s="33">
        <v>8.1</v>
      </c>
      <c r="J1898" s="40">
        <v>1</v>
      </c>
      <c r="K1898" s="10">
        <v>0.20573999999999998</v>
      </c>
      <c r="L1898" s="4"/>
      <c r="M1898" s="17"/>
      <c r="N1898" s="18">
        <v>0</v>
      </c>
      <c r="O1898" s="310">
        <v>1</v>
      </c>
      <c r="P1898" s="165">
        <v>0.20573999999999998</v>
      </c>
      <c r="Q1898" s="73" t="s">
        <v>361</v>
      </c>
    </row>
    <row r="1899" spans="1:19">
      <c r="O1899" s="78">
        <f>SUM(O1895:O1898)</f>
        <v>8</v>
      </c>
    </row>
    <row r="1901" spans="1:19">
      <c r="A1901" s="42" t="s">
        <v>90</v>
      </c>
      <c r="B1901" s="48" t="s">
        <v>148</v>
      </c>
      <c r="C1901" s="32">
        <v>79</v>
      </c>
      <c r="D1901" s="32"/>
      <c r="E1901" s="48" t="s">
        <v>20</v>
      </c>
      <c r="F1901" s="48" t="s">
        <v>15</v>
      </c>
      <c r="G1901" s="48" t="s">
        <v>42</v>
      </c>
      <c r="H1901" s="11">
        <v>19.72</v>
      </c>
      <c r="I1901" s="8">
        <v>11.2</v>
      </c>
      <c r="J1901" s="7">
        <v>1</v>
      </c>
      <c r="K1901" s="10">
        <f t="shared" ref="K1901:K1902" si="108">(H1901*I1901*J1901/1000)</f>
        <v>0.22086399999999998</v>
      </c>
      <c r="L1901" s="32"/>
      <c r="M1901" s="32"/>
      <c r="N1901" s="18">
        <f t="shared" ref="N1901:N1902" si="109">I1901*M1901*H1901/1000</f>
        <v>0</v>
      </c>
      <c r="O1901" s="19">
        <f t="shared" ref="O1901:O1902" si="110">J1901-M1901</f>
        <v>1</v>
      </c>
      <c r="P1901" s="13">
        <f t="shared" ref="P1901:P1902" si="111">I1901*O1901*H1901/1000</f>
        <v>0.22086399999999998</v>
      </c>
      <c r="Q1901" s="32"/>
      <c r="R1901" s="32"/>
      <c r="S1901" s="32"/>
    </row>
    <row r="1902" spans="1:19">
      <c r="A1902" s="42" t="s">
        <v>90</v>
      </c>
      <c r="B1902" s="48" t="s">
        <v>148</v>
      </c>
      <c r="C1902" s="32">
        <v>79</v>
      </c>
      <c r="D1902" s="32"/>
      <c r="E1902" s="48" t="s">
        <v>20</v>
      </c>
      <c r="F1902" s="48" t="s">
        <v>15</v>
      </c>
      <c r="G1902" s="48" t="s">
        <v>42</v>
      </c>
      <c r="H1902" s="11">
        <v>19.72</v>
      </c>
      <c r="I1902" s="8">
        <v>11</v>
      </c>
      <c r="J1902" s="7">
        <v>1</v>
      </c>
      <c r="K1902" s="10">
        <f t="shared" si="108"/>
        <v>0.21691999999999997</v>
      </c>
      <c r="L1902" s="32"/>
      <c r="M1902" s="32"/>
      <c r="N1902" s="18">
        <f t="shared" si="109"/>
        <v>0</v>
      </c>
      <c r="O1902" s="310">
        <f t="shared" si="110"/>
        <v>1</v>
      </c>
      <c r="P1902" s="165">
        <f t="shared" si="111"/>
        <v>0.21691999999999997</v>
      </c>
      <c r="Q1902" s="72" t="s">
        <v>361</v>
      </c>
      <c r="R1902" s="32"/>
      <c r="S1902" s="32"/>
    </row>
    <row r="1905" spans="1:19">
      <c r="A1905" s="42" t="s">
        <v>77</v>
      </c>
      <c r="B1905" s="3" t="s">
        <v>68</v>
      </c>
      <c r="C1905" s="3">
        <v>108</v>
      </c>
      <c r="D1905" s="1"/>
      <c r="E1905" s="20" t="s">
        <v>20</v>
      </c>
      <c r="F1905" s="7" t="s">
        <v>15</v>
      </c>
      <c r="G1905" s="7" t="s">
        <v>50</v>
      </c>
      <c r="H1905" s="11">
        <v>21.7</v>
      </c>
      <c r="I1905" s="8">
        <v>9.6999999999999993</v>
      </c>
      <c r="J1905" s="26">
        <v>1</v>
      </c>
      <c r="K1905" s="10">
        <v>0.21048999999999998</v>
      </c>
      <c r="L1905" s="4"/>
      <c r="M1905" s="17"/>
      <c r="N1905" s="18">
        <v>0</v>
      </c>
      <c r="O1905" s="19">
        <v>1</v>
      </c>
      <c r="P1905" s="13">
        <v>0.21048999999999998</v>
      </c>
      <c r="Q1905" s="9"/>
      <c r="R1905" s="2"/>
      <c r="S1905" s="2"/>
    </row>
    <row r="1906" spans="1:19">
      <c r="A1906" s="42" t="s">
        <v>77</v>
      </c>
      <c r="B1906" s="3" t="s">
        <v>68</v>
      </c>
      <c r="C1906" s="3">
        <v>108</v>
      </c>
      <c r="D1906" s="1"/>
      <c r="E1906" s="20" t="s">
        <v>20</v>
      </c>
      <c r="F1906" s="7" t="s">
        <v>15</v>
      </c>
      <c r="G1906" s="7" t="s">
        <v>50</v>
      </c>
      <c r="H1906" s="11">
        <v>21.7</v>
      </c>
      <c r="I1906" s="8">
        <v>11.2</v>
      </c>
      <c r="J1906" s="26">
        <v>2</v>
      </c>
      <c r="K1906" s="10">
        <v>0.4860799999999999</v>
      </c>
      <c r="L1906" s="4"/>
      <c r="M1906" s="17"/>
      <c r="N1906" s="18">
        <v>0</v>
      </c>
      <c r="O1906" s="19">
        <v>2</v>
      </c>
      <c r="P1906" s="13">
        <v>0.4860799999999999</v>
      </c>
      <c r="Q1906" s="9"/>
      <c r="R1906" s="2"/>
      <c r="S1906" s="2"/>
    </row>
    <row r="1907" spans="1:19">
      <c r="A1907" s="42" t="s">
        <v>77</v>
      </c>
      <c r="B1907" s="3" t="s">
        <v>68</v>
      </c>
      <c r="C1907" s="3">
        <v>175</v>
      </c>
      <c r="D1907" s="1"/>
      <c r="E1907" s="12" t="s">
        <v>20</v>
      </c>
      <c r="F1907" s="7" t="s">
        <v>15</v>
      </c>
      <c r="G1907" s="7" t="s">
        <v>50</v>
      </c>
      <c r="H1907" s="11">
        <v>21.7</v>
      </c>
      <c r="I1907" s="8">
        <v>11.4</v>
      </c>
      <c r="J1907" s="26">
        <v>2</v>
      </c>
      <c r="K1907" s="10">
        <v>0.49475999999999998</v>
      </c>
      <c r="L1907" s="4"/>
      <c r="M1907" s="17"/>
      <c r="N1907" s="18">
        <v>0</v>
      </c>
      <c r="O1907" s="87">
        <v>2</v>
      </c>
      <c r="P1907" s="88">
        <v>0.49475999999999998</v>
      </c>
      <c r="Q1907" s="89" t="s">
        <v>361</v>
      </c>
      <c r="R1907" s="2"/>
      <c r="S1907" s="2"/>
    </row>
    <row r="1908" spans="1:19">
      <c r="A1908" s="42" t="s">
        <v>77</v>
      </c>
      <c r="B1908" s="3" t="s">
        <v>68</v>
      </c>
      <c r="C1908" s="3">
        <v>175</v>
      </c>
      <c r="D1908" s="1"/>
      <c r="E1908" s="12" t="s">
        <v>20</v>
      </c>
      <c r="F1908" s="7" t="s">
        <v>15</v>
      </c>
      <c r="G1908" s="7" t="s">
        <v>50</v>
      </c>
      <c r="H1908" s="11">
        <v>21.7</v>
      </c>
      <c r="I1908" s="8">
        <v>12</v>
      </c>
      <c r="J1908" s="26">
        <v>2</v>
      </c>
      <c r="K1908" s="10">
        <v>0.52079999999999993</v>
      </c>
      <c r="L1908" s="4"/>
      <c r="M1908" s="17"/>
      <c r="N1908" s="18">
        <v>0</v>
      </c>
      <c r="O1908" s="87">
        <v>2</v>
      </c>
      <c r="P1908" s="88">
        <v>0.52079999999999993</v>
      </c>
      <c r="Q1908" s="89" t="s">
        <v>361</v>
      </c>
      <c r="R1908" s="2"/>
      <c r="S1908" s="2"/>
    </row>
    <row r="1909" spans="1:19">
      <c r="A1909" s="42" t="s">
        <v>77</v>
      </c>
      <c r="B1909" s="3" t="s">
        <v>68</v>
      </c>
      <c r="C1909" s="3">
        <v>196</v>
      </c>
      <c r="D1909" s="1"/>
      <c r="E1909" s="12" t="s">
        <v>20</v>
      </c>
      <c r="F1909" s="7" t="s">
        <v>15</v>
      </c>
      <c r="G1909" s="7" t="s">
        <v>50</v>
      </c>
      <c r="H1909" s="11">
        <v>21.7</v>
      </c>
      <c r="I1909" s="8">
        <v>11.6</v>
      </c>
      <c r="J1909" s="26">
        <v>1</v>
      </c>
      <c r="K1909" s="10">
        <v>0.25171999999999994</v>
      </c>
      <c r="L1909" s="4"/>
      <c r="M1909" s="17"/>
      <c r="N1909" s="18">
        <v>0</v>
      </c>
      <c r="O1909" s="19">
        <v>1</v>
      </c>
      <c r="P1909" s="13">
        <v>0.25171999999999994</v>
      </c>
      <c r="Q1909" s="9"/>
      <c r="R1909" s="2"/>
      <c r="S1909" s="2"/>
    </row>
    <row r="1910" spans="1:19">
      <c r="A1910" s="42" t="s">
        <v>77</v>
      </c>
      <c r="B1910" s="3" t="s">
        <v>68</v>
      </c>
      <c r="C1910" s="3">
        <v>198</v>
      </c>
      <c r="D1910" s="1"/>
      <c r="E1910" s="12" t="s">
        <v>20</v>
      </c>
      <c r="F1910" s="7" t="s">
        <v>15</v>
      </c>
      <c r="G1910" s="7" t="s">
        <v>50</v>
      </c>
      <c r="H1910" s="11">
        <v>21.7</v>
      </c>
      <c r="I1910" s="8">
        <v>4.9000000000000004</v>
      </c>
      <c r="J1910" s="26">
        <v>14</v>
      </c>
      <c r="K1910" s="10">
        <v>1.4886199999999998</v>
      </c>
      <c r="L1910" s="4"/>
      <c r="M1910" s="17"/>
      <c r="N1910" s="18">
        <v>0</v>
      </c>
      <c r="O1910" s="19">
        <v>14</v>
      </c>
      <c r="P1910" s="13">
        <v>1.4886200000000001</v>
      </c>
      <c r="Q1910" s="9"/>
      <c r="R1910" s="2"/>
      <c r="S1910" s="2"/>
    </row>
    <row r="1914" spans="1:19">
      <c r="A1914" s="110" t="s">
        <v>308</v>
      </c>
      <c r="B1914" s="111" t="s">
        <v>297</v>
      </c>
      <c r="C1914" s="112" t="s">
        <v>228</v>
      </c>
      <c r="D1914" s="113" t="s">
        <v>20</v>
      </c>
      <c r="E1914" s="175" t="s">
        <v>15</v>
      </c>
      <c r="F1914" s="175" t="s">
        <v>54</v>
      </c>
      <c r="G1914" s="176">
        <v>31.6</v>
      </c>
      <c r="H1914" s="177">
        <v>11.9</v>
      </c>
      <c r="I1914" s="178">
        <f>9+5</f>
        <v>14</v>
      </c>
      <c r="J1914" s="174">
        <f t="shared" ref="J1914:J1922" si="112">(G1914*H1914*I1914/1000)</f>
        <v>5.2645600000000004</v>
      </c>
      <c r="K1914" s="118"/>
      <c r="L1914" s="111">
        <v>14</v>
      </c>
      <c r="M1914" s="117">
        <f t="shared" ref="M1914:M1922" si="113">H1914*L1914*G1914/1000</f>
        <v>5.2645600000000004</v>
      </c>
      <c r="N1914" s="119">
        <f t="shared" ref="N1914:N1922" si="114">I1914-L1914</f>
        <v>0</v>
      </c>
      <c r="O1914" s="120">
        <f t="shared" ref="O1914:O1920" si="115">H1914*N1914*G1914/1000</f>
        <v>0</v>
      </c>
      <c r="P1914" s="111"/>
      <c r="Q1914" s="111"/>
      <c r="R1914" s="111"/>
    </row>
    <row r="1915" spans="1:19">
      <c r="A1915" s="110" t="s">
        <v>308</v>
      </c>
      <c r="B1915" s="111" t="s">
        <v>297</v>
      </c>
      <c r="C1915" s="112" t="s">
        <v>228</v>
      </c>
      <c r="D1915" s="113" t="s">
        <v>20</v>
      </c>
      <c r="E1915" s="175" t="s">
        <v>15</v>
      </c>
      <c r="F1915" s="175" t="s">
        <v>54</v>
      </c>
      <c r="G1915" s="176">
        <v>31.6</v>
      </c>
      <c r="H1915" s="177">
        <v>10.1</v>
      </c>
      <c r="I1915" s="178">
        <f>10+10+11+10+10+10+9+9+9+9+9+9+9+10+11+11+4+10</f>
        <v>170</v>
      </c>
      <c r="J1915" s="174">
        <f t="shared" si="112"/>
        <v>54.257200000000005</v>
      </c>
      <c r="K1915" s="118"/>
      <c r="L1915" s="111">
        <f>160+3+7</f>
        <v>170</v>
      </c>
      <c r="M1915" s="117">
        <f t="shared" si="113"/>
        <v>54.257200000000005</v>
      </c>
      <c r="N1915" s="145">
        <f t="shared" si="114"/>
        <v>0</v>
      </c>
      <c r="O1915" s="120">
        <f t="shared" si="115"/>
        <v>0</v>
      </c>
      <c r="P1915" s="98">
        <v>10.1</v>
      </c>
      <c r="Q1915" s="91">
        <v>7</v>
      </c>
      <c r="R1915" s="91" t="s">
        <v>359</v>
      </c>
    </row>
    <row r="1916" spans="1:19">
      <c r="A1916" s="110" t="s">
        <v>308</v>
      </c>
      <c r="B1916" s="111" t="s">
        <v>297</v>
      </c>
      <c r="C1916" s="112" t="s">
        <v>228</v>
      </c>
      <c r="D1916" s="113" t="s">
        <v>20</v>
      </c>
      <c r="E1916" s="175" t="s">
        <v>15</v>
      </c>
      <c r="F1916" s="175" t="s">
        <v>54</v>
      </c>
      <c r="G1916" s="176">
        <v>31.6</v>
      </c>
      <c r="H1916" s="177">
        <v>11.6</v>
      </c>
      <c r="I1916" s="178">
        <v>4</v>
      </c>
      <c r="J1916" s="174">
        <f t="shared" si="112"/>
        <v>1.46624</v>
      </c>
      <c r="K1916" s="118"/>
      <c r="L1916" s="111">
        <v>4</v>
      </c>
      <c r="M1916" s="117">
        <f t="shared" si="113"/>
        <v>1.46624</v>
      </c>
      <c r="N1916" s="119">
        <f t="shared" si="114"/>
        <v>0</v>
      </c>
      <c r="O1916" s="120">
        <f t="shared" si="115"/>
        <v>0</v>
      </c>
      <c r="P1916" s="98">
        <v>10.1</v>
      </c>
      <c r="Q1916" s="91">
        <v>4</v>
      </c>
      <c r="R1916" s="91" t="s">
        <v>359</v>
      </c>
    </row>
    <row r="1917" spans="1:19">
      <c r="A1917" s="110" t="s">
        <v>308</v>
      </c>
      <c r="B1917" s="111" t="s">
        <v>297</v>
      </c>
      <c r="C1917" s="112" t="s">
        <v>228</v>
      </c>
      <c r="D1917" s="113" t="s">
        <v>20</v>
      </c>
      <c r="E1917" s="175" t="s">
        <v>15</v>
      </c>
      <c r="F1917" s="175" t="s">
        <v>54</v>
      </c>
      <c r="G1917" s="176">
        <v>31.6</v>
      </c>
      <c r="H1917" s="177">
        <v>11.8</v>
      </c>
      <c r="I1917" s="178">
        <v>1</v>
      </c>
      <c r="J1917" s="174">
        <f t="shared" si="112"/>
        <v>0.37288000000000004</v>
      </c>
      <c r="K1917" s="118"/>
      <c r="L1917" s="111">
        <v>1</v>
      </c>
      <c r="M1917" s="117">
        <f t="shared" si="113"/>
        <v>0.37288000000000004</v>
      </c>
      <c r="N1917" s="119">
        <f t="shared" si="114"/>
        <v>0</v>
      </c>
      <c r="O1917" s="120">
        <f t="shared" si="115"/>
        <v>0</v>
      </c>
      <c r="P1917" s="98">
        <v>10.1</v>
      </c>
      <c r="Q1917" s="91">
        <v>1</v>
      </c>
      <c r="R1917" s="91" t="s">
        <v>359</v>
      </c>
    </row>
    <row r="1918" spans="1:19">
      <c r="A1918" s="110" t="s">
        <v>308</v>
      </c>
      <c r="B1918" s="111" t="s">
        <v>297</v>
      </c>
      <c r="C1918" s="112" t="s">
        <v>228</v>
      </c>
      <c r="D1918" s="113" t="s">
        <v>20</v>
      </c>
      <c r="E1918" s="175" t="s">
        <v>15</v>
      </c>
      <c r="F1918" s="175" t="s">
        <v>54</v>
      </c>
      <c r="G1918" s="176">
        <v>31.6</v>
      </c>
      <c r="H1918" s="177">
        <v>11.7</v>
      </c>
      <c r="I1918" s="178">
        <v>1</v>
      </c>
      <c r="J1918" s="174">
        <f t="shared" si="112"/>
        <v>0.36971999999999999</v>
      </c>
      <c r="K1918" s="118"/>
      <c r="L1918" s="111">
        <v>1</v>
      </c>
      <c r="M1918" s="117">
        <f t="shared" si="113"/>
        <v>0.36971999999999999</v>
      </c>
      <c r="N1918" s="119">
        <f t="shared" si="114"/>
        <v>0</v>
      </c>
      <c r="O1918" s="120">
        <f t="shared" si="115"/>
        <v>0</v>
      </c>
      <c r="P1918" s="98">
        <v>10.1</v>
      </c>
      <c r="Q1918" s="91">
        <v>1</v>
      </c>
      <c r="R1918" s="91" t="s">
        <v>359</v>
      </c>
    </row>
    <row r="1919" spans="1:19">
      <c r="A1919" s="110" t="s">
        <v>308</v>
      </c>
      <c r="B1919" s="111" t="s">
        <v>297</v>
      </c>
      <c r="C1919" s="112" t="s">
        <v>228</v>
      </c>
      <c r="D1919" s="113" t="s">
        <v>20</v>
      </c>
      <c r="E1919" s="175" t="s">
        <v>15</v>
      </c>
      <c r="F1919" s="175" t="s">
        <v>54</v>
      </c>
      <c r="G1919" s="176">
        <v>31.6</v>
      </c>
      <c r="H1919" s="177">
        <v>9.3000000000000007</v>
      </c>
      <c r="I1919" s="178">
        <v>1</v>
      </c>
      <c r="J1919" s="174">
        <f t="shared" si="112"/>
        <v>0.29388000000000003</v>
      </c>
      <c r="K1919" s="118"/>
      <c r="L1919" s="111"/>
      <c r="M1919" s="117">
        <f t="shared" si="113"/>
        <v>0</v>
      </c>
      <c r="N1919" s="119">
        <f t="shared" si="114"/>
        <v>1</v>
      </c>
      <c r="O1919" s="120">
        <f t="shared" si="115"/>
        <v>0.29388000000000003</v>
      </c>
      <c r="P1919" s="111"/>
      <c r="Q1919" s="111"/>
      <c r="R1919" s="111"/>
    </row>
    <row r="1920" spans="1:19">
      <c r="A1920" s="110" t="s">
        <v>308</v>
      </c>
      <c r="B1920" s="111" t="s">
        <v>297</v>
      </c>
      <c r="C1920" s="112" t="s">
        <v>228</v>
      </c>
      <c r="D1920" s="113" t="s">
        <v>20</v>
      </c>
      <c r="E1920" s="175" t="s">
        <v>15</v>
      </c>
      <c r="F1920" s="175" t="s">
        <v>54</v>
      </c>
      <c r="G1920" s="176">
        <v>31.6</v>
      </c>
      <c r="H1920" s="177">
        <v>9.5</v>
      </c>
      <c r="I1920" s="178">
        <v>1</v>
      </c>
      <c r="J1920" s="174">
        <f t="shared" si="112"/>
        <v>0.30019999999999997</v>
      </c>
      <c r="K1920" s="118"/>
      <c r="L1920" s="111"/>
      <c r="M1920" s="117">
        <f t="shared" si="113"/>
        <v>0</v>
      </c>
      <c r="N1920" s="119">
        <f t="shared" si="114"/>
        <v>1</v>
      </c>
      <c r="O1920" s="120">
        <f t="shared" si="115"/>
        <v>0.30019999999999997</v>
      </c>
      <c r="P1920" s="111"/>
      <c r="Q1920" s="111"/>
      <c r="R1920" s="111"/>
    </row>
    <row r="1921" spans="1:20">
      <c r="A1921" s="110" t="s">
        <v>308</v>
      </c>
      <c r="B1921" s="111" t="s">
        <v>297</v>
      </c>
      <c r="C1921" s="112" t="s">
        <v>228</v>
      </c>
      <c r="D1921" s="113" t="s">
        <v>20</v>
      </c>
      <c r="E1921" s="175" t="s">
        <v>15</v>
      </c>
      <c r="F1921" s="175" t="s">
        <v>54</v>
      </c>
      <c r="G1921" s="176">
        <v>31.6</v>
      </c>
      <c r="H1921" s="177">
        <v>9.6999999999999993</v>
      </c>
      <c r="I1921" s="178">
        <v>1</v>
      </c>
      <c r="J1921" s="174">
        <f t="shared" si="112"/>
        <v>0.30651999999999996</v>
      </c>
      <c r="K1921" s="118"/>
      <c r="L1921" s="111"/>
      <c r="M1921" s="117">
        <f t="shared" si="113"/>
        <v>0</v>
      </c>
      <c r="N1921" s="119">
        <f t="shared" si="114"/>
        <v>1</v>
      </c>
      <c r="O1921" s="120">
        <f>H1921*N1921*G1921/1000</f>
        <v>0.30651999999999996</v>
      </c>
      <c r="P1921" s="111"/>
      <c r="Q1921" s="111"/>
      <c r="R1921" s="111"/>
    </row>
    <row r="1922" spans="1:20">
      <c r="A1922" s="110" t="s">
        <v>308</v>
      </c>
      <c r="B1922" s="111" t="s">
        <v>297</v>
      </c>
      <c r="C1922" s="112" t="s">
        <v>228</v>
      </c>
      <c r="D1922" s="113" t="s">
        <v>20</v>
      </c>
      <c r="E1922" s="175" t="s">
        <v>15</v>
      </c>
      <c r="F1922" s="175" t="s">
        <v>54</v>
      </c>
      <c r="G1922" s="176">
        <v>31.6</v>
      </c>
      <c r="H1922" s="177">
        <v>9.9</v>
      </c>
      <c r="I1922" s="178">
        <v>2</v>
      </c>
      <c r="J1922" s="174">
        <f t="shared" si="112"/>
        <v>0.62568000000000001</v>
      </c>
      <c r="K1922" s="118"/>
      <c r="L1922" s="111"/>
      <c r="M1922" s="117">
        <f t="shared" si="113"/>
        <v>0</v>
      </c>
      <c r="N1922" s="119">
        <f t="shared" si="114"/>
        <v>2</v>
      </c>
      <c r="O1922" s="120">
        <f>H1922*N1922*G1922/1000</f>
        <v>0.62568000000000001</v>
      </c>
      <c r="P1922" s="111"/>
      <c r="Q1922" s="111"/>
      <c r="R1922" s="111"/>
    </row>
    <row r="1923" spans="1:20">
      <c r="A1923" s="213"/>
      <c r="B1923" s="213"/>
      <c r="C1923" s="213"/>
      <c r="D1923" s="213"/>
      <c r="E1923" s="213"/>
      <c r="F1923" s="213"/>
      <c r="G1923" s="213"/>
      <c r="H1923" s="213"/>
      <c r="I1923" s="78">
        <f>SUM(I1914:I1922)</f>
        <v>195</v>
      </c>
      <c r="J1923" s="214">
        <f>SUM(J1914:J1922)</f>
        <v>63.25688000000001</v>
      </c>
      <c r="K1923" s="213"/>
      <c r="L1923" s="80">
        <f>SUM(L1914:L1922)</f>
        <v>190</v>
      </c>
      <c r="M1923" s="128">
        <f>SUM(M1914:M1922)</f>
        <v>61.73060000000001</v>
      </c>
      <c r="N1923" s="78">
        <f>SUM(N1914:N1922)</f>
        <v>5</v>
      </c>
      <c r="O1923" s="128">
        <f>SUM(O1914:O1922)</f>
        <v>1.5262799999999999</v>
      </c>
      <c r="P1923" s="213"/>
      <c r="Q1923" s="213"/>
      <c r="R1923" s="213"/>
    </row>
    <row r="1926" spans="1:20">
      <c r="A1926" s="42" t="s">
        <v>77</v>
      </c>
      <c r="B1926" s="3" t="s">
        <v>68</v>
      </c>
      <c r="C1926" s="3">
        <v>322</v>
      </c>
      <c r="D1926" s="1" t="s">
        <v>384</v>
      </c>
      <c r="E1926" s="20" t="s">
        <v>17</v>
      </c>
      <c r="F1926" s="7" t="s">
        <v>15</v>
      </c>
      <c r="G1926" s="7" t="s">
        <v>43</v>
      </c>
      <c r="H1926" s="11">
        <v>15.04</v>
      </c>
      <c r="I1926" s="8">
        <v>5.7</v>
      </c>
      <c r="J1926" s="26">
        <v>2</v>
      </c>
      <c r="K1926" s="10">
        <v>0.171456</v>
      </c>
      <c r="L1926" s="4"/>
      <c r="M1926" s="17"/>
      <c r="N1926" s="18">
        <v>0</v>
      </c>
      <c r="O1926" s="19">
        <v>2</v>
      </c>
      <c r="P1926" s="13">
        <v>0.171456</v>
      </c>
      <c r="Q1926" s="9"/>
      <c r="R1926" s="2"/>
      <c r="S1926" s="2"/>
      <c r="T1926" s="213"/>
    </row>
    <row r="1927" spans="1:20">
      <c r="A1927" s="42" t="s">
        <v>77</v>
      </c>
      <c r="B1927" s="3" t="s">
        <v>68</v>
      </c>
      <c r="C1927" s="3">
        <v>322</v>
      </c>
      <c r="D1927" s="1" t="s">
        <v>384</v>
      </c>
      <c r="E1927" s="20" t="s">
        <v>17</v>
      </c>
      <c r="F1927" s="7" t="s">
        <v>15</v>
      </c>
      <c r="G1927" s="7" t="s">
        <v>43</v>
      </c>
      <c r="H1927" s="11">
        <v>15.04</v>
      </c>
      <c r="I1927" s="8">
        <v>5.8</v>
      </c>
      <c r="J1927" s="26">
        <v>1</v>
      </c>
      <c r="K1927" s="10">
        <v>8.7232000000000004E-2</v>
      </c>
      <c r="L1927" s="4"/>
      <c r="M1927" s="17"/>
      <c r="N1927" s="18">
        <v>0</v>
      </c>
      <c r="O1927" s="19">
        <v>1</v>
      </c>
      <c r="P1927" s="13">
        <v>8.7232000000000004E-2</v>
      </c>
      <c r="Q1927" s="9"/>
      <c r="R1927" s="2"/>
      <c r="S1927" s="2"/>
      <c r="T1927" s="213"/>
    </row>
    <row r="1928" spans="1:20">
      <c r="A1928" s="42" t="s">
        <v>77</v>
      </c>
      <c r="B1928" s="3" t="s">
        <v>68</v>
      </c>
      <c r="C1928" s="3">
        <v>322</v>
      </c>
      <c r="D1928" s="1" t="s">
        <v>384</v>
      </c>
      <c r="E1928" s="20" t="s">
        <v>17</v>
      </c>
      <c r="F1928" s="7" t="s">
        <v>15</v>
      </c>
      <c r="G1928" s="7" t="s">
        <v>43</v>
      </c>
      <c r="H1928" s="11">
        <v>15.04</v>
      </c>
      <c r="I1928" s="8">
        <v>5.9</v>
      </c>
      <c r="J1928" s="26">
        <v>1</v>
      </c>
      <c r="K1928" s="10">
        <v>8.8736000000000009E-2</v>
      </c>
      <c r="L1928" s="4"/>
      <c r="M1928" s="17"/>
      <c r="N1928" s="18">
        <v>0</v>
      </c>
      <c r="O1928" s="19">
        <v>1</v>
      </c>
      <c r="P1928" s="13">
        <v>8.8736000000000009E-2</v>
      </c>
      <c r="Q1928" s="9"/>
      <c r="R1928" s="2"/>
      <c r="S1928" s="2"/>
      <c r="T1928" s="213"/>
    </row>
    <row r="1929" spans="1:20">
      <c r="A1929" s="42" t="s">
        <v>77</v>
      </c>
      <c r="B1929" s="3" t="s">
        <v>68</v>
      </c>
      <c r="C1929" s="3">
        <v>323</v>
      </c>
      <c r="D1929" s="1"/>
      <c r="E1929" s="20" t="s">
        <v>17</v>
      </c>
      <c r="F1929" s="7" t="s">
        <v>15</v>
      </c>
      <c r="G1929" s="7" t="s">
        <v>43</v>
      </c>
      <c r="H1929" s="11">
        <v>15.04</v>
      </c>
      <c r="I1929" s="8">
        <v>6</v>
      </c>
      <c r="J1929" s="26">
        <v>1</v>
      </c>
      <c r="K1929" s="10">
        <v>9.0240000000000001E-2</v>
      </c>
      <c r="L1929" s="4"/>
      <c r="M1929" s="17">
        <v>1</v>
      </c>
      <c r="N1929" s="18">
        <v>9.0240000000000001E-2</v>
      </c>
      <c r="O1929" s="19">
        <v>0</v>
      </c>
      <c r="P1929" s="13">
        <v>0</v>
      </c>
      <c r="Q1929" s="9"/>
      <c r="R1929" s="2"/>
      <c r="S1929" s="2"/>
      <c r="T1929" s="213"/>
    </row>
    <row r="1930" spans="1:20">
      <c r="A1930" s="42" t="s">
        <v>77</v>
      </c>
      <c r="B1930" s="3" t="s">
        <v>68</v>
      </c>
      <c r="C1930" s="3">
        <v>323</v>
      </c>
      <c r="D1930" s="1"/>
      <c r="E1930" s="20" t="s">
        <v>17</v>
      </c>
      <c r="F1930" s="7" t="s">
        <v>15</v>
      </c>
      <c r="G1930" s="7" t="s">
        <v>43</v>
      </c>
      <c r="H1930" s="11">
        <v>15.04</v>
      </c>
      <c r="I1930" s="8">
        <v>6</v>
      </c>
      <c r="J1930" s="26">
        <v>1</v>
      </c>
      <c r="K1930" s="10">
        <v>9.0240000000000001E-2</v>
      </c>
      <c r="L1930" s="4"/>
      <c r="M1930" s="17">
        <v>1</v>
      </c>
      <c r="N1930" s="18">
        <v>9.0240000000000001E-2</v>
      </c>
      <c r="O1930" s="19">
        <v>0</v>
      </c>
      <c r="P1930" s="13">
        <v>0</v>
      </c>
      <c r="Q1930" s="9"/>
      <c r="R1930" s="2"/>
      <c r="S1930" s="2"/>
      <c r="T1930" s="213"/>
    </row>
    <row r="1931" spans="1:20">
      <c r="A1931" s="48" t="s">
        <v>168</v>
      </c>
      <c r="B1931" s="48" t="s">
        <v>169</v>
      </c>
      <c r="C1931" s="32">
        <v>7</v>
      </c>
      <c r="D1931" s="32"/>
      <c r="E1931" s="48" t="s">
        <v>20</v>
      </c>
      <c r="F1931" s="48" t="s">
        <v>15</v>
      </c>
      <c r="G1931" s="48" t="s">
        <v>43</v>
      </c>
      <c r="H1931" s="11">
        <v>15.04</v>
      </c>
      <c r="I1931" s="52">
        <v>10.4</v>
      </c>
      <c r="J1931" s="7">
        <v>2</v>
      </c>
      <c r="K1931" s="10">
        <v>0.312832</v>
      </c>
      <c r="L1931" s="32" t="s">
        <v>104</v>
      </c>
      <c r="M1931" s="32"/>
      <c r="N1931" s="18">
        <v>0</v>
      </c>
      <c r="O1931" s="19">
        <v>2</v>
      </c>
      <c r="P1931" s="13">
        <v>0.312832</v>
      </c>
      <c r="Q1931" s="32"/>
      <c r="R1931" s="32"/>
      <c r="S1931" s="32"/>
      <c r="T1931" s="213"/>
    </row>
    <row r="1932" spans="1:20">
      <c r="A1932" s="48" t="s">
        <v>168</v>
      </c>
      <c r="B1932" s="48" t="s">
        <v>169</v>
      </c>
      <c r="C1932" s="32">
        <v>7</v>
      </c>
      <c r="D1932" s="32"/>
      <c r="E1932" s="48" t="s">
        <v>20</v>
      </c>
      <c r="F1932" s="48" t="s">
        <v>15</v>
      </c>
      <c r="G1932" s="48" t="s">
        <v>43</v>
      </c>
      <c r="H1932" s="11">
        <v>15.04</v>
      </c>
      <c r="I1932" s="52">
        <v>8.3000000000000007</v>
      </c>
      <c r="J1932" s="7">
        <v>1</v>
      </c>
      <c r="K1932" s="10">
        <v>0.12483200000000001</v>
      </c>
      <c r="L1932" s="32" t="s">
        <v>104</v>
      </c>
      <c r="M1932" s="32"/>
      <c r="N1932" s="18">
        <v>0</v>
      </c>
      <c r="O1932" s="19">
        <v>1</v>
      </c>
      <c r="P1932" s="13">
        <v>0.12483200000000001</v>
      </c>
      <c r="Q1932" s="32"/>
      <c r="R1932" s="32"/>
      <c r="S1932" s="32"/>
      <c r="T1932" s="213"/>
    </row>
    <row r="1933" spans="1:20">
      <c r="A1933" s="42" t="s">
        <v>90</v>
      </c>
      <c r="B1933" s="48" t="s">
        <v>148</v>
      </c>
      <c r="C1933" s="32">
        <v>92</v>
      </c>
      <c r="D1933" s="32"/>
      <c r="E1933" s="48" t="s">
        <v>152</v>
      </c>
      <c r="F1933" s="48" t="s">
        <v>15</v>
      </c>
      <c r="G1933" s="48" t="s">
        <v>43</v>
      </c>
      <c r="H1933" s="11">
        <v>15.04</v>
      </c>
      <c r="I1933" s="52">
        <v>8.5</v>
      </c>
      <c r="J1933" s="7">
        <v>1</v>
      </c>
      <c r="K1933" s="10">
        <v>0.12783999999999998</v>
      </c>
      <c r="L1933" s="32"/>
      <c r="M1933" s="32"/>
      <c r="N1933" s="18">
        <v>0</v>
      </c>
      <c r="O1933" s="19">
        <v>1</v>
      </c>
      <c r="P1933" s="13">
        <v>0.12783999999999998</v>
      </c>
      <c r="Q1933" s="32"/>
      <c r="R1933" s="32"/>
      <c r="S1933" s="32"/>
      <c r="T1933" s="213"/>
    </row>
    <row r="1934" spans="1:20">
      <c r="A1934" s="42" t="s">
        <v>90</v>
      </c>
      <c r="B1934" s="3"/>
      <c r="C1934" s="3">
        <v>159</v>
      </c>
      <c r="D1934" s="1" t="s">
        <v>386</v>
      </c>
      <c r="E1934" s="12" t="s">
        <v>114</v>
      </c>
      <c r="F1934" s="7" t="s">
        <v>15</v>
      </c>
      <c r="G1934" s="7" t="s">
        <v>43</v>
      </c>
      <c r="H1934" s="11">
        <v>15.04</v>
      </c>
      <c r="I1934" s="8">
        <v>11.3</v>
      </c>
      <c r="J1934" s="26">
        <v>3</v>
      </c>
      <c r="K1934" s="10">
        <v>0.50985599999999998</v>
      </c>
      <c r="L1934" s="4"/>
      <c r="M1934" s="17">
        <v>3</v>
      </c>
      <c r="N1934" s="18">
        <v>0.50985600000000009</v>
      </c>
      <c r="O1934" s="106">
        <v>0</v>
      </c>
      <c r="P1934" s="13">
        <v>0</v>
      </c>
      <c r="Q1934" s="72" t="s">
        <v>367</v>
      </c>
      <c r="R1934" s="74"/>
      <c r="S1934" s="164">
        <v>11</v>
      </c>
      <c r="T1934" s="77">
        <v>3</v>
      </c>
    </row>
    <row r="1935" spans="1:20">
      <c r="A1935" s="42" t="s">
        <v>90</v>
      </c>
      <c r="B1935" s="3"/>
      <c r="C1935" s="3">
        <v>212</v>
      </c>
      <c r="D1935" s="1" t="s">
        <v>384</v>
      </c>
      <c r="E1935" s="20" t="s">
        <v>20</v>
      </c>
      <c r="F1935" s="7" t="s">
        <v>15</v>
      </c>
      <c r="G1935" s="7" t="s">
        <v>43</v>
      </c>
      <c r="H1935" s="11">
        <v>15.04</v>
      </c>
      <c r="I1935" s="8">
        <v>11.7</v>
      </c>
      <c r="J1935" s="26">
        <v>3</v>
      </c>
      <c r="K1935" s="10">
        <v>0.52790400000000004</v>
      </c>
      <c r="L1935" s="4"/>
      <c r="M1935" s="17">
        <v>3</v>
      </c>
      <c r="N1935" s="18">
        <v>0.52790399999999993</v>
      </c>
      <c r="O1935" s="106">
        <v>0</v>
      </c>
      <c r="P1935" s="13">
        <v>0</v>
      </c>
      <c r="Q1935" s="72" t="s">
        <v>367</v>
      </c>
      <c r="R1935" s="72"/>
      <c r="S1935" s="330">
        <v>11</v>
      </c>
      <c r="T1935" s="77">
        <v>3</v>
      </c>
    </row>
    <row r="1936" spans="1:20">
      <c r="A1936" s="42" t="s">
        <v>90</v>
      </c>
      <c r="B1936" s="3"/>
      <c r="C1936" s="3">
        <v>213</v>
      </c>
      <c r="D1936" s="1" t="s">
        <v>384</v>
      </c>
      <c r="E1936" s="20" t="s">
        <v>89</v>
      </c>
      <c r="F1936" s="7" t="s">
        <v>15</v>
      </c>
      <c r="G1936" s="7" t="s">
        <v>43</v>
      </c>
      <c r="H1936" s="11">
        <v>15.04</v>
      </c>
      <c r="I1936" s="8">
        <v>6.1</v>
      </c>
      <c r="J1936" s="26">
        <v>1</v>
      </c>
      <c r="K1936" s="10">
        <v>9.1743999999999992E-2</v>
      </c>
      <c r="L1936" s="4"/>
      <c r="M1936" s="17">
        <v>1</v>
      </c>
      <c r="N1936" s="18">
        <v>9.1743999999999992E-2</v>
      </c>
      <c r="O1936" s="106">
        <v>0</v>
      </c>
      <c r="P1936" s="13">
        <v>0</v>
      </c>
      <c r="Q1936" s="72" t="s">
        <v>367</v>
      </c>
      <c r="R1936" s="72"/>
      <c r="S1936" s="330">
        <v>6</v>
      </c>
      <c r="T1936" s="77">
        <v>1</v>
      </c>
    </row>
    <row r="1937" spans="1:20">
      <c r="A1937" s="42" t="s">
        <v>90</v>
      </c>
      <c r="B1937" s="3"/>
      <c r="C1937" s="3">
        <v>213</v>
      </c>
      <c r="D1937" s="1" t="s">
        <v>384</v>
      </c>
      <c r="E1937" s="20" t="s">
        <v>89</v>
      </c>
      <c r="F1937" s="7" t="s">
        <v>15</v>
      </c>
      <c r="G1937" s="7" t="s">
        <v>43</v>
      </c>
      <c r="H1937" s="11">
        <v>15.04</v>
      </c>
      <c r="I1937" s="8">
        <v>11</v>
      </c>
      <c r="J1937" s="26">
        <v>1</v>
      </c>
      <c r="K1937" s="10">
        <v>0.16544</v>
      </c>
      <c r="L1937" s="4"/>
      <c r="M1937" s="17">
        <v>1</v>
      </c>
      <c r="N1937" s="18">
        <v>0.16544</v>
      </c>
      <c r="O1937" s="106">
        <v>0</v>
      </c>
      <c r="P1937" s="13">
        <v>0</v>
      </c>
      <c r="Q1937" s="72" t="s">
        <v>367</v>
      </c>
      <c r="R1937" s="72"/>
      <c r="S1937" s="330">
        <v>11</v>
      </c>
      <c r="T1937" s="77">
        <v>1</v>
      </c>
    </row>
    <row r="1938" spans="1:20">
      <c r="A1938" s="42" t="s">
        <v>90</v>
      </c>
      <c r="B1938" s="3"/>
      <c r="C1938" s="3">
        <v>215</v>
      </c>
      <c r="D1938" s="1"/>
      <c r="E1938" s="20" t="s">
        <v>20</v>
      </c>
      <c r="F1938" s="7" t="s">
        <v>15</v>
      </c>
      <c r="G1938" s="7" t="s">
        <v>43</v>
      </c>
      <c r="H1938" s="11">
        <v>15.04</v>
      </c>
      <c r="I1938" s="8">
        <v>5.7</v>
      </c>
      <c r="J1938" s="26">
        <v>1</v>
      </c>
      <c r="K1938" s="10">
        <v>8.5727999999999999E-2</v>
      </c>
      <c r="L1938" s="4"/>
      <c r="M1938" s="17"/>
      <c r="N1938" s="18">
        <v>0</v>
      </c>
      <c r="O1938" s="19">
        <v>1</v>
      </c>
      <c r="P1938" s="13">
        <v>8.5727999999999999E-2</v>
      </c>
      <c r="Q1938" s="9"/>
      <c r="R1938" s="32"/>
      <c r="S1938" s="162"/>
      <c r="T1938" s="213"/>
    </row>
    <row r="1939" spans="1:20">
      <c r="A1939" s="42" t="s">
        <v>90</v>
      </c>
      <c r="B1939" s="3"/>
      <c r="C1939" s="3">
        <v>221</v>
      </c>
      <c r="D1939" s="1"/>
      <c r="E1939" s="20" t="s">
        <v>20</v>
      </c>
      <c r="F1939" s="7" t="s">
        <v>15</v>
      </c>
      <c r="G1939" s="7" t="s">
        <v>43</v>
      </c>
      <c r="H1939" s="11">
        <v>15.04</v>
      </c>
      <c r="I1939" s="8">
        <v>12.7</v>
      </c>
      <c r="J1939" s="26">
        <v>1</v>
      </c>
      <c r="K1939" s="10">
        <v>0.19100799999999998</v>
      </c>
      <c r="L1939" s="4" t="s">
        <v>26</v>
      </c>
      <c r="M1939" s="17">
        <v>1</v>
      </c>
      <c r="N1939" s="18">
        <v>0.19100799999999998</v>
      </c>
      <c r="O1939" s="19">
        <v>0</v>
      </c>
      <c r="P1939" s="13">
        <v>0</v>
      </c>
      <c r="Q1939" s="72" t="s">
        <v>367</v>
      </c>
      <c r="R1939" s="72"/>
      <c r="S1939" s="330">
        <v>11</v>
      </c>
      <c r="T1939" s="77">
        <v>1</v>
      </c>
    </row>
    <row r="1940" spans="1:20">
      <c r="A1940" s="42" t="s">
        <v>90</v>
      </c>
      <c r="B1940" s="3"/>
      <c r="C1940" s="3">
        <v>221</v>
      </c>
      <c r="D1940" s="1"/>
      <c r="E1940" s="20" t="s">
        <v>20</v>
      </c>
      <c r="F1940" s="7" t="s">
        <v>15</v>
      </c>
      <c r="G1940" s="7" t="s">
        <v>43</v>
      </c>
      <c r="H1940" s="11">
        <v>15.04</v>
      </c>
      <c r="I1940" s="8">
        <v>12</v>
      </c>
      <c r="J1940" s="26">
        <v>1</v>
      </c>
      <c r="K1940" s="10">
        <v>0.18048</v>
      </c>
      <c r="L1940" s="4" t="s">
        <v>26</v>
      </c>
      <c r="M1940" s="17">
        <v>1</v>
      </c>
      <c r="N1940" s="18">
        <v>0.18048</v>
      </c>
      <c r="O1940" s="19">
        <v>0</v>
      </c>
      <c r="P1940" s="13">
        <v>0</v>
      </c>
      <c r="Q1940" s="72" t="s">
        <v>367</v>
      </c>
      <c r="R1940" s="72"/>
      <c r="S1940" s="330">
        <v>11</v>
      </c>
      <c r="T1940" s="77">
        <v>1</v>
      </c>
    </row>
    <row r="1941" spans="1:20">
      <c r="A1941" s="42" t="s">
        <v>90</v>
      </c>
      <c r="B1941" s="3"/>
      <c r="C1941" s="3">
        <v>228</v>
      </c>
      <c r="D1941" s="1" t="s">
        <v>98</v>
      </c>
      <c r="E1941" s="20" t="s">
        <v>107</v>
      </c>
      <c r="F1941" s="7" t="s">
        <v>15</v>
      </c>
      <c r="G1941" s="7" t="s">
        <v>43</v>
      </c>
      <c r="H1941" s="11">
        <v>15.04</v>
      </c>
      <c r="I1941" s="8">
        <v>10</v>
      </c>
      <c r="J1941" s="26">
        <v>1</v>
      </c>
      <c r="K1941" s="10">
        <v>0.15039999999999998</v>
      </c>
      <c r="L1941" s="4"/>
      <c r="M1941" s="17"/>
      <c r="N1941" s="18">
        <v>0</v>
      </c>
      <c r="O1941" s="19">
        <v>1</v>
      </c>
      <c r="P1941" s="13">
        <v>0.15039999999999998</v>
      </c>
      <c r="Q1941" s="9"/>
      <c r="R1941" s="32"/>
      <c r="S1941" s="162"/>
      <c r="T1941" s="213"/>
    </row>
    <row r="1942" spans="1:20">
      <c r="A1942" s="42" t="s">
        <v>90</v>
      </c>
      <c r="B1942" s="3"/>
      <c r="C1942" s="3">
        <v>228</v>
      </c>
      <c r="D1942" s="1" t="s">
        <v>98</v>
      </c>
      <c r="E1942" s="20" t="s">
        <v>107</v>
      </c>
      <c r="F1942" s="7" t="s">
        <v>15</v>
      </c>
      <c r="G1942" s="7" t="s">
        <v>43</v>
      </c>
      <c r="H1942" s="11">
        <v>15.04</v>
      </c>
      <c r="I1942" s="8">
        <v>11.9</v>
      </c>
      <c r="J1942" s="26">
        <v>1</v>
      </c>
      <c r="K1942" s="10">
        <v>0.178976</v>
      </c>
      <c r="L1942" s="4"/>
      <c r="M1942" s="17"/>
      <c r="N1942" s="18">
        <v>0</v>
      </c>
      <c r="O1942" s="19">
        <v>1</v>
      </c>
      <c r="P1942" s="13">
        <v>0.178976</v>
      </c>
      <c r="Q1942" s="9"/>
      <c r="R1942" s="32"/>
      <c r="S1942" s="162"/>
      <c r="T1942" s="213"/>
    </row>
    <row r="1943" spans="1:20">
      <c r="A1943" s="44" t="s">
        <v>78</v>
      </c>
      <c r="B1943" s="3" t="s">
        <v>80</v>
      </c>
      <c r="C1943" s="3">
        <v>7</v>
      </c>
      <c r="D1943" s="1"/>
      <c r="E1943" s="20" t="s">
        <v>20</v>
      </c>
      <c r="F1943" s="7" t="s">
        <v>15</v>
      </c>
      <c r="G1943" s="7" t="s">
        <v>43</v>
      </c>
      <c r="H1943" s="11">
        <v>15.04</v>
      </c>
      <c r="I1943" s="8">
        <v>7.6</v>
      </c>
      <c r="J1943" s="26">
        <v>2</v>
      </c>
      <c r="K1943" s="10">
        <v>0.22860799999999998</v>
      </c>
      <c r="L1943" s="329" t="s">
        <v>385</v>
      </c>
      <c r="M1943" s="17"/>
      <c r="N1943" s="18">
        <v>0</v>
      </c>
      <c r="O1943" s="19">
        <v>2</v>
      </c>
      <c r="P1943" s="13">
        <v>0.22860799999999998</v>
      </c>
      <c r="Q1943" s="111"/>
      <c r="R1943" s="32"/>
      <c r="S1943" s="162"/>
      <c r="T1943" s="213"/>
    </row>
    <row r="1944" spans="1:20">
      <c r="A1944" s="44" t="s">
        <v>78</v>
      </c>
      <c r="B1944" s="3" t="s">
        <v>80</v>
      </c>
      <c r="C1944" s="3">
        <v>8</v>
      </c>
      <c r="D1944" s="1"/>
      <c r="E1944" s="20" t="s">
        <v>20</v>
      </c>
      <c r="F1944" s="7" t="s">
        <v>15</v>
      </c>
      <c r="G1944" s="7" t="s">
        <v>43</v>
      </c>
      <c r="H1944" s="11">
        <v>15.04</v>
      </c>
      <c r="I1944" s="8">
        <v>6.2</v>
      </c>
      <c r="J1944" s="26">
        <v>2</v>
      </c>
      <c r="K1944" s="10">
        <v>0.18649599999999997</v>
      </c>
      <c r="L1944" s="4"/>
      <c r="M1944" s="17">
        <v>2</v>
      </c>
      <c r="N1944" s="18">
        <v>0.18649599999999997</v>
      </c>
      <c r="O1944" s="106">
        <v>0</v>
      </c>
      <c r="P1944" s="13">
        <v>0</v>
      </c>
      <c r="Q1944" s="72" t="s">
        <v>367</v>
      </c>
      <c r="R1944" s="72"/>
      <c r="S1944" s="330">
        <v>6</v>
      </c>
      <c r="T1944" s="77">
        <v>2</v>
      </c>
    </row>
    <row r="1945" spans="1:20">
      <c r="A1945" s="44" t="s">
        <v>78</v>
      </c>
      <c r="B1945" s="3" t="s">
        <v>80</v>
      </c>
      <c r="C1945" s="3">
        <v>2</v>
      </c>
      <c r="D1945" s="1"/>
      <c r="E1945" s="20" t="s">
        <v>20</v>
      </c>
      <c r="F1945" s="7" t="s">
        <v>15</v>
      </c>
      <c r="G1945" s="7" t="s">
        <v>43</v>
      </c>
      <c r="H1945" s="11">
        <v>15.04</v>
      </c>
      <c r="I1945" s="8">
        <v>6</v>
      </c>
      <c r="J1945" s="26">
        <v>1</v>
      </c>
      <c r="K1945" s="10">
        <v>9.0240000000000001E-2</v>
      </c>
      <c r="L1945" s="4"/>
      <c r="M1945" s="17">
        <v>1</v>
      </c>
      <c r="N1945" s="18">
        <v>9.0240000000000001E-2</v>
      </c>
      <c r="O1945" s="106">
        <v>0</v>
      </c>
      <c r="P1945" s="13">
        <v>0</v>
      </c>
      <c r="Q1945" s="72" t="s">
        <v>367</v>
      </c>
      <c r="R1945" s="72"/>
      <c r="S1945" s="330">
        <v>6</v>
      </c>
      <c r="T1945" s="77">
        <v>1</v>
      </c>
    </row>
    <row r="1946" spans="1:20">
      <c r="A1946" s="44" t="s">
        <v>78</v>
      </c>
      <c r="B1946" s="3" t="s">
        <v>80</v>
      </c>
      <c r="C1946" s="3">
        <v>2</v>
      </c>
      <c r="D1946" s="1"/>
      <c r="E1946" s="20" t="s">
        <v>20</v>
      </c>
      <c r="F1946" s="7" t="s">
        <v>15</v>
      </c>
      <c r="G1946" s="7" t="s">
        <v>43</v>
      </c>
      <c r="H1946" s="11">
        <v>15.04</v>
      </c>
      <c r="I1946" s="8">
        <v>12</v>
      </c>
      <c r="J1946" s="26">
        <v>1</v>
      </c>
      <c r="K1946" s="10">
        <v>0.18048</v>
      </c>
      <c r="L1946" s="4"/>
      <c r="M1946" s="17">
        <v>1</v>
      </c>
      <c r="N1946" s="18">
        <v>0.18048</v>
      </c>
      <c r="O1946" s="106">
        <v>0</v>
      </c>
      <c r="P1946" s="13">
        <v>0</v>
      </c>
      <c r="Q1946" s="72" t="s">
        <v>367</v>
      </c>
      <c r="R1946" s="72"/>
      <c r="S1946" s="330">
        <v>11</v>
      </c>
      <c r="T1946" s="77">
        <v>1</v>
      </c>
    </row>
    <row r="1947" spans="1:20">
      <c r="A1947" s="45" t="s">
        <v>136</v>
      </c>
      <c r="B1947" s="48" t="s">
        <v>171</v>
      </c>
      <c r="C1947" s="32">
        <v>151</v>
      </c>
      <c r="D1947" s="32"/>
      <c r="E1947" s="48" t="s">
        <v>20</v>
      </c>
      <c r="F1947" s="48" t="s">
        <v>15</v>
      </c>
      <c r="G1947" s="48" t="s">
        <v>43</v>
      </c>
      <c r="H1947" s="11">
        <v>15.04</v>
      </c>
      <c r="I1947" s="9">
        <v>12</v>
      </c>
      <c r="J1947" s="7">
        <v>1</v>
      </c>
      <c r="K1947" s="10">
        <v>0.18048</v>
      </c>
      <c r="L1947" s="32"/>
      <c r="M1947" s="32">
        <v>1</v>
      </c>
      <c r="N1947" s="18">
        <v>0.18048</v>
      </c>
      <c r="O1947" s="106">
        <v>0</v>
      </c>
      <c r="P1947" s="13">
        <v>0</v>
      </c>
      <c r="Q1947" s="72" t="s">
        <v>367</v>
      </c>
      <c r="R1947" s="72"/>
      <c r="S1947" s="330">
        <v>11</v>
      </c>
      <c r="T1947" s="77">
        <v>1</v>
      </c>
    </row>
    <row r="1948" spans="1:20">
      <c r="T1948" s="76">
        <f>SUM(T1934:T1947)</f>
        <v>15</v>
      </c>
    </row>
    <row r="1950" spans="1:20">
      <c r="A1950" s="42" t="s">
        <v>77</v>
      </c>
      <c r="B1950" s="3" t="s">
        <v>68</v>
      </c>
      <c r="C1950" s="3">
        <v>191</v>
      </c>
      <c r="D1950" s="1"/>
      <c r="E1950" s="12" t="s">
        <v>20</v>
      </c>
      <c r="F1950" s="7" t="s">
        <v>15</v>
      </c>
      <c r="G1950" s="7" t="s">
        <v>30</v>
      </c>
      <c r="H1950" s="11">
        <v>9.26</v>
      </c>
      <c r="I1950" s="184">
        <v>6.8</v>
      </c>
      <c r="J1950" s="26">
        <v>1</v>
      </c>
      <c r="K1950" s="10">
        <v>6.2967999999999996E-2</v>
      </c>
      <c r="L1950" s="4"/>
      <c r="M1950" s="17"/>
      <c r="N1950" s="18">
        <v>0</v>
      </c>
      <c r="O1950" s="19">
        <v>1</v>
      </c>
      <c r="P1950" s="13">
        <v>6.2967999999999996E-2</v>
      </c>
      <c r="Q1950" s="111"/>
      <c r="R1950" s="2"/>
      <c r="S1950" s="2"/>
      <c r="T1950" s="213"/>
    </row>
    <row r="1951" spans="1:20">
      <c r="A1951" s="42" t="s">
        <v>77</v>
      </c>
      <c r="B1951" s="3" t="s">
        <v>68</v>
      </c>
      <c r="C1951" s="3">
        <v>191</v>
      </c>
      <c r="D1951" s="1"/>
      <c r="E1951" s="12" t="s">
        <v>20</v>
      </c>
      <c r="F1951" s="7" t="s">
        <v>15</v>
      </c>
      <c r="G1951" s="7" t="s">
        <v>30</v>
      </c>
      <c r="H1951" s="11">
        <v>9.26</v>
      </c>
      <c r="I1951" s="184">
        <v>7.8</v>
      </c>
      <c r="J1951" s="26">
        <v>2</v>
      </c>
      <c r="K1951" s="10">
        <v>0.144456</v>
      </c>
      <c r="L1951" s="4"/>
      <c r="M1951" s="17"/>
      <c r="N1951" s="18">
        <v>0</v>
      </c>
      <c r="O1951" s="19">
        <v>2</v>
      </c>
      <c r="P1951" s="13">
        <v>0.144456</v>
      </c>
      <c r="Q1951" s="111"/>
      <c r="R1951" s="2"/>
      <c r="S1951" s="2"/>
      <c r="T1951" s="213"/>
    </row>
    <row r="1952" spans="1:20">
      <c r="A1952" s="42" t="s">
        <v>77</v>
      </c>
      <c r="B1952" s="3" t="s">
        <v>68</v>
      </c>
      <c r="C1952" s="3">
        <v>191</v>
      </c>
      <c r="D1952" s="1"/>
      <c r="E1952" s="12" t="s">
        <v>20</v>
      </c>
      <c r="F1952" s="7" t="s">
        <v>15</v>
      </c>
      <c r="G1952" s="7" t="s">
        <v>30</v>
      </c>
      <c r="H1952" s="11">
        <v>9.26</v>
      </c>
      <c r="I1952" s="184">
        <v>8.8000000000000007</v>
      </c>
      <c r="J1952" s="26">
        <v>1</v>
      </c>
      <c r="K1952" s="10">
        <v>8.1488000000000005E-2</v>
      </c>
      <c r="L1952" s="4"/>
      <c r="M1952" s="17"/>
      <c r="N1952" s="18">
        <v>0</v>
      </c>
      <c r="O1952" s="19">
        <v>1</v>
      </c>
      <c r="P1952" s="13">
        <v>8.1488000000000005E-2</v>
      </c>
      <c r="Q1952" s="111"/>
      <c r="R1952" s="2"/>
      <c r="S1952" s="2"/>
      <c r="T1952" s="213"/>
    </row>
    <row r="1953" spans="1:20">
      <c r="A1953" s="42" t="s">
        <v>78</v>
      </c>
      <c r="B1953" s="3" t="s">
        <v>79</v>
      </c>
      <c r="C1953" s="3">
        <v>3</v>
      </c>
      <c r="D1953" s="1"/>
      <c r="E1953" s="12" t="s">
        <v>20</v>
      </c>
      <c r="F1953" s="7" t="s">
        <v>15</v>
      </c>
      <c r="G1953" s="7" t="s">
        <v>30</v>
      </c>
      <c r="H1953" s="11">
        <v>9.26</v>
      </c>
      <c r="I1953" s="184">
        <v>8.3000000000000007</v>
      </c>
      <c r="J1953" s="26">
        <v>1</v>
      </c>
      <c r="K1953" s="10">
        <v>7.685800000000001E-2</v>
      </c>
      <c r="L1953" s="4"/>
      <c r="M1953" s="17"/>
      <c r="N1953" s="18">
        <v>0</v>
      </c>
      <c r="O1953" s="19">
        <v>1</v>
      </c>
      <c r="P1953" s="13">
        <v>7.685800000000001E-2</v>
      </c>
      <c r="Q1953" s="111"/>
      <c r="R1953" s="2"/>
      <c r="S1953" s="2"/>
      <c r="T1953" s="213"/>
    </row>
    <row r="1954" spans="1:20">
      <c r="A1954" s="42" t="s">
        <v>90</v>
      </c>
      <c r="B1954" s="48" t="s">
        <v>148</v>
      </c>
      <c r="C1954" s="32">
        <v>70</v>
      </c>
      <c r="D1954" s="32"/>
      <c r="E1954" s="48" t="s">
        <v>20</v>
      </c>
      <c r="F1954" s="48" t="s">
        <v>15</v>
      </c>
      <c r="G1954" s="48" t="s">
        <v>30</v>
      </c>
      <c r="H1954" s="11">
        <v>9.26</v>
      </c>
      <c r="I1954" s="184">
        <v>5.7</v>
      </c>
      <c r="J1954" s="7">
        <v>1</v>
      </c>
      <c r="K1954" s="10">
        <v>5.2782000000000003E-2</v>
      </c>
      <c r="L1954" s="32"/>
      <c r="M1954" s="32"/>
      <c r="N1954" s="18">
        <v>0</v>
      </c>
      <c r="O1954" s="19">
        <v>1</v>
      </c>
      <c r="P1954" s="13">
        <v>5.2782000000000003E-2</v>
      </c>
      <c r="Q1954" s="111"/>
      <c r="R1954" s="32"/>
      <c r="S1954" s="32"/>
      <c r="T1954" s="213"/>
    </row>
    <row r="1955" spans="1:20">
      <c r="A1955" s="42" t="s">
        <v>90</v>
      </c>
      <c r="B1955" s="48" t="s">
        <v>148</v>
      </c>
      <c r="C1955" s="32">
        <v>70</v>
      </c>
      <c r="D1955" s="32"/>
      <c r="E1955" s="48" t="s">
        <v>20</v>
      </c>
      <c r="F1955" s="48" t="s">
        <v>15</v>
      </c>
      <c r="G1955" s="48" t="s">
        <v>30</v>
      </c>
      <c r="H1955" s="11">
        <v>9.26</v>
      </c>
      <c r="I1955" s="184">
        <v>7.1</v>
      </c>
      <c r="J1955" s="7">
        <v>1</v>
      </c>
      <c r="K1955" s="10">
        <v>6.5745999999999999E-2</v>
      </c>
      <c r="L1955" s="32"/>
      <c r="M1955" s="32"/>
      <c r="N1955" s="18">
        <v>0</v>
      </c>
      <c r="O1955" s="19">
        <v>1</v>
      </c>
      <c r="P1955" s="13">
        <v>6.5745999999999999E-2</v>
      </c>
      <c r="Q1955" s="111"/>
      <c r="R1955" s="32"/>
      <c r="S1955" s="32"/>
      <c r="T1955" s="213"/>
    </row>
    <row r="1956" spans="1:20">
      <c r="A1956" s="42" t="s">
        <v>90</v>
      </c>
      <c r="B1956" s="48" t="s">
        <v>148</v>
      </c>
      <c r="C1956" s="32">
        <v>70</v>
      </c>
      <c r="D1956" s="32"/>
      <c r="E1956" s="48" t="s">
        <v>20</v>
      </c>
      <c r="F1956" s="48" t="s">
        <v>15</v>
      </c>
      <c r="G1956" s="48" t="s">
        <v>30</v>
      </c>
      <c r="H1956" s="11">
        <v>9.26</v>
      </c>
      <c r="I1956" s="184">
        <v>6.3</v>
      </c>
      <c r="J1956" s="7">
        <v>1</v>
      </c>
      <c r="K1956" s="10">
        <v>5.8337999999999994E-2</v>
      </c>
      <c r="L1956" s="32"/>
      <c r="M1956" s="32"/>
      <c r="N1956" s="18">
        <v>0</v>
      </c>
      <c r="O1956" s="19">
        <v>1</v>
      </c>
      <c r="P1956" s="13">
        <v>5.8337999999999994E-2</v>
      </c>
      <c r="Q1956" s="111"/>
      <c r="R1956" s="32"/>
      <c r="S1956" s="32"/>
      <c r="T1956" s="213"/>
    </row>
    <row r="1957" spans="1:20">
      <c r="A1957" s="42" t="s">
        <v>90</v>
      </c>
      <c r="B1957" s="48" t="s">
        <v>148</v>
      </c>
      <c r="C1957" s="32">
        <v>70</v>
      </c>
      <c r="D1957" s="32"/>
      <c r="E1957" s="48" t="s">
        <v>20</v>
      </c>
      <c r="F1957" s="48" t="s">
        <v>15</v>
      </c>
      <c r="G1957" s="48" t="s">
        <v>30</v>
      </c>
      <c r="H1957" s="11">
        <v>9.26</v>
      </c>
      <c r="I1957" s="184">
        <v>9.1999999999999993</v>
      </c>
      <c r="J1957" s="7">
        <v>1</v>
      </c>
      <c r="K1957" s="10">
        <v>8.519199999999999E-2</v>
      </c>
      <c r="L1957" s="32"/>
      <c r="M1957" s="32"/>
      <c r="N1957" s="18">
        <v>0</v>
      </c>
      <c r="O1957" s="19">
        <v>1</v>
      </c>
      <c r="P1957" s="13">
        <v>8.519199999999999E-2</v>
      </c>
      <c r="Q1957" s="111"/>
      <c r="R1957" s="32"/>
      <c r="S1957" s="32"/>
      <c r="T1957" s="213"/>
    </row>
    <row r="1958" spans="1:20">
      <c r="A1958" s="42" t="s">
        <v>90</v>
      </c>
      <c r="B1958" s="48" t="s">
        <v>148</v>
      </c>
      <c r="C1958" s="32">
        <v>70</v>
      </c>
      <c r="D1958" s="32"/>
      <c r="E1958" s="48" t="s">
        <v>20</v>
      </c>
      <c r="F1958" s="48" t="s">
        <v>15</v>
      </c>
      <c r="G1958" s="48" t="s">
        <v>30</v>
      </c>
      <c r="H1958" s="11">
        <v>9.26</v>
      </c>
      <c r="I1958" s="184">
        <v>9.3000000000000007</v>
      </c>
      <c r="J1958" s="7">
        <v>1</v>
      </c>
      <c r="K1958" s="10">
        <v>8.6118000000000014E-2</v>
      </c>
      <c r="L1958" s="32"/>
      <c r="M1958" s="32"/>
      <c r="N1958" s="18">
        <v>0</v>
      </c>
      <c r="O1958" s="19">
        <v>1</v>
      </c>
      <c r="P1958" s="13">
        <v>8.6118000000000014E-2</v>
      </c>
      <c r="Q1958" s="111"/>
      <c r="R1958" s="32"/>
      <c r="S1958" s="32"/>
      <c r="T1958" s="213"/>
    </row>
    <row r="1959" spans="1:20">
      <c r="A1959" s="42" t="s">
        <v>90</v>
      </c>
      <c r="B1959" s="48" t="s">
        <v>148</v>
      </c>
      <c r="C1959" s="32">
        <v>71</v>
      </c>
      <c r="D1959" s="32"/>
      <c r="E1959" s="48" t="s">
        <v>89</v>
      </c>
      <c r="F1959" s="48" t="s">
        <v>15</v>
      </c>
      <c r="G1959" s="48" t="s">
        <v>30</v>
      </c>
      <c r="H1959" s="11">
        <v>9.26</v>
      </c>
      <c r="I1959" s="184">
        <v>6.8</v>
      </c>
      <c r="J1959" s="7">
        <v>1</v>
      </c>
      <c r="K1959" s="10">
        <v>6.2967999999999996E-2</v>
      </c>
      <c r="L1959" s="32"/>
      <c r="M1959" s="32"/>
      <c r="N1959" s="18">
        <v>0</v>
      </c>
      <c r="O1959" s="19">
        <v>1</v>
      </c>
      <c r="P1959" s="13">
        <v>6.2967999999999996E-2</v>
      </c>
      <c r="Q1959" s="111"/>
      <c r="R1959" s="32"/>
      <c r="S1959" s="32"/>
      <c r="T1959" s="213"/>
    </row>
    <row r="1960" spans="1:20">
      <c r="A1960" s="42" t="s">
        <v>90</v>
      </c>
      <c r="B1960" s="48" t="s">
        <v>148</v>
      </c>
      <c r="C1960" s="32">
        <v>71</v>
      </c>
      <c r="D1960" s="32"/>
      <c r="E1960" s="48" t="s">
        <v>89</v>
      </c>
      <c r="F1960" s="48" t="s">
        <v>15</v>
      </c>
      <c r="G1960" s="48" t="s">
        <v>30</v>
      </c>
      <c r="H1960" s="11">
        <v>9.26</v>
      </c>
      <c r="I1960" s="184">
        <v>7.8</v>
      </c>
      <c r="J1960" s="7">
        <v>2</v>
      </c>
      <c r="K1960" s="10">
        <v>0.144456</v>
      </c>
      <c r="L1960" s="32"/>
      <c r="M1960" s="32"/>
      <c r="N1960" s="18">
        <v>0</v>
      </c>
      <c r="O1960" s="19">
        <v>2</v>
      </c>
      <c r="P1960" s="13">
        <v>0.144456</v>
      </c>
      <c r="Q1960" s="111"/>
      <c r="R1960" s="32"/>
      <c r="S1960" s="32"/>
      <c r="T1960" s="213"/>
    </row>
    <row r="1961" spans="1:20">
      <c r="A1961" s="42" t="s">
        <v>90</v>
      </c>
      <c r="B1961" s="48" t="s">
        <v>148</v>
      </c>
      <c r="C1961" s="32">
        <v>71</v>
      </c>
      <c r="D1961" s="32"/>
      <c r="E1961" s="48" t="s">
        <v>89</v>
      </c>
      <c r="F1961" s="48" t="s">
        <v>15</v>
      </c>
      <c r="G1961" s="48" t="s">
        <v>30</v>
      </c>
      <c r="H1961" s="11">
        <v>9.26</v>
      </c>
      <c r="I1961" s="184">
        <v>8</v>
      </c>
      <c r="J1961" s="7">
        <v>1</v>
      </c>
      <c r="K1961" s="10">
        <v>7.4079999999999993E-2</v>
      </c>
      <c r="L1961" s="32"/>
      <c r="M1961" s="32"/>
      <c r="N1961" s="18">
        <v>0</v>
      </c>
      <c r="O1961" s="19">
        <v>1</v>
      </c>
      <c r="P1961" s="13">
        <v>7.4079999999999993E-2</v>
      </c>
      <c r="Q1961" s="111"/>
      <c r="R1961" s="32"/>
      <c r="S1961" s="32"/>
      <c r="T1961" s="213"/>
    </row>
    <row r="1962" spans="1:20">
      <c r="A1962" s="42" t="s">
        <v>90</v>
      </c>
      <c r="B1962" s="3"/>
      <c r="C1962" s="3">
        <v>187</v>
      </c>
      <c r="D1962" s="1" t="s">
        <v>93</v>
      </c>
      <c r="E1962" s="12" t="s">
        <v>20</v>
      </c>
      <c r="F1962" s="7" t="s">
        <v>15</v>
      </c>
      <c r="G1962" s="7" t="s">
        <v>30</v>
      </c>
      <c r="H1962" s="11">
        <v>9.26</v>
      </c>
      <c r="I1962" s="184">
        <v>12</v>
      </c>
      <c r="J1962" s="26">
        <v>2</v>
      </c>
      <c r="K1962" s="10">
        <v>0.22224000000000002</v>
      </c>
      <c r="L1962" s="4"/>
      <c r="M1962" s="17">
        <v>2</v>
      </c>
      <c r="N1962" s="18">
        <v>0.22224000000000002</v>
      </c>
      <c r="O1962" s="19">
        <v>0</v>
      </c>
      <c r="P1962" s="13">
        <v>0</v>
      </c>
      <c r="Q1962" s="72" t="s">
        <v>367</v>
      </c>
      <c r="R1962" s="74"/>
      <c r="S1962" s="81">
        <v>12</v>
      </c>
      <c r="T1962" s="77">
        <v>2</v>
      </c>
    </row>
    <row r="1963" spans="1:20">
      <c r="A1963" s="42" t="s">
        <v>90</v>
      </c>
      <c r="B1963" s="3"/>
      <c r="C1963" s="3">
        <v>189</v>
      </c>
      <c r="D1963" s="1" t="s">
        <v>93</v>
      </c>
      <c r="E1963" s="12" t="s">
        <v>89</v>
      </c>
      <c r="F1963" s="7" t="s">
        <v>15</v>
      </c>
      <c r="G1963" s="7" t="s">
        <v>30</v>
      </c>
      <c r="H1963" s="11">
        <v>9.26</v>
      </c>
      <c r="I1963" s="184">
        <v>9</v>
      </c>
      <c r="J1963" s="26">
        <v>1</v>
      </c>
      <c r="K1963" s="10">
        <v>8.3339999999999997E-2</v>
      </c>
      <c r="L1963" s="4"/>
      <c r="M1963" s="17">
        <v>1</v>
      </c>
      <c r="N1963" s="18">
        <v>8.3339999999999997E-2</v>
      </c>
      <c r="O1963" s="19">
        <v>0</v>
      </c>
      <c r="P1963" s="13">
        <v>0</v>
      </c>
      <c r="Q1963" s="72" t="s">
        <v>367</v>
      </c>
      <c r="R1963" s="74"/>
      <c r="S1963" s="81">
        <v>8</v>
      </c>
      <c r="T1963" s="77">
        <v>1</v>
      </c>
    </row>
    <row r="1964" spans="1:20">
      <c r="A1964" s="42" t="s">
        <v>90</v>
      </c>
      <c r="B1964" s="3"/>
      <c r="C1964" s="3">
        <v>189</v>
      </c>
      <c r="D1964" s="1" t="s">
        <v>93</v>
      </c>
      <c r="E1964" s="12" t="s">
        <v>89</v>
      </c>
      <c r="F1964" s="7" t="s">
        <v>15</v>
      </c>
      <c r="G1964" s="7" t="s">
        <v>30</v>
      </c>
      <c r="H1964" s="11">
        <v>9.26</v>
      </c>
      <c r="I1964" s="184">
        <v>8.3000000000000007</v>
      </c>
      <c r="J1964" s="26">
        <v>1</v>
      </c>
      <c r="K1964" s="10">
        <v>7.685800000000001E-2</v>
      </c>
      <c r="L1964" s="4"/>
      <c r="M1964" s="17">
        <v>1</v>
      </c>
      <c r="N1964" s="18">
        <v>7.685800000000001E-2</v>
      </c>
      <c r="O1964" s="19">
        <v>0</v>
      </c>
      <c r="P1964" s="13">
        <v>0</v>
      </c>
      <c r="Q1964" s="72" t="s">
        <v>367</v>
      </c>
      <c r="R1964" s="74"/>
      <c r="S1964" s="81">
        <v>8</v>
      </c>
      <c r="T1964" s="77">
        <v>1</v>
      </c>
    </row>
    <row r="1965" spans="1:20">
      <c r="A1965" s="42" t="s">
        <v>90</v>
      </c>
      <c r="B1965" s="3"/>
      <c r="C1965" s="3">
        <v>189</v>
      </c>
      <c r="D1965" s="1" t="s">
        <v>93</v>
      </c>
      <c r="E1965" s="12" t="s">
        <v>89</v>
      </c>
      <c r="F1965" s="7" t="s">
        <v>15</v>
      </c>
      <c r="G1965" s="7" t="s">
        <v>30</v>
      </c>
      <c r="H1965" s="11">
        <v>9.26</v>
      </c>
      <c r="I1965" s="184">
        <v>8</v>
      </c>
      <c r="J1965" s="26">
        <v>1</v>
      </c>
      <c r="K1965" s="10">
        <v>7.4079999999999993E-2</v>
      </c>
      <c r="L1965" s="4"/>
      <c r="M1965" s="17">
        <v>1</v>
      </c>
      <c r="N1965" s="18">
        <v>7.4079999999999993E-2</v>
      </c>
      <c r="O1965" s="19">
        <v>0</v>
      </c>
      <c r="P1965" s="13">
        <v>0</v>
      </c>
      <c r="Q1965" s="72" t="s">
        <v>367</v>
      </c>
      <c r="R1965" s="74"/>
      <c r="S1965" s="81">
        <v>8</v>
      </c>
      <c r="T1965" s="77">
        <v>1</v>
      </c>
    </row>
    <row r="1966" spans="1:20">
      <c r="A1966" s="42" t="s">
        <v>90</v>
      </c>
      <c r="B1966" s="3"/>
      <c r="C1966" s="3">
        <v>189</v>
      </c>
      <c r="D1966" s="1" t="s">
        <v>93</v>
      </c>
      <c r="E1966" s="12" t="s">
        <v>89</v>
      </c>
      <c r="F1966" s="7" t="s">
        <v>15</v>
      </c>
      <c r="G1966" s="7" t="s">
        <v>30</v>
      </c>
      <c r="H1966" s="11">
        <v>9.26</v>
      </c>
      <c r="I1966" s="184">
        <v>6.7</v>
      </c>
      <c r="J1966" s="26">
        <v>1</v>
      </c>
      <c r="K1966" s="10">
        <v>6.2042E-2</v>
      </c>
      <c r="L1966" s="4"/>
      <c r="M1966" s="17"/>
      <c r="N1966" s="18">
        <v>0</v>
      </c>
      <c r="O1966" s="19">
        <v>1</v>
      </c>
      <c r="P1966" s="13">
        <v>6.2042E-2</v>
      </c>
      <c r="Q1966" s="72" t="s">
        <v>367</v>
      </c>
      <c r="R1966" s="74"/>
      <c r="S1966" s="81"/>
      <c r="T1966" s="77"/>
    </row>
    <row r="1967" spans="1:20" s="213" customFormat="1">
      <c r="A1967" s="47" t="s">
        <v>147</v>
      </c>
      <c r="B1967" s="48" t="s">
        <v>148</v>
      </c>
      <c r="C1967" s="32">
        <v>361</v>
      </c>
      <c r="D1967" s="32"/>
      <c r="E1967" s="48" t="s">
        <v>20</v>
      </c>
      <c r="F1967" s="48" t="s">
        <v>160</v>
      </c>
      <c r="G1967" s="48" t="s">
        <v>30</v>
      </c>
      <c r="H1967" s="11">
        <v>9.26</v>
      </c>
      <c r="I1967" s="184">
        <v>9.6</v>
      </c>
      <c r="J1967" s="7">
        <v>2</v>
      </c>
      <c r="K1967" s="10">
        <f t="shared" ref="K1967" si="116">(H1967*I1967*J1967/1000)</f>
        <v>0.17779200000000001</v>
      </c>
      <c r="L1967" s="32"/>
      <c r="M1967" s="17">
        <v>2</v>
      </c>
      <c r="N1967" s="18">
        <f t="shared" ref="N1967" si="117">I1967*M1967*H1967/1000</f>
        <v>0.17779200000000001</v>
      </c>
      <c r="O1967" s="19">
        <f t="shared" ref="O1967" si="118">J1967-M1967</f>
        <v>0</v>
      </c>
      <c r="P1967" s="13">
        <f t="shared" ref="P1967" si="119">I1967*O1967*H1967/1000</f>
        <v>0</v>
      </c>
      <c r="Q1967" s="91" t="s">
        <v>367</v>
      </c>
      <c r="R1967" s="90"/>
      <c r="S1967" s="189">
        <v>8</v>
      </c>
      <c r="T1967" s="156">
        <v>2</v>
      </c>
    </row>
    <row r="1968" spans="1:20">
      <c r="A1968" s="47" t="s">
        <v>147</v>
      </c>
      <c r="B1968" s="48" t="s">
        <v>148</v>
      </c>
      <c r="C1968" s="32">
        <v>361</v>
      </c>
      <c r="D1968" s="32"/>
      <c r="E1968" s="48" t="s">
        <v>20</v>
      </c>
      <c r="F1968" s="48" t="s">
        <v>160</v>
      </c>
      <c r="G1968" s="48" t="s">
        <v>30</v>
      </c>
      <c r="H1968" s="11">
        <v>9.26</v>
      </c>
      <c r="I1968" s="184">
        <v>9.3000000000000007</v>
      </c>
      <c r="J1968" s="7">
        <v>1</v>
      </c>
      <c r="K1968" s="10">
        <v>8.6118000000000014E-2</v>
      </c>
      <c r="L1968" s="32"/>
      <c r="M1968" s="32">
        <v>1</v>
      </c>
      <c r="N1968" s="18">
        <v>8.6118000000000014E-2</v>
      </c>
      <c r="O1968" s="19">
        <v>0</v>
      </c>
      <c r="P1968" s="13">
        <v>0</v>
      </c>
      <c r="Q1968" s="79" t="s">
        <v>368</v>
      </c>
      <c r="R1968" s="72"/>
      <c r="S1968" s="75">
        <v>8</v>
      </c>
      <c r="T1968" s="77">
        <v>1</v>
      </c>
    </row>
    <row r="1969" spans="1:20">
      <c r="A1969" s="42" t="s">
        <v>78</v>
      </c>
      <c r="B1969" s="3" t="s">
        <v>80</v>
      </c>
      <c r="C1969" s="3">
        <v>5</v>
      </c>
      <c r="D1969" s="1"/>
      <c r="E1969" s="12" t="s">
        <v>20</v>
      </c>
      <c r="F1969" s="7" t="s">
        <v>15</v>
      </c>
      <c r="G1969" s="7" t="s">
        <v>30</v>
      </c>
      <c r="H1969" s="11">
        <v>9.26</v>
      </c>
      <c r="I1969" s="184">
        <v>12</v>
      </c>
      <c r="J1969" s="26">
        <v>3</v>
      </c>
      <c r="K1969" s="10">
        <v>0.33335999999999999</v>
      </c>
      <c r="L1969" s="4"/>
      <c r="M1969" s="17">
        <v>3</v>
      </c>
      <c r="N1969" s="18">
        <v>0.33335999999999999</v>
      </c>
      <c r="O1969" s="19">
        <v>0</v>
      </c>
      <c r="P1969" s="13">
        <v>0</v>
      </c>
      <c r="Q1969" s="73" t="s">
        <v>387</v>
      </c>
      <c r="R1969" s="74"/>
      <c r="S1969" s="81">
        <v>12</v>
      </c>
      <c r="T1969" s="77">
        <v>3</v>
      </c>
    </row>
    <row r="1970" spans="1:20" s="213" customFormat="1">
      <c r="A1970" s="42" t="s">
        <v>78</v>
      </c>
      <c r="B1970" s="3" t="s">
        <v>80</v>
      </c>
      <c r="C1970" s="3">
        <v>5</v>
      </c>
      <c r="D1970" s="1"/>
      <c r="E1970" s="12" t="s">
        <v>20</v>
      </c>
      <c r="F1970" s="7" t="s">
        <v>15</v>
      </c>
      <c r="G1970" s="7" t="s">
        <v>30</v>
      </c>
      <c r="H1970" s="11">
        <v>9.26</v>
      </c>
      <c r="I1970" s="184">
        <v>11</v>
      </c>
      <c r="J1970" s="26">
        <v>1</v>
      </c>
      <c r="K1970" s="10">
        <f t="shared" ref="K1970" si="120">(H1970*I1970*J1970/1000)</f>
        <v>0.10186000000000001</v>
      </c>
      <c r="L1970" s="4"/>
      <c r="M1970" s="17">
        <v>1</v>
      </c>
      <c r="N1970" s="18">
        <f t="shared" ref="N1970" si="121">I1970*M1970*H1970/1000</f>
        <v>0.10186000000000001</v>
      </c>
      <c r="O1970" s="19">
        <f t="shared" ref="O1970" si="122">J1970-M1970</f>
        <v>0</v>
      </c>
      <c r="P1970" s="13">
        <f t="shared" ref="P1970" si="123">I1970*O1970*H1970/1000</f>
        <v>0</v>
      </c>
      <c r="Q1970" s="9"/>
      <c r="R1970" s="2"/>
      <c r="S1970" s="50">
        <v>8</v>
      </c>
      <c r="T1970" s="213">
        <v>1</v>
      </c>
    </row>
    <row r="1971" spans="1:20">
      <c r="O1971" s="215">
        <f>SUM(O1950:O1969)</f>
        <v>15</v>
      </c>
      <c r="T1971" s="215">
        <f>SUM(T1950:T1970)</f>
        <v>12</v>
      </c>
    </row>
    <row r="1973" spans="1:20" ht="15.6">
      <c r="A1973" s="110" t="s">
        <v>311</v>
      </c>
      <c r="B1973" s="111" t="s">
        <v>232</v>
      </c>
      <c r="C1973" s="112" t="s">
        <v>228</v>
      </c>
      <c r="D1973" s="113" t="s">
        <v>152</v>
      </c>
      <c r="E1973" s="216" t="s">
        <v>15</v>
      </c>
      <c r="F1973" s="216" t="s">
        <v>30</v>
      </c>
      <c r="G1973" s="217">
        <v>9.26</v>
      </c>
      <c r="H1973" s="218">
        <v>7.4</v>
      </c>
      <c r="I1973" s="219">
        <v>1</v>
      </c>
      <c r="J1973" s="220">
        <f t="shared" ref="J1973:J1989" si="124">(G1973*H1973*I1973/1000)</f>
        <v>6.8524000000000002E-2</v>
      </c>
      <c r="K1973" s="118"/>
      <c r="L1973" s="111"/>
      <c r="M1973" s="117">
        <f t="shared" ref="M1973:M1989" si="125">H1973*L1973*G1973/1000</f>
        <v>0</v>
      </c>
      <c r="N1973" s="119">
        <f t="shared" ref="N1973:N1989" si="126">I1973-L1973</f>
        <v>1</v>
      </c>
      <c r="O1973" s="120">
        <f t="shared" ref="O1973:O1989" si="127">H1973*N1973*G1973/1000</f>
        <v>6.8524000000000002E-2</v>
      </c>
      <c r="P1973" s="111"/>
      <c r="Q1973" s="213"/>
      <c r="R1973" s="111"/>
    </row>
    <row r="1974" spans="1:20" ht="15.6">
      <c r="A1974" s="110" t="s">
        <v>311</v>
      </c>
      <c r="B1974" s="111" t="s">
        <v>232</v>
      </c>
      <c r="C1974" s="112" t="s">
        <v>228</v>
      </c>
      <c r="D1974" s="113" t="s">
        <v>152</v>
      </c>
      <c r="E1974" s="216" t="s">
        <v>15</v>
      </c>
      <c r="F1974" s="216" t="s">
        <v>30</v>
      </c>
      <c r="G1974" s="217">
        <v>9.26</v>
      </c>
      <c r="H1974" s="218">
        <v>9</v>
      </c>
      <c r="I1974" s="219">
        <v>1</v>
      </c>
      <c r="J1974" s="220">
        <f t="shared" si="124"/>
        <v>8.3339999999999997E-2</v>
      </c>
      <c r="K1974" s="118"/>
      <c r="L1974" s="111"/>
      <c r="M1974" s="117">
        <f t="shared" si="125"/>
        <v>0</v>
      </c>
      <c r="N1974" s="119">
        <f t="shared" si="126"/>
        <v>1</v>
      </c>
      <c r="O1974" s="120">
        <f t="shared" si="127"/>
        <v>8.3339999999999997E-2</v>
      </c>
      <c r="P1974" s="111"/>
      <c r="Q1974" s="76"/>
      <c r="R1974" s="111"/>
    </row>
    <row r="1975" spans="1:20" ht="15.6">
      <c r="A1975" s="110" t="s">
        <v>311</v>
      </c>
      <c r="B1975" s="111" t="s">
        <v>232</v>
      </c>
      <c r="C1975" s="112" t="s">
        <v>228</v>
      </c>
      <c r="D1975" s="113" t="s">
        <v>152</v>
      </c>
      <c r="E1975" s="216" t="s">
        <v>15</v>
      </c>
      <c r="F1975" s="216" t="s">
        <v>30</v>
      </c>
      <c r="G1975" s="217">
        <v>9.26</v>
      </c>
      <c r="H1975" s="218">
        <v>9.3000000000000007</v>
      </c>
      <c r="I1975" s="219">
        <v>2</v>
      </c>
      <c r="J1975" s="220">
        <f t="shared" si="124"/>
        <v>0.17223600000000003</v>
      </c>
      <c r="K1975" s="118"/>
      <c r="L1975" s="111"/>
      <c r="M1975" s="117">
        <f t="shared" si="125"/>
        <v>0</v>
      </c>
      <c r="N1975" s="119">
        <f t="shared" si="126"/>
        <v>2</v>
      </c>
      <c r="O1975" s="120">
        <f t="shared" si="127"/>
        <v>0.17223600000000003</v>
      </c>
      <c r="P1975" s="111"/>
      <c r="Q1975" s="76"/>
      <c r="R1975" s="111"/>
    </row>
    <row r="1976" spans="1:20" ht="15.6">
      <c r="A1976" s="110" t="s">
        <v>311</v>
      </c>
      <c r="B1976" s="111" t="s">
        <v>232</v>
      </c>
      <c r="C1976" s="112" t="s">
        <v>228</v>
      </c>
      <c r="D1976" s="113" t="s">
        <v>152</v>
      </c>
      <c r="E1976" s="216" t="s">
        <v>15</v>
      </c>
      <c r="F1976" s="216" t="s">
        <v>30</v>
      </c>
      <c r="G1976" s="217">
        <v>9.26</v>
      </c>
      <c r="H1976" s="218">
        <v>10</v>
      </c>
      <c r="I1976" s="219">
        <v>1</v>
      </c>
      <c r="J1976" s="220">
        <f t="shared" si="124"/>
        <v>9.2599999999999988E-2</v>
      </c>
      <c r="K1976" s="118"/>
      <c r="L1976" s="111"/>
      <c r="M1976" s="117">
        <f t="shared" si="125"/>
        <v>0</v>
      </c>
      <c r="N1976" s="119">
        <f t="shared" si="126"/>
        <v>1</v>
      </c>
      <c r="O1976" s="120">
        <f t="shared" si="127"/>
        <v>9.2599999999999988E-2</v>
      </c>
      <c r="P1976" s="111"/>
      <c r="Q1976" s="76"/>
      <c r="R1976" s="111"/>
    </row>
    <row r="1977" spans="1:20" ht="15.6">
      <c r="A1977" s="110" t="s">
        <v>311</v>
      </c>
      <c r="B1977" s="111" t="s">
        <v>232</v>
      </c>
      <c r="C1977" s="112" t="s">
        <v>228</v>
      </c>
      <c r="D1977" s="113" t="s">
        <v>152</v>
      </c>
      <c r="E1977" s="216" t="s">
        <v>15</v>
      </c>
      <c r="F1977" s="216" t="s">
        <v>30</v>
      </c>
      <c r="G1977" s="217">
        <v>9.26</v>
      </c>
      <c r="H1977" s="218">
        <v>11</v>
      </c>
      <c r="I1977" s="219">
        <v>3</v>
      </c>
      <c r="J1977" s="220">
        <f t="shared" si="124"/>
        <v>0.30557999999999996</v>
      </c>
      <c r="K1977" s="118"/>
      <c r="L1977" s="111">
        <v>3</v>
      </c>
      <c r="M1977" s="117">
        <f t="shared" si="125"/>
        <v>0.30557999999999996</v>
      </c>
      <c r="N1977" s="119">
        <f t="shared" si="126"/>
        <v>0</v>
      </c>
      <c r="O1977" s="120">
        <f t="shared" si="127"/>
        <v>0</v>
      </c>
      <c r="P1977" s="93">
        <v>10.3</v>
      </c>
      <c r="Q1977" s="334">
        <v>3</v>
      </c>
      <c r="R1977" s="93" t="s">
        <v>395</v>
      </c>
    </row>
    <row r="1978" spans="1:20" ht="15.6">
      <c r="A1978" s="110" t="s">
        <v>311</v>
      </c>
      <c r="B1978" s="111" t="s">
        <v>232</v>
      </c>
      <c r="C1978" s="112" t="s">
        <v>228</v>
      </c>
      <c r="D1978" s="113" t="s">
        <v>152</v>
      </c>
      <c r="E1978" s="216" t="s">
        <v>15</v>
      </c>
      <c r="F1978" s="216" t="s">
        <v>30</v>
      </c>
      <c r="G1978" s="217">
        <v>9.26</v>
      </c>
      <c r="H1978" s="218">
        <v>9.5</v>
      </c>
      <c r="I1978" s="219">
        <f>36+11+34+35+5</f>
        <v>121</v>
      </c>
      <c r="J1978" s="220">
        <f t="shared" si="124"/>
        <v>10.644369999999999</v>
      </c>
      <c r="K1978" s="118"/>
      <c r="L1978" s="111">
        <v>121</v>
      </c>
      <c r="M1978" s="117">
        <f t="shared" si="125"/>
        <v>10.644369999999999</v>
      </c>
      <c r="N1978" s="119">
        <f t="shared" si="126"/>
        <v>0</v>
      </c>
      <c r="O1978" s="120">
        <f t="shared" si="127"/>
        <v>0</v>
      </c>
      <c r="P1978" s="93"/>
      <c r="Q1978" s="334"/>
      <c r="R1978" s="93"/>
    </row>
    <row r="1979" spans="1:20" ht="15.6">
      <c r="A1979" s="110" t="s">
        <v>311</v>
      </c>
      <c r="B1979" s="111" t="s">
        <v>232</v>
      </c>
      <c r="C1979" s="112" t="s">
        <v>228</v>
      </c>
      <c r="D1979" s="113" t="s">
        <v>152</v>
      </c>
      <c r="E1979" s="216" t="s">
        <v>15</v>
      </c>
      <c r="F1979" s="216" t="s">
        <v>30</v>
      </c>
      <c r="G1979" s="217">
        <v>9.26</v>
      </c>
      <c r="H1979" s="218">
        <v>10.5</v>
      </c>
      <c r="I1979" s="219">
        <f>28+5+29+1</f>
        <v>63</v>
      </c>
      <c r="J1979" s="220">
        <f t="shared" si="124"/>
        <v>6.125490000000001</v>
      </c>
      <c r="K1979" s="118"/>
      <c r="L1979" s="111">
        <f>58+2+3</f>
        <v>63</v>
      </c>
      <c r="M1979" s="117">
        <f t="shared" si="125"/>
        <v>6.1254900000000001</v>
      </c>
      <c r="N1979" s="119">
        <f t="shared" si="126"/>
        <v>0</v>
      </c>
      <c r="O1979" s="120">
        <f t="shared" si="127"/>
        <v>0</v>
      </c>
      <c r="P1979" s="93">
        <v>10.3</v>
      </c>
      <c r="Q1979" s="334">
        <v>3</v>
      </c>
      <c r="R1979" s="93" t="s">
        <v>395</v>
      </c>
    </row>
    <row r="1980" spans="1:20" ht="15.6">
      <c r="A1980" s="110" t="s">
        <v>311</v>
      </c>
      <c r="B1980" s="111" t="s">
        <v>232</v>
      </c>
      <c r="C1980" s="112" t="s">
        <v>228</v>
      </c>
      <c r="D1980" s="113" t="s">
        <v>152</v>
      </c>
      <c r="E1980" s="216" t="s">
        <v>15</v>
      </c>
      <c r="F1980" s="216" t="s">
        <v>30</v>
      </c>
      <c r="G1980" s="217">
        <v>9.26</v>
      </c>
      <c r="H1980" s="218">
        <v>10.3</v>
      </c>
      <c r="I1980" s="219">
        <f>33+19+34+4</f>
        <v>90</v>
      </c>
      <c r="J1980" s="220">
        <f t="shared" si="124"/>
        <v>8.5840200000000006</v>
      </c>
      <c r="K1980" s="118"/>
      <c r="L1980" s="111">
        <f>80+6+4</f>
        <v>90</v>
      </c>
      <c r="M1980" s="117">
        <f t="shared" si="125"/>
        <v>8.5840200000000006</v>
      </c>
      <c r="N1980" s="119">
        <f t="shared" si="126"/>
        <v>0</v>
      </c>
      <c r="O1980" s="120">
        <f t="shared" si="127"/>
        <v>0</v>
      </c>
      <c r="P1980" s="93">
        <v>10.3</v>
      </c>
      <c r="Q1980" s="334">
        <v>4</v>
      </c>
      <c r="R1980" s="93" t="s">
        <v>395</v>
      </c>
    </row>
    <row r="1981" spans="1:20" ht="15.6">
      <c r="A1981" s="110" t="s">
        <v>311</v>
      </c>
      <c r="B1981" s="111" t="s">
        <v>232</v>
      </c>
      <c r="C1981" s="112" t="s">
        <v>228</v>
      </c>
      <c r="D1981" s="113" t="s">
        <v>152</v>
      </c>
      <c r="E1981" s="216" t="s">
        <v>15</v>
      </c>
      <c r="F1981" s="216" t="s">
        <v>30</v>
      </c>
      <c r="G1981" s="217">
        <v>9.26</v>
      </c>
      <c r="H1981" s="218">
        <v>11.3</v>
      </c>
      <c r="I1981" s="219">
        <f>23+20</f>
        <v>43</v>
      </c>
      <c r="J1981" s="220">
        <f t="shared" si="124"/>
        <v>4.4994339999999999</v>
      </c>
      <c r="K1981" s="118"/>
      <c r="L1981" s="111">
        <f>11+28+4</f>
        <v>43</v>
      </c>
      <c r="M1981" s="117">
        <f t="shared" si="125"/>
        <v>4.4994339999999999</v>
      </c>
      <c r="N1981" s="119">
        <f t="shared" si="126"/>
        <v>0</v>
      </c>
      <c r="O1981" s="120">
        <f t="shared" si="127"/>
        <v>0</v>
      </c>
      <c r="P1981" s="333"/>
      <c r="Q1981" s="76"/>
      <c r="R1981" s="111"/>
    </row>
    <row r="1982" spans="1:20" ht="15.6">
      <c r="A1982" s="110" t="s">
        <v>311</v>
      </c>
      <c r="B1982" s="111" t="s">
        <v>232</v>
      </c>
      <c r="C1982" s="112" t="s">
        <v>228</v>
      </c>
      <c r="D1982" s="113" t="s">
        <v>152</v>
      </c>
      <c r="E1982" s="216" t="s">
        <v>15</v>
      </c>
      <c r="F1982" s="216" t="s">
        <v>30</v>
      </c>
      <c r="G1982" s="217">
        <v>9.26</v>
      </c>
      <c r="H1982" s="218">
        <v>11.8</v>
      </c>
      <c r="I1982" s="219">
        <f>26+28+9+28+30</f>
        <v>121</v>
      </c>
      <c r="J1982" s="220">
        <f t="shared" si="124"/>
        <v>13.221428</v>
      </c>
      <c r="K1982" s="118"/>
      <c r="L1982" s="111">
        <f>121+34</f>
        <v>155</v>
      </c>
      <c r="M1982" s="117">
        <f t="shared" si="125"/>
        <v>16.936540000000001</v>
      </c>
      <c r="N1982" s="230">
        <f t="shared" si="126"/>
        <v>-34</v>
      </c>
      <c r="O1982" s="231">
        <f t="shared" si="127"/>
        <v>-3.7151120000000004</v>
      </c>
      <c r="P1982" s="44"/>
      <c r="Q1982" s="111"/>
      <c r="R1982" s="111"/>
    </row>
    <row r="1983" spans="1:20" ht="15.6">
      <c r="A1983" s="110" t="s">
        <v>311</v>
      </c>
      <c r="B1983" s="111" t="s">
        <v>232</v>
      </c>
      <c r="C1983" s="112" t="s">
        <v>228</v>
      </c>
      <c r="D1983" s="113" t="s">
        <v>152</v>
      </c>
      <c r="E1983" s="216" t="s">
        <v>15</v>
      </c>
      <c r="F1983" s="216" t="s">
        <v>30</v>
      </c>
      <c r="G1983" s="217">
        <v>9.26</v>
      </c>
      <c r="H1983" s="218">
        <v>8.6999999999999993</v>
      </c>
      <c r="I1983" s="219">
        <v>1</v>
      </c>
      <c r="J1983" s="220">
        <f t="shared" si="124"/>
        <v>8.0561999999999995E-2</v>
      </c>
      <c r="K1983" s="118"/>
      <c r="L1983" s="111"/>
      <c r="M1983" s="117">
        <f t="shared" si="125"/>
        <v>0</v>
      </c>
      <c r="N1983" s="119">
        <f t="shared" si="126"/>
        <v>1</v>
      </c>
      <c r="O1983" s="120">
        <f t="shared" si="127"/>
        <v>8.0561999999999995E-2</v>
      </c>
      <c r="P1983" s="111"/>
      <c r="Q1983" s="111"/>
      <c r="R1983" s="111"/>
    </row>
    <row r="1984" spans="1:20" ht="15.6">
      <c r="A1984" s="110" t="s">
        <v>311</v>
      </c>
      <c r="B1984" s="111" t="s">
        <v>232</v>
      </c>
      <c r="C1984" s="112" t="s">
        <v>228</v>
      </c>
      <c r="D1984" s="113" t="s">
        <v>152</v>
      </c>
      <c r="E1984" s="216" t="s">
        <v>15</v>
      </c>
      <c r="F1984" s="216" t="s">
        <v>30</v>
      </c>
      <c r="G1984" s="217">
        <v>9.26</v>
      </c>
      <c r="H1984" s="218">
        <v>9.4</v>
      </c>
      <c r="I1984" s="219">
        <v>1</v>
      </c>
      <c r="J1984" s="220">
        <f t="shared" si="124"/>
        <v>8.7043999999999996E-2</v>
      </c>
      <c r="K1984" s="118"/>
      <c r="L1984" s="111"/>
      <c r="M1984" s="117">
        <f t="shared" si="125"/>
        <v>0</v>
      </c>
      <c r="N1984" s="119">
        <f t="shared" si="126"/>
        <v>1</v>
      </c>
      <c r="O1984" s="120">
        <f t="shared" si="127"/>
        <v>8.7043999999999996E-2</v>
      </c>
      <c r="P1984" s="111"/>
      <c r="Q1984" s="111"/>
      <c r="R1984" s="111"/>
    </row>
    <row r="1985" spans="1:19" ht="15.6">
      <c r="A1985" s="110" t="s">
        <v>311</v>
      </c>
      <c r="B1985" s="111" t="s">
        <v>232</v>
      </c>
      <c r="C1985" s="112" t="s">
        <v>228</v>
      </c>
      <c r="D1985" s="113" t="s">
        <v>152</v>
      </c>
      <c r="E1985" s="216" t="s">
        <v>15</v>
      </c>
      <c r="F1985" s="216" t="s">
        <v>30</v>
      </c>
      <c r="G1985" s="217">
        <v>9.26</v>
      </c>
      <c r="H1985" s="218">
        <v>11</v>
      </c>
      <c r="I1985" s="219">
        <v>1</v>
      </c>
      <c r="J1985" s="220">
        <f t="shared" si="124"/>
        <v>0.10186000000000001</v>
      </c>
      <c r="K1985" s="118"/>
      <c r="L1985" s="45">
        <v>1</v>
      </c>
      <c r="M1985" s="117">
        <f t="shared" si="125"/>
        <v>0.10186000000000001</v>
      </c>
      <c r="N1985" s="119">
        <f t="shared" si="126"/>
        <v>0</v>
      </c>
      <c r="O1985" s="120">
        <f t="shared" si="127"/>
        <v>0</v>
      </c>
      <c r="P1985" s="111"/>
      <c r="Q1985" s="111"/>
      <c r="R1985" s="111"/>
    </row>
    <row r="1986" spans="1:19" ht="15.6">
      <c r="A1986" s="110" t="s">
        <v>311</v>
      </c>
      <c r="B1986" s="111" t="s">
        <v>232</v>
      </c>
      <c r="C1986" s="112" t="s">
        <v>228</v>
      </c>
      <c r="D1986" s="113" t="s">
        <v>152</v>
      </c>
      <c r="E1986" s="216" t="s">
        <v>15</v>
      </c>
      <c r="F1986" s="216" t="s">
        <v>30</v>
      </c>
      <c r="G1986" s="217">
        <v>9.26</v>
      </c>
      <c r="H1986" s="218">
        <v>10.6</v>
      </c>
      <c r="I1986" s="219">
        <v>1</v>
      </c>
      <c r="J1986" s="220">
        <f t="shared" si="124"/>
        <v>9.8155999999999993E-2</v>
      </c>
      <c r="K1986" s="118"/>
      <c r="L1986" s="45">
        <v>1</v>
      </c>
      <c r="M1986" s="117">
        <f t="shared" si="125"/>
        <v>9.8155999999999993E-2</v>
      </c>
      <c r="N1986" s="119">
        <f t="shared" si="126"/>
        <v>0</v>
      </c>
      <c r="O1986" s="120">
        <f t="shared" si="127"/>
        <v>0</v>
      </c>
      <c r="P1986" s="111"/>
      <c r="Q1986" s="111"/>
      <c r="R1986" s="111"/>
    </row>
    <row r="1987" spans="1:19" ht="15.6">
      <c r="A1987" s="110" t="s">
        <v>311</v>
      </c>
      <c r="B1987" s="111" t="s">
        <v>232</v>
      </c>
      <c r="C1987" s="112" t="s">
        <v>228</v>
      </c>
      <c r="D1987" s="113" t="s">
        <v>152</v>
      </c>
      <c r="E1987" s="216" t="s">
        <v>15</v>
      </c>
      <c r="F1987" s="216" t="s">
        <v>30</v>
      </c>
      <c r="G1987" s="217">
        <v>9.26</v>
      </c>
      <c r="H1987" s="218">
        <v>11.2</v>
      </c>
      <c r="I1987" s="219">
        <v>3</v>
      </c>
      <c r="J1987" s="220">
        <f t="shared" si="124"/>
        <v>0.31113599999999997</v>
      </c>
      <c r="K1987" s="118"/>
      <c r="L1987" s="45">
        <v>3</v>
      </c>
      <c r="M1987" s="117">
        <f t="shared" si="125"/>
        <v>0.31113599999999997</v>
      </c>
      <c r="N1987" s="119">
        <f t="shared" si="126"/>
        <v>0</v>
      </c>
      <c r="O1987" s="120">
        <f t="shared" si="127"/>
        <v>0</v>
      </c>
      <c r="P1987" s="111"/>
      <c r="Q1987" s="111"/>
      <c r="R1987" s="111"/>
    </row>
    <row r="1988" spans="1:19" ht="15.6">
      <c r="A1988" s="110" t="s">
        <v>311</v>
      </c>
      <c r="B1988" s="111" t="s">
        <v>232</v>
      </c>
      <c r="C1988" s="112" t="s">
        <v>228</v>
      </c>
      <c r="D1988" s="113" t="s">
        <v>152</v>
      </c>
      <c r="E1988" s="216" t="s">
        <v>15</v>
      </c>
      <c r="F1988" s="216" t="s">
        <v>30</v>
      </c>
      <c r="G1988" s="217">
        <v>9.26</v>
      </c>
      <c r="H1988" s="218">
        <v>11.8</v>
      </c>
      <c r="I1988" s="219">
        <v>5</v>
      </c>
      <c r="J1988" s="220">
        <f t="shared" si="124"/>
        <v>0.54634000000000005</v>
      </c>
      <c r="K1988" s="118"/>
      <c r="L1988" s="111">
        <v>5</v>
      </c>
      <c r="M1988" s="117">
        <f t="shared" si="125"/>
        <v>0.54634000000000005</v>
      </c>
      <c r="N1988" s="119">
        <f t="shared" si="126"/>
        <v>0</v>
      </c>
      <c r="O1988" s="120">
        <f t="shared" si="127"/>
        <v>0</v>
      </c>
      <c r="P1988" s="111"/>
      <c r="Q1988" s="111"/>
      <c r="R1988" s="111"/>
    </row>
    <row r="1989" spans="1:19" ht="15.6">
      <c r="A1989" s="110" t="s">
        <v>311</v>
      </c>
      <c r="B1989" s="111" t="s">
        <v>232</v>
      </c>
      <c r="C1989" s="112" t="s">
        <v>228</v>
      </c>
      <c r="D1989" s="113" t="s">
        <v>152</v>
      </c>
      <c r="E1989" s="216" t="s">
        <v>15</v>
      </c>
      <c r="F1989" s="216" t="s">
        <v>30</v>
      </c>
      <c r="G1989" s="217">
        <v>9.26</v>
      </c>
      <c r="H1989" s="218">
        <v>11.3</v>
      </c>
      <c r="I1989" s="219">
        <v>2</v>
      </c>
      <c r="J1989" s="220">
        <f t="shared" si="124"/>
        <v>0.20927600000000002</v>
      </c>
      <c r="K1989" s="118"/>
      <c r="L1989" s="111"/>
      <c r="M1989" s="117">
        <f t="shared" si="125"/>
        <v>0</v>
      </c>
      <c r="N1989" s="119">
        <f t="shared" si="126"/>
        <v>2</v>
      </c>
      <c r="O1989" s="120">
        <f t="shared" si="127"/>
        <v>0.20927600000000002</v>
      </c>
      <c r="P1989" s="111"/>
      <c r="Q1989" s="111"/>
      <c r="R1989" s="111"/>
    </row>
    <row r="1990" spans="1:19">
      <c r="A1990" s="213"/>
      <c r="B1990" s="213"/>
      <c r="C1990" s="213"/>
      <c r="D1990" s="213"/>
      <c r="E1990" s="213"/>
      <c r="F1990" s="213"/>
      <c r="G1990" s="213"/>
      <c r="H1990" s="213"/>
      <c r="I1990" s="215">
        <f>SUM(I1973:I1989)</f>
        <v>460</v>
      </c>
      <c r="J1990" s="214">
        <f>SUM(J1973:J1989)</f>
        <v>45.231396000000004</v>
      </c>
      <c r="K1990" s="213"/>
      <c r="L1990" s="215">
        <f>SUM(L1973:L1989)</f>
        <v>485</v>
      </c>
      <c r="M1990" s="214">
        <f>SUM(M1973:M1989)</f>
        <v>48.152926000000001</v>
      </c>
      <c r="N1990" s="78">
        <f>SUM(N1973:N1989)</f>
        <v>-25</v>
      </c>
      <c r="O1990" s="128">
        <f>SUM(O1973:O1989)</f>
        <v>-2.9215300000000002</v>
      </c>
      <c r="P1990" s="213"/>
      <c r="Q1990" s="80">
        <f>SUM(Q1973:Q1989)</f>
        <v>10</v>
      </c>
      <c r="R1990" s="213"/>
    </row>
    <row r="1992" spans="1:19" ht="15.6">
      <c r="A1992" s="110" t="s">
        <v>311</v>
      </c>
      <c r="B1992" s="111" t="s">
        <v>232</v>
      </c>
      <c r="C1992" s="112" t="s">
        <v>228</v>
      </c>
      <c r="D1992" s="113" t="s">
        <v>152</v>
      </c>
      <c r="E1992" s="216" t="s">
        <v>15</v>
      </c>
      <c r="F1992" s="216" t="s">
        <v>22</v>
      </c>
      <c r="G1992" s="217">
        <v>10.73</v>
      </c>
      <c r="H1992" s="218">
        <v>7.8</v>
      </c>
      <c r="I1992" s="219">
        <f>36+36+39+35+35+31+21+18+31+32+32+29+30+32+32+29+33+31+13</f>
        <v>575</v>
      </c>
      <c r="J1992" s="220">
        <f t="shared" ref="J1992:J2046" si="128">(G1992*H1992*I1992/1000)</f>
        <v>48.124050000000004</v>
      </c>
      <c r="K1992" s="118"/>
      <c r="L1992" s="111">
        <v>575</v>
      </c>
      <c r="M1992" s="117">
        <f t="shared" ref="M1992:M2046" si="129">H1992*L1992*G1992/1000</f>
        <v>48.124050000000004</v>
      </c>
      <c r="N1992" s="119">
        <f t="shared" ref="N1992:N2046" si="130">I1992-L1992</f>
        <v>0</v>
      </c>
      <c r="O1992" s="120">
        <f t="shared" ref="O1992:O2046" si="131">H1992*N1992*G1992/1000</f>
        <v>0</v>
      </c>
      <c r="P1992" s="111"/>
      <c r="Q1992" s="111"/>
      <c r="R1992" s="111"/>
      <c r="S1992" s="111"/>
    </row>
    <row r="1993" spans="1:19" ht="15.6">
      <c r="A1993" s="110" t="s">
        <v>311</v>
      </c>
      <c r="B1993" s="111" t="s">
        <v>232</v>
      </c>
      <c r="C1993" s="112" t="s">
        <v>228</v>
      </c>
      <c r="D1993" s="113" t="s">
        <v>152</v>
      </c>
      <c r="E1993" s="216" t="s">
        <v>15</v>
      </c>
      <c r="F1993" s="216" t="s">
        <v>22</v>
      </c>
      <c r="G1993" s="217">
        <v>10.73</v>
      </c>
      <c r="H1993" s="218">
        <v>9.4</v>
      </c>
      <c r="I1993" s="219">
        <f>28+33+32+27+26+29+3</f>
        <v>178</v>
      </c>
      <c r="J1993" s="220">
        <f t="shared" si="128"/>
        <v>17.953436</v>
      </c>
      <c r="K1993" s="118"/>
      <c r="L1993" s="111">
        <v>178</v>
      </c>
      <c r="M1993" s="117">
        <f t="shared" si="129"/>
        <v>17.953436</v>
      </c>
      <c r="N1993" s="119">
        <f t="shared" si="130"/>
        <v>0</v>
      </c>
      <c r="O1993" s="120">
        <f t="shared" si="131"/>
        <v>0</v>
      </c>
      <c r="P1993" s="111"/>
      <c r="Q1993" s="111"/>
      <c r="R1993" s="111"/>
      <c r="S1993" s="111"/>
    </row>
    <row r="1994" spans="1:19" ht="15.6">
      <c r="A1994" s="110" t="s">
        <v>311</v>
      </c>
      <c r="B1994" s="111" t="s">
        <v>232</v>
      </c>
      <c r="C1994" s="112" t="s">
        <v>228</v>
      </c>
      <c r="D1994" s="113" t="s">
        <v>152</v>
      </c>
      <c r="E1994" s="216" t="s">
        <v>15</v>
      </c>
      <c r="F1994" s="216" t="s">
        <v>22</v>
      </c>
      <c r="G1994" s="217">
        <v>10.73</v>
      </c>
      <c r="H1994" s="218">
        <v>10.4</v>
      </c>
      <c r="I1994" s="219">
        <f>31+30+3+25+26+16+1+2</f>
        <v>134</v>
      </c>
      <c r="J1994" s="220">
        <f t="shared" si="128"/>
        <v>14.953328000000001</v>
      </c>
      <c r="K1994" s="118"/>
      <c r="L1994" s="111">
        <f>113+12+9</f>
        <v>134</v>
      </c>
      <c r="M1994" s="117">
        <f t="shared" si="129"/>
        <v>14.953328000000001</v>
      </c>
      <c r="N1994" s="119">
        <f t="shared" si="130"/>
        <v>0</v>
      </c>
      <c r="O1994" s="120">
        <f t="shared" si="131"/>
        <v>0</v>
      </c>
      <c r="P1994" s="111">
        <v>9.4</v>
      </c>
      <c r="Q1994" s="111">
        <v>12</v>
      </c>
      <c r="R1994" s="94">
        <v>10.4</v>
      </c>
      <c r="S1994" s="93">
        <v>9</v>
      </c>
    </row>
    <row r="1995" spans="1:19" ht="15.6">
      <c r="A1995" s="110" t="s">
        <v>311</v>
      </c>
      <c r="B1995" s="111" t="s">
        <v>232</v>
      </c>
      <c r="C1995" s="112" t="s">
        <v>228</v>
      </c>
      <c r="D1995" s="113" t="s">
        <v>152</v>
      </c>
      <c r="E1995" s="216" t="s">
        <v>15</v>
      </c>
      <c r="F1995" s="216" t="s">
        <v>22</v>
      </c>
      <c r="G1995" s="217">
        <v>10.73</v>
      </c>
      <c r="H1995" s="218">
        <v>11.6</v>
      </c>
      <c r="I1995" s="219">
        <f>25+25+25+24+15+27+25+25+27+4+8+19</f>
        <v>249</v>
      </c>
      <c r="J1995" s="220">
        <f t="shared" si="128"/>
        <v>30.992532000000001</v>
      </c>
      <c r="K1995" s="118"/>
      <c r="L1995" s="111">
        <v>249</v>
      </c>
      <c r="M1995" s="117">
        <f t="shared" si="129"/>
        <v>30.992532000000004</v>
      </c>
      <c r="N1995" s="119">
        <f t="shared" si="130"/>
        <v>0</v>
      </c>
      <c r="O1995" s="120">
        <f t="shared" si="131"/>
        <v>0</v>
      </c>
      <c r="P1995" s="111"/>
      <c r="Q1995" s="111"/>
      <c r="R1995" s="94"/>
      <c r="S1995" s="93"/>
    </row>
    <row r="1996" spans="1:19" ht="15.6">
      <c r="A1996" s="110" t="s">
        <v>311</v>
      </c>
      <c r="B1996" s="111" t="s">
        <v>232</v>
      </c>
      <c r="C1996" s="112" t="s">
        <v>228</v>
      </c>
      <c r="D1996" s="113" t="s">
        <v>152</v>
      </c>
      <c r="E1996" s="216" t="s">
        <v>15</v>
      </c>
      <c r="F1996" s="216" t="s">
        <v>22</v>
      </c>
      <c r="G1996" s="217">
        <v>10.73</v>
      </c>
      <c r="H1996" s="218">
        <v>12</v>
      </c>
      <c r="I1996" s="219">
        <f>24+18+19+20+25+24+22+9</f>
        <v>161</v>
      </c>
      <c r="J1996" s="220">
        <f t="shared" si="128"/>
        <v>20.730359999999997</v>
      </c>
      <c r="K1996" s="118"/>
      <c r="L1996" s="111">
        <f>160+1</f>
        <v>161</v>
      </c>
      <c r="M1996" s="117">
        <f t="shared" si="129"/>
        <v>20.730360000000001</v>
      </c>
      <c r="N1996" s="119">
        <f t="shared" si="130"/>
        <v>0</v>
      </c>
      <c r="O1996" s="120">
        <f t="shared" si="131"/>
        <v>0</v>
      </c>
      <c r="P1996" s="111"/>
      <c r="Q1996" s="111"/>
      <c r="R1996" s="94"/>
      <c r="S1996" s="93"/>
    </row>
    <row r="1997" spans="1:19" ht="15.6">
      <c r="A1997" s="110" t="s">
        <v>311</v>
      </c>
      <c r="B1997" s="111" t="s">
        <v>232</v>
      </c>
      <c r="C1997" s="112" t="s">
        <v>228</v>
      </c>
      <c r="D1997" s="113" t="s">
        <v>152</v>
      </c>
      <c r="E1997" s="216" t="s">
        <v>15</v>
      </c>
      <c r="F1997" s="216" t="s">
        <v>22</v>
      </c>
      <c r="G1997" s="217">
        <v>10.73</v>
      </c>
      <c r="H1997" s="218">
        <v>11.4</v>
      </c>
      <c r="I1997" s="219">
        <v>1</v>
      </c>
      <c r="J1997" s="220">
        <f t="shared" si="128"/>
        <v>0.122322</v>
      </c>
      <c r="K1997" s="118"/>
      <c r="L1997" s="111">
        <v>1</v>
      </c>
      <c r="M1997" s="117">
        <f t="shared" si="129"/>
        <v>0.122322</v>
      </c>
      <c r="N1997" s="119">
        <f t="shared" si="130"/>
        <v>0</v>
      </c>
      <c r="O1997" s="120">
        <f t="shared" si="131"/>
        <v>0</v>
      </c>
      <c r="P1997" s="111"/>
      <c r="Q1997" s="111"/>
      <c r="R1997" s="94">
        <v>10.4</v>
      </c>
      <c r="S1997" s="93">
        <v>1</v>
      </c>
    </row>
    <row r="1998" spans="1:19" ht="15.6">
      <c r="A1998" s="110" t="s">
        <v>311</v>
      </c>
      <c r="B1998" s="111" t="s">
        <v>232</v>
      </c>
      <c r="C1998" s="112" t="s">
        <v>228</v>
      </c>
      <c r="D1998" s="113" t="s">
        <v>152</v>
      </c>
      <c r="E1998" s="216" t="s">
        <v>15</v>
      </c>
      <c r="F1998" s="216" t="s">
        <v>22</v>
      </c>
      <c r="G1998" s="217">
        <v>10.73</v>
      </c>
      <c r="H1998" s="218">
        <v>11.2</v>
      </c>
      <c r="I1998" s="219">
        <v>1</v>
      </c>
      <c r="J1998" s="220">
        <f t="shared" si="128"/>
        <v>0.12017600000000001</v>
      </c>
      <c r="K1998" s="118"/>
      <c r="L1998" s="111">
        <v>1</v>
      </c>
      <c r="M1998" s="117">
        <f t="shared" si="129"/>
        <v>0.12017600000000001</v>
      </c>
      <c r="N1998" s="119">
        <f t="shared" si="130"/>
        <v>0</v>
      </c>
      <c r="O1998" s="120">
        <f t="shared" si="131"/>
        <v>0</v>
      </c>
      <c r="P1998" s="111"/>
      <c r="Q1998" s="111"/>
      <c r="R1998" s="94">
        <v>10.4</v>
      </c>
      <c r="S1998" s="93">
        <v>1</v>
      </c>
    </row>
    <row r="1999" spans="1:19" ht="15.6">
      <c r="A1999" s="110" t="s">
        <v>311</v>
      </c>
      <c r="B1999" s="111" t="s">
        <v>232</v>
      </c>
      <c r="C1999" s="112" t="s">
        <v>228</v>
      </c>
      <c r="D1999" s="113" t="s">
        <v>152</v>
      </c>
      <c r="E1999" s="216" t="s">
        <v>15</v>
      </c>
      <c r="F1999" s="216" t="s">
        <v>22</v>
      </c>
      <c r="G1999" s="217">
        <v>10.73</v>
      </c>
      <c r="H1999" s="218">
        <v>7.5</v>
      </c>
      <c r="I1999" s="219">
        <v>2</v>
      </c>
      <c r="J1999" s="220">
        <f t="shared" si="128"/>
        <v>0.16095000000000001</v>
      </c>
      <c r="K1999" s="118"/>
      <c r="L1999" s="111"/>
      <c r="M1999" s="117">
        <f t="shared" si="129"/>
        <v>0</v>
      </c>
      <c r="N1999" s="119">
        <f t="shared" si="130"/>
        <v>2</v>
      </c>
      <c r="O1999" s="120">
        <f t="shared" si="131"/>
        <v>0.16095000000000001</v>
      </c>
      <c r="P1999" s="111"/>
      <c r="Q1999" s="111"/>
      <c r="R1999" s="94"/>
      <c r="S1999" s="93"/>
    </row>
    <row r="2000" spans="1:19" ht="15.6">
      <c r="A2000" s="110" t="s">
        <v>311</v>
      </c>
      <c r="B2000" s="111" t="s">
        <v>232</v>
      </c>
      <c r="C2000" s="112" t="s">
        <v>228</v>
      </c>
      <c r="D2000" s="113" t="s">
        <v>152</v>
      </c>
      <c r="E2000" s="216" t="s">
        <v>15</v>
      </c>
      <c r="F2000" s="216" t="s">
        <v>22</v>
      </c>
      <c r="G2000" s="217">
        <v>10.73</v>
      </c>
      <c r="H2000" s="218">
        <v>7.3</v>
      </c>
      <c r="I2000" s="219">
        <v>3</v>
      </c>
      <c r="J2000" s="220">
        <f t="shared" si="128"/>
        <v>0.23498700000000003</v>
      </c>
      <c r="K2000" s="118"/>
      <c r="L2000" s="111"/>
      <c r="M2000" s="117">
        <f t="shared" si="129"/>
        <v>0</v>
      </c>
      <c r="N2000" s="119">
        <f t="shared" si="130"/>
        <v>3</v>
      </c>
      <c r="O2000" s="120">
        <f t="shared" si="131"/>
        <v>0.234987</v>
      </c>
      <c r="P2000" s="111"/>
      <c r="Q2000" s="111"/>
      <c r="R2000" s="94"/>
      <c r="S2000" s="93"/>
    </row>
    <row r="2001" spans="1:19" ht="15.6">
      <c r="A2001" s="110" t="s">
        <v>311</v>
      </c>
      <c r="B2001" s="111" t="s">
        <v>232</v>
      </c>
      <c r="C2001" s="112" t="s">
        <v>228</v>
      </c>
      <c r="D2001" s="113" t="s">
        <v>152</v>
      </c>
      <c r="E2001" s="216" t="s">
        <v>15</v>
      </c>
      <c r="F2001" s="216" t="s">
        <v>22</v>
      </c>
      <c r="G2001" s="217">
        <v>10.73</v>
      </c>
      <c r="H2001" s="218">
        <v>6.9</v>
      </c>
      <c r="I2001" s="219">
        <v>1</v>
      </c>
      <c r="J2001" s="220">
        <f t="shared" si="128"/>
        <v>7.4037000000000006E-2</v>
      </c>
      <c r="K2001" s="118"/>
      <c r="L2001" s="111">
        <v>1</v>
      </c>
      <c r="M2001" s="117">
        <f t="shared" si="129"/>
        <v>7.4037000000000006E-2</v>
      </c>
      <c r="N2001" s="119">
        <f t="shared" si="130"/>
        <v>0</v>
      </c>
      <c r="O2001" s="120">
        <f t="shared" si="131"/>
        <v>0</v>
      </c>
      <c r="P2001" s="111"/>
      <c r="Q2001" s="111"/>
      <c r="R2001" s="94">
        <v>6</v>
      </c>
      <c r="S2001" s="93">
        <v>1</v>
      </c>
    </row>
    <row r="2002" spans="1:19" ht="15.6">
      <c r="A2002" s="110" t="s">
        <v>311</v>
      </c>
      <c r="B2002" s="111" t="s">
        <v>232</v>
      </c>
      <c r="C2002" s="112" t="s">
        <v>228</v>
      </c>
      <c r="D2002" s="113" t="s">
        <v>152</v>
      </c>
      <c r="E2002" s="216" t="s">
        <v>15</v>
      </c>
      <c r="F2002" s="216" t="s">
        <v>22</v>
      </c>
      <c r="G2002" s="217">
        <v>10.73</v>
      </c>
      <c r="H2002" s="218">
        <v>7.1</v>
      </c>
      <c r="I2002" s="219">
        <v>1</v>
      </c>
      <c r="J2002" s="220">
        <f t="shared" si="128"/>
        <v>7.6182999999999987E-2</v>
      </c>
      <c r="K2002" s="118"/>
      <c r="L2002" s="111"/>
      <c r="M2002" s="117">
        <f t="shared" si="129"/>
        <v>0</v>
      </c>
      <c r="N2002" s="119">
        <f t="shared" si="130"/>
        <v>1</v>
      </c>
      <c r="O2002" s="120">
        <f t="shared" si="131"/>
        <v>7.6182999999999987E-2</v>
      </c>
      <c r="P2002" s="111"/>
      <c r="Q2002" s="111"/>
      <c r="R2002" s="93"/>
      <c r="S2002" s="93"/>
    </row>
    <row r="2003" spans="1:19" ht="15.6">
      <c r="A2003" s="110" t="s">
        <v>311</v>
      </c>
      <c r="B2003" s="111" t="s">
        <v>232</v>
      </c>
      <c r="C2003" s="112" t="s">
        <v>228</v>
      </c>
      <c r="D2003" s="113" t="s">
        <v>152</v>
      </c>
      <c r="E2003" s="216" t="s">
        <v>15</v>
      </c>
      <c r="F2003" s="216" t="s">
        <v>22</v>
      </c>
      <c r="G2003" s="217">
        <v>10.73</v>
      </c>
      <c r="H2003" s="218">
        <v>7.3</v>
      </c>
      <c r="I2003" s="219">
        <v>3</v>
      </c>
      <c r="J2003" s="220">
        <f t="shared" si="128"/>
        <v>0.23498700000000003</v>
      </c>
      <c r="K2003" s="118"/>
      <c r="L2003" s="111"/>
      <c r="M2003" s="117">
        <f t="shared" si="129"/>
        <v>0</v>
      </c>
      <c r="N2003" s="119">
        <f t="shared" si="130"/>
        <v>3</v>
      </c>
      <c r="O2003" s="120">
        <f t="shared" si="131"/>
        <v>0.234987</v>
      </c>
      <c r="P2003" s="111"/>
      <c r="Q2003" s="111"/>
      <c r="R2003" s="93"/>
      <c r="S2003" s="93"/>
    </row>
    <row r="2004" spans="1:19" ht="15.6">
      <c r="A2004" s="110" t="s">
        <v>311</v>
      </c>
      <c r="B2004" s="111" t="s">
        <v>232</v>
      </c>
      <c r="C2004" s="112" t="s">
        <v>228</v>
      </c>
      <c r="D2004" s="113" t="s">
        <v>152</v>
      </c>
      <c r="E2004" s="216" t="s">
        <v>15</v>
      </c>
      <c r="F2004" s="216" t="s">
        <v>22</v>
      </c>
      <c r="G2004" s="217">
        <v>10.73</v>
      </c>
      <c r="H2004" s="218">
        <v>8.6</v>
      </c>
      <c r="I2004" s="219">
        <v>3</v>
      </c>
      <c r="J2004" s="220">
        <f t="shared" si="128"/>
        <v>0.27683400000000002</v>
      </c>
      <c r="K2004" s="118"/>
      <c r="L2004" s="111">
        <v>1</v>
      </c>
      <c r="M2004" s="117">
        <f t="shared" si="129"/>
        <v>9.2277999999999999E-2</v>
      </c>
      <c r="N2004" s="119">
        <f t="shared" si="130"/>
        <v>2</v>
      </c>
      <c r="O2004" s="120">
        <f t="shared" si="131"/>
        <v>0.184556</v>
      </c>
      <c r="P2004" s="111">
        <v>7.8</v>
      </c>
      <c r="Q2004" s="111">
        <v>1</v>
      </c>
      <c r="R2004" s="93"/>
      <c r="S2004" s="93"/>
    </row>
    <row r="2005" spans="1:19" ht="15.6">
      <c r="A2005" s="110" t="s">
        <v>311</v>
      </c>
      <c r="B2005" s="111" t="s">
        <v>232</v>
      </c>
      <c r="C2005" s="112" t="s">
        <v>228</v>
      </c>
      <c r="D2005" s="113" t="s">
        <v>152</v>
      </c>
      <c r="E2005" s="216" t="s">
        <v>15</v>
      </c>
      <c r="F2005" s="216" t="s">
        <v>22</v>
      </c>
      <c r="G2005" s="217">
        <v>10.73</v>
      </c>
      <c r="H2005" s="221">
        <v>9</v>
      </c>
      <c r="I2005" s="219">
        <v>3</v>
      </c>
      <c r="J2005" s="220">
        <f t="shared" si="128"/>
        <v>0.28971000000000002</v>
      </c>
      <c r="K2005" s="118"/>
      <c r="L2005" s="111"/>
      <c r="M2005" s="117">
        <f t="shared" si="129"/>
        <v>0</v>
      </c>
      <c r="N2005" s="119">
        <f t="shared" si="130"/>
        <v>3</v>
      </c>
      <c r="O2005" s="120">
        <f t="shared" si="131"/>
        <v>0.28971000000000002</v>
      </c>
      <c r="P2005" s="111"/>
      <c r="Q2005" s="111"/>
      <c r="R2005" s="93"/>
      <c r="S2005" s="93"/>
    </row>
    <row r="2006" spans="1:19" ht="15.6">
      <c r="A2006" s="110" t="s">
        <v>311</v>
      </c>
      <c r="B2006" s="111" t="s">
        <v>232</v>
      </c>
      <c r="C2006" s="112" t="s">
        <v>228</v>
      </c>
      <c r="D2006" s="113" t="s">
        <v>152</v>
      </c>
      <c r="E2006" s="216" t="s">
        <v>15</v>
      </c>
      <c r="F2006" s="216" t="s">
        <v>22</v>
      </c>
      <c r="G2006" s="217">
        <v>10.73</v>
      </c>
      <c r="H2006" s="221">
        <v>7.5</v>
      </c>
      <c r="I2006" s="219">
        <v>14</v>
      </c>
      <c r="J2006" s="220">
        <f t="shared" si="128"/>
        <v>1.1266500000000002</v>
      </c>
      <c r="K2006" s="118"/>
      <c r="L2006" s="111"/>
      <c r="M2006" s="117">
        <f t="shared" si="129"/>
        <v>0</v>
      </c>
      <c r="N2006" s="119">
        <f t="shared" si="130"/>
        <v>14</v>
      </c>
      <c r="O2006" s="120">
        <f t="shared" si="131"/>
        <v>1.1266500000000002</v>
      </c>
      <c r="P2006" s="111"/>
      <c r="Q2006" s="111"/>
      <c r="R2006" s="93"/>
      <c r="S2006" s="93"/>
    </row>
    <row r="2007" spans="1:19" ht="15.6">
      <c r="A2007" s="110" t="s">
        <v>311</v>
      </c>
      <c r="B2007" s="111" t="s">
        <v>232</v>
      </c>
      <c r="C2007" s="112" t="s">
        <v>228</v>
      </c>
      <c r="D2007" s="113" t="s">
        <v>152</v>
      </c>
      <c r="E2007" s="216" t="s">
        <v>15</v>
      </c>
      <c r="F2007" s="216" t="s">
        <v>22</v>
      </c>
      <c r="G2007" s="217">
        <v>10.73</v>
      </c>
      <c r="H2007" s="221">
        <v>11.4</v>
      </c>
      <c r="I2007" s="219">
        <v>4</v>
      </c>
      <c r="J2007" s="220">
        <f t="shared" si="128"/>
        <v>0.489288</v>
      </c>
      <c r="K2007" s="118"/>
      <c r="L2007" s="111">
        <v>4</v>
      </c>
      <c r="M2007" s="117">
        <f t="shared" si="129"/>
        <v>0.489288</v>
      </c>
      <c r="N2007" s="119">
        <f t="shared" si="130"/>
        <v>0</v>
      </c>
      <c r="O2007" s="120">
        <f t="shared" si="131"/>
        <v>0</v>
      </c>
      <c r="P2007" s="111"/>
      <c r="Q2007" s="111"/>
      <c r="R2007" s="94">
        <v>10.4</v>
      </c>
      <c r="S2007" s="93">
        <v>4</v>
      </c>
    </row>
    <row r="2008" spans="1:19" ht="15.6">
      <c r="A2008" s="110" t="s">
        <v>311</v>
      </c>
      <c r="B2008" s="111" t="s">
        <v>232</v>
      </c>
      <c r="C2008" s="112" t="s">
        <v>228</v>
      </c>
      <c r="D2008" s="113" t="s">
        <v>152</v>
      </c>
      <c r="E2008" s="216" t="s">
        <v>15</v>
      </c>
      <c r="F2008" s="216" t="s">
        <v>22</v>
      </c>
      <c r="G2008" s="217">
        <v>10.73</v>
      </c>
      <c r="H2008" s="221">
        <v>11.2</v>
      </c>
      <c r="I2008" s="219">
        <v>1</v>
      </c>
      <c r="J2008" s="220">
        <f t="shared" si="128"/>
        <v>0.12017600000000001</v>
      </c>
      <c r="K2008" s="118"/>
      <c r="L2008" s="111">
        <v>1</v>
      </c>
      <c r="M2008" s="117">
        <f t="shared" si="129"/>
        <v>0.12017600000000001</v>
      </c>
      <c r="N2008" s="119">
        <f t="shared" si="130"/>
        <v>0</v>
      </c>
      <c r="O2008" s="120">
        <f t="shared" si="131"/>
        <v>0</v>
      </c>
      <c r="P2008" s="111"/>
      <c r="Q2008" s="111"/>
      <c r="R2008" s="94">
        <v>10.4</v>
      </c>
      <c r="S2008" s="93">
        <v>1</v>
      </c>
    </row>
    <row r="2009" spans="1:19" ht="15.6">
      <c r="A2009" s="110" t="s">
        <v>311</v>
      </c>
      <c r="B2009" s="111" t="s">
        <v>232</v>
      </c>
      <c r="C2009" s="112" t="s">
        <v>228</v>
      </c>
      <c r="D2009" s="113" t="s">
        <v>152</v>
      </c>
      <c r="E2009" s="216" t="s">
        <v>15</v>
      </c>
      <c r="F2009" s="216" t="s">
        <v>22</v>
      </c>
      <c r="G2009" s="217">
        <v>10.73</v>
      </c>
      <c r="H2009" s="221">
        <v>12</v>
      </c>
      <c r="I2009" s="219">
        <v>1</v>
      </c>
      <c r="J2009" s="220">
        <f t="shared" si="128"/>
        <v>0.12875999999999999</v>
      </c>
      <c r="K2009" s="118"/>
      <c r="L2009" s="111">
        <v>1</v>
      </c>
      <c r="M2009" s="117">
        <f t="shared" si="129"/>
        <v>0.12875999999999999</v>
      </c>
      <c r="N2009" s="119">
        <f t="shared" si="130"/>
        <v>0</v>
      </c>
      <c r="O2009" s="120">
        <f t="shared" si="131"/>
        <v>0</v>
      </c>
      <c r="P2009" s="111"/>
      <c r="Q2009" s="111"/>
      <c r="R2009" s="93"/>
      <c r="S2009" s="93"/>
    </row>
    <row r="2010" spans="1:19" ht="15.6">
      <c r="A2010" s="110" t="s">
        <v>311</v>
      </c>
      <c r="B2010" s="111" t="s">
        <v>232</v>
      </c>
      <c r="C2010" s="112" t="s">
        <v>228</v>
      </c>
      <c r="D2010" s="113" t="s">
        <v>152</v>
      </c>
      <c r="E2010" s="216" t="s">
        <v>15</v>
      </c>
      <c r="F2010" s="216" t="s">
        <v>22</v>
      </c>
      <c r="G2010" s="217">
        <v>10.73</v>
      </c>
      <c r="H2010" s="221">
        <v>11.4</v>
      </c>
      <c r="I2010" s="219">
        <v>1</v>
      </c>
      <c r="J2010" s="220">
        <f t="shared" si="128"/>
        <v>0.122322</v>
      </c>
      <c r="K2010" s="118"/>
      <c r="L2010" s="111">
        <v>1</v>
      </c>
      <c r="M2010" s="117">
        <f t="shared" si="129"/>
        <v>0.122322</v>
      </c>
      <c r="N2010" s="119">
        <f t="shared" si="130"/>
        <v>0</v>
      </c>
      <c r="O2010" s="120">
        <f t="shared" si="131"/>
        <v>0</v>
      </c>
      <c r="P2010" s="111"/>
      <c r="Q2010" s="111"/>
      <c r="R2010" s="93">
        <v>10.4</v>
      </c>
      <c r="S2010" s="93">
        <v>1</v>
      </c>
    </row>
    <row r="2011" spans="1:19" ht="15.6">
      <c r="A2011" s="110" t="s">
        <v>311</v>
      </c>
      <c r="B2011" s="111" t="s">
        <v>232</v>
      </c>
      <c r="C2011" s="112" t="s">
        <v>228</v>
      </c>
      <c r="D2011" s="113" t="s">
        <v>152</v>
      </c>
      <c r="E2011" s="216" t="s">
        <v>15</v>
      </c>
      <c r="F2011" s="216" t="s">
        <v>22</v>
      </c>
      <c r="G2011" s="217">
        <v>10.73</v>
      </c>
      <c r="H2011" s="221">
        <v>10.4</v>
      </c>
      <c r="I2011" s="219">
        <v>2</v>
      </c>
      <c r="J2011" s="220">
        <f t="shared" si="128"/>
        <v>0.22318400000000002</v>
      </c>
      <c r="K2011" s="118"/>
      <c r="L2011" s="111">
        <v>2</v>
      </c>
      <c r="M2011" s="117">
        <f t="shared" si="129"/>
        <v>0.22318400000000002</v>
      </c>
      <c r="N2011" s="119">
        <f t="shared" si="130"/>
        <v>0</v>
      </c>
      <c r="O2011" s="120">
        <f t="shared" si="131"/>
        <v>0</v>
      </c>
      <c r="P2011" s="111"/>
      <c r="Q2011" s="111"/>
      <c r="R2011" s="93">
        <v>10.4</v>
      </c>
      <c r="S2011" s="93">
        <v>2</v>
      </c>
    </row>
    <row r="2012" spans="1:19" ht="15.6">
      <c r="A2012" s="110" t="s">
        <v>311</v>
      </c>
      <c r="B2012" s="111" t="s">
        <v>232</v>
      </c>
      <c r="C2012" s="112" t="s">
        <v>228</v>
      </c>
      <c r="D2012" s="113" t="s">
        <v>152</v>
      </c>
      <c r="E2012" s="216" t="s">
        <v>15</v>
      </c>
      <c r="F2012" s="216" t="s">
        <v>22</v>
      </c>
      <c r="G2012" s="217">
        <v>10.73</v>
      </c>
      <c r="H2012" s="221">
        <v>9.5</v>
      </c>
      <c r="I2012" s="219">
        <v>1</v>
      </c>
      <c r="J2012" s="220">
        <f t="shared" si="128"/>
        <v>0.101935</v>
      </c>
      <c r="K2012" s="118"/>
      <c r="L2012" s="111"/>
      <c r="M2012" s="117">
        <f t="shared" si="129"/>
        <v>0</v>
      </c>
      <c r="N2012" s="119">
        <f t="shared" si="130"/>
        <v>1</v>
      </c>
      <c r="O2012" s="120">
        <f t="shared" si="131"/>
        <v>0.101935</v>
      </c>
      <c r="P2012" s="111"/>
      <c r="Q2012" s="111"/>
      <c r="R2012" s="93"/>
      <c r="S2012" s="93"/>
    </row>
    <row r="2013" spans="1:19" ht="15.6">
      <c r="A2013" s="110" t="s">
        <v>311</v>
      </c>
      <c r="B2013" s="111" t="s">
        <v>232</v>
      </c>
      <c r="C2013" s="112" t="s">
        <v>228</v>
      </c>
      <c r="D2013" s="113" t="s">
        <v>152</v>
      </c>
      <c r="E2013" s="216" t="s">
        <v>15</v>
      </c>
      <c r="F2013" s="216" t="s">
        <v>22</v>
      </c>
      <c r="G2013" s="217">
        <v>10.73</v>
      </c>
      <c r="H2013" s="221">
        <v>9.4</v>
      </c>
      <c r="I2013" s="219">
        <v>3</v>
      </c>
      <c r="J2013" s="220">
        <f t="shared" si="128"/>
        <v>0.30258600000000002</v>
      </c>
      <c r="K2013" s="118"/>
      <c r="L2013" s="111">
        <v>3</v>
      </c>
      <c r="M2013" s="117">
        <f t="shared" si="129"/>
        <v>0.30258600000000008</v>
      </c>
      <c r="N2013" s="119">
        <f t="shared" si="130"/>
        <v>0</v>
      </c>
      <c r="O2013" s="120">
        <f t="shared" si="131"/>
        <v>0</v>
      </c>
      <c r="P2013" s="111"/>
      <c r="Q2013" s="111"/>
      <c r="R2013" s="93"/>
      <c r="S2013" s="93"/>
    </row>
    <row r="2014" spans="1:19" ht="15.6">
      <c r="A2014" s="110" t="s">
        <v>311</v>
      </c>
      <c r="B2014" s="111" t="s">
        <v>232</v>
      </c>
      <c r="C2014" s="112" t="s">
        <v>228</v>
      </c>
      <c r="D2014" s="113" t="s">
        <v>152</v>
      </c>
      <c r="E2014" s="216" t="s">
        <v>15</v>
      </c>
      <c r="F2014" s="216" t="s">
        <v>22</v>
      </c>
      <c r="G2014" s="217">
        <v>10.73</v>
      </c>
      <c r="H2014" s="221">
        <v>9</v>
      </c>
      <c r="I2014" s="219">
        <v>1</v>
      </c>
      <c r="J2014" s="220">
        <f t="shared" si="128"/>
        <v>9.6570000000000003E-2</v>
      </c>
      <c r="K2014" s="118"/>
      <c r="L2014" s="111"/>
      <c r="M2014" s="117">
        <f t="shared" si="129"/>
        <v>0</v>
      </c>
      <c r="N2014" s="119">
        <f t="shared" si="130"/>
        <v>1</v>
      </c>
      <c r="O2014" s="120">
        <f t="shared" si="131"/>
        <v>9.6570000000000003E-2</v>
      </c>
      <c r="P2014" s="111"/>
      <c r="Q2014" s="111"/>
      <c r="R2014" s="93"/>
      <c r="S2014" s="93"/>
    </row>
    <row r="2015" spans="1:19" ht="15.6">
      <c r="A2015" s="110" t="s">
        <v>311</v>
      </c>
      <c r="B2015" s="111" t="s">
        <v>232</v>
      </c>
      <c r="C2015" s="112" t="s">
        <v>228</v>
      </c>
      <c r="D2015" s="113" t="s">
        <v>152</v>
      </c>
      <c r="E2015" s="216" t="s">
        <v>15</v>
      </c>
      <c r="F2015" s="216" t="s">
        <v>22</v>
      </c>
      <c r="G2015" s="217">
        <v>10.73</v>
      </c>
      <c r="H2015" s="221">
        <v>9.4</v>
      </c>
      <c r="I2015" s="219">
        <v>1</v>
      </c>
      <c r="J2015" s="220">
        <f t="shared" si="128"/>
        <v>0.10086200000000001</v>
      </c>
      <c r="K2015" s="118"/>
      <c r="L2015" s="111">
        <v>1</v>
      </c>
      <c r="M2015" s="117">
        <f t="shared" si="129"/>
        <v>0.10086200000000001</v>
      </c>
      <c r="N2015" s="119">
        <f t="shared" si="130"/>
        <v>0</v>
      </c>
      <c r="O2015" s="120">
        <f t="shared" si="131"/>
        <v>0</v>
      </c>
      <c r="P2015" s="111"/>
      <c r="Q2015" s="111"/>
      <c r="R2015" s="93"/>
      <c r="S2015" s="93"/>
    </row>
    <row r="2016" spans="1:19" ht="15.6">
      <c r="A2016" s="110" t="s">
        <v>311</v>
      </c>
      <c r="B2016" s="111" t="s">
        <v>232</v>
      </c>
      <c r="C2016" s="112" t="s">
        <v>228</v>
      </c>
      <c r="D2016" s="113" t="s">
        <v>152</v>
      </c>
      <c r="E2016" s="216" t="s">
        <v>15</v>
      </c>
      <c r="F2016" s="216" t="s">
        <v>22</v>
      </c>
      <c r="G2016" s="217">
        <v>10.73</v>
      </c>
      <c r="H2016" s="221">
        <v>11.6</v>
      </c>
      <c r="I2016" s="219">
        <v>3</v>
      </c>
      <c r="J2016" s="220">
        <f t="shared" si="128"/>
        <v>0.37340400000000001</v>
      </c>
      <c r="K2016" s="118"/>
      <c r="L2016" s="111">
        <v>3</v>
      </c>
      <c r="M2016" s="117">
        <f t="shared" si="129"/>
        <v>0.37340400000000001</v>
      </c>
      <c r="N2016" s="119">
        <f t="shared" si="130"/>
        <v>0</v>
      </c>
      <c r="O2016" s="120">
        <f t="shared" si="131"/>
        <v>0</v>
      </c>
      <c r="P2016" s="111"/>
      <c r="Q2016" s="111"/>
      <c r="R2016" s="93"/>
      <c r="S2016" s="93"/>
    </row>
    <row r="2017" spans="1:19" ht="15.6">
      <c r="A2017" s="110" t="s">
        <v>311</v>
      </c>
      <c r="B2017" s="111" t="s">
        <v>232</v>
      </c>
      <c r="C2017" s="112" t="s">
        <v>228</v>
      </c>
      <c r="D2017" s="113" t="s">
        <v>152</v>
      </c>
      <c r="E2017" s="216" t="s">
        <v>15</v>
      </c>
      <c r="F2017" s="216" t="s">
        <v>22</v>
      </c>
      <c r="G2017" s="217">
        <v>10.73</v>
      </c>
      <c r="H2017" s="221">
        <v>12</v>
      </c>
      <c r="I2017" s="219">
        <v>2</v>
      </c>
      <c r="J2017" s="220">
        <f t="shared" si="128"/>
        <v>0.25751999999999997</v>
      </c>
      <c r="K2017" s="118"/>
      <c r="L2017" s="111">
        <v>2</v>
      </c>
      <c r="M2017" s="117">
        <f t="shared" si="129"/>
        <v>0.25751999999999997</v>
      </c>
      <c r="N2017" s="119">
        <f t="shared" si="130"/>
        <v>0</v>
      </c>
      <c r="O2017" s="120">
        <f t="shared" si="131"/>
        <v>0</v>
      </c>
      <c r="P2017" s="111"/>
      <c r="Q2017" s="111"/>
      <c r="R2017" s="93"/>
      <c r="S2017" s="93"/>
    </row>
    <row r="2018" spans="1:19" ht="15.6">
      <c r="A2018" s="110" t="s">
        <v>311</v>
      </c>
      <c r="B2018" s="111" t="s">
        <v>232</v>
      </c>
      <c r="C2018" s="112" t="s">
        <v>228</v>
      </c>
      <c r="D2018" s="113" t="s">
        <v>152</v>
      </c>
      <c r="E2018" s="216" t="s">
        <v>15</v>
      </c>
      <c r="F2018" s="216" t="s">
        <v>22</v>
      </c>
      <c r="G2018" s="217">
        <v>10.73</v>
      </c>
      <c r="H2018" s="221">
        <v>12</v>
      </c>
      <c r="I2018" s="219">
        <v>1</v>
      </c>
      <c r="J2018" s="220">
        <f t="shared" si="128"/>
        <v>0.12875999999999999</v>
      </c>
      <c r="K2018" s="118"/>
      <c r="L2018" s="111">
        <v>1</v>
      </c>
      <c r="M2018" s="117">
        <f t="shared" si="129"/>
        <v>0.12875999999999999</v>
      </c>
      <c r="N2018" s="119">
        <f t="shared" si="130"/>
        <v>0</v>
      </c>
      <c r="O2018" s="120">
        <f t="shared" si="131"/>
        <v>0</v>
      </c>
      <c r="P2018" s="111"/>
      <c r="Q2018" s="111"/>
      <c r="R2018" s="93"/>
      <c r="S2018" s="93"/>
    </row>
    <row r="2019" spans="1:19" ht="15.6">
      <c r="A2019" s="110" t="s">
        <v>311</v>
      </c>
      <c r="B2019" s="111" t="s">
        <v>232</v>
      </c>
      <c r="C2019" s="112" t="s">
        <v>228</v>
      </c>
      <c r="D2019" s="113" t="s">
        <v>152</v>
      </c>
      <c r="E2019" s="216" t="s">
        <v>15</v>
      </c>
      <c r="F2019" s="216" t="s">
        <v>22</v>
      </c>
      <c r="G2019" s="217">
        <v>10.73</v>
      </c>
      <c r="H2019" s="221">
        <v>11.9</v>
      </c>
      <c r="I2019" s="219">
        <v>1</v>
      </c>
      <c r="J2019" s="220">
        <f t="shared" si="128"/>
        <v>0.12768700000000002</v>
      </c>
      <c r="K2019" s="118"/>
      <c r="L2019" s="111">
        <v>1</v>
      </c>
      <c r="M2019" s="117">
        <f t="shared" si="129"/>
        <v>0.12768700000000002</v>
      </c>
      <c r="N2019" s="119">
        <f t="shared" si="130"/>
        <v>0</v>
      </c>
      <c r="O2019" s="120">
        <f t="shared" si="131"/>
        <v>0</v>
      </c>
      <c r="P2019" s="111">
        <v>11.6</v>
      </c>
      <c r="Q2019" s="111">
        <v>1</v>
      </c>
      <c r="R2019" s="93"/>
      <c r="S2019" s="93"/>
    </row>
    <row r="2020" spans="1:19" ht="15.6">
      <c r="A2020" s="110" t="s">
        <v>311</v>
      </c>
      <c r="B2020" s="111" t="s">
        <v>232</v>
      </c>
      <c r="C2020" s="112" t="s">
        <v>228</v>
      </c>
      <c r="D2020" s="113" t="s">
        <v>152</v>
      </c>
      <c r="E2020" s="216" t="s">
        <v>15</v>
      </c>
      <c r="F2020" s="216" t="s">
        <v>22</v>
      </c>
      <c r="G2020" s="217">
        <v>10.73</v>
      </c>
      <c r="H2020" s="221">
        <v>11.5</v>
      </c>
      <c r="I2020" s="219">
        <v>1</v>
      </c>
      <c r="J2020" s="220">
        <f t="shared" si="128"/>
        <v>0.123395</v>
      </c>
      <c r="K2020" s="118"/>
      <c r="L2020" s="111">
        <v>1</v>
      </c>
      <c r="M2020" s="117">
        <f t="shared" si="129"/>
        <v>0.123395</v>
      </c>
      <c r="N2020" s="119">
        <f t="shared" si="130"/>
        <v>0</v>
      </c>
      <c r="O2020" s="120">
        <f t="shared" si="131"/>
        <v>0</v>
      </c>
      <c r="P2020" s="111"/>
      <c r="Q2020" s="111"/>
      <c r="R2020" s="93">
        <v>10.4</v>
      </c>
      <c r="S2020" s="93">
        <v>1</v>
      </c>
    </row>
    <row r="2021" spans="1:19" ht="15.6">
      <c r="A2021" s="110" t="s">
        <v>311</v>
      </c>
      <c r="B2021" s="111" t="s">
        <v>232</v>
      </c>
      <c r="C2021" s="112" t="s">
        <v>228</v>
      </c>
      <c r="D2021" s="113" t="s">
        <v>152</v>
      </c>
      <c r="E2021" s="216" t="s">
        <v>15</v>
      </c>
      <c r="F2021" s="216" t="s">
        <v>22</v>
      </c>
      <c r="G2021" s="217">
        <v>10.73</v>
      </c>
      <c r="H2021" s="221">
        <v>10.5</v>
      </c>
      <c r="I2021" s="219">
        <v>1</v>
      </c>
      <c r="J2021" s="220">
        <f t="shared" si="128"/>
        <v>0.112665</v>
      </c>
      <c r="K2021" s="118"/>
      <c r="L2021" s="111">
        <v>1</v>
      </c>
      <c r="M2021" s="117">
        <f t="shared" si="129"/>
        <v>0.112665</v>
      </c>
      <c r="N2021" s="119">
        <f t="shared" si="130"/>
        <v>0</v>
      </c>
      <c r="O2021" s="120">
        <f t="shared" si="131"/>
        <v>0</v>
      </c>
      <c r="P2021" s="111"/>
      <c r="Q2021" s="111"/>
      <c r="R2021" s="93">
        <v>10.4</v>
      </c>
      <c r="S2021" s="93">
        <v>1</v>
      </c>
    </row>
    <row r="2022" spans="1:19" ht="15.6">
      <c r="A2022" s="110" t="s">
        <v>311</v>
      </c>
      <c r="B2022" s="111" t="s">
        <v>232</v>
      </c>
      <c r="C2022" s="112" t="s">
        <v>228</v>
      </c>
      <c r="D2022" s="113" t="s">
        <v>152</v>
      </c>
      <c r="E2022" s="216" t="s">
        <v>15</v>
      </c>
      <c r="F2022" s="216" t="s">
        <v>22</v>
      </c>
      <c r="G2022" s="217">
        <v>10.73</v>
      </c>
      <c r="H2022" s="221">
        <v>7.8</v>
      </c>
      <c r="I2022" s="219">
        <v>2</v>
      </c>
      <c r="J2022" s="220">
        <f t="shared" si="128"/>
        <v>0.16738800000000001</v>
      </c>
      <c r="K2022" s="118"/>
      <c r="L2022" s="111">
        <v>2</v>
      </c>
      <c r="M2022" s="117">
        <f t="shared" si="129"/>
        <v>0.16738800000000001</v>
      </c>
      <c r="N2022" s="119">
        <f t="shared" si="130"/>
        <v>0</v>
      </c>
      <c r="O2022" s="120">
        <f t="shared" si="131"/>
        <v>0</v>
      </c>
      <c r="P2022" s="111"/>
      <c r="Q2022" s="111"/>
      <c r="R2022" s="93"/>
      <c r="S2022" s="93"/>
    </row>
    <row r="2023" spans="1:19" ht="15.6">
      <c r="A2023" s="110" t="s">
        <v>311</v>
      </c>
      <c r="B2023" s="111" t="s">
        <v>232</v>
      </c>
      <c r="C2023" s="112" t="s">
        <v>228</v>
      </c>
      <c r="D2023" s="113" t="s">
        <v>152</v>
      </c>
      <c r="E2023" s="216" t="s">
        <v>15</v>
      </c>
      <c r="F2023" s="216" t="s">
        <v>22</v>
      </c>
      <c r="G2023" s="217">
        <v>10.73</v>
      </c>
      <c r="H2023" s="221">
        <v>9</v>
      </c>
      <c r="I2023" s="219">
        <v>1</v>
      </c>
      <c r="J2023" s="220">
        <f t="shared" si="128"/>
        <v>9.6570000000000003E-2</v>
      </c>
      <c r="K2023" s="118"/>
      <c r="L2023" s="111"/>
      <c r="M2023" s="117">
        <f t="shared" si="129"/>
        <v>0</v>
      </c>
      <c r="N2023" s="119">
        <f t="shared" si="130"/>
        <v>1</v>
      </c>
      <c r="O2023" s="120">
        <f t="shared" si="131"/>
        <v>9.6570000000000003E-2</v>
      </c>
      <c r="P2023" s="111"/>
      <c r="Q2023" s="111"/>
      <c r="R2023" s="93"/>
      <c r="S2023" s="93"/>
    </row>
    <row r="2024" spans="1:19" ht="15.6">
      <c r="A2024" s="110" t="s">
        <v>311</v>
      </c>
      <c r="B2024" s="111" t="s">
        <v>232</v>
      </c>
      <c r="C2024" s="112" t="s">
        <v>228</v>
      </c>
      <c r="D2024" s="113" t="s">
        <v>152</v>
      </c>
      <c r="E2024" s="216" t="s">
        <v>15</v>
      </c>
      <c r="F2024" s="216" t="s">
        <v>22</v>
      </c>
      <c r="G2024" s="217">
        <v>10.73</v>
      </c>
      <c r="H2024" s="221">
        <v>10.4</v>
      </c>
      <c r="I2024" s="219">
        <v>1</v>
      </c>
      <c r="J2024" s="220">
        <f t="shared" si="128"/>
        <v>0.11159200000000001</v>
      </c>
      <c r="K2024" s="118"/>
      <c r="L2024" s="111">
        <v>1</v>
      </c>
      <c r="M2024" s="117">
        <f t="shared" si="129"/>
        <v>0.11159200000000001</v>
      </c>
      <c r="N2024" s="119">
        <f t="shared" si="130"/>
        <v>0</v>
      </c>
      <c r="O2024" s="120">
        <f t="shared" si="131"/>
        <v>0</v>
      </c>
      <c r="P2024" s="111"/>
      <c r="Q2024" s="111"/>
      <c r="R2024" s="93">
        <v>10.4</v>
      </c>
      <c r="S2024" s="93">
        <v>1</v>
      </c>
    </row>
    <row r="2025" spans="1:19" ht="15.6">
      <c r="A2025" s="110" t="s">
        <v>311</v>
      </c>
      <c r="B2025" s="111" t="s">
        <v>232</v>
      </c>
      <c r="C2025" s="112" t="s">
        <v>228</v>
      </c>
      <c r="D2025" s="113" t="s">
        <v>152</v>
      </c>
      <c r="E2025" s="216" t="s">
        <v>15</v>
      </c>
      <c r="F2025" s="216" t="s">
        <v>22</v>
      </c>
      <c r="G2025" s="217">
        <v>10.73</v>
      </c>
      <c r="H2025" s="221">
        <v>11</v>
      </c>
      <c r="I2025" s="219">
        <v>1</v>
      </c>
      <c r="J2025" s="220">
        <f t="shared" si="128"/>
        <v>0.11803</v>
      </c>
      <c r="K2025" s="118"/>
      <c r="L2025" s="111">
        <v>1</v>
      </c>
      <c r="M2025" s="117">
        <f t="shared" si="129"/>
        <v>0.11803</v>
      </c>
      <c r="N2025" s="119">
        <f t="shared" si="130"/>
        <v>0</v>
      </c>
      <c r="O2025" s="120">
        <f t="shared" si="131"/>
        <v>0</v>
      </c>
      <c r="P2025" s="111"/>
      <c r="Q2025" s="111"/>
      <c r="R2025" s="93">
        <v>10.4</v>
      </c>
      <c r="S2025" s="93">
        <v>1</v>
      </c>
    </row>
    <row r="2026" spans="1:19" ht="15.6">
      <c r="A2026" s="110" t="s">
        <v>311</v>
      </c>
      <c r="B2026" s="111" t="s">
        <v>232</v>
      </c>
      <c r="C2026" s="112" t="s">
        <v>228</v>
      </c>
      <c r="D2026" s="113" t="s">
        <v>152</v>
      </c>
      <c r="E2026" s="216" t="s">
        <v>15</v>
      </c>
      <c r="F2026" s="216" t="s">
        <v>22</v>
      </c>
      <c r="G2026" s="217">
        <v>10.73</v>
      </c>
      <c r="H2026" s="221">
        <v>11.6</v>
      </c>
      <c r="I2026" s="219">
        <v>5</v>
      </c>
      <c r="J2026" s="220">
        <f t="shared" si="128"/>
        <v>0.62234</v>
      </c>
      <c r="K2026" s="118"/>
      <c r="L2026" s="111">
        <v>5</v>
      </c>
      <c r="M2026" s="117">
        <f t="shared" si="129"/>
        <v>0.62234</v>
      </c>
      <c r="N2026" s="119">
        <f t="shared" si="130"/>
        <v>0</v>
      </c>
      <c r="O2026" s="120">
        <f t="shared" si="131"/>
        <v>0</v>
      </c>
      <c r="P2026" s="111"/>
      <c r="Q2026" s="111"/>
      <c r="R2026" s="93"/>
      <c r="S2026" s="93"/>
    </row>
    <row r="2027" spans="1:19" ht="15.6">
      <c r="A2027" s="110" t="s">
        <v>311</v>
      </c>
      <c r="B2027" s="111" t="s">
        <v>232</v>
      </c>
      <c r="C2027" s="112" t="s">
        <v>228</v>
      </c>
      <c r="D2027" s="113" t="s">
        <v>152</v>
      </c>
      <c r="E2027" s="216" t="s">
        <v>15</v>
      </c>
      <c r="F2027" s="216" t="s">
        <v>22</v>
      </c>
      <c r="G2027" s="217">
        <v>10.73</v>
      </c>
      <c r="H2027" s="221">
        <v>6.8</v>
      </c>
      <c r="I2027" s="219">
        <v>1</v>
      </c>
      <c r="J2027" s="220">
        <f t="shared" si="128"/>
        <v>7.2964000000000001E-2</v>
      </c>
      <c r="K2027" s="118"/>
      <c r="L2027" s="111"/>
      <c r="M2027" s="117">
        <f t="shared" si="129"/>
        <v>0</v>
      </c>
      <c r="N2027" s="119">
        <f t="shared" si="130"/>
        <v>1</v>
      </c>
      <c r="O2027" s="120">
        <f t="shared" si="131"/>
        <v>7.2964000000000001E-2</v>
      </c>
      <c r="P2027" s="111"/>
      <c r="Q2027" s="111"/>
      <c r="R2027" s="93"/>
      <c r="S2027" s="93"/>
    </row>
    <row r="2028" spans="1:19" ht="15.6">
      <c r="A2028" s="110" t="s">
        <v>311</v>
      </c>
      <c r="B2028" s="111" t="s">
        <v>232</v>
      </c>
      <c r="C2028" s="112" t="s">
        <v>228</v>
      </c>
      <c r="D2028" s="113" t="s">
        <v>152</v>
      </c>
      <c r="E2028" s="216" t="s">
        <v>15</v>
      </c>
      <c r="F2028" s="216" t="s">
        <v>22</v>
      </c>
      <c r="G2028" s="217">
        <v>10.73</v>
      </c>
      <c r="H2028" s="221">
        <v>6.9</v>
      </c>
      <c r="I2028" s="219">
        <v>1</v>
      </c>
      <c r="J2028" s="220">
        <f t="shared" si="128"/>
        <v>7.4037000000000006E-2</v>
      </c>
      <c r="K2028" s="118"/>
      <c r="L2028" s="111"/>
      <c r="M2028" s="117">
        <f t="shared" si="129"/>
        <v>0</v>
      </c>
      <c r="N2028" s="119">
        <f t="shared" si="130"/>
        <v>1</v>
      </c>
      <c r="O2028" s="120">
        <f t="shared" si="131"/>
        <v>7.4037000000000006E-2</v>
      </c>
      <c r="P2028" s="111"/>
      <c r="Q2028" s="111"/>
      <c r="R2028" s="93"/>
      <c r="S2028" s="93"/>
    </row>
    <row r="2029" spans="1:19" ht="15.6">
      <c r="A2029" s="110" t="s">
        <v>311</v>
      </c>
      <c r="B2029" s="111" t="s">
        <v>232</v>
      </c>
      <c r="C2029" s="112" t="s">
        <v>228</v>
      </c>
      <c r="D2029" s="113" t="s">
        <v>152</v>
      </c>
      <c r="E2029" s="216" t="s">
        <v>15</v>
      </c>
      <c r="F2029" s="216" t="s">
        <v>22</v>
      </c>
      <c r="G2029" s="217">
        <v>10.73</v>
      </c>
      <c r="H2029" s="221">
        <v>11</v>
      </c>
      <c r="I2029" s="219">
        <v>3</v>
      </c>
      <c r="J2029" s="220">
        <f t="shared" si="128"/>
        <v>0.35409000000000002</v>
      </c>
      <c r="K2029" s="118"/>
      <c r="L2029" s="111">
        <v>3</v>
      </c>
      <c r="M2029" s="117">
        <f t="shared" si="129"/>
        <v>0.35409000000000002</v>
      </c>
      <c r="N2029" s="119">
        <f t="shared" si="130"/>
        <v>0</v>
      </c>
      <c r="O2029" s="120">
        <f t="shared" si="131"/>
        <v>0</v>
      </c>
      <c r="P2029" s="111"/>
      <c r="Q2029" s="111"/>
      <c r="R2029" s="93">
        <v>10.4</v>
      </c>
      <c r="S2029" s="93">
        <v>3</v>
      </c>
    </row>
    <row r="2030" spans="1:19" ht="15.6">
      <c r="A2030" s="110" t="s">
        <v>311</v>
      </c>
      <c r="B2030" s="111" t="s">
        <v>232</v>
      </c>
      <c r="C2030" s="112" t="s">
        <v>228</v>
      </c>
      <c r="D2030" s="113" t="s">
        <v>152</v>
      </c>
      <c r="E2030" s="216" t="s">
        <v>15</v>
      </c>
      <c r="F2030" s="216" t="s">
        <v>22</v>
      </c>
      <c r="G2030" s="217">
        <v>10.73</v>
      </c>
      <c r="H2030" s="221">
        <v>11.3</v>
      </c>
      <c r="I2030" s="219">
        <v>1</v>
      </c>
      <c r="J2030" s="220">
        <f t="shared" si="128"/>
        <v>0.12124900000000001</v>
      </c>
      <c r="K2030" s="118"/>
      <c r="L2030" s="111">
        <v>1</v>
      </c>
      <c r="M2030" s="117">
        <f t="shared" si="129"/>
        <v>0.12124900000000001</v>
      </c>
      <c r="N2030" s="119">
        <f t="shared" si="130"/>
        <v>0</v>
      </c>
      <c r="O2030" s="120">
        <f t="shared" si="131"/>
        <v>0</v>
      </c>
      <c r="P2030" s="111"/>
      <c r="Q2030" s="111"/>
      <c r="R2030" s="93">
        <v>10.4</v>
      </c>
      <c r="S2030" s="93">
        <v>1</v>
      </c>
    </row>
    <row r="2031" spans="1:19" ht="15.6">
      <c r="A2031" s="110" t="s">
        <v>311</v>
      </c>
      <c r="B2031" s="111" t="s">
        <v>232</v>
      </c>
      <c r="C2031" s="112" t="s">
        <v>228</v>
      </c>
      <c r="D2031" s="113" t="s">
        <v>152</v>
      </c>
      <c r="E2031" s="216" t="s">
        <v>15</v>
      </c>
      <c r="F2031" s="216" t="s">
        <v>22</v>
      </c>
      <c r="G2031" s="217">
        <v>10.73</v>
      </c>
      <c r="H2031" s="221">
        <v>7.2</v>
      </c>
      <c r="I2031" s="219">
        <v>1</v>
      </c>
      <c r="J2031" s="220">
        <f t="shared" si="128"/>
        <v>7.7256000000000005E-2</v>
      </c>
      <c r="K2031" s="118"/>
      <c r="L2031" s="111"/>
      <c r="M2031" s="117">
        <f t="shared" si="129"/>
        <v>0</v>
      </c>
      <c r="N2031" s="119">
        <f t="shared" si="130"/>
        <v>1</v>
      </c>
      <c r="O2031" s="120">
        <f t="shared" si="131"/>
        <v>7.7256000000000005E-2</v>
      </c>
      <c r="P2031" s="111"/>
      <c r="Q2031" s="111"/>
      <c r="R2031" s="93"/>
      <c r="S2031" s="93"/>
    </row>
    <row r="2032" spans="1:19" ht="15.6">
      <c r="A2032" s="110" t="s">
        <v>311</v>
      </c>
      <c r="B2032" s="111" t="s">
        <v>232</v>
      </c>
      <c r="C2032" s="112" t="s">
        <v>228</v>
      </c>
      <c r="D2032" s="113" t="s">
        <v>152</v>
      </c>
      <c r="E2032" s="216" t="s">
        <v>15</v>
      </c>
      <c r="F2032" s="216" t="s">
        <v>22</v>
      </c>
      <c r="G2032" s="217">
        <v>10.73</v>
      </c>
      <c r="H2032" s="221">
        <v>7.4</v>
      </c>
      <c r="I2032" s="219">
        <v>1</v>
      </c>
      <c r="J2032" s="220">
        <f t="shared" si="128"/>
        <v>7.9402E-2</v>
      </c>
      <c r="K2032" s="118"/>
      <c r="L2032" s="111"/>
      <c r="M2032" s="117">
        <f t="shared" si="129"/>
        <v>0</v>
      </c>
      <c r="N2032" s="119">
        <f t="shared" si="130"/>
        <v>1</v>
      </c>
      <c r="O2032" s="120">
        <f t="shared" si="131"/>
        <v>7.9402E-2</v>
      </c>
      <c r="P2032" s="111"/>
      <c r="Q2032" s="111"/>
      <c r="R2032" s="93"/>
      <c r="S2032" s="93"/>
    </row>
    <row r="2033" spans="1:19" ht="15.6">
      <c r="A2033" s="110" t="s">
        <v>311</v>
      </c>
      <c r="B2033" s="111" t="s">
        <v>232</v>
      </c>
      <c r="C2033" s="112" t="s">
        <v>228</v>
      </c>
      <c r="D2033" s="113" t="s">
        <v>152</v>
      </c>
      <c r="E2033" s="216" t="s">
        <v>15</v>
      </c>
      <c r="F2033" s="216" t="s">
        <v>22</v>
      </c>
      <c r="G2033" s="217">
        <v>10.73</v>
      </c>
      <c r="H2033" s="221">
        <v>7.5</v>
      </c>
      <c r="I2033" s="219">
        <v>4</v>
      </c>
      <c r="J2033" s="220">
        <f t="shared" si="128"/>
        <v>0.32190000000000002</v>
      </c>
      <c r="K2033" s="118"/>
      <c r="L2033" s="111"/>
      <c r="M2033" s="117">
        <f t="shared" si="129"/>
        <v>0</v>
      </c>
      <c r="N2033" s="119">
        <f t="shared" si="130"/>
        <v>4</v>
      </c>
      <c r="O2033" s="120">
        <f t="shared" si="131"/>
        <v>0.32190000000000002</v>
      </c>
      <c r="P2033" s="111"/>
      <c r="Q2033" s="111"/>
      <c r="R2033" s="93"/>
      <c r="S2033" s="93"/>
    </row>
    <row r="2034" spans="1:19" ht="15.6">
      <c r="A2034" s="110" t="s">
        <v>311</v>
      </c>
      <c r="B2034" s="111" t="s">
        <v>232</v>
      </c>
      <c r="C2034" s="112" t="s">
        <v>228</v>
      </c>
      <c r="D2034" s="113" t="s">
        <v>152</v>
      </c>
      <c r="E2034" s="216" t="s">
        <v>15</v>
      </c>
      <c r="F2034" s="216" t="s">
        <v>22</v>
      </c>
      <c r="G2034" s="217">
        <v>10.73</v>
      </c>
      <c r="H2034" s="221">
        <v>7.6</v>
      </c>
      <c r="I2034" s="219">
        <v>14</v>
      </c>
      <c r="J2034" s="220">
        <f t="shared" si="128"/>
        <v>1.141672</v>
      </c>
      <c r="K2034" s="118"/>
      <c r="L2034" s="111"/>
      <c r="M2034" s="117">
        <f t="shared" si="129"/>
        <v>0</v>
      </c>
      <c r="N2034" s="119">
        <f t="shared" si="130"/>
        <v>14</v>
      </c>
      <c r="O2034" s="120">
        <f t="shared" si="131"/>
        <v>1.141672</v>
      </c>
      <c r="P2034" s="111"/>
      <c r="Q2034" s="111"/>
      <c r="R2034" s="93"/>
      <c r="S2034" s="93"/>
    </row>
    <row r="2035" spans="1:19" ht="15.6">
      <c r="A2035" s="110" t="s">
        <v>311</v>
      </c>
      <c r="B2035" s="111" t="s">
        <v>232</v>
      </c>
      <c r="C2035" s="112" t="s">
        <v>228</v>
      </c>
      <c r="D2035" s="113" t="s">
        <v>152</v>
      </c>
      <c r="E2035" s="216" t="s">
        <v>15</v>
      </c>
      <c r="F2035" s="216" t="s">
        <v>22</v>
      </c>
      <c r="G2035" s="217">
        <v>10.73</v>
      </c>
      <c r="H2035" s="221">
        <v>9</v>
      </c>
      <c r="I2035" s="219">
        <v>3</v>
      </c>
      <c r="J2035" s="220">
        <f t="shared" si="128"/>
        <v>0.28971000000000002</v>
      </c>
      <c r="K2035" s="118"/>
      <c r="L2035" s="111"/>
      <c r="M2035" s="117">
        <f t="shared" si="129"/>
        <v>0</v>
      </c>
      <c r="N2035" s="119">
        <f t="shared" si="130"/>
        <v>3</v>
      </c>
      <c r="O2035" s="120">
        <f t="shared" si="131"/>
        <v>0.28971000000000002</v>
      </c>
      <c r="P2035" s="111"/>
      <c r="Q2035" s="111"/>
      <c r="R2035" s="93"/>
      <c r="S2035" s="93"/>
    </row>
    <row r="2036" spans="1:19" ht="15.6">
      <c r="A2036" s="110" t="s">
        <v>311</v>
      </c>
      <c r="B2036" s="111" t="s">
        <v>232</v>
      </c>
      <c r="C2036" s="112" t="s">
        <v>228</v>
      </c>
      <c r="D2036" s="113" t="s">
        <v>152</v>
      </c>
      <c r="E2036" s="216" t="s">
        <v>15</v>
      </c>
      <c r="F2036" s="216" t="s">
        <v>22</v>
      </c>
      <c r="G2036" s="217">
        <v>10.73</v>
      </c>
      <c r="H2036" s="221">
        <v>11</v>
      </c>
      <c r="I2036" s="219">
        <v>16</v>
      </c>
      <c r="J2036" s="220">
        <f t="shared" si="128"/>
        <v>1.8884799999999999</v>
      </c>
      <c r="K2036" s="118"/>
      <c r="L2036" s="111">
        <v>16</v>
      </c>
      <c r="M2036" s="117">
        <f t="shared" si="129"/>
        <v>1.8884799999999999</v>
      </c>
      <c r="N2036" s="119">
        <f t="shared" si="130"/>
        <v>0</v>
      </c>
      <c r="O2036" s="120">
        <f t="shared" si="131"/>
        <v>0</v>
      </c>
      <c r="P2036" s="111"/>
      <c r="Q2036" s="111"/>
      <c r="R2036" s="93">
        <v>10.4</v>
      </c>
      <c r="S2036" s="93">
        <v>16</v>
      </c>
    </row>
    <row r="2037" spans="1:19" ht="15.6">
      <c r="A2037" s="110" t="s">
        <v>311</v>
      </c>
      <c r="B2037" s="111" t="s">
        <v>232</v>
      </c>
      <c r="C2037" s="112" t="s">
        <v>228</v>
      </c>
      <c r="D2037" s="113" t="s">
        <v>152</v>
      </c>
      <c r="E2037" s="216" t="s">
        <v>15</v>
      </c>
      <c r="F2037" s="216" t="s">
        <v>22</v>
      </c>
      <c r="G2037" s="217">
        <v>10.73</v>
      </c>
      <c r="H2037" s="221">
        <v>11.4</v>
      </c>
      <c r="I2037" s="219">
        <v>5</v>
      </c>
      <c r="J2037" s="220">
        <f t="shared" si="128"/>
        <v>0.61160999999999999</v>
      </c>
      <c r="K2037" s="118"/>
      <c r="L2037" s="111">
        <v>5</v>
      </c>
      <c r="M2037" s="117">
        <f t="shared" si="129"/>
        <v>0.61160999999999999</v>
      </c>
      <c r="N2037" s="119">
        <f t="shared" si="130"/>
        <v>0</v>
      </c>
      <c r="O2037" s="120">
        <f t="shared" si="131"/>
        <v>0</v>
      </c>
      <c r="P2037" s="111"/>
      <c r="Q2037" s="111"/>
      <c r="R2037" s="93">
        <v>10.4</v>
      </c>
      <c r="S2037" s="93">
        <v>5</v>
      </c>
    </row>
    <row r="2038" spans="1:19" ht="15.6">
      <c r="A2038" s="110" t="s">
        <v>311</v>
      </c>
      <c r="B2038" s="111" t="s">
        <v>232</v>
      </c>
      <c r="C2038" s="112" t="s">
        <v>228</v>
      </c>
      <c r="D2038" s="113" t="s">
        <v>152</v>
      </c>
      <c r="E2038" s="216" t="s">
        <v>15</v>
      </c>
      <c r="F2038" s="216" t="s">
        <v>22</v>
      </c>
      <c r="G2038" s="217">
        <v>10.73</v>
      </c>
      <c r="H2038" s="221">
        <v>9.4</v>
      </c>
      <c r="I2038" s="219">
        <v>8</v>
      </c>
      <c r="J2038" s="220">
        <f t="shared" si="128"/>
        <v>0.80689600000000006</v>
      </c>
      <c r="K2038" s="118"/>
      <c r="L2038" s="111">
        <v>8</v>
      </c>
      <c r="M2038" s="117">
        <f t="shared" si="129"/>
        <v>0.80689600000000006</v>
      </c>
      <c r="N2038" s="119">
        <f t="shared" si="130"/>
        <v>0</v>
      </c>
      <c r="O2038" s="120">
        <f t="shared" si="131"/>
        <v>0</v>
      </c>
      <c r="P2038" s="111"/>
      <c r="Q2038" s="111"/>
      <c r="R2038" s="93"/>
      <c r="S2038" s="93"/>
    </row>
    <row r="2039" spans="1:19" ht="15.6">
      <c r="A2039" s="110" t="s">
        <v>311</v>
      </c>
      <c r="B2039" s="111" t="s">
        <v>232</v>
      </c>
      <c r="C2039" s="112" t="s">
        <v>228</v>
      </c>
      <c r="D2039" s="113" t="s">
        <v>152</v>
      </c>
      <c r="E2039" s="216" t="s">
        <v>15</v>
      </c>
      <c r="F2039" s="216" t="s">
        <v>22</v>
      </c>
      <c r="G2039" s="217">
        <v>10.73</v>
      </c>
      <c r="H2039" s="221">
        <v>10.4</v>
      </c>
      <c r="I2039" s="219">
        <v>7</v>
      </c>
      <c r="J2039" s="220">
        <f t="shared" si="128"/>
        <v>0.78114400000000017</v>
      </c>
      <c r="K2039" s="118"/>
      <c r="L2039" s="111">
        <v>7</v>
      </c>
      <c r="M2039" s="117">
        <f t="shared" si="129"/>
        <v>0.78114400000000006</v>
      </c>
      <c r="N2039" s="119">
        <f t="shared" si="130"/>
        <v>0</v>
      </c>
      <c r="O2039" s="120">
        <f t="shared" si="131"/>
        <v>0</v>
      </c>
      <c r="P2039" s="111"/>
      <c r="Q2039" s="111"/>
      <c r="R2039" s="93">
        <v>10.4</v>
      </c>
      <c r="S2039" s="93">
        <v>7</v>
      </c>
    </row>
    <row r="2040" spans="1:19" ht="15.6">
      <c r="A2040" s="110" t="s">
        <v>311</v>
      </c>
      <c r="B2040" s="111" t="s">
        <v>232</v>
      </c>
      <c r="C2040" s="112" t="s">
        <v>228</v>
      </c>
      <c r="D2040" s="113" t="s">
        <v>152</v>
      </c>
      <c r="E2040" s="216" t="s">
        <v>15</v>
      </c>
      <c r="F2040" s="216" t="s">
        <v>22</v>
      </c>
      <c r="G2040" s="217">
        <v>10.73</v>
      </c>
      <c r="H2040" s="221">
        <v>12</v>
      </c>
      <c r="I2040" s="219">
        <v>9</v>
      </c>
      <c r="J2040" s="220">
        <f t="shared" si="128"/>
        <v>1.1588399999999999</v>
      </c>
      <c r="K2040" s="118"/>
      <c r="L2040" s="111">
        <v>9</v>
      </c>
      <c r="M2040" s="117">
        <f t="shared" si="129"/>
        <v>1.1588400000000001</v>
      </c>
      <c r="N2040" s="119">
        <f t="shared" si="130"/>
        <v>0</v>
      </c>
      <c r="O2040" s="120">
        <f t="shared" si="131"/>
        <v>0</v>
      </c>
      <c r="P2040" s="111"/>
      <c r="Q2040" s="111"/>
      <c r="R2040" s="93"/>
      <c r="S2040" s="93"/>
    </row>
    <row r="2041" spans="1:19" ht="15.6">
      <c r="A2041" s="110" t="s">
        <v>311</v>
      </c>
      <c r="B2041" s="111" t="s">
        <v>232</v>
      </c>
      <c r="C2041" s="112" t="s">
        <v>228</v>
      </c>
      <c r="D2041" s="113" t="s">
        <v>152</v>
      </c>
      <c r="E2041" s="216" t="s">
        <v>15</v>
      </c>
      <c r="F2041" s="216" t="s">
        <v>22</v>
      </c>
      <c r="G2041" s="217">
        <v>10.73</v>
      </c>
      <c r="H2041" s="221">
        <v>7.6</v>
      </c>
      <c r="I2041" s="219">
        <v>2</v>
      </c>
      <c r="J2041" s="220">
        <f t="shared" si="128"/>
        <v>0.16309599999999999</v>
      </c>
      <c r="K2041" s="118"/>
      <c r="L2041" s="111"/>
      <c r="M2041" s="117">
        <f t="shared" si="129"/>
        <v>0</v>
      </c>
      <c r="N2041" s="119">
        <f t="shared" si="130"/>
        <v>2</v>
      </c>
      <c r="O2041" s="120">
        <f t="shared" si="131"/>
        <v>0.16309599999999999</v>
      </c>
      <c r="P2041" s="111"/>
      <c r="Q2041" s="111"/>
      <c r="R2041" s="93"/>
      <c r="S2041" s="93"/>
    </row>
    <row r="2042" spans="1:19" ht="15.6">
      <c r="A2042" s="110" t="s">
        <v>311</v>
      </c>
      <c r="B2042" s="111" t="s">
        <v>232</v>
      </c>
      <c r="C2042" s="112" t="s">
        <v>228</v>
      </c>
      <c r="D2042" s="113" t="s">
        <v>152</v>
      </c>
      <c r="E2042" s="216" t="s">
        <v>15</v>
      </c>
      <c r="F2042" s="216" t="s">
        <v>22</v>
      </c>
      <c r="G2042" s="217">
        <v>10.73</v>
      </c>
      <c r="H2042" s="221">
        <v>7.8</v>
      </c>
      <c r="I2042" s="219">
        <v>8</v>
      </c>
      <c r="J2042" s="220">
        <f t="shared" si="128"/>
        <v>0.66955200000000004</v>
      </c>
      <c r="K2042" s="118"/>
      <c r="L2042" s="111">
        <v>8</v>
      </c>
      <c r="M2042" s="117">
        <f t="shared" si="129"/>
        <v>0.66955200000000004</v>
      </c>
      <c r="N2042" s="119">
        <f t="shared" si="130"/>
        <v>0</v>
      </c>
      <c r="O2042" s="120">
        <f t="shared" si="131"/>
        <v>0</v>
      </c>
      <c r="P2042" s="111"/>
      <c r="Q2042" s="111"/>
      <c r="R2042" s="93"/>
      <c r="S2042" s="93"/>
    </row>
    <row r="2043" spans="1:19" ht="15.6">
      <c r="A2043" s="110" t="s">
        <v>311</v>
      </c>
      <c r="B2043" s="111" t="s">
        <v>232</v>
      </c>
      <c r="C2043" s="112" t="s">
        <v>228</v>
      </c>
      <c r="D2043" s="113" t="s">
        <v>152</v>
      </c>
      <c r="E2043" s="216" t="s">
        <v>15</v>
      </c>
      <c r="F2043" s="216" t="s">
        <v>22</v>
      </c>
      <c r="G2043" s="217">
        <v>10.73</v>
      </c>
      <c r="H2043" s="221">
        <v>9.4</v>
      </c>
      <c r="I2043" s="219">
        <v>7</v>
      </c>
      <c r="J2043" s="220">
        <f t="shared" si="128"/>
        <v>0.70603400000000005</v>
      </c>
      <c r="K2043" s="118"/>
      <c r="L2043" s="111">
        <v>7</v>
      </c>
      <c r="M2043" s="117">
        <f t="shared" si="129"/>
        <v>0.70603399999999994</v>
      </c>
      <c r="N2043" s="119">
        <f t="shared" si="130"/>
        <v>0</v>
      </c>
      <c r="O2043" s="120">
        <f t="shared" si="131"/>
        <v>0</v>
      </c>
      <c r="P2043" s="111"/>
      <c r="Q2043" s="111"/>
      <c r="R2043" s="93"/>
      <c r="S2043" s="93"/>
    </row>
    <row r="2044" spans="1:19" ht="15.6">
      <c r="A2044" s="110" t="s">
        <v>311</v>
      </c>
      <c r="B2044" s="111" t="s">
        <v>232</v>
      </c>
      <c r="C2044" s="112" t="s">
        <v>228</v>
      </c>
      <c r="D2044" s="113" t="s">
        <v>152</v>
      </c>
      <c r="E2044" s="216" t="s">
        <v>15</v>
      </c>
      <c r="F2044" s="216" t="s">
        <v>22</v>
      </c>
      <c r="G2044" s="217">
        <v>10.73</v>
      </c>
      <c r="H2044" s="221">
        <v>10.4</v>
      </c>
      <c r="I2044" s="219">
        <v>3</v>
      </c>
      <c r="J2044" s="220">
        <f t="shared" si="128"/>
        <v>0.33477600000000007</v>
      </c>
      <c r="K2044" s="118"/>
      <c r="L2044" s="111">
        <v>3</v>
      </c>
      <c r="M2044" s="117">
        <f t="shared" si="129"/>
        <v>0.33477600000000007</v>
      </c>
      <c r="N2044" s="119">
        <f t="shared" si="130"/>
        <v>0</v>
      </c>
      <c r="O2044" s="120">
        <f t="shared" si="131"/>
        <v>0</v>
      </c>
      <c r="P2044" s="111"/>
      <c r="Q2044" s="111"/>
      <c r="R2044" s="93">
        <v>10.4</v>
      </c>
      <c r="S2044" s="93">
        <v>3</v>
      </c>
    </row>
    <row r="2045" spans="1:19" ht="15.6">
      <c r="A2045" s="110" t="s">
        <v>311</v>
      </c>
      <c r="B2045" s="111" t="s">
        <v>232</v>
      </c>
      <c r="C2045" s="112" t="s">
        <v>228</v>
      </c>
      <c r="D2045" s="113" t="s">
        <v>152</v>
      </c>
      <c r="E2045" s="216" t="s">
        <v>15</v>
      </c>
      <c r="F2045" s="216" t="s">
        <v>22</v>
      </c>
      <c r="G2045" s="217">
        <v>10.73</v>
      </c>
      <c r="H2045" s="221">
        <v>11.6</v>
      </c>
      <c r="I2045" s="219">
        <v>1</v>
      </c>
      <c r="J2045" s="220">
        <f t="shared" si="128"/>
        <v>0.12446800000000001</v>
      </c>
      <c r="K2045" s="118"/>
      <c r="L2045" s="111">
        <v>1</v>
      </c>
      <c r="M2045" s="117">
        <f t="shared" si="129"/>
        <v>0.12446800000000001</v>
      </c>
      <c r="N2045" s="119">
        <f t="shared" si="130"/>
        <v>0</v>
      </c>
      <c r="O2045" s="120">
        <f t="shared" si="131"/>
        <v>0</v>
      </c>
      <c r="P2045" s="111"/>
      <c r="Q2045" s="111"/>
      <c r="R2045" s="93"/>
      <c r="S2045" s="93"/>
    </row>
    <row r="2046" spans="1:19" ht="15.6">
      <c r="A2046" s="110" t="s">
        <v>311</v>
      </c>
      <c r="B2046" s="111" t="s">
        <v>232</v>
      </c>
      <c r="C2046" s="112" t="s">
        <v>228</v>
      </c>
      <c r="D2046" s="113" t="s">
        <v>152</v>
      </c>
      <c r="E2046" s="216" t="s">
        <v>15</v>
      </c>
      <c r="F2046" s="216" t="s">
        <v>22</v>
      </c>
      <c r="G2046" s="217">
        <v>10.73</v>
      </c>
      <c r="H2046" s="221">
        <v>12</v>
      </c>
      <c r="I2046" s="219">
        <v>7</v>
      </c>
      <c r="J2046" s="220">
        <f t="shared" si="128"/>
        <v>0.9013199999999999</v>
      </c>
      <c r="K2046" s="118"/>
      <c r="L2046" s="111">
        <v>7</v>
      </c>
      <c r="M2046" s="117">
        <f t="shared" si="129"/>
        <v>0.90132000000000001</v>
      </c>
      <c r="N2046" s="119">
        <f t="shared" si="130"/>
        <v>0</v>
      </c>
      <c r="O2046" s="120">
        <f t="shared" si="131"/>
        <v>0</v>
      </c>
      <c r="P2046" s="111"/>
      <c r="Q2046" s="111"/>
      <c r="R2046" s="93"/>
      <c r="S2046" s="93"/>
    </row>
    <row r="2047" spans="1:19" ht="15.6">
      <c r="A2047" s="232"/>
      <c r="B2047" s="233"/>
      <c r="C2047" s="234"/>
      <c r="D2047" s="235"/>
      <c r="E2047" s="236"/>
      <c r="F2047" s="236"/>
      <c r="G2047" s="237"/>
      <c r="H2047" s="238"/>
      <c r="I2047" s="239"/>
      <c r="J2047" s="240"/>
      <c r="K2047" s="241"/>
      <c r="L2047" s="233"/>
      <c r="M2047" s="242"/>
      <c r="N2047" s="243"/>
      <c r="O2047" s="244"/>
      <c r="P2047" s="233"/>
      <c r="Q2047" s="233"/>
      <c r="R2047" s="233"/>
      <c r="S2047" s="233"/>
    </row>
    <row r="2048" spans="1:19" ht="15.6">
      <c r="A2048" s="110" t="s">
        <v>311</v>
      </c>
      <c r="B2048" s="111" t="s">
        <v>232</v>
      </c>
      <c r="C2048" s="112" t="s">
        <v>228</v>
      </c>
      <c r="D2048" s="113" t="s">
        <v>152</v>
      </c>
      <c r="E2048" s="216" t="s">
        <v>15</v>
      </c>
      <c r="F2048" s="216" t="s">
        <v>22</v>
      </c>
      <c r="G2048" s="217">
        <v>10.73</v>
      </c>
      <c r="H2048" s="221">
        <v>7.8</v>
      </c>
      <c r="I2048" s="219">
        <f>25+26+25</f>
        <v>76</v>
      </c>
      <c r="J2048" s="220">
        <f t="shared" ref="J2048:J2050" si="132">(G2048*H2048*I2048/1000)</f>
        <v>6.3607440000000004</v>
      </c>
      <c r="K2048" s="118"/>
      <c r="L2048" s="111">
        <v>76</v>
      </c>
      <c r="M2048" s="117">
        <f t="shared" ref="M2048:M2050" si="133">H2048*L2048*G2048/1000</f>
        <v>6.3607439999999995</v>
      </c>
      <c r="N2048" s="119">
        <f t="shared" ref="N2048:N2050" si="134">I2048-L2048</f>
        <v>0</v>
      </c>
      <c r="O2048" s="120">
        <f t="shared" ref="O2048:O2050" si="135">H2048*N2048*G2048/1000</f>
        <v>0</v>
      </c>
      <c r="P2048" s="111"/>
      <c r="Q2048" s="111"/>
      <c r="R2048" s="111"/>
      <c r="S2048" s="111"/>
    </row>
    <row r="2049" spans="1:19" ht="15.6">
      <c r="A2049" s="110" t="s">
        <v>311</v>
      </c>
      <c r="B2049" s="111" t="s">
        <v>232</v>
      </c>
      <c r="C2049" s="112" t="s">
        <v>228</v>
      </c>
      <c r="D2049" s="113" t="s">
        <v>152</v>
      </c>
      <c r="E2049" s="216" t="s">
        <v>15</v>
      </c>
      <c r="F2049" s="216" t="s">
        <v>22</v>
      </c>
      <c r="G2049" s="217">
        <v>10.73</v>
      </c>
      <c r="H2049" s="221">
        <v>11.6</v>
      </c>
      <c r="I2049" s="219">
        <v>12</v>
      </c>
      <c r="J2049" s="220">
        <f t="shared" si="132"/>
        <v>1.4936160000000001</v>
      </c>
      <c r="K2049" s="118"/>
      <c r="L2049" s="111">
        <v>12</v>
      </c>
      <c r="M2049" s="117">
        <f t="shared" si="133"/>
        <v>1.4936160000000001</v>
      </c>
      <c r="N2049" s="119">
        <f t="shared" si="134"/>
        <v>0</v>
      </c>
      <c r="O2049" s="120">
        <f t="shared" si="135"/>
        <v>0</v>
      </c>
      <c r="P2049" s="111"/>
      <c r="Q2049" s="111"/>
      <c r="R2049" s="111"/>
      <c r="S2049" s="111"/>
    </row>
    <row r="2050" spans="1:19" ht="15.6">
      <c r="A2050" s="110" t="s">
        <v>311</v>
      </c>
      <c r="B2050" s="111" t="s">
        <v>232</v>
      </c>
      <c r="C2050" s="112" t="s">
        <v>228</v>
      </c>
      <c r="D2050" s="113" t="s">
        <v>152</v>
      </c>
      <c r="E2050" s="216" t="s">
        <v>15</v>
      </c>
      <c r="F2050" s="216" t="s">
        <v>22</v>
      </c>
      <c r="G2050" s="217">
        <v>10.73</v>
      </c>
      <c r="H2050" s="221">
        <v>12</v>
      </c>
      <c r="I2050" s="219">
        <v>1</v>
      </c>
      <c r="J2050" s="220">
        <f t="shared" si="132"/>
        <v>0.12875999999999999</v>
      </c>
      <c r="K2050" s="118"/>
      <c r="L2050" s="111"/>
      <c r="M2050" s="117">
        <f t="shared" si="133"/>
        <v>0</v>
      </c>
      <c r="N2050" s="119">
        <f t="shared" si="134"/>
        <v>1</v>
      </c>
      <c r="O2050" s="120">
        <f t="shared" si="135"/>
        <v>0.12875999999999999</v>
      </c>
      <c r="P2050" s="111"/>
      <c r="Q2050" s="111"/>
      <c r="R2050" s="111"/>
      <c r="S2050" s="111"/>
    </row>
    <row r="2051" spans="1:19">
      <c r="A2051" s="213"/>
      <c r="B2051" s="213"/>
      <c r="C2051" s="213"/>
      <c r="D2051" s="213"/>
      <c r="E2051" s="213"/>
      <c r="F2051" s="213"/>
      <c r="G2051" s="213"/>
      <c r="H2051" s="213"/>
      <c r="I2051" s="215">
        <f>SUM(I1992:I2050)</f>
        <v>1554</v>
      </c>
      <c r="J2051" s="214">
        <f>SUM(J1992:J2050)</f>
        <v>158.05719200000004</v>
      </c>
      <c r="K2051" s="213"/>
      <c r="L2051" s="215">
        <f>SUM(L1992:L2050)</f>
        <v>1495</v>
      </c>
      <c r="M2051" s="214">
        <f>SUM(M1992:M2050)</f>
        <v>153.10529699999998</v>
      </c>
      <c r="N2051" s="215">
        <f>SUM(N1992:N2050)</f>
        <v>59</v>
      </c>
      <c r="O2051" s="214">
        <f>SUM(O1992:O2050)</f>
        <v>4.9518950000000004</v>
      </c>
      <c r="P2051" s="213"/>
      <c r="Q2051" s="213"/>
      <c r="R2051" s="213"/>
      <c r="S2051" s="215">
        <f>SUM(S1992:S2050)</f>
        <v>59</v>
      </c>
    </row>
    <row r="2053" spans="1:19" ht="15.6">
      <c r="A2053" s="110" t="s">
        <v>248</v>
      </c>
      <c r="B2053" s="111" t="s">
        <v>232</v>
      </c>
      <c r="C2053" s="112" t="s">
        <v>228</v>
      </c>
      <c r="D2053" s="113" t="s">
        <v>89</v>
      </c>
      <c r="E2053" s="216" t="s">
        <v>15</v>
      </c>
      <c r="F2053" s="216" t="s">
        <v>28</v>
      </c>
      <c r="G2053" s="217">
        <v>12.2</v>
      </c>
      <c r="H2053" s="218">
        <v>7.5</v>
      </c>
      <c r="I2053" s="219">
        <f>27+26+6+20+15+6</f>
        <v>100</v>
      </c>
      <c r="J2053" s="220">
        <f t="shared" ref="J2053:J2068" si="136">(G2053*H2053*I2053/1000)</f>
        <v>9.15</v>
      </c>
      <c r="K2053" s="118"/>
      <c r="L2053" s="111">
        <v>100</v>
      </c>
      <c r="M2053" s="117">
        <f t="shared" ref="M2053:M2068" si="137">H2053*L2053*G2053/1000</f>
        <v>9.15</v>
      </c>
      <c r="N2053" s="119">
        <f t="shared" ref="N2053:N2068" si="138">I2053-L2053</f>
        <v>0</v>
      </c>
      <c r="O2053" s="120">
        <f t="shared" ref="O2053:O2068" si="139">H2053*N2053*G2053/1000</f>
        <v>0</v>
      </c>
      <c r="P2053" s="111"/>
      <c r="Q2053" s="111"/>
      <c r="R2053" s="111"/>
      <c r="S2053" s="111"/>
    </row>
    <row r="2054" spans="1:19" ht="15.6">
      <c r="A2054" s="110" t="s">
        <v>248</v>
      </c>
      <c r="B2054" s="111" t="s">
        <v>232</v>
      </c>
      <c r="C2054" s="112" t="s">
        <v>228</v>
      </c>
      <c r="D2054" s="113" t="s">
        <v>89</v>
      </c>
      <c r="E2054" s="216" t="s">
        <v>15</v>
      </c>
      <c r="F2054" s="216" t="s">
        <v>28</v>
      </c>
      <c r="G2054" s="217">
        <v>12.2</v>
      </c>
      <c r="H2054" s="218">
        <v>7.6</v>
      </c>
      <c r="I2054" s="219">
        <f>23+14+30+17+7</f>
        <v>91</v>
      </c>
      <c r="J2054" s="220">
        <f t="shared" si="136"/>
        <v>8.4375199999999992</v>
      </c>
      <c r="K2054" s="118"/>
      <c r="L2054" s="111">
        <v>91</v>
      </c>
      <c r="M2054" s="117">
        <f t="shared" si="137"/>
        <v>8.437520000000001</v>
      </c>
      <c r="N2054" s="119">
        <f t="shared" si="138"/>
        <v>0</v>
      </c>
      <c r="O2054" s="120">
        <f t="shared" si="139"/>
        <v>0</v>
      </c>
      <c r="P2054" s="111"/>
      <c r="Q2054" s="111"/>
      <c r="R2054" s="111"/>
      <c r="S2054" s="111"/>
    </row>
    <row r="2055" spans="1:19" ht="15.6">
      <c r="A2055" s="110" t="s">
        <v>248</v>
      </c>
      <c r="B2055" s="111" t="s">
        <v>232</v>
      </c>
      <c r="C2055" s="112" t="s">
        <v>228</v>
      </c>
      <c r="D2055" s="113" t="s">
        <v>89</v>
      </c>
      <c r="E2055" s="216" t="s">
        <v>15</v>
      </c>
      <c r="F2055" s="216" t="s">
        <v>28</v>
      </c>
      <c r="G2055" s="217">
        <v>12.2</v>
      </c>
      <c r="H2055" s="218">
        <v>10.3</v>
      </c>
      <c r="I2055" s="219">
        <f>6+16</f>
        <v>22</v>
      </c>
      <c r="J2055" s="220">
        <f t="shared" si="136"/>
        <v>2.7645200000000001</v>
      </c>
      <c r="K2055" s="118"/>
      <c r="L2055" s="111">
        <v>22</v>
      </c>
      <c r="M2055" s="117">
        <f t="shared" si="137"/>
        <v>2.7645200000000001</v>
      </c>
      <c r="N2055" s="119">
        <f t="shared" si="138"/>
        <v>0</v>
      </c>
      <c r="O2055" s="120">
        <f t="shared" si="139"/>
        <v>0</v>
      </c>
      <c r="P2055" s="111"/>
      <c r="Q2055" s="111"/>
      <c r="R2055" s="111"/>
      <c r="S2055" s="111"/>
    </row>
    <row r="2056" spans="1:19" ht="15.6">
      <c r="A2056" s="110" t="s">
        <v>248</v>
      </c>
      <c r="B2056" s="111" t="s">
        <v>232</v>
      </c>
      <c r="C2056" s="112" t="s">
        <v>228</v>
      </c>
      <c r="D2056" s="113" t="s">
        <v>89</v>
      </c>
      <c r="E2056" s="216" t="s">
        <v>15</v>
      </c>
      <c r="F2056" s="216" t="s">
        <v>28</v>
      </c>
      <c r="G2056" s="217">
        <v>12.2</v>
      </c>
      <c r="H2056" s="218">
        <v>10.4</v>
      </c>
      <c r="I2056" s="219">
        <f>24+19</f>
        <v>43</v>
      </c>
      <c r="J2056" s="220">
        <f t="shared" si="136"/>
        <v>5.4558400000000002</v>
      </c>
      <c r="K2056" s="118"/>
      <c r="L2056" s="111">
        <v>43</v>
      </c>
      <c r="M2056" s="117">
        <f t="shared" si="137"/>
        <v>5.4558399999999994</v>
      </c>
      <c r="N2056" s="119">
        <f t="shared" si="138"/>
        <v>0</v>
      </c>
      <c r="O2056" s="120">
        <f t="shared" si="139"/>
        <v>0</v>
      </c>
      <c r="P2056" s="111"/>
      <c r="Q2056" s="111"/>
      <c r="R2056" s="111"/>
      <c r="S2056" s="111"/>
    </row>
    <row r="2057" spans="1:19" ht="15.6">
      <c r="A2057" s="110" t="s">
        <v>248</v>
      </c>
      <c r="B2057" s="111" t="s">
        <v>232</v>
      </c>
      <c r="C2057" s="112" t="s">
        <v>228</v>
      </c>
      <c r="D2057" s="113" t="s">
        <v>89</v>
      </c>
      <c r="E2057" s="216" t="s">
        <v>15</v>
      </c>
      <c r="F2057" s="216" t="s">
        <v>28</v>
      </c>
      <c r="G2057" s="217">
        <v>12.2</v>
      </c>
      <c r="H2057" s="218">
        <v>7.4</v>
      </c>
      <c r="I2057" s="219">
        <v>3</v>
      </c>
      <c r="J2057" s="220">
        <f t="shared" si="136"/>
        <v>0.27084000000000003</v>
      </c>
      <c r="K2057" s="118"/>
      <c r="L2057" s="111">
        <v>3</v>
      </c>
      <c r="M2057" s="117">
        <f t="shared" si="137"/>
        <v>0.27084000000000003</v>
      </c>
      <c r="N2057" s="119">
        <f t="shared" si="138"/>
        <v>0</v>
      </c>
      <c r="O2057" s="146">
        <f t="shared" si="139"/>
        <v>0</v>
      </c>
      <c r="P2057" s="111" t="s">
        <v>369</v>
      </c>
      <c r="Q2057" s="111"/>
      <c r="R2057" s="94">
        <v>7</v>
      </c>
      <c r="S2057" s="93">
        <v>3</v>
      </c>
    </row>
    <row r="2058" spans="1:19" ht="15.6">
      <c r="A2058" s="110" t="s">
        <v>248</v>
      </c>
      <c r="B2058" s="111" t="s">
        <v>232</v>
      </c>
      <c r="C2058" s="112" t="s">
        <v>228</v>
      </c>
      <c r="D2058" s="113" t="s">
        <v>89</v>
      </c>
      <c r="E2058" s="216" t="s">
        <v>15</v>
      </c>
      <c r="F2058" s="216" t="s">
        <v>28</v>
      </c>
      <c r="G2058" s="217">
        <v>12.2</v>
      </c>
      <c r="H2058" s="218">
        <v>7.2</v>
      </c>
      <c r="I2058" s="219">
        <v>1</v>
      </c>
      <c r="J2058" s="220">
        <f t="shared" si="136"/>
        <v>8.7840000000000001E-2</v>
      </c>
      <c r="K2058" s="118"/>
      <c r="L2058" s="111">
        <v>1</v>
      </c>
      <c r="M2058" s="117">
        <f t="shared" si="137"/>
        <v>8.7840000000000001E-2</v>
      </c>
      <c r="N2058" s="119">
        <f t="shared" si="138"/>
        <v>0</v>
      </c>
      <c r="O2058" s="146">
        <f t="shared" si="139"/>
        <v>0</v>
      </c>
      <c r="P2058" s="111" t="s">
        <v>369</v>
      </c>
      <c r="Q2058" s="111"/>
      <c r="R2058" s="94">
        <v>7</v>
      </c>
      <c r="S2058" s="93">
        <v>1</v>
      </c>
    </row>
    <row r="2059" spans="1:19" ht="15.6">
      <c r="A2059" s="110" t="s">
        <v>248</v>
      </c>
      <c r="B2059" s="111" t="s">
        <v>232</v>
      </c>
      <c r="C2059" s="112" t="s">
        <v>228</v>
      </c>
      <c r="D2059" s="113" t="s">
        <v>89</v>
      </c>
      <c r="E2059" s="216" t="s">
        <v>15</v>
      </c>
      <c r="F2059" s="216" t="s">
        <v>28</v>
      </c>
      <c r="G2059" s="217">
        <v>12.2</v>
      </c>
      <c r="H2059" s="218">
        <v>12</v>
      </c>
      <c r="I2059" s="219">
        <v>3</v>
      </c>
      <c r="J2059" s="220">
        <f t="shared" si="136"/>
        <v>0.43919999999999992</v>
      </c>
      <c r="K2059" s="118"/>
      <c r="L2059" s="111">
        <v>3</v>
      </c>
      <c r="M2059" s="117">
        <f t="shared" si="137"/>
        <v>0.43919999999999998</v>
      </c>
      <c r="N2059" s="119">
        <f t="shared" si="138"/>
        <v>0</v>
      </c>
      <c r="O2059" s="120">
        <f t="shared" si="139"/>
        <v>0</v>
      </c>
      <c r="P2059" s="111">
        <v>10.3</v>
      </c>
      <c r="Q2059" s="111">
        <v>3</v>
      </c>
      <c r="R2059" s="159"/>
      <c r="S2059" s="111"/>
    </row>
    <row r="2060" spans="1:19" ht="15.6">
      <c r="A2060" s="110" t="s">
        <v>248</v>
      </c>
      <c r="B2060" s="111" t="s">
        <v>232</v>
      </c>
      <c r="C2060" s="112" t="s">
        <v>228</v>
      </c>
      <c r="D2060" s="113" t="s">
        <v>89</v>
      </c>
      <c r="E2060" s="216" t="s">
        <v>15</v>
      </c>
      <c r="F2060" s="216" t="s">
        <v>28</v>
      </c>
      <c r="G2060" s="217">
        <v>12.2</v>
      </c>
      <c r="H2060" s="218">
        <v>8.5</v>
      </c>
      <c r="I2060" s="219">
        <v>1</v>
      </c>
      <c r="J2060" s="220">
        <f t="shared" si="136"/>
        <v>0.10369999999999999</v>
      </c>
      <c r="K2060" s="118"/>
      <c r="L2060" s="111">
        <v>1</v>
      </c>
      <c r="M2060" s="117">
        <f t="shared" si="137"/>
        <v>0.10369999999999999</v>
      </c>
      <c r="N2060" s="119">
        <f t="shared" si="138"/>
        <v>0</v>
      </c>
      <c r="O2060" s="120">
        <f t="shared" si="139"/>
        <v>0</v>
      </c>
      <c r="P2060" s="111">
        <v>7.5</v>
      </c>
      <c r="Q2060" s="111">
        <v>1</v>
      </c>
      <c r="R2060" s="159"/>
      <c r="S2060" s="111"/>
    </row>
    <row r="2061" spans="1:19" ht="15.6">
      <c r="A2061" s="110" t="s">
        <v>248</v>
      </c>
      <c r="B2061" s="111" t="s">
        <v>232</v>
      </c>
      <c r="C2061" s="112" t="s">
        <v>228</v>
      </c>
      <c r="D2061" s="113" t="s">
        <v>89</v>
      </c>
      <c r="E2061" s="216" t="s">
        <v>15</v>
      </c>
      <c r="F2061" s="216" t="s">
        <v>28</v>
      </c>
      <c r="G2061" s="217">
        <v>12.2</v>
      </c>
      <c r="H2061" s="218">
        <v>8.6999999999999993</v>
      </c>
      <c r="I2061" s="219">
        <v>1</v>
      </c>
      <c r="J2061" s="220">
        <f t="shared" si="136"/>
        <v>0.10613999999999998</v>
      </c>
      <c r="K2061" s="118"/>
      <c r="L2061" s="111">
        <v>1</v>
      </c>
      <c r="M2061" s="117">
        <f t="shared" si="137"/>
        <v>0.10613999999999998</v>
      </c>
      <c r="N2061" s="119">
        <f t="shared" si="138"/>
        <v>0</v>
      </c>
      <c r="O2061" s="120">
        <f t="shared" si="139"/>
        <v>0</v>
      </c>
      <c r="P2061" s="111">
        <v>7.5</v>
      </c>
      <c r="Q2061" s="111">
        <v>1</v>
      </c>
      <c r="R2061" s="159"/>
      <c r="S2061" s="111"/>
    </row>
    <row r="2062" spans="1:19" ht="15.6">
      <c r="A2062" s="110" t="s">
        <v>248</v>
      </c>
      <c r="B2062" s="111" t="s">
        <v>232</v>
      </c>
      <c r="C2062" s="112" t="s">
        <v>228</v>
      </c>
      <c r="D2062" s="113" t="s">
        <v>89</v>
      </c>
      <c r="E2062" s="216" t="s">
        <v>15</v>
      </c>
      <c r="F2062" s="216" t="s">
        <v>28</v>
      </c>
      <c r="G2062" s="217">
        <v>12.2</v>
      </c>
      <c r="H2062" s="218">
        <v>11.8</v>
      </c>
      <c r="I2062" s="219">
        <v>1</v>
      </c>
      <c r="J2062" s="220">
        <f t="shared" si="136"/>
        <v>0.14396</v>
      </c>
      <c r="K2062" s="118"/>
      <c r="L2062" s="111">
        <v>1</v>
      </c>
      <c r="M2062" s="117">
        <f t="shared" si="137"/>
        <v>0.14396</v>
      </c>
      <c r="N2062" s="119">
        <f t="shared" si="138"/>
        <v>0</v>
      </c>
      <c r="O2062" s="120">
        <f t="shared" si="139"/>
        <v>0</v>
      </c>
      <c r="P2062" s="111">
        <v>10.3</v>
      </c>
      <c r="Q2062" s="111">
        <v>1</v>
      </c>
      <c r="R2062" s="159"/>
      <c r="S2062" s="111"/>
    </row>
    <row r="2063" spans="1:19" ht="15.6">
      <c r="A2063" s="110" t="s">
        <v>248</v>
      </c>
      <c r="B2063" s="111" t="s">
        <v>232</v>
      </c>
      <c r="C2063" s="112" t="s">
        <v>228</v>
      </c>
      <c r="D2063" s="113" t="s">
        <v>89</v>
      </c>
      <c r="E2063" s="216" t="s">
        <v>15</v>
      </c>
      <c r="F2063" s="216" t="s">
        <v>28</v>
      </c>
      <c r="G2063" s="217">
        <v>12.2</v>
      </c>
      <c r="H2063" s="218">
        <v>7.5</v>
      </c>
      <c r="I2063" s="219">
        <v>5</v>
      </c>
      <c r="J2063" s="220">
        <f t="shared" si="136"/>
        <v>0.45750000000000002</v>
      </c>
      <c r="K2063" s="118"/>
      <c r="L2063" s="111">
        <v>5</v>
      </c>
      <c r="M2063" s="117">
        <f t="shared" si="137"/>
        <v>0.45750000000000002</v>
      </c>
      <c r="N2063" s="119">
        <f t="shared" si="138"/>
        <v>0</v>
      </c>
      <c r="O2063" s="120">
        <f t="shared" si="139"/>
        <v>0</v>
      </c>
      <c r="P2063" s="111"/>
      <c r="Q2063" s="111"/>
      <c r="R2063" s="159"/>
      <c r="S2063" s="111"/>
    </row>
    <row r="2064" spans="1:19" ht="15.6">
      <c r="A2064" s="110" t="s">
        <v>248</v>
      </c>
      <c r="B2064" s="111" t="s">
        <v>232</v>
      </c>
      <c r="C2064" s="112" t="s">
        <v>228</v>
      </c>
      <c r="D2064" s="113" t="s">
        <v>89</v>
      </c>
      <c r="E2064" s="216" t="s">
        <v>15</v>
      </c>
      <c r="F2064" s="216" t="s">
        <v>28</v>
      </c>
      <c r="G2064" s="217">
        <v>12.2</v>
      </c>
      <c r="H2064" s="218">
        <v>7.6</v>
      </c>
      <c r="I2064" s="219">
        <v>3</v>
      </c>
      <c r="J2064" s="220">
        <f t="shared" si="136"/>
        <v>0.27815999999999996</v>
      </c>
      <c r="K2064" s="118"/>
      <c r="L2064" s="111">
        <f>1+2</f>
        <v>3</v>
      </c>
      <c r="M2064" s="117">
        <f t="shared" si="137"/>
        <v>0.27815999999999996</v>
      </c>
      <c r="N2064" s="119">
        <f t="shared" si="138"/>
        <v>0</v>
      </c>
      <c r="O2064" s="120">
        <f t="shared" si="139"/>
        <v>0</v>
      </c>
      <c r="P2064" s="111">
        <v>7.5</v>
      </c>
      <c r="Q2064" s="111">
        <v>2</v>
      </c>
      <c r="R2064" s="159"/>
      <c r="S2064" s="111"/>
    </row>
    <row r="2065" spans="1:19" ht="15.6">
      <c r="A2065" s="110" t="s">
        <v>248</v>
      </c>
      <c r="B2065" s="111" t="s">
        <v>232</v>
      </c>
      <c r="C2065" s="112" t="s">
        <v>228</v>
      </c>
      <c r="D2065" s="113" t="s">
        <v>89</v>
      </c>
      <c r="E2065" s="216" t="s">
        <v>15</v>
      </c>
      <c r="F2065" s="216" t="s">
        <v>28</v>
      </c>
      <c r="G2065" s="217">
        <v>12.2</v>
      </c>
      <c r="H2065" s="218">
        <v>9.6999999999999993</v>
      </c>
      <c r="I2065" s="219">
        <v>2</v>
      </c>
      <c r="J2065" s="220">
        <f t="shared" si="136"/>
        <v>0.23667999999999997</v>
      </c>
      <c r="K2065" s="118"/>
      <c r="L2065" s="111">
        <v>2</v>
      </c>
      <c r="M2065" s="117">
        <f t="shared" si="137"/>
        <v>0.23667999999999997</v>
      </c>
      <c r="N2065" s="119">
        <f t="shared" si="138"/>
        <v>0</v>
      </c>
      <c r="O2065" s="120">
        <f t="shared" si="139"/>
        <v>0</v>
      </c>
      <c r="P2065" s="111">
        <v>7.5</v>
      </c>
      <c r="Q2065" s="111">
        <v>2</v>
      </c>
      <c r="R2065" s="159"/>
      <c r="S2065" s="111"/>
    </row>
    <row r="2066" spans="1:19" ht="15.6">
      <c r="A2066" s="110" t="s">
        <v>248</v>
      </c>
      <c r="B2066" s="111" t="s">
        <v>232</v>
      </c>
      <c r="C2066" s="112" t="s">
        <v>228</v>
      </c>
      <c r="D2066" s="113" t="s">
        <v>89</v>
      </c>
      <c r="E2066" s="216" t="s">
        <v>15</v>
      </c>
      <c r="F2066" s="216" t="s">
        <v>28</v>
      </c>
      <c r="G2066" s="217">
        <v>12.2</v>
      </c>
      <c r="H2066" s="218">
        <v>10</v>
      </c>
      <c r="I2066" s="219">
        <v>4</v>
      </c>
      <c r="J2066" s="220">
        <f t="shared" si="136"/>
        <v>0.48799999999999999</v>
      </c>
      <c r="K2066" s="118"/>
      <c r="L2066" s="111">
        <v>4</v>
      </c>
      <c r="M2066" s="117">
        <f t="shared" si="137"/>
        <v>0.48799999999999999</v>
      </c>
      <c r="N2066" s="119">
        <f t="shared" si="138"/>
        <v>0</v>
      </c>
      <c r="O2066" s="120">
        <f t="shared" si="139"/>
        <v>0</v>
      </c>
      <c r="P2066" s="111">
        <v>7.5</v>
      </c>
      <c r="Q2066" s="111">
        <v>4</v>
      </c>
      <c r="R2066" s="159"/>
      <c r="S2066" s="111"/>
    </row>
    <row r="2067" spans="1:19" ht="15.6">
      <c r="A2067" s="110" t="s">
        <v>248</v>
      </c>
      <c r="B2067" s="111" t="s">
        <v>232</v>
      </c>
      <c r="C2067" s="112" t="s">
        <v>228</v>
      </c>
      <c r="D2067" s="113" t="s">
        <v>89</v>
      </c>
      <c r="E2067" s="216" t="s">
        <v>15</v>
      </c>
      <c r="F2067" s="216" t="s">
        <v>28</v>
      </c>
      <c r="G2067" s="217">
        <v>12.2</v>
      </c>
      <c r="H2067" s="218">
        <v>10.4</v>
      </c>
      <c r="I2067" s="219">
        <v>9</v>
      </c>
      <c r="J2067" s="220">
        <f t="shared" si="136"/>
        <v>1.14192</v>
      </c>
      <c r="K2067" s="118"/>
      <c r="L2067" s="111">
        <v>9</v>
      </c>
      <c r="M2067" s="117">
        <f t="shared" si="137"/>
        <v>1.14192</v>
      </c>
      <c r="N2067" s="119">
        <f t="shared" si="138"/>
        <v>0</v>
      </c>
      <c r="O2067" s="120">
        <f t="shared" si="139"/>
        <v>0</v>
      </c>
      <c r="P2067" s="111"/>
      <c r="Q2067" s="111"/>
      <c r="R2067" s="159"/>
      <c r="S2067" s="111"/>
    </row>
    <row r="2068" spans="1:19" ht="15.6">
      <c r="A2068" s="110" t="s">
        <v>248</v>
      </c>
      <c r="B2068" s="111" t="s">
        <v>232</v>
      </c>
      <c r="C2068" s="112" t="s">
        <v>228</v>
      </c>
      <c r="D2068" s="113" t="s">
        <v>89</v>
      </c>
      <c r="E2068" s="216" t="s">
        <v>15</v>
      </c>
      <c r="F2068" s="216" t="s">
        <v>28</v>
      </c>
      <c r="G2068" s="217">
        <v>12.2</v>
      </c>
      <c r="H2068" s="218">
        <v>7.2</v>
      </c>
      <c r="I2068" s="219">
        <v>1</v>
      </c>
      <c r="J2068" s="220">
        <f t="shared" si="136"/>
        <v>8.7840000000000001E-2</v>
      </c>
      <c r="K2068" s="118"/>
      <c r="L2068" s="111">
        <v>1</v>
      </c>
      <c r="M2068" s="117">
        <f t="shared" si="137"/>
        <v>8.7840000000000001E-2</v>
      </c>
      <c r="N2068" s="119">
        <f t="shared" si="138"/>
        <v>0</v>
      </c>
      <c r="O2068" s="146">
        <f t="shared" si="139"/>
        <v>0</v>
      </c>
      <c r="P2068" s="111" t="s">
        <v>369</v>
      </c>
      <c r="Q2068" s="111"/>
      <c r="R2068" s="94">
        <v>7</v>
      </c>
      <c r="S2068" s="93">
        <v>1</v>
      </c>
    </row>
    <row r="2069" spans="1:19">
      <c r="A2069" s="213"/>
      <c r="B2069" s="213"/>
      <c r="C2069" s="213"/>
      <c r="D2069" s="213"/>
      <c r="E2069" s="213"/>
      <c r="F2069" s="213"/>
      <c r="G2069" s="213"/>
      <c r="H2069" s="213"/>
      <c r="I2069" s="215">
        <f>SUM(I2053:I2068)</f>
        <v>290</v>
      </c>
      <c r="J2069" s="214">
        <f>SUM(J2053:J2068)</f>
        <v>29.649659999999994</v>
      </c>
      <c r="K2069" s="213"/>
      <c r="L2069" s="215">
        <f>SUM(L2053:L2068)</f>
        <v>290</v>
      </c>
      <c r="M2069" s="214">
        <f>SUM(M2053:M2068)</f>
        <v>29.649659999999997</v>
      </c>
      <c r="N2069" s="78">
        <f>SUM(N2053:N2068)</f>
        <v>0</v>
      </c>
      <c r="O2069" s="214">
        <f>SUM(O2053:O2068)</f>
        <v>0</v>
      </c>
      <c r="P2069" s="213"/>
      <c r="Q2069" s="213"/>
      <c r="R2069" s="213"/>
      <c r="S2069" s="80">
        <f>SUM(S2053:S2068)</f>
        <v>5</v>
      </c>
    </row>
    <row r="2071" spans="1:19">
      <c r="A2071" s="42" t="s">
        <v>77</v>
      </c>
      <c r="B2071" s="3" t="s">
        <v>68</v>
      </c>
      <c r="C2071" s="3">
        <v>184</v>
      </c>
      <c r="D2071" s="1"/>
      <c r="E2071" s="12" t="s">
        <v>20</v>
      </c>
      <c r="F2071" s="7" t="s">
        <v>15</v>
      </c>
      <c r="G2071" s="7" t="s">
        <v>28</v>
      </c>
      <c r="H2071" s="11">
        <v>12.18</v>
      </c>
      <c r="I2071" s="8">
        <v>9.1</v>
      </c>
      <c r="J2071" s="26">
        <v>1</v>
      </c>
      <c r="K2071" s="10">
        <v>0.11083799999999999</v>
      </c>
      <c r="L2071" s="4"/>
      <c r="M2071" s="17"/>
      <c r="N2071" s="18">
        <v>0</v>
      </c>
      <c r="O2071" s="19">
        <v>1</v>
      </c>
      <c r="P2071" s="13">
        <v>0.11083799999999999</v>
      </c>
      <c r="Q2071" s="9"/>
      <c r="R2071" s="2"/>
    </row>
    <row r="2072" spans="1:19">
      <c r="A2072" s="42" t="s">
        <v>77</v>
      </c>
      <c r="B2072" s="3" t="s">
        <v>68</v>
      </c>
      <c r="C2072" s="3">
        <v>272</v>
      </c>
      <c r="D2072" s="1"/>
      <c r="E2072" s="20" t="s">
        <v>17</v>
      </c>
      <c r="F2072" s="7" t="s">
        <v>15</v>
      </c>
      <c r="G2072" s="7" t="s">
        <v>28</v>
      </c>
      <c r="H2072" s="11">
        <v>12.18</v>
      </c>
      <c r="I2072" s="57">
        <v>8.35</v>
      </c>
      <c r="J2072" s="56">
        <v>12</v>
      </c>
      <c r="K2072" s="10">
        <v>1.2204359999999999</v>
      </c>
      <c r="L2072" s="4"/>
      <c r="M2072" s="17">
        <v>12</v>
      </c>
      <c r="N2072" s="18">
        <v>1.2204359999999999</v>
      </c>
      <c r="O2072" s="19">
        <v>0</v>
      </c>
      <c r="P2072" s="13">
        <v>0</v>
      </c>
      <c r="Q2072" s="9"/>
      <c r="R2072" s="2"/>
    </row>
    <row r="2073" spans="1:19">
      <c r="A2073" s="42" t="s">
        <v>77</v>
      </c>
      <c r="B2073" s="3" t="s">
        <v>68</v>
      </c>
      <c r="C2073" s="3">
        <v>272</v>
      </c>
      <c r="D2073" s="1"/>
      <c r="E2073" s="20" t="s">
        <v>17</v>
      </c>
      <c r="F2073" s="7" t="s">
        <v>15</v>
      </c>
      <c r="G2073" s="7" t="s">
        <v>28</v>
      </c>
      <c r="H2073" s="11">
        <v>12.18</v>
      </c>
      <c r="I2073" s="57">
        <v>10.1</v>
      </c>
      <c r="J2073" s="56">
        <v>6</v>
      </c>
      <c r="K2073" s="10">
        <v>0.73810799999999999</v>
      </c>
      <c r="L2073" s="4"/>
      <c r="M2073" s="17">
        <v>6</v>
      </c>
      <c r="N2073" s="18">
        <v>0.73810799999999999</v>
      </c>
      <c r="O2073" s="19">
        <v>0</v>
      </c>
      <c r="P2073" s="13">
        <v>0</v>
      </c>
      <c r="Q2073" s="9"/>
      <c r="R2073" s="2"/>
    </row>
    <row r="2074" spans="1:19">
      <c r="A2074" s="42" t="s">
        <v>78</v>
      </c>
      <c r="B2074" s="3" t="s">
        <v>79</v>
      </c>
      <c r="C2074" s="3"/>
      <c r="D2074" s="1"/>
      <c r="E2074" s="20" t="s">
        <v>20</v>
      </c>
      <c r="F2074" s="7" t="s">
        <v>15</v>
      </c>
      <c r="G2074" s="7" t="s">
        <v>28</v>
      </c>
      <c r="H2074" s="11">
        <v>12.18</v>
      </c>
      <c r="I2074" s="8">
        <v>12</v>
      </c>
      <c r="J2074" s="26">
        <v>4</v>
      </c>
      <c r="K2074" s="10">
        <v>0.58463999999999994</v>
      </c>
      <c r="L2074" s="4"/>
      <c r="M2074" s="17">
        <v>4</v>
      </c>
      <c r="N2074" s="18">
        <v>0.58463999999999994</v>
      </c>
      <c r="O2074" s="19">
        <v>0</v>
      </c>
      <c r="P2074" s="53">
        <v>0</v>
      </c>
      <c r="Q2074" s="92" t="s">
        <v>368</v>
      </c>
      <c r="R2074" s="47">
        <v>2</v>
      </c>
    </row>
    <row r="2075" spans="1:19">
      <c r="A2075" s="42" t="s">
        <v>78</v>
      </c>
      <c r="B2075" s="3" t="s">
        <v>79</v>
      </c>
      <c r="C2075" s="3"/>
      <c r="D2075" s="1"/>
      <c r="E2075" s="20" t="s">
        <v>20</v>
      </c>
      <c r="F2075" s="7" t="s">
        <v>15</v>
      </c>
      <c r="G2075" s="7" t="s">
        <v>28</v>
      </c>
      <c r="H2075" s="11">
        <v>12.18</v>
      </c>
      <c r="I2075" s="8">
        <v>10</v>
      </c>
      <c r="J2075" s="26">
        <v>1</v>
      </c>
      <c r="K2075" s="10">
        <v>0.12179999999999999</v>
      </c>
      <c r="L2075" s="4"/>
      <c r="M2075" s="17"/>
      <c r="N2075" s="18">
        <v>0</v>
      </c>
      <c r="O2075" s="19">
        <v>1</v>
      </c>
      <c r="P2075" s="13">
        <v>0.12179999999999999</v>
      </c>
      <c r="Q2075" s="9"/>
      <c r="R2075" s="2"/>
    </row>
    <row r="2076" spans="1:19">
      <c r="A2076" s="42" t="s">
        <v>78</v>
      </c>
      <c r="B2076" s="3" t="s">
        <v>79</v>
      </c>
      <c r="C2076" s="3"/>
      <c r="D2076" s="1"/>
      <c r="E2076" s="20" t="s">
        <v>20</v>
      </c>
      <c r="F2076" s="7" t="s">
        <v>15</v>
      </c>
      <c r="G2076" s="7" t="s">
        <v>28</v>
      </c>
      <c r="H2076" s="11">
        <v>12.18</v>
      </c>
      <c r="I2076" s="8">
        <v>8.35</v>
      </c>
      <c r="J2076" s="26">
        <v>1</v>
      </c>
      <c r="K2076" s="10">
        <v>0.10170299999999999</v>
      </c>
      <c r="L2076" s="4"/>
      <c r="M2076" s="17">
        <v>1</v>
      </c>
      <c r="N2076" s="18">
        <v>0.10170299999999999</v>
      </c>
      <c r="O2076" s="19">
        <v>0</v>
      </c>
      <c r="P2076" s="13">
        <v>0</v>
      </c>
      <c r="Q2076" s="9"/>
      <c r="R2076" s="2"/>
    </row>
    <row r="2077" spans="1:19">
      <c r="A2077" s="42" t="s">
        <v>78</v>
      </c>
      <c r="B2077" s="3" t="s">
        <v>79</v>
      </c>
      <c r="C2077" s="3"/>
      <c r="D2077" s="1"/>
      <c r="E2077" s="20" t="s">
        <v>20</v>
      </c>
      <c r="F2077" s="7" t="s">
        <v>15</v>
      </c>
      <c r="G2077" s="7" t="s">
        <v>28</v>
      </c>
      <c r="H2077" s="11">
        <v>12.18</v>
      </c>
      <c r="I2077" s="8">
        <v>7.9</v>
      </c>
      <c r="J2077" s="26">
        <v>1</v>
      </c>
      <c r="K2077" s="10">
        <v>9.6222000000000002E-2</v>
      </c>
      <c r="L2077" s="4"/>
      <c r="M2077" s="17"/>
      <c r="N2077" s="18">
        <v>0</v>
      </c>
      <c r="O2077" s="19">
        <v>1</v>
      </c>
      <c r="P2077" s="13">
        <v>9.6222000000000002E-2</v>
      </c>
      <c r="Q2077" s="9"/>
      <c r="R2077" s="2"/>
    </row>
    <row r="2078" spans="1:19">
      <c r="A2078" s="42" t="s">
        <v>78</v>
      </c>
      <c r="B2078" s="3"/>
      <c r="C2078" s="3">
        <v>66</v>
      </c>
      <c r="D2078" s="1"/>
      <c r="E2078" s="20" t="s">
        <v>17</v>
      </c>
      <c r="F2078" s="7" t="s">
        <v>15</v>
      </c>
      <c r="G2078" s="7" t="s">
        <v>28</v>
      </c>
      <c r="H2078" s="11">
        <v>12.18</v>
      </c>
      <c r="I2078" s="8">
        <v>9.6999999999999993</v>
      </c>
      <c r="J2078" s="26">
        <v>1</v>
      </c>
      <c r="K2078" s="10">
        <v>0.11814599999999999</v>
      </c>
      <c r="L2078" s="4"/>
      <c r="M2078" s="17">
        <v>1</v>
      </c>
      <c r="N2078" s="18">
        <v>0.11814599999999999</v>
      </c>
      <c r="O2078" s="19">
        <v>0</v>
      </c>
      <c r="P2078" s="13">
        <v>0</v>
      </c>
      <c r="Q2078" s="9"/>
      <c r="R2078" s="2"/>
    </row>
    <row r="2079" spans="1:19">
      <c r="A2079" s="42" t="s">
        <v>78</v>
      </c>
      <c r="B2079" s="3"/>
      <c r="C2079" s="3">
        <v>66</v>
      </c>
      <c r="D2079" s="1"/>
      <c r="E2079" s="20" t="s">
        <v>17</v>
      </c>
      <c r="F2079" s="7" t="s">
        <v>15</v>
      </c>
      <c r="G2079" s="7" t="s">
        <v>28</v>
      </c>
      <c r="H2079" s="11">
        <v>12.18</v>
      </c>
      <c r="I2079" s="8">
        <v>11</v>
      </c>
      <c r="J2079" s="26">
        <v>1</v>
      </c>
      <c r="K2079" s="10">
        <v>0.13397999999999999</v>
      </c>
      <c r="L2079" s="4"/>
      <c r="M2079" s="17">
        <v>1</v>
      </c>
      <c r="N2079" s="18">
        <v>0.13397999999999999</v>
      </c>
      <c r="O2079" s="19">
        <v>0</v>
      </c>
      <c r="P2079" s="13">
        <v>0</v>
      </c>
      <c r="Q2079" s="9"/>
      <c r="R2079" s="2"/>
    </row>
    <row r="2080" spans="1:19">
      <c r="A2080" s="42" t="s">
        <v>90</v>
      </c>
      <c r="B2080" s="3"/>
      <c r="C2080" s="3">
        <v>164</v>
      </c>
      <c r="D2080" s="1"/>
      <c r="E2080" s="12" t="s">
        <v>114</v>
      </c>
      <c r="F2080" s="7" t="s">
        <v>15</v>
      </c>
      <c r="G2080" s="7" t="s">
        <v>28</v>
      </c>
      <c r="H2080" s="11">
        <v>12.18</v>
      </c>
      <c r="I2080" s="8">
        <v>11.7</v>
      </c>
      <c r="J2080" s="26">
        <v>2</v>
      </c>
      <c r="K2080" s="10">
        <v>0.28501199999999999</v>
      </c>
      <c r="L2080" s="4"/>
      <c r="M2080" s="22"/>
      <c r="N2080" s="18">
        <v>0</v>
      </c>
      <c r="O2080" s="19">
        <v>2</v>
      </c>
      <c r="P2080" s="13">
        <v>0.28501199999999999</v>
      </c>
      <c r="Q2080" s="9"/>
      <c r="R2080" s="2"/>
    </row>
    <row r="2081" spans="1:18">
      <c r="A2081" s="42" t="s">
        <v>90</v>
      </c>
      <c r="B2081" s="3"/>
      <c r="C2081" s="3">
        <v>164</v>
      </c>
      <c r="D2081" s="1"/>
      <c r="E2081" s="12" t="s">
        <v>114</v>
      </c>
      <c r="F2081" s="7" t="s">
        <v>15</v>
      </c>
      <c r="G2081" s="7" t="s">
        <v>28</v>
      </c>
      <c r="H2081" s="11">
        <v>12.18</v>
      </c>
      <c r="I2081" s="8">
        <v>11</v>
      </c>
      <c r="J2081" s="26">
        <v>1</v>
      </c>
      <c r="K2081" s="10">
        <v>0.13397999999999999</v>
      </c>
      <c r="L2081" s="4"/>
      <c r="M2081" s="22"/>
      <c r="N2081" s="18">
        <v>0</v>
      </c>
      <c r="O2081" s="19">
        <v>1</v>
      </c>
      <c r="P2081" s="13">
        <v>0.13397999999999999</v>
      </c>
      <c r="Q2081" s="9"/>
      <c r="R2081" s="2"/>
    </row>
    <row r="2082" spans="1:18">
      <c r="A2082" s="42" t="s">
        <v>90</v>
      </c>
      <c r="B2082" s="3"/>
      <c r="C2082" s="3">
        <v>219</v>
      </c>
      <c r="D2082" s="1"/>
      <c r="E2082" s="20" t="s">
        <v>20</v>
      </c>
      <c r="F2082" s="7" t="s">
        <v>15</v>
      </c>
      <c r="G2082" s="7" t="s">
        <v>28</v>
      </c>
      <c r="H2082" s="11">
        <v>12.18</v>
      </c>
      <c r="I2082" s="8">
        <v>7.6</v>
      </c>
      <c r="J2082" s="26">
        <v>1</v>
      </c>
      <c r="K2082" s="10">
        <v>9.2567999999999998E-2</v>
      </c>
      <c r="L2082" s="4"/>
      <c r="M2082" s="17"/>
      <c r="N2082" s="18">
        <v>0</v>
      </c>
      <c r="O2082" s="19">
        <v>1</v>
      </c>
      <c r="P2082" s="13">
        <v>9.2567999999999998E-2</v>
      </c>
      <c r="Q2082" s="9"/>
      <c r="R2082" s="32"/>
    </row>
    <row r="2083" spans="1:18">
      <c r="A2083" s="42" t="s">
        <v>90</v>
      </c>
      <c r="B2083" s="3"/>
      <c r="C2083" s="3">
        <v>226</v>
      </c>
      <c r="D2083" s="1"/>
      <c r="E2083" s="20" t="s">
        <v>96</v>
      </c>
      <c r="F2083" s="7" t="s">
        <v>15</v>
      </c>
      <c r="G2083" s="7" t="s">
        <v>28</v>
      </c>
      <c r="H2083" s="11">
        <v>12.18</v>
      </c>
      <c r="I2083" s="8">
        <v>9</v>
      </c>
      <c r="J2083" s="26">
        <v>1</v>
      </c>
      <c r="K2083" s="10">
        <v>0.10962000000000001</v>
      </c>
      <c r="L2083" s="4"/>
      <c r="M2083" s="17"/>
      <c r="N2083" s="18">
        <v>0</v>
      </c>
      <c r="O2083" s="19">
        <v>1</v>
      </c>
      <c r="P2083" s="13">
        <v>0.10962000000000001</v>
      </c>
      <c r="Q2083" s="9"/>
      <c r="R2083" s="32"/>
    </row>
    <row r="2084" spans="1:18">
      <c r="A2084" s="42" t="s">
        <v>90</v>
      </c>
      <c r="B2084" s="3"/>
      <c r="C2084" s="3">
        <v>226</v>
      </c>
      <c r="D2084" s="1"/>
      <c r="E2084" s="20" t="s">
        <v>96</v>
      </c>
      <c r="F2084" s="7" t="s">
        <v>15</v>
      </c>
      <c r="G2084" s="7" t="s">
        <v>28</v>
      </c>
      <c r="H2084" s="11">
        <v>12.18</v>
      </c>
      <c r="I2084" s="8">
        <v>8</v>
      </c>
      <c r="J2084" s="26">
        <v>1</v>
      </c>
      <c r="K2084" s="10">
        <v>9.7439999999999999E-2</v>
      </c>
      <c r="L2084" s="4"/>
      <c r="M2084" s="17"/>
      <c r="N2084" s="18">
        <v>0</v>
      </c>
      <c r="O2084" s="19">
        <v>1</v>
      </c>
      <c r="P2084" s="13">
        <v>9.7439999999999999E-2</v>
      </c>
      <c r="Q2084" s="9"/>
      <c r="R2084" s="32"/>
    </row>
    <row r="2085" spans="1:18">
      <c r="A2085" s="42" t="s">
        <v>90</v>
      </c>
      <c r="B2085" s="3"/>
      <c r="C2085" s="3">
        <v>226</v>
      </c>
      <c r="D2085" s="1"/>
      <c r="E2085" s="20" t="s">
        <v>96</v>
      </c>
      <c r="F2085" s="7" t="s">
        <v>15</v>
      </c>
      <c r="G2085" s="7" t="s">
        <v>28</v>
      </c>
      <c r="H2085" s="11">
        <v>12.18</v>
      </c>
      <c r="I2085" s="8">
        <v>9.5</v>
      </c>
      <c r="J2085" s="26">
        <v>1</v>
      </c>
      <c r="K2085" s="10">
        <v>0.11570999999999999</v>
      </c>
      <c r="L2085" s="4"/>
      <c r="M2085" s="17"/>
      <c r="N2085" s="18">
        <v>0</v>
      </c>
      <c r="O2085" s="19">
        <v>1</v>
      </c>
      <c r="P2085" s="13">
        <v>0.11570999999999999</v>
      </c>
      <c r="Q2085" s="9"/>
      <c r="R2085" s="32"/>
    </row>
    <row r="2086" spans="1:18">
      <c r="A2086" s="44" t="s">
        <v>78</v>
      </c>
      <c r="B2086" s="3" t="s">
        <v>80</v>
      </c>
      <c r="C2086" s="3">
        <v>5</v>
      </c>
      <c r="D2086" s="1"/>
      <c r="E2086" s="20" t="s">
        <v>20</v>
      </c>
      <c r="F2086" s="7" t="s">
        <v>15</v>
      </c>
      <c r="G2086" s="7" t="s">
        <v>28</v>
      </c>
      <c r="H2086" s="11">
        <v>12.18</v>
      </c>
      <c r="I2086" s="8">
        <v>11.2</v>
      </c>
      <c r="J2086" s="26">
        <v>1</v>
      </c>
      <c r="K2086" s="10">
        <v>0.13641600000000001</v>
      </c>
      <c r="L2086" s="4"/>
      <c r="M2086" s="17"/>
      <c r="N2086" s="18">
        <v>0</v>
      </c>
      <c r="O2086" s="19">
        <v>1</v>
      </c>
      <c r="P2086" s="13">
        <v>0.13641600000000001</v>
      </c>
      <c r="Q2086" s="9"/>
      <c r="R2086" s="32"/>
    </row>
    <row r="2087" spans="1:18">
      <c r="A2087" s="45" t="s">
        <v>136</v>
      </c>
      <c r="B2087" s="32" t="s">
        <v>137</v>
      </c>
      <c r="C2087" s="3">
        <v>35</v>
      </c>
      <c r="D2087" s="32"/>
      <c r="E2087" s="20" t="s">
        <v>113</v>
      </c>
      <c r="F2087" s="7" t="s">
        <v>15</v>
      </c>
      <c r="G2087" s="7" t="s">
        <v>28</v>
      </c>
      <c r="H2087" s="11">
        <v>12.18</v>
      </c>
      <c r="I2087" s="33">
        <v>6</v>
      </c>
      <c r="J2087" s="40">
        <v>1</v>
      </c>
      <c r="K2087" s="10">
        <v>7.3079999999999992E-2</v>
      </c>
      <c r="L2087" s="4"/>
      <c r="M2087" s="17"/>
      <c r="N2087" s="18">
        <v>0</v>
      </c>
      <c r="O2087" s="19">
        <v>1</v>
      </c>
      <c r="P2087" s="13">
        <v>7.3079999999999992E-2</v>
      </c>
      <c r="Q2087" s="32"/>
      <c r="R2087" s="32"/>
    </row>
    <row r="2088" spans="1:18">
      <c r="A2088" s="45" t="s">
        <v>136</v>
      </c>
      <c r="B2088" s="32" t="s">
        <v>137</v>
      </c>
      <c r="C2088" s="3">
        <v>35</v>
      </c>
      <c r="D2088" s="32"/>
      <c r="E2088" s="20" t="s">
        <v>113</v>
      </c>
      <c r="F2088" s="7" t="s">
        <v>15</v>
      </c>
      <c r="G2088" s="7" t="s">
        <v>28</v>
      </c>
      <c r="H2088" s="11">
        <v>12.18</v>
      </c>
      <c r="I2088" s="33">
        <v>6.3</v>
      </c>
      <c r="J2088" s="40">
        <v>2</v>
      </c>
      <c r="K2088" s="10">
        <v>0.15346799999999999</v>
      </c>
      <c r="L2088" s="4"/>
      <c r="M2088" s="17"/>
      <c r="N2088" s="18">
        <v>0</v>
      </c>
      <c r="O2088" s="19">
        <v>2</v>
      </c>
      <c r="P2088" s="13">
        <v>0.15346799999999999</v>
      </c>
      <c r="Q2088" s="32"/>
      <c r="R2088" s="32"/>
    </row>
    <row r="2089" spans="1:18">
      <c r="A2089" s="45" t="s">
        <v>136</v>
      </c>
      <c r="B2089" s="32" t="s">
        <v>137</v>
      </c>
      <c r="C2089" s="3">
        <v>55</v>
      </c>
      <c r="D2089" s="32"/>
      <c r="E2089" s="20" t="s">
        <v>20</v>
      </c>
      <c r="F2089" s="7" t="s">
        <v>15</v>
      </c>
      <c r="G2089" s="7" t="s">
        <v>28</v>
      </c>
      <c r="H2089" s="11">
        <v>12.18</v>
      </c>
      <c r="I2089" s="33">
        <v>8.5</v>
      </c>
      <c r="J2089" s="40">
        <v>1</v>
      </c>
      <c r="K2089" s="10">
        <v>0.10353</v>
      </c>
      <c r="L2089" s="4"/>
      <c r="M2089" s="17"/>
      <c r="N2089" s="18">
        <v>0</v>
      </c>
      <c r="O2089" s="19">
        <v>1</v>
      </c>
      <c r="P2089" s="13">
        <v>0.10353</v>
      </c>
      <c r="Q2089" s="32"/>
      <c r="R2089" s="32"/>
    </row>
    <row r="2090" spans="1:18">
      <c r="A2090" s="45" t="s">
        <v>136</v>
      </c>
      <c r="B2090" s="32" t="s">
        <v>137</v>
      </c>
      <c r="C2090" s="3">
        <v>55</v>
      </c>
      <c r="D2090" s="32"/>
      <c r="E2090" s="20" t="s">
        <v>20</v>
      </c>
      <c r="F2090" s="7" t="s">
        <v>15</v>
      </c>
      <c r="G2090" s="7" t="s">
        <v>28</v>
      </c>
      <c r="H2090" s="11">
        <v>12.18</v>
      </c>
      <c r="I2090" s="33">
        <v>9</v>
      </c>
      <c r="J2090" s="40">
        <v>1</v>
      </c>
      <c r="K2090" s="10">
        <v>0.10962000000000001</v>
      </c>
      <c r="L2090" s="4"/>
      <c r="M2090" s="17"/>
      <c r="N2090" s="18">
        <v>0</v>
      </c>
      <c r="O2090" s="19">
        <v>1</v>
      </c>
      <c r="P2090" s="13">
        <v>0.10962000000000001</v>
      </c>
      <c r="Q2090" s="32"/>
      <c r="R2090" s="32"/>
    </row>
    <row r="2091" spans="1:18">
      <c r="A2091" s="45" t="s">
        <v>136</v>
      </c>
      <c r="B2091" s="32" t="s">
        <v>137</v>
      </c>
      <c r="C2091" s="3">
        <v>79</v>
      </c>
      <c r="D2091" s="32"/>
      <c r="E2091" s="20" t="s">
        <v>113</v>
      </c>
      <c r="F2091" s="7" t="s">
        <v>15</v>
      </c>
      <c r="G2091" s="7" t="s">
        <v>28</v>
      </c>
      <c r="H2091" s="11">
        <v>12.18</v>
      </c>
      <c r="I2091" s="33">
        <v>11.2</v>
      </c>
      <c r="J2091" s="40">
        <v>1</v>
      </c>
      <c r="K2091" s="10">
        <v>0.13641600000000001</v>
      </c>
      <c r="L2091" s="4"/>
      <c r="M2091" s="17"/>
      <c r="N2091" s="18">
        <v>0</v>
      </c>
      <c r="O2091" s="19">
        <v>1</v>
      </c>
      <c r="P2091" s="13">
        <v>0.13641600000000001</v>
      </c>
      <c r="Q2091" s="32"/>
      <c r="R2091" s="32"/>
    </row>
    <row r="2092" spans="1:18">
      <c r="A2092" s="45" t="s">
        <v>136</v>
      </c>
      <c r="B2092" s="48" t="s">
        <v>171</v>
      </c>
      <c r="C2092" s="32">
        <v>128</v>
      </c>
      <c r="D2092" s="32"/>
      <c r="E2092" s="48" t="s">
        <v>89</v>
      </c>
      <c r="F2092" s="48" t="s">
        <v>15</v>
      </c>
      <c r="G2092" s="48" t="s">
        <v>28</v>
      </c>
      <c r="H2092" s="11">
        <v>12.18</v>
      </c>
      <c r="I2092" s="52">
        <v>8.6999999999999993</v>
      </c>
      <c r="J2092" s="7">
        <v>4</v>
      </c>
      <c r="K2092" s="10">
        <v>0.42386399999999996</v>
      </c>
      <c r="L2092" s="32"/>
      <c r="M2092" s="32">
        <v>4</v>
      </c>
      <c r="N2092" s="18">
        <v>0.42386399999999996</v>
      </c>
      <c r="O2092" s="106">
        <v>0</v>
      </c>
      <c r="P2092" s="13">
        <v>0</v>
      </c>
      <c r="Q2092" s="92" t="s">
        <v>369</v>
      </c>
      <c r="R2092" s="93">
        <v>4</v>
      </c>
    </row>
    <row r="2093" spans="1:18">
      <c r="A2093" s="45" t="s">
        <v>136</v>
      </c>
      <c r="B2093" s="48" t="s">
        <v>171</v>
      </c>
      <c r="C2093" s="32">
        <v>128</v>
      </c>
      <c r="D2093" s="32"/>
      <c r="E2093" s="48" t="s">
        <v>89</v>
      </c>
      <c r="F2093" s="48" t="s">
        <v>15</v>
      </c>
      <c r="G2093" s="48" t="s">
        <v>28</v>
      </c>
      <c r="H2093" s="11">
        <v>12.18</v>
      </c>
      <c r="I2093" s="52">
        <v>7</v>
      </c>
      <c r="J2093" s="7">
        <v>2</v>
      </c>
      <c r="K2093" s="10">
        <v>0.17051999999999998</v>
      </c>
      <c r="L2093" s="32"/>
      <c r="M2093" s="32">
        <v>2</v>
      </c>
      <c r="N2093" s="18">
        <v>0.17051999999999998</v>
      </c>
      <c r="O2093" s="106">
        <v>0</v>
      </c>
      <c r="P2093" s="13">
        <v>0</v>
      </c>
      <c r="Q2093" s="92" t="s">
        <v>369</v>
      </c>
      <c r="R2093" s="93">
        <v>2</v>
      </c>
    </row>
    <row r="2094" spans="1:18">
      <c r="A2094" s="45" t="s">
        <v>136</v>
      </c>
      <c r="B2094" s="48" t="s">
        <v>171</v>
      </c>
      <c r="C2094" s="32">
        <v>163</v>
      </c>
      <c r="D2094" s="32"/>
      <c r="E2094" s="48" t="s">
        <v>94</v>
      </c>
      <c r="F2094" s="48" t="s">
        <v>15</v>
      </c>
      <c r="G2094" s="48" t="s">
        <v>28</v>
      </c>
      <c r="H2094" s="11">
        <v>12.18</v>
      </c>
      <c r="I2094" s="52">
        <v>11.7</v>
      </c>
      <c r="J2094" s="7">
        <v>1</v>
      </c>
      <c r="K2094" s="10">
        <v>0.14250599999999999</v>
      </c>
      <c r="L2094" s="32"/>
      <c r="M2094" s="32"/>
      <c r="N2094" s="18">
        <v>0</v>
      </c>
      <c r="O2094" s="19">
        <v>1</v>
      </c>
      <c r="P2094" s="13">
        <v>0.14250599999999999</v>
      </c>
      <c r="Q2094" s="32"/>
      <c r="R2094" s="32"/>
    </row>
    <row r="2095" spans="1:18">
      <c r="A2095" s="45" t="s">
        <v>136</v>
      </c>
      <c r="B2095" s="48" t="s">
        <v>171</v>
      </c>
      <c r="C2095" s="32">
        <v>163</v>
      </c>
      <c r="D2095" s="32"/>
      <c r="E2095" s="48" t="s">
        <v>94</v>
      </c>
      <c r="F2095" s="48" t="s">
        <v>15</v>
      </c>
      <c r="G2095" s="48" t="s">
        <v>28</v>
      </c>
      <c r="H2095" s="11">
        <v>12.18</v>
      </c>
      <c r="I2095" s="52">
        <v>9.6</v>
      </c>
      <c r="J2095" s="7">
        <v>2</v>
      </c>
      <c r="K2095" s="10">
        <v>0.23385600000000001</v>
      </c>
      <c r="L2095" s="32"/>
      <c r="M2095" s="32"/>
      <c r="N2095" s="18">
        <v>0</v>
      </c>
      <c r="O2095" s="19">
        <v>2</v>
      </c>
      <c r="P2095" s="13">
        <v>0.23385600000000001</v>
      </c>
      <c r="Q2095" s="32"/>
      <c r="R2095" s="32"/>
    </row>
    <row r="2096" spans="1:18">
      <c r="A2096" s="45" t="s">
        <v>136</v>
      </c>
      <c r="B2096" s="48" t="s">
        <v>171</v>
      </c>
      <c r="C2096" s="32">
        <v>163</v>
      </c>
      <c r="D2096" s="32"/>
      <c r="E2096" s="48" t="s">
        <v>94</v>
      </c>
      <c r="F2096" s="48" t="s">
        <v>15</v>
      </c>
      <c r="G2096" s="48" t="s">
        <v>28</v>
      </c>
      <c r="H2096" s="11">
        <v>12.18</v>
      </c>
      <c r="I2096" s="52">
        <v>9</v>
      </c>
      <c r="J2096" s="7">
        <v>1</v>
      </c>
      <c r="K2096" s="10">
        <v>0.10962000000000001</v>
      </c>
      <c r="L2096" s="32"/>
      <c r="M2096" s="32"/>
      <c r="N2096" s="18">
        <v>0</v>
      </c>
      <c r="O2096" s="19">
        <v>1</v>
      </c>
      <c r="P2096" s="13">
        <v>0.10962000000000001</v>
      </c>
      <c r="Q2096" s="32"/>
      <c r="R2096" s="32"/>
    </row>
    <row r="2097" spans="1:19">
      <c r="O2097" s="215">
        <f>SUM(O2071:O2096)</f>
        <v>21</v>
      </c>
      <c r="R2097" s="215">
        <f>SUM(R2071:R2096)</f>
        <v>8</v>
      </c>
    </row>
    <row r="2099" spans="1:19">
      <c r="A2099" s="42" t="s">
        <v>77</v>
      </c>
      <c r="B2099" s="3" t="s">
        <v>68</v>
      </c>
      <c r="C2099" s="3">
        <v>234</v>
      </c>
      <c r="D2099" s="1"/>
      <c r="E2099" s="20" t="s">
        <v>17</v>
      </c>
      <c r="F2099" s="7" t="s">
        <v>15</v>
      </c>
      <c r="G2099" s="7" t="s">
        <v>60</v>
      </c>
      <c r="H2099" s="11">
        <v>22.93</v>
      </c>
      <c r="I2099" s="8">
        <v>6</v>
      </c>
      <c r="J2099" s="26">
        <v>1</v>
      </c>
      <c r="K2099" s="10">
        <f t="shared" ref="K2099:K2106" si="140">(H2099*I2099*J2099/1000)</f>
        <v>0.13757999999999998</v>
      </c>
      <c r="L2099" s="4"/>
      <c r="M2099" s="17"/>
      <c r="N2099" s="18">
        <f t="shared" ref="N2099:N2106" si="141">I2099*M2099*H2099/1000</f>
        <v>0</v>
      </c>
      <c r="O2099" s="19">
        <f t="shared" ref="O2099:O2106" si="142">J2099-M2099</f>
        <v>1</v>
      </c>
      <c r="P2099" s="13">
        <f t="shared" ref="P2099:P2106" si="143">I2099*O2099*H2099/1000</f>
        <v>0.13757999999999998</v>
      </c>
      <c r="Q2099" s="9"/>
      <c r="R2099" s="2"/>
      <c r="S2099" s="2"/>
    </row>
    <row r="2100" spans="1:19">
      <c r="A2100" s="42" t="s">
        <v>77</v>
      </c>
      <c r="B2100" s="3" t="s">
        <v>68</v>
      </c>
      <c r="C2100" s="3">
        <v>234</v>
      </c>
      <c r="D2100" s="1"/>
      <c r="E2100" s="20" t="s">
        <v>17</v>
      </c>
      <c r="F2100" s="7" t="s">
        <v>15</v>
      </c>
      <c r="G2100" s="7" t="s">
        <v>60</v>
      </c>
      <c r="H2100" s="11">
        <v>22.93</v>
      </c>
      <c r="I2100" s="8">
        <v>6.9</v>
      </c>
      <c r="J2100" s="26">
        <v>1</v>
      </c>
      <c r="K2100" s="10">
        <f t="shared" si="140"/>
        <v>0.15821700000000002</v>
      </c>
      <c r="L2100" s="4"/>
      <c r="M2100" s="17"/>
      <c r="N2100" s="18">
        <f t="shared" si="141"/>
        <v>0</v>
      </c>
      <c r="O2100" s="19">
        <f t="shared" si="142"/>
        <v>1</v>
      </c>
      <c r="P2100" s="13">
        <f t="shared" si="143"/>
        <v>0.15821700000000002</v>
      </c>
      <c r="Q2100" s="9"/>
      <c r="R2100" s="2"/>
      <c r="S2100" s="2"/>
    </row>
    <row r="2101" spans="1:19">
      <c r="A2101" s="42" t="s">
        <v>77</v>
      </c>
      <c r="B2101" s="3" t="s">
        <v>68</v>
      </c>
      <c r="C2101" s="3">
        <v>234</v>
      </c>
      <c r="D2101" s="1"/>
      <c r="E2101" s="20" t="s">
        <v>17</v>
      </c>
      <c r="F2101" s="7" t="s">
        <v>15</v>
      </c>
      <c r="G2101" s="7" t="s">
        <v>60</v>
      </c>
      <c r="H2101" s="11">
        <v>22.93</v>
      </c>
      <c r="I2101" s="8">
        <v>7.6</v>
      </c>
      <c r="J2101" s="26">
        <v>1</v>
      </c>
      <c r="K2101" s="10">
        <f t="shared" si="140"/>
        <v>0.17426800000000001</v>
      </c>
      <c r="L2101" s="4"/>
      <c r="M2101" s="17">
        <v>1</v>
      </c>
      <c r="N2101" s="18">
        <f t="shared" si="141"/>
        <v>0.17426800000000001</v>
      </c>
      <c r="O2101" s="19">
        <f t="shared" si="142"/>
        <v>0</v>
      </c>
      <c r="P2101" s="13">
        <f t="shared" si="143"/>
        <v>0</v>
      </c>
      <c r="Q2101" s="9"/>
      <c r="R2101" s="2"/>
      <c r="S2101" s="2"/>
    </row>
    <row r="2102" spans="1:19">
      <c r="A2102" s="42" t="s">
        <v>77</v>
      </c>
      <c r="B2102" s="3" t="s">
        <v>68</v>
      </c>
      <c r="C2102" s="3">
        <v>234</v>
      </c>
      <c r="D2102" s="1"/>
      <c r="E2102" s="20" t="s">
        <v>17</v>
      </c>
      <c r="F2102" s="7" t="s">
        <v>15</v>
      </c>
      <c r="G2102" s="7" t="s">
        <v>60</v>
      </c>
      <c r="H2102" s="11">
        <v>22.93</v>
      </c>
      <c r="I2102" s="8">
        <v>9.5</v>
      </c>
      <c r="J2102" s="26">
        <v>1</v>
      </c>
      <c r="K2102" s="10">
        <f t="shared" si="140"/>
        <v>0.217835</v>
      </c>
      <c r="L2102" s="4"/>
      <c r="M2102" s="17"/>
      <c r="N2102" s="18">
        <f t="shared" si="141"/>
        <v>0</v>
      </c>
      <c r="O2102" s="19">
        <f t="shared" si="142"/>
        <v>1</v>
      </c>
      <c r="P2102" s="13">
        <f t="shared" si="143"/>
        <v>0.217835</v>
      </c>
      <c r="Q2102" s="9"/>
      <c r="R2102" s="2"/>
      <c r="S2102" s="2"/>
    </row>
    <row r="2103" spans="1:19">
      <c r="A2103" s="42" t="s">
        <v>77</v>
      </c>
      <c r="B2103" s="3" t="s">
        <v>68</v>
      </c>
      <c r="C2103" s="3">
        <v>234</v>
      </c>
      <c r="D2103" s="1"/>
      <c r="E2103" s="20" t="s">
        <v>17</v>
      </c>
      <c r="F2103" s="7" t="s">
        <v>15</v>
      </c>
      <c r="G2103" s="7" t="s">
        <v>60</v>
      </c>
      <c r="H2103" s="11">
        <v>22.93</v>
      </c>
      <c r="I2103" s="8">
        <v>10</v>
      </c>
      <c r="J2103" s="26">
        <v>1</v>
      </c>
      <c r="K2103" s="10">
        <f t="shared" si="140"/>
        <v>0.2293</v>
      </c>
      <c r="L2103" s="4"/>
      <c r="M2103" s="17">
        <v>1</v>
      </c>
      <c r="N2103" s="18">
        <f t="shared" si="141"/>
        <v>0.2293</v>
      </c>
      <c r="O2103" s="19">
        <f t="shared" si="142"/>
        <v>0</v>
      </c>
      <c r="P2103" s="13">
        <f t="shared" si="143"/>
        <v>0</v>
      </c>
      <c r="Q2103" s="89">
        <v>10</v>
      </c>
      <c r="R2103" s="90">
        <v>1</v>
      </c>
      <c r="S2103" s="90" t="s">
        <v>401</v>
      </c>
    </row>
    <row r="2104" spans="1:19">
      <c r="A2104" s="42" t="s">
        <v>77</v>
      </c>
      <c r="B2104" s="3" t="s">
        <v>68</v>
      </c>
      <c r="C2104" s="3">
        <v>234</v>
      </c>
      <c r="D2104" s="1"/>
      <c r="E2104" s="20" t="s">
        <v>17</v>
      </c>
      <c r="F2104" s="7" t="s">
        <v>15</v>
      </c>
      <c r="G2104" s="7" t="s">
        <v>60</v>
      </c>
      <c r="H2104" s="11">
        <v>22.93</v>
      </c>
      <c r="I2104" s="8">
        <v>10.5</v>
      </c>
      <c r="J2104" s="26">
        <v>1</v>
      </c>
      <c r="K2104" s="10">
        <f t="shared" si="140"/>
        <v>0.24076499999999998</v>
      </c>
      <c r="L2104" s="4"/>
      <c r="M2104" s="17"/>
      <c r="N2104" s="18">
        <f t="shared" si="141"/>
        <v>0</v>
      </c>
      <c r="O2104" s="19">
        <f t="shared" si="142"/>
        <v>1</v>
      </c>
      <c r="P2104" s="13">
        <f t="shared" si="143"/>
        <v>0.24076499999999998</v>
      </c>
      <c r="Q2104" s="9"/>
      <c r="R2104" s="2"/>
      <c r="S2104" s="2"/>
    </row>
    <row r="2105" spans="1:19">
      <c r="A2105" s="42" t="s">
        <v>77</v>
      </c>
      <c r="B2105" s="3" t="s">
        <v>68</v>
      </c>
      <c r="C2105" s="3">
        <v>234</v>
      </c>
      <c r="D2105" s="1"/>
      <c r="E2105" s="20" t="s">
        <v>17</v>
      </c>
      <c r="F2105" s="7" t="s">
        <v>15</v>
      </c>
      <c r="G2105" s="7" t="s">
        <v>60</v>
      </c>
      <c r="H2105" s="11">
        <v>22.93</v>
      </c>
      <c r="I2105" s="8">
        <v>11.5</v>
      </c>
      <c r="J2105" s="26">
        <v>1</v>
      </c>
      <c r="K2105" s="10">
        <f t="shared" si="140"/>
        <v>0.26369500000000001</v>
      </c>
      <c r="L2105" s="4"/>
      <c r="M2105" s="17">
        <v>1</v>
      </c>
      <c r="N2105" s="18">
        <f t="shared" si="141"/>
        <v>0.26369500000000001</v>
      </c>
      <c r="O2105" s="19">
        <f t="shared" si="142"/>
        <v>0</v>
      </c>
      <c r="P2105" s="13">
        <f t="shared" si="143"/>
        <v>0</v>
      </c>
      <c r="Q2105" s="9"/>
      <c r="R2105" s="2"/>
      <c r="S2105" s="2"/>
    </row>
    <row r="2106" spans="1:19">
      <c r="A2106" s="42" t="s">
        <v>77</v>
      </c>
      <c r="B2106" s="3" t="s">
        <v>68</v>
      </c>
      <c r="C2106" s="3">
        <v>234</v>
      </c>
      <c r="D2106" s="1"/>
      <c r="E2106" s="20" t="s">
        <v>17</v>
      </c>
      <c r="F2106" s="7" t="s">
        <v>15</v>
      </c>
      <c r="G2106" s="7" t="s">
        <v>60</v>
      </c>
      <c r="H2106" s="11">
        <v>22.93</v>
      </c>
      <c r="I2106" s="8">
        <v>11.7</v>
      </c>
      <c r="J2106" s="26">
        <v>1</v>
      </c>
      <c r="K2106" s="10">
        <f t="shared" si="140"/>
        <v>0.26828099999999999</v>
      </c>
      <c r="L2106" s="4"/>
      <c r="M2106" s="17">
        <v>1</v>
      </c>
      <c r="N2106" s="18">
        <f t="shared" si="141"/>
        <v>0.26828099999999999</v>
      </c>
      <c r="O2106" s="19">
        <f t="shared" si="142"/>
        <v>0</v>
      </c>
      <c r="P2106" s="13">
        <f t="shared" si="143"/>
        <v>0</v>
      </c>
      <c r="Q2106" s="9"/>
      <c r="R2106" s="2"/>
      <c r="S2106" s="2"/>
    </row>
    <row r="2109" spans="1:19">
      <c r="A2109" s="42" t="s">
        <v>77</v>
      </c>
      <c r="B2109" s="3" t="s">
        <v>68</v>
      </c>
      <c r="C2109" s="3">
        <v>190</v>
      </c>
      <c r="D2109" s="1"/>
      <c r="E2109" s="12" t="s">
        <v>20</v>
      </c>
      <c r="F2109" s="7" t="s">
        <v>15</v>
      </c>
      <c r="G2109" s="7" t="s">
        <v>56</v>
      </c>
      <c r="H2109" s="11">
        <v>25.2</v>
      </c>
      <c r="I2109" s="8">
        <v>10.1</v>
      </c>
      <c r="J2109" s="26">
        <v>2</v>
      </c>
      <c r="K2109" s="10">
        <v>0.50903999999999994</v>
      </c>
      <c r="L2109" s="4"/>
      <c r="M2109" s="17">
        <v>2</v>
      </c>
      <c r="N2109" s="18">
        <v>0.50903999999999994</v>
      </c>
      <c r="O2109" s="87">
        <v>0</v>
      </c>
      <c r="P2109" s="88">
        <v>0</v>
      </c>
      <c r="Q2109" s="89" t="s">
        <v>373</v>
      </c>
      <c r="R2109" s="90">
        <v>2</v>
      </c>
      <c r="S2109" s="90"/>
    </row>
    <row r="2110" spans="1:19">
      <c r="A2110" s="42" t="s">
        <v>77</v>
      </c>
      <c r="B2110" s="3" t="s">
        <v>68</v>
      </c>
      <c r="C2110" s="3">
        <v>200</v>
      </c>
      <c r="D2110" s="1"/>
      <c r="E2110" s="12" t="s">
        <v>20</v>
      </c>
      <c r="F2110" s="7" t="s">
        <v>15</v>
      </c>
      <c r="G2110" s="7" t="s">
        <v>56</v>
      </c>
      <c r="H2110" s="11">
        <v>25.2</v>
      </c>
      <c r="I2110" s="8">
        <v>6.1</v>
      </c>
      <c r="J2110" s="26">
        <v>1</v>
      </c>
      <c r="K2110" s="10">
        <v>0.15372</v>
      </c>
      <c r="L2110" s="4"/>
      <c r="M2110" s="17">
        <v>1</v>
      </c>
      <c r="N2110" s="18">
        <v>0.15372</v>
      </c>
      <c r="O2110" s="87">
        <v>0</v>
      </c>
      <c r="P2110" s="88">
        <v>0</v>
      </c>
      <c r="Q2110" s="89" t="s">
        <v>373</v>
      </c>
      <c r="R2110" s="90">
        <v>1</v>
      </c>
      <c r="S2110" s="90"/>
    </row>
    <row r="2111" spans="1:19">
      <c r="A2111" s="42" t="s">
        <v>77</v>
      </c>
      <c r="B2111" s="3" t="s">
        <v>68</v>
      </c>
      <c r="C2111" s="3">
        <v>202</v>
      </c>
      <c r="D2111" s="1"/>
      <c r="E2111" s="20" t="s">
        <v>17</v>
      </c>
      <c r="F2111" s="7" t="s">
        <v>15</v>
      </c>
      <c r="G2111" s="7" t="s">
        <v>56</v>
      </c>
      <c r="H2111" s="11">
        <v>25.2</v>
      </c>
      <c r="I2111" s="8">
        <v>5.5</v>
      </c>
      <c r="J2111" s="26">
        <v>5</v>
      </c>
      <c r="K2111" s="10">
        <v>0.69299999999999995</v>
      </c>
      <c r="L2111" s="4"/>
      <c r="M2111" s="17"/>
      <c r="N2111" s="18">
        <v>0</v>
      </c>
      <c r="O2111" s="19">
        <v>5</v>
      </c>
      <c r="P2111" s="13">
        <v>0.69299999999999995</v>
      </c>
      <c r="Q2111" s="9"/>
      <c r="R2111" s="2"/>
      <c r="S2111" s="2"/>
    </row>
    <row r="2112" spans="1:19">
      <c r="A2112" s="42" t="s">
        <v>77</v>
      </c>
      <c r="B2112" s="3" t="s">
        <v>68</v>
      </c>
      <c r="C2112" s="3">
        <v>202</v>
      </c>
      <c r="D2112" s="1"/>
      <c r="E2112" s="20" t="s">
        <v>17</v>
      </c>
      <c r="F2112" s="7" t="s">
        <v>15</v>
      </c>
      <c r="G2112" s="7" t="s">
        <v>56</v>
      </c>
      <c r="H2112" s="11">
        <v>25.2</v>
      </c>
      <c r="I2112" s="8">
        <v>5.8</v>
      </c>
      <c r="J2112" s="26">
        <v>5</v>
      </c>
      <c r="K2112" s="10">
        <v>0.73080000000000001</v>
      </c>
      <c r="L2112" s="4"/>
      <c r="M2112" s="17"/>
      <c r="N2112" s="18">
        <v>0</v>
      </c>
      <c r="O2112" s="19">
        <v>5</v>
      </c>
      <c r="P2112" s="13">
        <v>0.73080000000000001</v>
      </c>
      <c r="Q2112" s="9"/>
      <c r="R2112" s="2"/>
      <c r="S2112" s="2"/>
    </row>
    <row r="2113" spans="1:19">
      <c r="A2113" s="42" t="s">
        <v>77</v>
      </c>
      <c r="B2113" s="3" t="s">
        <v>68</v>
      </c>
      <c r="C2113" s="3">
        <v>232</v>
      </c>
      <c r="D2113" s="1"/>
      <c r="E2113" s="20" t="s">
        <v>17</v>
      </c>
      <c r="F2113" s="7" t="s">
        <v>15</v>
      </c>
      <c r="G2113" s="7" t="s">
        <v>56</v>
      </c>
      <c r="H2113" s="11">
        <v>25.2</v>
      </c>
      <c r="I2113" s="8">
        <v>6</v>
      </c>
      <c r="J2113" s="26">
        <v>3</v>
      </c>
      <c r="K2113" s="10">
        <v>0.45359999999999995</v>
      </c>
      <c r="L2113" s="4"/>
      <c r="M2113" s="17"/>
      <c r="N2113" s="18">
        <v>0</v>
      </c>
      <c r="O2113" s="19">
        <v>3</v>
      </c>
      <c r="P2113" s="13">
        <v>0.45359999999999995</v>
      </c>
      <c r="Q2113" s="9"/>
      <c r="R2113" s="2"/>
      <c r="S2113" s="2"/>
    </row>
    <row r="2114" spans="1:19">
      <c r="A2114" s="42" t="s">
        <v>77</v>
      </c>
      <c r="B2114" s="3" t="s">
        <v>68</v>
      </c>
      <c r="C2114" s="3">
        <v>232</v>
      </c>
      <c r="D2114" s="1"/>
      <c r="E2114" s="20" t="s">
        <v>17</v>
      </c>
      <c r="F2114" s="7" t="s">
        <v>15</v>
      </c>
      <c r="G2114" s="7" t="s">
        <v>56</v>
      </c>
      <c r="H2114" s="11">
        <v>25.2</v>
      </c>
      <c r="I2114" s="8">
        <v>9.3000000000000007</v>
      </c>
      <c r="J2114" s="26">
        <v>1</v>
      </c>
      <c r="K2114" s="10">
        <v>0.23436000000000001</v>
      </c>
      <c r="L2114" s="4"/>
      <c r="M2114" s="17">
        <v>1</v>
      </c>
      <c r="N2114" s="18">
        <v>0.23436000000000001</v>
      </c>
      <c r="O2114" s="19">
        <v>0</v>
      </c>
      <c r="P2114" s="13">
        <v>0</v>
      </c>
      <c r="Q2114" s="9"/>
      <c r="R2114" s="2"/>
      <c r="S2114" s="2"/>
    </row>
    <row r="2115" spans="1:19">
      <c r="A2115" s="42" t="s">
        <v>77</v>
      </c>
      <c r="B2115" s="3" t="s">
        <v>68</v>
      </c>
      <c r="C2115" s="3">
        <v>310</v>
      </c>
      <c r="D2115" s="1"/>
      <c r="E2115" s="20" t="s">
        <v>20</v>
      </c>
      <c r="F2115" s="7" t="s">
        <v>15</v>
      </c>
      <c r="G2115" s="7" t="s">
        <v>56</v>
      </c>
      <c r="H2115" s="11">
        <v>25.2</v>
      </c>
      <c r="I2115" s="8">
        <v>12</v>
      </c>
      <c r="J2115" s="26">
        <v>3</v>
      </c>
      <c r="K2115" s="10">
        <v>0.9071999999999999</v>
      </c>
      <c r="L2115" s="4"/>
      <c r="M2115" s="17">
        <v>3</v>
      </c>
      <c r="N2115" s="18">
        <v>0.9071999999999999</v>
      </c>
      <c r="O2115" s="87">
        <v>0</v>
      </c>
      <c r="P2115" s="88">
        <v>0</v>
      </c>
      <c r="Q2115" s="89" t="s">
        <v>373</v>
      </c>
      <c r="R2115" s="90">
        <v>3</v>
      </c>
      <c r="S2115" s="90"/>
    </row>
    <row r="2116" spans="1:19">
      <c r="A2116" s="42" t="s">
        <v>77</v>
      </c>
      <c r="B2116" s="3" t="s">
        <v>68</v>
      </c>
      <c r="C2116" s="3">
        <v>312</v>
      </c>
      <c r="D2116" s="1"/>
      <c r="E2116" s="20" t="s">
        <v>17</v>
      </c>
      <c r="F2116" s="7" t="s">
        <v>15</v>
      </c>
      <c r="G2116" s="7" t="s">
        <v>56</v>
      </c>
      <c r="H2116" s="11">
        <v>25.2</v>
      </c>
      <c r="I2116" s="8">
        <v>8.5</v>
      </c>
      <c r="J2116" s="26">
        <v>1</v>
      </c>
      <c r="K2116" s="10">
        <v>0.2142</v>
      </c>
      <c r="L2116" s="4"/>
      <c r="M2116" s="17">
        <v>1</v>
      </c>
      <c r="N2116" s="18">
        <v>0.2142</v>
      </c>
      <c r="O2116" s="87">
        <v>0</v>
      </c>
      <c r="P2116" s="88">
        <v>0</v>
      </c>
      <c r="Q2116" s="89" t="s">
        <v>373</v>
      </c>
      <c r="R2116" s="90">
        <v>1</v>
      </c>
      <c r="S2116" s="90"/>
    </row>
    <row r="2117" spans="1:19">
      <c r="A2117" s="42" t="s">
        <v>77</v>
      </c>
      <c r="B2117" s="3" t="s">
        <v>68</v>
      </c>
      <c r="C2117" s="3">
        <v>312</v>
      </c>
      <c r="D2117" s="1"/>
      <c r="E2117" s="20" t="s">
        <v>17</v>
      </c>
      <c r="F2117" s="7" t="s">
        <v>15</v>
      </c>
      <c r="G2117" s="7" t="s">
        <v>56</v>
      </c>
      <c r="H2117" s="11">
        <v>25.2</v>
      </c>
      <c r="I2117" s="8">
        <v>9.1999999999999993</v>
      </c>
      <c r="J2117" s="26">
        <v>1</v>
      </c>
      <c r="K2117" s="10">
        <v>0.23183999999999996</v>
      </c>
      <c r="L2117" s="4"/>
      <c r="M2117" s="17">
        <v>1</v>
      </c>
      <c r="N2117" s="18">
        <v>0.23183999999999996</v>
      </c>
      <c r="O2117" s="19">
        <v>0</v>
      </c>
      <c r="P2117" s="13">
        <v>0</v>
      </c>
      <c r="Q2117" s="9"/>
      <c r="R2117" s="2"/>
      <c r="S2117" s="2"/>
    </row>
    <row r="2118" spans="1:19">
      <c r="A2118" s="42" t="s">
        <v>77</v>
      </c>
      <c r="B2118" s="3" t="s">
        <v>68</v>
      </c>
      <c r="C2118" s="3">
        <v>312</v>
      </c>
      <c r="D2118" s="1"/>
      <c r="E2118" s="20" t="s">
        <v>17</v>
      </c>
      <c r="F2118" s="7" t="s">
        <v>15</v>
      </c>
      <c r="G2118" s="7" t="s">
        <v>56</v>
      </c>
      <c r="H2118" s="11">
        <v>25.2</v>
      </c>
      <c r="I2118" s="8">
        <v>9.4</v>
      </c>
      <c r="J2118" s="26">
        <v>3</v>
      </c>
      <c r="K2118" s="10">
        <v>0.71063999999999994</v>
      </c>
      <c r="L2118" s="4"/>
      <c r="M2118" s="17">
        <v>3</v>
      </c>
      <c r="N2118" s="18">
        <v>0.71064000000000005</v>
      </c>
      <c r="O2118" s="19">
        <v>0</v>
      </c>
      <c r="P2118" s="13">
        <v>0</v>
      </c>
      <c r="Q2118" s="9"/>
      <c r="R2118" s="2"/>
      <c r="S2118" s="2"/>
    </row>
    <row r="2119" spans="1:19">
      <c r="A2119" s="42" t="s">
        <v>77</v>
      </c>
      <c r="B2119" s="3" t="s">
        <v>68</v>
      </c>
      <c r="C2119" s="3">
        <v>348</v>
      </c>
      <c r="D2119" s="1"/>
      <c r="E2119" s="20" t="s">
        <v>17</v>
      </c>
      <c r="F2119" s="7" t="s">
        <v>15</v>
      </c>
      <c r="G2119" s="7" t="s">
        <v>56</v>
      </c>
      <c r="H2119" s="11">
        <v>25.2</v>
      </c>
      <c r="I2119" s="8">
        <v>11.2</v>
      </c>
      <c r="J2119" s="26">
        <v>1</v>
      </c>
      <c r="K2119" s="10">
        <v>0.28223999999999994</v>
      </c>
      <c r="L2119" s="4"/>
      <c r="M2119" s="17">
        <v>1</v>
      </c>
      <c r="N2119" s="18">
        <v>0.28223999999999994</v>
      </c>
      <c r="O2119" s="19">
        <v>0</v>
      </c>
      <c r="P2119" s="13">
        <v>0</v>
      </c>
      <c r="Q2119" s="9"/>
      <c r="R2119" s="2"/>
      <c r="S2119" s="2"/>
    </row>
    <row r="2120" spans="1:19">
      <c r="O2120" s="78">
        <f>SUM(O2109:O2119)</f>
        <v>13</v>
      </c>
      <c r="R2120" s="80">
        <f>SUM(R2109:R2119)</f>
        <v>7</v>
      </c>
    </row>
    <row r="2122" spans="1:19">
      <c r="A2122" s="110" t="s">
        <v>353</v>
      </c>
      <c r="B2122" s="111" t="s">
        <v>297</v>
      </c>
      <c r="C2122" s="112" t="s">
        <v>228</v>
      </c>
      <c r="D2122" s="113" t="s">
        <v>20</v>
      </c>
      <c r="E2122" s="175" t="s">
        <v>15</v>
      </c>
      <c r="F2122" s="175" t="s">
        <v>58</v>
      </c>
      <c r="G2122" s="176">
        <v>27.29</v>
      </c>
      <c r="H2122" s="177">
        <v>9.3000000000000007</v>
      </c>
      <c r="I2122" s="178">
        <v>6</v>
      </c>
      <c r="J2122" s="174">
        <f t="shared" ref="J2122:J2125" si="144">(G2122*H2122*I2122/1000)</f>
        <v>1.5227820000000001</v>
      </c>
      <c r="K2122" s="118"/>
      <c r="L2122" s="111">
        <v>6</v>
      </c>
      <c r="M2122" s="117">
        <f t="shared" ref="M2122:M2125" si="145">H2122*L2122*G2122/1000</f>
        <v>1.5227820000000001</v>
      </c>
      <c r="N2122" s="119">
        <f t="shared" ref="N2122:N2125" si="146">I2122-L2122</f>
        <v>0</v>
      </c>
      <c r="O2122" s="120">
        <f t="shared" ref="O2122:O2125" si="147">H2122*N2122*G2122/1000</f>
        <v>0</v>
      </c>
      <c r="P2122" s="79">
        <v>7.3</v>
      </c>
      <c r="Q2122" s="72">
        <v>6</v>
      </c>
      <c r="R2122" s="72" t="s">
        <v>403</v>
      </c>
    </row>
    <row r="2123" spans="1:19">
      <c r="A2123" s="110" t="s">
        <v>353</v>
      </c>
      <c r="B2123" s="111" t="s">
        <v>297</v>
      </c>
      <c r="C2123" s="112" t="s">
        <v>228</v>
      </c>
      <c r="D2123" s="113" t="s">
        <v>20</v>
      </c>
      <c r="E2123" s="175" t="s">
        <v>15</v>
      </c>
      <c r="F2123" s="175" t="s">
        <v>58</v>
      </c>
      <c r="G2123" s="176">
        <v>27.29</v>
      </c>
      <c r="H2123" s="179">
        <v>8.9</v>
      </c>
      <c r="I2123" s="178">
        <v>3</v>
      </c>
      <c r="J2123" s="174">
        <f t="shared" si="144"/>
        <v>0.72864300000000004</v>
      </c>
      <c r="K2123" s="118"/>
      <c r="L2123" s="111">
        <v>3</v>
      </c>
      <c r="M2123" s="117">
        <f t="shared" si="145"/>
        <v>0.72864300000000004</v>
      </c>
      <c r="N2123" s="119">
        <f t="shared" si="146"/>
        <v>0</v>
      </c>
      <c r="O2123" s="120">
        <f t="shared" si="147"/>
        <v>0</v>
      </c>
      <c r="P2123" s="79">
        <v>7.3</v>
      </c>
      <c r="Q2123" s="72">
        <v>3</v>
      </c>
      <c r="R2123" s="72" t="s">
        <v>403</v>
      </c>
    </row>
    <row r="2124" spans="1:19">
      <c r="A2124" s="110" t="s">
        <v>353</v>
      </c>
      <c r="B2124" s="111" t="s">
        <v>297</v>
      </c>
      <c r="C2124" s="112" t="s">
        <v>228</v>
      </c>
      <c r="D2124" s="113" t="s">
        <v>20</v>
      </c>
      <c r="E2124" s="175" t="s">
        <v>15</v>
      </c>
      <c r="F2124" s="175" t="s">
        <v>58</v>
      </c>
      <c r="G2124" s="176">
        <v>27.29</v>
      </c>
      <c r="H2124" s="179">
        <v>7.7</v>
      </c>
      <c r="I2124" s="178">
        <v>1</v>
      </c>
      <c r="J2124" s="174">
        <f t="shared" si="144"/>
        <v>0.21013300000000001</v>
      </c>
      <c r="K2124" s="118"/>
      <c r="L2124" s="111">
        <v>1</v>
      </c>
      <c r="M2124" s="117">
        <f t="shared" si="145"/>
        <v>0.21013300000000001</v>
      </c>
      <c r="N2124" s="119">
        <f t="shared" si="146"/>
        <v>0</v>
      </c>
      <c r="O2124" s="120">
        <f t="shared" si="147"/>
        <v>0</v>
      </c>
      <c r="P2124" s="79">
        <v>7.3</v>
      </c>
      <c r="Q2124" s="72">
        <v>1</v>
      </c>
      <c r="R2124" s="72" t="s">
        <v>402</v>
      </c>
    </row>
    <row r="2125" spans="1:19">
      <c r="A2125" s="110" t="s">
        <v>353</v>
      </c>
      <c r="B2125" s="111" t="s">
        <v>297</v>
      </c>
      <c r="C2125" s="112" t="s">
        <v>228</v>
      </c>
      <c r="D2125" s="113" t="s">
        <v>20</v>
      </c>
      <c r="E2125" s="175" t="s">
        <v>15</v>
      </c>
      <c r="F2125" s="175" t="s">
        <v>58</v>
      </c>
      <c r="G2125" s="176">
        <v>27.29</v>
      </c>
      <c r="H2125" s="179">
        <v>12</v>
      </c>
      <c r="I2125" s="178">
        <v>3</v>
      </c>
      <c r="J2125" s="174">
        <f t="shared" si="144"/>
        <v>0.98244000000000009</v>
      </c>
      <c r="K2125" s="118"/>
      <c r="L2125" s="111">
        <v>2</v>
      </c>
      <c r="M2125" s="117">
        <f t="shared" si="145"/>
        <v>0.65495999999999999</v>
      </c>
      <c r="N2125" s="119">
        <f t="shared" si="146"/>
        <v>1</v>
      </c>
      <c r="O2125" s="120">
        <f t="shared" si="147"/>
        <v>0.32747999999999999</v>
      </c>
      <c r="P2125" s="337">
        <v>12</v>
      </c>
      <c r="Q2125" s="338">
        <v>2</v>
      </c>
      <c r="R2125" s="72" t="s">
        <v>403</v>
      </c>
    </row>
    <row r="2126" spans="1:19">
      <c r="Q2126" s="76">
        <f>SUM(Q2122:Q2125)</f>
        <v>12</v>
      </c>
    </row>
    <row r="2128" spans="1:19">
      <c r="A2128" s="110" t="s">
        <v>308</v>
      </c>
      <c r="B2128" s="111" t="s">
        <v>309</v>
      </c>
      <c r="C2128" s="112" t="s">
        <v>228</v>
      </c>
      <c r="D2128" s="118" t="s">
        <v>17</v>
      </c>
      <c r="E2128" s="175" t="s">
        <v>15</v>
      </c>
      <c r="F2128" s="175" t="s">
        <v>66</v>
      </c>
      <c r="G2128" s="176">
        <v>29.5</v>
      </c>
      <c r="H2128" s="177">
        <v>8.1999999999999993</v>
      </c>
      <c r="I2128" s="178">
        <f>7+11+10</f>
        <v>28</v>
      </c>
      <c r="J2128" s="174">
        <f t="shared" ref="J2128:J2144" si="148">(G2128*H2128*I2128/1000)</f>
        <v>6.7731999999999992</v>
      </c>
      <c r="K2128" s="118"/>
      <c r="L2128" s="111">
        <v>28</v>
      </c>
      <c r="M2128" s="117">
        <f t="shared" ref="M2128:M2144" si="149">H2128*L2128*G2128/1000</f>
        <v>6.7731999999999992</v>
      </c>
      <c r="N2128" s="119">
        <f t="shared" ref="N2128:N2144" si="150">I2128-L2128</f>
        <v>0</v>
      </c>
      <c r="O2128" s="120">
        <f t="shared" ref="O2128:O2144" si="151">H2128*N2128*G2128/1000</f>
        <v>0</v>
      </c>
      <c r="P2128" s="111"/>
      <c r="Q2128" s="111"/>
    </row>
    <row r="2129" spans="1:18">
      <c r="A2129" s="110" t="s">
        <v>308</v>
      </c>
      <c r="B2129" s="111" t="s">
        <v>309</v>
      </c>
      <c r="C2129" s="112" t="s">
        <v>228</v>
      </c>
      <c r="D2129" s="118" t="s">
        <v>17</v>
      </c>
      <c r="E2129" s="175" t="s">
        <v>15</v>
      </c>
      <c r="F2129" s="175" t="s">
        <v>66</v>
      </c>
      <c r="G2129" s="176">
        <v>29.5</v>
      </c>
      <c r="H2129" s="177">
        <v>8.4</v>
      </c>
      <c r="I2129" s="178">
        <v>2</v>
      </c>
      <c r="J2129" s="174">
        <f t="shared" si="148"/>
        <v>0.49560000000000004</v>
      </c>
      <c r="K2129" s="118"/>
      <c r="L2129" s="111">
        <v>2</v>
      </c>
      <c r="M2129" s="117">
        <f t="shared" si="149"/>
        <v>0.49560000000000004</v>
      </c>
      <c r="N2129" s="119">
        <f t="shared" si="150"/>
        <v>0</v>
      </c>
      <c r="O2129" s="120">
        <f t="shared" si="151"/>
        <v>0</v>
      </c>
      <c r="P2129" s="111"/>
      <c r="Q2129" s="111"/>
    </row>
    <row r="2130" spans="1:18">
      <c r="A2130" s="110" t="s">
        <v>308</v>
      </c>
      <c r="B2130" s="111" t="s">
        <v>309</v>
      </c>
      <c r="C2130" s="112" t="s">
        <v>228</v>
      </c>
      <c r="D2130" s="118" t="s">
        <v>17</v>
      </c>
      <c r="E2130" s="175" t="s">
        <v>15</v>
      </c>
      <c r="F2130" s="175" t="s">
        <v>66</v>
      </c>
      <c r="G2130" s="176">
        <v>29.5</v>
      </c>
      <c r="H2130" s="177">
        <v>9.6999999999999993</v>
      </c>
      <c r="I2130" s="178">
        <v>2</v>
      </c>
      <c r="J2130" s="174">
        <f t="shared" si="148"/>
        <v>0.57229999999999992</v>
      </c>
      <c r="K2130" s="118"/>
      <c r="L2130" s="111">
        <v>2</v>
      </c>
      <c r="M2130" s="117">
        <f t="shared" si="149"/>
        <v>0.57229999999999992</v>
      </c>
      <c r="N2130" s="119">
        <f t="shared" si="150"/>
        <v>0</v>
      </c>
      <c r="O2130" s="120">
        <f t="shared" si="151"/>
        <v>0</v>
      </c>
      <c r="P2130" s="111"/>
      <c r="Q2130" s="111"/>
    </row>
    <row r="2131" spans="1:18">
      <c r="A2131" s="110" t="s">
        <v>308</v>
      </c>
      <c r="B2131" s="111" t="s">
        <v>309</v>
      </c>
      <c r="C2131" s="112" t="s">
        <v>228</v>
      </c>
      <c r="D2131" s="118" t="s">
        <v>17</v>
      </c>
      <c r="E2131" s="175" t="s">
        <v>15</v>
      </c>
      <c r="F2131" s="175" t="s">
        <v>66</v>
      </c>
      <c r="G2131" s="176">
        <v>29.5</v>
      </c>
      <c r="H2131" s="177">
        <v>10</v>
      </c>
      <c r="I2131" s="178">
        <v>12</v>
      </c>
      <c r="J2131" s="174">
        <f t="shared" si="148"/>
        <v>3.54</v>
      </c>
      <c r="K2131" s="118"/>
      <c r="L2131" s="111">
        <v>12</v>
      </c>
      <c r="M2131" s="117">
        <f t="shared" si="149"/>
        <v>3.54</v>
      </c>
      <c r="N2131" s="119">
        <f t="shared" si="150"/>
        <v>0</v>
      </c>
      <c r="O2131" s="120">
        <f t="shared" si="151"/>
        <v>0</v>
      </c>
      <c r="P2131" s="111"/>
      <c r="Q2131" s="111"/>
    </row>
    <row r="2132" spans="1:18">
      <c r="A2132" s="110" t="s">
        <v>308</v>
      </c>
      <c r="B2132" s="111" t="s">
        <v>309</v>
      </c>
      <c r="C2132" s="112" t="s">
        <v>228</v>
      </c>
      <c r="D2132" s="118" t="s">
        <v>17</v>
      </c>
      <c r="E2132" s="175" t="s">
        <v>15</v>
      </c>
      <c r="F2132" s="175" t="s">
        <v>66</v>
      </c>
      <c r="G2132" s="176">
        <v>29.5</v>
      </c>
      <c r="H2132" s="177">
        <v>10.1</v>
      </c>
      <c r="I2132" s="178">
        <v>4</v>
      </c>
      <c r="J2132" s="174">
        <f t="shared" si="148"/>
        <v>1.1918</v>
      </c>
      <c r="K2132" s="118"/>
      <c r="L2132" s="111">
        <v>4</v>
      </c>
      <c r="M2132" s="117">
        <f t="shared" si="149"/>
        <v>1.1918</v>
      </c>
      <c r="N2132" s="119">
        <f t="shared" si="150"/>
        <v>0</v>
      </c>
      <c r="O2132" s="120">
        <f t="shared" si="151"/>
        <v>0</v>
      </c>
      <c r="P2132" s="111"/>
      <c r="Q2132" s="111"/>
    </row>
    <row r="2133" spans="1:18">
      <c r="A2133" s="110" t="s">
        <v>308</v>
      </c>
      <c r="B2133" s="111" t="s">
        <v>309</v>
      </c>
      <c r="C2133" s="112" t="s">
        <v>228</v>
      </c>
      <c r="D2133" s="118" t="s">
        <v>17</v>
      </c>
      <c r="E2133" s="175" t="s">
        <v>15</v>
      </c>
      <c r="F2133" s="175" t="s">
        <v>66</v>
      </c>
      <c r="G2133" s="176">
        <v>29.5</v>
      </c>
      <c r="H2133" s="177">
        <v>11.8</v>
      </c>
      <c r="I2133" s="178">
        <v>28</v>
      </c>
      <c r="J2133" s="174">
        <f t="shared" si="148"/>
        <v>9.7468000000000004</v>
      </c>
      <c r="K2133" s="118"/>
      <c r="L2133" s="111">
        <v>28</v>
      </c>
      <c r="M2133" s="117">
        <f t="shared" si="149"/>
        <v>9.7468000000000004</v>
      </c>
      <c r="N2133" s="119">
        <f t="shared" si="150"/>
        <v>0</v>
      </c>
      <c r="O2133" s="120">
        <f t="shared" si="151"/>
        <v>0</v>
      </c>
      <c r="P2133" s="111"/>
      <c r="Q2133" s="111"/>
    </row>
    <row r="2134" spans="1:18">
      <c r="A2134" s="110" t="s">
        <v>308</v>
      </c>
      <c r="B2134" s="111" t="s">
        <v>309</v>
      </c>
      <c r="C2134" s="112" t="s">
        <v>228</v>
      </c>
      <c r="D2134" s="118" t="s">
        <v>17</v>
      </c>
      <c r="E2134" s="175" t="s">
        <v>15</v>
      </c>
      <c r="F2134" s="175" t="s">
        <v>66</v>
      </c>
      <c r="G2134" s="176">
        <v>29.5</v>
      </c>
      <c r="H2134" s="177">
        <v>11.7</v>
      </c>
      <c r="I2134" s="178">
        <v>2</v>
      </c>
      <c r="J2134" s="174">
        <f t="shared" si="148"/>
        <v>0.69029999999999991</v>
      </c>
      <c r="K2134" s="118"/>
      <c r="L2134" s="111"/>
      <c r="M2134" s="117">
        <f t="shared" si="149"/>
        <v>0</v>
      </c>
      <c r="N2134" s="145">
        <f t="shared" si="150"/>
        <v>2</v>
      </c>
      <c r="O2134" s="120">
        <f t="shared" si="151"/>
        <v>0.69029999999999991</v>
      </c>
      <c r="P2134" s="111" t="s">
        <v>373</v>
      </c>
      <c r="Q2134" s="72">
        <v>10.7</v>
      </c>
      <c r="R2134" s="77">
        <v>2</v>
      </c>
    </row>
    <row r="2135" spans="1:18">
      <c r="A2135" s="110" t="s">
        <v>308</v>
      </c>
      <c r="B2135" s="111" t="s">
        <v>309</v>
      </c>
      <c r="C2135" s="112" t="s">
        <v>228</v>
      </c>
      <c r="D2135" s="118" t="s">
        <v>17</v>
      </c>
      <c r="E2135" s="175" t="s">
        <v>15</v>
      </c>
      <c r="F2135" s="175" t="s">
        <v>66</v>
      </c>
      <c r="G2135" s="176">
        <v>29.5</v>
      </c>
      <c r="H2135" s="177">
        <v>11.8</v>
      </c>
      <c r="I2135" s="178">
        <v>1</v>
      </c>
      <c r="J2135" s="174">
        <f t="shared" si="148"/>
        <v>0.34810000000000002</v>
      </c>
      <c r="K2135" s="118"/>
      <c r="L2135" s="111">
        <v>1</v>
      </c>
      <c r="M2135" s="117">
        <f t="shared" si="149"/>
        <v>0.34810000000000002</v>
      </c>
      <c r="N2135" s="119">
        <f t="shared" si="150"/>
        <v>0</v>
      </c>
      <c r="O2135" s="120">
        <f t="shared" si="151"/>
        <v>0</v>
      </c>
      <c r="P2135" s="111"/>
      <c r="Q2135" s="111"/>
    </row>
    <row r="2136" spans="1:18">
      <c r="A2136" s="110" t="s">
        <v>308</v>
      </c>
      <c r="B2136" s="111" t="s">
        <v>309</v>
      </c>
      <c r="C2136" s="112" t="s">
        <v>228</v>
      </c>
      <c r="D2136" s="118" t="s">
        <v>17</v>
      </c>
      <c r="E2136" s="175" t="s">
        <v>15</v>
      </c>
      <c r="F2136" s="175" t="s">
        <v>66</v>
      </c>
      <c r="G2136" s="176">
        <v>29.5</v>
      </c>
      <c r="H2136" s="177">
        <v>9.6</v>
      </c>
      <c r="I2136" s="178">
        <v>4</v>
      </c>
      <c r="J2136" s="174">
        <f t="shared" si="148"/>
        <v>1.1328</v>
      </c>
      <c r="K2136" s="118"/>
      <c r="L2136" s="111"/>
      <c r="M2136" s="117">
        <f t="shared" si="149"/>
        <v>0</v>
      </c>
      <c r="N2136" s="119">
        <f t="shared" si="150"/>
        <v>4</v>
      </c>
      <c r="O2136" s="120">
        <f t="shared" si="151"/>
        <v>1.1328</v>
      </c>
      <c r="P2136" s="111"/>
      <c r="Q2136" s="111"/>
    </row>
    <row r="2137" spans="1:18">
      <c r="A2137" s="110" t="s">
        <v>308</v>
      </c>
      <c r="B2137" s="111" t="s">
        <v>309</v>
      </c>
      <c r="C2137" s="112" t="s">
        <v>228</v>
      </c>
      <c r="D2137" s="118" t="s">
        <v>17</v>
      </c>
      <c r="E2137" s="175" t="s">
        <v>15</v>
      </c>
      <c r="F2137" s="175" t="s">
        <v>66</v>
      </c>
      <c r="G2137" s="176">
        <v>29.5</v>
      </c>
      <c r="H2137" s="177">
        <v>10.5</v>
      </c>
      <c r="I2137" s="178">
        <v>3</v>
      </c>
      <c r="J2137" s="174">
        <f t="shared" si="148"/>
        <v>0.92925000000000002</v>
      </c>
      <c r="K2137" s="118"/>
      <c r="L2137" s="111">
        <f>2+1</f>
        <v>3</v>
      </c>
      <c r="M2137" s="117">
        <f t="shared" si="149"/>
        <v>0.92925000000000002</v>
      </c>
      <c r="N2137" s="119">
        <f t="shared" si="150"/>
        <v>0</v>
      </c>
      <c r="O2137" s="120">
        <f t="shared" si="151"/>
        <v>0</v>
      </c>
      <c r="P2137" s="111"/>
      <c r="Q2137" s="111"/>
    </row>
    <row r="2138" spans="1:18">
      <c r="A2138" s="110" t="s">
        <v>308</v>
      </c>
      <c r="B2138" s="111" t="s">
        <v>309</v>
      </c>
      <c r="C2138" s="112" t="s">
        <v>228</v>
      </c>
      <c r="D2138" s="118" t="s">
        <v>17</v>
      </c>
      <c r="E2138" s="175" t="s">
        <v>15</v>
      </c>
      <c r="F2138" s="175" t="s">
        <v>66</v>
      </c>
      <c r="G2138" s="176">
        <v>29.5</v>
      </c>
      <c r="H2138" s="177">
        <v>10.1</v>
      </c>
      <c r="I2138" s="178">
        <v>1</v>
      </c>
      <c r="J2138" s="174">
        <f t="shared" si="148"/>
        <v>0.29794999999999999</v>
      </c>
      <c r="K2138" s="118"/>
      <c r="L2138" s="111">
        <v>1</v>
      </c>
      <c r="M2138" s="117">
        <f t="shared" si="149"/>
        <v>0.29794999999999999</v>
      </c>
      <c r="N2138" s="119">
        <f t="shared" si="150"/>
        <v>0</v>
      </c>
      <c r="O2138" s="120">
        <f t="shared" si="151"/>
        <v>0</v>
      </c>
      <c r="P2138" s="111"/>
      <c r="Q2138" s="111"/>
    </row>
    <row r="2139" spans="1:18">
      <c r="A2139" s="110" t="s">
        <v>308</v>
      </c>
      <c r="B2139" s="111" t="s">
        <v>309</v>
      </c>
      <c r="C2139" s="112" t="s">
        <v>228</v>
      </c>
      <c r="D2139" s="118" t="s">
        <v>17</v>
      </c>
      <c r="E2139" s="175" t="s">
        <v>15</v>
      </c>
      <c r="F2139" s="175" t="s">
        <v>66</v>
      </c>
      <c r="G2139" s="176">
        <v>29.5</v>
      </c>
      <c r="H2139" s="177">
        <v>8.4</v>
      </c>
      <c r="I2139" s="178">
        <v>1</v>
      </c>
      <c r="J2139" s="174">
        <f t="shared" si="148"/>
        <v>0.24780000000000002</v>
      </c>
      <c r="K2139" s="118"/>
      <c r="L2139" s="111">
        <v>1</v>
      </c>
      <c r="M2139" s="117">
        <f t="shared" si="149"/>
        <v>0.24780000000000002</v>
      </c>
      <c r="N2139" s="119">
        <f t="shared" si="150"/>
        <v>0</v>
      </c>
      <c r="O2139" s="120">
        <f t="shared" si="151"/>
        <v>0</v>
      </c>
      <c r="P2139" s="111"/>
      <c r="Q2139" s="111"/>
    </row>
    <row r="2140" spans="1:18">
      <c r="A2140" s="110" t="s">
        <v>308</v>
      </c>
      <c r="B2140" s="111" t="s">
        <v>309</v>
      </c>
      <c r="C2140" s="112" t="s">
        <v>228</v>
      </c>
      <c r="D2140" s="118" t="s">
        <v>17</v>
      </c>
      <c r="E2140" s="175" t="s">
        <v>15</v>
      </c>
      <c r="F2140" s="175" t="s">
        <v>66</v>
      </c>
      <c r="G2140" s="176">
        <v>29.5</v>
      </c>
      <c r="H2140" s="177">
        <v>10.1</v>
      </c>
      <c r="I2140" s="178">
        <v>2</v>
      </c>
      <c r="J2140" s="174">
        <f t="shared" si="148"/>
        <v>0.59589999999999999</v>
      </c>
      <c r="K2140" s="118"/>
      <c r="L2140" s="111">
        <v>2</v>
      </c>
      <c r="M2140" s="117">
        <f t="shared" si="149"/>
        <v>0.59589999999999999</v>
      </c>
      <c r="N2140" s="119">
        <f t="shared" si="150"/>
        <v>0</v>
      </c>
      <c r="O2140" s="120">
        <f t="shared" si="151"/>
        <v>0</v>
      </c>
      <c r="P2140" s="111"/>
      <c r="Q2140" s="111"/>
    </row>
    <row r="2141" spans="1:18">
      <c r="A2141" s="110" t="s">
        <v>308</v>
      </c>
      <c r="B2141" s="111" t="s">
        <v>309</v>
      </c>
      <c r="C2141" s="112" t="s">
        <v>228</v>
      </c>
      <c r="D2141" s="118" t="s">
        <v>17</v>
      </c>
      <c r="E2141" s="175" t="s">
        <v>15</v>
      </c>
      <c r="F2141" s="175" t="s">
        <v>66</v>
      </c>
      <c r="G2141" s="176">
        <v>29.5</v>
      </c>
      <c r="H2141" s="177">
        <v>11.8</v>
      </c>
      <c r="I2141" s="178">
        <v>2</v>
      </c>
      <c r="J2141" s="174">
        <f t="shared" si="148"/>
        <v>0.69620000000000004</v>
      </c>
      <c r="K2141" s="118"/>
      <c r="L2141" s="111"/>
      <c r="M2141" s="117">
        <f t="shared" si="149"/>
        <v>0</v>
      </c>
      <c r="N2141" s="145">
        <f t="shared" si="150"/>
        <v>2</v>
      </c>
      <c r="O2141" s="120">
        <f t="shared" si="151"/>
        <v>0.69620000000000004</v>
      </c>
      <c r="P2141" s="111" t="s">
        <v>373</v>
      </c>
      <c r="Q2141" s="72">
        <v>10.7</v>
      </c>
      <c r="R2141" s="77">
        <v>2</v>
      </c>
    </row>
    <row r="2142" spans="1:18">
      <c r="A2142" s="110" t="s">
        <v>308</v>
      </c>
      <c r="B2142" s="111" t="s">
        <v>309</v>
      </c>
      <c r="C2142" s="112" t="s">
        <v>228</v>
      </c>
      <c r="D2142" s="118" t="s">
        <v>17</v>
      </c>
      <c r="E2142" s="175" t="s">
        <v>15</v>
      </c>
      <c r="F2142" s="175" t="s">
        <v>66</v>
      </c>
      <c r="G2142" s="176">
        <v>29.5</v>
      </c>
      <c r="H2142" s="177">
        <v>11.7</v>
      </c>
      <c r="I2142" s="178">
        <v>1</v>
      </c>
      <c r="J2142" s="174">
        <f t="shared" si="148"/>
        <v>0.34514999999999996</v>
      </c>
      <c r="K2142" s="118"/>
      <c r="L2142" s="111"/>
      <c r="M2142" s="117">
        <f t="shared" si="149"/>
        <v>0</v>
      </c>
      <c r="N2142" s="119">
        <f t="shared" si="150"/>
        <v>1</v>
      </c>
      <c r="O2142" s="120">
        <f t="shared" si="151"/>
        <v>0.34514999999999996</v>
      </c>
      <c r="P2142" s="111"/>
      <c r="Q2142" s="111"/>
    </row>
    <row r="2143" spans="1:18">
      <c r="A2143" s="110" t="s">
        <v>308</v>
      </c>
      <c r="B2143" s="111" t="s">
        <v>309</v>
      </c>
      <c r="C2143" s="112" t="s">
        <v>228</v>
      </c>
      <c r="D2143" s="118" t="s">
        <v>17</v>
      </c>
      <c r="E2143" s="175" t="s">
        <v>15</v>
      </c>
      <c r="F2143" s="175" t="s">
        <v>66</v>
      </c>
      <c r="G2143" s="176">
        <v>29.5</v>
      </c>
      <c r="H2143" s="179">
        <v>9.4</v>
      </c>
      <c r="I2143" s="178">
        <v>2</v>
      </c>
      <c r="J2143" s="174">
        <f t="shared" si="148"/>
        <v>0.55459999999999998</v>
      </c>
      <c r="K2143" s="118"/>
      <c r="L2143" s="111">
        <v>1</v>
      </c>
      <c r="M2143" s="117">
        <f t="shared" si="149"/>
        <v>0.27729999999999999</v>
      </c>
      <c r="N2143" s="119">
        <f t="shared" si="150"/>
        <v>1</v>
      </c>
      <c r="O2143" s="120">
        <f t="shared" si="151"/>
        <v>0.27729999999999999</v>
      </c>
      <c r="P2143" s="111"/>
      <c r="Q2143" s="111"/>
    </row>
    <row r="2144" spans="1:18">
      <c r="A2144" s="110" t="s">
        <v>308</v>
      </c>
      <c r="B2144" s="111" t="s">
        <v>309</v>
      </c>
      <c r="C2144" s="112" t="s">
        <v>228</v>
      </c>
      <c r="D2144" s="118" t="s">
        <v>17</v>
      </c>
      <c r="E2144" s="175" t="s">
        <v>15</v>
      </c>
      <c r="F2144" s="175" t="s">
        <v>66</v>
      </c>
      <c r="G2144" s="176">
        <v>29.5</v>
      </c>
      <c r="H2144" s="179">
        <v>6.5</v>
      </c>
      <c r="I2144" s="178">
        <v>1</v>
      </c>
      <c r="J2144" s="174">
        <f t="shared" si="148"/>
        <v>0.19175</v>
      </c>
      <c r="K2144" s="118"/>
      <c r="L2144" s="111"/>
      <c r="M2144" s="117">
        <f t="shared" si="149"/>
        <v>0</v>
      </c>
      <c r="N2144" s="119">
        <f t="shared" si="150"/>
        <v>1</v>
      </c>
      <c r="O2144" s="120">
        <f t="shared" si="151"/>
        <v>0.19175</v>
      </c>
      <c r="P2144" s="111"/>
      <c r="Q2144" s="111"/>
    </row>
    <row r="2145" spans="1:18">
      <c r="A2145" s="213"/>
      <c r="B2145" s="213"/>
      <c r="C2145" s="213"/>
      <c r="D2145" s="213"/>
      <c r="E2145" s="213"/>
      <c r="F2145" s="213"/>
      <c r="G2145" s="213"/>
      <c r="H2145" s="213"/>
      <c r="I2145" s="78">
        <f>SUM(I2128:I2144)</f>
        <v>96</v>
      </c>
      <c r="J2145" s="214">
        <f>SUM(J2128:J2144)</f>
        <v>28.349500000000003</v>
      </c>
      <c r="K2145" s="213"/>
      <c r="L2145" s="78">
        <f>SUM(L2128:L2144)</f>
        <v>85</v>
      </c>
      <c r="M2145" s="214">
        <f>SUM(M2128:M2144)</f>
        <v>25.016000000000002</v>
      </c>
      <c r="N2145" s="78">
        <f>SUM(N2128:N2144)</f>
        <v>11</v>
      </c>
      <c r="O2145" s="214">
        <f>SUM(O2128:O2144)</f>
        <v>3.3334999999999995</v>
      </c>
      <c r="P2145" s="213"/>
      <c r="Q2145" s="213"/>
      <c r="R2145" s="78">
        <f>SUM(R2128:R2144)</f>
        <v>4</v>
      </c>
    </row>
    <row r="2147" spans="1:18">
      <c r="A2147" s="110" t="s">
        <v>296</v>
      </c>
      <c r="B2147" s="111" t="s">
        <v>297</v>
      </c>
      <c r="C2147" s="112" t="s">
        <v>228</v>
      </c>
      <c r="D2147" s="113" t="s">
        <v>89</v>
      </c>
      <c r="E2147" s="175" t="s">
        <v>15</v>
      </c>
      <c r="F2147" s="175" t="s">
        <v>57</v>
      </c>
      <c r="G2147" s="176">
        <v>33.799999999999997</v>
      </c>
      <c r="H2147" s="177">
        <v>10.1</v>
      </c>
      <c r="I2147" s="178">
        <f>9+9+8</f>
        <v>26</v>
      </c>
      <c r="J2147" s="174">
        <f t="shared" ref="J2147:J2152" si="152">(G2147*H2147*I2147/1000)</f>
        <v>8.8758799999999987</v>
      </c>
      <c r="K2147" s="118"/>
      <c r="L2147" s="111">
        <v>26</v>
      </c>
      <c r="M2147" s="117">
        <f t="shared" ref="M2147:M2153" si="153">H2147*L2147*G2147/1000</f>
        <v>8.8758799999999969</v>
      </c>
      <c r="N2147" s="119">
        <f t="shared" ref="N2147:N2153" si="154">I2147-L2147</f>
        <v>0</v>
      </c>
      <c r="O2147" s="120">
        <f t="shared" ref="O2147:O2153" si="155">H2147*N2147*G2147/1000</f>
        <v>0</v>
      </c>
      <c r="P2147" s="111"/>
      <c r="Q2147" s="111"/>
      <c r="R2147" s="111"/>
    </row>
    <row r="2148" spans="1:18">
      <c r="A2148" s="110" t="s">
        <v>296</v>
      </c>
      <c r="B2148" s="111" t="s">
        <v>297</v>
      </c>
      <c r="C2148" s="112" t="s">
        <v>228</v>
      </c>
      <c r="D2148" s="113" t="s">
        <v>89</v>
      </c>
      <c r="E2148" s="175" t="s">
        <v>15</v>
      </c>
      <c r="F2148" s="175" t="s">
        <v>57</v>
      </c>
      <c r="G2148" s="176">
        <v>33.799999999999997</v>
      </c>
      <c r="H2148" s="177">
        <v>10.1</v>
      </c>
      <c r="I2148" s="178">
        <v>1</v>
      </c>
      <c r="J2148" s="174">
        <f t="shared" si="152"/>
        <v>0.34137999999999996</v>
      </c>
      <c r="K2148" s="118"/>
      <c r="L2148" s="111">
        <v>1</v>
      </c>
      <c r="M2148" s="117">
        <f t="shared" si="153"/>
        <v>0.34137999999999996</v>
      </c>
      <c r="N2148" s="119">
        <f t="shared" si="154"/>
        <v>0</v>
      </c>
      <c r="O2148" s="120">
        <f t="shared" si="155"/>
        <v>0</v>
      </c>
      <c r="P2148" s="111"/>
      <c r="Q2148" s="111"/>
      <c r="R2148" s="111"/>
    </row>
    <row r="2149" spans="1:18">
      <c r="A2149" s="110" t="s">
        <v>296</v>
      </c>
      <c r="B2149" s="111" t="s">
        <v>297</v>
      </c>
      <c r="C2149" s="112" t="s">
        <v>228</v>
      </c>
      <c r="D2149" s="113" t="s">
        <v>89</v>
      </c>
      <c r="E2149" s="175" t="s">
        <v>15</v>
      </c>
      <c r="F2149" s="175" t="s">
        <v>57</v>
      </c>
      <c r="G2149" s="176">
        <v>33.799999999999997</v>
      </c>
      <c r="H2149" s="177">
        <v>10</v>
      </c>
      <c r="I2149" s="178">
        <v>1</v>
      </c>
      <c r="J2149" s="174">
        <f t="shared" si="152"/>
        <v>0.33800000000000002</v>
      </c>
      <c r="K2149" s="118"/>
      <c r="L2149" s="111">
        <v>1</v>
      </c>
      <c r="M2149" s="117">
        <f t="shared" si="153"/>
        <v>0.33800000000000002</v>
      </c>
      <c r="N2149" s="119">
        <f t="shared" si="154"/>
        <v>0</v>
      </c>
      <c r="O2149" s="120">
        <f t="shared" si="155"/>
        <v>0</v>
      </c>
      <c r="P2149" s="111"/>
      <c r="Q2149" s="111"/>
      <c r="R2149" s="111"/>
    </row>
    <row r="2150" spans="1:18">
      <c r="A2150" s="110" t="s">
        <v>296</v>
      </c>
      <c r="B2150" s="111" t="s">
        <v>297</v>
      </c>
      <c r="C2150" s="112" t="s">
        <v>228</v>
      </c>
      <c r="D2150" s="113" t="s">
        <v>89</v>
      </c>
      <c r="E2150" s="175" t="s">
        <v>15</v>
      </c>
      <c r="F2150" s="175" t="s">
        <v>57</v>
      </c>
      <c r="G2150" s="176">
        <v>33.799999999999997</v>
      </c>
      <c r="H2150" s="177">
        <v>9.8000000000000007</v>
      </c>
      <c r="I2150" s="178">
        <v>2</v>
      </c>
      <c r="J2150" s="174">
        <f t="shared" si="152"/>
        <v>0.66248000000000007</v>
      </c>
      <c r="K2150" s="118"/>
      <c r="L2150" s="111">
        <v>2</v>
      </c>
      <c r="M2150" s="117">
        <f t="shared" si="153"/>
        <v>0.66248000000000007</v>
      </c>
      <c r="N2150" s="119">
        <f t="shared" si="154"/>
        <v>0</v>
      </c>
      <c r="O2150" s="120">
        <f t="shared" si="155"/>
        <v>0</v>
      </c>
      <c r="P2150" s="111"/>
      <c r="Q2150" s="111"/>
      <c r="R2150" s="111"/>
    </row>
    <row r="2151" spans="1:18">
      <c r="A2151" s="110" t="s">
        <v>296</v>
      </c>
      <c r="B2151" s="111" t="s">
        <v>297</v>
      </c>
      <c r="C2151" s="112" t="s">
        <v>228</v>
      </c>
      <c r="D2151" s="113" t="s">
        <v>89</v>
      </c>
      <c r="E2151" s="175" t="s">
        <v>15</v>
      </c>
      <c r="F2151" s="175" t="s">
        <v>57</v>
      </c>
      <c r="G2151" s="176">
        <v>33.799999999999997</v>
      </c>
      <c r="H2151" s="177">
        <v>9.6999999999999993</v>
      </c>
      <c r="I2151" s="178">
        <v>1</v>
      </c>
      <c r="J2151" s="174">
        <f t="shared" si="152"/>
        <v>0.32785999999999993</v>
      </c>
      <c r="K2151" s="118"/>
      <c r="L2151" s="111">
        <v>1</v>
      </c>
      <c r="M2151" s="117">
        <f t="shared" si="153"/>
        <v>0.32785999999999993</v>
      </c>
      <c r="N2151" s="119">
        <f t="shared" si="154"/>
        <v>0</v>
      </c>
      <c r="O2151" s="120">
        <f t="shared" si="155"/>
        <v>0</v>
      </c>
      <c r="P2151" s="111"/>
      <c r="Q2151" s="111"/>
      <c r="R2151" s="111"/>
    </row>
    <row r="2152" spans="1:18">
      <c r="A2152" s="110" t="s">
        <v>296</v>
      </c>
      <c r="B2152" s="111" t="s">
        <v>297</v>
      </c>
      <c r="C2152" s="112" t="s">
        <v>228</v>
      </c>
      <c r="D2152" s="113" t="s">
        <v>89</v>
      </c>
      <c r="E2152" s="175" t="s">
        <v>15</v>
      </c>
      <c r="F2152" s="175" t="s">
        <v>57</v>
      </c>
      <c r="G2152" s="176">
        <v>33.799999999999997</v>
      </c>
      <c r="H2152" s="177">
        <v>10.1</v>
      </c>
      <c r="I2152" s="178">
        <v>1</v>
      </c>
      <c r="J2152" s="174">
        <f t="shared" si="152"/>
        <v>0.34137999999999996</v>
      </c>
      <c r="K2152" s="183" t="s">
        <v>300</v>
      </c>
      <c r="L2152" s="111">
        <v>1</v>
      </c>
      <c r="M2152" s="117">
        <f t="shared" si="153"/>
        <v>0.34137999999999996</v>
      </c>
      <c r="N2152" s="119">
        <f t="shared" si="154"/>
        <v>0</v>
      </c>
      <c r="O2152" s="120">
        <f t="shared" si="155"/>
        <v>0</v>
      </c>
      <c r="P2152" s="111"/>
      <c r="Q2152" s="111"/>
      <c r="R2152" s="111"/>
    </row>
    <row r="2153" spans="1:18">
      <c r="A2153" s="201" t="s">
        <v>296</v>
      </c>
      <c r="B2153" s="93" t="s">
        <v>297</v>
      </c>
      <c r="C2153" s="202" t="s">
        <v>228</v>
      </c>
      <c r="D2153" s="203" t="s">
        <v>89</v>
      </c>
      <c r="E2153" s="204" t="s">
        <v>15</v>
      </c>
      <c r="F2153" s="204" t="s">
        <v>54</v>
      </c>
      <c r="G2153" s="205">
        <v>33.799999999999997</v>
      </c>
      <c r="H2153" s="206">
        <v>10.1</v>
      </c>
      <c r="I2153" s="207">
        <v>2</v>
      </c>
      <c r="J2153" s="208">
        <f>(G2153*H2153*I2153/1000)</f>
        <v>0.68275999999999992</v>
      </c>
      <c r="K2153" s="209"/>
      <c r="L2153" s="93"/>
      <c r="M2153" s="210">
        <f t="shared" si="153"/>
        <v>0</v>
      </c>
      <c r="N2153" s="211">
        <f t="shared" si="154"/>
        <v>2</v>
      </c>
      <c r="O2153" s="212">
        <f t="shared" si="155"/>
        <v>0.68275999999999992</v>
      </c>
      <c r="P2153" s="93" t="s">
        <v>310</v>
      </c>
      <c r="Q2153" s="93">
        <v>9.6999999999999993</v>
      </c>
      <c r="R2153" s="93">
        <v>2</v>
      </c>
    </row>
    <row r="2154" spans="1:18">
      <c r="A2154" s="213"/>
      <c r="B2154" s="213"/>
      <c r="C2154" s="213"/>
      <c r="D2154" s="213"/>
      <c r="E2154" s="213"/>
      <c r="F2154" s="213"/>
      <c r="G2154" s="213"/>
      <c r="H2154" s="213"/>
      <c r="I2154" s="78">
        <f>SUM(I2147:I2153)</f>
        <v>34</v>
      </c>
      <c r="J2154" s="214">
        <f>SUM(J2147:J2153)</f>
        <v>11.569739999999996</v>
      </c>
      <c r="K2154" s="213"/>
      <c r="L2154" s="80">
        <f>SUM(L2147:L2153)</f>
        <v>32</v>
      </c>
      <c r="M2154" s="128">
        <f>SUM(M2147:M2153)</f>
        <v>10.886979999999994</v>
      </c>
      <c r="N2154" s="78">
        <f>SUM(N2147:N2153)</f>
        <v>2</v>
      </c>
      <c r="O2154" s="128">
        <f>SUM(O2147:O2153)</f>
        <v>0.68275999999999992</v>
      </c>
      <c r="P2154" s="213"/>
      <c r="Q2154" s="213"/>
      <c r="R2154" s="80">
        <f>SUM(R2147:R2153)</f>
        <v>2</v>
      </c>
    </row>
    <row r="2156" spans="1:18">
      <c r="A2156" s="110" t="s">
        <v>308</v>
      </c>
      <c r="B2156" s="111" t="s">
        <v>297</v>
      </c>
      <c r="C2156" s="112" t="s">
        <v>228</v>
      </c>
      <c r="D2156" s="113" t="s">
        <v>20</v>
      </c>
      <c r="E2156" s="175" t="s">
        <v>15</v>
      </c>
      <c r="F2156" s="175" t="s">
        <v>54</v>
      </c>
      <c r="G2156" s="176">
        <v>31.6</v>
      </c>
      <c r="H2156" s="177">
        <v>11.9</v>
      </c>
      <c r="I2156" s="178">
        <f>9+5</f>
        <v>14</v>
      </c>
      <c r="J2156" s="174">
        <f t="shared" ref="J2156:J2164" si="156">(G2156*H2156*I2156/1000)</f>
        <v>5.2645600000000004</v>
      </c>
      <c r="K2156" s="118"/>
      <c r="L2156" s="111">
        <v>14</v>
      </c>
      <c r="M2156" s="117">
        <f t="shared" ref="M2156:M2164" si="157">H2156*L2156*G2156/1000</f>
        <v>5.2645600000000004</v>
      </c>
      <c r="N2156" s="119">
        <f t="shared" ref="N2156:N2164" si="158">I2156-L2156</f>
        <v>0</v>
      </c>
      <c r="O2156" s="120">
        <f t="shared" ref="O2156:O2163" si="159">H2156*N2156*G2156/1000</f>
        <v>0</v>
      </c>
      <c r="P2156" s="111"/>
      <c r="Q2156" s="111"/>
      <c r="R2156" s="111"/>
    </row>
    <row r="2157" spans="1:18">
      <c r="A2157" s="110" t="s">
        <v>308</v>
      </c>
      <c r="B2157" s="111" t="s">
        <v>297</v>
      </c>
      <c r="C2157" s="112" t="s">
        <v>228</v>
      </c>
      <c r="D2157" s="113" t="s">
        <v>20</v>
      </c>
      <c r="E2157" s="175" t="s">
        <v>15</v>
      </c>
      <c r="F2157" s="175" t="s">
        <v>54</v>
      </c>
      <c r="G2157" s="176">
        <v>31.6</v>
      </c>
      <c r="H2157" s="177">
        <v>10.1</v>
      </c>
      <c r="I2157" s="178">
        <f>10+10+11+10+10+10+9+9+9+9+9+9+9+10+11+11+4+10</f>
        <v>170</v>
      </c>
      <c r="J2157" s="174">
        <f t="shared" si="156"/>
        <v>54.257200000000005</v>
      </c>
      <c r="K2157" s="118"/>
      <c r="L2157" s="111">
        <f>160+3+7</f>
        <v>170</v>
      </c>
      <c r="M2157" s="117">
        <f t="shared" si="157"/>
        <v>54.257200000000005</v>
      </c>
      <c r="N2157" s="145">
        <f t="shared" si="158"/>
        <v>0</v>
      </c>
      <c r="O2157" s="120">
        <f t="shared" si="159"/>
        <v>0</v>
      </c>
      <c r="P2157" s="159"/>
      <c r="Q2157" s="111"/>
      <c r="R2157" s="111"/>
    </row>
    <row r="2158" spans="1:18">
      <c r="A2158" s="110" t="s">
        <v>308</v>
      </c>
      <c r="B2158" s="111" t="s">
        <v>297</v>
      </c>
      <c r="C2158" s="112" t="s">
        <v>228</v>
      </c>
      <c r="D2158" s="113" t="s">
        <v>20</v>
      </c>
      <c r="E2158" s="175" t="s">
        <v>15</v>
      </c>
      <c r="F2158" s="175" t="s">
        <v>54</v>
      </c>
      <c r="G2158" s="176">
        <v>31.6</v>
      </c>
      <c r="H2158" s="177">
        <v>11.6</v>
      </c>
      <c r="I2158" s="178">
        <v>4</v>
      </c>
      <c r="J2158" s="174">
        <f t="shared" si="156"/>
        <v>1.46624</v>
      </c>
      <c r="K2158" s="118"/>
      <c r="L2158" s="111">
        <v>4</v>
      </c>
      <c r="M2158" s="117">
        <f t="shared" si="157"/>
        <v>1.46624</v>
      </c>
      <c r="N2158" s="119">
        <f t="shared" si="158"/>
        <v>0</v>
      </c>
      <c r="O2158" s="120">
        <f t="shared" si="159"/>
        <v>0</v>
      </c>
      <c r="P2158" s="159"/>
      <c r="Q2158" s="111"/>
      <c r="R2158" s="111"/>
    </row>
    <row r="2159" spans="1:18">
      <c r="A2159" s="110" t="s">
        <v>308</v>
      </c>
      <c r="B2159" s="111" t="s">
        <v>297</v>
      </c>
      <c r="C2159" s="112" t="s">
        <v>228</v>
      </c>
      <c r="D2159" s="113" t="s">
        <v>20</v>
      </c>
      <c r="E2159" s="175" t="s">
        <v>15</v>
      </c>
      <c r="F2159" s="175" t="s">
        <v>54</v>
      </c>
      <c r="G2159" s="176">
        <v>31.6</v>
      </c>
      <c r="H2159" s="177">
        <v>11.8</v>
      </c>
      <c r="I2159" s="178">
        <v>1</v>
      </c>
      <c r="J2159" s="174">
        <f t="shared" si="156"/>
        <v>0.37288000000000004</v>
      </c>
      <c r="K2159" s="118"/>
      <c r="L2159" s="111">
        <v>1</v>
      </c>
      <c r="M2159" s="117">
        <f t="shared" si="157"/>
        <v>0.37288000000000004</v>
      </c>
      <c r="N2159" s="119">
        <f t="shared" si="158"/>
        <v>0</v>
      </c>
      <c r="O2159" s="120">
        <f t="shared" si="159"/>
        <v>0</v>
      </c>
      <c r="P2159" s="159"/>
      <c r="Q2159" s="111"/>
      <c r="R2159" s="111"/>
    </row>
    <row r="2160" spans="1:18">
      <c r="A2160" s="110" t="s">
        <v>308</v>
      </c>
      <c r="B2160" s="111" t="s">
        <v>297</v>
      </c>
      <c r="C2160" s="112" t="s">
        <v>228</v>
      </c>
      <c r="D2160" s="113" t="s">
        <v>20</v>
      </c>
      <c r="E2160" s="175" t="s">
        <v>15</v>
      </c>
      <c r="F2160" s="175" t="s">
        <v>54</v>
      </c>
      <c r="G2160" s="176">
        <v>31.6</v>
      </c>
      <c r="H2160" s="177">
        <v>11.7</v>
      </c>
      <c r="I2160" s="178">
        <v>1</v>
      </c>
      <c r="J2160" s="174">
        <f t="shared" si="156"/>
        <v>0.36971999999999999</v>
      </c>
      <c r="K2160" s="118"/>
      <c r="L2160" s="111">
        <v>1</v>
      </c>
      <c r="M2160" s="117">
        <f t="shared" si="157"/>
        <v>0.36971999999999999</v>
      </c>
      <c r="N2160" s="119">
        <f t="shared" si="158"/>
        <v>0</v>
      </c>
      <c r="O2160" s="120">
        <f t="shared" si="159"/>
        <v>0</v>
      </c>
      <c r="P2160" s="159"/>
      <c r="Q2160" s="111"/>
      <c r="R2160" s="111"/>
    </row>
    <row r="2161" spans="1:19">
      <c r="A2161" s="110" t="s">
        <v>308</v>
      </c>
      <c r="B2161" s="111" t="s">
        <v>297</v>
      </c>
      <c r="C2161" s="112" t="s">
        <v>228</v>
      </c>
      <c r="D2161" s="113" t="s">
        <v>20</v>
      </c>
      <c r="E2161" s="175" t="s">
        <v>15</v>
      </c>
      <c r="F2161" s="175" t="s">
        <v>54</v>
      </c>
      <c r="G2161" s="176">
        <v>31.6</v>
      </c>
      <c r="H2161" s="177">
        <v>9.3000000000000007</v>
      </c>
      <c r="I2161" s="178">
        <v>1</v>
      </c>
      <c r="J2161" s="174">
        <f t="shared" si="156"/>
        <v>0.29388000000000003</v>
      </c>
      <c r="K2161" s="118"/>
      <c r="L2161" s="111"/>
      <c r="M2161" s="117">
        <f t="shared" si="157"/>
        <v>0</v>
      </c>
      <c r="N2161" s="119">
        <f t="shared" si="158"/>
        <v>1</v>
      </c>
      <c r="O2161" s="120">
        <f t="shared" si="159"/>
        <v>0.29388000000000003</v>
      </c>
      <c r="P2161" s="111"/>
      <c r="Q2161" s="111"/>
      <c r="R2161" s="111"/>
    </row>
    <row r="2162" spans="1:19">
      <c r="A2162" s="110" t="s">
        <v>308</v>
      </c>
      <c r="B2162" s="111" t="s">
        <v>297</v>
      </c>
      <c r="C2162" s="112" t="s">
        <v>228</v>
      </c>
      <c r="D2162" s="113" t="s">
        <v>20</v>
      </c>
      <c r="E2162" s="175" t="s">
        <v>15</v>
      </c>
      <c r="F2162" s="175" t="s">
        <v>54</v>
      </c>
      <c r="G2162" s="176">
        <v>31.6</v>
      </c>
      <c r="H2162" s="177">
        <v>9.5</v>
      </c>
      <c r="I2162" s="178">
        <v>1</v>
      </c>
      <c r="J2162" s="174">
        <f t="shared" si="156"/>
        <v>0.30019999999999997</v>
      </c>
      <c r="K2162" s="118"/>
      <c r="L2162" s="111"/>
      <c r="M2162" s="117">
        <f t="shared" si="157"/>
        <v>0</v>
      </c>
      <c r="N2162" s="119">
        <f t="shared" si="158"/>
        <v>1</v>
      </c>
      <c r="O2162" s="120">
        <f t="shared" si="159"/>
        <v>0.30019999999999997</v>
      </c>
      <c r="P2162" s="111"/>
      <c r="Q2162" s="111"/>
      <c r="R2162" s="111"/>
    </row>
    <row r="2163" spans="1:19">
      <c r="A2163" s="110" t="s">
        <v>308</v>
      </c>
      <c r="B2163" s="111" t="s">
        <v>297</v>
      </c>
      <c r="C2163" s="112" t="s">
        <v>228</v>
      </c>
      <c r="D2163" s="113" t="s">
        <v>20</v>
      </c>
      <c r="E2163" s="175" t="s">
        <v>15</v>
      </c>
      <c r="F2163" s="175" t="s">
        <v>54</v>
      </c>
      <c r="G2163" s="176">
        <v>31.6</v>
      </c>
      <c r="H2163" s="177">
        <v>9.6999999999999993</v>
      </c>
      <c r="I2163" s="178">
        <v>1</v>
      </c>
      <c r="J2163" s="174">
        <f t="shared" si="156"/>
        <v>0.30651999999999996</v>
      </c>
      <c r="K2163" s="118"/>
      <c r="L2163" s="111">
        <v>1</v>
      </c>
      <c r="M2163" s="117">
        <f t="shared" si="157"/>
        <v>0.30651999999999996</v>
      </c>
      <c r="N2163" s="119">
        <f t="shared" si="158"/>
        <v>0</v>
      </c>
      <c r="O2163" s="120">
        <f t="shared" si="159"/>
        <v>0</v>
      </c>
      <c r="P2163" s="98">
        <v>9.6999999999999993</v>
      </c>
      <c r="Q2163" s="91">
        <v>1</v>
      </c>
      <c r="R2163" s="91" t="s">
        <v>404</v>
      </c>
    </row>
    <row r="2164" spans="1:19">
      <c r="A2164" s="110" t="s">
        <v>308</v>
      </c>
      <c r="B2164" s="111" t="s">
        <v>297</v>
      </c>
      <c r="C2164" s="112" t="s">
        <v>228</v>
      </c>
      <c r="D2164" s="113" t="s">
        <v>20</v>
      </c>
      <c r="E2164" s="175" t="s">
        <v>15</v>
      </c>
      <c r="F2164" s="175" t="s">
        <v>54</v>
      </c>
      <c r="G2164" s="176">
        <v>31.6</v>
      </c>
      <c r="H2164" s="177">
        <v>9.9</v>
      </c>
      <c r="I2164" s="178">
        <v>2</v>
      </c>
      <c r="J2164" s="174">
        <f t="shared" si="156"/>
        <v>0.62568000000000001</v>
      </c>
      <c r="K2164" s="118"/>
      <c r="L2164" s="111">
        <v>2</v>
      </c>
      <c r="M2164" s="117">
        <f t="shared" si="157"/>
        <v>0.62568000000000001</v>
      </c>
      <c r="N2164" s="119">
        <f t="shared" si="158"/>
        <v>0</v>
      </c>
      <c r="O2164" s="120">
        <f>H2164*N2164*G2164/1000</f>
        <v>0</v>
      </c>
      <c r="P2164" s="98">
        <v>9.6999999999999993</v>
      </c>
      <c r="Q2164" s="91">
        <v>2</v>
      </c>
      <c r="R2164" s="91" t="s">
        <v>404</v>
      </c>
    </row>
    <row r="2165" spans="1:19">
      <c r="A2165" s="213"/>
      <c r="B2165" s="213"/>
      <c r="C2165" s="213"/>
      <c r="D2165" s="213"/>
      <c r="E2165" s="213"/>
      <c r="F2165" s="213"/>
      <c r="G2165" s="213"/>
      <c r="H2165" s="213"/>
      <c r="I2165" s="78">
        <f>SUM(I2156:I2164)</f>
        <v>195</v>
      </c>
      <c r="J2165" s="214">
        <f>SUM(J2156:J2164)</f>
        <v>63.25688000000001</v>
      </c>
      <c r="K2165" s="213"/>
      <c r="L2165" s="80">
        <f>SUM(L2156:L2164)</f>
        <v>193</v>
      </c>
      <c r="M2165" s="128">
        <f>SUM(M2156:M2164)</f>
        <v>62.662800000000011</v>
      </c>
      <c r="N2165" s="78">
        <f>SUM(N2156:N2164)</f>
        <v>2</v>
      </c>
      <c r="O2165" s="128">
        <f>SUM(O2156:O2164)</f>
        <v>0.59407999999999994</v>
      </c>
      <c r="P2165" s="213"/>
      <c r="Q2165" s="78">
        <f>SUM(Q2156:Q2164)</f>
        <v>3</v>
      </c>
      <c r="R2165" s="213"/>
    </row>
    <row r="2167" spans="1:19">
      <c r="A2167" s="42" t="s">
        <v>77</v>
      </c>
      <c r="B2167" s="3" t="s">
        <v>68</v>
      </c>
      <c r="C2167" s="3">
        <v>156</v>
      </c>
      <c r="D2167" s="1"/>
      <c r="E2167" s="20" t="s">
        <v>17</v>
      </c>
      <c r="F2167" s="7" t="s">
        <v>15</v>
      </c>
      <c r="G2167" s="7" t="s">
        <v>53</v>
      </c>
      <c r="H2167" s="11">
        <v>35.840000000000003</v>
      </c>
      <c r="I2167" s="8">
        <v>9.5</v>
      </c>
      <c r="J2167" s="26">
        <v>1</v>
      </c>
      <c r="K2167" s="10">
        <v>0.34048</v>
      </c>
      <c r="L2167" s="4"/>
      <c r="M2167" s="17">
        <v>1</v>
      </c>
      <c r="N2167" s="18">
        <v>0.34048</v>
      </c>
      <c r="O2167" s="19">
        <v>0</v>
      </c>
      <c r="P2167" s="13">
        <v>0</v>
      </c>
      <c r="Q2167" s="9"/>
      <c r="R2167" s="2"/>
      <c r="S2167" s="2"/>
    </row>
    <row r="2168" spans="1:19">
      <c r="A2168" s="42" t="s">
        <v>77</v>
      </c>
      <c r="B2168" s="3" t="s">
        <v>68</v>
      </c>
      <c r="C2168" s="3">
        <v>156</v>
      </c>
      <c r="D2168" s="1"/>
      <c r="E2168" s="20" t="s">
        <v>17</v>
      </c>
      <c r="F2168" s="7" t="s">
        <v>15</v>
      </c>
      <c r="G2168" s="7" t="s">
        <v>53</v>
      </c>
      <c r="H2168" s="11">
        <v>35.840000000000003</v>
      </c>
      <c r="I2168" s="8">
        <v>10</v>
      </c>
      <c r="J2168" s="26">
        <v>1</v>
      </c>
      <c r="K2168" s="10">
        <v>0.35840000000000005</v>
      </c>
      <c r="L2168" s="4"/>
      <c r="M2168" s="17">
        <v>1</v>
      </c>
      <c r="N2168" s="18">
        <v>0.35840000000000005</v>
      </c>
      <c r="O2168" s="19">
        <v>0</v>
      </c>
      <c r="P2168" s="13">
        <v>0</v>
      </c>
      <c r="Q2168" s="9"/>
      <c r="R2168" s="2"/>
      <c r="S2168" s="2"/>
    </row>
    <row r="2169" spans="1:19">
      <c r="A2169" s="42" t="s">
        <v>77</v>
      </c>
      <c r="B2169" s="3" t="s">
        <v>68</v>
      </c>
      <c r="C2169" s="3">
        <v>156</v>
      </c>
      <c r="D2169" s="1"/>
      <c r="E2169" s="20" t="s">
        <v>17</v>
      </c>
      <c r="F2169" s="7" t="s">
        <v>15</v>
      </c>
      <c r="G2169" s="7" t="s">
        <v>53</v>
      </c>
      <c r="H2169" s="11">
        <v>35.840000000000003</v>
      </c>
      <c r="I2169" s="8">
        <v>11</v>
      </c>
      <c r="J2169" s="26">
        <v>2</v>
      </c>
      <c r="K2169" s="10">
        <v>0.78848000000000007</v>
      </c>
      <c r="L2169" s="4"/>
      <c r="M2169" s="17">
        <v>2</v>
      </c>
      <c r="N2169" s="18">
        <v>0.78848000000000007</v>
      </c>
      <c r="O2169" s="19">
        <v>0</v>
      </c>
      <c r="P2169" s="13">
        <v>0</v>
      </c>
      <c r="Q2169" s="9"/>
      <c r="R2169" s="2"/>
      <c r="S2169" s="2"/>
    </row>
    <row r="2170" spans="1:19">
      <c r="A2170" s="42" t="s">
        <v>77</v>
      </c>
      <c r="B2170" s="3" t="s">
        <v>68</v>
      </c>
      <c r="C2170" s="3">
        <v>216</v>
      </c>
      <c r="D2170" s="1"/>
      <c r="E2170" s="12" t="s">
        <v>73</v>
      </c>
      <c r="F2170" s="7" t="s">
        <v>15</v>
      </c>
      <c r="G2170" s="7" t="s">
        <v>53</v>
      </c>
      <c r="H2170" s="11">
        <v>35.840000000000003</v>
      </c>
      <c r="I2170" s="8">
        <v>7.4</v>
      </c>
      <c r="J2170" s="26">
        <v>1</v>
      </c>
      <c r="K2170" s="10">
        <v>0.26521600000000006</v>
      </c>
      <c r="L2170" s="4"/>
      <c r="M2170" s="17"/>
      <c r="N2170" s="18">
        <v>0</v>
      </c>
      <c r="O2170" s="19">
        <v>1</v>
      </c>
      <c r="P2170" s="13">
        <v>0.26521600000000006</v>
      </c>
      <c r="Q2170" s="9"/>
      <c r="R2170" s="2"/>
      <c r="S2170" s="2"/>
    </row>
    <row r="2171" spans="1:19">
      <c r="A2171" s="42" t="s">
        <v>77</v>
      </c>
      <c r="B2171" s="3" t="s">
        <v>68</v>
      </c>
      <c r="C2171" s="3">
        <v>252</v>
      </c>
      <c r="D2171" s="1"/>
      <c r="E2171" s="12" t="s">
        <v>20</v>
      </c>
      <c r="F2171" s="7" t="s">
        <v>15</v>
      </c>
      <c r="G2171" s="7" t="s">
        <v>53</v>
      </c>
      <c r="H2171" s="11">
        <v>35.840000000000003</v>
      </c>
      <c r="I2171" s="8">
        <v>6</v>
      </c>
      <c r="J2171" s="26">
        <v>1</v>
      </c>
      <c r="K2171" s="10">
        <v>0.21504000000000001</v>
      </c>
      <c r="L2171" s="4"/>
      <c r="M2171" s="17"/>
      <c r="N2171" s="18">
        <v>0</v>
      </c>
      <c r="O2171" s="19">
        <v>1</v>
      </c>
      <c r="P2171" s="13">
        <v>0.21504000000000001</v>
      </c>
      <c r="Q2171" s="9"/>
      <c r="R2171" s="2"/>
      <c r="S2171" s="2"/>
    </row>
    <row r="2172" spans="1:19">
      <c r="A2172" s="44" t="s">
        <v>78</v>
      </c>
      <c r="B2172" s="3" t="s">
        <v>80</v>
      </c>
      <c r="C2172" s="3">
        <v>15</v>
      </c>
      <c r="D2172" s="1"/>
      <c r="E2172" s="20" t="s">
        <v>76</v>
      </c>
      <c r="F2172" s="7" t="s">
        <v>15</v>
      </c>
      <c r="G2172" s="7" t="s">
        <v>53</v>
      </c>
      <c r="H2172" s="11">
        <v>35.840000000000003</v>
      </c>
      <c r="I2172" s="8">
        <v>9.3000000000000007</v>
      </c>
      <c r="J2172" s="26">
        <v>1</v>
      </c>
      <c r="K2172" s="10">
        <v>0.33331200000000005</v>
      </c>
      <c r="L2172" s="4"/>
      <c r="M2172" s="17">
        <v>1</v>
      </c>
      <c r="N2172" s="18">
        <v>0.33331200000000005</v>
      </c>
      <c r="O2172" s="19">
        <v>0</v>
      </c>
      <c r="P2172" s="13">
        <v>0</v>
      </c>
      <c r="Q2172" s="73">
        <v>7.8</v>
      </c>
      <c r="R2172" s="72">
        <v>1</v>
      </c>
      <c r="S2172" s="72" t="s">
        <v>405</v>
      </c>
    </row>
    <row r="2173" spans="1:19">
      <c r="A2173" s="44" t="s">
        <v>78</v>
      </c>
      <c r="B2173" s="32" t="s">
        <v>111</v>
      </c>
      <c r="C2173" s="3">
        <v>1</v>
      </c>
      <c r="D2173" s="1"/>
      <c r="E2173" s="20" t="s">
        <v>128</v>
      </c>
      <c r="F2173" s="7" t="s">
        <v>15</v>
      </c>
      <c r="G2173" s="7" t="s">
        <v>53</v>
      </c>
      <c r="H2173" s="11">
        <v>35.840000000000003</v>
      </c>
      <c r="I2173" s="55">
        <v>8.1999999999999993</v>
      </c>
      <c r="J2173" s="40">
        <v>2</v>
      </c>
      <c r="K2173" s="10">
        <v>0.58777599999999997</v>
      </c>
      <c r="L2173" s="257" t="s">
        <v>129</v>
      </c>
      <c r="M2173" s="17">
        <v>2</v>
      </c>
      <c r="N2173" s="18">
        <v>0.58777599999999997</v>
      </c>
      <c r="O2173" s="19">
        <v>0</v>
      </c>
      <c r="P2173" s="13">
        <v>0</v>
      </c>
      <c r="Q2173" s="73">
        <v>7.8</v>
      </c>
      <c r="R2173" s="72">
        <v>2</v>
      </c>
      <c r="S2173" s="72" t="s">
        <v>405</v>
      </c>
    </row>
    <row r="2174" spans="1:19">
      <c r="A2174" s="44" t="s">
        <v>78</v>
      </c>
      <c r="B2174" s="32" t="s">
        <v>111</v>
      </c>
      <c r="C2174" s="3">
        <v>1</v>
      </c>
      <c r="D2174" s="1"/>
      <c r="E2174" s="20" t="s">
        <v>128</v>
      </c>
      <c r="F2174" s="7" t="s">
        <v>15</v>
      </c>
      <c r="G2174" s="7" t="s">
        <v>53</v>
      </c>
      <c r="H2174" s="11">
        <v>35.840000000000003</v>
      </c>
      <c r="I2174" s="55">
        <v>6.5</v>
      </c>
      <c r="J2174" s="40">
        <v>1</v>
      </c>
      <c r="K2174" s="10">
        <v>0.23296000000000003</v>
      </c>
      <c r="L2174" s="257" t="s">
        <v>129</v>
      </c>
      <c r="M2174" s="17"/>
      <c r="N2174" s="18">
        <v>0</v>
      </c>
      <c r="O2174" s="19">
        <v>1</v>
      </c>
      <c r="P2174" s="13">
        <v>0.23296000000000003</v>
      </c>
      <c r="Q2174" s="32"/>
      <c r="R2174" s="32"/>
      <c r="S2174" s="32"/>
    </row>
    <row r="2175" spans="1:19">
      <c r="A2175" s="45" t="s">
        <v>136</v>
      </c>
      <c r="B2175" s="32" t="s">
        <v>137</v>
      </c>
      <c r="C2175" s="3">
        <v>75</v>
      </c>
      <c r="D2175" s="32"/>
      <c r="E2175" s="20" t="s">
        <v>20</v>
      </c>
      <c r="F2175" s="7" t="s">
        <v>15</v>
      </c>
      <c r="G2175" s="7" t="s">
        <v>53</v>
      </c>
      <c r="H2175" s="11">
        <v>35.840000000000003</v>
      </c>
      <c r="I2175" s="55">
        <v>6.15</v>
      </c>
      <c r="J2175" s="40">
        <v>2</v>
      </c>
      <c r="K2175" s="10">
        <v>0.44083200000000006</v>
      </c>
      <c r="L2175" s="4"/>
      <c r="M2175" s="17"/>
      <c r="N2175" s="18">
        <v>0</v>
      </c>
      <c r="O2175" s="19">
        <v>2</v>
      </c>
      <c r="P2175" s="13">
        <v>0.44083200000000006</v>
      </c>
      <c r="Q2175" s="32"/>
      <c r="R2175" s="32"/>
      <c r="S2175" s="32"/>
    </row>
    <row r="2176" spans="1:19">
      <c r="A2176" s="45" t="s">
        <v>136</v>
      </c>
      <c r="B2176" s="32" t="s">
        <v>137</v>
      </c>
      <c r="C2176" s="3">
        <v>75</v>
      </c>
      <c r="D2176" s="32"/>
      <c r="E2176" s="20" t="s">
        <v>20</v>
      </c>
      <c r="F2176" s="7" t="s">
        <v>15</v>
      </c>
      <c r="G2176" s="7" t="s">
        <v>53</v>
      </c>
      <c r="H2176" s="11">
        <v>35.840000000000003</v>
      </c>
      <c r="I2176" s="55">
        <v>6.5</v>
      </c>
      <c r="J2176" s="40">
        <v>1</v>
      </c>
      <c r="K2176" s="10">
        <v>0.23296000000000003</v>
      </c>
      <c r="L2176" s="4"/>
      <c r="M2176" s="17"/>
      <c r="N2176" s="18">
        <v>0</v>
      </c>
      <c r="O2176" s="19">
        <v>1</v>
      </c>
      <c r="P2176" s="13">
        <v>0.23296000000000003</v>
      </c>
      <c r="Q2176" s="32"/>
      <c r="R2176" s="32"/>
      <c r="S2176" s="32"/>
    </row>
    <row r="2177" spans="1:19">
      <c r="O2177" s="215">
        <f>SUM(O2167:O2176)</f>
        <v>6</v>
      </c>
      <c r="R2177" s="215">
        <f>SUM(R2167:R2176)</f>
        <v>3</v>
      </c>
    </row>
    <row r="2179" spans="1:19">
      <c r="A2179" s="110" t="s">
        <v>296</v>
      </c>
      <c r="B2179" s="111" t="s">
        <v>297</v>
      </c>
      <c r="C2179" s="112" t="s">
        <v>228</v>
      </c>
      <c r="D2179" s="113" t="s">
        <v>20</v>
      </c>
      <c r="E2179" s="175" t="s">
        <v>15</v>
      </c>
      <c r="F2179" s="175" t="s">
        <v>53</v>
      </c>
      <c r="G2179" s="176">
        <v>35.9</v>
      </c>
      <c r="H2179" s="177">
        <v>11.75</v>
      </c>
      <c r="I2179" s="178">
        <f>7+7</f>
        <v>14</v>
      </c>
      <c r="J2179" s="174">
        <f t="shared" ref="J2179:J2185" si="160">(G2179*H2179*I2179/1000)</f>
        <v>5.9055499999999999</v>
      </c>
      <c r="K2179" s="118"/>
      <c r="L2179" s="111">
        <v>14</v>
      </c>
      <c r="M2179" s="117">
        <f t="shared" ref="M2179:M2185" si="161">H2179*L2179*G2179/1000</f>
        <v>5.9055499999999999</v>
      </c>
      <c r="N2179" s="119">
        <f t="shared" ref="N2179:N2185" si="162">I2179-L2179</f>
        <v>0</v>
      </c>
      <c r="O2179" s="120">
        <f>H2179*N2179*G2179/1000</f>
        <v>0</v>
      </c>
      <c r="P2179" s="111"/>
      <c r="Q2179" s="111"/>
      <c r="R2179" s="111"/>
    </row>
    <row r="2180" spans="1:19">
      <c r="A2180" s="110" t="s">
        <v>296</v>
      </c>
      <c r="B2180" s="111" t="s">
        <v>297</v>
      </c>
      <c r="C2180" s="112" t="s">
        <v>228</v>
      </c>
      <c r="D2180" s="113" t="s">
        <v>20</v>
      </c>
      <c r="E2180" s="175" t="s">
        <v>15</v>
      </c>
      <c r="F2180" s="175" t="s">
        <v>53</v>
      </c>
      <c r="G2180" s="176">
        <v>35.9</v>
      </c>
      <c r="H2180" s="177">
        <v>11.75</v>
      </c>
      <c r="I2180" s="178">
        <v>7</v>
      </c>
      <c r="J2180" s="174">
        <f t="shared" si="160"/>
        <v>2.9527749999999999</v>
      </c>
      <c r="K2180" s="199" t="s">
        <v>26</v>
      </c>
      <c r="L2180" s="111">
        <f>6+1</f>
        <v>7</v>
      </c>
      <c r="M2180" s="117">
        <f t="shared" si="161"/>
        <v>2.9527749999999999</v>
      </c>
      <c r="N2180" s="119">
        <f t="shared" si="162"/>
        <v>0</v>
      </c>
      <c r="O2180" s="120">
        <f>H2180*N2180*G2180/1000</f>
        <v>0</v>
      </c>
      <c r="P2180" s="111" t="s">
        <v>373</v>
      </c>
      <c r="Q2180" s="72">
        <v>11.7</v>
      </c>
      <c r="R2180" s="72">
        <v>1</v>
      </c>
    </row>
    <row r="2181" spans="1:19">
      <c r="A2181" s="110" t="s">
        <v>296</v>
      </c>
      <c r="B2181" s="111" t="s">
        <v>297</v>
      </c>
      <c r="C2181" s="112" t="s">
        <v>228</v>
      </c>
      <c r="D2181" s="113" t="s">
        <v>20</v>
      </c>
      <c r="E2181" s="175" t="s">
        <v>15</v>
      </c>
      <c r="F2181" s="175" t="s">
        <v>53</v>
      </c>
      <c r="G2181" s="176">
        <v>35.9</v>
      </c>
      <c r="H2181" s="177">
        <v>11.5</v>
      </c>
      <c r="I2181" s="178">
        <v>1</v>
      </c>
      <c r="J2181" s="174">
        <f t="shared" si="160"/>
        <v>0.41284999999999994</v>
      </c>
      <c r="K2181" s="118"/>
      <c r="L2181" s="111">
        <v>1</v>
      </c>
      <c r="M2181" s="117">
        <f t="shared" si="161"/>
        <v>0.41284999999999994</v>
      </c>
      <c r="N2181" s="119">
        <f t="shared" si="162"/>
        <v>0</v>
      </c>
      <c r="O2181" s="120">
        <f>H2181*N2181*G2181/1000</f>
        <v>0</v>
      </c>
      <c r="P2181" s="111" t="s">
        <v>373</v>
      </c>
      <c r="Q2181" s="72" t="s">
        <v>406</v>
      </c>
      <c r="R2181" s="72">
        <v>1</v>
      </c>
    </row>
    <row r="2182" spans="1:19">
      <c r="A2182" s="110" t="s">
        <v>296</v>
      </c>
      <c r="B2182" s="111" t="s">
        <v>297</v>
      </c>
      <c r="C2182" s="112" t="s">
        <v>228</v>
      </c>
      <c r="D2182" s="113" t="s">
        <v>20</v>
      </c>
      <c r="E2182" s="175" t="s">
        <v>15</v>
      </c>
      <c r="F2182" s="175" t="s">
        <v>53</v>
      </c>
      <c r="G2182" s="176">
        <v>35.9</v>
      </c>
      <c r="H2182" s="127">
        <v>11.6</v>
      </c>
      <c r="I2182" s="178">
        <v>1</v>
      </c>
      <c r="J2182" s="174">
        <f t="shared" si="160"/>
        <v>0.41643999999999998</v>
      </c>
      <c r="K2182" s="118"/>
      <c r="L2182" s="111">
        <v>1</v>
      </c>
      <c r="M2182" s="117">
        <f t="shared" si="161"/>
        <v>0.41643999999999998</v>
      </c>
      <c r="N2182" s="119">
        <f t="shared" si="162"/>
        <v>0</v>
      </c>
      <c r="O2182" s="120">
        <f t="shared" ref="O2182" si="163">H2182*N2182*G2182/1000</f>
        <v>0</v>
      </c>
      <c r="P2182" s="111" t="s">
        <v>373</v>
      </c>
      <c r="Q2182" s="72" t="s">
        <v>406</v>
      </c>
      <c r="R2182" s="72">
        <v>1</v>
      </c>
    </row>
    <row r="2183" spans="1:19">
      <c r="A2183" s="110" t="s">
        <v>296</v>
      </c>
      <c r="B2183" s="111" t="s">
        <v>297</v>
      </c>
      <c r="C2183" s="112" t="s">
        <v>228</v>
      </c>
      <c r="D2183" s="113" t="s">
        <v>20</v>
      </c>
      <c r="E2183" s="175" t="s">
        <v>15</v>
      </c>
      <c r="F2183" s="175" t="s">
        <v>53</v>
      </c>
      <c r="G2183" s="176">
        <v>35.9</v>
      </c>
      <c r="H2183" s="198">
        <v>8.1</v>
      </c>
      <c r="I2183" s="178">
        <v>1</v>
      </c>
      <c r="J2183" s="174">
        <f t="shared" si="160"/>
        <v>0.29078999999999994</v>
      </c>
      <c r="K2183" s="118"/>
      <c r="L2183" s="111">
        <v>1</v>
      </c>
      <c r="M2183" s="117">
        <f t="shared" si="161"/>
        <v>0.29078999999999994</v>
      </c>
      <c r="N2183" s="119">
        <f t="shared" si="162"/>
        <v>0</v>
      </c>
      <c r="O2183" s="120">
        <f>H2183*N2183*G2183/1000</f>
        <v>0</v>
      </c>
      <c r="P2183" s="111" t="s">
        <v>373</v>
      </c>
      <c r="Q2183" s="72">
        <v>7.8</v>
      </c>
      <c r="R2183" s="72">
        <v>1</v>
      </c>
    </row>
    <row r="2184" spans="1:19">
      <c r="A2184" s="110" t="s">
        <v>296</v>
      </c>
      <c r="B2184" s="111" t="s">
        <v>297</v>
      </c>
      <c r="C2184" s="112" t="s">
        <v>228</v>
      </c>
      <c r="D2184" s="113" t="s">
        <v>20</v>
      </c>
      <c r="E2184" s="175" t="s">
        <v>15</v>
      </c>
      <c r="F2184" s="175" t="s">
        <v>53</v>
      </c>
      <c r="G2184" s="176">
        <v>35.9</v>
      </c>
      <c r="H2184" s="198">
        <v>8.6</v>
      </c>
      <c r="I2184" s="178">
        <v>1</v>
      </c>
      <c r="J2184" s="174">
        <f t="shared" si="160"/>
        <v>0.30873999999999996</v>
      </c>
      <c r="K2184" s="118"/>
      <c r="L2184" s="111">
        <v>1</v>
      </c>
      <c r="M2184" s="117">
        <f t="shared" si="161"/>
        <v>0.30873999999999996</v>
      </c>
      <c r="N2184" s="119">
        <f t="shared" si="162"/>
        <v>0</v>
      </c>
      <c r="O2184" s="120">
        <f>H2184*N2184*G2184/1000</f>
        <v>0</v>
      </c>
      <c r="P2184" s="111" t="s">
        <v>373</v>
      </c>
      <c r="Q2184" s="72">
        <v>7.8</v>
      </c>
      <c r="R2184" s="72">
        <v>1</v>
      </c>
    </row>
    <row r="2185" spans="1:19">
      <c r="A2185" s="110" t="s">
        <v>296</v>
      </c>
      <c r="B2185" s="111" t="s">
        <v>297</v>
      </c>
      <c r="C2185" s="112" t="s">
        <v>228</v>
      </c>
      <c r="D2185" s="113" t="s">
        <v>20</v>
      </c>
      <c r="E2185" s="175" t="s">
        <v>15</v>
      </c>
      <c r="F2185" s="175" t="s">
        <v>53</v>
      </c>
      <c r="G2185" s="176">
        <v>35.9</v>
      </c>
      <c r="H2185" s="198">
        <v>9.1999999999999993</v>
      </c>
      <c r="I2185" s="178">
        <v>1</v>
      </c>
      <c r="J2185" s="174">
        <f t="shared" si="160"/>
        <v>0.33027999999999996</v>
      </c>
      <c r="K2185" s="118"/>
      <c r="L2185" s="111">
        <v>1</v>
      </c>
      <c r="M2185" s="117">
        <f t="shared" si="161"/>
        <v>0.33027999999999996</v>
      </c>
      <c r="N2185" s="119">
        <f t="shared" si="162"/>
        <v>0</v>
      </c>
      <c r="O2185" s="120">
        <f>H2185*N2185*G2185/1000</f>
        <v>0</v>
      </c>
      <c r="P2185" s="111" t="s">
        <v>373</v>
      </c>
      <c r="Q2185" s="72" t="s">
        <v>406</v>
      </c>
      <c r="R2185" s="72">
        <v>1</v>
      </c>
    </row>
    <row r="2186" spans="1:19">
      <c r="A2186" s="213"/>
      <c r="B2186" s="213"/>
      <c r="C2186" s="213"/>
      <c r="D2186" s="213"/>
      <c r="E2186" s="213"/>
      <c r="F2186" s="213"/>
      <c r="G2186" s="213"/>
      <c r="H2186" s="213"/>
      <c r="I2186" s="78">
        <f>SUM(I2179:I2185)</f>
        <v>26</v>
      </c>
      <c r="J2186" s="214">
        <f>SUM(J2179:J2185)</f>
        <v>10.617425000000001</v>
      </c>
      <c r="K2186" s="213"/>
      <c r="L2186" s="80">
        <f>SUM(L2179:L2185)</f>
        <v>26</v>
      </c>
      <c r="M2186" s="128">
        <f>SUM(M2179:M2185)</f>
        <v>10.617425000000001</v>
      </c>
      <c r="N2186" s="78">
        <f>SUM(N2179:N2185)</f>
        <v>0</v>
      </c>
      <c r="O2186" s="128">
        <f>SUM(O2179:O2185)</f>
        <v>0</v>
      </c>
      <c r="P2186" s="213"/>
      <c r="Q2186" s="213"/>
      <c r="R2186" s="78">
        <f>SUM(R2179:R2185)</f>
        <v>6</v>
      </c>
    </row>
    <row r="2188" spans="1:19">
      <c r="A2188" s="110" t="s">
        <v>308</v>
      </c>
      <c r="B2188" s="111" t="s">
        <v>309</v>
      </c>
      <c r="C2188" s="112" t="s">
        <v>228</v>
      </c>
      <c r="D2188" s="118" t="s">
        <v>17</v>
      </c>
      <c r="E2188" s="175" t="s">
        <v>15</v>
      </c>
      <c r="F2188" s="175" t="s">
        <v>53</v>
      </c>
      <c r="G2188" s="176">
        <v>35.840000000000003</v>
      </c>
      <c r="H2188" s="177">
        <v>8</v>
      </c>
      <c r="I2188" s="178">
        <f>8+7</f>
        <v>15</v>
      </c>
      <c r="J2188" s="174">
        <f t="shared" ref="J2188:J2199" si="164">(G2188*H2188*I2188/1000)</f>
        <v>4.3008000000000006</v>
      </c>
      <c r="K2188" s="118"/>
      <c r="L2188" s="111">
        <v>15</v>
      </c>
      <c r="M2188" s="117">
        <f t="shared" ref="M2188:M2199" si="165">H2188*L2188*G2188/1000</f>
        <v>4.3008000000000006</v>
      </c>
      <c r="N2188" s="119">
        <f t="shared" ref="N2188:N2199" si="166">I2188-L2188</f>
        <v>0</v>
      </c>
      <c r="O2188" s="120">
        <f t="shared" ref="O2188:O2199" si="167">H2188*N2188*G2188/1000</f>
        <v>0</v>
      </c>
      <c r="P2188" s="111"/>
      <c r="Q2188" s="111"/>
      <c r="R2188" s="111"/>
      <c r="S2188" s="213"/>
    </row>
    <row r="2189" spans="1:19">
      <c r="A2189" s="110" t="s">
        <v>308</v>
      </c>
      <c r="B2189" s="111" t="s">
        <v>309</v>
      </c>
      <c r="C2189" s="112" t="s">
        <v>228</v>
      </c>
      <c r="D2189" s="118" t="s">
        <v>17</v>
      </c>
      <c r="E2189" s="175" t="s">
        <v>15</v>
      </c>
      <c r="F2189" s="175" t="s">
        <v>53</v>
      </c>
      <c r="G2189" s="176">
        <v>35.840000000000003</v>
      </c>
      <c r="H2189" s="177">
        <v>10</v>
      </c>
      <c r="I2189" s="178">
        <f>7+7+3+5</f>
        <v>22</v>
      </c>
      <c r="J2189" s="174">
        <f t="shared" si="164"/>
        <v>7.8848000000000011</v>
      </c>
      <c r="K2189" s="118"/>
      <c r="L2189" s="111">
        <v>17</v>
      </c>
      <c r="M2189" s="117">
        <f t="shared" si="165"/>
        <v>6.0928000000000004</v>
      </c>
      <c r="N2189" s="119">
        <f t="shared" si="166"/>
        <v>5</v>
      </c>
      <c r="O2189" s="120">
        <f t="shared" si="167"/>
        <v>1.7920000000000003</v>
      </c>
      <c r="P2189" s="111"/>
      <c r="Q2189" s="111"/>
      <c r="R2189" s="111"/>
      <c r="S2189" s="213"/>
    </row>
    <row r="2190" spans="1:19">
      <c r="A2190" s="110" t="s">
        <v>308</v>
      </c>
      <c r="B2190" s="111" t="s">
        <v>309</v>
      </c>
      <c r="C2190" s="112" t="s">
        <v>228</v>
      </c>
      <c r="D2190" s="118" t="s">
        <v>17</v>
      </c>
      <c r="E2190" s="175" t="s">
        <v>15</v>
      </c>
      <c r="F2190" s="175" t="s">
        <v>53</v>
      </c>
      <c r="G2190" s="176">
        <v>35.840000000000003</v>
      </c>
      <c r="H2190" s="177">
        <v>10.5</v>
      </c>
      <c r="I2190" s="178">
        <f>7+7+5</f>
        <v>19</v>
      </c>
      <c r="J2190" s="174">
        <f t="shared" si="164"/>
        <v>7.1500800000000009</v>
      </c>
      <c r="K2190" s="118"/>
      <c r="L2190" s="111">
        <v>19</v>
      </c>
      <c r="M2190" s="117">
        <f t="shared" si="165"/>
        <v>7.1500800000000009</v>
      </c>
      <c r="N2190" s="119">
        <f t="shared" si="166"/>
        <v>0</v>
      </c>
      <c r="O2190" s="120">
        <f t="shared" si="167"/>
        <v>0</v>
      </c>
      <c r="P2190" s="111"/>
      <c r="Q2190" s="111"/>
      <c r="R2190" s="111"/>
      <c r="S2190" s="213"/>
    </row>
    <row r="2191" spans="1:19">
      <c r="A2191" s="110" t="s">
        <v>308</v>
      </c>
      <c r="B2191" s="111" t="s">
        <v>309</v>
      </c>
      <c r="C2191" s="112" t="s">
        <v>228</v>
      </c>
      <c r="D2191" s="118" t="s">
        <v>17</v>
      </c>
      <c r="E2191" s="175" t="s">
        <v>15</v>
      </c>
      <c r="F2191" s="175" t="s">
        <v>53</v>
      </c>
      <c r="G2191" s="176">
        <v>35.840000000000003</v>
      </c>
      <c r="H2191" s="177">
        <v>10.7</v>
      </c>
      <c r="I2191" s="178">
        <v>2</v>
      </c>
      <c r="J2191" s="174">
        <f t="shared" si="164"/>
        <v>0.76697599999999999</v>
      </c>
      <c r="K2191" s="118"/>
      <c r="L2191" s="111">
        <v>2</v>
      </c>
      <c r="M2191" s="117">
        <f t="shared" si="165"/>
        <v>0.76697599999999999</v>
      </c>
      <c r="N2191" s="119">
        <f t="shared" si="166"/>
        <v>0</v>
      </c>
      <c r="O2191" s="120">
        <f t="shared" si="167"/>
        <v>0</v>
      </c>
      <c r="P2191" s="111"/>
      <c r="Q2191" s="111"/>
      <c r="R2191" s="111"/>
      <c r="S2191" s="213"/>
    </row>
    <row r="2192" spans="1:19">
      <c r="A2192" s="110" t="s">
        <v>308</v>
      </c>
      <c r="B2192" s="111" t="s">
        <v>309</v>
      </c>
      <c r="C2192" s="112" t="s">
        <v>228</v>
      </c>
      <c r="D2192" s="118" t="s">
        <v>17</v>
      </c>
      <c r="E2192" s="175" t="s">
        <v>15</v>
      </c>
      <c r="F2192" s="175" t="s">
        <v>53</v>
      </c>
      <c r="G2192" s="176">
        <v>35.840000000000003</v>
      </c>
      <c r="H2192" s="177">
        <v>10</v>
      </c>
      <c r="I2192" s="178">
        <v>2</v>
      </c>
      <c r="J2192" s="174">
        <f t="shared" si="164"/>
        <v>0.7168000000000001</v>
      </c>
      <c r="K2192" s="118"/>
      <c r="L2192" s="111"/>
      <c r="M2192" s="117">
        <f t="shared" si="165"/>
        <v>0</v>
      </c>
      <c r="N2192" s="119">
        <f t="shared" si="166"/>
        <v>2</v>
      </c>
      <c r="O2192" s="120">
        <f t="shared" si="167"/>
        <v>0.7168000000000001</v>
      </c>
      <c r="P2192" s="111"/>
      <c r="Q2192" s="111"/>
      <c r="R2192" s="111"/>
      <c r="S2192" s="213"/>
    </row>
    <row r="2193" spans="1:19">
      <c r="A2193" s="110" t="s">
        <v>308</v>
      </c>
      <c r="B2193" s="111" t="s">
        <v>309</v>
      </c>
      <c r="C2193" s="112" t="s">
        <v>228</v>
      </c>
      <c r="D2193" s="118" t="s">
        <v>17</v>
      </c>
      <c r="E2193" s="175" t="s">
        <v>15</v>
      </c>
      <c r="F2193" s="175" t="s">
        <v>53</v>
      </c>
      <c r="G2193" s="176">
        <v>35.840000000000003</v>
      </c>
      <c r="H2193" s="177">
        <v>10.5</v>
      </c>
      <c r="I2193" s="178">
        <v>1</v>
      </c>
      <c r="J2193" s="174">
        <f t="shared" si="164"/>
        <v>0.37632000000000004</v>
      </c>
      <c r="K2193" s="118"/>
      <c r="L2193" s="111"/>
      <c r="M2193" s="117">
        <f t="shared" si="165"/>
        <v>0</v>
      </c>
      <c r="N2193" s="119">
        <f t="shared" si="166"/>
        <v>1</v>
      </c>
      <c r="O2193" s="120">
        <f t="shared" si="167"/>
        <v>0.37632000000000004</v>
      </c>
      <c r="P2193" s="111"/>
      <c r="Q2193" s="111"/>
      <c r="R2193" s="111"/>
      <c r="S2193" s="213"/>
    </row>
    <row r="2194" spans="1:19">
      <c r="A2194" s="110" t="s">
        <v>308</v>
      </c>
      <c r="B2194" s="111" t="s">
        <v>309</v>
      </c>
      <c r="C2194" s="112" t="s">
        <v>228</v>
      </c>
      <c r="D2194" s="118" t="s">
        <v>17</v>
      </c>
      <c r="E2194" s="175" t="s">
        <v>15</v>
      </c>
      <c r="F2194" s="175" t="s">
        <v>53</v>
      </c>
      <c r="G2194" s="176">
        <v>35.840000000000003</v>
      </c>
      <c r="H2194" s="177">
        <v>6</v>
      </c>
      <c r="I2194" s="178">
        <v>4</v>
      </c>
      <c r="J2194" s="174">
        <f t="shared" si="164"/>
        <v>0.86016000000000004</v>
      </c>
      <c r="K2194" s="118"/>
      <c r="L2194" s="111">
        <v>4</v>
      </c>
      <c r="M2194" s="117">
        <f t="shared" si="165"/>
        <v>0.86016000000000004</v>
      </c>
      <c r="N2194" s="119">
        <f t="shared" si="166"/>
        <v>0</v>
      </c>
      <c r="O2194" s="120">
        <f t="shared" si="167"/>
        <v>0</v>
      </c>
      <c r="P2194" s="111"/>
      <c r="Q2194" s="111"/>
      <c r="R2194" s="111"/>
      <c r="S2194" s="213"/>
    </row>
    <row r="2195" spans="1:19">
      <c r="A2195" s="110" t="s">
        <v>308</v>
      </c>
      <c r="B2195" s="111" t="s">
        <v>309</v>
      </c>
      <c r="C2195" s="112" t="s">
        <v>228</v>
      </c>
      <c r="D2195" s="118" t="s">
        <v>17</v>
      </c>
      <c r="E2195" s="175" t="s">
        <v>15</v>
      </c>
      <c r="F2195" s="175" t="s">
        <v>53</v>
      </c>
      <c r="G2195" s="176">
        <v>35.840000000000003</v>
      </c>
      <c r="H2195" s="179">
        <v>10.5</v>
      </c>
      <c r="I2195" s="178">
        <v>4</v>
      </c>
      <c r="J2195" s="174">
        <f t="shared" si="164"/>
        <v>1.5052800000000002</v>
      </c>
      <c r="K2195" s="118"/>
      <c r="L2195" s="111">
        <v>4</v>
      </c>
      <c r="M2195" s="117">
        <f t="shared" si="165"/>
        <v>1.5052800000000002</v>
      </c>
      <c r="N2195" s="119">
        <f t="shared" si="166"/>
        <v>0</v>
      </c>
      <c r="O2195" s="120">
        <f t="shared" si="167"/>
        <v>0</v>
      </c>
      <c r="P2195" s="111"/>
      <c r="Q2195" s="111"/>
      <c r="R2195" s="111"/>
      <c r="S2195" s="213"/>
    </row>
    <row r="2196" spans="1:19">
      <c r="A2196" s="110" t="s">
        <v>308</v>
      </c>
      <c r="B2196" s="111" t="s">
        <v>309</v>
      </c>
      <c r="C2196" s="112" t="s">
        <v>228</v>
      </c>
      <c r="D2196" s="118" t="s">
        <v>17</v>
      </c>
      <c r="E2196" s="175" t="s">
        <v>15</v>
      </c>
      <c r="F2196" s="175" t="s">
        <v>53</v>
      </c>
      <c r="G2196" s="176">
        <v>35.840000000000003</v>
      </c>
      <c r="H2196" s="179">
        <v>11.3</v>
      </c>
      <c r="I2196" s="178">
        <v>2</v>
      </c>
      <c r="J2196" s="174">
        <f t="shared" si="164"/>
        <v>0.80998400000000015</v>
      </c>
      <c r="K2196" s="118"/>
      <c r="L2196" s="111">
        <v>2</v>
      </c>
      <c r="M2196" s="117">
        <f t="shared" si="165"/>
        <v>0.80998400000000015</v>
      </c>
      <c r="N2196" s="119">
        <f t="shared" si="166"/>
        <v>0</v>
      </c>
      <c r="O2196" s="120">
        <f t="shared" si="167"/>
        <v>0</v>
      </c>
      <c r="P2196" s="72">
        <v>11.3</v>
      </c>
      <c r="Q2196" s="72">
        <v>2</v>
      </c>
      <c r="R2196" s="72" t="s">
        <v>407</v>
      </c>
      <c r="S2196" s="213"/>
    </row>
    <row r="2197" spans="1:19">
      <c r="A2197" s="110" t="s">
        <v>308</v>
      </c>
      <c r="B2197" s="111" t="s">
        <v>309</v>
      </c>
      <c r="C2197" s="112" t="s">
        <v>228</v>
      </c>
      <c r="D2197" s="118" t="s">
        <v>17</v>
      </c>
      <c r="E2197" s="175" t="s">
        <v>15</v>
      </c>
      <c r="F2197" s="175" t="s">
        <v>53</v>
      </c>
      <c r="G2197" s="176">
        <v>35.840000000000003</v>
      </c>
      <c r="H2197" s="179">
        <v>6</v>
      </c>
      <c r="I2197" s="178">
        <v>1</v>
      </c>
      <c r="J2197" s="174">
        <f t="shared" si="164"/>
        <v>0.21504000000000001</v>
      </c>
      <c r="K2197" s="118"/>
      <c r="L2197" s="111"/>
      <c r="M2197" s="117">
        <f t="shared" si="165"/>
        <v>0</v>
      </c>
      <c r="N2197" s="119">
        <f t="shared" si="166"/>
        <v>1</v>
      </c>
      <c r="O2197" s="120">
        <f t="shared" si="167"/>
        <v>0.21504000000000001</v>
      </c>
      <c r="P2197" s="111"/>
      <c r="Q2197" s="111"/>
      <c r="R2197" s="111"/>
      <c r="S2197" s="213"/>
    </row>
    <row r="2198" spans="1:19">
      <c r="A2198" s="110" t="s">
        <v>308</v>
      </c>
      <c r="B2198" s="111" t="s">
        <v>309</v>
      </c>
      <c r="C2198" s="112" t="s">
        <v>228</v>
      </c>
      <c r="D2198" s="118" t="s">
        <v>17</v>
      </c>
      <c r="E2198" s="175" t="s">
        <v>15</v>
      </c>
      <c r="F2198" s="175" t="s">
        <v>53</v>
      </c>
      <c r="G2198" s="176">
        <v>35.840000000000003</v>
      </c>
      <c r="H2198" s="179">
        <v>10</v>
      </c>
      <c r="I2198" s="178">
        <v>2</v>
      </c>
      <c r="J2198" s="174">
        <f t="shared" si="164"/>
        <v>0.7168000000000001</v>
      </c>
      <c r="K2198" s="118"/>
      <c r="L2198" s="111">
        <v>2</v>
      </c>
      <c r="M2198" s="117">
        <f t="shared" si="165"/>
        <v>0.7168000000000001</v>
      </c>
      <c r="N2198" s="119">
        <f t="shared" si="166"/>
        <v>0</v>
      </c>
      <c r="O2198" s="120">
        <f t="shared" si="167"/>
        <v>0</v>
      </c>
      <c r="P2198" s="111"/>
      <c r="Q2198" s="111"/>
      <c r="R2198" s="111"/>
      <c r="S2198" s="213"/>
    </row>
    <row r="2199" spans="1:19">
      <c r="A2199" s="110" t="s">
        <v>308</v>
      </c>
      <c r="B2199" s="111" t="s">
        <v>309</v>
      </c>
      <c r="C2199" s="112" t="s">
        <v>228</v>
      </c>
      <c r="D2199" s="118" t="s">
        <v>17</v>
      </c>
      <c r="E2199" s="175" t="s">
        <v>15</v>
      </c>
      <c r="F2199" s="175" t="s">
        <v>53</v>
      </c>
      <c r="G2199" s="176">
        <v>35.840000000000003</v>
      </c>
      <c r="H2199" s="179">
        <v>11.3</v>
      </c>
      <c r="I2199" s="178">
        <v>8</v>
      </c>
      <c r="J2199" s="174">
        <f t="shared" si="164"/>
        <v>3.2399360000000006</v>
      </c>
      <c r="K2199" s="118"/>
      <c r="L2199" s="111">
        <v>8</v>
      </c>
      <c r="M2199" s="117">
        <f t="shared" si="165"/>
        <v>3.2399360000000006</v>
      </c>
      <c r="N2199" s="119">
        <f t="shared" si="166"/>
        <v>0</v>
      </c>
      <c r="O2199" s="120">
        <f t="shared" si="167"/>
        <v>0</v>
      </c>
      <c r="P2199" s="111"/>
      <c r="Q2199" s="111"/>
      <c r="R2199" s="111"/>
      <c r="S2199" s="213"/>
    </row>
    <row r="2200" spans="1:19">
      <c r="A2200" s="213"/>
      <c r="B2200" s="213"/>
      <c r="C2200" s="213"/>
      <c r="D2200" s="213"/>
      <c r="E2200" s="213"/>
      <c r="F2200" s="213"/>
      <c r="G2200" s="213"/>
      <c r="H2200" s="213"/>
      <c r="I2200" s="215">
        <f>SUM(I2188:I2199)</f>
        <v>82</v>
      </c>
      <c r="J2200" s="214">
        <f>SUM(J2188:J2199)</f>
        <v>28.542975999999999</v>
      </c>
      <c r="K2200" s="213"/>
      <c r="L2200" s="215">
        <f>SUM(L2188:L2199)</f>
        <v>73</v>
      </c>
      <c r="M2200" s="214">
        <f>SUM(M2188:M2199)</f>
        <v>25.442816000000001</v>
      </c>
      <c r="N2200" s="215">
        <f>SUM(N2188:N2199)</f>
        <v>9</v>
      </c>
      <c r="O2200" s="214">
        <f>SUM(O2188:O2199)</f>
        <v>3.1001600000000007</v>
      </c>
      <c r="P2200" s="213"/>
      <c r="Q2200" s="213"/>
      <c r="R2200" s="213"/>
      <c r="S2200" s="213"/>
    </row>
    <row r="2202" spans="1:19">
      <c r="A2202" s="45" t="s">
        <v>136</v>
      </c>
      <c r="B2202" s="32" t="s">
        <v>137</v>
      </c>
      <c r="C2202" s="3">
        <v>1</v>
      </c>
      <c r="D2202" s="32"/>
      <c r="E2202" s="20" t="s">
        <v>96</v>
      </c>
      <c r="F2202" s="7" t="s">
        <v>15</v>
      </c>
      <c r="G2202" s="7" t="s">
        <v>64</v>
      </c>
      <c r="H2202" s="11">
        <v>40.1</v>
      </c>
      <c r="I2202" s="33">
        <v>6</v>
      </c>
      <c r="J2202" s="40">
        <v>1</v>
      </c>
      <c r="K2202" s="10">
        <v>0.24060000000000004</v>
      </c>
      <c r="L2202" s="4"/>
      <c r="M2202" s="17"/>
      <c r="N2202" s="18">
        <v>0</v>
      </c>
      <c r="O2202" s="19">
        <v>1</v>
      </c>
      <c r="P2202" s="13">
        <v>0.24060000000000004</v>
      </c>
      <c r="Q2202" s="32"/>
      <c r="R2202" s="32"/>
      <c r="S2202" s="32"/>
    </row>
    <row r="2203" spans="1:19">
      <c r="A2203" s="45" t="s">
        <v>136</v>
      </c>
      <c r="B2203" s="32" t="s">
        <v>137</v>
      </c>
      <c r="C2203" s="3">
        <v>1</v>
      </c>
      <c r="D2203" s="32"/>
      <c r="E2203" s="20" t="s">
        <v>96</v>
      </c>
      <c r="F2203" s="7" t="s">
        <v>15</v>
      </c>
      <c r="G2203" s="7" t="s">
        <v>64</v>
      </c>
      <c r="H2203" s="11">
        <v>40.1</v>
      </c>
      <c r="I2203" s="33">
        <v>6.6</v>
      </c>
      <c r="J2203" s="40">
        <v>2</v>
      </c>
      <c r="K2203" s="10">
        <v>0.5293199999999999</v>
      </c>
      <c r="L2203" s="4"/>
      <c r="M2203" s="17"/>
      <c r="N2203" s="18">
        <v>0</v>
      </c>
      <c r="O2203" s="19">
        <v>2</v>
      </c>
      <c r="P2203" s="13">
        <v>0.5293199999999999</v>
      </c>
      <c r="Q2203" s="32"/>
      <c r="R2203" s="32"/>
      <c r="S2203" s="32"/>
    </row>
    <row r="2204" spans="1:19">
      <c r="A2204" s="45" t="s">
        <v>136</v>
      </c>
      <c r="B2204" s="32" t="s">
        <v>137</v>
      </c>
      <c r="C2204" s="3">
        <v>2</v>
      </c>
      <c r="D2204" s="32"/>
      <c r="E2204" s="20" t="s">
        <v>89</v>
      </c>
      <c r="F2204" s="7" t="s">
        <v>15</v>
      </c>
      <c r="G2204" s="7" t="s">
        <v>64</v>
      </c>
      <c r="H2204" s="11">
        <v>40.1</v>
      </c>
      <c r="I2204" s="33">
        <v>9.1</v>
      </c>
      <c r="J2204" s="40">
        <v>3</v>
      </c>
      <c r="K2204" s="10">
        <v>1.09473</v>
      </c>
      <c r="L2204" s="4" t="s">
        <v>140</v>
      </c>
      <c r="M2204" s="17">
        <v>3</v>
      </c>
      <c r="N2204" s="18">
        <v>1.09473</v>
      </c>
      <c r="O2204" s="339">
        <v>0</v>
      </c>
      <c r="P2204" s="13">
        <v>0</v>
      </c>
      <c r="Q2204" s="91">
        <v>7.2</v>
      </c>
      <c r="R2204" s="91">
        <v>3</v>
      </c>
      <c r="S2204" s="91" t="s">
        <v>371</v>
      </c>
    </row>
    <row r="2205" spans="1:19">
      <c r="A2205" s="45" t="s">
        <v>136</v>
      </c>
      <c r="B2205" s="32" t="s">
        <v>137</v>
      </c>
      <c r="C2205" s="3">
        <v>2</v>
      </c>
      <c r="D2205" s="32"/>
      <c r="E2205" s="20" t="s">
        <v>89</v>
      </c>
      <c r="F2205" s="7" t="s">
        <v>15</v>
      </c>
      <c r="G2205" s="7" t="s">
        <v>64</v>
      </c>
      <c r="H2205" s="11">
        <v>40.1</v>
      </c>
      <c r="I2205" s="33">
        <v>9.8000000000000007</v>
      </c>
      <c r="J2205" s="40">
        <v>1</v>
      </c>
      <c r="K2205" s="10">
        <v>0.39298</v>
      </c>
      <c r="L2205" s="4" t="s">
        <v>140</v>
      </c>
      <c r="M2205" s="17"/>
      <c r="N2205" s="18">
        <v>0</v>
      </c>
      <c r="O2205" s="19">
        <v>1</v>
      </c>
      <c r="P2205" s="13">
        <v>0.39298</v>
      </c>
      <c r="Q2205" s="32"/>
      <c r="R2205" s="32"/>
      <c r="S2205" s="32"/>
    </row>
    <row r="2206" spans="1:19">
      <c r="A2206" s="45" t="s">
        <v>136</v>
      </c>
      <c r="B2206" s="32" t="s">
        <v>137</v>
      </c>
      <c r="C2206" s="3">
        <v>3</v>
      </c>
      <c r="D2206" s="32"/>
      <c r="E2206" s="20" t="s">
        <v>20</v>
      </c>
      <c r="F2206" s="7" t="s">
        <v>15</v>
      </c>
      <c r="G2206" s="7" t="s">
        <v>64</v>
      </c>
      <c r="H2206" s="11">
        <v>40.1</v>
      </c>
      <c r="I2206" s="33">
        <v>9</v>
      </c>
      <c r="J2206" s="40">
        <v>1</v>
      </c>
      <c r="K2206" s="10">
        <v>0.36090000000000005</v>
      </c>
      <c r="L2206" s="4"/>
      <c r="M2206" s="17"/>
      <c r="N2206" s="18">
        <v>0</v>
      </c>
      <c r="O2206" s="19">
        <v>1</v>
      </c>
      <c r="P2206" s="13">
        <v>0.36090000000000005</v>
      </c>
      <c r="Q2206" s="32"/>
      <c r="R2206" s="32"/>
      <c r="S2206" s="32"/>
    </row>
    <row r="2207" spans="1:19">
      <c r="A2207" s="45" t="s">
        <v>136</v>
      </c>
      <c r="B2207" s="32" t="s">
        <v>137</v>
      </c>
      <c r="C2207" s="3">
        <v>1</v>
      </c>
      <c r="D2207" s="32"/>
      <c r="E2207" s="20" t="s">
        <v>20</v>
      </c>
      <c r="F2207" s="7" t="s">
        <v>15</v>
      </c>
      <c r="G2207" s="7" t="s">
        <v>64</v>
      </c>
      <c r="H2207" s="11">
        <v>40.1</v>
      </c>
      <c r="I2207" s="33">
        <v>5</v>
      </c>
      <c r="J2207" s="40">
        <v>1</v>
      </c>
      <c r="K2207" s="10">
        <v>0.20050000000000001</v>
      </c>
      <c r="L2207" s="4"/>
      <c r="M2207" s="17"/>
      <c r="N2207" s="18">
        <v>0</v>
      </c>
      <c r="O2207" s="19">
        <v>1</v>
      </c>
      <c r="P2207" s="13">
        <v>0.20050000000000001</v>
      </c>
      <c r="Q2207" s="32"/>
      <c r="R2207" s="32"/>
      <c r="S2207" s="32"/>
    </row>
    <row r="2208" spans="1:19">
      <c r="A2208" s="45" t="s">
        <v>136</v>
      </c>
      <c r="B2208" s="32" t="s">
        <v>137</v>
      </c>
      <c r="C2208" s="3">
        <v>59</v>
      </c>
      <c r="D2208" s="32"/>
      <c r="E2208" s="20" t="s">
        <v>20</v>
      </c>
      <c r="F2208" s="7" t="s">
        <v>15</v>
      </c>
      <c r="G2208" s="7" t="s">
        <v>64</v>
      </c>
      <c r="H2208" s="11">
        <v>40.1</v>
      </c>
      <c r="I2208" s="33">
        <v>8</v>
      </c>
      <c r="J2208" s="40">
        <v>1</v>
      </c>
      <c r="K2208" s="10">
        <v>0.32080000000000003</v>
      </c>
      <c r="L2208" s="4"/>
      <c r="M2208" s="17"/>
      <c r="N2208" s="18">
        <v>0</v>
      </c>
      <c r="O2208" s="19">
        <v>1</v>
      </c>
      <c r="P2208" s="13">
        <v>0.32080000000000003</v>
      </c>
      <c r="Q2208" s="32"/>
      <c r="R2208" s="32"/>
      <c r="S2208" s="32"/>
    </row>
    <row r="2209" spans="1:19">
      <c r="A2209" s="45" t="s">
        <v>136</v>
      </c>
      <c r="B2209" s="32" t="s">
        <v>137</v>
      </c>
      <c r="C2209" s="3">
        <v>59</v>
      </c>
      <c r="D2209" s="32"/>
      <c r="E2209" s="20" t="s">
        <v>20</v>
      </c>
      <c r="F2209" s="7" t="s">
        <v>15</v>
      </c>
      <c r="G2209" s="7" t="s">
        <v>64</v>
      </c>
      <c r="H2209" s="11">
        <v>40.1</v>
      </c>
      <c r="I2209" s="33">
        <v>8.3000000000000007</v>
      </c>
      <c r="J2209" s="40">
        <v>1</v>
      </c>
      <c r="K2209" s="10">
        <v>0.33283000000000001</v>
      </c>
      <c r="L2209" s="4"/>
      <c r="M2209" s="17"/>
      <c r="N2209" s="18">
        <v>0</v>
      </c>
      <c r="O2209" s="19">
        <v>1</v>
      </c>
      <c r="P2209" s="13">
        <v>0.33283000000000001</v>
      </c>
      <c r="Q2209" s="32"/>
      <c r="R2209" s="32"/>
      <c r="S2209" s="32"/>
    </row>
    <row r="2210" spans="1:19">
      <c r="A2210" s="45" t="s">
        <v>136</v>
      </c>
      <c r="B2210" s="32" t="s">
        <v>137</v>
      </c>
      <c r="C2210" s="3">
        <v>61</v>
      </c>
      <c r="D2210" s="32"/>
      <c r="E2210" s="20" t="s">
        <v>20</v>
      </c>
      <c r="F2210" s="7" t="s">
        <v>15</v>
      </c>
      <c r="G2210" s="7" t="s">
        <v>64</v>
      </c>
      <c r="H2210" s="11">
        <v>40.1</v>
      </c>
      <c r="I2210" s="33">
        <v>9.5</v>
      </c>
      <c r="J2210" s="40">
        <v>1</v>
      </c>
      <c r="K2210" s="10">
        <v>0.38095000000000001</v>
      </c>
      <c r="L2210" s="4"/>
      <c r="M2210" s="17"/>
      <c r="N2210" s="18">
        <v>0</v>
      </c>
      <c r="O2210" s="19">
        <v>1</v>
      </c>
      <c r="P2210" s="13">
        <v>0.38095000000000001</v>
      </c>
      <c r="Q2210" s="32"/>
      <c r="R2210" s="32"/>
      <c r="S2210" s="32"/>
    </row>
    <row r="2211" spans="1:19">
      <c r="A2211" s="45" t="s">
        <v>136</v>
      </c>
      <c r="B2211" s="32" t="s">
        <v>137</v>
      </c>
      <c r="C2211" s="3">
        <v>77</v>
      </c>
      <c r="D2211" s="32"/>
      <c r="E2211" s="20" t="s">
        <v>20</v>
      </c>
      <c r="F2211" s="7" t="s">
        <v>15</v>
      </c>
      <c r="G2211" s="7" t="s">
        <v>64</v>
      </c>
      <c r="H2211" s="11">
        <v>40.1</v>
      </c>
      <c r="I2211" s="33">
        <v>8.6999999999999993</v>
      </c>
      <c r="J2211" s="40">
        <v>1</v>
      </c>
      <c r="K2211" s="10">
        <v>0.34887000000000001</v>
      </c>
      <c r="L2211" s="4"/>
      <c r="M2211" s="17"/>
      <c r="N2211" s="18">
        <v>0</v>
      </c>
      <c r="O2211" s="19">
        <v>1</v>
      </c>
      <c r="P2211" s="13">
        <v>0.34887000000000001</v>
      </c>
      <c r="Q2211" s="32"/>
      <c r="R2211" s="32"/>
      <c r="S2211" s="32"/>
    </row>
    <row r="2212" spans="1:19">
      <c r="R2212" s="76">
        <f>SUM(R2204:R2211)</f>
        <v>3</v>
      </c>
    </row>
    <row r="2214" spans="1:19" ht="15.6">
      <c r="B2214" s="110" t="s">
        <v>328</v>
      </c>
      <c r="C2214" s="111" t="s">
        <v>232</v>
      </c>
      <c r="D2214" s="112" t="s">
        <v>228</v>
      </c>
      <c r="E2214" s="113" t="s">
        <v>19</v>
      </c>
      <c r="F2214" s="114" t="s">
        <v>14</v>
      </c>
      <c r="G2214" s="115" t="s">
        <v>34</v>
      </c>
      <c r="H2214" s="116">
        <v>9.61</v>
      </c>
      <c r="I2214" s="125">
        <v>6.15</v>
      </c>
      <c r="J2214" s="111">
        <f>34+34+16+38+39</f>
        <v>161</v>
      </c>
      <c r="K2214" s="117">
        <f t="shared" ref="K2214:K2223" si="168">I2214*H2214*J2214/1000</f>
        <v>9.5153414999999999</v>
      </c>
      <c r="L2214" s="118"/>
      <c r="M2214" s="111">
        <f>160+1</f>
        <v>161</v>
      </c>
      <c r="N2214" s="117">
        <f t="shared" ref="N2214:N2223" si="169">I2214*M2214*H2214/1000</f>
        <v>9.5153414999999999</v>
      </c>
      <c r="O2214" s="119">
        <f t="shared" ref="O2214:O2223" si="170">J2214-M2214</f>
        <v>0</v>
      </c>
      <c r="P2214" s="120">
        <f t="shared" ref="P2214:P2223" si="171">I2214*O2214*H2214/1000</f>
        <v>0</v>
      </c>
      <c r="Q2214" s="79">
        <v>6.15</v>
      </c>
      <c r="R2214" s="72">
        <v>1</v>
      </c>
      <c r="S2214" s="72" t="s">
        <v>359</v>
      </c>
    </row>
    <row r="2215" spans="1:19" ht="15.6">
      <c r="B2215" s="110" t="s">
        <v>328</v>
      </c>
      <c r="C2215" s="111" t="s">
        <v>232</v>
      </c>
      <c r="D2215" s="112" t="s">
        <v>228</v>
      </c>
      <c r="E2215" s="113" t="s">
        <v>19</v>
      </c>
      <c r="F2215" s="114" t="s">
        <v>14</v>
      </c>
      <c r="G2215" s="115" t="s">
        <v>34</v>
      </c>
      <c r="H2215" s="116">
        <v>9.61</v>
      </c>
      <c r="I2215" s="125">
        <v>6.8</v>
      </c>
      <c r="J2215" s="111">
        <f>34+25+38+38+24</f>
        <v>159</v>
      </c>
      <c r="K2215" s="117">
        <f t="shared" si="168"/>
        <v>10.390332000000001</v>
      </c>
      <c r="L2215" s="118"/>
      <c r="M2215" s="111">
        <v>159</v>
      </c>
      <c r="N2215" s="117">
        <f t="shared" si="169"/>
        <v>10.390332000000001</v>
      </c>
      <c r="O2215" s="119">
        <f t="shared" si="170"/>
        <v>0</v>
      </c>
      <c r="P2215" s="120">
        <f t="shared" si="171"/>
        <v>0</v>
      </c>
      <c r="Q2215" s="130"/>
      <c r="R2215" s="32"/>
      <c r="S2215" s="32"/>
    </row>
    <row r="2216" spans="1:19" ht="15.6">
      <c r="B2216" s="110" t="s">
        <v>328</v>
      </c>
      <c r="C2216" s="111" t="s">
        <v>232</v>
      </c>
      <c r="D2216" s="112" t="s">
        <v>228</v>
      </c>
      <c r="E2216" s="113" t="s">
        <v>19</v>
      </c>
      <c r="F2216" s="114" t="s">
        <v>14</v>
      </c>
      <c r="G2216" s="115" t="s">
        <v>34</v>
      </c>
      <c r="H2216" s="116">
        <v>9.61</v>
      </c>
      <c r="I2216" s="125">
        <v>8</v>
      </c>
      <c r="J2216" s="111">
        <f>24+25</f>
        <v>49</v>
      </c>
      <c r="K2216" s="117">
        <f t="shared" si="168"/>
        <v>3.7671199999999998</v>
      </c>
      <c r="L2216" s="118"/>
      <c r="M2216" s="111">
        <v>49</v>
      </c>
      <c r="N2216" s="117">
        <f t="shared" si="169"/>
        <v>3.7671199999999998</v>
      </c>
      <c r="O2216" s="119">
        <f t="shared" si="170"/>
        <v>0</v>
      </c>
      <c r="P2216" s="120">
        <f t="shared" si="171"/>
        <v>0</v>
      </c>
      <c r="Q2216" s="130"/>
      <c r="R2216" s="32"/>
      <c r="S2216" s="32"/>
    </row>
    <row r="2217" spans="1:19" ht="15.6">
      <c r="B2217" s="110" t="s">
        <v>328</v>
      </c>
      <c r="C2217" s="111" t="s">
        <v>232</v>
      </c>
      <c r="D2217" s="112" t="s">
        <v>228</v>
      </c>
      <c r="E2217" s="113" t="s">
        <v>19</v>
      </c>
      <c r="F2217" s="114" t="s">
        <v>14</v>
      </c>
      <c r="G2217" s="115" t="s">
        <v>34</v>
      </c>
      <c r="H2217" s="116">
        <v>9.61</v>
      </c>
      <c r="I2217" s="125">
        <v>12</v>
      </c>
      <c r="J2217" s="111">
        <f>15+19</f>
        <v>34</v>
      </c>
      <c r="K2217" s="117">
        <f t="shared" si="168"/>
        <v>3.9208799999999995</v>
      </c>
      <c r="L2217" s="118"/>
      <c r="M2217" s="111">
        <v>34</v>
      </c>
      <c r="N2217" s="117">
        <f t="shared" si="169"/>
        <v>3.9208799999999995</v>
      </c>
      <c r="O2217" s="119">
        <f t="shared" si="170"/>
        <v>0</v>
      </c>
      <c r="P2217" s="120">
        <f t="shared" si="171"/>
        <v>0</v>
      </c>
      <c r="Q2217" s="130"/>
      <c r="R2217" s="32"/>
      <c r="S2217" s="32"/>
    </row>
    <row r="2218" spans="1:19" ht="15.6">
      <c r="B2218" s="110" t="s">
        <v>328</v>
      </c>
      <c r="C2218" s="111" t="s">
        <v>232</v>
      </c>
      <c r="D2218" s="112" t="s">
        <v>228</v>
      </c>
      <c r="E2218" s="113" t="s">
        <v>19</v>
      </c>
      <c r="F2218" s="114" t="s">
        <v>14</v>
      </c>
      <c r="G2218" s="115" t="s">
        <v>34</v>
      </c>
      <c r="H2218" s="116">
        <v>9.61</v>
      </c>
      <c r="I2218" s="125">
        <v>6.8</v>
      </c>
      <c r="J2218" s="111">
        <v>1</v>
      </c>
      <c r="K2218" s="117">
        <f t="shared" si="168"/>
        <v>6.5348000000000003E-2</v>
      </c>
      <c r="L2218" s="118"/>
      <c r="M2218" s="111">
        <v>1</v>
      </c>
      <c r="N2218" s="117">
        <f t="shared" si="169"/>
        <v>6.5348000000000003E-2</v>
      </c>
      <c r="O2218" s="119">
        <f t="shared" si="170"/>
        <v>0</v>
      </c>
      <c r="P2218" s="120">
        <f t="shared" si="171"/>
        <v>0</v>
      </c>
      <c r="Q2218" s="79">
        <v>6</v>
      </c>
      <c r="R2218" s="72">
        <v>1</v>
      </c>
      <c r="S2218" s="72" t="s">
        <v>368</v>
      </c>
    </row>
    <row r="2219" spans="1:19" ht="15.6">
      <c r="B2219" s="110" t="s">
        <v>328</v>
      </c>
      <c r="C2219" s="111" t="s">
        <v>232</v>
      </c>
      <c r="D2219" s="112" t="s">
        <v>228</v>
      </c>
      <c r="E2219" s="113" t="s">
        <v>19</v>
      </c>
      <c r="F2219" s="114" t="s">
        <v>14</v>
      </c>
      <c r="G2219" s="115" t="s">
        <v>34</v>
      </c>
      <c r="H2219" s="116">
        <v>9.61</v>
      </c>
      <c r="I2219" s="125">
        <v>8</v>
      </c>
      <c r="J2219" s="111">
        <v>1</v>
      </c>
      <c r="K2219" s="117">
        <f t="shared" si="168"/>
        <v>7.687999999999999E-2</v>
      </c>
      <c r="L2219" s="118"/>
      <c r="M2219" s="111">
        <v>1</v>
      </c>
      <c r="N2219" s="117">
        <f t="shared" si="169"/>
        <v>7.687999999999999E-2</v>
      </c>
      <c r="O2219" s="119">
        <f t="shared" si="170"/>
        <v>0</v>
      </c>
      <c r="P2219" s="120">
        <f t="shared" si="171"/>
        <v>0</v>
      </c>
      <c r="Q2219" s="79">
        <v>6.8</v>
      </c>
      <c r="R2219" s="72">
        <v>1</v>
      </c>
      <c r="S2219" s="72" t="s">
        <v>359</v>
      </c>
    </row>
    <row r="2220" spans="1:19" ht="15.6">
      <c r="B2220" s="110" t="s">
        <v>328</v>
      </c>
      <c r="C2220" s="111" t="s">
        <v>232</v>
      </c>
      <c r="D2220" s="112" t="s">
        <v>228</v>
      </c>
      <c r="E2220" s="113" t="s">
        <v>19</v>
      </c>
      <c r="F2220" s="114" t="s">
        <v>14</v>
      </c>
      <c r="G2220" s="115" t="s">
        <v>34</v>
      </c>
      <c r="H2220" s="116">
        <v>9.61</v>
      </c>
      <c r="I2220" s="125">
        <v>11.35</v>
      </c>
      <c r="J2220" s="111">
        <v>1</v>
      </c>
      <c r="K2220" s="117">
        <f t="shared" si="168"/>
        <v>0.10907349999999999</v>
      </c>
      <c r="L2220" s="118"/>
      <c r="M2220" s="111">
        <v>1</v>
      </c>
      <c r="N2220" s="117">
        <f t="shared" si="169"/>
        <v>0.10907349999999999</v>
      </c>
      <c r="O2220" s="119">
        <f t="shared" si="170"/>
        <v>0</v>
      </c>
      <c r="P2220" s="120">
        <f t="shared" si="171"/>
        <v>0</v>
      </c>
      <c r="Q2220" s="75"/>
      <c r="R2220" s="72">
        <v>1</v>
      </c>
      <c r="S2220" s="72" t="s">
        <v>418</v>
      </c>
    </row>
    <row r="2221" spans="1:19" ht="15.6">
      <c r="B2221" s="110" t="s">
        <v>328</v>
      </c>
      <c r="C2221" s="111" t="s">
        <v>232</v>
      </c>
      <c r="D2221" s="112" t="s">
        <v>228</v>
      </c>
      <c r="E2221" s="113" t="s">
        <v>19</v>
      </c>
      <c r="F2221" s="114" t="s">
        <v>14</v>
      </c>
      <c r="G2221" s="115" t="s">
        <v>34</v>
      </c>
      <c r="H2221" s="116">
        <v>9.61</v>
      </c>
      <c r="I2221" s="125">
        <v>11.8</v>
      </c>
      <c r="J2221" s="111">
        <v>1</v>
      </c>
      <c r="K2221" s="117">
        <f t="shared" si="168"/>
        <v>0.113398</v>
      </c>
      <c r="L2221" s="118"/>
      <c r="M2221" s="111">
        <v>1</v>
      </c>
      <c r="N2221" s="117">
        <f t="shared" si="169"/>
        <v>0.113398</v>
      </c>
      <c r="O2221" s="119">
        <f t="shared" si="170"/>
        <v>0</v>
      </c>
      <c r="P2221" s="120">
        <f t="shared" si="171"/>
        <v>0</v>
      </c>
      <c r="Q2221" s="75"/>
      <c r="R2221" s="72">
        <v>1</v>
      </c>
      <c r="S2221" s="72" t="s">
        <v>418</v>
      </c>
    </row>
    <row r="2222" spans="1:19" ht="15.6">
      <c r="B2222" s="110" t="s">
        <v>328</v>
      </c>
      <c r="C2222" s="111" t="s">
        <v>232</v>
      </c>
      <c r="D2222" s="112" t="s">
        <v>228</v>
      </c>
      <c r="E2222" s="113" t="s">
        <v>19</v>
      </c>
      <c r="F2222" s="114" t="s">
        <v>14</v>
      </c>
      <c r="G2222" s="115" t="s">
        <v>34</v>
      </c>
      <c r="H2222" s="116">
        <v>9.61</v>
      </c>
      <c r="I2222" s="125">
        <v>11.9</v>
      </c>
      <c r="J2222" s="111">
        <v>1</v>
      </c>
      <c r="K2222" s="117">
        <f t="shared" si="168"/>
        <v>0.11435899999999999</v>
      </c>
      <c r="L2222" s="118"/>
      <c r="M2222" s="111">
        <v>1</v>
      </c>
      <c r="N2222" s="117">
        <f t="shared" si="169"/>
        <v>0.11435899999999999</v>
      </c>
      <c r="O2222" s="119">
        <f t="shared" si="170"/>
        <v>0</v>
      </c>
      <c r="P2222" s="120">
        <f t="shared" si="171"/>
        <v>0</v>
      </c>
      <c r="Q2222" s="159"/>
      <c r="R2222" s="32"/>
      <c r="S2222" s="32"/>
    </row>
    <row r="2223" spans="1:19" ht="15.6">
      <c r="B2223" s="110" t="s">
        <v>328</v>
      </c>
      <c r="C2223" s="111" t="s">
        <v>232</v>
      </c>
      <c r="D2223" s="112" t="s">
        <v>228</v>
      </c>
      <c r="E2223" s="113" t="s">
        <v>19</v>
      </c>
      <c r="F2223" s="114" t="s">
        <v>14</v>
      </c>
      <c r="G2223" s="115" t="s">
        <v>34</v>
      </c>
      <c r="H2223" s="116">
        <v>9.61</v>
      </c>
      <c r="I2223" s="125">
        <v>9.8000000000000007</v>
      </c>
      <c r="J2223" s="111">
        <v>1</v>
      </c>
      <c r="K2223" s="117">
        <f t="shared" si="168"/>
        <v>9.4177999999999998E-2</v>
      </c>
      <c r="L2223" s="118"/>
      <c r="M2223" s="111">
        <v>1</v>
      </c>
      <c r="N2223" s="117">
        <f t="shared" si="169"/>
        <v>9.4177999999999998E-2</v>
      </c>
      <c r="O2223" s="119">
        <f t="shared" si="170"/>
        <v>0</v>
      </c>
      <c r="P2223" s="120">
        <f t="shared" si="171"/>
        <v>0</v>
      </c>
      <c r="Q2223" s="159"/>
      <c r="R2223" s="32"/>
      <c r="S2223" s="32"/>
    </row>
    <row r="2224" spans="1:19">
      <c r="B2224" s="32"/>
      <c r="C2224" s="32"/>
      <c r="D2224" s="32"/>
      <c r="E2224" s="32"/>
      <c r="F2224" s="32"/>
      <c r="G2224" s="32"/>
      <c r="H2224" s="32"/>
      <c r="I2224" s="32"/>
      <c r="J2224" s="129">
        <f>SUM(J2214:J2223)</f>
        <v>409</v>
      </c>
      <c r="K2224" s="124">
        <f>SUM(K2214:K2223)</f>
        <v>28.166909999999998</v>
      </c>
      <c r="L2224" s="32"/>
      <c r="M2224" s="129">
        <f>SUM(M2214:M2223)</f>
        <v>409</v>
      </c>
      <c r="N2224" s="124">
        <f>SUM(N2214:N2223)</f>
        <v>28.166909999999998</v>
      </c>
      <c r="O2224" s="131">
        <f>SUM(O2214:O2223)</f>
        <v>0</v>
      </c>
      <c r="P2224" s="124">
        <f>SUM(P2214:P2223)</f>
        <v>0</v>
      </c>
      <c r="Q2224" s="32"/>
      <c r="R2224" s="171">
        <f>SUM(R2214:R2223)</f>
        <v>5</v>
      </c>
      <c r="S2224" s="32"/>
    </row>
    <row r="2226" spans="1:19" ht="15.6">
      <c r="B2226" s="110" t="s">
        <v>328</v>
      </c>
      <c r="C2226" s="111" t="s">
        <v>232</v>
      </c>
      <c r="D2226" s="112" t="s">
        <v>228</v>
      </c>
      <c r="E2226" s="113" t="s">
        <v>152</v>
      </c>
      <c r="F2226" s="114" t="s">
        <v>15</v>
      </c>
      <c r="G2226" s="115" t="s">
        <v>34</v>
      </c>
      <c r="H2226" s="116">
        <v>9.61</v>
      </c>
      <c r="I2226" s="125">
        <v>9.4</v>
      </c>
      <c r="J2226" s="111">
        <f>31+33+35+34+35</f>
        <v>168</v>
      </c>
      <c r="K2226" s="117">
        <f t="shared" ref="K2226:K2227" si="172">I2226*H2226*J2226/1000</f>
        <v>15.176112000000002</v>
      </c>
      <c r="L2226" s="118"/>
      <c r="M2226" s="111">
        <f>160+8</f>
        <v>168</v>
      </c>
      <c r="N2226" s="117">
        <f t="shared" ref="N2226:N2227" si="173">I2226*M2226*H2226/1000</f>
        <v>15.176112</v>
      </c>
      <c r="O2226" s="119">
        <f t="shared" ref="O2226:O2227" si="174">J2226-M2226</f>
        <v>0</v>
      </c>
      <c r="P2226" s="120">
        <f>I2226*O2226*H2226/1000</f>
        <v>0</v>
      </c>
      <c r="Q2226" s="98">
        <v>9.4</v>
      </c>
      <c r="R2226" s="91">
        <v>8</v>
      </c>
      <c r="S2226" s="91" t="s">
        <v>359</v>
      </c>
    </row>
    <row r="2227" spans="1:19" ht="15.6">
      <c r="B2227" s="110" t="s">
        <v>328</v>
      </c>
      <c r="C2227" s="111" t="s">
        <v>232</v>
      </c>
      <c r="D2227" s="112" t="s">
        <v>228</v>
      </c>
      <c r="E2227" s="113" t="s">
        <v>152</v>
      </c>
      <c r="F2227" s="114" t="s">
        <v>15</v>
      </c>
      <c r="G2227" s="115" t="s">
        <v>34</v>
      </c>
      <c r="H2227" s="116">
        <v>9.61</v>
      </c>
      <c r="I2227" s="125">
        <v>10.6</v>
      </c>
      <c r="J2227" s="111">
        <f>29+3+20+32</f>
        <v>84</v>
      </c>
      <c r="K2227" s="117">
        <f t="shared" si="172"/>
        <v>8.5567439999999984</v>
      </c>
      <c r="L2227" s="118"/>
      <c r="M2227" s="111">
        <f>80+4</f>
        <v>84</v>
      </c>
      <c r="N2227" s="117">
        <f t="shared" si="173"/>
        <v>8.5567439999999984</v>
      </c>
      <c r="O2227" s="119">
        <f t="shared" si="174"/>
        <v>0</v>
      </c>
      <c r="P2227" s="120">
        <f>I2227*O2227*H2227/1000</f>
        <v>0</v>
      </c>
      <c r="Q2227" s="98">
        <v>10.6</v>
      </c>
      <c r="R2227" s="91">
        <v>4</v>
      </c>
      <c r="S2227" s="91" t="s">
        <v>359</v>
      </c>
    </row>
    <row r="2228" spans="1:19">
      <c r="B2228" s="32"/>
      <c r="C2228" s="32"/>
      <c r="D2228" s="32"/>
      <c r="E2228" s="32"/>
      <c r="F2228" s="32"/>
      <c r="G2228" s="32"/>
      <c r="H2228" s="32"/>
      <c r="I2228" s="32"/>
      <c r="J2228" s="129">
        <f>SUM(J2226:J2227)</f>
        <v>252</v>
      </c>
      <c r="K2228" s="124">
        <f>SUM(K2226:K2227)</f>
        <v>23.732855999999998</v>
      </c>
      <c r="L2228" s="32"/>
      <c r="M2228" s="129">
        <f>SUM(M2226:M2227)</f>
        <v>252</v>
      </c>
      <c r="N2228" s="132">
        <f>SUM(N2226:N2227)</f>
        <v>23.732855999999998</v>
      </c>
      <c r="O2228" s="131">
        <f>SUM(O2226:O2227)</f>
        <v>0</v>
      </c>
      <c r="P2228" s="132">
        <f>SUM(P2226:P2227)</f>
        <v>0</v>
      </c>
      <c r="Q2228" s="32"/>
      <c r="R2228" s="131">
        <f>SUM(R2226:R2227)</f>
        <v>12</v>
      </c>
      <c r="S2228" s="32"/>
    </row>
    <row r="2231" spans="1:19">
      <c r="A2231" s="42" t="s">
        <v>77</v>
      </c>
      <c r="B2231" s="3" t="s">
        <v>68</v>
      </c>
      <c r="C2231" s="3">
        <v>413</v>
      </c>
      <c r="D2231" s="1"/>
      <c r="E2231" s="20" t="s">
        <v>17</v>
      </c>
      <c r="F2231" s="7" t="s">
        <v>15</v>
      </c>
      <c r="G2231" s="7" t="s">
        <v>21</v>
      </c>
      <c r="H2231" s="11">
        <v>6.97</v>
      </c>
      <c r="I2231" s="8">
        <v>7.5</v>
      </c>
      <c r="J2231" s="26">
        <v>3</v>
      </c>
      <c r="K2231" s="10">
        <v>0.15682499999999999</v>
      </c>
      <c r="L2231" s="4"/>
      <c r="M2231" s="17">
        <v>1</v>
      </c>
      <c r="N2231" s="18">
        <v>5.2275000000000002E-2</v>
      </c>
      <c r="O2231" s="19">
        <v>2</v>
      </c>
      <c r="P2231" s="13">
        <v>0.10455</v>
      </c>
      <c r="Q2231" s="9"/>
      <c r="R2231" s="2"/>
      <c r="S2231" s="13"/>
    </row>
    <row r="2232" spans="1:19">
      <c r="A2232" s="42" t="s">
        <v>77</v>
      </c>
      <c r="B2232" s="3" t="s">
        <v>68</v>
      </c>
      <c r="C2232" s="3">
        <v>422</v>
      </c>
      <c r="D2232" s="1"/>
      <c r="E2232" s="20" t="s">
        <v>17</v>
      </c>
      <c r="F2232" s="7" t="s">
        <v>15</v>
      </c>
      <c r="G2232" s="7" t="s">
        <v>21</v>
      </c>
      <c r="H2232" s="11">
        <v>6.97</v>
      </c>
      <c r="I2232" s="8">
        <v>7.85</v>
      </c>
      <c r="J2232" s="26">
        <v>1</v>
      </c>
      <c r="K2232" s="10">
        <v>5.4714499999999992E-2</v>
      </c>
      <c r="L2232" s="4"/>
      <c r="M2232" s="17"/>
      <c r="N2232" s="18">
        <v>0</v>
      </c>
      <c r="O2232" s="19">
        <v>1</v>
      </c>
      <c r="P2232" s="13">
        <v>5.4714499999999992E-2</v>
      </c>
      <c r="Q2232" s="9"/>
      <c r="R2232" s="2"/>
      <c r="S2232" s="13"/>
    </row>
    <row r="2233" spans="1:19">
      <c r="A2233" s="42" t="s">
        <v>90</v>
      </c>
      <c r="B2233" s="48" t="s">
        <v>148</v>
      </c>
      <c r="C2233" s="32">
        <v>25</v>
      </c>
      <c r="D2233" s="32" t="s">
        <v>93</v>
      </c>
      <c r="E2233" s="48" t="s">
        <v>151</v>
      </c>
      <c r="F2233" s="48" t="s">
        <v>15</v>
      </c>
      <c r="G2233" s="48" t="s">
        <v>21</v>
      </c>
      <c r="H2233" s="11">
        <v>6.97</v>
      </c>
      <c r="I2233" s="8">
        <v>6.2</v>
      </c>
      <c r="J2233" s="7">
        <v>1</v>
      </c>
      <c r="K2233" s="10">
        <v>4.3213999999999995E-2</v>
      </c>
      <c r="L2233" s="32"/>
      <c r="M2233" s="32"/>
      <c r="N2233" s="18">
        <v>0</v>
      </c>
      <c r="O2233" s="19">
        <v>1</v>
      </c>
      <c r="P2233" s="13">
        <v>4.3213999999999995E-2</v>
      </c>
      <c r="Q2233" s="155"/>
      <c r="R2233" s="32"/>
      <c r="S2233" s="32"/>
    </row>
    <row r="2234" spans="1:19">
      <c r="A2234" s="42" t="s">
        <v>90</v>
      </c>
      <c r="B2234" s="48" t="s">
        <v>148</v>
      </c>
      <c r="C2234" s="32">
        <v>25</v>
      </c>
      <c r="D2234" s="32" t="s">
        <v>93</v>
      </c>
      <c r="E2234" s="48" t="s">
        <v>151</v>
      </c>
      <c r="F2234" s="48" t="s">
        <v>15</v>
      </c>
      <c r="G2234" s="48" t="s">
        <v>21</v>
      </c>
      <c r="H2234" s="11">
        <v>6.97</v>
      </c>
      <c r="I2234" s="8">
        <v>6.5</v>
      </c>
      <c r="J2234" s="7">
        <v>1</v>
      </c>
      <c r="K2234" s="10">
        <v>4.5304999999999998E-2</v>
      </c>
      <c r="L2234" s="32"/>
      <c r="M2234" s="32"/>
      <c r="N2234" s="18">
        <v>0</v>
      </c>
      <c r="O2234" s="19">
        <v>1</v>
      </c>
      <c r="P2234" s="13">
        <v>4.5304999999999998E-2</v>
      </c>
      <c r="Q2234" s="155"/>
      <c r="R2234" s="32"/>
      <c r="S2234" s="32"/>
    </row>
    <row r="2235" spans="1:19">
      <c r="A2235" s="42" t="s">
        <v>90</v>
      </c>
      <c r="B2235" s="48" t="s">
        <v>148</v>
      </c>
      <c r="C2235" s="32">
        <v>96</v>
      </c>
      <c r="D2235" s="32"/>
      <c r="E2235" s="48" t="s">
        <v>152</v>
      </c>
      <c r="F2235" s="48" t="s">
        <v>15</v>
      </c>
      <c r="G2235" s="48" t="s">
        <v>21</v>
      </c>
      <c r="H2235" s="11">
        <v>6.97</v>
      </c>
      <c r="I2235" s="8">
        <v>9.4</v>
      </c>
      <c r="J2235" s="7">
        <v>1</v>
      </c>
      <c r="K2235" s="10">
        <v>6.5518000000000007E-2</v>
      </c>
      <c r="L2235" s="32"/>
      <c r="M2235" s="32"/>
      <c r="N2235" s="18">
        <v>0</v>
      </c>
      <c r="O2235" s="19">
        <v>1</v>
      </c>
      <c r="P2235" s="13">
        <v>6.5518000000000007E-2</v>
      </c>
      <c r="Q2235" s="33"/>
      <c r="R2235" s="32"/>
      <c r="S2235" s="32"/>
    </row>
    <row r="2236" spans="1:19">
      <c r="A2236" s="44" t="s">
        <v>78</v>
      </c>
      <c r="B2236" s="32" t="s">
        <v>111</v>
      </c>
      <c r="C2236" s="3">
        <v>9</v>
      </c>
      <c r="D2236" s="1"/>
      <c r="E2236" s="20" t="s">
        <v>114</v>
      </c>
      <c r="F2236" s="7" t="s">
        <v>15</v>
      </c>
      <c r="G2236" s="7" t="s">
        <v>21</v>
      </c>
      <c r="H2236" s="11">
        <v>6.97</v>
      </c>
      <c r="I2236" s="55">
        <v>9.3000000000000007</v>
      </c>
      <c r="J2236" s="40">
        <v>1</v>
      </c>
      <c r="K2236" s="10">
        <v>6.4821000000000004E-2</v>
      </c>
      <c r="L2236" s="4"/>
      <c r="M2236" s="17">
        <v>1</v>
      </c>
      <c r="N2236" s="18">
        <v>6.4821000000000004E-2</v>
      </c>
      <c r="O2236" s="19">
        <v>0</v>
      </c>
      <c r="P2236" s="13">
        <v>0</v>
      </c>
      <c r="Q2236" s="352">
        <v>7.25</v>
      </c>
      <c r="R2236" s="353">
        <v>1</v>
      </c>
      <c r="S2236" s="353" t="s">
        <v>375</v>
      </c>
    </row>
    <row r="2237" spans="1:19">
      <c r="A2237" s="44" t="s">
        <v>78</v>
      </c>
      <c r="B2237" s="32" t="s">
        <v>111</v>
      </c>
      <c r="C2237" s="3">
        <v>9</v>
      </c>
      <c r="D2237" s="1"/>
      <c r="E2237" s="20" t="s">
        <v>114</v>
      </c>
      <c r="F2237" s="7" t="s">
        <v>15</v>
      </c>
      <c r="G2237" s="7" t="s">
        <v>21</v>
      </c>
      <c r="H2237" s="11">
        <v>6.97</v>
      </c>
      <c r="I2237" s="55">
        <v>9.4499999999999993</v>
      </c>
      <c r="J2237" s="40">
        <v>4</v>
      </c>
      <c r="K2237" s="10">
        <v>0.26346599999999998</v>
      </c>
      <c r="L2237" s="4"/>
      <c r="M2237" s="17">
        <v>4</v>
      </c>
      <c r="N2237" s="18">
        <v>0.26346599999999998</v>
      </c>
      <c r="O2237" s="19">
        <v>0</v>
      </c>
      <c r="P2237" s="13">
        <v>0</v>
      </c>
      <c r="Q2237" s="352">
        <v>9.5</v>
      </c>
      <c r="R2237" s="353">
        <v>4</v>
      </c>
      <c r="S2237" s="353" t="s">
        <v>419</v>
      </c>
    </row>
    <row r="2238" spans="1:19">
      <c r="A2238" s="44" t="s">
        <v>78</v>
      </c>
      <c r="B2238" s="32" t="s">
        <v>111</v>
      </c>
      <c r="C2238" s="3">
        <v>9</v>
      </c>
      <c r="D2238" s="1"/>
      <c r="E2238" s="20" t="s">
        <v>114</v>
      </c>
      <c r="F2238" s="7" t="s">
        <v>15</v>
      </c>
      <c r="G2238" s="7" t="s">
        <v>21</v>
      </c>
      <c r="H2238" s="11">
        <v>6.97</v>
      </c>
      <c r="I2238" s="55">
        <v>9.5</v>
      </c>
      <c r="J2238" s="40">
        <v>1</v>
      </c>
      <c r="K2238" s="10">
        <v>6.621500000000001E-2</v>
      </c>
      <c r="L2238" s="4"/>
      <c r="M2238" s="17">
        <v>1</v>
      </c>
      <c r="N2238" s="18">
        <v>6.621500000000001E-2</v>
      </c>
      <c r="O2238" s="19">
        <v>0</v>
      </c>
      <c r="P2238" s="13">
        <v>0</v>
      </c>
      <c r="Q2238" s="352">
        <v>9.5</v>
      </c>
      <c r="R2238" s="353">
        <v>1</v>
      </c>
      <c r="S2238" s="353" t="s">
        <v>419</v>
      </c>
    </row>
    <row r="2239" spans="1:19">
      <c r="A2239" s="44" t="s">
        <v>78</v>
      </c>
      <c r="B2239" s="32" t="s">
        <v>80</v>
      </c>
      <c r="C2239" s="3">
        <v>9</v>
      </c>
      <c r="D2239" s="32"/>
      <c r="E2239" s="20" t="s">
        <v>94</v>
      </c>
      <c r="F2239" s="7" t="s">
        <v>15</v>
      </c>
      <c r="G2239" s="7" t="s">
        <v>21</v>
      </c>
      <c r="H2239" s="11">
        <v>6.97</v>
      </c>
      <c r="I2239" s="55">
        <v>8.6</v>
      </c>
      <c r="J2239" s="41">
        <v>5</v>
      </c>
      <c r="K2239" s="10">
        <v>0.29970999999999998</v>
      </c>
      <c r="L2239" s="4"/>
      <c r="M2239" s="17">
        <v>5</v>
      </c>
      <c r="N2239" s="18">
        <v>0.29970999999999998</v>
      </c>
      <c r="O2239" s="19">
        <v>0</v>
      </c>
      <c r="P2239" s="13">
        <v>0</v>
      </c>
      <c r="Q2239" s="352">
        <v>7.25</v>
      </c>
      <c r="R2239" s="353">
        <v>5</v>
      </c>
      <c r="S2239" s="353" t="s">
        <v>375</v>
      </c>
    </row>
    <row r="2240" spans="1:19">
      <c r="A2240" s="44" t="s">
        <v>78</v>
      </c>
      <c r="B2240" s="32" t="s">
        <v>80</v>
      </c>
      <c r="C2240" s="3">
        <v>9</v>
      </c>
      <c r="D2240" s="32"/>
      <c r="E2240" s="20" t="s">
        <v>94</v>
      </c>
      <c r="F2240" s="7" t="s">
        <v>15</v>
      </c>
      <c r="G2240" s="7" t="s">
        <v>21</v>
      </c>
      <c r="H2240" s="11">
        <v>6.97</v>
      </c>
      <c r="I2240" s="55">
        <v>9</v>
      </c>
      <c r="J2240" s="41">
        <v>16</v>
      </c>
      <c r="K2240" s="10">
        <v>1.0036799999999999</v>
      </c>
      <c r="L2240" s="4"/>
      <c r="M2240" s="17">
        <v>8</v>
      </c>
      <c r="N2240" s="18">
        <v>0.50183999999999995</v>
      </c>
      <c r="O2240" s="19">
        <v>8</v>
      </c>
      <c r="P2240" s="13">
        <v>0.50183999999999995</v>
      </c>
      <c r="Q2240" s="352">
        <v>7.25</v>
      </c>
      <c r="R2240" s="353">
        <v>2</v>
      </c>
      <c r="S2240" s="353" t="s">
        <v>375</v>
      </c>
    </row>
    <row r="2241" spans="1:19">
      <c r="R2241" s="76">
        <f>SUM(R2236:R2240)</f>
        <v>13</v>
      </c>
    </row>
    <row r="2243" spans="1:19">
      <c r="A2243" s="42" t="s">
        <v>90</v>
      </c>
      <c r="B2243" s="48" t="s">
        <v>148</v>
      </c>
      <c r="C2243" s="32">
        <v>59</v>
      </c>
      <c r="D2243" s="32"/>
      <c r="E2243" s="48" t="s">
        <v>20</v>
      </c>
      <c r="F2243" s="48" t="s">
        <v>15</v>
      </c>
      <c r="G2243" s="48" t="s">
        <v>29</v>
      </c>
      <c r="H2243" s="11">
        <v>10.92</v>
      </c>
      <c r="I2243" s="52">
        <v>9</v>
      </c>
      <c r="J2243" s="7">
        <v>1</v>
      </c>
      <c r="K2243" s="10">
        <v>9.8280000000000006E-2</v>
      </c>
      <c r="L2243" s="32"/>
      <c r="M2243" s="32">
        <v>1</v>
      </c>
      <c r="N2243" s="18">
        <v>9.8280000000000006E-2</v>
      </c>
      <c r="O2243" s="19">
        <v>0</v>
      </c>
      <c r="P2243" s="13">
        <v>0</v>
      </c>
      <c r="Q2243" s="79">
        <v>6.55</v>
      </c>
      <c r="R2243" s="72">
        <v>1</v>
      </c>
      <c r="S2243" s="72" t="s">
        <v>374</v>
      </c>
    </row>
    <row r="2244" spans="1:19">
      <c r="A2244" s="42" t="s">
        <v>90</v>
      </c>
      <c r="B2244" s="48" t="s">
        <v>148</v>
      </c>
      <c r="C2244" s="32">
        <v>60</v>
      </c>
      <c r="D2244" s="32"/>
      <c r="E2244" s="48" t="s">
        <v>20</v>
      </c>
      <c r="F2244" s="48" t="s">
        <v>15</v>
      </c>
      <c r="G2244" s="48" t="s">
        <v>29</v>
      </c>
      <c r="H2244" s="11">
        <v>10.92</v>
      </c>
      <c r="I2244" s="52">
        <v>8.6</v>
      </c>
      <c r="J2244" s="7">
        <v>3</v>
      </c>
      <c r="K2244" s="10">
        <v>0.28173599999999999</v>
      </c>
      <c r="L2244" s="32"/>
      <c r="M2244" s="32">
        <v>3</v>
      </c>
      <c r="N2244" s="18">
        <v>0.28173599999999999</v>
      </c>
      <c r="O2244" s="19">
        <v>0</v>
      </c>
      <c r="P2244" s="13">
        <v>0</v>
      </c>
      <c r="Q2244" s="79">
        <v>6.55</v>
      </c>
      <c r="R2244" s="72">
        <v>3</v>
      </c>
      <c r="S2244" s="72" t="s">
        <v>374</v>
      </c>
    </row>
    <row r="2245" spans="1:19">
      <c r="A2245" s="42" t="s">
        <v>90</v>
      </c>
      <c r="B2245" s="48" t="s">
        <v>148</v>
      </c>
      <c r="C2245" s="32">
        <v>63</v>
      </c>
      <c r="D2245" s="32"/>
      <c r="E2245" s="48" t="s">
        <v>89</v>
      </c>
      <c r="F2245" s="48" t="s">
        <v>15</v>
      </c>
      <c r="G2245" s="48" t="s">
        <v>29</v>
      </c>
      <c r="H2245" s="11">
        <v>10.92</v>
      </c>
      <c r="I2245" s="52">
        <v>10.199999999999999</v>
      </c>
      <c r="J2245" s="7">
        <v>1</v>
      </c>
      <c r="K2245" s="10">
        <v>0.11138399999999998</v>
      </c>
      <c r="L2245" s="32"/>
      <c r="M2245" s="32">
        <v>1</v>
      </c>
      <c r="N2245" s="18">
        <v>0.11138399999999998</v>
      </c>
      <c r="O2245" s="19">
        <v>0</v>
      </c>
      <c r="P2245" s="13">
        <v>0</v>
      </c>
      <c r="Q2245" s="79">
        <v>10</v>
      </c>
      <c r="R2245" s="72">
        <v>1</v>
      </c>
      <c r="S2245" s="72" t="s">
        <v>371</v>
      </c>
    </row>
    <row r="2246" spans="1:19">
      <c r="A2246" s="42" t="s">
        <v>90</v>
      </c>
      <c r="B2246" s="48" t="s">
        <v>148</v>
      </c>
      <c r="C2246" s="32">
        <v>63</v>
      </c>
      <c r="D2246" s="32"/>
      <c r="E2246" s="48" t="s">
        <v>89</v>
      </c>
      <c r="F2246" s="48" t="s">
        <v>15</v>
      </c>
      <c r="G2246" s="48" t="s">
        <v>29</v>
      </c>
      <c r="H2246" s="11">
        <v>10.92</v>
      </c>
      <c r="I2246" s="52">
        <v>8.8000000000000007</v>
      </c>
      <c r="J2246" s="7">
        <v>1</v>
      </c>
      <c r="K2246" s="10">
        <v>9.6096000000000001E-2</v>
      </c>
      <c r="L2246" s="32"/>
      <c r="M2246" s="32"/>
      <c r="N2246" s="18">
        <v>0</v>
      </c>
      <c r="O2246" s="19">
        <v>1</v>
      </c>
      <c r="P2246" s="13">
        <v>9.6096000000000001E-2</v>
      </c>
      <c r="Q2246" s="55"/>
      <c r="R2246" s="32"/>
      <c r="S2246" s="32"/>
    </row>
    <row r="2247" spans="1:19">
      <c r="A2247" s="42" t="s">
        <v>90</v>
      </c>
      <c r="B2247" s="48" t="s">
        <v>148</v>
      </c>
      <c r="C2247" s="32">
        <v>68</v>
      </c>
      <c r="D2247" s="32"/>
      <c r="E2247" s="48" t="s">
        <v>20</v>
      </c>
      <c r="F2247" s="48" t="s">
        <v>15</v>
      </c>
      <c r="G2247" s="48" t="s">
        <v>29</v>
      </c>
      <c r="H2247" s="11">
        <v>10.92</v>
      </c>
      <c r="I2247" s="52">
        <v>11</v>
      </c>
      <c r="J2247" s="7">
        <v>1</v>
      </c>
      <c r="K2247" s="10">
        <v>0.12012</v>
      </c>
      <c r="L2247" s="32"/>
      <c r="M2247" s="32"/>
      <c r="N2247" s="18">
        <v>0</v>
      </c>
      <c r="O2247" s="19">
        <v>1</v>
      </c>
      <c r="P2247" s="13">
        <v>0.12012</v>
      </c>
      <c r="Q2247" s="55"/>
      <c r="R2247" s="32"/>
      <c r="S2247" s="32"/>
    </row>
    <row r="2248" spans="1:19">
      <c r="A2248" s="47" t="s">
        <v>147</v>
      </c>
      <c r="B2248" s="48" t="s">
        <v>148</v>
      </c>
      <c r="C2248" s="32">
        <v>257</v>
      </c>
      <c r="D2248" s="32"/>
      <c r="E2248" s="48" t="s">
        <v>89</v>
      </c>
      <c r="F2248" s="48" t="s">
        <v>160</v>
      </c>
      <c r="G2248" s="48" t="s">
        <v>29</v>
      </c>
      <c r="H2248" s="11">
        <v>10.92</v>
      </c>
      <c r="I2248" s="52">
        <v>11.7</v>
      </c>
      <c r="J2248" s="7">
        <v>2</v>
      </c>
      <c r="K2248" s="10">
        <v>0.25552799999999998</v>
      </c>
      <c r="L2248" s="32"/>
      <c r="M2248" s="32"/>
      <c r="N2248" s="18">
        <v>0</v>
      </c>
      <c r="O2248" s="19">
        <v>2</v>
      </c>
      <c r="P2248" s="13">
        <v>0.25552799999999998</v>
      </c>
      <c r="Q2248" s="55"/>
      <c r="R2248" s="32"/>
      <c r="S2248" s="32"/>
    </row>
    <row r="2249" spans="1:19">
      <c r="A2249" s="47" t="s">
        <v>147</v>
      </c>
      <c r="B2249" s="48" t="s">
        <v>148</v>
      </c>
      <c r="C2249" s="32">
        <v>321</v>
      </c>
      <c r="D2249" s="32"/>
      <c r="E2249" s="48" t="s">
        <v>17</v>
      </c>
      <c r="F2249" s="48" t="s">
        <v>160</v>
      </c>
      <c r="G2249" s="48" t="s">
        <v>29</v>
      </c>
      <c r="H2249" s="11">
        <v>10.92</v>
      </c>
      <c r="I2249" s="52">
        <v>7.5</v>
      </c>
      <c r="J2249" s="7">
        <v>22</v>
      </c>
      <c r="K2249" s="10">
        <v>1.8018000000000003</v>
      </c>
      <c r="L2249" s="32"/>
      <c r="M2249" s="32">
        <v>22</v>
      </c>
      <c r="N2249" s="18">
        <v>1.8017999999999998</v>
      </c>
      <c r="O2249" s="19">
        <v>0</v>
      </c>
      <c r="P2249" s="13">
        <v>0</v>
      </c>
      <c r="Q2249" s="79">
        <v>6.55</v>
      </c>
      <c r="R2249" s="72">
        <v>4</v>
      </c>
      <c r="S2249" s="72" t="s">
        <v>374</v>
      </c>
    </row>
    <row r="2250" spans="1:19">
      <c r="A2250" s="47" t="s">
        <v>147</v>
      </c>
      <c r="B2250" s="48" t="s">
        <v>148</v>
      </c>
      <c r="C2250" s="32">
        <v>322</v>
      </c>
      <c r="D2250" s="32"/>
      <c r="E2250" s="48" t="s">
        <v>17</v>
      </c>
      <c r="F2250" s="48" t="s">
        <v>160</v>
      </c>
      <c r="G2250" s="48" t="s">
        <v>29</v>
      </c>
      <c r="H2250" s="11">
        <v>10.92</v>
      </c>
      <c r="I2250" s="52">
        <v>6.3</v>
      </c>
      <c r="J2250" s="7">
        <v>1</v>
      </c>
      <c r="K2250" s="10">
        <v>6.8795999999999996E-2</v>
      </c>
      <c r="L2250" s="32"/>
      <c r="M2250" s="32"/>
      <c r="N2250" s="18">
        <v>0</v>
      </c>
      <c r="O2250" s="19">
        <v>1</v>
      </c>
      <c r="P2250" s="13">
        <v>6.8795999999999996E-2</v>
      </c>
      <c r="Q2250" s="32"/>
      <c r="R2250" s="32"/>
      <c r="S2250" s="32"/>
    </row>
    <row r="2251" spans="1:19">
      <c r="A2251" s="47" t="s">
        <v>147</v>
      </c>
      <c r="B2251" s="48" t="s">
        <v>148</v>
      </c>
      <c r="C2251" s="32">
        <v>322</v>
      </c>
      <c r="D2251" s="32"/>
      <c r="E2251" s="48" t="s">
        <v>17</v>
      </c>
      <c r="F2251" s="48" t="s">
        <v>160</v>
      </c>
      <c r="G2251" s="48" t="s">
        <v>29</v>
      </c>
      <c r="H2251" s="11">
        <v>10.92</v>
      </c>
      <c r="I2251" s="52">
        <v>9.4</v>
      </c>
      <c r="J2251" s="7">
        <v>1</v>
      </c>
      <c r="K2251" s="10">
        <v>0.10264799999999999</v>
      </c>
      <c r="L2251" s="32"/>
      <c r="M2251" s="32"/>
      <c r="N2251" s="18">
        <v>0</v>
      </c>
      <c r="O2251" s="19">
        <v>1</v>
      </c>
      <c r="P2251" s="13">
        <v>0.10264799999999999</v>
      </c>
      <c r="Q2251" s="32"/>
      <c r="R2251" s="32"/>
      <c r="S2251" s="32"/>
    </row>
    <row r="2252" spans="1:19">
      <c r="A2252" s="44" t="s">
        <v>78</v>
      </c>
      <c r="B2252" s="3" t="s">
        <v>80</v>
      </c>
      <c r="C2252" s="3">
        <v>9</v>
      </c>
      <c r="D2252" s="1"/>
      <c r="E2252" s="20" t="s">
        <v>20</v>
      </c>
      <c r="F2252" s="7" t="s">
        <v>15</v>
      </c>
      <c r="G2252" s="7" t="s">
        <v>29</v>
      </c>
      <c r="H2252" s="11">
        <v>10.92</v>
      </c>
      <c r="I2252" s="8">
        <v>7.5</v>
      </c>
      <c r="J2252" s="26">
        <v>1</v>
      </c>
      <c r="K2252" s="10">
        <v>8.1900000000000001E-2</v>
      </c>
      <c r="L2252" s="4"/>
      <c r="M2252" s="17"/>
      <c r="N2252" s="18">
        <v>0</v>
      </c>
      <c r="O2252" s="19">
        <v>1</v>
      </c>
      <c r="P2252" s="13">
        <v>8.1900000000000001E-2</v>
      </c>
      <c r="Q2252" s="9"/>
      <c r="R2252" s="32"/>
      <c r="S2252" s="32"/>
    </row>
    <row r="2253" spans="1:19">
      <c r="A2253" s="44" t="s">
        <v>78</v>
      </c>
      <c r="B2253" s="3" t="s">
        <v>80</v>
      </c>
      <c r="C2253" s="3">
        <v>9</v>
      </c>
      <c r="D2253" s="1"/>
      <c r="E2253" s="20" t="s">
        <v>20</v>
      </c>
      <c r="F2253" s="7" t="s">
        <v>15</v>
      </c>
      <c r="G2253" s="7" t="s">
        <v>29</v>
      </c>
      <c r="H2253" s="11">
        <v>10.92</v>
      </c>
      <c r="I2253" s="8">
        <v>9.1999999999999993</v>
      </c>
      <c r="J2253" s="26">
        <v>1</v>
      </c>
      <c r="K2253" s="10">
        <v>0.100464</v>
      </c>
      <c r="L2253" s="4"/>
      <c r="M2253" s="17"/>
      <c r="N2253" s="18">
        <v>0</v>
      </c>
      <c r="O2253" s="19">
        <v>1</v>
      </c>
      <c r="P2253" s="13">
        <v>0.100464</v>
      </c>
      <c r="Q2253" s="9"/>
      <c r="R2253" s="32"/>
      <c r="S2253" s="32"/>
    </row>
    <row r="2254" spans="1:19">
      <c r="A2254" s="45" t="s">
        <v>136</v>
      </c>
      <c r="B2254" s="48" t="s">
        <v>171</v>
      </c>
      <c r="C2254" s="32">
        <v>135</v>
      </c>
      <c r="D2254" s="32"/>
      <c r="E2254" s="48" t="s">
        <v>20</v>
      </c>
      <c r="F2254" s="48" t="s">
        <v>15</v>
      </c>
      <c r="G2254" s="48" t="s">
        <v>29</v>
      </c>
      <c r="H2254" s="11">
        <v>10.92</v>
      </c>
      <c r="I2254" s="52">
        <v>10.5</v>
      </c>
      <c r="J2254" s="7">
        <v>1</v>
      </c>
      <c r="K2254" s="10">
        <v>0.11466</v>
      </c>
      <c r="L2254" s="32"/>
      <c r="M2254" s="32"/>
      <c r="N2254" s="18">
        <v>0</v>
      </c>
      <c r="O2254" s="19">
        <v>1</v>
      </c>
      <c r="P2254" s="13">
        <v>0.11466</v>
      </c>
      <c r="Q2254" s="32"/>
      <c r="R2254" s="32"/>
      <c r="S2254" s="32"/>
    </row>
    <row r="2255" spans="1:19">
      <c r="A2255" s="45" t="s">
        <v>136</v>
      </c>
      <c r="B2255" s="48" t="s">
        <v>171</v>
      </c>
      <c r="C2255" s="32">
        <v>135</v>
      </c>
      <c r="D2255" s="32"/>
      <c r="E2255" s="48" t="s">
        <v>20</v>
      </c>
      <c r="F2255" s="48" t="s">
        <v>15</v>
      </c>
      <c r="G2255" s="48" t="s">
        <v>29</v>
      </c>
      <c r="H2255" s="11">
        <v>10.92</v>
      </c>
      <c r="I2255" s="52">
        <v>11.4</v>
      </c>
      <c r="J2255" s="7">
        <v>1</v>
      </c>
      <c r="K2255" s="10">
        <v>0.124488</v>
      </c>
      <c r="L2255" s="32"/>
      <c r="M2255" s="32"/>
      <c r="N2255" s="18">
        <v>0</v>
      </c>
      <c r="O2255" s="19">
        <v>1</v>
      </c>
      <c r="P2255" s="13">
        <v>0.124488</v>
      </c>
      <c r="Q2255" s="32"/>
      <c r="R2255" s="32"/>
      <c r="S2255" s="32"/>
    </row>
    <row r="2256" spans="1:19">
      <c r="O2256" s="78">
        <f>SUM(O2243:O2255)</f>
        <v>10</v>
      </c>
      <c r="R2256" s="80">
        <f>SUM(R2243:R2255)</f>
        <v>9</v>
      </c>
    </row>
    <row r="2258" spans="1:19">
      <c r="A2258" s="45" t="s">
        <v>136</v>
      </c>
      <c r="B2258" s="32" t="s">
        <v>137</v>
      </c>
      <c r="C2258" s="3">
        <v>68</v>
      </c>
      <c r="D2258" s="32"/>
      <c r="E2258" s="20" t="s">
        <v>145</v>
      </c>
      <c r="F2258" s="7" t="s">
        <v>14</v>
      </c>
      <c r="G2258" s="7" t="s">
        <v>32</v>
      </c>
      <c r="H2258" s="11">
        <v>8.3000000000000007</v>
      </c>
      <c r="I2258" s="33">
        <v>12</v>
      </c>
      <c r="J2258" s="40">
        <v>1</v>
      </c>
      <c r="K2258" s="10">
        <f t="shared" ref="K2258:K2261" si="175">(H2258*I2258*J2258/1000)</f>
        <v>9.9600000000000008E-2</v>
      </c>
      <c r="L2258" s="4"/>
      <c r="M2258" s="17">
        <v>1</v>
      </c>
      <c r="N2258" s="18">
        <f t="shared" ref="N2258:N2261" si="176">I2258*M2258*H2258/1000</f>
        <v>9.9600000000000008E-2</v>
      </c>
      <c r="O2258" s="19">
        <f t="shared" ref="O2258:O2261" si="177">J2258-M2258</f>
        <v>0</v>
      </c>
      <c r="P2258" s="13">
        <f t="shared" ref="P2258:P2261" si="178">I2258*O2258*H2258/1000</f>
        <v>0</v>
      </c>
      <c r="Q2258" s="104">
        <v>12</v>
      </c>
      <c r="R2258" s="101">
        <v>1</v>
      </c>
      <c r="S2258" s="103" t="s">
        <v>420</v>
      </c>
    </row>
    <row r="2259" spans="1:19">
      <c r="A2259" s="45" t="s">
        <v>136</v>
      </c>
      <c r="B2259" s="32" t="s">
        <v>137</v>
      </c>
      <c r="C2259" s="3">
        <v>68</v>
      </c>
      <c r="D2259" s="32"/>
      <c r="E2259" s="20" t="s">
        <v>145</v>
      </c>
      <c r="F2259" s="7" t="s">
        <v>14</v>
      </c>
      <c r="G2259" s="7" t="s">
        <v>32</v>
      </c>
      <c r="H2259" s="11">
        <v>8.3000000000000007</v>
      </c>
      <c r="I2259" s="33">
        <v>11.5</v>
      </c>
      <c r="J2259" s="40">
        <v>3</v>
      </c>
      <c r="K2259" s="10">
        <f t="shared" si="175"/>
        <v>0.28635000000000005</v>
      </c>
      <c r="L2259" s="4"/>
      <c r="M2259" s="17">
        <v>3</v>
      </c>
      <c r="N2259" s="18">
        <f t="shared" si="176"/>
        <v>0.28635000000000005</v>
      </c>
      <c r="O2259" s="19">
        <f t="shared" si="177"/>
        <v>0</v>
      </c>
      <c r="P2259" s="13">
        <f t="shared" si="178"/>
        <v>0</v>
      </c>
      <c r="Q2259" s="104">
        <v>11.5</v>
      </c>
      <c r="R2259" s="101">
        <v>3</v>
      </c>
      <c r="S2259" s="103" t="s">
        <v>335</v>
      </c>
    </row>
    <row r="2260" spans="1:19">
      <c r="A2260" s="45" t="s">
        <v>136</v>
      </c>
      <c r="B2260" s="32" t="s">
        <v>137</v>
      </c>
      <c r="C2260" s="3">
        <v>68</v>
      </c>
      <c r="D2260" s="32"/>
      <c r="E2260" s="20" t="s">
        <v>145</v>
      </c>
      <c r="F2260" s="7" t="s">
        <v>14</v>
      </c>
      <c r="G2260" s="7" t="s">
        <v>32</v>
      </c>
      <c r="H2260" s="11">
        <v>8.3000000000000007</v>
      </c>
      <c r="I2260" s="33">
        <v>9</v>
      </c>
      <c r="J2260" s="40">
        <v>1</v>
      </c>
      <c r="K2260" s="10">
        <f t="shared" si="175"/>
        <v>7.4700000000000003E-2</v>
      </c>
      <c r="L2260" s="4"/>
      <c r="M2260" s="17">
        <v>1</v>
      </c>
      <c r="N2260" s="18">
        <f t="shared" si="176"/>
        <v>7.4700000000000003E-2</v>
      </c>
      <c r="O2260" s="19">
        <f t="shared" si="177"/>
        <v>0</v>
      </c>
      <c r="P2260" s="13">
        <f t="shared" si="178"/>
        <v>0</v>
      </c>
      <c r="Q2260" s="104">
        <v>8.1999999999999993</v>
      </c>
      <c r="R2260" s="101">
        <v>1</v>
      </c>
      <c r="S2260" s="103" t="s">
        <v>375</v>
      </c>
    </row>
    <row r="2261" spans="1:19">
      <c r="A2261" s="45" t="s">
        <v>136</v>
      </c>
      <c r="B2261" s="32" t="s">
        <v>137</v>
      </c>
      <c r="C2261" s="3">
        <v>68</v>
      </c>
      <c r="D2261" s="32"/>
      <c r="E2261" s="20" t="s">
        <v>145</v>
      </c>
      <c r="F2261" s="7" t="s">
        <v>14</v>
      </c>
      <c r="G2261" s="7" t="s">
        <v>32</v>
      </c>
      <c r="H2261" s="11">
        <v>8.3000000000000007</v>
      </c>
      <c r="I2261" s="33">
        <v>8</v>
      </c>
      <c r="J2261" s="40">
        <v>1</v>
      </c>
      <c r="K2261" s="10">
        <f t="shared" si="175"/>
        <v>6.6400000000000001E-2</v>
      </c>
      <c r="L2261" s="4"/>
      <c r="M2261" s="17">
        <v>1</v>
      </c>
      <c r="N2261" s="18">
        <f t="shared" si="176"/>
        <v>6.6400000000000001E-2</v>
      </c>
      <c r="O2261" s="19">
        <f t="shared" si="177"/>
        <v>0</v>
      </c>
      <c r="P2261" s="13">
        <f t="shared" si="178"/>
        <v>0</v>
      </c>
      <c r="Q2261" s="104">
        <v>8.1999999999999993</v>
      </c>
      <c r="R2261" s="101">
        <v>1</v>
      </c>
      <c r="S2261" s="103" t="s">
        <v>375</v>
      </c>
    </row>
    <row r="2262" spans="1:19">
      <c r="R2262" s="76">
        <f>SUM(R2258:R2261)</f>
        <v>6</v>
      </c>
    </row>
    <row r="2264" spans="1:19">
      <c r="A2264" s="42" t="s">
        <v>84</v>
      </c>
      <c r="B2264" s="3" t="s">
        <v>122</v>
      </c>
      <c r="C2264" s="3">
        <v>1</v>
      </c>
      <c r="D2264" s="1"/>
      <c r="E2264" s="20" t="s">
        <v>86</v>
      </c>
      <c r="F2264" s="7" t="s">
        <v>14</v>
      </c>
      <c r="G2264" s="7" t="s">
        <v>29</v>
      </c>
      <c r="H2264" s="11">
        <v>10.92</v>
      </c>
      <c r="I2264" s="8">
        <v>12</v>
      </c>
      <c r="J2264" s="26">
        <v>14</v>
      </c>
      <c r="K2264" s="10">
        <v>1.83456</v>
      </c>
      <c r="L2264" s="4"/>
      <c r="M2264" s="37">
        <v>14</v>
      </c>
      <c r="N2264" s="18">
        <v>1.83456</v>
      </c>
      <c r="O2264" s="19">
        <v>0</v>
      </c>
      <c r="P2264" s="13">
        <v>0</v>
      </c>
      <c r="Q2264" s="73">
        <v>12</v>
      </c>
      <c r="R2264" s="74">
        <v>4</v>
      </c>
      <c r="S2264" s="73" t="s">
        <v>376</v>
      </c>
    </row>
    <row r="2265" spans="1:19">
      <c r="A2265" s="42" t="s">
        <v>84</v>
      </c>
      <c r="B2265" s="3" t="s">
        <v>122</v>
      </c>
      <c r="C2265" s="3">
        <v>1</v>
      </c>
      <c r="D2265" s="1"/>
      <c r="E2265" s="20" t="s">
        <v>81</v>
      </c>
      <c r="F2265" s="7" t="s">
        <v>14</v>
      </c>
      <c r="G2265" s="7" t="s">
        <v>29</v>
      </c>
      <c r="H2265" s="11">
        <v>10.92</v>
      </c>
      <c r="I2265" s="8">
        <v>8.9</v>
      </c>
      <c r="J2265" s="26">
        <v>1</v>
      </c>
      <c r="K2265" s="10">
        <v>9.7187999999999997E-2</v>
      </c>
      <c r="L2265" s="4"/>
      <c r="M2265" s="17"/>
      <c r="N2265" s="18">
        <v>0</v>
      </c>
      <c r="O2265" s="19">
        <v>1</v>
      </c>
      <c r="P2265" s="13">
        <v>9.7187999999999997E-2</v>
      </c>
      <c r="Q2265" s="9"/>
      <c r="R2265" s="2"/>
      <c r="S2265" s="2"/>
    </row>
    <row r="2266" spans="1:19">
      <c r="A2266" s="42" t="s">
        <v>84</v>
      </c>
      <c r="B2266" s="3" t="s">
        <v>122</v>
      </c>
      <c r="C2266" s="3">
        <v>1</v>
      </c>
      <c r="D2266" s="1"/>
      <c r="E2266" s="20" t="s">
        <v>81</v>
      </c>
      <c r="F2266" s="7" t="s">
        <v>14</v>
      </c>
      <c r="G2266" s="7" t="s">
        <v>29</v>
      </c>
      <c r="H2266" s="11">
        <v>10.92</v>
      </c>
      <c r="I2266" s="8">
        <v>9.8000000000000007</v>
      </c>
      <c r="J2266" s="26">
        <v>1</v>
      </c>
      <c r="K2266" s="10">
        <v>0.107016</v>
      </c>
      <c r="L2266" s="4"/>
      <c r="M2266" s="17"/>
      <c r="N2266" s="18">
        <v>0</v>
      </c>
      <c r="O2266" s="19">
        <v>1</v>
      </c>
      <c r="P2266" s="13">
        <v>0.107016</v>
      </c>
      <c r="Q2266" s="9"/>
      <c r="R2266" s="2"/>
      <c r="S2266" s="2"/>
    </row>
    <row r="2267" spans="1:19">
      <c r="A2267" s="42" t="s">
        <v>84</v>
      </c>
      <c r="B2267" s="3" t="s">
        <v>122</v>
      </c>
      <c r="C2267" s="3">
        <v>1</v>
      </c>
      <c r="D2267" s="1"/>
      <c r="E2267" s="20" t="s">
        <v>81</v>
      </c>
      <c r="F2267" s="7" t="s">
        <v>14</v>
      </c>
      <c r="G2267" s="7" t="s">
        <v>29</v>
      </c>
      <c r="H2267" s="11">
        <v>10.92</v>
      </c>
      <c r="I2267" s="8">
        <v>11.2</v>
      </c>
      <c r="J2267" s="26">
        <v>3</v>
      </c>
      <c r="K2267" s="10">
        <v>0.36691199999999996</v>
      </c>
      <c r="L2267" s="4"/>
      <c r="M2267" s="17">
        <v>3</v>
      </c>
      <c r="N2267" s="18">
        <v>0.3669119999999999</v>
      </c>
      <c r="O2267" s="19">
        <v>0</v>
      </c>
      <c r="P2267" s="13">
        <v>0</v>
      </c>
      <c r="Q2267" s="9"/>
      <c r="R2267" s="2"/>
      <c r="S2267" s="2"/>
    </row>
    <row r="2268" spans="1:19">
      <c r="A2268" s="42" t="s">
        <v>90</v>
      </c>
      <c r="B2268" s="48" t="s">
        <v>148</v>
      </c>
      <c r="C2268" s="32">
        <v>97</v>
      </c>
      <c r="D2268" s="32"/>
      <c r="E2268" s="48" t="s">
        <v>159</v>
      </c>
      <c r="F2268" s="48" t="s">
        <v>14</v>
      </c>
      <c r="G2268" s="48" t="s">
        <v>29</v>
      </c>
      <c r="H2268" s="11">
        <v>10.92</v>
      </c>
      <c r="I2268" s="52">
        <v>12</v>
      </c>
      <c r="J2268" s="7">
        <v>5</v>
      </c>
      <c r="K2268" s="10">
        <v>0.65519999999999989</v>
      </c>
      <c r="L2268" s="32"/>
      <c r="M2268" s="32">
        <v>5</v>
      </c>
      <c r="N2268" s="18">
        <v>0.6552</v>
      </c>
      <c r="O2268" s="19">
        <v>0</v>
      </c>
      <c r="P2268" s="13">
        <v>0</v>
      </c>
      <c r="Q2268" s="73">
        <v>12</v>
      </c>
      <c r="R2268" s="72">
        <v>4</v>
      </c>
      <c r="S2268" s="73" t="s">
        <v>376</v>
      </c>
    </row>
    <row r="2269" spans="1:19">
      <c r="A2269" s="42" t="s">
        <v>90</v>
      </c>
      <c r="B2269" s="48" t="s">
        <v>148</v>
      </c>
      <c r="C2269" s="32">
        <v>97</v>
      </c>
      <c r="D2269" s="32"/>
      <c r="E2269" s="48" t="s">
        <v>159</v>
      </c>
      <c r="F2269" s="48" t="s">
        <v>14</v>
      </c>
      <c r="G2269" s="48" t="s">
        <v>29</v>
      </c>
      <c r="H2269" s="11">
        <v>10.92</v>
      </c>
      <c r="I2269" s="52">
        <v>10.5</v>
      </c>
      <c r="J2269" s="7">
        <v>2</v>
      </c>
      <c r="K2269" s="10">
        <v>0.22932</v>
      </c>
      <c r="L2269" s="32"/>
      <c r="M2269" s="32">
        <v>2</v>
      </c>
      <c r="N2269" s="18">
        <v>0.22932</v>
      </c>
      <c r="O2269" s="19">
        <v>0</v>
      </c>
      <c r="P2269" s="13">
        <v>0</v>
      </c>
      <c r="Q2269" s="73">
        <v>10.5</v>
      </c>
      <c r="R2269" s="72">
        <v>1</v>
      </c>
      <c r="S2269" s="73" t="s">
        <v>376</v>
      </c>
    </row>
    <row r="2270" spans="1:19">
      <c r="A2270" s="42" t="s">
        <v>90</v>
      </c>
      <c r="B2270" s="48" t="s">
        <v>148</v>
      </c>
      <c r="C2270" s="32">
        <v>97</v>
      </c>
      <c r="D2270" s="32"/>
      <c r="E2270" s="48" t="s">
        <v>159</v>
      </c>
      <c r="F2270" s="48" t="s">
        <v>14</v>
      </c>
      <c r="G2270" s="48" t="s">
        <v>29</v>
      </c>
      <c r="H2270" s="11">
        <v>10.92</v>
      </c>
      <c r="I2270" s="52">
        <v>10.4</v>
      </c>
      <c r="J2270" s="7">
        <v>1</v>
      </c>
      <c r="K2270" s="10">
        <v>0.113568</v>
      </c>
      <c r="L2270" s="32"/>
      <c r="M2270" s="32">
        <v>1</v>
      </c>
      <c r="N2270" s="18">
        <v>0.113568</v>
      </c>
      <c r="O2270" s="19">
        <v>0</v>
      </c>
      <c r="P2270" s="13">
        <v>0</v>
      </c>
      <c r="Q2270" s="73">
        <v>10.4</v>
      </c>
      <c r="R2270" s="72">
        <v>1</v>
      </c>
      <c r="S2270" s="73" t="s">
        <v>376</v>
      </c>
    </row>
    <row r="2271" spans="1:19">
      <c r="A2271" s="47" t="s">
        <v>147</v>
      </c>
      <c r="B2271" s="48" t="s">
        <v>148</v>
      </c>
      <c r="C2271" s="32">
        <v>366</v>
      </c>
      <c r="D2271" s="32"/>
      <c r="E2271" s="48" t="s">
        <v>159</v>
      </c>
      <c r="F2271" s="48" t="s">
        <v>14</v>
      </c>
      <c r="G2271" s="48" t="s">
        <v>29</v>
      </c>
      <c r="H2271" s="11">
        <v>10.92</v>
      </c>
      <c r="I2271" s="52">
        <v>11.2</v>
      </c>
      <c r="J2271" s="7">
        <v>4</v>
      </c>
      <c r="K2271" s="10">
        <v>0.48921599999999993</v>
      </c>
      <c r="L2271" s="32"/>
      <c r="M2271" s="32">
        <v>4</v>
      </c>
      <c r="N2271" s="18">
        <v>0.48921599999999993</v>
      </c>
      <c r="O2271" s="19">
        <v>0</v>
      </c>
      <c r="P2271" s="13">
        <v>0</v>
      </c>
      <c r="Q2271" s="73">
        <v>11.2</v>
      </c>
      <c r="R2271" s="72">
        <v>1</v>
      </c>
      <c r="S2271" s="73" t="s">
        <v>376</v>
      </c>
    </row>
    <row r="2272" spans="1:19">
      <c r="A2272" s="47" t="s">
        <v>147</v>
      </c>
      <c r="B2272" s="48" t="s">
        <v>148</v>
      </c>
      <c r="C2272" s="32">
        <v>368</v>
      </c>
      <c r="D2272" s="32"/>
      <c r="E2272" s="48" t="s">
        <v>159</v>
      </c>
      <c r="F2272" s="48" t="s">
        <v>14</v>
      </c>
      <c r="G2272" s="48" t="s">
        <v>29</v>
      </c>
      <c r="H2272" s="11">
        <v>10.92</v>
      </c>
      <c r="I2272" s="52">
        <v>10.1</v>
      </c>
      <c r="J2272" s="7">
        <v>3</v>
      </c>
      <c r="K2272" s="10">
        <v>0.330876</v>
      </c>
      <c r="L2272" s="32"/>
      <c r="M2272" s="32">
        <v>3</v>
      </c>
      <c r="N2272" s="18">
        <v>0.330876</v>
      </c>
      <c r="O2272" s="19">
        <v>0</v>
      </c>
      <c r="P2272" s="13">
        <v>0</v>
      </c>
      <c r="Q2272" s="73">
        <v>10.1</v>
      </c>
      <c r="R2272" s="72">
        <v>3</v>
      </c>
      <c r="S2272" s="73" t="s">
        <v>376</v>
      </c>
    </row>
    <row r="2273" spans="1:19">
      <c r="A2273" s="47" t="s">
        <v>147</v>
      </c>
      <c r="B2273" s="48" t="s">
        <v>148</v>
      </c>
      <c r="C2273" s="32">
        <v>368</v>
      </c>
      <c r="D2273" s="32"/>
      <c r="E2273" s="48" t="s">
        <v>159</v>
      </c>
      <c r="F2273" s="48" t="s">
        <v>14</v>
      </c>
      <c r="G2273" s="48" t="s">
        <v>29</v>
      </c>
      <c r="H2273" s="11">
        <v>10.92</v>
      </c>
      <c r="I2273" s="52">
        <v>9.8000000000000007</v>
      </c>
      <c r="J2273" s="7">
        <v>1</v>
      </c>
      <c r="K2273" s="10">
        <v>0.107016</v>
      </c>
      <c r="L2273" s="32"/>
      <c r="M2273" s="32"/>
      <c r="N2273" s="18">
        <v>0</v>
      </c>
      <c r="O2273" s="19">
        <v>1</v>
      </c>
      <c r="P2273" s="13">
        <v>0.107016</v>
      </c>
      <c r="Q2273" s="32"/>
      <c r="R2273" s="32"/>
      <c r="S2273" s="32"/>
    </row>
    <row r="2274" spans="1:19">
      <c r="A2274" s="47" t="s">
        <v>147</v>
      </c>
      <c r="B2274" s="48" t="s">
        <v>148</v>
      </c>
      <c r="C2274" s="32">
        <v>368</v>
      </c>
      <c r="D2274" s="32"/>
      <c r="E2274" s="48" t="s">
        <v>159</v>
      </c>
      <c r="F2274" s="48" t="s">
        <v>14</v>
      </c>
      <c r="G2274" s="48" t="s">
        <v>29</v>
      </c>
      <c r="H2274" s="11">
        <v>10.92</v>
      </c>
      <c r="I2274" s="52">
        <v>9.6</v>
      </c>
      <c r="J2274" s="7">
        <v>2</v>
      </c>
      <c r="K2274" s="10">
        <v>0.20966399999999999</v>
      </c>
      <c r="L2274" s="32"/>
      <c r="M2274" s="32"/>
      <c r="N2274" s="18">
        <v>0</v>
      </c>
      <c r="O2274" s="19">
        <v>2</v>
      </c>
      <c r="P2274" s="13">
        <v>0.20966399999999999</v>
      </c>
      <c r="Q2274" s="32"/>
      <c r="R2274" s="32"/>
      <c r="S2274" s="32"/>
    </row>
    <row r="2275" spans="1:19">
      <c r="A2275" s="47" t="s">
        <v>147</v>
      </c>
      <c r="B2275" s="48" t="s">
        <v>148</v>
      </c>
      <c r="C2275" s="32">
        <v>368</v>
      </c>
      <c r="D2275" s="32"/>
      <c r="E2275" s="48" t="s">
        <v>159</v>
      </c>
      <c r="F2275" s="48" t="s">
        <v>14</v>
      </c>
      <c r="G2275" s="48" t="s">
        <v>29</v>
      </c>
      <c r="H2275" s="11">
        <v>10.92</v>
      </c>
      <c r="I2275" s="52">
        <v>9.4</v>
      </c>
      <c r="J2275" s="7">
        <v>1</v>
      </c>
      <c r="K2275" s="10">
        <v>0.10264799999999999</v>
      </c>
      <c r="L2275" s="32"/>
      <c r="M2275" s="32"/>
      <c r="N2275" s="18">
        <v>0</v>
      </c>
      <c r="O2275" s="19">
        <v>1</v>
      </c>
      <c r="P2275" s="13">
        <v>0.10264799999999999</v>
      </c>
      <c r="Q2275" s="32"/>
      <c r="R2275" s="32"/>
      <c r="S2275" s="32"/>
    </row>
    <row r="2276" spans="1:19">
      <c r="O2276" s="215">
        <f>SUM(O2264:O2275)</f>
        <v>6</v>
      </c>
      <c r="R2276" s="215">
        <f>SUM(R2264:R2275)</f>
        <v>14</v>
      </c>
    </row>
    <row r="2278" spans="1:19" ht="15.6">
      <c r="B2278" s="110" t="s">
        <v>366</v>
      </c>
      <c r="C2278" s="111" t="s">
        <v>232</v>
      </c>
      <c r="D2278" s="112" t="s">
        <v>228</v>
      </c>
      <c r="E2278" s="113" t="s">
        <v>19</v>
      </c>
      <c r="F2278" s="114" t="s">
        <v>14</v>
      </c>
      <c r="G2278" s="115" t="s">
        <v>27</v>
      </c>
      <c r="H2278" s="116">
        <v>6.17</v>
      </c>
      <c r="I2278" s="125">
        <v>7.4</v>
      </c>
      <c r="J2278" s="326">
        <f>62+62</f>
        <v>124</v>
      </c>
      <c r="K2278" s="117">
        <f>I2278*H2278*J2278/1000</f>
        <v>5.6615920000000006</v>
      </c>
      <c r="L2278" s="118"/>
      <c r="M2278" s="111">
        <v>124</v>
      </c>
      <c r="N2278" s="117">
        <f t="shared" ref="N2278:N2296" si="179">I2278*M2278*H2278/1000</f>
        <v>5.6615919999999997</v>
      </c>
      <c r="O2278" s="119">
        <f t="shared" ref="O2278:O2296" si="180">J2278-M2278</f>
        <v>0</v>
      </c>
      <c r="P2278" s="120">
        <f t="shared" ref="P2278:P2294" si="181">I2278*O2278*H2278/1000</f>
        <v>0</v>
      </c>
      <c r="Q2278" s="111"/>
      <c r="R2278" s="32"/>
      <c r="S2278" s="213"/>
    </row>
    <row r="2279" spans="1:19" ht="15.6">
      <c r="B2279" s="110" t="s">
        <v>366</v>
      </c>
      <c r="C2279" s="111" t="s">
        <v>232</v>
      </c>
      <c r="D2279" s="112" t="s">
        <v>228</v>
      </c>
      <c r="E2279" s="113" t="s">
        <v>19</v>
      </c>
      <c r="F2279" s="114" t="s">
        <v>14</v>
      </c>
      <c r="G2279" s="115" t="s">
        <v>27</v>
      </c>
      <c r="H2279" s="116">
        <v>6.17</v>
      </c>
      <c r="I2279" s="125">
        <v>8.4</v>
      </c>
      <c r="J2279" s="326">
        <f>8+16</f>
        <v>24</v>
      </c>
      <c r="K2279" s="117">
        <f t="shared" ref="K2279:K2296" si="182">I2279*H2279*J2279/1000</f>
        <v>1.2438720000000001</v>
      </c>
      <c r="L2279" s="118"/>
      <c r="M2279" s="111">
        <v>24</v>
      </c>
      <c r="N2279" s="117">
        <f t="shared" si="179"/>
        <v>1.2438720000000001</v>
      </c>
      <c r="O2279" s="119">
        <f t="shared" si="180"/>
        <v>0</v>
      </c>
      <c r="P2279" s="120">
        <f t="shared" si="181"/>
        <v>0</v>
      </c>
      <c r="Q2279" s="111"/>
      <c r="R2279" s="32"/>
      <c r="S2279" s="213"/>
    </row>
    <row r="2280" spans="1:19" ht="15.6">
      <c r="B2280" s="110" t="s">
        <v>366</v>
      </c>
      <c r="C2280" s="111" t="s">
        <v>232</v>
      </c>
      <c r="D2280" s="112" t="s">
        <v>228</v>
      </c>
      <c r="E2280" s="113" t="s">
        <v>19</v>
      </c>
      <c r="F2280" s="114" t="s">
        <v>14</v>
      </c>
      <c r="G2280" s="115" t="s">
        <v>27</v>
      </c>
      <c r="H2280" s="116">
        <v>6.17</v>
      </c>
      <c r="I2280" s="125">
        <v>11.55</v>
      </c>
      <c r="J2280" s="326">
        <f>47+40+25</f>
        <v>112</v>
      </c>
      <c r="K2280" s="117">
        <f t="shared" si="182"/>
        <v>7.9815120000000004</v>
      </c>
      <c r="L2280" s="118"/>
      <c r="M2280" s="111">
        <v>112</v>
      </c>
      <c r="N2280" s="117">
        <f t="shared" si="179"/>
        <v>7.9815120000000004</v>
      </c>
      <c r="O2280" s="119">
        <f t="shared" si="180"/>
        <v>0</v>
      </c>
      <c r="P2280" s="120">
        <f t="shared" si="181"/>
        <v>0</v>
      </c>
      <c r="Q2280" s="111"/>
      <c r="R2280" s="32"/>
      <c r="S2280" s="213"/>
    </row>
    <row r="2281" spans="1:19" ht="15.6">
      <c r="B2281" s="110" t="s">
        <v>366</v>
      </c>
      <c r="C2281" s="111" t="s">
        <v>232</v>
      </c>
      <c r="D2281" s="112" t="s">
        <v>228</v>
      </c>
      <c r="E2281" s="113" t="s">
        <v>19</v>
      </c>
      <c r="F2281" s="114" t="s">
        <v>14</v>
      </c>
      <c r="G2281" s="115" t="s">
        <v>27</v>
      </c>
      <c r="H2281" s="116">
        <v>6.17</v>
      </c>
      <c r="I2281" s="125">
        <v>11</v>
      </c>
      <c r="J2281" s="326">
        <v>2</v>
      </c>
      <c r="K2281" s="117">
        <f t="shared" si="182"/>
        <v>0.13574</v>
      </c>
      <c r="L2281" s="118"/>
      <c r="M2281" s="111">
        <v>2</v>
      </c>
      <c r="N2281" s="117">
        <f t="shared" si="179"/>
        <v>0.13574</v>
      </c>
      <c r="O2281" s="119">
        <f t="shared" si="180"/>
        <v>0</v>
      </c>
      <c r="P2281" s="120">
        <f t="shared" si="181"/>
        <v>0</v>
      </c>
      <c r="Q2281" s="72">
        <v>10.5</v>
      </c>
      <c r="R2281" s="72">
        <v>2</v>
      </c>
      <c r="S2281" s="77" t="s">
        <v>421</v>
      </c>
    </row>
    <row r="2282" spans="1:19" ht="15.6">
      <c r="B2282" s="110" t="s">
        <v>366</v>
      </c>
      <c r="C2282" s="111" t="s">
        <v>232</v>
      </c>
      <c r="D2282" s="112" t="s">
        <v>228</v>
      </c>
      <c r="E2282" s="113" t="s">
        <v>19</v>
      </c>
      <c r="F2282" s="114" t="s">
        <v>14</v>
      </c>
      <c r="G2282" s="115" t="s">
        <v>27</v>
      </c>
      <c r="H2282" s="116">
        <v>6.17</v>
      </c>
      <c r="I2282" s="125">
        <v>11.5</v>
      </c>
      <c r="J2282" s="326">
        <v>1</v>
      </c>
      <c r="K2282" s="117">
        <f t="shared" si="182"/>
        <v>7.0955000000000004E-2</v>
      </c>
      <c r="L2282" s="118"/>
      <c r="M2282" s="111">
        <v>1</v>
      </c>
      <c r="N2282" s="117">
        <f t="shared" si="179"/>
        <v>7.0955000000000004E-2</v>
      </c>
      <c r="O2282" s="119">
        <f t="shared" si="180"/>
        <v>0</v>
      </c>
      <c r="P2282" s="120">
        <f t="shared" si="181"/>
        <v>0</v>
      </c>
      <c r="Q2282" s="72">
        <v>11.5</v>
      </c>
      <c r="R2282" s="72">
        <v>1</v>
      </c>
      <c r="S2282" s="77" t="s">
        <v>421</v>
      </c>
    </row>
    <row r="2283" spans="1:19" ht="15.6">
      <c r="B2283" s="110" t="s">
        <v>366</v>
      </c>
      <c r="C2283" s="111" t="s">
        <v>232</v>
      </c>
      <c r="D2283" s="112" t="s">
        <v>228</v>
      </c>
      <c r="E2283" s="113" t="s">
        <v>19</v>
      </c>
      <c r="F2283" s="114" t="s">
        <v>14</v>
      </c>
      <c r="G2283" s="115" t="s">
        <v>27</v>
      </c>
      <c r="H2283" s="116">
        <v>6.17</v>
      </c>
      <c r="I2283" s="125">
        <v>6.2</v>
      </c>
      <c r="J2283" s="326">
        <v>1</v>
      </c>
      <c r="K2283" s="117">
        <f t="shared" si="182"/>
        <v>3.8253999999999996E-2</v>
      </c>
      <c r="L2283" s="118"/>
      <c r="M2283" s="111"/>
      <c r="N2283" s="117">
        <f t="shared" si="179"/>
        <v>0</v>
      </c>
      <c r="O2283" s="119">
        <f t="shared" si="180"/>
        <v>1</v>
      </c>
      <c r="P2283" s="120">
        <f t="shared" si="181"/>
        <v>3.8253999999999996E-2</v>
      </c>
      <c r="Q2283" s="111"/>
      <c r="R2283" s="32"/>
      <c r="S2283" s="213"/>
    </row>
    <row r="2284" spans="1:19" ht="15.6">
      <c r="B2284" s="110" t="s">
        <v>366</v>
      </c>
      <c r="C2284" s="111" t="s">
        <v>232</v>
      </c>
      <c r="D2284" s="112" t="s">
        <v>228</v>
      </c>
      <c r="E2284" s="113" t="s">
        <v>19</v>
      </c>
      <c r="F2284" s="114" t="s">
        <v>14</v>
      </c>
      <c r="G2284" s="115" t="s">
        <v>27</v>
      </c>
      <c r="H2284" s="116">
        <v>6.17</v>
      </c>
      <c r="I2284" s="125">
        <v>6.4</v>
      </c>
      <c r="J2284" s="326">
        <v>1</v>
      </c>
      <c r="K2284" s="117">
        <f t="shared" si="182"/>
        <v>3.9488000000000002E-2</v>
      </c>
      <c r="L2284" s="118"/>
      <c r="M2284" s="111"/>
      <c r="N2284" s="117">
        <f t="shared" si="179"/>
        <v>0</v>
      </c>
      <c r="O2284" s="119">
        <f t="shared" si="180"/>
        <v>1</v>
      </c>
      <c r="P2284" s="120">
        <f t="shared" si="181"/>
        <v>3.9488000000000002E-2</v>
      </c>
      <c r="Q2284" s="111"/>
      <c r="R2284" s="32"/>
      <c r="S2284" s="213"/>
    </row>
    <row r="2285" spans="1:19" ht="15.6">
      <c r="B2285" s="110" t="s">
        <v>366</v>
      </c>
      <c r="C2285" s="111" t="s">
        <v>232</v>
      </c>
      <c r="D2285" s="112" t="s">
        <v>228</v>
      </c>
      <c r="E2285" s="113" t="s">
        <v>19</v>
      </c>
      <c r="F2285" s="114" t="s">
        <v>14</v>
      </c>
      <c r="G2285" s="115" t="s">
        <v>27</v>
      </c>
      <c r="H2285" s="116">
        <v>6.17</v>
      </c>
      <c r="I2285" s="125">
        <v>6.9</v>
      </c>
      <c r="J2285" s="326">
        <v>1</v>
      </c>
      <c r="K2285" s="117">
        <f t="shared" si="182"/>
        <v>4.2573E-2</v>
      </c>
      <c r="L2285" s="118"/>
      <c r="M2285" s="111"/>
      <c r="N2285" s="117">
        <f t="shared" si="179"/>
        <v>0</v>
      </c>
      <c r="O2285" s="119">
        <f t="shared" si="180"/>
        <v>1</v>
      </c>
      <c r="P2285" s="120">
        <f t="shared" si="181"/>
        <v>4.2573E-2</v>
      </c>
      <c r="Q2285" s="111"/>
      <c r="R2285" s="32"/>
      <c r="S2285" s="213"/>
    </row>
    <row r="2286" spans="1:19" ht="15.6">
      <c r="B2286" s="110" t="s">
        <v>366</v>
      </c>
      <c r="C2286" s="111" t="s">
        <v>232</v>
      </c>
      <c r="D2286" s="112" t="s">
        <v>228</v>
      </c>
      <c r="E2286" s="113" t="s">
        <v>19</v>
      </c>
      <c r="F2286" s="114" t="s">
        <v>14</v>
      </c>
      <c r="G2286" s="115" t="s">
        <v>27</v>
      </c>
      <c r="H2286" s="116">
        <v>6.17</v>
      </c>
      <c r="I2286" s="125">
        <v>7.1</v>
      </c>
      <c r="J2286" s="326">
        <v>1</v>
      </c>
      <c r="K2286" s="117">
        <f t="shared" si="182"/>
        <v>4.3806999999999992E-2</v>
      </c>
      <c r="L2286" s="118"/>
      <c r="M2286" s="111"/>
      <c r="N2286" s="117">
        <f t="shared" si="179"/>
        <v>0</v>
      </c>
      <c r="O2286" s="119">
        <f t="shared" si="180"/>
        <v>1</v>
      </c>
      <c r="P2286" s="120">
        <f t="shared" si="181"/>
        <v>4.3806999999999992E-2</v>
      </c>
      <c r="Q2286" s="111"/>
      <c r="R2286" s="32"/>
      <c r="S2286" s="213"/>
    </row>
    <row r="2287" spans="1:19" ht="15.6">
      <c r="B2287" s="110" t="s">
        <v>366</v>
      </c>
      <c r="C2287" s="111" t="s">
        <v>232</v>
      </c>
      <c r="D2287" s="112" t="s">
        <v>228</v>
      </c>
      <c r="E2287" s="113" t="s">
        <v>19</v>
      </c>
      <c r="F2287" s="114" t="s">
        <v>14</v>
      </c>
      <c r="G2287" s="115" t="s">
        <v>27</v>
      </c>
      <c r="H2287" s="116">
        <v>6.17</v>
      </c>
      <c r="I2287" s="125">
        <v>7.2</v>
      </c>
      <c r="J2287" s="326">
        <v>1</v>
      </c>
      <c r="K2287" s="117">
        <f t="shared" si="182"/>
        <v>4.4423999999999998E-2</v>
      </c>
      <c r="L2287" s="118"/>
      <c r="M2287" s="111"/>
      <c r="N2287" s="117">
        <f t="shared" si="179"/>
        <v>0</v>
      </c>
      <c r="O2287" s="119">
        <f t="shared" si="180"/>
        <v>1</v>
      </c>
      <c r="P2287" s="120">
        <f t="shared" si="181"/>
        <v>4.4423999999999998E-2</v>
      </c>
      <c r="Q2287" s="111"/>
      <c r="R2287" s="32"/>
      <c r="S2287" s="213"/>
    </row>
    <row r="2288" spans="1:19" ht="15.6">
      <c r="B2288" s="110" t="s">
        <v>366</v>
      </c>
      <c r="C2288" s="111" t="s">
        <v>232</v>
      </c>
      <c r="D2288" s="112" t="s">
        <v>228</v>
      </c>
      <c r="E2288" s="113" t="s">
        <v>19</v>
      </c>
      <c r="F2288" s="114" t="s">
        <v>14</v>
      </c>
      <c r="G2288" s="115" t="s">
        <v>27</v>
      </c>
      <c r="H2288" s="116">
        <v>6.17</v>
      </c>
      <c r="I2288" s="125">
        <v>7.4</v>
      </c>
      <c r="J2288" s="326">
        <f>60+60+59+60+60+60+39</f>
        <v>398</v>
      </c>
      <c r="K2288" s="117">
        <f t="shared" si="182"/>
        <v>18.171884000000002</v>
      </c>
      <c r="L2288" s="118"/>
      <c r="M2288" s="111">
        <f>36+362+26</f>
        <v>424</v>
      </c>
      <c r="N2288" s="117">
        <f t="shared" si="179"/>
        <v>19.358992000000001</v>
      </c>
      <c r="O2288" s="180">
        <f t="shared" si="180"/>
        <v>-26</v>
      </c>
      <c r="P2288" s="181">
        <f t="shared" si="181"/>
        <v>-1.1871080000000001</v>
      </c>
      <c r="Q2288" s="111" t="s">
        <v>378</v>
      </c>
      <c r="R2288" s="32"/>
      <c r="S2288" s="213"/>
    </row>
    <row r="2289" spans="2:19" ht="15.6">
      <c r="B2289" s="110" t="s">
        <v>366</v>
      </c>
      <c r="C2289" s="111" t="s">
        <v>232</v>
      </c>
      <c r="D2289" s="112" t="s">
        <v>228</v>
      </c>
      <c r="E2289" s="113" t="s">
        <v>19</v>
      </c>
      <c r="F2289" s="114" t="s">
        <v>14</v>
      </c>
      <c r="G2289" s="115" t="s">
        <v>27</v>
      </c>
      <c r="H2289" s="116">
        <v>6.17</v>
      </c>
      <c r="I2289" s="125">
        <v>5.7</v>
      </c>
      <c r="J2289" s="326">
        <v>1</v>
      </c>
      <c r="K2289" s="117">
        <f t="shared" si="182"/>
        <v>3.5169000000000006E-2</v>
      </c>
      <c r="L2289" s="118"/>
      <c r="M2289" s="111"/>
      <c r="N2289" s="117">
        <f t="shared" si="179"/>
        <v>0</v>
      </c>
      <c r="O2289" s="119">
        <f t="shared" si="180"/>
        <v>1</v>
      </c>
      <c r="P2289" s="120">
        <f t="shared" si="181"/>
        <v>3.5169000000000006E-2</v>
      </c>
      <c r="Q2289" s="111"/>
      <c r="R2289" s="32"/>
      <c r="S2289" s="213"/>
    </row>
    <row r="2290" spans="2:19" ht="15.6">
      <c r="B2290" s="110" t="s">
        <v>366</v>
      </c>
      <c r="C2290" s="111" t="s">
        <v>232</v>
      </c>
      <c r="D2290" s="112" t="s">
        <v>228</v>
      </c>
      <c r="E2290" s="113" t="s">
        <v>19</v>
      </c>
      <c r="F2290" s="114" t="s">
        <v>14</v>
      </c>
      <c r="G2290" s="115" t="s">
        <v>27</v>
      </c>
      <c r="H2290" s="116">
        <v>6.17</v>
      </c>
      <c r="I2290" s="125">
        <v>6</v>
      </c>
      <c r="J2290" s="326">
        <v>1</v>
      </c>
      <c r="K2290" s="117">
        <f t="shared" si="182"/>
        <v>3.7019999999999997E-2</v>
      </c>
      <c r="L2290" s="118"/>
      <c r="M2290" s="111"/>
      <c r="N2290" s="117">
        <f t="shared" si="179"/>
        <v>0</v>
      </c>
      <c r="O2290" s="119">
        <f t="shared" si="180"/>
        <v>1</v>
      </c>
      <c r="P2290" s="120">
        <f t="shared" si="181"/>
        <v>3.7019999999999997E-2</v>
      </c>
      <c r="Q2290" s="111"/>
      <c r="R2290" s="32"/>
      <c r="S2290" s="213"/>
    </row>
    <row r="2291" spans="2:19" ht="15.6">
      <c r="B2291" s="110" t="s">
        <v>366</v>
      </c>
      <c r="C2291" s="111" t="s">
        <v>232</v>
      </c>
      <c r="D2291" s="112" t="s">
        <v>228</v>
      </c>
      <c r="E2291" s="113" t="s">
        <v>19</v>
      </c>
      <c r="F2291" s="114" t="s">
        <v>14</v>
      </c>
      <c r="G2291" s="115" t="s">
        <v>27</v>
      </c>
      <c r="H2291" s="116">
        <v>6.17</v>
      </c>
      <c r="I2291" s="125">
        <v>6.5</v>
      </c>
      <c r="J2291" s="326">
        <v>3</v>
      </c>
      <c r="K2291" s="117">
        <f t="shared" si="182"/>
        <v>0.12031499999999999</v>
      </c>
      <c r="L2291" s="118"/>
      <c r="M2291" s="111"/>
      <c r="N2291" s="117">
        <f t="shared" si="179"/>
        <v>0</v>
      </c>
      <c r="O2291" s="119">
        <f t="shared" si="180"/>
        <v>3</v>
      </c>
      <c r="P2291" s="120">
        <f t="shared" si="181"/>
        <v>0.12031499999999999</v>
      </c>
      <c r="Q2291" s="111"/>
      <c r="R2291" s="32"/>
      <c r="S2291" s="213"/>
    </row>
    <row r="2292" spans="2:19" ht="15.6">
      <c r="B2292" s="110" t="s">
        <v>366</v>
      </c>
      <c r="C2292" s="111" t="s">
        <v>232</v>
      </c>
      <c r="D2292" s="112" t="s">
        <v>228</v>
      </c>
      <c r="E2292" s="113" t="s">
        <v>19</v>
      </c>
      <c r="F2292" s="114" t="s">
        <v>14</v>
      </c>
      <c r="G2292" s="115" t="s">
        <v>27</v>
      </c>
      <c r="H2292" s="116">
        <v>6.17</v>
      </c>
      <c r="I2292" s="125">
        <v>7.2</v>
      </c>
      <c r="J2292" s="326">
        <v>4</v>
      </c>
      <c r="K2292" s="117">
        <f t="shared" si="182"/>
        <v>0.17769599999999999</v>
      </c>
      <c r="L2292" s="118"/>
      <c r="M2292" s="111"/>
      <c r="N2292" s="117">
        <f t="shared" si="179"/>
        <v>0</v>
      </c>
      <c r="O2292" s="119">
        <f t="shared" si="180"/>
        <v>4</v>
      </c>
      <c r="P2292" s="120">
        <f t="shared" si="181"/>
        <v>0.17769599999999999</v>
      </c>
      <c r="Q2292" s="111"/>
      <c r="R2292" s="32"/>
      <c r="S2292" s="213"/>
    </row>
    <row r="2293" spans="2:19" ht="15.6">
      <c r="B2293" s="110" t="s">
        <v>366</v>
      </c>
      <c r="C2293" s="111" t="s">
        <v>232</v>
      </c>
      <c r="D2293" s="112" t="s">
        <v>228</v>
      </c>
      <c r="E2293" s="113" t="s">
        <v>19</v>
      </c>
      <c r="F2293" s="114" t="s">
        <v>14</v>
      </c>
      <c r="G2293" s="115" t="s">
        <v>27</v>
      </c>
      <c r="H2293" s="116">
        <v>6.17</v>
      </c>
      <c r="I2293" s="125">
        <v>10.9</v>
      </c>
      <c r="J2293" s="326">
        <v>3</v>
      </c>
      <c r="K2293" s="117">
        <f t="shared" si="182"/>
        <v>0.20175900000000002</v>
      </c>
      <c r="L2293" s="118"/>
      <c r="M2293" s="111">
        <v>3</v>
      </c>
      <c r="N2293" s="117">
        <f t="shared" si="179"/>
        <v>0.20175900000000002</v>
      </c>
      <c r="O2293" s="119">
        <f t="shared" si="180"/>
        <v>0</v>
      </c>
      <c r="P2293" s="120">
        <f t="shared" si="181"/>
        <v>0</v>
      </c>
      <c r="Q2293" s="75">
        <v>10.5</v>
      </c>
      <c r="R2293" s="72">
        <v>3</v>
      </c>
      <c r="S2293" s="77" t="s">
        <v>421</v>
      </c>
    </row>
    <row r="2294" spans="2:19" ht="15.6">
      <c r="B2294" s="110" t="s">
        <v>366</v>
      </c>
      <c r="C2294" s="111" t="s">
        <v>232</v>
      </c>
      <c r="D2294" s="112" t="s">
        <v>228</v>
      </c>
      <c r="E2294" s="113" t="s">
        <v>19</v>
      </c>
      <c r="F2294" s="114" t="s">
        <v>14</v>
      </c>
      <c r="G2294" s="115" t="s">
        <v>27</v>
      </c>
      <c r="H2294" s="116">
        <v>6.17</v>
      </c>
      <c r="I2294" s="125">
        <v>11.2</v>
      </c>
      <c r="J2294" s="326">
        <v>1</v>
      </c>
      <c r="K2294" s="117">
        <f t="shared" si="182"/>
        <v>6.9103999999999999E-2</v>
      </c>
      <c r="L2294" s="118"/>
      <c r="M2294" s="111">
        <v>1</v>
      </c>
      <c r="N2294" s="117">
        <f t="shared" si="179"/>
        <v>6.9103999999999999E-2</v>
      </c>
      <c r="O2294" s="119">
        <f t="shared" si="180"/>
        <v>0</v>
      </c>
      <c r="P2294" s="120">
        <f t="shared" si="181"/>
        <v>0</v>
      </c>
      <c r="Q2294" s="75">
        <v>10.5</v>
      </c>
      <c r="R2294" s="72">
        <v>1</v>
      </c>
      <c r="S2294" s="77" t="s">
        <v>421</v>
      </c>
    </row>
    <row r="2295" spans="2:19" ht="15.6">
      <c r="B2295" s="110" t="s">
        <v>366</v>
      </c>
      <c r="C2295" s="111" t="s">
        <v>232</v>
      </c>
      <c r="D2295" s="112" t="s">
        <v>228</v>
      </c>
      <c r="E2295" s="113" t="s">
        <v>19</v>
      </c>
      <c r="F2295" s="114" t="s">
        <v>14</v>
      </c>
      <c r="G2295" s="115" t="s">
        <v>27</v>
      </c>
      <c r="H2295" s="116">
        <v>6.17</v>
      </c>
      <c r="I2295" s="125">
        <v>11.5</v>
      </c>
      <c r="J2295" s="327">
        <v>1</v>
      </c>
      <c r="K2295" s="117">
        <f t="shared" si="182"/>
        <v>7.0955000000000004E-2</v>
      </c>
      <c r="L2295" s="118"/>
      <c r="M2295" s="123">
        <v>1</v>
      </c>
      <c r="N2295" s="117">
        <f t="shared" si="179"/>
        <v>7.0955000000000004E-2</v>
      </c>
      <c r="O2295" s="119">
        <f t="shared" si="180"/>
        <v>0</v>
      </c>
      <c r="P2295" s="120">
        <f>I2295*O2295*H2295/1000</f>
        <v>0</v>
      </c>
      <c r="Q2295" s="75">
        <v>11.5</v>
      </c>
      <c r="R2295" s="72">
        <v>1</v>
      </c>
      <c r="S2295" s="77" t="s">
        <v>421</v>
      </c>
    </row>
    <row r="2296" spans="2:19" ht="15.6">
      <c r="B2296" s="110" t="s">
        <v>366</v>
      </c>
      <c r="C2296" s="111" t="s">
        <v>232</v>
      </c>
      <c r="D2296" s="112" t="s">
        <v>228</v>
      </c>
      <c r="E2296" s="113" t="s">
        <v>19</v>
      </c>
      <c r="F2296" s="114" t="s">
        <v>14</v>
      </c>
      <c r="G2296" s="115" t="s">
        <v>27</v>
      </c>
      <c r="H2296" s="116">
        <v>6.17</v>
      </c>
      <c r="I2296" s="125">
        <v>11.55</v>
      </c>
      <c r="J2296" s="328">
        <v>3</v>
      </c>
      <c r="K2296" s="117">
        <f t="shared" si="182"/>
        <v>0.21379050000000002</v>
      </c>
      <c r="L2296" s="118"/>
      <c r="M2296" s="321">
        <v>3</v>
      </c>
      <c r="N2296" s="117">
        <f t="shared" si="179"/>
        <v>0.21379050000000005</v>
      </c>
      <c r="O2296" s="119">
        <f t="shared" si="180"/>
        <v>0</v>
      </c>
      <c r="P2296" s="120">
        <f>I2296*O2296*H2296/1000</f>
        <v>0</v>
      </c>
      <c r="Q2296" s="75">
        <v>11.5</v>
      </c>
      <c r="R2296" s="72">
        <v>3</v>
      </c>
      <c r="S2296" s="77" t="s">
        <v>421</v>
      </c>
    </row>
    <row r="2297" spans="2:19">
      <c r="B2297" s="32"/>
      <c r="C2297" s="32"/>
      <c r="D2297" s="32"/>
      <c r="E2297" s="32"/>
      <c r="F2297" s="32"/>
      <c r="G2297" s="32"/>
      <c r="H2297" s="32"/>
      <c r="I2297" s="32"/>
      <c r="J2297" s="129">
        <f>SUM(J2278:J2296)</f>
        <v>683</v>
      </c>
      <c r="K2297" s="124">
        <f>SUM(K2278:K2296)</f>
        <v>34.399909500000007</v>
      </c>
      <c r="L2297" s="32"/>
      <c r="M2297" s="129">
        <f>SUM(M2278:M2296)</f>
        <v>695</v>
      </c>
      <c r="N2297" s="124">
        <f>SUM(N2278:N2296)</f>
        <v>35.008271500000006</v>
      </c>
      <c r="O2297" s="131">
        <f>SUM(O2278:O2296)</f>
        <v>-12</v>
      </c>
      <c r="P2297" s="124">
        <f>SUM(P2278:P2296)</f>
        <v>-0.60836200000000018</v>
      </c>
      <c r="Q2297" s="32"/>
      <c r="R2297" s="131">
        <f>SUM(R2278:R2296)</f>
        <v>11</v>
      </c>
      <c r="S2297" s="213"/>
    </row>
    <row r="2300" spans="2:19" ht="15.6">
      <c r="B2300" s="110" t="s">
        <v>366</v>
      </c>
      <c r="C2300" s="111" t="s">
        <v>232</v>
      </c>
      <c r="D2300" s="112" t="s">
        <v>228</v>
      </c>
      <c r="E2300" s="113" t="s">
        <v>19</v>
      </c>
      <c r="F2300" s="114" t="s">
        <v>14</v>
      </c>
      <c r="G2300" s="115" t="s">
        <v>25</v>
      </c>
      <c r="H2300" s="116">
        <v>7.34</v>
      </c>
      <c r="I2300" s="125">
        <v>7.55</v>
      </c>
      <c r="J2300" s="111">
        <f>36+40+40+40+10+46+47+47+47+29+47+44</f>
        <v>473</v>
      </c>
      <c r="K2300" s="117">
        <f t="shared" ref="K2300:K2325" si="183">I2300*H2300*J2300/1000</f>
        <v>26.212240999999999</v>
      </c>
      <c r="L2300" s="118"/>
      <c r="M2300" s="111">
        <f>164+309</f>
        <v>473</v>
      </c>
      <c r="N2300" s="117">
        <f t="shared" ref="N2300:N2325" si="184">I2300*M2300*H2300/1000</f>
        <v>26.212241000000002</v>
      </c>
      <c r="O2300" s="119">
        <f t="shared" ref="O2300:O2325" si="185">J2300-M2300</f>
        <v>0</v>
      </c>
      <c r="P2300" s="120">
        <f t="shared" ref="P2300:P2325" si="186">I2300*O2300*H2300/1000</f>
        <v>0</v>
      </c>
      <c r="Q2300" s="111"/>
      <c r="R2300" s="32"/>
      <c r="S2300" s="213"/>
    </row>
    <row r="2301" spans="2:19" ht="15.6">
      <c r="B2301" s="110" t="s">
        <v>366</v>
      </c>
      <c r="C2301" s="111" t="s">
        <v>232</v>
      </c>
      <c r="D2301" s="112" t="s">
        <v>228</v>
      </c>
      <c r="E2301" s="113" t="s">
        <v>19</v>
      </c>
      <c r="F2301" s="114" t="s">
        <v>14</v>
      </c>
      <c r="G2301" s="115" t="s">
        <v>25</v>
      </c>
      <c r="H2301" s="116">
        <v>7.34</v>
      </c>
      <c r="I2301" s="125">
        <v>10.15</v>
      </c>
      <c r="J2301" s="111">
        <f>35+45+11+16+39</f>
        <v>146</v>
      </c>
      <c r="K2301" s="117">
        <f t="shared" si="183"/>
        <v>10.877146</v>
      </c>
      <c r="L2301" s="118"/>
      <c r="M2301" s="111">
        <f>80+66</f>
        <v>146</v>
      </c>
      <c r="N2301" s="117">
        <f t="shared" si="184"/>
        <v>10.877146</v>
      </c>
      <c r="O2301" s="119">
        <f t="shared" si="185"/>
        <v>0</v>
      </c>
      <c r="P2301" s="120">
        <f t="shared" si="186"/>
        <v>0</v>
      </c>
      <c r="Q2301" s="111"/>
      <c r="R2301" s="32"/>
      <c r="S2301" s="213"/>
    </row>
    <row r="2302" spans="2:19" ht="15.6">
      <c r="B2302" s="110" t="s">
        <v>366</v>
      </c>
      <c r="C2302" s="111" t="s">
        <v>232</v>
      </c>
      <c r="D2302" s="112" t="s">
        <v>228</v>
      </c>
      <c r="E2302" s="113" t="s">
        <v>19</v>
      </c>
      <c r="F2302" s="114" t="s">
        <v>14</v>
      </c>
      <c r="G2302" s="115" t="s">
        <v>25</v>
      </c>
      <c r="H2302" s="116">
        <v>7.34</v>
      </c>
      <c r="I2302" s="125">
        <v>12</v>
      </c>
      <c r="J2302" s="111">
        <v>13</v>
      </c>
      <c r="K2302" s="117">
        <f t="shared" si="183"/>
        <v>1.1450400000000001</v>
      </c>
      <c r="L2302" s="118"/>
      <c r="M2302" s="111">
        <v>13</v>
      </c>
      <c r="N2302" s="117">
        <f t="shared" si="184"/>
        <v>1.1450400000000001</v>
      </c>
      <c r="O2302" s="119">
        <f t="shared" si="185"/>
        <v>0</v>
      </c>
      <c r="P2302" s="120">
        <f t="shared" si="186"/>
        <v>0</v>
      </c>
      <c r="Q2302" s="111"/>
      <c r="R2302" s="32"/>
      <c r="S2302" s="213"/>
    </row>
    <row r="2303" spans="2:19" ht="15.6">
      <c r="B2303" s="110" t="s">
        <v>366</v>
      </c>
      <c r="C2303" s="111" t="s">
        <v>232</v>
      </c>
      <c r="D2303" s="112" t="s">
        <v>228</v>
      </c>
      <c r="E2303" s="113" t="s">
        <v>19</v>
      </c>
      <c r="F2303" s="114" t="s">
        <v>14</v>
      </c>
      <c r="G2303" s="115" t="s">
        <v>25</v>
      </c>
      <c r="H2303" s="116">
        <v>7.34</v>
      </c>
      <c r="I2303" s="125">
        <v>12</v>
      </c>
      <c r="J2303" s="111">
        <v>2</v>
      </c>
      <c r="K2303" s="117">
        <f t="shared" si="183"/>
        <v>0.17615999999999998</v>
      </c>
      <c r="L2303" s="118"/>
      <c r="M2303" s="111">
        <v>2</v>
      </c>
      <c r="N2303" s="117">
        <f t="shared" si="184"/>
        <v>0.17615999999999998</v>
      </c>
      <c r="O2303" s="119">
        <f t="shared" si="185"/>
        <v>0</v>
      </c>
      <c r="P2303" s="120">
        <f t="shared" si="186"/>
        <v>0</v>
      </c>
      <c r="Q2303" s="111"/>
      <c r="R2303" s="32"/>
      <c r="S2303" s="213"/>
    </row>
    <row r="2304" spans="2:19" ht="15.6">
      <c r="B2304" s="110" t="s">
        <v>366</v>
      </c>
      <c r="C2304" s="111" t="s">
        <v>232</v>
      </c>
      <c r="D2304" s="112" t="s">
        <v>228</v>
      </c>
      <c r="E2304" s="113" t="s">
        <v>19</v>
      </c>
      <c r="F2304" s="114" t="s">
        <v>14</v>
      </c>
      <c r="G2304" s="115" t="s">
        <v>25</v>
      </c>
      <c r="H2304" s="116">
        <v>7.34</v>
      </c>
      <c r="I2304" s="125">
        <v>7.1</v>
      </c>
      <c r="J2304" s="111">
        <v>2</v>
      </c>
      <c r="K2304" s="117">
        <f t="shared" si="183"/>
        <v>0.104228</v>
      </c>
      <c r="L2304" s="118"/>
      <c r="M2304" s="111">
        <v>2</v>
      </c>
      <c r="N2304" s="117">
        <f t="shared" si="184"/>
        <v>0.104228</v>
      </c>
      <c r="O2304" s="119">
        <f t="shared" si="185"/>
        <v>0</v>
      </c>
      <c r="P2304" s="120">
        <f t="shared" si="186"/>
        <v>0</v>
      </c>
      <c r="Q2304" s="77">
        <v>7.1</v>
      </c>
      <c r="R2304" s="77">
        <v>2</v>
      </c>
      <c r="S2304" s="77" t="s">
        <v>405</v>
      </c>
    </row>
    <row r="2305" spans="2:19" ht="15.6">
      <c r="B2305" s="110" t="s">
        <v>366</v>
      </c>
      <c r="C2305" s="111" t="s">
        <v>232</v>
      </c>
      <c r="D2305" s="112" t="s">
        <v>228</v>
      </c>
      <c r="E2305" s="113" t="s">
        <v>19</v>
      </c>
      <c r="F2305" s="114" t="s">
        <v>14</v>
      </c>
      <c r="G2305" s="115" t="s">
        <v>25</v>
      </c>
      <c r="H2305" s="116">
        <v>7.34</v>
      </c>
      <c r="I2305" s="125">
        <v>7.2</v>
      </c>
      <c r="J2305" s="111">
        <v>1</v>
      </c>
      <c r="K2305" s="117">
        <f t="shared" si="183"/>
        <v>5.2847999999999999E-2</v>
      </c>
      <c r="L2305" s="118"/>
      <c r="M2305" s="111">
        <v>1</v>
      </c>
      <c r="N2305" s="117">
        <f t="shared" si="184"/>
        <v>5.2847999999999999E-2</v>
      </c>
      <c r="O2305" s="119">
        <f t="shared" si="185"/>
        <v>0</v>
      </c>
      <c r="P2305" s="120">
        <f t="shared" si="186"/>
        <v>0</v>
      </c>
      <c r="Q2305" s="77">
        <v>7.1</v>
      </c>
      <c r="R2305" s="77">
        <v>1</v>
      </c>
      <c r="S2305" s="77" t="s">
        <v>405</v>
      </c>
    </row>
    <row r="2306" spans="2:19" ht="15.6">
      <c r="B2306" s="110" t="s">
        <v>366</v>
      </c>
      <c r="C2306" s="111" t="s">
        <v>232</v>
      </c>
      <c r="D2306" s="112" t="s">
        <v>228</v>
      </c>
      <c r="E2306" s="113" t="s">
        <v>19</v>
      </c>
      <c r="F2306" s="114" t="s">
        <v>14</v>
      </c>
      <c r="G2306" s="115" t="s">
        <v>25</v>
      </c>
      <c r="H2306" s="116">
        <v>7.34</v>
      </c>
      <c r="I2306" s="125">
        <v>7.6</v>
      </c>
      <c r="J2306" s="111">
        <v>1</v>
      </c>
      <c r="K2306" s="117">
        <f t="shared" si="183"/>
        <v>5.5784E-2</v>
      </c>
      <c r="L2306" s="118"/>
      <c r="M2306" s="111">
        <v>1</v>
      </c>
      <c r="N2306" s="117">
        <f t="shared" si="184"/>
        <v>5.5784E-2</v>
      </c>
      <c r="O2306" s="119">
        <f t="shared" si="185"/>
        <v>0</v>
      </c>
      <c r="P2306" s="120">
        <f t="shared" si="186"/>
        <v>0</v>
      </c>
      <c r="Q2306" s="111"/>
      <c r="R2306" s="32"/>
      <c r="S2306" s="213"/>
    </row>
    <row r="2307" spans="2:19" ht="15.6">
      <c r="B2307" s="110" t="s">
        <v>366</v>
      </c>
      <c r="C2307" s="111" t="s">
        <v>232</v>
      </c>
      <c r="D2307" s="112" t="s">
        <v>228</v>
      </c>
      <c r="E2307" s="113" t="s">
        <v>19</v>
      </c>
      <c r="F2307" s="114" t="s">
        <v>14</v>
      </c>
      <c r="G2307" s="115" t="s">
        <v>25</v>
      </c>
      <c r="H2307" s="116">
        <v>7.34</v>
      </c>
      <c r="I2307" s="125">
        <v>8.1</v>
      </c>
      <c r="J2307" s="111">
        <v>1</v>
      </c>
      <c r="K2307" s="117">
        <f t="shared" si="183"/>
        <v>5.9453999999999993E-2</v>
      </c>
      <c r="L2307" s="118"/>
      <c r="M2307" s="111">
        <v>1</v>
      </c>
      <c r="N2307" s="117">
        <f t="shared" si="184"/>
        <v>5.9453999999999993E-2</v>
      </c>
      <c r="O2307" s="119">
        <f t="shared" si="185"/>
        <v>0</v>
      </c>
      <c r="P2307" s="120">
        <f t="shared" si="186"/>
        <v>0</v>
      </c>
      <c r="Q2307" s="111"/>
      <c r="R2307" s="32"/>
      <c r="S2307" s="213"/>
    </row>
    <row r="2308" spans="2:19" ht="15.6">
      <c r="B2308" s="110" t="s">
        <v>366</v>
      </c>
      <c r="C2308" s="111" t="s">
        <v>232</v>
      </c>
      <c r="D2308" s="112" t="s">
        <v>228</v>
      </c>
      <c r="E2308" s="113" t="s">
        <v>19</v>
      </c>
      <c r="F2308" s="114" t="s">
        <v>14</v>
      </c>
      <c r="G2308" s="115" t="s">
        <v>25</v>
      </c>
      <c r="H2308" s="116">
        <v>7.34</v>
      </c>
      <c r="I2308" s="125">
        <v>9.4</v>
      </c>
      <c r="J2308" s="111">
        <v>2</v>
      </c>
      <c r="K2308" s="117">
        <f t="shared" si="183"/>
        <v>0.137992</v>
      </c>
      <c r="L2308" s="118"/>
      <c r="M2308" s="111">
        <v>2</v>
      </c>
      <c r="N2308" s="117">
        <f t="shared" si="184"/>
        <v>0.137992</v>
      </c>
      <c r="O2308" s="119">
        <f t="shared" si="185"/>
        <v>0</v>
      </c>
      <c r="P2308" s="120">
        <f t="shared" si="186"/>
        <v>0</v>
      </c>
      <c r="Q2308" s="111"/>
      <c r="R2308" s="32"/>
      <c r="S2308" s="213"/>
    </row>
    <row r="2309" spans="2:19" ht="15.6">
      <c r="B2309" s="110" t="s">
        <v>366</v>
      </c>
      <c r="C2309" s="111" t="s">
        <v>232</v>
      </c>
      <c r="D2309" s="112" t="s">
        <v>228</v>
      </c>
      <c r="E2309" s="113" t="s">
        <v>19</v>
      </c>
      <c r="F2309" s="114" t="s">
        <v>14</v>
      </c>
      <c r="G2309" s="115" t="s">
        <v>25</v>
      </c>
      <c r="H2309" s="116">
        <v>7.34</v>
      </c>
      <c r="I2309" s="125">
        <v>9.5</v>
      </c>
      <c r="J2309" s="111">
        <v>1</v>
      </c>
      <c r="K2309" s="117">
        <f t="shared" si="183"/>
        <v>6.973E-2</v>
      </c>
      <c r="L2309" s="118"/>
      <c r="M2309" s="111">
        <v>1</v>
      </c>
      <c r="N2309" s="117">
        <f t="shared" si="184"/>
        <v>6.973E-2</v>
      </c>
      <c r="O2309" s="119">
        <f t="shared" si="185"/>
        <v>0</v>
      </c>
      <c r="P2309" s="120">
        <f t="shared" si="186"/>
        <v>0</v>
      </c>
      <c r="Q2309" s="111"/>
      <c r="R2309" s="32"/>
      <c r="S2309" s="213"/>
    </row>
    <row r="2310" spans="2:19" ht="15.6">
      <c r="B2310" s="110" t="s">
        <v>366</v>
      </c>
      <c r="C2310" s="111" t="s">
        <v>232</v>
      </c>
      <c r="D2310" s="112" t="s">
        <v>228</v>
      </c>
      <c r="E2310" s="113" t="s">
        <v>19</v>
      </c>
      <c r="F2310" s="114" t="s">
        <v>14</v>
      </c>
      <c r="G2310" s="115" t="s">
        <v>25</v>
      </c>
      <c r="H2310" s="116">
        <v>7.34</v>
      </c>
      <c r="I2310" s="125">
        <v>9.8000000000000007</v>
      </c>
      <c r="J2310" s="111">
        <v>1</v>
      </c>
      <c r="K2310" s="117">
        <f t="shared" si="183"/>
        <v>7.1931999999999996E-2</v>
      </c>
      <c r="L2310" s="118"/>
      <c r="M2310" s="111">
        <v>1</v>
      </c>
      <c r="N2310" s="117">
        <f t="shared" si="184"/>
        <v>7.1931999999999996E-2</v>
      </c>
      <c r="O2310" s="119">
        <f t="shared" si="185"/>
        <v>0</v>
      </c>
      <c r="P2310" s="120">
        <f t="shared" si="186"/>
        <v>0</v>
      </c>
      <c r="Q2310" s="111"/>
      <c r="R2310" s="32"/>
      <c r="S2310" s="213"/>
    </row>
    <row r="2311" spans="2:19" ht="15.6">
      <c r="B2311" s="110" t="s">
        <v>366</v>
      </c>
      <c r="C2311" s="111" t="s">
        <v>232</v>
      </c>
      <c r="D2311" s="112" t="s">
        <v>228</v>
      </c>
      <c r="E2311" s="113" t="s">
        <v>19</v>
      </c>
      <c r="F2311" s="114" t="s">
        <v>14</v>
      </c>
      <c r="G2311" s="115" t="s">
        <v>25</v>
      </c>
      <c r="H2311" s="116">
        <v>7.34</v>
      </c>
      <c r="I2311" s="125">
        <v>7.55</v>
      </c>
      <c r="J2311" s="111">
        <v>40</v>
      </c>
      <c r="K2311" s="117">
        <f t="shared" si="183"/>
        <v>2.2166799999999998</v>
      </c>
      <c r="L2311" s="118"/>
      <c r="M2311" s="111">
        <v>40</v>
      </c>
      <c r="N2311" s="117">
        <f t="shared" si="184"/>
        <v>2.2166799999999998</v>
      </c>
      <c r="O2311" s="119">
        <f t="shared" si="185"/>
        <v>0</v>
      </c>
      <c r="P2311" s="120">
        <f t="shared" si="186"/>
        <v>0</v>
      </c>
      <c r="Q2311" s="111"/>
      <c r="R2311" s="32"/>
      <c r="S2311" s="213"/>
    </row>
    <row r="2312" spans="2:19" ht="15.6">
      <c r="B2312" s="110" t="s">
        <v>366</v>
      </c>
      <c r="C2312" s="111" t="s">
        <v>232</v>
      </c>
      <c r="D2312" s="112" t="s">
        <v>228</v>
      </c>
      <c r="E2312" s="113" t="s">
        <v>19</v>
      </c>
      <c r="F2312" s="114" t="s">
        <v>14</v>
      </c>
      <c r="G2312" s="115" t="s">
        <v>25</v>
      </c>
      <c r="H2312" s="116">
        <v>7.34</v>
      </c>
      <c r="I2312" s="125">
        <v>10.15</v>
      </c>
      <c r="J2312" s="111">
        <f>40+40+41</f>
        <v>121</v>
      </c>
      <c r="K2312" s="117">
        <f t="shared" si="183"/>
        <v>9.0146210000000018</v>
      </c>
      <c r="L2312" s="118"/>
      <c r="M2312" s="111">
        <v>121</v>
      </c>
      <c r="N2312" s="117">
        <f t="shared" si="184"/>
        <v>9.0146210000000018</v>
      </c>
      <c r="O2312" s="119">
        <f t="shared" si="185"/>
        <v>0</v>
      </c>
      <c r="P2312" s="120">
        <f t="shared" si="186"/>
        <v>0</v>
      </c>
      <c r="Q2312" s="111"/>
      <c r="R2312" s="32"/>
      <c r="S2312" s="125"/>
    </row>
    <row r="2313" spans="2:19" ht="15.6">
      <c r="B2313" s="110" t="s">
        <v>366</v>
      </c>
      <c r="C2313" s="111" t="s">
        <v>232</v>
      </c>
      <c r="D2313" s="112" t="s">
        <v>228</v>
      </c>
      <c r="E2313" s="113" t="s">
        <v>19</v>
      </c>
      <c r="F2313" s="114" t="s">
        <v>14</v>
      </c>
      <c r="G2313" s="115" t="s">
        <v>25</v>
      </c>
      <c r="H2313" s="116">
        <v>7.34</v>
      </c>
      <c r="I2313" s="125">
        <v>7.55</v>
      </c>
      <c r="J2313" s="111">
        <v>1</v>
      </c>
      <c r="K2313" s="117">
        <f t="shared" si="183"/>
        <v>5.5416999999999994E-2</v>
      </c>
      <c r="L2313" s="118"/>
      <c r="M2313" s="111">
        <v>1</v>
      </c>
      <c r="N2313" s="117">
        <f t="shared" si="184"/>
        <v>5.5416999999999994E-2</v>
      </c>
      <c r="O2313" s="119">
        <f t="shared" si="185"/>
        <v>0</v>
      </c>
      <c r="P2313" s="120">
        <f t="shared" si="186"/>
        <v>0</v>
      </c>
      <c r="Q2313" s="111"/>
      <c r="R2313" s="32"/>
      <c r="S2313" s="125"/>
    </row>
    <row r="2314" spans="2:19" ht="15.6">
      <c r="B2314" s="110" t="s">
        <v>366</v>
      </c>
      <c r="C2314" s="111" t="s">
        <v>232</v>
      </c>
      <c r="D2314" s="112" t="s">
        <v>228</v>
      </c>
      <c r="E2314" s="113" t="s">
        <v>19</v>
      </c>
      <c r="F2314" s="114" t="s">
        <v>14</v>
      </c>
      <c r="G2314" s="115" t="s">
        <v>25</v>
      </c>
      <c r="H2314" s="116">
        <v>7.34</v>
      </c>
      <c r="I2314" s="125">
        <v>9.6</v>
      </c>
      <c r="J2314" s="111">
        <v>1</v>
      </c>
      <c r="K2314" s="117">
        <f t="shared" si="183"/>
        <v>7.0463999999999999E-2</v>
      </c>
      <c r="L2314" s="118"/>
      <c r="M2314" s="111">
        <v>1</v>
      </c>
      <c r="N2314" s="117">
        <f t="shared" si="184"/>
        <v>7.0463999999999999E-2</v>
      </c>
      <c r="O2314" s="119">
        <f t="shared" si="185"/>
        <v>0</v>
      </c>
      <c r="P2314" s="120">
        <f t="shared" si="186"/>
        <v>0</v>
      </c>
      <c r="Q2314" s="111"/>
      <c r="R2314" s="32"/>
      <c r="S2314" s="29"/>
    </row>
    <row r="2315" spans="2:19" ht="15.6">
      <c r="B2315" s="110" t="s">
        <v>366</v>
      </c>
      <c r="C2315" s="111" t="s">
        <v>232</v>
      </c>
      <c r="D2315" s="112" t="s">
        <v>228</v>
      </c>
      <c r="E2315" s="113" t="s">
        <v>19</v>
      </c>
      <c r="F2315" s="114" t="s">
        <v>14</v>
      </c>
      <c r="G2315" s="115" t="s">
        <v>25</v>
      </c>
      <c r="H2315" s="116">
        <v>7.34</v>
      </c>
      <c r="I2315" s="125">
        <v>10.5</v>
      </c>
      <c r="J2315" s="111">
        <v>1</v>
      </c>
      <c r="K2315" s="117">
        <f t="shared" si="183"/>
        <v>7.707E-2</v>
      </c>
      <c r="L2315" s="118"/>
      <c r="M2315" s="111">
        <v>1</v>
      </c>
      <c r="N2315" s="117">
        <f t="shared" si="184"/>
        <v>7.707E-2</v>
      </c>
      <c r="O2315" s="119">
        <f t="shared" si="185"/>
        <v>0</v>
      </c>
      <c r="P2315" s="120">
        <f t="shared" si="186"/>
        <v>0</v>
      </c>
      <c r="Q2315" s="111"/>
      <c r="R2315" s="32"/>
      <c r="S2315" s="213"/>
    </row>
    <row r="2316" spans="2:19" ht="15.6">
      <c r="B2316" s="110" t="s">
        <v>366</v>
      </c>
      <c r="C2316" s="111" t="s">
        <v>232</v>
      </c>
      <c r="D2316" s="112" t="s">
        <v>228</v>
      </c>
      <c r="E2316" s="113" t="s">
        <v>19</v>
      </c>
      <c r="F2316" s="114" t="s">
        <v>14</v>
      </c>
      <c r="G2316" s="115" t="s">
        <v>25</v>
      </c>
      <c r="H2316" s="116">
        <v>7.34</v>
      </c>
      <c r="I2316" s="125">
        <v>9</v>
      </c>
      <c r="J2316" s="111">
        <v>1</v>
      </c>
      <c r="K2316" s="117">
        <f t="shared" si="183"/>
        <v>6.6060000000000008E-2</v>
      </c>
      <c r="L2316" s="118"/>
      <c r="M2316" s="111">
        <v>1</v>
      </c>
      <c r="N2316" s="117">
        <f t="shared" si="184"/>
        <v>6.6060000000000008E-2</v>
      </c>
      <c r="O2316" s="119">
        <f t="shared" si="185"/>
        <v>0</v>
      </c>
      <c r="P2316" s="120">
        <f t="shared" si="186"/>
        <v>0</v>
      </c>
      <c r="Q2316" s="111"/>
      <c r="R2316" s="32"/>
      <c r="S2316" s="213"/>
    </row>
    <row r="2317" spans="2:19" ht="15.6">
      <c r="B2317" s="110" t="s">
        <v>366</v>
      </c>
      <c r="C2317" s="111" t="s">
        <v>232</v>
      </c>
      <c r="D2317" s="112" t="s">
        <v>228</v>
      </c>
      <c r="E2317" s="113" t="s">
        <v>19</v>
      </c>
      <c r="F2317" s="114" t="s">
        <v>14</v>
      </c>
      <c r="G2317" s="115" t="s">
        <v>25</v>
      </c>
      <c r="H2317" s="116">
        <v>7.34</v>
      </c>
      <c r="I2317" s="125">
        <v>8.1</v>
      </c>
      <c r="J2317" s="111">
        <v>1</v>
      </c>
      <c r="K2317" s="117">
        <f t="shared" si="183"/>
        <v>5.9453999999999993E-2</v>
      </c>
      <c r="L2317" s="118"/>
      <c r="M2317" s="111">
        <v>1</v>
      </c>
      <c r="N2317" s="117">
        <f t="shared" si="184"/>
        <v>5.9453999999999993E-2</v>
      </c>
      <c r="O2317" s="119">
        <f t="shared" si="185"/>
        <v>0</v>
      </c>
      <c r="P2317" s="120">
        <f t="shared" si="186"/>
        <v>0</v>
      </c>
      <c r="Q2317" s="111"/>
      <c r="R2317" s="32"/>
      <c r="S2317" s="213"/>
    </row>
    <row r="2318" spans="2:19" ht="15.6">
      <c r="B2318" s="110" t="s">
        <v>366</v>
      </c>
      <c r="C2318" s="111" t="s">
        <v>232</v>
      </c>
      <c r="D2318" s="112" t="s">
        <v>228</v>
      </c>
      <c r="E2318" s="113" t="s">
        <v>19</v>
      </c>
      <c r="F2318" s="114" t="s">
        <v>14</v>
      </c>
      <c r="G2318" s="115" t="s">
        <v>25</v>
      </c>
      <c r="H2318" s="116">
        <v>7.34</v>
      </c>
      <c r="I2318" s="125">
        <v>7</v>
      </c>
      <c r="J2318" s="111">
        <v>1</v>
      </c>
      <c r="K2318" s="117">
        <f t="shared" si="183"/>
        <v>5.1379999999999995E-2</v>
      </c>
      <c r="L2318" s="118"/>
      <c r="M2318" s="111"/>
      <c r="N2318" s="117">
        <f t="shared" si="184"/>
        <v>0</v>
      </c>
      <c r="O2318" s="119">
        <f t="shared" si="185"/>
        <v>1</v>
      </c>
      <c r="P2318" s="120">
        <f t="shared" si="186"/>
        <v>5.1379999999999995E-2</v>
      </c>
      <c r="Q2318" s="111"/>
      <c r="R2318" s="32"/>
      <c r="S2318" s="213"/>
    </row>
    <row r="2319" spans="2:19" ht="15.6">
      <c r="B2319" s="110" t="s">
        <v>366</v>
      </c>
      <c r="C2319" s="111" t="s">
        <v>232</v>
      </c>
      <c r="D2319" s="112" t="s">
        <v>228</v>
      </c>
      <c r="E2319" s="113" t="s">
        <v>19</v>
      </c>
      <c r="F2319" s="114" t="s">
        <v>14</v>
      </c>
      <c r="G2319" s="115" t="s">
        <v>25</v>
      </c>
      <c r="H2319" s="116">
        <v>7.34</v>
      </c>
      <c r="I2319" s="125">
        <v>7.1</v>
      </c>
      <c r="J2319" s="111">
        <v>4</v>
      </c>
      <c r="K2319" s="117">
        <f t="shared" si="183"/>
        <v>0.208456</v>
      </c>
      <c r="L2319" s="118"/>
      <c r="M2319" s="111">
        <v>4</v>
      </c>
      <c r="N2319" s="117">
        <f t="shared" si="184"/>
        <v>0.208456</v>
      </c>
      <c r="O2319" s="119">
        <f t="shared" si="185"/>
        <v>0</v>
      </c>
      <c r="P2319" s="120">
        <f t="shared" si="186"/>
        <v>0</v>
      </c>
      <c r="Q2319" s="75">
        <v>7.1</v>
      </c>
      <c r="R2319" s="72">
        <v>4</v>
      </c>
      <c r="S2319" s="77" t="s">
        <v>405</v>
      </c>
    </row>
    <row r="2320" spans="2:19" ht="15.6">
      <c r="B2320" s="110" t="s">
        <v>366</v>
      </c>
      <c r="C2320" s="111" t="s">
        <v>232</v>
      </c>
      <c r="D2320" s="112" t="s">
        <v>228</v>
      </c>
      <c r="E2320" s="113" t="s">
        <v>19</v>
      </c>
      <c r="F2320" s="114" t="s">
        <v>14</v>
      </c>
      <c r="G2320" s="115" t="s">
        <v>25</v>
      </c>
      <c r="H2320" s="116">
        <v>7.34</v>
      </c>
      <c r="I2320" s="125">
        <v>9.1999999999999993</v>
      </c>
      <c r="J2320" s="111">
        <v>2</v>
      </c>
      <c r="K2320" s="117">
        <f t="shared" si="183"/>
        <v>0.13505599999999998</v>
      </c>
      <c r="L2320" s="118"/>
      <c r="M2320" s="111">
        <v>2</v>
      </c>
      <c r="N2320" s="117">
        <f t="shared" si="184"/>
        <v>0.13505599999999998</v>
      </c>
      <c r="O2320" s="119">
        <f t="shared" si="185"/>
        <v>0</v>
      </c>
      <c r="P2320" s="120">
        <f t="shared" si="186"/>
        <v>0</v>
      </c>
      <c r="Q2320" s="159"/>
      <c r="R2320" s="32"/>
      <c r="S2320" s="213"/>
    </row>
    <row r="2321" spans="2:20" ht="15.6">
      <c r="B2321" s="110" t="s">
        <v>366</v>
      </c>
      <c r="C2321" s="111" t="s">
        <v>232</v>
      </c>
      <c r="D2321" s="112" t="s">
        <v>228</v>
      </c>
      <c r="E2321" s="113" t="s">
        <v>19</v>
      </c>
      <c r="F2321" s="114" t="s">
        <v>14</v>
      </c>
      <c r="G2321" s="115" t="s">
        <v>25</v>
      </c>
      <c r="H2321" s="116">
        <v>7.34</v>
      </c>
      <c r="I2321" s="125">
        <v>11.7</v>
      </c>
      <c r="J2321" s="111">
        <v>4</v>
      </c>
      <c r="K2321" s="117">
        <f t="shared" si="183"/>
        <v>0.34351199999999998</v>
      </c>
      <c r="L2321" s="118"/>
      <c r="M2321" s="111">
        <v>1</v>
      </c>
      <c r="N2321" s="117">
        <f t="shared" si="184"/>
        <v>8.5877999999999996E-2</v>
      </c>
      <c r="O2321" s="119">
        <f t="shared" si="185"/>
        <v>3</v>
      </c>
      <c r="P2321" s="120">
        <f t="shared" si="186"/>
        <v>0.25763399999999997</v>
      </c>
      <c r="Q2321" s="361">
        <v>7.1</v>
      </c>
      <c r="R2321" s="72">
        <v>1</v>
      </c>
      <c r="S2321" s="77" t="s">
        <v>405</v>
      </c>
    </row>
    <row r="2322" spans="2:20" ht="15.6">
      <c r="B2322" s="110" t="s">
        <v>366</v>
      </c>
      <c r="C2322" s="111" t="s">
        <v>232</v>
      </c>
      <c r="D2322" s="112" t="s">
        <v>228</v>
      </c>
      <c r="E2322" s="113" t="s">
        <v>19</v>
      </c>
      <c r="F2322" s="114" t="s">
        <v>14</v>
      </c>
      <c r="G2322" s="115" t="s">
        <v>25</v>
      </c>
      <c r="H2322" s="116">
        <v>7.34</v>
      </c>
      <c r="I2322" s="125">
        <v>11.5</v>
      </c>
      <c r="J2322" s="111">
        <v>2</v>
      </c>
      <c r="K2322" s="117">
        <f t="shared" si="183"/>
        <v>0.16882</v>
      </c>
      <c r="L2322" s="118"/>
      <c r="M2322" s="111">
        <v>2</v>
      </c>
      <c r="N2322" s="117">
        <f t="shared" si="184"/>
        <v>0.16882</v>
      </c>
      <c r="O2322" s="119">
        <f t="shared" si="185"/>
        <v>0</v>
      </c>
      <c r="P2322" s="120">
        <f t="shared" si="186"/>
        <v>0</v>
      </c>
      <c r="Q2322" s="77" t="s">
        <v>423</v>
      </c>
      <c r="R2322" s="72">
        <v>2</v>
      </c>
      <c r="S2322" s="77" t="s">
        <v>424</v>
      </c>
    </row>
    <row r="2323" spans="2:20" ht="15.6">
      <c r="B2323" s="110" t="s">
        <v>366</v>
      </c>
      <c r="C2323" s="111" t="s">
        <v>232</v>
      </c>
      <c r="D2323" s="112" t="s">
        <v>228</v>
      </c>
      <c r="E2323" s="113" t="s">
        <v>19</v>
      </c>
      <c r="F2323" s="114" t="s">
        <v>14</v>
      </c>
      <c r="G2323" s="115" t="s">
        <v>25</v>
      </c>
      <c r="H2323" s="116">
        <v>7.34</v>
      </c>
      <c r="I2323" s="125">
        <v>10.5</v>
      </c>
      <c r="J2323" s="111">
        <v>1</v>
      </c>
      <c r="K2323" s="117">
        <f t="shared" si="183"/>
        <v>7.707E-2</v>
      </c>
      <c r="L2323" s="118"/>
      <c r="M2323" s="111">
        <v>1</v>
      </c>
      <c r="N2323" s="117">
        <f t="shared" si="184"/>
        <v>7.707E-2</v>
      </c>
      <c r="O2323" s="119">
        <f t="shared" si="185"/>
        <v>0</v>
      </c>
      <c r="P2323" s="120">
        <f t="shared" si="186"/>
        <v>0</v>
      </c>
      <c r="Q2323" s="247">
        <v>10.5</v>
      </c>
      <c r="R2323" s="72">
        <v>1</v>
      </c>
      <c r="S2323" s="77" t="s">
        <v>422</v>
      </c>
    </row>
    <row r="2324" spans="2:20" ht="15.6">
      <c r="B2324" s="110" t="s">
        <v>366</v>
      </c>
      <c r="C2324" s="111" t="s">
        <v>232</v>
      </c>
      <c r="D2324" s="112" t="s">
        <v>228</v>
      </c>
      <c r="E2324" s="113" t="s">
        <v>19</v>
      </c>
      <c r="F2324" s="114" t="s">
        <v>14</v>
      </c>
      <c r="G2324" s="115" t="s">
        <v>25</v>
      </c>
      <c r="H2324" s="116">
        <v>7.34</v>
      </c>
      <c r="I2324" s="125">
        <v>9.8000000000000007</v>
      </c>
      <c r="J2324" s="111">
        <v>3</v>
      </c>
      <c r="K2324" s="117">
        <f t="shared" si="183"/>
        <v>0.21579599999999999</v>
      </c>
      <c r="L2324" s="118"/>
      <c r="M2324" s="111">
        <v>3</v>
      </c>
      <c r="N2324" s="117">
        <f t="shared" si="184"/>
        <v>0.21579600000000002</v>
      </c>
      <c r="O2324" s="119">
        <f t="shared" si="185"/>
        <v>0</v>
      </c>
      <c r="P2324" s="120">
        <f t="shared" si="186"/>
        <v>0</v>
      </c>
      <c r="Q2324" s="111"/>
      <c r="R2324" s="32"/>
      <c r="S2324" s="213"/>
    </row>
    <row r="2325" spans="2:20" ht="15.6">
      <c r="B2325" s="110" t="s">
        <v>366</v>
      </c>
      <c r="C2325" s="111" t="s">
        <v>232</v>
      </c>
      <c r="D2325" s="112" t="s">
        <v>228</v>
      </c>
      <c r="E2325" s="113" t="s">
        <v>19</v>
      </c>
      <c r="F2325" s="114" t="s">
        <v>14</v>
      </c>
      <c r="G2325" s="115" t="s">
        <v>25</v>
      </c>
      <c r="H2325" s="116">
        <v>7.34</v>
      </c>
      <c r="I2325" s="125">
        <v>9.6999999999999993</v>
      </c>
      <c r="J2325" s="111">
        <v>2</v>
      </c>
      <c r="K2325" s="117">
        <f t="shared" si="183"/>
        <v>0.14239599999999999</v>
      </c>
      <c r="L2325" s="118"/>
      <c r="M2325" s="111">
        <v>2</v>
      </c>
      <c r="N2325" s="117">
        <f t="shared" si="184"/>
        <v>0.14239599999999999</v>
      </c>
      <c r="O2325" s="119">
        <f t="shared" si="185"/>
        <v>0</v>
      </c>
      <c r="P2325" s="120">
        <f t="shared" si="186"/>
        <v>0</v>
      </c>
      <c r="Q2325" s="111"/>
      <c r="R2325" s="32"/>
      <c r="S2325" s="213"/>
    </row>
    <row r="2326" spans="2:20">
      <c r="B2326" s="32"/>
      <c r="C2326" s="32"/>
      <c r="D2326" s="32"/>
      <c r="E2326" s="32"/>
      <c r="F2326" s="32"/>
      <c r="G2326" s="32"/>
      <c r="H2326" s="32"/>
      <c r="I2326" s="32"/>
      <c r="J2326" s="129">
        <f>SUM(J2300:J2325)</f>
        <v>828</v>
      </c>
      <c r="K2326" s="124">
        <f>SUM(K2300:K2325)</f>
        <v>51.864806999999985</v>
      </c>
      <c r="L2326" s="32"/>
      <c r="M2326" s="129">
        <f>SUM(M2300:M2325)</f>
        <v>824</v>
      </c>
      <c r="N2326" s="124">
        <f>SUM(N2300:N2325)</f>
        <v>51.555792999999987</v>
      </c>
      <c r="O2326" s="129">
        <f>SUM(O2300:O2325)</f>
        <v>4</v>
      </c>
      <c r="P2326" s="124">
        <f>SUM(P2300:P2325)</f>
        <v>0.30901399999999996</v>
      </c>
      <c r="Q2326" s="32"/>
      <c r="R2326" s="129">
        <f>SUM(R2300:R2325)</f>
        <v>11</v>
      </c>
      <c r="S2326" s="213"/>
    </row>
    <row r="2329" spans="2:20" ht="15.6">
      <c r="B2329" s="110" t="s">
        <v>377</v>
      </c>
      <c r="C2329" s="111" t="s">
        <v>232</v>
      </c>
      <c r="D2329" s="112" t="s">
        <v>228</v>
      </c>
      <c r="E2329" s="113" t="s">
        <v>20</v>
      </c>
      <c r="F2329" s="114" t="s">
        <v>15</v>
      </c>
      <c r="G2329" s="115" t="s">
        <v>25</v>
      </c>
      <c r="H2329" s="116">
        <v>7.34</v>
      </c>
      <c r="I2329" s="125">
        <v>8.25</v>
      </c>
      <c r="J2329" s="111">
        <f>42+35+48+44</f>
        <v>169</v>
      </c>
      <c r="K2329" s="117">
        <f t="shared" ref="K2329:K2344" si="187">I2329*H2329*J2329/1000</f>
        <v>10.233795000000001</v>
      </c>
      <c r="L2329" s="118"/>
      <c r="M2329" s="111">
        <f>160+9</f>
        <v>169</v>
      </c>
      <c r="N2329" s="117">
        <f t="shared" ref="N2329:N2344" si="188">I2329*M2329*H2329/1000</f>
        <v>10.233795000000001</v>
      </c>
      <c r="O2329" s="119">
        <f t="shared" ref="O2329:O2344" si="189">J2329-M2329</f>
        <v>0</v>
      </c>
      <c r="P2329" s="120">
        <f t="shared" ref="P2329:P2342" si="190">I2329*O2329*H2329/1000</f>
        <v>0</v>
      </c>
      <c r="Q2329" s="111"/>
      <c r="R2329" s="32"/>
      <c r="S2329" s="93">
        <v>8.25</v>
      </c>
      <c r="T2329" s="93">
        <v>9</v>
      </c>
    </row>
    <row r="2330" spans="2:20" ht="15.6">
      <c r="B2330" s="110" t="s">
        <v>377</v>
      </c>
      <c r="C2330" s="111" t="s">
        <v>232</v>
      </c>
      <c r="D2330" s="112" t="s">
        <v>228</v>
      </c>
      <c r="E2330" s="113" t="s">
        <v>20</v>
      </c>
      <c r="F2330" s="114" t="s">
        <v>15</v>
      </c>
      <c r="G2330" s="115" t="s">
        <v>25</v>
      </c>
      <c r="H2330" s="116">
        <v>7.34</v>
      </c>
      <c r="I2330" s="125">
        <v>10</v>
      </c>
      <c r="J2330" s="111">
        <f>38+9+34</f>
        <v>81</v>
      </c>
      <c r="K2330" s="117">
        <f t="shared" si="187"/>
        <v>5.9454000000000002</v>
      </c>
      <c r="L2330" s="118"/>
      <c r="M2330" s="111">
        <v>81</v>
      </c>
      <c r="N2330" s="117">
        <f t="shared" si="188"/>
        <v>5.9453999999999994</v>
      </c>
      <c r="O2330" s="119">
        <f t="shared" si="189"/>
        <v>0</v>
      </c>
      <c r="P2330" s="120">
        <f t="shared" si="190"/>
        <v>0</v>
      </c>
      <c r="Q2330" s="111"/>
      <c r="R2330" s="32"/>
      <c r="S2330" s="93"/>
      <c r="T2330" s="170"/>
    </row>
    <row r="2331" spans="2:20" ht="15.6">
      <c r="B2331" s="110" t="s">
        <v>377</v>
      </c>
      <c r="C2331" s="111" t="s">
        <v>232</v>
      </c>
      <c r="D2331" s="112" t="s">
        <v>228</v>
      </c>
      <c r="E2331" s="113" t="s">
        <v>20</v>
      </c>
      <c r="F2331" s="114" t="s">
        <v>15</v>
      </c>
      <c r="G2331" s="115" t="s">
        <v>25</v>
      </c>
      <c r="H2331" s="116">
        <v>7.34</v>
      </c>
      <c r="I2331" s="125">
        <v>8.25</v>
      </c>
      <c r="J2331" s="111">
        <v>21</v>
      </c>
      <c r="K2331" s="117">
        <f t="shared" si="187"/>
        <v>1.271655</v>
      </c>
      <c r="L2331" s="118"/>
      <c r="M2331" s="111">
        <f>17+4</f>
        <v>21</v>
      </c>
      <c r="N2331" s="117">
        <f t="shared" si="188"/>
        <v>1.271655</v>
      </c>
      <c r="O2331" s="119">
        <f t="shared" si="189"/>
        <v>0</v>
      </c>
      <c r="P2331" s="120">
        <f t="shared" si="190"/>
        <v>0</v>
      </c>
      <c r="Q2331" s="111">
        <v>8</v>
      </c>
      <c r="R2331" s="32">
        <v>17</v>
      </c>
      <c r="S2331" s="93">
        <v>8.25</v>
      </c>
      <c r="T2331" s="170">
        <v>4</v>
      </c>
    </row>
    <row r="2332" spans="2:20" ht="15.6">
      <c r="B2332" s="110" t="s">
        <v>377</v>
      </c>
      <c r="C2332" s="111" t="s">
        <v>232</v>
      </c>
      <c r="D2332" s="112" t="s">
        <v>228</v>
      </c>
      <c r="E2332" s="113" t="s">
        <v>20</v>
      </c>
      <c r="F2332" s="114" t="s">
        <v>15</v>
      </c>
      <c r="G2332" s="115" t="s">
        <v>25</v>
      </c>
      <c r="H2332" s="116">
        <v>7.34</v>
      </c>
      <c r="I2332" s="125">
        <v>10</v>
      </c>
      <c r="J2332" s="111">
        <v>2</v>
      </c>
      <c r="K2332" s="117">
        <f t="shared" si="187"/>
        <v>0.14680000000000001</v>
      </c>
      <c r="L2332" s="118"/>
      <c r="M2332" s="111">
        <v>2</v>
      </c>
      <c r="N2332" s="117">
        <f t="shared" si="188"/>
        <v>0.14680000000000001</v>
      </c>
      <c r="O2332" s="119">
        <f t="shared" si="189"/>
        <v>0</v>
      </c>
      <c r="P2332" s="120">
        <f t="shared" si="190"/>
        <v>0</v>
      </c>
      <c r="Q2332" s="111">
        <v>9.5</v>
      </c>
      <c r="R2332" s="32">
        <v>2</v>
      </c>
      <c r="S2332" s="32"/>
      <c r="T2332" s="213"/>
    </row>
    <row r="2333" spans="2:20" ht="15.6">
      <c r="B2333" s="110" t="s">
        <v>377</v>
      </c>
      <c r="C2333" s="111" t="s">
        <v>232</v>
      </c>
      <c r="D2333" s="112" t="s">
        <v>228</v>
      </c>
      <c r="E2333" s="113" t="s">
        <v>20</v>
      </c>
      <c r="F2333" s="114" t="s">
        <v>15</v>
      </c>
      <c r="G2333" s="115" t="s">
        <v>25</v>
      </c>
      <c r="H2333" s="116">
        <v>7.34</v>
      </c>
      <c r="I2333" s="125">
        <v>8</v>
      </c>
      <c r="J2333" s="111">
        <f>49+45+33+4+4</f>
        <v>135</v>
      </c>
      <c r="K2333" s="117">
        <f t="shared" si="187"/>
        <v>7.9272</v>
      </c>
      <c r="L2333" s="118"/>
      <c r="M2333" s="111">
        <v>135</v>
      </c>
      <c r="N2333" s="117">
        <f t="shared" si="188"/>
        <v>7.9272</v>
      </c>
      <c r="O2333" s="119">
        <f t="shared" si="189"/>
        <v>0</v>
      </c>
      <c r="P2333" s="120">
        <f t="shared" si="190"/>
        <v>0</v>
      </c>
      <c r="Q2333" s="111"/>
      <c r="R2333" s="32"/>
      <c r="S2333" s="32"/>
      <c r="T2333" s="213"/>
    </row>
    <row r="2334" spans="2:20" ht="15.6">
      <c r="B2334" s="110" t="s">
        <v>377</v>
      </c>
      <c r="C2334" s="111" t="s">
        <v>232</v>
      </c>
      <c r="D2334" s="112" t="s">
        <v>228</v>
      </c>
      <c r="E2334" s="113" t="s">
        <v>20</v>
      </c>
      <c r="F2334" s="114" t="s">
        <v>15</v>
      </c>
      <c r="G2334" s="115" t="s">
        <v>25</v>
      </c>
      <c r="H2334" s="116">
        <v>7.34</v>
      </c>
      <c r="I2334" s="125">
        <v>9.5</v>
      </c>
      <c r="J2334" s="111">
        <f>6+10+3</f>
        <v>19</v>
      </c>
      <c r="K2334" s="117">
        <f t="shared" si="187"/>
        <v>1.3248700000000002</v>
      </c>
      <c r="L2334" s="118"/>
      <c r="M2334" s="111">
        <v>19</v>
      </c>
      <c r="N2334" s="117">
        <f t="shared" si="188"/>
        <v>1.32487</v>
      </c>
      <c r="O2334" s="119">
        <f t="shared" si="189"/>
        <v>0</v>
      </c>
      <c r="P2334" s="120">
        <f t="shared" si="190"/>
        <v>0</v>
      </c>
      <c r="Q2334" s="111"/>
      <c r="R2334" s="32"/>
      <c r="S2334" s="32"/>
      <c r="T2334" s="213"/>
    </row>
    <row r="2335" spans="2:20" ht="15.6">
      <c r="B2335" s="110" t="s">
        <v>377</v>
      </c>
      <c r="C2335" s="111" t="s">
        <v>232</v>
      </c>
      <c r="D2335" s="112" t="s">
        <v>228</v>
      </c>
      <c r="E2335" s="113" t="s">
        <v>20</v>
      </c>
      <c r="F2335" s="114" t="s">
        <v>15</v>
      </c>
      <c r="G2335" s="115" t="s">
        <v>25</v>
      </c>
      <c r="H2335" s="116">
        <v>7.34</v>
      </c>
      <c r="I2335" s="125">
        <v>11.5</v>
      </c>
      <c r="J2335" s="111">
        <f>33+35+38+30+30+16</f>
        <v>182</v>
      </c>
      <c r="K2335" s="117">
        <f t="shared" si="187"/>
        <v>15.36262</v>
      </c>
      <c r="L2335" s="118"/>
      <c r="M2335" s="111">
        <f>104+78</f>
        <v>182</v>
      </c>
      <c r="N2335" s="117">
        <f t="shared" si="188"/>
        <v>15.36262</v>
      </c>
      <c r="O2335" s="119">
        <f t="shared" si="189"/>
        <v>0</v>
      </c>
      <c r="P2335" s="120">
        <f t="shared" si="190"/>
        <v>0</v>
      </c>
      <c r="Q2335" s="111"/>
      <c r="R2335" s="32"/>
      <c r="S2335" s="32"/>
      <c r="T2335" s="213"/>
    </row>
    <row r="2336" spans="2:20" ht="15.6">
      <c r="B2336" s="110" t="s">
        <v>377</v>
      </c>
      <c r="C2336" s="111" t="s">
        <v>232</v>
      </c>
      <c r="D2336" s="112" t="s">
        <v>228</v>
      </c>
      <c r="E2336" s="113" t="s">
        <v>20</v>
      </c>
      <c r="F2336" s="114" t="s">
        <v>15</v>
      </c>
      <c r="G2336" s="115" t="s">
        <v>25</v>
      </c>
      <c r="H2336" s="116">
        <v>7.34</v>
      </c>
      <c r="I2336" s="125">
        <v>12</v>
      </c>
      <c r="J2336" s="111">
        <f>35+20+26+30+13+17</f>
        <v>141</v>
      </c>
      <c r="K2336" s="117">
        <f t="shared" si="187"/>
        <v>12.419280000000001</v>
      </c>
      <c r="L2336" s="118"/>
      <c r="M2336" s="111">
        <f>55+86</f>
        <v>141</v>
      </c>
      <c r="N2336" s="117">
        <f t="shared" si="188"/>
        <v>12.419280000000001</v>
      </c>
      <c r="O2336" s="119">
        <f t="shared" si="189"/>
        <v>0</v>
      </c>
      <c r="P2336" s="120">
        <f t="shared" si="190"/>
        <v>0</v>
      </c>
      <c r="Q2336" s="111">
        <v>11.5</v>
      </c>
      <c r="R2336" s="32">
        <v>6</v>
      </c>
      <c r="S2336" s="32"/>
      <c r="T2336" s="213"/>
    </row>
    <row r="2337" spans="2:21" ht="15.6">
      <c r="B2337" s="110" t="s">
        <v>377</v>
      </c>
      <c r="C2337" s="111" t="s">
        <v>232</v>
      </c>
      <c r="D2337" s="112" t="s">
        <v>228</v>
      </c>
      <c r="E2337" s="113" t="s">
        <v>20</v>
      </c>
      <c r="F2337" s="114" t="s">
        <v>15</v>
      </c>
      <c r="G2337" s="115" t="s">
        <v>25</v>
      </c>
      <c r="H2337" s="116">
        <v>7.34</v>
      </c>
      <c r="I2337" s="125">
        <v>5.6</v>
      </c>
      <c r="J2337" s="111">
        <v>1</v>
      </c>
      <c r="K2337" s="117">
        <f t="shared" si="187"/>
        <v>4.1104000000000002E-2</v>
      </c>
      <c r="L2337" s="118"/>
      <c r="M2337" s="111"/>
      <c r="N2337" s="117">
        <f t="shared" si="188"/>
        <v>0</v>
      </c>
      <c r="O2337" s="119">
        <f t="shared" si="189"/>
        <v>1</v>
      </c>
      <c r="P2337" s="120">
        <f t="shared" si="190"/>
        <v>4.1104000000000002E-2</v>
      </c>
      <c r="Q2337" s="111"/>
      <c r="R2337" s="32"/>
      <c r="S2337" s="32"/>
      <c r="T2337" s="213"/>
    </row>
    <row r="2338" spans="2:21" ht="15.6">
      <c r="B2338" s="110" t="s">
        <v>377</v>
      </c>
      <c r="C2338" s="111" t="s">
        <v>232</v>
      </c>
      <c r="D2338" s="112" t="s">
        <v>228</v>
      </c>
      <c r="E2338" s="113" t="s">
        <v>20</v>
      </c>
      <c r="F2338" s="114" t="s">
        <v>15</v>
      </c>
      <c r="G2338" s="115" t="s">
        <v>25</v>
      </c>
      <c r="H2338" s="116">
        <v>7.34</v>
      </c>
      <c r="I2338" s="125">
        <v>6.7</v>
      </c>
      <c r="J2338" s="111">
        <v>1</v>
      </c>
      <c r="K2338" s="117">
        <f t="shared" si="187"/>
        <v>4.9177999999999999E-2</v>
      </c>
      <c r="L2338" s="118"/>
      <c r="M2338" s="111"/>
      <c r="N2338" s="117">
        <f t="shared" si="188"/>
        <v>0</v>
      </c>
      <c r="O2338" s="119">
        <f t="shared" si="189"/>
        <v>1</v>
      </c>
      <c r="P2338" s="120">
        <f t="shared" si="190"/>
        <v>4.9177999999999999E-2</v>
      </c>
      <c r="Q2338" s="111"/>
      <c r="R2338" s="32"/>
      <c r="S2338" s="32"/>
      <c r="T2338" s="213"/>
    </row>
    <row r="2339" spans="2:21" ht="15.6">
      <c r="B2339" s="110" t="s">
        <v>377</v>
      </c>
      <c r="C2339" s="111" t="s">
        <v>232</v>
      </c>
      <c r="D2339" s="112" t="s">
        <v>228</v>
      </c>
      <c r="E2339" s="113" t="s">
        <v>20</v>
      </c>
      <c r="F2339" s="114" t="s">
        <v>15</v>
      </c>
      <c r="G2339" s="115" t="s">
        <v>25</v>
      </c>
      <c r="H2339" s="116">
        <v>7.34</v>
      </c>
      <c r="I2339" s="125">
        <v>7.5</v>
      </c>
      <c r="J2339" s="111">
        <v>2</v>
      </c>
      <c r="K2339" s="117">
        <f t="shared" si="187"/>
        <v>0.11009999999999999</v>
      </c>
      <c r="L2339" s="118"/>
      <c r="M2339" s="111"/>
      <c r="N2339" s="117">
        <f t="shared" si="188"/>
        <v>0</v>
      </c>
      <c r="O2339" s="119">
        <f t="shared" si="189"/>
        <v>2</v>
      </c>
      <c r="P2339" s="120">
        <f t="shared" si="190"/>
        <v>0.11009999999999999</v>
      </c>
      <c r="Q2339" s="111"/>
      <c r="R2339" s="32"/>
      <c r="S2339" s="32"/>
      <c r="T2339" s="213"/>
    </row>
    <row r="2340" spans="2:21" ht="15.6">
      <c r="B2340" s="110" t="s">
        <v>377</v>
      </c>
      <c r="C2340" s="111" t="s">
        <v>232</v>
      </c>
      <c r="D2340" s="112" t="s">
        <v>228</v>
      </c>
      <c r="E2340" s="113" t="s">
        <v>20</v>
      </c>
      <c r="F2340" s="114" t="s">
        <v>15</v>
      </c>
      <c r="G2340" s="115" t="s">
        <v>25</v>
      </c>
      <c r="H2340" s="116">
        <v>7.34</v>
      </c>
      <c r="I2340" s="125">
        <v>11</v>
      </c>
      <c r="J2340" s="111">
        <v>1</v>
      </c>
      <c r="K2340" s="117">
        <f t="shared" si="187"/>
        <v>8.0739999999999992E-2</v>
      </c>
      <c r="L2340" s="118"/>
      <c r="M2340" s="111">
        <v>1</v>
      </c>
      <c r="N2340" s="117">
        <f t="shared" si="188"/>
        <v>8.0739999999999992E-2</v>
      </c>
      <c r="O2340" s="119">
        <f t="shared" si="189"/>
        <v>0</v>
      </c>
      <c r="P2340" s="120">
        <f t="shared" si="190"/>
        <v>0</v>
      </c>
      <c r="Q2340" s="111">
        <v>9.5</v>
      </c>
      <c r="R2340" s="32">
        <v>1</v>
      </c>
      <c r="S2340" s="32"/>
      <c r="T2340" s="213"/>
    </row>
    <row r="2341" spans="2:21" ht="15.6">
      <c r="B2341" s="110" t="s">
        <v>377</v>
      </c>
      <c r="C2341" s="111" t="s">
        <v>232</v>
      </c>
      <c r="D2341" s="112" t="s">
        <v>228</v>
      </c>
      <c r="E2341" s="113" t="s">
        <v>20</v>
      </c>
      <c r="F2341" s="114" t="s">
        <v>15</v>
      </c>
      <c r="G2341" s="115" t="s">
        <v>25</v>
      </c>
      <c r="H2341" s="116">
        <v>7.34</v>
      </c>
      <c r="I2341" s="125">
        <v>11.4</v>
      </c>
      <c r="J2341" s="111">
        <v>1</v>
      </c>
      <c r="K2341" s="117">
        <f t="shared" si="187"/>
        <v>8.3676E-2</v>
      </c>
      <c r="L2341" s="118"/>
      <c r="M2341" s="111">
        <v>1</v>
      </c>
      <c r="N2341" s="117">
        <f t="shared" si="188"/>
        <v>8.3676E-2</v>
      </c>
      <c r="O2341" s="119">
        <f t="shared" si="189"/>
        <v>0</v>
      </c>
      <c r="P2341" s="120">
        <f t="shared" si="190"/>
        <v>0</v>
      </c>
      <c r="Q2341" s="111">
        <v>9.5</v>
      </c>
      <c r="R2341" s="32">
        <v>1</v>
      </c>
      <c r="S2341" s="32"/>
      <c r="T2341" s="213"/>
    </row>
    <row r="2342" spans="2:21" ht="15.6">
      <c r="B2342" s="110" t="s">
        <v>377</v>
      </c>
      <c r="C2342" s="111" t="s">
        <v>232</v>
      </c>
      <c r="D2342" s="112" t="s">
        <v>228</v>
      </c>
      <c r="E2342" s="113" t="s">
        <v>20</v>
      </c>
      <c r="F2342" s="114" t="s">
        <v>15</v>
      </c>
      <c r="G2342" s="115" t="s">
        <v>25</v>
      </c>
      <c r="H2342" s="116">
        <v>7.34</v>
      </c>
      <c r="I2342" s="125">
        <v>7.5</v>
      </c>
      <c r="J2342" s="111">
        <v>1</v>
      </c>
      <c r="K2342" s="117">
        <f t="shared" si="187"/>
        <v>5.5049999999999995E-2</v>
      </c>
      <c r="L2342" s="118"/>
      <c r="M2342" s="111"/>
      <c r="N2342" s="117">
        <f t="shared" si="188"/>
        <v>0</v>
      </c>
      <c r="O2342" s="119">
        <f t="shared" si="189"/>
        <v>1</v>
      </c>
      <c r="P2342" s="120">
        <f t="shared" si="190"/>
        <v>5.5049999999999995E-2</v>
      </c>
      <c r="Q2342" s="111"/>
      <c r="R2342" s="32"/>
      <c r="S2342" s="32"/>
      <c r="T2342" s="213"/>
    </row>
    <row r="2343" spans="2:21" ht="15.6">
      <c r="B2343" s="110" t="s">
        <v>377</v>
      </c>
      <c r="C2343" s="111" t="s">
        <v>232</v>
      </c>
      <c r="D2343" s="112" t="s">
        <v>228</v>
      </c>
      <c r="E2343" s="113" t="s">
        <v>20</v>
      </c>
      <c r="F2343" s="114" t="s">
        <v>15</v>
      </c>
      <c r="G2343" s="115" t="s">
        <v>25</v>
      </c>
      <c r="H2343" s="116">
        <v>7.34</v>
      </c>
      <c r="I2343" s="125">
        <v>11.5</v>
      </c>
      <c r="J2343" s="111">
        <v>37</v>
      </c>
      <c r="K2343" s="117">
        <f t="shared" si="187"/>
        <v>3.12317</v>
      </c>
      <c r="L2343" s="118"/>
      <c r="M2343" s="111">
        <v>37</v>
      </c>
      <c r="N2343" s="117">
        <f t="shared" si="188"/>
        <v>3.12317</v>
      </c>
      <c r="O2343" s="119">
        <f t="shared" si="189"/>
        <v>0</v>
      </c>
      <c r="P2343" s="120">
        <f>I2343*O2343*H2343/1000</f>
        <v>0</v>
      </c>
      <c r="Q2343" s="111"/>
      <c r="R2343" s="32"/>
      <c r="S2343" s="32"/>
      <c r="T2343" s="213"/>
    </row>
    <row r="2344" spans="2:21" ht="15.6">
      <c r="B2344" s="110" t="s">
        <v>377</v>
      </c>
      <c r="C2344" s="111" t="s">
        <v>232</v>
      </c>
      <c r="D2344" s="112" t="s">
        <v>228</v>
      </c>
      <c r="E2344" s="113" t="s">
        <v>20</v>
      </c>
      <c r="F2344" s="114" t="s">
        <v>15</v>
      </c>
      <c r="G2344" s="115" t="s">
        <v>25</v>
      </c>
      <c r="H2344" s="116">
        <v>7.34</v>
      </c>
      <c r="I2344" s="125">
        <v>12</v>
      </c>
      <c r="J2344" s="111">
        <v>39</v>
      </c>
      <c r="K2344" s="117">
        <f t="shared" si="187"/>
        <v>3.43512</v>
      </c>
      <c r="L2344" s="118"/>
      <c r="M2344" s="111">
        <v>39</v>
      </c>
      <c r="N2344" s="117">
        <f t="shared" si="188"/>
        <v>3.43512</v>
      </c>
      <c r="O2344" s="119">
        <f t="shared" si="189"/>
        <v>0</v>
      </c>
      <c r="P2344" s="120">
        <f>I2344*O2344*H2344/1000</f>
        <v>0</v>
      </c>
      <c r="Q2344" s="111">
        <v>11.5</v>
      </c>
      <c r="R2344" s="32">
        <v>39</v>
      </c>
      <c r="S2344" s="32"/>
      <c r="T2344" s="213"/>
    </row>
    <row r="2345" spans="2:21">
      <c r="B2345" s="32"/>
      <c r="C2345" s="32"/>
      <c r="D2345" s="32"/>
      <c r="E2345" s="32"/>
      <c r="F2345" s="32"/>
      <c r="G2345" s="32"/>
      <c r="H2345" s="32"/>
      <c r="I2345" s="32"/>
      <c r="J2345" s="129">
        <f>SUM(J2329:J2344)</f>
        <v>833</v>
      </c>
      <c r="K2345" s="124">
        <f>SUM(K2329:K2344)</f>
        <v>61.609757999999992</v>
      </c>
      <c r="L2345" s="32"/>
      <c r="M2345" s="129">
        <f>SUM(M2329:M2344)</f>
        <v>828</v>
      </c>
      <c r="N2345" s="124">
        <f>SUM(N2329:N2344)</f>
        <v>61.354325999999993</v>
      </c>
      <c r="O2345" s="131">
        <f>SUM(O2329:O2344)</f>
        <v>5</v>
      </c>
      <c r="P2345" s="124">
        <f>SUM(P2329:P2344)</f>
        <v>0.25543199999999999</v>
      </c>
      <c r="Q2345" s="32"/>
      <c r="R2345" s="32"/>
      <c r="S2345" s="32"/>
      <c r="T2345" s="131">
        <f>SUM(T2329:T2344)</f>
        <v>13</v>
      </c>
    </row>
    <row r="2347" spans="2:21" ht="15.6">
      <c r="B2347" s="110" t="s">
        <v>366</v>
      </c>
      <c r="C2347" s="111" t="s">
        <v>232</v>
      </c>
      <c r="D2347" s="112" t="s">
        <v>228</v>
      </c>
      <c r="E2347" s="113" t="s">
        <v>17</v>
      </c>
      <c r="F2347" s="114" t="s">
        <v>15</v>
      </c>
      <c r="G2347" s="115" t="s">
        <v>27</v>
      </c>
      <c r="H2347" s="116">
        <v>6.17</v>
      </c>
      <c r="I2347" s="125">
        <v>8</v>
      </c>
      <c r="J2347" s="111">
        <f>12+10</f>
        <v>22</v>
      </c>
      <c r="K2347" s="117">
        <f t="shared" ref="K2347:K2361" si="191">I2347*H2347*J2347/1000</f>
        <v>1.08592</v>
      </c>
      <c r="L2347" s="118"/>
      <c r="M2347" s="111">
        <v>22</v>
      </c>
      <c r="N2347" s="117">
        <f t="shared" ref="N2347:N2361" si="192">I2347*M2347*H2347/1000</f>
        <v>1.08592</v>
      </c>
      <c r="O2347" s="119">
        <f t="shared" ref="O2347:O2361" si="193">J2347-M2347</f>
        <v>0</v>
      </c>
      <c r="P2347" s="120">
        <f t="shared" ref="P2347:P2359" si="194">I2347*O2347*H2347/1000</f>
        <v>0</v>
      </c>
      <c r="Q2347" s="111"/>
      <c r="R2347" s="32"/>
      <c r="S2347" s="32"/>
      <c r="T2347" s="213"/>
      <c r="U2347" s="213"/>
    </row>
    <row r="2348" spans="2:21" ht="15.6">
      <c r="B2348" s="110" t="s">
        <v>366</v>
      </c>
      <c r="C2348" s="111" t="s">
        <v>232</v>
      </c>
      <c r="D2348" s="112" t="s">
        <v>228</v>
      </c>
      <c r="E2348" s="113" t="s">
        <v>17</v>
      </c>
      <c r="F2348" s="114" t="s">
        <v>15</v>
      </c>
      <c r="G2348" s="115" t="s">
        <v>27</v>
      </c>
      <c r="H2348" s="116">
        <v>6.17</v>
      </c>
      <c r="I2348" s="125">
        <v>9.1999999999999993</v>
      </c>
      <c r="J2348" s="111">
        <f>38+12+42+7</f>
        <v>99</v>
      </c>
      <c r="K2348" s="117">
        <f t="shared" si="191"/>
        <v>5.6196359999999999</v>
      </c>
      <c r="L2348" s="118"/>
      <c r="M2348" s="111">
        <v>99</v>
      </c>
      <c r="N2348" s="117">
        <f t="shared" si="192"/>
        <v>5.6196359999999999</v>
      </c>
      <c r="O2348" s="119">
        <f t="shared" si="193"/>
        <v>0</v>
      </c>
      <c r="P2348" s="120">
        <f t="shared" si="194"/>
        <v>0</v>
      </c>
      <c r="Q2348" s="111"/>
      <c r="R2348" s="32"/>
      <c r="S2348" s="32"/>
      <c r="T2348" s="213"/>
      <c r="U2348" s="213"/>
    </row>
    <row r="2349" spans="2:21" ht="15.6">
      <c r="B2349" s="110" t="s">
        <v>366</v>
      </c>
      <c r="C2349" s="111" t="s">
        <v>232</v>
      </c>
      <c r="D2349" s="112" t="s">
        <v>228</v>
      </c>
      <c r="E2349" s="113" t="s">
        <v>17</v>
      </c>
      <c r="F2349" s="114" t="s">
        <v>15</v>
      </c>
      <c r="G2349" s="115" t="s">
        <v>27</v>
      </c>
      <c r="H2349" s="116">
        <v>6.17</v>
      </c>
      <c r="I2349" s="125">
        <v>9.6999999999999993</v>
      </c>
      <c r="J2349" s="111">
        <f>22+28</f>
        <v>50</v>
      </c>
      <c r="K2349" s="117">
        <f t="shared" si="191"/>
        <v>2.9924499999999998</v>
      </c>
      <c r="L2349" s="118"/>
      <c r="M2349" s="111">
        <v>50</v>
      </c>
      <c r="N2349" s="117">
        <f t="shared" si="192"/>
        <v>2.9924499999999998</v>
      </c>
      <c r="O2349" s="119">
        <f t="shared" si="193"/>
        <v>0</v>
      </c>
      <c r="P2349" s="120">
        <f t="shared" si="194"/>
        <v>0</v>
      </c>
      <c r="Q2349" s="111"/>
      <c r="R2349" s="32"/>
      <c r="S2349" s="32"/>
      <c r="T2349" s="213"/>
      <c r="U2349" s="213"/>
    </row>
    <row r="2350" spans="2:21" ht="15.6">
      <c r="B2350" s="110" t="s">
        <v>366</v>
      </c>
      <c r="C2350" s="111" t="s">
        <v>232</v>
      </c>
      <c r="D2350" s="112" t="s">
        <v>228</v>
      </c>
      <c r="E2350" s="113" t="s">
        <v>17</v>
      </c>
      <c r="F2350" s="114" t="s">
        <v>15</v>
      </c>
      <c r="G2350" s="115" t="s">
        <v>27</v>
      </c>
      <c r="H2350" s="116">
        <v>6.17</v>
      </c>
      <c r="I2350" s="125">
        <v>10.199999999999999</v>
      </c>
      <c r="J2350" s="111">
        <f>30+9+17</f>
        <v>56</v>
      </c>
      <c r="K2350" s="117">
        <f t="shared" si="191"/>
        <v>3.5243039999999999</v>
      </c>
      <c r="L2350" s="118"/>
      <c r="M2350" s="111">
        <v>56</v>
      </c>
      <c r="N2350" s="117">
        <f t="shared" si="192"/>
        <v>3.5243039999999994</v>
      </c>
      <c r="O2350" s="119">
        <f t="shared" si="193"/>
        <v>0</v>
      </c>
      <c r="P2350" s="120">
        <f t="shared" si="194"/>
        <v>0</v>
      </c>
      <c r="Q2350" s="111"/>
      <c r="R2350" s="32"/>
      <c r="S2350" s="32"/>
      <c r="T2350" s="213"/>
      <c r="U2350" s="213"/>
    </row>
    <row r="2351" spans="2:21" ht="15.6">
      <c r="B2351" s="110" t="s">
        <v>366</v>
      </c>
      <c r="C2351" s="111" t="s">
        <v>232</v>
      </c>
      <c r="D2351" s="112" t="s">
        <v>228</v>
      </c>
      <c r="E2351" s="113" t="s">
        <v>17</v>
      </c>
      <c r="F2351" s="114" t="s">
        <v>15</v>
      </c>
      <c r="G2351" s="115" t="s">
        <v>27</v>
      </c>
      <c r="H2351" s="116">
        <v>6.17</v>
      </c>
      <c r="I2351" s="125">
        <v>10.5</v>
      </c>
      <c r="J2351" s="111">
        <f>25+24</f>
        <v>49</v>
      </c>
      <c r="K2351" s="117">
        <f t="shared" si="191"/>
        <v>3.1744649999999996</v>
      </c>
      <c r="L2351" s="118"/>
      <c r="M2351" s="111">
        <f>48+1</f>
        <v>49</v>
      </c>
      <c r="N2351" s="117">
        <f>I2351*M2351*H2351/1000</f>
        <v>3.1744650000000001</v>
      </c>
      <c r="O2351" s="119">
        <f t="shared" si="193"/>
        <v>0</v>
      </c>
      <c r="P2351" s="120">
        <f t="shared" si="194"/>
        <v>0</v>
      </c>
      <c r="Q2351" s="111">
        <v>9.1999999999999993</v>
      </c>
      <c r="R2351" s="32">
        <v>1</v>
      </c>
      <c r="S2351" s="32"/>
      <c r="T2351" s="213"/>
      <c r="U2351" s="213"/>
    </row>
    <row r="2352" spans="2:21" ht="15.6">
      <c r="B2352" s="110" t="s">
        <v>366</v>
      </c>
      <c r="C2352" s="111" t="s">
        <v>232</v>
      </c>
      <c r="D2352" s="112" t="s">
        <v>228</v>
      </c>
      <c r="E2352" s="113" t="s">
        <v>17</v>
      </c>
      <c r="F2352" s="114" t="s">
        <v>15</v>
      </c>
      <c r="G2352" s="115" t="s">
        <v>27</v>
      </c>
      <c r="H2352" s="116">
        <v>6.17</v>
      </c>
      <c r="I2352" s="125">
        <v>10.6</v>
      </c>
      <c r="J2352" s="111">
        <f>29+30</f>
        <v>59</v>
      </c>
      <c r="K2352" s="117">
        <f t="shared" si="191"/>
        <v>3.8587179999999996</v>
      </c>
      <c r="L2352" s="118"/>
      <c r="M2352" s="111">
        <f>56+3</f>
        <v>59</v>
      </c>
      <c r="N2352" s="117">
        <f t="shared" si="192"/>
        <v>3.8587179999999996</v>
      </c>
      <c r="O2352" s="119">
        <f t="shared" si="193"/>
        <v>0</v>
      </c>
      <c r="P2352" s="120">
        <f t="shared" si="194"/>
        <v>0</v>
      </c>
      <c r="Q2352" s="111">
        <v>9.1999999999999993</v>
      </c>
      <c r="R2352" s="32">
        <v>3</v>
      </c>
      <c r="S2352" s="32"/>
      <c r="T2352" s="213"/>
      <c r="U2352" s="213"/>
    </row>
    <row r="2353" spans="2:21" ht="15.6">
      <c r="B2353" s="110" t="s">
        <v>366</v>
      </c>
      <c r="C2353" s="111" t="s">
        <v>232</v>
      </c>
      <c r="D2353" s="112" t="s">
        <v>228</v>
      </c>
      <c r="E2353" s="113" t="s">
        <v>17</v>
      </c>
      <c r="F2353" s="114" t="s">
        <v>15</v>
      </c>
      <c r="G2353" s="115" t="s">
        <v>27</v>
      </c>
      <c r="H2353" s="116">
        <v>6.17</v>
      </c>
      <c r="I2353" s="125">
        <v>10.8</v>
      </c>
      <c r="J2353" s="111">
        <f>15+15</f>
        <v>30</v>
      </c>
      <c r="K2353" s="117">
        <f t="shared" si="191"/>
        <v>1.9990800000000004</v>
      </c>
      <c r="L2353" s="118"/>
      <c r="M2353" s="111">
        <v>30</v>
      </c>
      <c r="N2353" s="117">
        <f t="shared" si="192"/>
        <v>1.99908</v>
      </c>
      <c r="O2353" s="119">
        <f t="shared" si="193"/>
        <v>0</v>
      </c>
      <c r="P2353" s="120">
        <f t="shared" si="194"/>
        <v>0</v>
      </c>
      <c r="Q2353" s="111"/>
      <c r="R2353" s="32"/>
      <c r="S2353" s="32"/>
      <c r="T2353" s="213"/>
      <c r="U2353" s="213"/>
    </row>
    <row r="2354" spans="2:21" ht="15.6">
      <c r="B2354" s="110" t="s">
        <v>366</v>
      </c>
      <c r="C2354" s="111" t="s">
        <v>232</v>
      </c>
      <c r="D2354" s="112" t="s">
        <v>228</v>
      </c>
      <c r="E2354" s="113" t="s">
        <v>17</v>
      </c>
      <c r="F2354" s="114" t="s">
        <v>15</v>
      </c>
      <c r="G2354" s="115" t="s">
        <v>27</v>
      </c>
      <c r="H2354" s="116">
        <v>6.17</v>
      </c>
      <c r="I2354" s="125">
        <v>11</v>
      </c>
      <c r="J2354" s="111">
        <f>8+21</f>
        <v>29</v>
      </c>
      <c r="K2354" s="117">
        <f t="shared" si="191"/>
        <v>1.9682299999999999</v>
      </c>
      <c r="L2354" s="118"/>
      <c r="M2354" s="111">
        <f>17+12</f>
        <v>29</v>
      </c>
      <c r="N2354" s="117">
        <f t="shared" si="192"/>
        <v>1.9682299999999999</v>
      </c>
      <c r="O2354" s="119">
        <f t="shared" si="193"/>
        <v>0</v>
      </c>
      <c r="P2354" s="120">
        <f t="shared" si="194"/>
        <v>0</v>
      </c>
      <c r="Q2354" s="111">
        <v>9.6999999999999993</v>
      </c>
      <c r="R2354" s="32">
        <v>12</v>
      </c>
      <c r="S2354" s="32"/>
      <c r="T2354" s="213"/>
      <c r="U2354" s="213"/>
    </row>
    <row r="2355" spans="2:21" ht="15.6">
      <c r="B2355" s="110" t="s">
        <v>366</v>
      </c>
      <c r="C2355" s="111" t="s">
        <v>232</v>
      </c>
      <c r="D2355" s="112" t="s">
        <v>228</v>
      </c>
      <c r="E2355" s="113" t="s">
        <v>17</v>
      </c>
      <c r="F2355" s="114" t="s">
        <v>15</v>
      </c>
      <c r="G2355" s="115" t="s">
        <v>27</v>
      </c>
      <c r="H2355" s="116">
        <v>6.17</v>
      </c>
      <c r="I2355" s="125">
        <v>11.5</v>
      </c>
      <c r="J2355" s="111">
        <f>31+26+42+25</f>
        <v>124</v>
      </c>
      <c r="K2355" s="117">
        <f t="shared" si="191"/>
        <v>8.7984200000000001</v>
      </c>
      <c r="L2355" s="118"/>
      <c r="M2355" s="111">
        <v>124</v>
      </c>
      <c r="N2355" s="117">
        <f t="shared" si="192"/>
        <v>8.7984200000000001</v>
      </c>
      <c r="O2355" s="119">
        <f t="shared" si="193"/>
        <v>0</v>
      </c>
      <c r="P2355" s="120">
        <f t="shared" si="194"/>
        <v>0</v>
      </c>
      <c r="Q2355" s="111"/>
      <c r="R2355" s="32"/>
      <c r="S2355" s="32"/>
      <c r="T2355" s="213"/>
      <c r="U2355" s="213"/>
    </row>
    <row r="2356" spans="2:21" ht="15.6">
      <c r="B2356" s="110" t="s">
        <v>366</v>
      </c>
      <c r="C2356" s="111" t="s">
        <v>232</v>
      </c>
      <c r="D2356" s="112" t="s">
        <v>228</v>
      </c>
      <c r="E2356" s="113" t="s">
        <v>17</v>
      </c>
      <c r="F2356" s="114" t="s">
        <v>15</v>
      </c>
      <c r="G2356" s="115" t="s">
        <v>27</v>
      </c>
      <c r="H2356" s="116">
        <v>6.17</v>
      </c>
      <c r="I2356" s="125">
        <v>11.7</v>
      </c>
      <c r="J2356" s="111">
        <f>36+12+11+36</f>
        <v>95</v>
      </c>
      <c r="K2356" s="117">
        <f t="shared" si="191"/>
        <v>6.8579549999999987</v>
      </c>
      <c r="L2356" s="118"/>
      <c r="M2356" s="111">
        <f>93+2</f>
        <v>95</v>
      </c>
      <c r="N2356" s="117">
        <f t="shared" si="192"/>
        <v>6.8579549999999996</v>
      </c>
      <c r="O2356" s="119">
        <f t="shared" si="193"/>
        <v>0</v>
      </c>
      <c r="P2356" s="120">
        <f t="shared" si="194"/>
        <v>0</v>
      </c>
      <c r="Q2356" s="111">
        <v>9.6999999999999993</v>
      </c>
      <c r="R2356" s="32">
        <v>2</v>
      </c>
      <c r="S2356" s="32"/>
      <c r="T2356" s="213"/>
      <c r="U2356" s="213"/>
    </row>
    <row r="2357" spans="2:21" ht="15.6">
      <c r="B2357" s="110" t="s">
        <v>366</v>
      </c>
      <c r="C2357" s="111" t="s">
        <v>232</v>
      </c>
      <c r="D2357" s="112" t="s">
        <v>228</v>
      </c>
      <c r="E2357" s="113" t="s">
        <v>17</v>
      </c>
      <c r="F2357" s="114" t="s">
        <v>15</v>
      </c>
      <c r="G2357" s="115" t="s">
        <v>27</v>
      </c>
      <c r="H2357" s="116">
        <v>6.17</v>
      </c>
      <c r="I2357" s="125">
        <v>11.8</v>
      </c>
      <c r="J2357" s="111">
        <f>20+21</f>
        <v>41</v>
      </c>
      <c r="K2357" s="117">
        <f t="shared" si="191"/>
        <v>2.9850459999999996</v>
      </c>
      <c r="L2357" s="118"/>
      <c r="M2357" s="111">
        <f>39+2</f>
        <v>41</v>
      </c>
      <c r="N2357" s="117">
        <f t="shared" si="192"/>
        <v>2.9850459999999996</v>
      </c>
      <c r="O2357" s="119">
        <f t="shared" si="193"/>
        <v>0</v>
      </c>
      <c r="P2357" s="120">
        <f t="shared" si="194"/>
        <v>0</v>
      </c>
      <c r="Q2357" s="111">
        <v>9.6999999999999993</v>
      </c>
      <c r="R2357" s="32">
        <v>2</v>
      </c>
      <c r="S2357" s="32"/>
      <c r="T2357" s="213"/>
      <c r="U2357" s="213"/>
    </row>
    <row r="2358" spans="2:21" ht="15.6">
      <c r="B2358" s="110" t="s">
        <v>366</v>
      </c>
      <c r="C2358" s="111" t="s">
        <v>232</v>
      </c>
      <c r="D2358" s="112" t="s">
        <v>228</v>
      </c>
      <c r="E2358" s="113" t="s">
        <v>17</v>
      </c>
      <c r="F2358" s="114" t="s">
        <v>15</v>
      </c>
      <c r="G2358" s="115" t="s">
        <v>27</v>
      </c>
      <c r="H2358" s="116">
        <v>6.17</v>
      </c>
      <c r="I2358" s="125">
        <v>12</v>
      </c>
      <c r="J2358" s="111">
        <f>37+39+16+40+40+19</f>
        <v>191</v>
      </c>
      <c r="K2358" s="117">
        <f t="shared" si="191"/>
        <v>14.141639999999997</v>
      </c>
      <c r="L2358" s="118"/>
      <c r="M2358" s="111">
        <f>174+6+11</f>
        <v>191</v>
      </c>
      <c r="N2358" s="117">
        <f t="shared" si="192"/>
        <v>14.141639999999999</v>
      </c>
      <c r="O2358" s="119">
        <f t="shared" si="193"/>
        <v>0</v>
      </c>
      <c r="P2358" s="120">
        <f t="shared" si="194"/>
        <v>0</v>
      </c>
      <c r="Q2358" s="111" t="s">
        <v>379</v>
      </c>
      <c r="R2358" s="32">
        <v>6</v>
      </c>
      <c r="S2358" s="93">
        <v>12</v>
      </c>
      <c r="T2358" s="170">
        <v>11</v>
      </c>
      <c r="U2358" s="170" t="s">
        <v>437</v>
      </c>
    </row>
    <row r="2359" spans="2:21" ht="15.6">
      <c r="B2359" s="110" t="s">
        <v>366</v>
      </c>
      <c r="C2359" s="111" t="s">
        <v>232</v>
      </c>
      <c r="D2359" s="112" t="s">
        <v>228</v>
      </c>
      <c r="E2359" s="113" t="s">
        <v>17</v>
      </c>
      <c r="F2359" s="114" t="s">
        <v>15</v>
      </c>
      <c r="G2359" s="115" t="s">
        <v>27</v>
      </c>
      <c r="H2359" s="116">
        <v>6.17</v>
      </c>
      <c r="I2359" s="125">
        <v>6.5</v>
      </c>
      <c r="J2359" s="111">
        <v>2</v>
      </c>
      <c r="K2359" s="117">
        <f t="shared" si="191"/>
        <v>8.020999999999999E-2</v>
      </c>
      <c r="L2359" s="118"/>
      <c r="M2359" s="111"/>
      <c r="N2359" s="117">
        <f t="shared" si="192"/>
        <v>0</v>
      </c>
      <c r="O2359" s="119">
        <f t="shared" si="193"/>
        <v>2</v>
      </c>
      <c r="P2359" s="120">
        <f t="shared" si="194"/>
        <v>8.020999999999999E-2</v>
      </c>
      <c r="Q2359" s="111"/>
      <c r="R2359" s="32"/>
      <c r="S2359" s="32"/>
      <c r="T2359" s="213"/>
      <c r="U2359" s="213"/>
    </row>
    <row r="2360" spans="2:21" ht="15.6">
      <c r="B2360" s="110" t="s">
        <v>366</v>
      </c>
      <c r="C2360" s="111" t="s">
        <v>232</v>
      </c>
      <c r="D2360" s="112" t="s">
        <v>228</v>
      </c>
      <c r="E2360" s="113" t="s">
        <v>17</v>
      </c>
      <c r="F2360" s="114" t="s">
        <v>15</v>
      </c>
      <c r="G2360" s="115" t="s">
        <v>27</v>
      </c>
      <c r="H2360" s="116">
        <v>6.17</v>
      </c>
      <c r="I2360" s="125">
        <v>6.5</v>
      </c>
      <c r="J2360" s="111">
        <v>1</v>
      </c>
      <c r="K2360" s="117">
        <f t="shared" si="191"/>
        <v>4.0104999999999995E-2</v>
      </c>
      <c r="L2360" s="118"/>
      <c r="M2360" s="111"/>
      <c r="N2360" s="117">
        <f t="shared" si="192"/>
        <v>0</v>
      </c>
      <c r="O2360" s="119">
        <f t="shared" si="193"/>
        <v>1</v>
      </c>
      <c r="P2360" s="120">
        <f>I2360*O2360*H2360/1000</f>
        <v>4.0104999999999995E-2</v>
      </c>
      <c r="Q2360" s="111"/>
      <c r="R2360" s="32"/>
      <c r="S2360" s="32"/>
      <c r="T2360" s="213"/>
      <c r="U2360" s="213"/>
    </row>
    <row r="2361" spans="2:21" ht="15.6">
      <c r="B2361" s="110" t="s">
        <v>366</v>
      </c>
      <c r="C2361" s="111" t="s">
        <v>232</v>
      </c>
      <c r="D2361" s="112" t="s">
        <v>228</v>
      </c>
      <c r="E2361" s="113" t="s">
        <v>17</v>
      </c>
      <c r="F2361" s="114" t="s">
        <v>15</v>
      </c>
      <c r="G2361" s="115" t="s">
        <v>27</v>
      </c>
      <c r="H2361" s="116">
        <v>6.17</v>
      </c>
      <c r="I2361" s="125">
        <v>7.2</v>
      </c>
      <c r="J2361" s="111">
        <v>2</v>
      </c>
      <c r="K2361" s="117">
        <f t="shared" si="191"/>
        <v>8.8847999999999996E-2</v>
      </c>
      <c r="L2361" s="118"/>
      <c r="M2361" s="111"/>
      <c r="N2361" s="117">
        <f t="shared" si="192"/>
        <v>0</v>
      </c>
      <c r="O2361" s="119">
        <f t="shared" si="193"/>
        <v>2</v>
      </c>
      <c r="P2361" s="120">
        <f>I2361*O2361*H2361/1000</f>
        <v>8.8847999999999996E-2</v>
      </c>
      <c r="Q2361" s="111"/>
      <c r="R2361" s="32"/>
      <c r="S2361" s="32"/>
      <c r="T2361" s="215">
        <f>SUM(T2347:T2360)</f>
        <v>11</v>
      </c>
      <c r="U2361" s="213"/>
    </row>
    <row r="2362" spans="2:21">
      <c r="B2362" s="213"/>
      <c r="C2362" s="213"/>
      <c r="D2362" s="213"/>
      <c r="E2362" s="213"/>
      <c r="F2362" s="213"/>
      <c r="G2362" s="213"/>
      <c r="H2362" s="213"/>
      <c r="I2362" s="213"/>
      <c r="J2362" s="215">
        <f>SUM(J2347:J2361)</f>
        <v>850</v>
      </c>
      <c r="K2362" s="214">
        <f>SUM(K2347:K2361)</f>
        <v>57.215026999999978</v>
      </c>
      <c r="L2362" s="213"/>
      <c r="M2362" s="215">
        <f>SUM(M2347:M2361)</f>
        <v>845</v>
      </c>
      <c r="N2362" s="214">
        <f>SUM(N2347:N2361)</f>
        <v>57.005863999999988</v>
      </c>
      <c r="O2362" s="215">
        <f>SUM(O2347:O2361)</f>
        <v>5</v>
      </c>
      <c r="P2362" s="214">
        <f>SUM(P2347:P2361)</f>
        <v>0.20916299999999999</v>
      </c>
      <c r="Q2362" s="213"/>
      <c r="R2362" s="213"/>
      <c r="S2362" s="213"/>
      <c r="T2362" s="213"/>
      <c r="U2362" s="213"/>
    </row>
    <row r="2364" spans="2:21" ht="15.6">
      <c r="B2364" s="110" t="s">
        <v>377</v>
      </c>
      <c r="C2364" s="111" t="s">
        <v>232</v>
      </c>
      <c r="D2364" s="112" t="s">
        <v>228</v>
      </c>
      <c r="E2364" s="113" t="s">
        <v>24</v>
      </c>
      <c r="F2364" s="114" t="s">
        <v>14</v>
      </c>
      <c r="G2364" s="115" t="s">
        <v>27</v>
      </c>
      <c r="H2364" s="116">
        <v>6.17</v>
      </c>
      <c r="I2364" s="125">
        <v>7</v>
      </c>
      <c r="J2364" s="111">
        <v>2</v>
      </c>
      <c r="K2364" s="117">
        <f t="shared" ref="K2364:K2373" si="195">I2364*H2364*J2364/1000</f>
        <v>8.6379999999999998E-2</v>
      </c>
      <c r="L2364" s="118"/>
      <c r="M2364" s="111">
        <v>2</v>
      </c>
      <c r="N2364" s="117">
        <f t="shared" ref="N2364:N2372" si="196">I2364*M2364*H2364/1000</f>
        <v>8.6379999999999998E-2</v>
      </c>
      <c r="O2364" s="119">
        <f t="shared" ref="O2364:O2373" si="197">J2364-M2364</f>
        <v>0</v>
      </c>
      <c r="P2364" s="120">
        <f>I2364*O2364*H2364/1000</f>
        <v>0</v>
      </c>
      <c r="Q2364" s="111"/>
      <c r="R2364" s="32"/>
      <c r="S2364" s="32"/>
      <c r="T2364" s="213"/>
      <c r="U2364" s="213"/>
    </row>
    <row r="2365" spans="2:21" ht="15.6">
      <c r="B2365" s="110" t="s">
        <v>377</v>
      </c>
      <c r="C2365" s="111" t="s">
        <v>232</v>
      </c>
      <c r="D2365" s="112" t="s">
        <v>228</v>
      </c>
      <c r="E2365" s="113" t="s">
        <v>24</v>
      </c>
      <c r="F2365" s="114" t="s">
        <v>14</v>
      </c>
      <c r="G2365" s="115" t="s">
        <v>27</v>
      </c>
      <c r="H2365" s="116">
        <v>6.17</v>
      </c>
      <c r="I2365" s="125">
        <v>10.25</v>
      </c>
      <c r="J2365" s="111">
        <v>2</v>
      </c>
      <c r="K2365" s="117">
        <f t="shared" si="195"/>
        <v>0.12648499999999999</v>
      </c>
      <c r="L2365" s="118"/>
      <c r="M2365" s="111">
        <v>2</v>
      </c>
      <c r="N2365" s="117">
        <f t="shared" si="196"/>
        <v>0.12648499999999999</v>
      </c>
      <c r="O2365" s="119">
        <f t="shared" si="197"/>
        <v>0</v>
      </c>
      <c r="P2365" s="120">
        <f>I2365*O2365*H2365/1000</f>
        <v>0</v>
      </c>
      <c r="Q2365" s="111"/>
      <c r="R2365" s="32"/>
      <c r="S2365" s="32"/>
      <c r="T2365" s="213"/>
      <c r="U2365" s="213"/>
    </row>
    <row r="2366" spans="2:21" ht="15.6">
      <c r="B2366" s="110" t="s">
        <v>377</v>
      </c>
      <c r="C2366" s="111" t="s">
        <v>232</v>
      </c>
      <c r="D2366" s="112" t="s">
        <v>228</v>
      </c>
      <c r="E2366" s="113" t="s">
        <v>24</v>
      </c>
      <c r="F2366" s="114" t="s">
        <v>14</v>
      </c>
      <c r="G2366" s="115" t="s">
        <v>27</v>
      </c>
      <c r="H2366" s="116">
        <v>6.17</v>
      </c>
      <c r="I2366" s="125">
        <v>10.5</v>
      </c>
      <c r="J2366" s="111">
        <v>4</v>
      </c>
      <c r="K2366" s="117">
        <f t="shared" si="195"/>
        <v>0.25913999999999998</v>
      </c>
      <c r="L2366" s="118"/>
      <c r="M2366" s="111">
        <v>4</v>
      </c>
      <c r="N2366" s="117">
        <f t="shared" si="196"/>
        <v>0.25913999999999998</v>
      </c>
      <c r="O2366" s="119">
        <f t="shared" si="197"/>
        <v>0</v>
      </c>
      <c r="P2366" s="120">
        <f t="shared" ref="P2366:P2371" si="198">I2366*O2366*H2366/1000</f>
        <v>0</v>
      </c>
      <c r="Q2366" s="111"/>
      <c r="R2366" s="32"/>
      <c r="S2366" s="32"/>
      <c r="T2366" s="213"/>
      <c r="U2366" s="213"/>
    </row>
    <row r="2367" spans="2:21" ht="15.6">
      <c r="B2367" s="110" t="s">
        <v>377</v>
      </c>
      <c r="C2367" s="111" t="s">
        <v>232</v>
      </c>
      <c r="D2367" s="112" t="s">
        <v>228</v>
      </c>
      <c r="E2367" s="113" t="s">
        <v>24</v>
      </c>
      <c r="F2367" s="114" t="s">
        <v>14</v>
      </c>
      <c r="G2367" s="115" t="s">
        <v>27</v>
      </c>
      <c r="H2367" s="116">
        <v>6.17</v>
      </c>
      <c r="I2367" s="125">
        <v>12</v>
      </c>
      <c r="J2367" s="111">
        <v>24</v>
      </c>
      <c r="K2367" s="117">
        <f t="shared" si="195"/>
        <v>1.7769599999999999</v>
      </c>
      <c r="L2367" s="118"/>
      <c r="M2367" s="111">
        <v>24</v>
      </c>
      <c r="N2367" s="117">
        <f t="shared" si="196"/>
        <v>1.7769600000000001</v>
      </c>
      <c r="O2367" s="119">
        <f t="shared" si="197"/>
        <v>0</v>
      </c>
      <c r="P2367" s="120">
        <f t="shared" si="198"/>
        <v>0</v>
      </c>
      <c r="Q2367" s="111"/>
      <c r="R2367" s="32"/>
      <c r="S2367" s="72">
        <v>12</v>
      </c>
      <c r="T2367" s="77">
        <v>24</v>
      </c>
      <c r="U2367" s="77" t="s">
        <v>438</v>
      </c>
    </row>
    <row r="2368" spans="2:21" ht="15.6">
      <c r="B2368" s="110" t="s">
        <v>377</v>
      </c>
      <c r="C2368" s="111" t="s">
        <v>232</v>
      </c>
      <c r="D2368" s="112" t="s">
        <v>228</v>
      </c>
      <c r="E2368" s="113" t="s">
        <v>24</v>
      </c>
      <c r="F2368" s="114" t="s">
        <v>14</v>
      </c>
      <c r="G2368" s="115" t="s">
        <v>27</v>
      </c>
      <c r="H2368" s="116">
        <v>6.17</v>
      </c>
      <c r="I2368" s="125">
        <v>9.5</v>
      </c>
      <c r="J2368" s="111">
        <v>1</v>
      </c>
      <c r="K2368" s="117">
        <f t="shared" si="195"/>
        <v>5.8615E-2</v>
      </c>
      <c r="L2368" s="118"/>
      <c r="M2368" s="111"/>
      <c r="N2368" s="117">
        <f t="shared" si="196"/>
        <v>0</v>
      </c>
      <c r="O2368" s="119">
        <f t="shared" si="197"/>
        <v>1</v>
      </c>
      <c r="P2368" s="120">
        <f t="shared" si="198"/>
        <v>5.8615E-2</v>
      </c>
      <c r="Q2368" s="111"/>
      <c r="R2368" s="32"/>
      <c r="S2368" s="32"/>
      <c r="T2368" s="213"/>
      <c r="U2368" s="213"/>
    </row>
    <row r="2369" spans="2:21" ht="15.6">
      <c r="B2369" s="110" t="s">
        <v>377</v>
      </c>
      <c r="C2369" s="111" t="s">
        <v>232</v>
      </c>
      <c r="D2369" s="112" t="s">
        <v>228</v>
      </c>
      <c r="E2369" s="113" t="s">
        <v>24</v>
      </c>
      <c r="F2369" s="114" t="s">
        <v>14</v>
      </c>
      <c r="G2369" s="115" t="s">
        <v>27</v>
      </c>
      <c r="H2369" s="116">
        <v>6.17</v>
      </c>
      <c r="I2369" s="125">
        <v>7</v>
      </c>
      <c r="J2369" s="111">
        <v>2</v>
      </c>
      <c r="K2369" s="117">
        <f t="shared" si="195"/>
        <v>8.6379999999999998E-2</v>
      </c>
      <c r="L2369" s="118"/>
      <c r="M2369" s="111">
        <v>2</v>
      </c>
      <c r="N2369" s="117">
        <f t="shared" si="196"/>
        <v>8.6379999999999998E-2</v>
      </c>
      <c r="O2369" s="119">
        <f t="shared" si="197"/>
        <v>0</v>
      </c>
      <c r="P2369" s="120">
        <f t="shared" si="198"/>
        <v>0</v>
      </c>
      <c r="Q2369" s="111"/>
      <c r="R2369" s="32"/>
      <c r="S2369" s="32"/>
      <c r="T2369" s="213"/>
      <c r="U2369" s="213"/>
    </row>
    <row r="2370" spans="2:21" ht="15.6">
      <c r="B2370" s="110" t="s">
        <v>377</v>
      </c>
      <c r="C2370" s="111" t="s">
        <v>232</v>
      </c>
      <c r="D2370" s="112" t="s">
        <v>228</v>
      </c>
      <c r="E2370" s="113" t="s">
        <v>24</v>
      </c>
      <c r="F2370" s="114" t="s">
        <v>14</v>
      </c>
      <c r="G2370" s="115" t="s">
        <v>27</v>
      </c>
      <c r="H2370" s="116">
        <v>6.17</v>
      </c>
      <c r="I2370" s="125">
        <v>10.25</v>
      </c>
      <c r="J2370" s="111">
        <v>6</v>
      </c>
      <c r="K2370" s="117">
        <f t="shared" si="195"/>
        <v>0.37945499999999999</v>
      </c>
      <c r="L2370" s="118"/>
      <c r="M2370" s="111">
        <v>6</v>
      </c>
      <c r="N2370" s="117">
        <f t="shared" si="196"/>
        <v>0.37945499999999999</v>
      </c>
      <c r="O2370" s="119">
        <f t="shared" si="197"/>
        <v>0</v>
      </c>
      <c r="P2370" s="120">
        <f t="shared" si="198"/>
        <v>0</v>
      </c>
      <c r="Q2370" s="111"/>
      <c r="R2370" s="32"/>
      <c r="S2370" s="32"/>
      <c r="T2370" s="213"/>
      <c r="U2370" s="213"/>
    </row>
    <row r="2371" spans="2:21" ht="15.6">
      <c r="B2371" s="110" t="s">
        <v>377</v>
      </c>
      <c r="C2371" s="111" t="s">
        <v>232</v>
      </c>
      <c r="D2371" s="112" t="s">
        <v>228</v>
      </c>
      <c r="E2371" s="113" t="s">
        <v>24</v>
      </c>
      <c r="F2371" s="114" t="s">
        <v>14</v>
      </c>
      <c r="G2371" s="115" t="s">
        <v>27</v>
      </c>
      <c r="H2371" s="116">
        <v>6.17</v>
      </c>
      <c r="I2371" s="125">
        <v>10.5</v>
      </c>
      <c r="J2371" s="111">
        <v>1</v>
      </c>
      <c r="K2371" s="117">
        <f t="shared" si="195"/>
        <v>6.4784999999999995E-2</v>
      </c>
      <c r="L2371" s="118"/>
      <c r="M2371" s="111">
        <v>1</v>
      </c>
      <c r="N2371" s="117">
        <f t="shared" si="196"/>
        <v>6.4784999999999995E-2</v>
      </c>
      <c r="O2371" s="119">
        <f t="shared" si="197"/>
        <v>0</v>
      </c>
      <c r="P2371" s="120">
        <f t="shared" si="198"/>
        <v>0</v>
      </c>
      <c r="Q2371" s="111">
        <v>10.25</v>
      </c>
      <c r="R2371" s="32">
        <v>1</v>
      </c>
      <c r="S2371" s="32"/>
      <c r="T2371" s="213"/>
      <c r="U2371" s="213"/>
    </row>
    <row r="2372" spans="2:21" ht="15.6">
      <c r="B2372" s="110" t="s">
        <v>377</v>
      </c>
      <c r="C2372" s="111" t="s">
        <v>232</v>
      </c>
      <c r="D2372" s="112" t="s">
        <v>228</v>
      </c>
      <c r="E2372" s="113" t="s">
        <v>24</v>
      </c>
      <c r="F2372" s="114" t="s">
        <v>14</v>
      </c>
      <c r="G2372" s="115" t="s">
        <v>27</v>
      </c>
      <c r="H2372" s="116">
        <v>6.17</v>
      </c>
      <c r="I2372" s="125">
        <v>12</v>
      </c>
      <c r="J2372" s="111">
        <v>7</v>
      </c>
      <c r="K2372" s="117">
        <f t="shared" si="195"/>
        <v>0.51827999999999996</v>
      </c>
      <c r="L2372" s="118"/>
      <c r="M2372" s="111">
        <v>1</v>
      </c>
      <c r="N2372" s="117">
        <f t="shared" si="196"/>
        <v>7.4039999999999995E-2</v>
      </c>
      <c r="O2372" s="119">
        <f>J2372-M2372</f>
        <v>6</v>
      </c>
      <c r="P2372" s="120">
        <f>I2372*O2372*H2372/1000</f>
        <v>0.44424000000000002</v>
      </c>
      <c r="Q2372" s="111">
        <v>10.25</v>
      </c>
      <c r="R2372" s="32">
        <v>2</v>
      </c>
      <c r="S2372" s="72">
        <v>12</v>
      </c>
      <c r="T2372" s="77">
        <v>6</v>
      </c>
      <c r="U2372" s="77" t="s">
        <v>438</v>
      </c>
    </row>
    <row r="2373" spans="2:21" ht="15.6">
      <c r="B2373" s="110" t="s">
        <v>377</v>
      </c>
      <c r="C2373" s="111" t="s">
        <v>232</v>
      </c>
      <c r="D2373" s="112" t="s">
        <v>228</v>
      </c>
      <c r="E2373" s="113" t="s">
        <v>24</v>
      </c>
      <c r="F2373" s="114" t="s">
        <v>14</v>
      </c>
      <c r="G2373" s="115" t="s">
        <v>27</v>
      </c>
      <c r="H2373" s="116">
        <v>6.17</v>
      </c>
      <c r="I2373" s="125">
        <v>5.4</v>
      </c>
      <c r="J2373" s="111">
        <v>1</v>
      </c>
      <c r="K2373" s="117">
        <f t="shared" si="195"/>
        <v>3.3318000000000007E-2</v>
      </c>
      <c r="L2373" s="118"/>
      <c r="M2373" s="111"/>
      <c r="N2373" s="117">
        <f>I2373*M2373*H2373/1000</f>
        <v>0</v>
      </c>
      <c r="O2373" s="119">
        <f t="shared" si="197"/>
        <v>1</v>
      </c>
      <c r="P2373" s="120">
        <f>I2373*O2373*H2373/1000</f>
        <v>3.3318000000000007E-2</v>
      </c>
      <c r="Q2373" s="111"/>
      <c r="R2373" s="32"/>
      <c r="S2373" s="32"/>
      <c r="T2373" s="213"/>
      <c r="U2373" s="213"/>
    </row>
    <row r="2374" spans="2:21">
      <c r="B2374" s="32"/>
      <c r="C2374" s="32"/>
      <c r="D2374" s="32"/>
      <c r="E2374" s="32"/>
      <c r="F2374" s="32"/>
      <c r="G2374" s="32"/>
      <c r="H2374" s="32"/>
      <c r="I2374" s="32"/>
      <c r="J2374" s="129">
        <f>SUM(J2364:J2373)</f>
        <v>50</v>
      </c>
      <c r="K2374" s="124">
        <f>SUM(K2364:K2373)</f>
        <v>3.3897979999999999</v>
      </c>
      <c r="L2374" s="32"/>
      <c r="M2374" s="129">
        <f>SUM(M2364:M2373)</f>
        <v>42</v>
      </c>
      <c r="N2374" s="124">
        <f>SUM(N2364:N2373)</f>
        <v>2.8536250000000005</v>
      </c>
      <c r="O2374" s="131">
        <f>SUM(O2364:O2373)</f>
        <v>8</v>
      </c>
      <c r="P2374" s="124">
        <f>SUM(P2364:P2373)</f>
        <v>0.53617300000000001</v>
      </c>
      <c r="Q2374" s="32"/>
      <c r="R2374" s="32"/>
      <c r="S2374" s="32"/>
      <c r="T2374" s="131">
        <f>SUM(T2364:T2373)</f>
        <v>30</v>
      </c>
      <c r="U2374" s="213"/>
    </row>
    <row r="2378" spans="2:21" ht="15.6">
      <c r="B2378" s="110" t="s">
        <v>365</v>
      </c>
      <c r="C2378" s="111" t="s">
        <v>232</v>
      </c>
      <c r="D2378" s="112" t="s">
        <v>228</v>
      </c>
      <c r="E2378" s="113" t="s">
        <v>24</v>
      </c>
      <c r="F2378" s="114" t="s">
        <v>14</v>
      </c>
      <c r="G2378" s="115" t="s">
        <v>42</v>
      </c>
      <c r="H2378" s="116">
        <v>19.72</v>
      </c>
      <c r="I2378" s="125">
        <v>6.5</v>
      </c>
      <c r="J2378" s="111">
        <f>14+2</f>
        <v>16</v>
      </c>
      <c r="K2378" s="117">
        <f t="shared" ref="K2378:K2379" si="199">I2378*H2378*J2378/1000</f>
        <v>2.0508800000000003</v>
      </c>
      <c r="L2378" s="118"/>
      <c r="M2378" s="111">
        <v>16</v>
      </c>
      <c r="N2378" s="117">
        <f t="shared" ref="N2378:N2379" si="200">I2378*M2378*H2378/1000</f>
        <v>2.0508800000000003</v>
      </c>
      <c r="O2378" s="119">
        <f t="shared" ref="O2378:O2379" si="201">J2378-M2378</f>
        <v>0</v>
      </c>
      <c r="P2378" s="120">
        <f>I2378*O2378*H2378/1000</f>
        <v>0</v>
      </c>
      <c r="Q2378" s="111"/>
      <c r="R2378" s="32"/>
      <c r="S2378" s="213"/>
    </row>
    <row r="2379" spans="2:21" ht="15.6">
      <c r="B2379" s="110" t="s">
        <v>365</v>
      </c>
      <c r="C2379" s="111" t="s">
        <v>232</v>
      </c>
      <c r="D2379" s="112" t="s">
        <v>228</v>
      </c>
      <c r="E2379" s="113" t="s">
        <v>24</v>
      </c>
      <c r="F2379" s="114" t="s">
        <v>14</v>
      </c>
      <c r="G2379" s="115" t="s">
        <v>42</v>
      </c>
      <c r="H2379" s="116">
        <v>19.72</v>
      </c>
      <c r="I2379" s="125">
        <v>7</v>
      </c>
      <c r="J2379" s="111">
        <f>16+8</f>
        <v>24</v>
      </c>
      <c r="K2379" s="117">
        <f t="shared" si="199"/>
        <v>3.3129599999999999</v>
      </c>
      <c r="L2379" s="118"/>
      <c r="M2379" s="111">
        <f>16+6</f>
        <v>22</v>
      </c>
      <c r="N2379" s="117">
        <f t="shared" si="200"/>
        <v>3.0368799999999996</v>
      </c>
      <c r="O2379" s="119">
        <f t="shared" si="201"/>
        <v>2</v>
      </c>
      <c r="P2379" s="120">
        <f>I2379*O2379*H2379/1000</f>
        <v>0.27607999999999999</v>
      </c>
      <c r="Q2379" s="98">
        <v>7</v>
      </c>
      <c r="R2379" s="91">
        <v>6</v>
      </c>
      <c r="S2379" s="91" t="s">
        <v>431</v>
      </c>
    </row>
    <row r="2380" spans="2:21">
      <c r="B2380" s="32"/>
      <c r="C2380" s="32"/>
      <c r="D2380" s="32"/>
      <c r="E2380" s="32"/>
      <c r="F2380" s="32"/>
      <c r="G2380" s="32"/>
      <c r="H2380" s="32"/>
      <c r="I2380" s="32"/>
      <c r="J2380" s="129">
        <f>SUM(J2378:J2379)</f>
        <v>40</v>
      </c>
      <c r="K2380" s="132">
        <f>SUM(K2378:K2379)</f>
        <v>5.3638399999999997</v>
      </c>
      <c r="L2380" s="32"/>
      <c r="M2380" s="129">
        <f>SUM(M2378:M2379)</f>
        <v>38</v>
      </c>
      <c r="N2380" s="124">
        <f>SUM(N2378:N2379)</f>
        <v>5.0877599999999994</v>
      </c>
      <c r="O2380" s="129">
        <f>SUM(O2378:O2379)</f>
        <v>2</v>
      </c>
      <c r="P2380" s="124">
        <f>SUM(P2378:P2379)</f>
        <v>0.27607999999999999</v>
      </c>
      <c r="Q2380" s="32"/>
      <c r="R2380" s="32"/>
      <c r="S2380" s="213"/>
    </row>
    <row r="2382" spans="2:21" ht="15.6">
      <c r="B2382" s="110" t="s">
        <v>344</v>
      </c>
      <c r="C2382" s="111" t="s">
        <v>232</v>
      </c>
      <c r="D2382" s="112" t="s">
        <v>228</v>
      </c>
      <c r="E2382" s="113" t="s">
        <v>17</v>
      </c>
      <c r="F2382" s="114" t="s">
        <v>15</v>
      </c>
      <c r="G2382" s="115" t="s">
        <v>40</v>
      </c>
      <c r="H2382" s="116">
        <v>16.5</v>
      </c>
      <c r="I2382" s="125">
        <v>8.8000000000000007</v>
      </c>
      <c r="J2382" s="111">
        <v>21</v>
      </c>
      <c r="K2382" s="117">
        <f t="shared" ref="K2382:K2384" si="202">I2382*H2382*J2382/1000</f>
        <v>3.0492000000000004</v>
      </c>
      <c r="L2382" s="118"/>
      <c r="M2382" s="111">
        <v>21</v>
      </c>
      <c r="N2382" s="117">
        <f t="shared" ref="N2382:N2384" si="203">I2382*M2382*H2382/1000</f>
        <v>3.0492000000000004</v>
      </c>
      <c r="O2382" s="119">
        <f t="shared" ref="O2382" si="204">J2382-M2382</f>
        <v>0</v>
      </c>
      <c r="P2382" s="120">
        <f>I2382*O2382*H2382/1000</f>
        <v>0</v>
      </c>
      <c r="Q2382" s="111"/>
      <c r="R2382" s="32"/>
      <c r="S2382" s="213"/>
    </row>
    <row r="2383" spans="2:21" ht="15.6">
      <c r="B2383" s="110" t="s">
        <v>344</v>
      </c>
      <c r="C2383" s="111" t="s">
        <v>232</v>
      </c>
      <c r="D2383" s="112" t="s">
        <v>228</v>
      </c>
      <c r="E2383" s="113" t="s">
        <v>17</v>
      </c>
      <c r="F2383" s="114" t="s">
        <v>15</v>
      </c>
      <c r="G2383" s="115" t="s">
        <v>40</v>
      </c>
      <c r="H2383" s="116">
        <v>16.5</v>
      </c>
      <c r="I2383" s="125">
        <v>7.6</v>
      </c>
      <c r="J2383" s="111">
        <v>20</v>
      </c>
      <c r="K2383" s="117">
        <f t="shared" si="202"/>
        <v>2.508</v>
      </c>
      <c r="L2383" s="118"/>
      <c r="M2383" s="111">
        <v>18</v>
      </c>
      <c r="N2383" s="117">
        <f t="shared" si="203"/>
        <v>2.2571999999999997</v>
      </c>
      <c r="O2383" s="119">
        <f>J2383-M2383</f>
        <v>2</v>
      </c>
      <c r="P2383" s="120">
        <f>I2383*O2383*H2383/1000</f>
        <v>0.25079999999999997</v>
      </c>
      <c r="Q2383" s="32"/>
      <c r="R2383" s="32"/>
      <c r="S2383" s="213"/>
    </row>
    <row r="2384" spans="2:21" ht="15.6">
      <c r="B2384" s="110" t="s">
        <v>344</v>
      </c>
      <c r="C2384" s="111" t="s">
        <v>232</v>
      </c>
      <c r="D2384" s="112" t="s">
        <v>228</v>
      </c>
      <c r="E2384" s="113" t="s">
        <v>17</v>
      </c>
      <c r="F2384" s="114" t="s">
        <v>15</v>
      </c>
      <c r="G2384" s="115" t="s">
        <v>40</v>
      </c>
      <c r="H2384" s="116">
        <v>16.5</v>
      </c>
      <c r="I2384" s="125">
        <v>8.8000000000000007</v>
      </c>
      <c r="J2384" s="111">
        <v>3</v>
      </c>
      <c r="K2384" s="117">
        <f t="shared" si="202"/>
        <v>0.43560000000000004</v>
      </c>
      <c r="L2384" s="118"/>
      <c r="M2384" s="111">
        <v>3</v>
      </c>
      <c r="N2384" s="117">
        <f t="shared" si="203"/>
        <v>0.43560000000000004</v>
      </c>
      <c r="O2384" s="119">
        <f>J2384-M2384</f>
        <v>0</v>
      </c>
      <c r="P2384" s="120">
        <f>I2384*O2384*H2384/1000</f>
        <v>0</v>
      </c>
      <c r="Q2384" s="98">
        <v>8.8000000000000007</v>
      </c>
      <c r="R2384" s="91">
        <v>3</v>
      </c>
      <c r="S2384" s="91" t="s">
        <v>431</v>
      </c>
    </row>
    <row r="2385" spans="1:19">
      <c r="B2385" s="32"/>
      <c r="C2385" s="32"/>
      <c r="D2385" s="32"/>
      <c r="E2385" s="32"/>
      <c r="F2385" s="32"/>
      <c r="G2385" s="32"/>
      <c r="H2385" s="32"/>
      <c r="I2385" s="32"/>
      <c r="J2385" s="129">
        <f>SUM(J2382:J2384)</f>
        <v>44</v>
      </c>
      <c r="K2385" s="132">
        <f>SUM(K2382:K2384)</f>
        <v>5.9927999999999999</v>
      </c>
      <c r="L2385" s="32"/>
      <c r="M2385" s="129">
        <f>SUM(M2382:M2384)</f>
        <v>42</v>
      </c>
      <c r="N2385" s="132">
        <f>SUM(N2382:N2384)</f>
        <v>5.742</v>
      </c>
      <c r="O2385" s="131">
        <f>SUM(O2382:O2384)</f>
        <v>2</v>
      </c>
      <c r="P2385" s="132">
        <f>SUM(P2382:P2384)</f>
        <v>0.25079999999999997</v>
      </c>
      <c r="Q2385" s="32"/>
      <c r="R2385" s="32"/>
      <c r="S2385" s="213"/>
    </row>
    <row r="2388" spans="1:19">
      <c r="A2388" s="45" t="s">
        <v>136</v>
      </c>
      <c r="B2388" s="32" t="s">
        <v>137</v>
      </c>
      <c r="C2388" s="3">
        <v>13</v>
      </c>
      <c r="D2388" s="32"/>
      <c r="E2388" s="39" t="s">
        <v>24</v>
      </c>
      <c r="F2388" s="7" t="s">
        <v>14</v>
      </c>
      <c r="G2388" s="7" t="s">
        <v>38</v>
      </c>
      <c r="H2388" s="11">
        <v>12.9</v>
      </c>
      <c r="I2388" s="33">
        <v>10.3</v>
      </c>
      <c r="J2388" s="40">
        <v>1</v>
      </c>
      <c r="K2388" s="10">
        <v>0.13287000000000002</v>
      </c>
      <c r="L2388" s="4"/>
      <c r="M2388" s="17"/>
      <c r="N2388" s="18">
        <v>0</v>
      </c>
      <c r="O2388" s="19">
        <v>1</v>
      </c>
      <c r="P2388" s="13">
        <v>0.13287000000000002</v>
      </c>
      <c r="Q2388" s="32"/>
      <c r="R2388" s="32"/>
      <c r="S2388" s="32"/>
    </row>
    <row r="2389" spans="1:19">
      <c r="A2389" s="45" t="s">
        <v>136</v>
      </c>
      <c r="B2389" s="32" t="s">
        <v>137</v>
      </c>
      <c r="C2389" s="3">
        <v>13</v>
      </c>
      <c r="D2389" s="32"/>
      <c r="E2389" s="39" t="s">
        <v>24</v>
      </c>
      <c r="F2389" s="7" t="s">
        <v>14</v>
      </c>
      <c r="G2389" s="7" t="s">
        <v>38</v>
      </c>
      <c r="H2389" s="11">
        <v>12.9</v>
      </c>
      <c r="I2389" s="33">
        <v>11</v>
      </c>
      <c r="J2389" s="40">
        <v>1</v>
      </c>
      <c r="K2389" s="10">
        <v>0.1419</v>
      </c>
      <c r="L2389" s="4"/>
      <c r="M2389" s="17"/>
      <c r="N2389" s="18">
        <v>0</v>
      </c>
      <c r="O2389" s="19">
        <v>1</v>
      </c>
      <c r="P2389" s="13">
        <v>0.1419</v>
      </c>
      <c r="Q2389" s="32"/>
      <c r="R2389" s="32"/>
      <c r="S2389" s="32"/>
    </row>
    <row r="2390" spans="1:19">
      <c r="A2390" s="45" t="s">
        <v>136</v>
      </c>
      <c r="B2390" s="32" t="s">
        <v>137</v>
      </c>
      <c r="C2390" s="3">
        <v>13</v>
      </c>
      <c r="D2390" s="32"/>
      <c r="E2390" s="39" t="s">
        <v>24</v>
      </c>
      <c r="F2390" s="7" t="s">
        <v>14</v>
      </c>
      <c r="G2390" s="7" t="s">
        <v>38</v>
      </c>
      <c r="H2390" s="11">
        <v>12.9</v>
      </c>
      <c r="I2390" s="33">
        <v>11.5</v>
      </c>
      <c r="J2390" s="40">
        <v>6</v>
      </c>
      <c r="K2390" s="10">
        <v>0.89009999999999989</v>
      </c>
      <c r="L2390" s="4"/>
      <c r="M2390" s="17">
        <v>6</v>
      </c>
      <c r="N2390" s="18">
        <v>0.8901</v>
      </c>
      <c r="O2390" s="19">
        <v>0</v>
      </c>
      <c r="P2390" s="13">
        <v>0</v>
      </c>
      <c r="Q2390" s="79">
        <v>11.5</v>
      </c>
      <c r="R2390" s="72">
        <v>6</v>
      </c>
      <c r="S2390" s="72" t="s">
        <v>431</v>
      </c>
    </row>
    <row r="2391" spans="1:19">
      <c r="A2391" s="45" t="s">
        <v>136</v>
      </c>
      <c r="B2391" s="48" t="s">
        <v>171</v>
      </c>
      <c r="C2391" s="32">
        <v>108</v>
      </c>
      <c r="D2391" s="32"/>
      <c r="E2391" s="48" t="s">
        <v>24</v>
      </c>
      <c r="F2391" s="48" t="s">
        <v>14</v>
      </c>
      <c r="G2391" s="48" t="s">
        <v>38</v>
      </c>
      <c r="H2391" s="11">
        <v>12.9</v>
      </c>
      <c r="I2391" s="52">
        <v>12</v>
      </c>
      <c r="J2391" s="7">
        <v>10</v>
      </c>
      <c r="K2391" s="10">
        <v>1.548</v>
      </c>
      <c r="L2391" s="32"/>
      <c r="M2391" s="32">
        <v>10</v>
      </c>
      <c r="N2391" s="18">
        <v>1.548</v>
      </c>
      <c r="O2391" s="19">
        <v>0</v>
      </c>
      <c r="P2391" s="13">
        <v>0</v>
      </c>
      <c r="Q2391" s="79">
        <v>12</v>
      </c>
      <c r="R2391" s="72">
        <v>10</v>
      </c>
      <c r="S2391" s="72" t="s">
        <v>431</v>
      </c>
    </row>
    <row r="2392" spans="1:19">
      <c r="A2392" s="45" t="s">
        <v>136</v>
      </c>
      <c r="B2392" s="48" t="s">
        <v>171</v>
      </c>
      <c r="C2392" s="32">
        <v>108</v>
      </c>
      <c r="D2392" s="32"/>
      <c r="E2392" s="48" t="s">
        <v>24</v>
      </c>
      <c r="F2392" s="48" t="s">
        <v>14</v>
      </c>
      <c r="G2392" s="48" t="s">
        <v>38</v>
      </c>
      <c r="H2392" s="11">
        <v>12.9</v>
      </c>
      <c r="I2392" s="52">
        <v>11.6</v>
      </c>
      <c r="J2392" s="7">
        <v>1</v>
      </c>
      <c r="K2392" s="10">
        <v>0.14964</v>
      </c>
      <c r="L2392" s="32"/>
      <c r="M2392" s="32"/>
      <c r="N2392" s="18">
        <v>0</v>
      </c>
      <c r="O2392" s="19">
        <v>1</v>
      </c>
      <c r="P2392" s="13">
        <v>0.14964</v>
      </c>
      <c r="Q2392" s="32"/>
      <c r="R2392" s="32"/>
      <c r="S2392" s="32"/>
    </row>
    <row r="2395" spans="1:19">
      <c r="A2395" s="42" t="s">
        <v>77</v>
      </c>
      <c r="B2395" s="3" t="s">
        <v>68</v>
      </c>
      <c r="C2395" s="3">
        <v>203</v>
      </c>
      <c r="D2395" s="1"/>
      <c r="E2395" s="20" t="s">
        <v>24</v>
      </c>
      <c r="F2395" s="7" t="s">
        <v>14</v>
      </c>
      <c r="G2395" s="7" t="s">
        <v>39</v>
      </c>
      <c r="H2395" s="11">
        <v>14.66</v>
      </c>
      <c r="I2395" s="8">
        <v>8.1</v>
      </c>
      <c r="J2395" s="26">
        <v>1</v>
      </c>
      <c r="K2395" s="10">
        <v>0.11874599999999999</v>
      </c>
      <c r="L2395" s="4"/>
      <c r="M2395" s="17"/>
      <c r="N2395" s="18">
        <v>0</v>
      </c>
      <c r="O2395" s="19">
        <v>1</v>
      </c>
      <c r="P2395" s="13">
        <v>0.11874599999999999</v>
      </c>
      <c r="Q2395" s="9"/>
      <c r="R2395" s="2"/>
      <c r="S2395" s="2"/>
    </row>
    <row r="2396" spans="1:19">
      <c r="A2396" s="42" t="s">
        <v>77</v>
      </c>
      <c r="B2396" s="3" t="s">
        <v>68</v>
      </c>
      <c r="C2396" s="3">
        <v>203</v>
      </c>
      <c r="D2396" s="1"/>
      <c r="E2396" s="20" t="s">
        <v>24</v>
      </c>
      <c r="F2396" s="7" t="s">
        <v>14</v>
      </c>
      <c r="G2396" s="7" t="s">
        <v>39</v>
      </c>
      <c r="H2396" s="11">
        <v>14.66</v>
      </c>
      <c r="I2396" s="8">
        <v>9.3000000000000007</v>
      </c>
      <c r="J2396" s="26">
        <v>2</v>
      </c>
      <c r="K2396" s="10">
        <v>0.27267600000000003</v>
      </c>
      <c r="L2396" s="4"/>
      <c r="M2396" s="17"/>
      <c r="N2396" s="18">
        <v>0</v>
      </c>
      <c r="O2396" s="19">
        <v>2</v>
      </c>
      <c r="P2396" s="13">
        <v>0.27267600000000003</v>
      </c>
      <c r="Q2396" s="9"/>
      <c r="R2396" s="2"/>
      <c r="S2396" s="2"/>
    </row>
    <row r="2397" spans="1:19">
      <c r="A2397" s="42" t="s">
        <v>77</v>
      </c>
      <c r="B2397" s="3" t="s">
        <v>68</v>
      </c>
      <c r="C2397" s="3">
        <v>203</v>
      </c>
      <c r="D2397" s="1"/>
      <c r="E2397" s="20" t="s">
        <v>24</v>
      </c>
      <c r="F2397" s="7" t="s">
        <v>14</v>
      </c>
      <c r="G2397" s="7" t="s">
        <v>39</v>
      </c>
      <c r="H2397" s="11">
        <v>14.66</v>
      </c>
      <c r="I2397" s="8">
        <v>9.6</v>
      </c>
      <c r="J2397" s="26">
        <v>1</v>
      </c>
      <c r="K2397" s="10">
        <v>0.140736</v>
      </c>
      <c r="L2397" s="4"/>
      <c r="M2397" s="17"/>
      <c r="N2397" s="18">
        <v>0</v>
      </c>
      <c r="O2397" s="19">
        <v>1</v>
      </c>
      <c r="P2397" s="13">
        <v>0.140736</v>
      </c>
      <c r="Q2397" s="9"/>
      <c r="R2397" s="2"/>
      <c r="S2397" s="2"/>
    </row>
    <row r="2398" spans="1:19">
      <c r="A2398" s="42" t="s">
        <v>90</v>
      </c>
      <c r="B2398" s="48" t="s">
        <v>148</v>
      </c>
      <c r="C2398" s="32">
        <v>88</v>
      </c>
      <c r="D2398" s="32"/>
      <c r="E2398" s="48" t="s">
        <v>24</v>
      </c>
      <c r="F2398" s="48" t="s">
        <v>14</v>
      </c>
      <c r="G2398" s="48" t="s">
        <v>39</v>
      </c>
      <c r="H2398" s="11">
        <v>14.66</v>
      </c>
      <c r="I2398" s="52">
        <v>7</v>
      </c>
      <c r="J2398" s="7">
        <v>2</v>
      </c>
      <c r="K2398" s="10">
        <v>0.20524000000000001</v>
      </c>
      <c r="L2398" s="32"/>
      <c r="M2398" s="32"/>
      <c r="N2398" s="18">
        <v>0</v>
      </c>
      <c r="O2398" s="19">
        <v>2</v>
      </c>
      <c r="P2398" s="13">
        <v>0.20524000000000001</v>
      </c>
      <c r="Q2398" s="32"/>
      <c r="R2398" s="32"/>
      <c r="S2398" s="32"/>
    </row>
    <row r="2399" spans="1:19">
      <c r="A2399" s="42" t="s">
        <v>90</v>
      </c>
      <c r="B2399" s="48" t="s">
        <v>148</v>
      </c>
      <c r="C2399" s="32">
        <v>88</v>
      </c>
      <c r="D2399" s="32"/>
      <c r="E2399" s="48" t="s">
        <v>24</v>
      </c>
      <c r="F2399" s="48" t="s">
        <v>14</v>
      </c>
      <c r="G2399" s="48" t="s">
        <v>39</v>
      </c>
      <c r="H2399" s="11">
        <v>14.66</v>
      </c>
      <c r="I2399" s="52">
        <v>7.4</v>
      </c>
      <c r="J2399" s="7">
        <v>1</v>
      </c>
      <c r="K2399" s="10">
        <v>0.10848400000000001</v>
      </c>
      <c r="L2399" s="32"/>
      <c r="M2399" s="32"/>
      <c r="N2399" s="18">
        <v>0</v>
      </c>
      <c r="O2399" s="19">
        <v>1</v>
      </c>
      <c r="P2399" s="13">
        <v>0.10848400000000001</v>
      </c>
      <c r="Q2399" s="32"/>
      <c r="R2399" s="32"/>
      <c r="S2399" s="32"/>
    </row>
    <row r="2400" spans="1:19">
      <c r="A2400" s="42" t="s">
        <v>90</v>
      </c>
      <c r="B2400" s="48" t="s">
        <v>148</v>
      </c>
      <c r="C2400" s="32">
        <v>88</v>
      </c>
      <c r="D2400" s="32"/>
      <c r="E2400" s="48" t="s">
        <v>24</v>
      </c>
      <c r="F2400" s="48" t="s">
        <v>14</v>
      </c>
      <c r="G2400" s="48" t="s">
        <v>39</v>
      </c>
      <c r="H2400" s="11">
        <v>14.66</v>
      </c>
      <c r="I2400" s="52">
        <v>12</v>
      </c>
      <c r="J2400" s="7">
        <v>5</v>
      </c>
      <c r="K2400" s="10">
        <v>0.87960000000000016</v>
      </c>
      <c r="L2400" s="32"/>
      <c r="M2400" s="32">
        <v>4</v>
      </c>
      <c r="N2400" s="18">
        <v>0.70368000000000008</v>
      </c>
      <c r="O2400" s="19">
        <v>1</v>
      </c>
      <c r="P2400" s="13">
        <v>0.17592000000000002</v>
      </c>
      <c r="Q2400" s="75">
        <v>12</v>
      </c>
      <c r="R2400" s="72">
        <v>4</v>
      </c>
      <c r="S2400" s="72" t="s">
        <v>431</v>
      </c>
    </row>
    <row r="2405" spans="1:20" ht="15.6">
      <c r="A2405" s="110"/>
      <c r="B2405" s="110" t="s">
        <v>340</v>
      </c>
      <c r="C2405" s="111" t="s">
        <v>232</v>
      </c>
      <c r="D2405" s="112" t="s">
        <v>228</v>
      </c>
      <c r="E2405" s="113" t="s">
        <v>341</v>
      </c>
      <c r="F2405" s="114" t="s">
        <v>15</v>
      </c>
      <c r="G2405" s="115" t="s">
        <v>37</v>
      </c>
      <c r="H2405" s="116">
        <v>18.2</v>
      </c>
      <c r="I2405" s="125">
        <v>9.5</v>
      </c>
      <c r="J2405" s="111">
        <f>13+15</f>
        <v>28</v>
      </c>
      <c r="K2405" s="117">
        <f t="shared" ref="K2405:K2410" si="205">I2405*H2405*J2405/1000</f>
        <v>4.8411999999999997</v>
      </c>
      <c r="L2405" s="118"/>
      <c r="M2405" s="111">
        <v>28</v>
      </c>
      <c r="N2405" s="117">
        <f t="shared" ref="N2405:N2410" si="206">I2405*M2405*H2405/1000</f>
        <v>4.8411999999999997</v>
      </c>
      <c r="O2405" s="119">
        <f t="shared" ref="O2405:O2410" si="207">J2405-M2405</f>
        <v>0</v>
      </c>
      <c r="P2405" s="120">
        <f t="shared" ref="P2405:P2410" si="208">I2405*O2405*H2405/1000</f>
        <v>0</v>
      </c>
      <c r="Q2405" s="111"/>
      <c r="R2405" s="32"/>
      <c r="S2405" s="213"/>
      <c r="T2405" s="213"/>
    </row>
    <row r="2406" spans="1:20" ht="15.6">
      <c r="A2406" s="110"/>
      <c r="B2406" s="110" t="s">
        <v>340</v>
      </c>
      <c r="C2406" s="111" t="s">
        <v>232</v>
      </c>
      <c r="D2406" s="112" t="s">
        <v>228</v>
      </c>
      <c r="E2406" s="113" t="s">
        <v>341</v>
      </c>
      <c r="F2406" s="114" t="s">
        <v>15</v>
      </c>
      <c r="G2406" s="115" t="s">
        <v>37</v>
      </c>
      <c r="H2406" s="116">
        <v>18.2</v>
      </c>
      <c r="I2406" s="125">
        <v>10.8</v>
      </c>
      <c r="J2406" s="111">
        <v>6</v>
      </c>
      <c r="K2406" s="117">
        <f t="shared" si="205"/>
        <v>1.1793600000000002</v>
      </c>
      <c r="L2406" s="118"/>
      <c r="M2406" s="111">
        <v>6</v>
      </c>
      <c r="N2406" s="117">
        <f t="shared" si="206"/>
        <v>1.1793600000000002</v>
      </c>
      <c r="O2406" s="119">
        <f t="shared" si="207"/>
        <v>0</v>
      </c>
      <c r="P2406" s="120">
        <f t="shared" si="208"/>
        <v>0</v>
      </c>
      <c r="Q2406" s="111"/>
      <c r="R2406" s="32"/>
      <c r="S2406" s="213"/>
      <c r="T2406" s="213"/>
    </row>
    <row r="2407" spans="1:20" ht="15.6">
      <c r="A2407" s="110"/>
      <c r="B2407" s="110" t="s">
        <v>340</v>
      </c>
      <c r="C2407" s="111" t="s">
        <v>232</v>
      </c>
      <c r="D2407" s="112" t="s">
        <v>228</v>
      </c>
      <c r="E2407" s="113" t="s">
        <v>341</v>
      </c>
      <c r="F2407" s="114" t="s">
        <v>15</v>
      </c>
      <c r="G2407" s="115" t="s">
        <v>37</v>
      </c>
      <c r="H2407" s="116">
        <v>18.2</v>
      </c>
      <c r="I2407" s="125">
        <v>10.6</v>
      </c>
      <c r="J2407" s="111">
        <v>1</v>
      </c>
      <c r="K2407" s="117">
        <f t="shared" si="205"/>
        <v>0.19291999999999998</v>
      </c>
      <c r="L2407" s="118" t="s">
        <v>233</v>
      </c>
      <c r="M2407" s="111">
        <v>1</v>
      </c>
      <c r="N2407" s="117">
        <f t="shared" si="206"/>
        <v>0.19291999999999998</v>
      </c>
      <c r="O2407" s="119">
        <f t="shared" si="207"/>
        <v>0</v>
      </c>
      <c r="P2407" s="120">
        <f t="shared" si="208"/>
        <v>0</v>
      </c>
      <c r="Q2407" s="72">
        <v>10.6</v>
      </c>
      <c r="R2407" s="77">
        <v>1</v>
      </c>
      <c r="S2407" s="77" t="s">
        <v>439</v>
      </c>
      <c r="T2407" s="213"/>
    </row>
    <row r="2408" spans="1:20" ht="15.6">
      <c r="A2408" s="110"/>
      <c r="B2408" s="110" t="s">
        <v>340</v>
      </c>
      <c r="C2408" s="111" t="s">
        <v>232</v>
      </c>
      <c r="D2408" s="112" t="s">
        <v>228</v>
      </c>
      <c r="E2408" s="113" t="s">
        <v>341</v>
      </c>
      <c r="F2408" s="114" t="s">
        <v>15</v>
      </c>
      <c r="G2408" s="115" t="s">
        <v>37</v>
      </c>
      <c r="H2408" s="116">
        <v>18.2</v>
      </c>
      <c r="I2408" s="125">
        <v>10.4</v>
      </c>
      <c r="J2408" s="111">
        <v>1</v>
      </c>
      <c r="K2408" s="117">
        <f t="shared" si="205"/>
        <v>0.18928</v>
      </c>
      <c r="L2408" s="118" t="s">
        <v>233</v>
      </c>
      <c r="M2408" s="111">
        <v>1</v>
      </c>
      <c r="N2408" s="117">
        <f t="shared" si="206"/>
        <v>0.18928</v>
      </c>
      <c r="O2408" s="119">
        <f t="shared" si="207"/>
        <v>0</v>
      </c>
      <c r="P2408" s="120">
        <f t="shared" si="208"/>
        <v>0</v>
      </c>
      <c r="Q2408" s="72">
        <v>10.4</v>
      </c>
      <c r="R2408" s="77">
        <v>1</v>
      </c>
      <c r="S2408" s="77" t="s">
        <v>439</v>
      </c>
      <c r="T2408" s="213"/>
    </row>
    <row r="2409" spans="1:20" ht="15.6">
      <c r="A2409" s="110"/>
      <c r="B2409" s="110" t="s">
        <v>340</v>
      </c>
      <c r="C2409" s="111" t="s">
        <v>232</v>
      </c>
      <c r="D2409" s="112" t="s">
        <v>228</v>
      </c>
      <c r="E2409" s="113" t="s">
        <v>341</v>
      </c>
      <c r="F2409" s="114" t="s">
        <v>15</v>
      </c>
      <c r="G2409" s="115" t="s">
        <v>37</v>
      </c>
      <c r="H2409" s="116">
        <v>18.2</v>
      </c>
      <c r="I2409" s="125">
        <v>9.5</v>
      </c>
      <c r="J2409" s="111">
        <v>2</v>
      </c>
      <c r="K2409" s="117">
        <f t="shared" si="205"/>
        <v>0.3458</v>
      </c>
      <c r="L2409" s="118" t="s">
        <v>252</v>
      </c>
      <c r="M2409" s="111">
        <v>2</v>
      </c>
      <c r="N2409" s="117">
        <f t="shared" si="206"/>
        <v>0.3458</v>
      </c>
      <c r="O2409" s="119">
        <f t="shared" si="207"/>
        <v>0</v>
      </c>
      <c r="P2409" s="120">
        <f t="shared" si="208"/>
        <v>0</v>
      </c>
      <c r="Q2409" s="111"/>
      <c r="R2409" s="32"/>
      <c r="S2409" s="213"/>
      <c r="T2409" s="213"/>
    </row>
    <row r="2410" spans="1:20" ht="15.6">
      <c r="A2410" s="110"/>
      <c r="B2410" s="110" t="s">
        <v>340</v>
      </c>
      <c r="C2410" s="111" t="s">
        <v>232</v>
      </c>
      <c r="D2410" s="112" t="s">
        <v>228</v>
      </c>
      <c r="E2410" s="113" t="s">
        <v>341</v>
      </c>
      <c r="F2410" s="114" t="s">
        <v>15</v>
      </c>
      <c r="G2410" s="115" t="s">
        <v>37</v>
      </c>
      <c r="H2410" s="116">
        <v>18.2</v>
      </c>
      <c r="I2410" s="125">
        <v>9.4</v>
      </c>
      <c r="J2410" s="111">
        <v>1</v>
      </c>
      <c r="K2410" s="117">
        <f t="shared" si="205"/>
        <v>0.17108000000000001</v>
      </c>
      <c r="L2410" s="118" t="s">
        <v>252</v>
      </c>
      <c r="M2410" s="111"/>
      <c r="N2410" s="117">
        <f t="shared" si="206"/>
        <v>0</v>
      </c>
      <c r="O2410" s="119">
        <f t="shared" si="207"/>
        <v>1</v>
      </c>
      <c r="P2410" s="120">
        <f t="shared" si="208"/>
        <v>0.17108000000000001</v>
      </c>
      <c r="Q2410" s="111"/>
      <c r="R2410" s="32"/>
      <c r="S2410" s="213"/>
      <c r="T2410" s="213"/>
    </row>
    <row r="2411" spans="1:20">
      <c r="A2411" s="32"/>
      <c r="B2411" s="32"/>
      <c r="C2411" s="32"/>
      <c r="D2411" s="32"/>
      <c r="E2411" s="32"/>
      <c r="F2411" s="32"/>
      <c r="G2411" s="32"/>
      <c r="H2411" s="32"/>
      <c r="I2411" s="32"/>
      <c r="J2411" s="129">
        <f>SUM(J2405:J2410)</f>
        <v>39</v>
      </c>
      <c r="K2411" s="124">
        <f>SUM(K2405:K2410)</f>
        <v>6.9196399999999993</v>
      </c>
      <c r="L2411" s="32"/>
      <c r="M2411" s="129">
        <f>SUM(M2405:M2410)</f>
        <v>38</v>
      </c>
      <c r="N2411" s="124">
        <f>SUM(N2405:N2410)</f>
        <v>6.7485599999999994</v>
      </c>
      <c r="O2411" s="131">
        <f>SUM(O2405:O2410)</f>
        <v>1</v>
      </c>
      <c r="P2411" s="132">
        <f>SUM(P2405:P2410)</f>
        <v>0.17108000000000001</v>
      </c>
      <c r="Q2411" s="32"/>
      <c r="R2411" s="171">
        <f>SUM(R2405:R2410)</f>
        <v>2</v>
      </c>
      <c r="S2411" s="213"/>
      <c r="T2411" s="213"/>
    </row>
    <row r="2414" spans="1:20" ht="15.6">
      <c r="B2414" s="110" t="s">
        <v>344</v>
      </c>
      <c r="C2414" s="111" t="s">
        <v>232</v>
      </c>
      <c r="D2414" s="112" t="s">
        <v>228</v>
      </c>
      <c r="E2414" s="113" t="s">
        <v>342</v>
      </c>
      <c r="F2414" s="114" t="s">
        <v>15</v>
      </c>
      <c r="G2414" s="115" t="s">
        <v>39</v>
      </c>
      <c r="H2414" s="116">
        <v>14.7</v>
      </c>
      <c r="I2414" s="125">
        <v>7.3</v>
      </c>
      <c r="J2414" s="111">
        <v>1</v>
      </c>
      <c r="K2414" s="117">
        <f>I2414*H2414*J2414/1000</f>
        <v>0.10730999999999999</v>
      </c>
      <c r="L2414" s="118"/>
      <c r="M2414" s="111">
        <v>1</v>
      </c>
      <c r="N2414" s="117">
        <f t="shared" ref="N2414:N2423" si="209">I2414*M2414*H2414/1000</f>
        <v>0.10730999999999999</v>
      </c>
      <c r="O2414" s="119">
        <f t="shared" ref="O2414:O2425" si="210">J2414-M2414</f>
        <v>0</v>
      </c>
      <c r="P2414" s="120">
        <f t="shared" ref="P2414:P2425" si="211">I2414*O2414*H2414/1000</f>
        <v>0</v>
      </c>
      <c r="Q2414" s="111"/>
      <c r="R2414" s="32"/>
      <c r="S2414" s="213"/>
    </row>
    <row r="2415" spans="1:20" ht="15.6">
      <c r="B2415" s="110" t="s">
        <v>344</v>
      </c>
      <c r="C2415" s="111" t="s">
        <v>232</v>
      </c>
      <c r="D2415" s="112" t="s">
        <v>228</v>
      </c>
      <c r="E2415" s="113" t="s">
        <v>342</v>
      </c>
      <c r="F2415" s="114" t="s">
        <v>15</v>
      </c>
      <c r="G2415" s="115" t="s">
        <v>39</v>
      </c>
      <c r="H2415" s="116">
        <v>14.7</v>
      </c>
      <c r="I2415" s="125">
        <v>7.7</v>
      </c>
      <c r="J2415" s="111">
        <f>23+13+16</f>
        <v>52</v>
      </c>
      <c r="K2415" s="117">
        <f t="shared" ref="K2415:K2425" si="212">I2415*H2415*J2415/1000</f>
        <v>5.8858800000000002</v>
      </c>
      <c r="L2415" s="118"/>
      <c r="M2415" s="111">
        <v>52</v>
      </c>
      <c r="N2415" s="117">
        <f t="shared" si="209"/>
        <v>5.8858800000000002</v>
      </c>
      <c r="O2415" s="119">
        <f t="shared" si="210"/>
        <v>0</v>
      </c>
      <c r="P2415" s="120">
        <f t="shared" si="211"/>
        <v>0</v>
      </c>
      <c r="Q2415" s="111"/>
      <c r="R2415" s="32"/>
      <c r="S2415" s="213"/>
    </row>
    <row r="2416" spans="1:20" ht="15.6">
      <c r="B2416" s="110" t="s">
        <v>344</v>
      </c>
      <c r="C2416" s="111" t="s">
        <v>232</v>
      </c>
      <c r="D2416" s="112" t="s">
        <v>228</v>
      </c>
      <c r="E2416" s="113" t="s">
        <v>342</v>
      </c>
      <c r="F2416" s="114" t="s">
        <v>15</v>
      </c>
      <c r="G2416" s="115" t="s">
        <v>39</v>
      </c>
      <c r="H2416" s="116">
        <v>14.7</v>
      </c>
      <c r="I2416" s="125">
        <v>9.6</v>
      </c>
      <c r="J2416" s="111">
        <f>23+10+7</f>
        <v>40</v>
      </c>
      <c r="K2416" s="117">
        <f t="shared" si="212"/>
        <v>5.6447999999999992</v>
      </c>
      <c r="L2416" s="118"/>
      <c r="M2416" s="111">
        <v>40</v>
      </c>
      <c r="N2416" s="117">
        <f t="shared" si="209"/>
        <v>5.6447999999999992</v>
      </c>
      <c r="O2416" s="119">
        <f t="shared" si="210"/>
        <v>0</v>
      </c>
      <c r="P2416" s="120">
        <f t="shared" si="211"/>
        <v>0</v>
      </c>
      <c r="Q2416" s="111"/>
      <c r="R2416" s="32"/>
      <c r="S2416" s="213"/>
    </row>
    <row r="2417" spans="1:19" ht="15.6">
      <c r="B2417" s="110" t="s">
        <v>344</v>
      </c>
      <c r="C2417" s="111" t="s">
        <v>232</v>
      </c>
      <c r="D2417" s="112" t="s">
        <v>228</v>
      </c>
      <c r="E2417" s="113" t="s">
        <v>342</v>
      </c>
      <c r="F2417" s="114" t="s">
        <v>15</v>
      </c>
      <c r="G2417" s="115" t="s">
        <v>39</v>
      </c>
      <c r="H2417" s="116">
        <v>14.7</v>
      </c>
      <c r="I2417" s="125">
        <v>10.3</v>
      </c>
      <c r="J2417" s="111">
        <f>15+16</f>
        <v>31</v>
      </c>
      <c r="K2417" s="117">
        <f t="shared" si="212"/>
        <v>4.6937100000000003</v>
      </c>
      <c r="L2417" s="118"/>
      <c r="M2417" s="111">
        <f>28+3</f>
        <v>31</v>
      </c>
      <c r="N2417" s="117">
        <f t="shared" si="209"/>
        <v>4.6937100000000003</v>
      </c>
      <c r="O2417" s="119">
        <f t="shared" si="210"/>
        <v>0</v>
      </c>
      <c r="P2417" s="120">
        <f t="shared" si="211"/>
        <v>0</v>
      </c>
      <c r="Q2417" s="111"/>
      <c r="R2417" s="32"/>
      <c r="S2417" s="213"/>
    </row>
    <row r="2418" spans="1:19" ht="15.6">
      <c r="B2418" s="110" t="s">
        <v>344</v>
      </c>
      <c r="C2418" s="111" t="s">
        <v>232</v>
      </c>
      <c r="D2418" s="112" t="s">
        <v>228</v>
      </c>
      <c r="E2418" s="113" t="s">
        <v>342</v>
      </c>
      <c r="F2418" s="114" t="s">
        <v>15</v>
      </c>
      <c r="G2418" s="115" t="s">
        <v>39</v>
      </c>
      <c r="H2418" s="116">
        <v>14.7</v>
      </c>
      <c r="I2418" s="125">
        <v>11</v>
      </c>
      <c r="J2418" s="111">
        <v>13</v>
      </c>
      <c r="K2418" s="117">
        <f t="shared" si="212"/>
        <v>2.1021000000000001</v>
      </c>
      <c r="L2418" s="118"/>
      <c r="M2418" s="111">
        <v>13</v>
      </c>
      <c r="N2418" s="117">
        <f t="shared" si="209"/>
        <v>2.1021000000000001</v>
      </c>
      <c r="O2418" s="119">
        <f t="shared" si="210"/>
        <v>0</v>
      </c>
      <c r="P2418" s="120">
        <f t="shared" si="211"/>
        <v>0</v>
      </c>
      <c r="Q2418" s="111"/>
      <c r="R2418" s="32"/>
      <c r="S2418" s="213"/>
    </row>
    <row r="2419" spans="1:19" ht="15.6">
      <c r="B2419" s="110" t="s">
        <v>344</v>
      </c>
      <c r="C2419" s="111" t="s">
        <v>232</v>
      </c>
      <c r="D2419" s="112" t="s">
        <v>228</v>
      </c>
      <c r="E2419" s="113" t="s">
        <v>342</v>
      </c>
      <c r="F2419" s="114" t="s">
        <v>15</v>
      </c>
      <c r="G2419" s="115" t="s">
        <v>39</v>
      </c>
      <c r="H2419" s="116">
        <v>14.7</v>
      </c>
      <c r="I2419" s="125">
        <v>11.3</v>
      </c>
      <c r="J2419" s="111">
        <f>21+20+18+2</f>
        <v>61</v>
      </c>
      <c r="K2419" s="117">
        <f t="shared" si="212"/>
        <v>10.132710000000001</v>
      </c>
      <c r="L2419" s="118"/>
      <c r="M2419" s="111">
        <f>44+8+1</f>
        <v>53</v>
      </c>
      <c r="N2419" s="117">
        <f t="shared" si="209"/>
        <v>8.8038300000000014</v>
      </c>
      <c r="O2419" s="143">
        <f t="shared" si="210"/>
        <v>8</v>
      </c>
      <c r="P2419" s="144">
        <f t="shared" si="211"/>
        <v>1.3288800000000001</v>
      </c>
      <c r="Q2419" s="72"/>
      <c r="R2419" s="72">
        <v>8</v>
      </c>
      <c r="S2419" s="77" t="s">
        <v>388</v>
      </c>
    </row>
    <row r="2420" spans="1:19" ht="15.6">
      <c r="B2420" s="110" t="s">
        <v>344</v>
      </c>
      <c r="C2420" s="111" t="s">
        <v>232</v>
      </c>
      <c r="D2420" s="112" t="s">
        <v>228</v>
      </c>
      <c r="E2420" s="113" t="s">
        <v>342</v>
      </c>
      <c r="F2420" s="114" t="s">
        <v>15</v>
      </c>
      <c r="G2420" s="115" t="s">
        <v>39</v>
      </c>
      <c r="H2420" s="116">
        <v>14.7</v>
      </c>
      <c r="I2420" s="125">
        <v>11</v>
      </c>
      <c r="J2420" s="111">
        <v>1</v>
      </c>
      <c r="K2420" s="117">
        <f t="shared" si="212"/>
        <v>0.16169999999999998</v>
      </c>
      <c r="L2420" s="118"/>
      <c r="M2420" s="111"/>
      <c r="N2420" s="117">
        <f t="shared" si="209"/>
        <v>0</v>
      </c>
      <c r="O2420" s="143">
        <f t="shared" si="210"/>
        <v>1</v>
      </c>
      <c r="P2420" s="144">
        <f t="shared" si="211"/>
        <v>0.16169999999999998</v>
      </c>
      <c r="Q2420" s="72"/>
      <c r="R2420" s="72">
        <v>1</v>
      </c>
      <c r="S2420" s="77" t="s">
        <v>388</v>
      </c>
    </row>
    <row r="2421" spans="1:19" ht="15.6">
      <c r="B2421" s="110" t="s">
        <v>344</v>
      </c>
      <c r="C2421" s="111" t="s">
        <v>232</v>
      </c>
      <c r="D2421" s="112" t="s">
        <v>228</v>
      </c>
      <c r="E2421" s="113" t="s">
        <v>342</v>
      </c>
      <c r="F2421" s="114" t="s">
        <v>15</v>
      </c>
      <c r="G2421" s="115" t="s">
        <v>39</v>
      </c>
      <c r="H2421" s="116">
        <v>14.7</v>
      </c>
      <c r="I2421" s="125">
        <v>11.7</v>
      </c>
      <c r="J2421" s="111">
        <f>4+3+18+18+13</f>
        <v>56</v>
      </c>
      <c r="K2421" s="117">
        <f t="shared" si="212"/>
        <v>9.6314399999999996</v>
      </c>
      <c r="L2421" s="118"/>
      <c r="M2421" s="111">
        <v>52</v>
      </c>
      <c r="N2421" s="117">
        <f t="shared" si="209"/>
        <v>8.9434799999999992</v>
      </c>
      <c r="O2421" s="143">
        <f t="shared" si="210"/>
        <v>4</v>
      </c>
      <c r="P2421" s="144">
        <f t="shared" si="211"/>
        <v>0.6879599999999999</v>
      </c>
      <c r="Q2421" s="72"/>
      <c r="R2421" s="72">
        <v>4</v>
      </c>
      <c r="S2421" s="77" t="s">
        <v>388</v>
      </c>
    </row>
    <row r="2422" spans="1:19" ht="15.6">
      <c r="B2422" s="110" t="s">
        <v>344</v>
      </c>
      <c r="C2422" s="111" t="s">
        <v>232</v>
      </c>
      <c r="D2422" s="112" t="s">
        <v>228</v>
      </c>
      <c r="E2422" s="113" t="s">
        <v>342</v>
      </c>
      <c r="F2422" s="114" t="s">
        <v>15</v>
      </c>
      <c r="G2422" s="115" t="s">
        <v>39</v>
      </c>
      <c r="H2422" s="116">
        <v>14.7</v>
      </c>
      <c r="I2422" s="125">
        <v>8</v>
      </c>
      <c r="J2422" s="111">
        <v>1</v>
      </c>
      <c r="K2422" s="117">
        <f t="shared" si="212"/>
        <v>0.1176</v>
      </c>
      <c r="L2422" s="118"/>
      <c r="M2422" s="111"/>
      <c r="N2422" s="117">
        <f t="shared" si="209"/>
        <v>0</v>
      </c>
      <c r="O2422" s="143">
        <f t="shared" si="210"/>
        <v>1</v>
      </c>
      <c r="P2422" s="144">
        <f t="shared" si="211"/>
        <v>0.1176</v>
      </c>
      <c r="Q2422" s="72"/>
      <c r="R2422" s="72">
        <v>1</v>
      </c>
      <c r="S2422" s="77" t="s">
        <v>388</v>
      </c>
    </row>
    <row r="2423" spans="1:19" ht="15.6">
      <c r="B2423" s="110" t="s">
        <v>344</v>
      </c>
      <c r="C2423" s="111" t="s">
        <v>232</v>
      </c>
      <c r="D2423" s="112" t="s">
        <v>228</v>
      </c>
      <c r="E2423" s="113" t="s">
        <v>342</v>
      </c>
      <c r="F2423" s="114" t="s">
        <v>15</v>
      </c>
      <c r="G2423" s="115" t="s">
        <v>39</v>
      </c>
      <c r="H2423" s="116">
        <v>14.7</v>
      </c>
      <c r="I2423" s="125">
        <v>9.4</v>
      </c>
      <c r="J2423" s="111">
        <v>1</v>
      </c>
      <c r="K2423" s="117">
        <f t="shared" si="212"/>
        <v>0.13818</v>
      </c>
      <c r="L2423" s="118"/>
      <c r="M2423" s="111"/>
      <c r="N2423" s="117">
        <f t="shared" si="209"/>
        <v>0</v>
      </c>
      <c r="O2423" s="143">
        <f t="shared" si="210"/>
        <v>1</v>
      </c>
      <c r="P2423" s="144">
        <f t="shared" si="211"/>
        <v>0.13818</v>
      </c>
      <c r="Q2423" s="72"/>
      <c r="R2423" s="72">
        <v>1</v>
      </c>
      <c r="S2423" s="77" t="s">
        <v>388</v>
      </c>
    </row>
    <row r="2424" spans="1:19" ht="15.6">
      <c r="B2424" s="110" t="s">
        <v>344</v>
      </c>
      <c r="C2424" s="111" t="s">
        <v>232</v>
      </c>
      <c r="D2424" s="112" t="s">
        <v>228</v>
      </c>
      <c r="E2424" s="113" t="s">
        <v>342</v>
      </c>
      <c r="F2424" s="114" t="s">
        <v>15</v>
      </c>
      <c r="G2424" s="115" t="s">
        <v>39</v>
      </c>
      <c r="H2424" s="116">
        <v>14.7</v>
      </c>
      <c r="I2424" s="125">
        <v>10</v>
      </c>
      <c r="J2424" s="111">
        <v>1</v>
      </c>
      <c r="K2424" s="117">
        <f t="shared" si="212"/>
        <v>0.14699999999999999</v>
      </c>
      <c r="L2424" s="118"/>
      <c r="M2424" s="111">
        <v>1</v>
      </c>
      <c r="N2424" s="117">
        <f>I2424*M2424*H2424/1000</f>
        <v>0.14699999999999999</v>
      </c>
      <c r="O2424" s="143">
        <f t="shared" si="210"/>
        <v>0</v>
      </c>
      <c r="P2424" s="144">
        <f t="shared" si="211"/>
        <v>0</v>
      </c>
      <c r="Q2424" s="72"/>
      <c r="R2424" s="72">
        <v>1</v>
      </c>
      <c r="S2424" s="77" t="s">
        <v>388</v>
      </c>
    </row>
    <row r="2425" spans="1:19" ht="15.6">
      <c r="B2425" s="110" t="s">
        <v>344</v>
      </c>
      <c r="C2425" s="111" t="s">
        <v>232</v>
      </c>
      <c r="D2425" s="112" t="s">
        <v>228</v>
      </c>
      <c r="E2425" s="113" t="s">
        <v>342</v>
      </c>
      <c r="F2425" s="114" t="s">
        <v>15</v>
      </c>
      <c r="G2425" s="115" t="s">
        <v>39</v>
      </c>
      <c r="H2425" s="116">
        <v>14.7</v>
      </c>
      <c r="I2425" s="125">
        <v>7</v>
      </c>
      <c r="J2425" s="111">
        <v>1</v>
      </c>
      <c r="K2425" s="117">
        <f t="shared" si="212"/>
        <v>0.10289999999999999</v>
      </c>
      <c r="L2425" s="118"/>
      <c r="M2425" s="111"/>
      <c r="N2425" s="117">
        <f>I2425*M2425*H2425/1000</f>
        <v>0</v>
      </c>
      <c r="O2425" s="143">
        <f t="shared" si="210"/>
        <v>1</v>
      </c>
      <c r="P2425" s="144">
        <f t="shared" si="211"/>
        <v>0.10289999999999999</v>
      </c>
      <c r="Q2425" s="72"/>
      <c r="R2425" s="72"/>
      <c r="S2425" s="77" t="s">
        <v>388</v>
      </c>
    </row>
    <row r="2426" spans="1:19">
      <c r="B2426" s="32"/>
      <c r="C2426" s="32"/>
      <c r="D2426" s="32"/>
      <c r="E2426" s="32"/>
      <c r="F2426" s="32"/>
      <c r="G2426" s="32"/>
      <c r="H2426" s="32"/>
      <c r="I2426" s="32"/>
      <c r="J2426" s="129">
        <f>SUM(J2414:J2425)</f>
        <v>259</v>
      </c>
      <c r="K2426" s="124">
        <f>SUM(K2414:K2425)</f>
        <v>38.86533</v>
      </c>
      <c r="L2426" s="32"/>
      <c r="M2426" s="129">
        <f>SUM(M2414:M2425)</f>
        <v>243</v>
      </c>
      <c r="N2426" s="124">
        <f>SUM(N2414:N2425)</f>
        <v>36.328109999999995</v>
      </c>
      <c r="O2426" s="131">
        <f>SUM(O2414:O2425)</f>
        <v>16</v>
      </c>
      <c r="P2426" s="132">
        <f>SUM(P2414:P2425)</f>
        <v>2.53722</v>
      </c>
      <c r="Q2426" s="32"/>
      <c r="R2426" s="131">
        <f>SUM(R2414:R2425)</f>
        <v>16</v>
      </c>
      <c r="S2426" s="213"/>
    </row>
    <row r="2428" spans="1:19">
      <c r="A2428" s="42" t="s">
        <v>90</v>
      </c>
      <c r="B2428" s="3"/>
      <c r="C2428" s="3">
        <v>114</v>
      </c>
      <c r="D2428" s="1"/>
      <c r="E2428" s="20" t="s">
        <v>95</v>
      </c>
      <c r="F2428" s="7" t="s">
        <v>15</v>
      </c>
      <c r="G2428" s="7" t="s">
        <v>39</v>
      </c>
      <c r="H2428" s="11">
        <v>14.66</v>
      </c>
      <c r="I2428" s="8">
        <v>6.5</v>
      </c>
      <c r="J2428" s="26">
        <v>2</v>
      </c>
      <c r="K2428" s="10">
        <f t="shared" ref="K2428" si="213">(H2428*I2428*J2428/1000)</f>
        <v>0.19058</v>
      </c>
      <c r="L2428" s="4"/>
      <c r="M2428" s="17">
        <v>2</v>
      </c>
      <c r="N2428" s="18">
        <f t="shared" ref="N2428" si="214">I2428*M2428*H2428/1000</f>
        <v>0.19058</v>
      </c>
      <c r="O2428" s="106">
        <f t="shared" ref="O2428" si="215">J2428-M2428</f>
        <v>0</v>
      </c>
      <c r="P2428" s="53">
        <f t="shared" ref="P2428" si="216">I2428*O2428*H2428/1000</f>
        <v>0</v>
      </c>
      <c r="Q2428" s="89">
        <v>6.5</v>
      </c>
      <c r="R2428" s="90">
        <v>2</v>
      </c>
      <c r="S2428" s="90" t="s">
        <v>209</v>
      </c>
    </row>
    <row r="2432" spans="1:19" ht="15.6">
      <c r="B2432" s="110" t="s">
        <v>340</v>
      </c>
      <c r="C2432" s="111" t="s">
        <v>232</v>
      </c>
      <c r="D2432" s="112" t="s">
        <v>228</v>
      </c>
      <c r="E2432" s="113" t="s">
        <v>130</v>
      </c>
      <c r="F2432" s="114" t="s">
        <v>15</v>
      </c>
      <c r="G2432" s="115" t="s">
        <v>37</v>
      </c>
      <c r="H2432" s="116">
        <v>18.2</v>
      </c>
      <c r="I2432" s="125">
        <v>11.35</v>
      </c>
      <c r="J2432" s="111">
        <f>14+14+12+15+14+9</f>
        <v>78</v>
      </c>
      <c r="K2432" s="117">
        <f>I2432*H2432*J2432/1000</f>
        <v>16.112459999999999</v>
      </c>
      <c r="L2432" s="118"/>
      <c r="M2432" s="111">
        <f>77+1</f>
        <v>78</v>
      </c>
      <c r="N2432" s="117">
        <f t="shared" ref="N2432:N2436" si="217">I2432*M2432*H2432/1000</f>
        <v>16.112459999999999</v>
      </c>
      <c r="O2432" s="119">
        <f t="shared" ref="O2432:O2436" si="218">J2432-M2432</f>
        <v>0</v>
      </c>
      <c r="P2432" s="120">
        <f t="shared" ref="P2432:P2436" si="219">I2432*O2432*H2432/1000</f>
        <v>0</v>
      </c>
      <c r="Q2432" s="111"/>
      <c r="R2432" s="32"/>
      <c r="S2432" s="213"/>
    </row>
    <row r="2433" spans="2:19" ht="15.6">
      <c r="B2433" s="110" t="s">
        <v>340</v>
      </c>
      <c r="C2433" s="111" t="s">
        <v>232</v>
      </c>
      <c r="D2433" s="112" t="s">
        <v>228</v>
      </c>
      <c r="E2433" s="113" t="s">
        <v>130</v>
      </c>
      <c r="F2433" s="114" t="s">
        <v>15</v>
      </c>
      <c r="G2433" s="115" t="s">
        <v>37</v>
      </c>
      <c r="H2433" s="116">
        <v>18.2</v>
      </c>
      <c r="I2433" s="125">
        <v>12</v>
      </c>
      <c r="J2433" s="111">
        <f>14+14+14+14+14+14+14+14+12+14+14+14+14+14+14+8</f>
        <v>216</v>
      </c>
      <c r="K2433" s="117">
        <f>I2433*H2433*J2433/1000</f>
        <v>47.174399999999991</v>
      </c>
      <c r="L2433" s="118"/>
      <c r="M2433" s="111">
        <v>216</v>
      </c>
      <c r="N2433" s="117">
        <f t="shared" si="217"/>
        <v>47.174399999999999</v>
      </c>
      <c r="O2433" s="119">
        <f t="shared" si="218"/>
        <v>0</v>
      </c>
      <c r="P2433" s="120">
        <f t="shared" si="219"/>
        <v>0</v>
      </c>
      <c r="Q2433" s="111"/>
      <c r="R2433" s="32"/>
      <c r="S2433" s="213"/>
    </row>
    <row r="2434" spans="2:19" ht="15.6">
      <c r="B2434" s="110" t="s">
        <v>340</v>
      </c>
      <c r="C2434" s="111" t="s">
        <v>232</v>
      </c>
      <c r="D2434" s="112" t="s">
        <v>228</v>
      </c>
      <c r="E2434" s="113" t="s">
        <v>130</v>
      </c>
      <c r="F2434" s="114" t="s">
        <v>15</v>
      </c>
      <c r="G2434" s="115" t="s">
        <v>37</v>
      </c>
      <c r="H2434" s="116">
        <v>18.2</v>
      </c>
      <c r="I2434" s="125">
        <v>11</v>
      </c>
      <c r="J2434" s="111">
        <v>5</v>
      </c>
      <c r="K2434" s="117">
        <f>I2434*H2434*J2434/1000</f>
        <v>1.0009999999999999</v>
      </c>
      <c r="L2434" s="118"/>
      <c r="M2434" s="111">
        <f>1+2+2</f>
        <v>5</v>
      </c>
      <c r="N2434" s="117">
        <f t="shared" si="217"/>
        <v>1.0009999999999999</v>
      </c>
      <c r="O2434" s="119">
        <f t="shared" si="218"/>
        <v>0</v>
      </c>
      <c r="P2434" s="120">
        <f t="shared" si="219"/>
        <v>0</v>
      </c>
      <c r="Q2434" s="172">
        <v>10.9</v>
      </c>
      <c r="R2434" s="93">
        <v>2</v>
      </c>
      <c r="S2434" s="170" t="s">
        <v>441</v>
      </c>
    </row>
    <row r="2435" spans="2:19" ht="15.6">
      <c r="B2435" s="110" t="s">
        <v>340</v>
      </c>
      <c r="C2435" s="111" t="s">
        <v>232</v>
      </c>
      <c r="D2435" s="112" t="s">
        <v>228</v>
      </c>
      <c r="E2435" s="113" t="s">
        <v>130</v>
      </c>
      <c r="F2435" s="114" t="s">
        <v>15</v>
      </c>
      <c r="G2435" s="115" t="s">
        <v>37</v>
      </c>
      <c r="H2435" s="116">
        <v>18.2</v>
      </c>
      <c r="I2435" s="125">
        <v>12</v>
      </c>
      <c r="J2435" s="111">
        <v>2</v>
      </c>
      <c r="K2435" s="117">
        <f>I2435*H2435*J2435/1000</f>
        <v>0.43679999999999997</v>
      </c>
      <c r="L2435" s="118" t="s">
        <v>252</v>
      </c>
      <c r="M2435" s="111">
        <v>2</v>
      </c>
      <c r="N2435" s="117">
        <f t="shared" si="217"/>
        <v>0.43679999999999997</v>
      </c>
      <c r="O2435" s="119">
        <f t="shared" si="218"/>
        <v>0</v>
      </c>
      <c r="P2435" s="120">
        <f t="shared" si="219"/>
        <v>0</v>
      </c>
      <c r="Q2435" s="111"/>
      <c r="R2435" s="32"/>
      <c r="S2435" s="213"/>
    </row>
    <row r="2436" spans="2:19" ht="15.6">
      <c r="B2436" s="110" t="s">
        <v>340</v>
      </c>
      <c r="C2436" s="111" t="s">
        <v>232</v>
      </c>
      <c r="D2436" s="112" t="s">
        <v>228</v>
      </c>
      <c r="E2436" s="113" t="s">
        <v>130</v>
      </c>
      <c r="F2436" s="114" t="s">
        <v>15</v>
      </c>
      <c r="G2436" s="115" t="s">
        <v>37</v>
      </c>
      <c r="H2436" s="116">
        <v>18.2</v>
      </c>
      <c r="I2436" s="125">
        <v>12</v>
      </c>
      <c r="J2436" s="111">
        <v>4</v>
      </c>
      <c r="K2436" s="117">
        <f>I2436*H2436*J2436/1000</f>
        <v>0.87359999999999993</v>
      </c>
      <c r="L2436" s="118" t="s">
        <v>234</v>
      </c>
      <c r="M2436" s="111">
        <v>4</v>
      </c>
      <c r="N2436" s="117">
        <f t="shared" si="217"/>
        <v>0.87359999999999993</v>
      </c>
      <c r="O2436" s="119">
        <f t="shared" si="218"/>
        <v>0</v>
      </c>
      <c r="P2436" s="120">
        <f t="shared" si="219"/>
        <v>0</v>
      </c>
      <c r="Q2436" s="111"/>
      <c r="R2436" s="32"/>
      <c r="S2436" s="213"/>
    </row>
    <row r="2437" spans="2:19">
      <c r="B2437" s="32"/>
      <c r="C2437" s="32"/>
      <c r="D2437" s="32"/>
      <c r="E2437" s="32"/>
      <c r="F2437" s="32"/>
      <c r="G2437" s="32"/>
      <c r="H2437" s="32"/>
      <c r="I2437" s="32"/>
      <c r="J2437" s="129">
        <f>SUM(J2432:J2436)</f>
        <v>305</v>
      </c>
      <c r="K2437" s="124">
        <f>SUM(K2432:K2436)</f>
        <v>65.598259999999996</v>
      </c>
      <c r="L2437" s="32"/>
      <c r="M2437" s="129">
        <f>SUM(M2432:M2436)</f>
        <v>305</v>
      </c>
      <c r="N2437" s="124">
        <f>SUM(N2432:N2436)</f>
        <v>65.598259999999996</v>
      </c>
      <c r="O2437" s="131">
        <f>SUM(O2432:O2436)</f>
        <v>0</v>
      </c>
      <c r="P2437" s="132">
        <f>SUM(P2432:P2436)</f>
        <v>0</v>
      </c>
      <c r="Q2437" s="32"/>
      <c r="R2437" s="129">
        <f>SUM(R2432:R2436)</f>
        <v>2</v>
      </c>
      <c r="S2437" s="213"/>
    </row>
    <row r="2440" spans="2:19" ht="15.6">
      <c r="B2440" s="110" t="s">
        <v>340</v>
      </c>
      <c r="C2440" s="111" t="s">
        <v>232</v>
      </c>
      <c r="D2440" s="112" t="s">
        <v>228</v>
      </c>
      <c r="E2440" s="113" t="s">
        <v>130</v>
      </c>
      <c r="F2440" s="114" t="s">
        <v>15</v>
      </c>
      <c r="G2440" s="115" t="s">
        <v>62</v>
      </c>
      <c r="H2440" s="116">
        <v>19.899999999999999</v>
      </c>
      <c r="I2440" s="125">
        <v>7.3</v>
      </c>
      <c r="J2440" s="111">
        <v>8</v>
      </c>
      <c r="K2440" s="117">
        <f t="shared" ref="K2440:K2445" si="220">I2440*H2440*J2440/1000</f>
        <v>1.1621599999999999</v>
      </c>
      <c r="L2440" s="118"/>
      <c r="M2440" s="111">
        <v>8</v>
      </c>
      <c r="N2440" s="117">
        <f t="shared" ref="N2440:N2445" si="221">I2440*M2440*H2440/1000</f>
        <v>1.1621599999999999</v>
      </c>
      <c r="O2440" s="119">
        <f t="shared" ref="O2440:O2445" si="222">J2440-M2440</f>
        <v>0</v>
      </c>
      <c r="P2440" s="120">
        <f t="shared" ref="P2440:P2445" si="223">I2440*O2440*H2440/1000</f>
        <v>0</v>
      </c>
      <c r="Q2440" s="111"/>
      <c r="R2440" s="32"/>
      <c r="S2440" s="213"/>
    </row>
    <row r="2441" spans="2:19" ht="15.6">
      <c r="B2441" s="110" t="s">
        <v>340</v>
      </c>
      <c r="C2441" s="111" t="s">
        <v>232</v>
      </c>
      <c r="D2441" s="112" t="s">
        <v>228</v>
      </c>
      <c r="E2441" s="113" t="s">
        <v>130</v>
      </c>
      <c r="F2441" s="114" t="s">
        <v>15</v>
      </c>
      <c r="G2441" s="115" t="s">
        <v>62</v>
      </c>
      <c r="H2441" s="116">
        <v>19.899999999999999</v>
      </c>
      <c r="I2441" s="125">
        <v>11</v>
      </c>
      <c r="J2441" s="111">
        <f>14+5</f>
        <v>19</v>
      </c>
      <c r="K2441" s="117">
        <f t="shared" si="220"/>
        <v>4.1590999999999996</v>
      </c>
      <c r="L2441" s="118"/>
      <c r="M2441" s="111">
        <v>19</v>
      </c>
      <c r="N2441" s="117">
        <f t="shared" si="221"/>
        <v>4.1590999999999996</v>
      </c>
      <c r="O2441" s="119">
        <f t="shared" si="222"/>
        <v>0</v>
      </c>
      <c r="P2441" s="120">
        <f t="shared" si="223"/>
        <v>0</v>
      </c>
      <c r="Q2441" s="111"/>
      <c r="R2441" s="32"/>
      <c r="S2441" s="213"/>
    </row>
    <row r="2442" spans="2:19" ht="15.6">
      <c r="B2442" s="110" t="s">
        <v>340</v>
      </c>
      <c r="C2442" s="111" t="s">
        <v>232</v>
      </c>
      <c r="D2442" s="112" t="s">
        <v>228</v>
      </c>
      <c r="E2442" s="113" t="s">
        <v>130</v>
      </c>
      <c r="F2442" s="114" t="s">
        <v>15</v>
      </c>
      <c r="G2442" s="115" t="s">
        <v>62</v>
      </c>
      <c r="H2442" s="116">
        <v>19.899999999999999</v>
      </c>
      <c r="I2442" s="125">
        <v>11</v>
      </c>
      <c r="J2442" s="111">
        <v>2</v>
      </c>
      <c r="K2442" s="117">
        <f t="shared" si="220"/>
        <v>0.43779999999999997</v>
      </c>
      <c r="L2442" s="118"/>
      <c r="M2442" s="111">
        <v>2</v>
      </c>
      <c r="N2442" s="117">
        <f t="shared" si="221"/>
        <v>0.43779999999999997</v>
      </c>
      <c r="O2442" s="119">
        <f t="shared" si="222"/>
        <v>0</v>
      </c>
      <c r="P2442" s="120">
        <f t="shared" si="223"/>
        <v>0</v>
      </c>
      <c r="Q2442" s="94">
        <v>11</v>
      </c>
      <c r="R2442" s="93">
        <v>2</v>
      </c>
      <c r="S2442" s="170" t="s">
        <v>359</v>
      </c>
    </row>
    <row r="2443" spans="2:19" ht="15.6">
      <c r="B2443" s="110" t="s">
        <v>340</v>
      </c>
      <c r="C2443" s="111" t="s">
        <v>232</v>
      </c>
      <c r="D2443" s="112" t="s">
        <v>228</v>
      </c>
      <c r="E2443" s="113" t="s">
        <v>130</v>
      </c>
      <c r="F2443" s="114" t="s">
        <v>15</v>
      </c>
      <c r="G2443" s="115" t="s">
        <v>62</v>
      </c>
      <c r="H2443" s="116">
        <v>19.899999999999999</v>
      </c>
      <c r="I2443" s="125">
        <v>10.4</v>
      </c>
      <c r="J2443" s="111">
        <v>1</v>
      </c>
      <c r="K2443" s="117">
        <f t="shared" si="220"/>
        <v>0.20695999999999998</v>
      </c>
      <c r="L2443" s="118"/>
      <c r="M2443" s="111">
        <v>1</v>
      </c>
      <c r="N2443" s="117">
        <f t="shared" si="221"/>
        <v>0.20695999999999998</v>
      </c>
      <c r="O2443" s="119">
        <f t="shared" si="222"/>
        <v>0</v>
      </c>
      <c r="P2443" s="120">
        <f t="shared" si="223"/>
        <v>0</v>
      </c>
      <c r="Q2443" s="94">
        <v>7.3</v>
      </c>
      <c r="R2443" s="93">
        <v>1</v>
      </c>
      <c r="S2443" s="170" t="s">
        <v>359</v>
      </c>
    </row>
    <row r="2444" spans="2:19" ht="15.6">
      <c r="B2444" s="110" t="s">
        <v>340</v>
      </c>
      <c r="C2444" s="111" t="s">
        <v>232</v>
      </c>
      <c r="D2444" s="112" t="s">
        <v>228</v>
      </c>
      <c r="E2444" s="113" t="s">
        <v>130</v>
      </c>
      <c r="F2444" s="114" t="s">
        <v>15</v>
      </c>
      <c r="G2444" s="115" t="s">
        <v>62</v>
      </c>
      <c r="H2444" s="116">
        <v>19.899999999999999</v>
      </c>
      <c r="I2444" s="125">
        <v>7.3</v>
      </c>
      <c r="J2444" s="111">
        <v>2</v>
      </c>
      <c r="K2444" s="117">
        <f t="shared" si="220"/>
        <v>0.29053999999999996</v>
      </c>
      <c r="L2444" s="118"/>
      <c r="M2444" s="111">
        <v>2</v>
      </c>
      <c r="N2444" s="117">
        <f t="shared" si="221"/>
        <v>0.29053999999999996</v>
      </c>
      <c r="O2444" s="119">
        <f t="shared" si="222"/>
        <v>0</v>
      </c>
      <c r="P2444" s="120">
        <f t="shared" si="223"/>
        <v>0</v>
      </c>
      <c r="Q2444" s="94">
        <v>7.3</v>
      </c>
      <c r="R2444" s="93">
        <v>2</v>
      </c>
      <c r="S2444" s="170" t="s">
        <v>359</v>
      </c>
    </row>
    <row r="2445" spans="2:19" ht="15.6">
      <c r="B2445" s="110" t="s">
        <v>340</v>
      </c>
      <c r="C2445" s="111" t="s">
        <v>232</v>
      </c>
      <c r="D2445" s="112" t="s">
        <v>228</v>
      </c>
      <c r="E2445" s="113" t="s">
        <v>130</v>
      </c>
      <c r="F2445" s="114" t="s">
        <v>15</v>
      </c>
      <c r="G2445" s="115" t="s">
        <v>62</v>
      </c>
      <c r="H2445" s="116">
        <v>19.899999999999999</v>
      </c>
      <c r="I2445" s="127">
        <v>6.9</v>
      </c>
      <c r="J2445" s="111">
        <v>1</v>
      </c>
      <c r="K2445" s="117">
        <f t="shared" si="220"/>
        <v>0.13731000000000002</v>
      </c>
      <c r="L2445" s="118"/>
      <c r="M2445" s="111"/>
      <c r="N2445" s="117">
        <f t="shared" si="221"/>
        <v>0</v>
      </c>
      <c r="O2445" s="119">
        <f t="shared" si="222"/>
        <v>1</v>
      </c>
      <c r="P2445" s="120">
        <f t="shared" si="223"/>
        <v>0.13731000000000002</v>
      </c>
      <c r="Q2445" s="111"/>
      <c r="R2445" s="32"/>
      <c r="S2445" s="213"/>
    </row>
    <row r="2446" spans="2:19">
      <c r="B2446" s="32"/>
      <c r="C2446" s="32"/>
      <c r="D2446" s="32"/>
      <c r="E2446" s="32"/>
      <c r="F2446" s="32"/>
      <c r="G2446" s="32"/>
      <c r="H2446" s="32"/>
      <c r="I2446" s="32"/>
      <c r="J2446" s="129">
        <f>SUM(J2440:J2445)</f>
        <v>33</v>
      </c>
      <c r="K2446" s="124">
        <f>SUM(K2440:K2445)</f>
        <v>6.3938699999999997</v>
      </c>
      <c r="L2446" s="129"/>
      <c r="M2446" s="129">
        <f>SUM(M2440:M2445)</f>
        <v>32</v>
      </c>
      <c r="N2446" s="124">
        <f>SUM(N2440:N2445)</f>
        <v>6.2565599999999995</v>
      </c>
      <c r="O2446" s="129">
        <f>SUM(O2440:O2445)</f>
        <v>1</v>
      </c>
      <c r="P2446" s="124">
        <f>SUM(P2440:P2445)</f>
        <v>0.13731000000000002</v>
      </c>
      <c r="Q2446" s="32"/>
      <c r="R2446" s="129">
        <f>SUM(R2440:R2445)</f>
        <v>5</v>
      </c>
      <c r="S2446" s="213"/>
    </row>
    <row r="2449" spans="2:19" ht="15.6">
      <c r="B2449" s="110" t="s">
        <v>340</v>
      </c>
      <c r="C2449" s="111" t="s">
        <v>232</v>
      </c>
      <c r="D2449" s="112" t="s">
        <v>228</v>
      </c>
      <c r="E2449" s="113" t="s">
        <v>130</v>
      </c>
      <c r="F2449" s="114" t="s">
        <v>15</v>
      </c>
      <c r="G2449" s="115" t="s">
        <v>40</v>
      </c>
      <c r="H2449" s="116">
        <v>16.5</v>
      </c>
      <c r="I2449" s="125">
        <v>7.4</v>
      </c>
      <c r="J2449" s="111">
        <f>17+17+17+17+17+17+17+25+25+25+25+25+25+25+24+21+20+20+20+20+20+20+20+20+20+20+20+20+20+20+20+20+20+15</f>
        <v>694</v>
      </c>
      <c r="K2449" s="117">
        <f t="shared" ref="K2449:K2465" si="224">I2449*H2449*J2449/1000</f>
        <v>84.737400000000008</v>
      </c>
      <c r="L2449" s="118"/>
      <c r="M2449" s="111">
        <f>480+214</f>
        <v>694</v>
      </c>
      <c r="N2449" s="117">
        <f t="shared" ref="N2449:N2465" si="225">I2449*M2449*H2449/1000</f>
        <v>84.737400000000008</v>
      </c>
      <c r="O2449" s="119">
        <f t="shared" ref="O2449:O2465" si="226">J2449-M2449</f>
        <v>0</v>
      </c>
      <c r="P2449" s="120">
        <f t="shared" ref="P2449:P2465" si="227">I2449*O2449*H2449/1000</f>
        <v>0</v>
      </c>
      <c r="Q2449" s="111"/>
      <c r="R2449" s="32"/>
      <c r="S2449" s="213"/>
    </row>
    <row r="2450" spans="2:19" ht="15.6">
      <c r="B2450" s="110" t="s">
        <v>340</v>
      </c>
      <c r="C2450" s="111" t="s">
        <v>232</v>
      </c>
      <c r="D2450" s="112" t="s">
        <v>228</v>
      </c>
      <c r="E2450" s="113" t="s">
        <v>130</v>
      </c>
      <c r="F2450" s="114" t="s">
        <v>15</v>
      </c>
      <c r="G2450" s="115" t="s">
        <v>40</v>
      </c>
      <c r="H2450" s="116">
        <v>16.5</v>
      </c>
      <c r="I2450" s="125">
        <v>11.15</v>
      </c>
      <c r="J2450" s="111">
        <f>21+17+19+17+17+18+10+17+17+17+17+17+17+14</f>
        <v>235</v>
      </c>
      <c r="K2450" s="117">
        <f t="shared" si="224"/>
        <v>43.234124999999999</v>
      </c>
      <c r="L2450" s="118"/>
      <c r="M2450" s="111">
        <v>235</v>
      </c>
      <c r="N2450" s="117">
        <f t="shared" si="225"/>
        <v>43.234124999999999</v>
      </c>
      <c r="O2450" s="119">
        <f t="shared" si="226"/>
        <v>0</v>
      </c>
      <c r="P2450" s="120">
        <f t="shared" si="227"/>
        <v>0</v>
      </c>
      <c r="Q2450" s="111"/>
      <c r="R2450" s="32"/>
      <c r="S2450" s="213"/>
    </row>
    <row r="2451" spans="2:19" ht="15.6">
      <c r="B2451" s="110" t="s">
        <v>340</v>
      </c>
      <c r="C2451" s="111" t="s">
        <v>232</v>
      </c>
      <c r="D2451" s="112" t="s">
        <v>228</v>
      </c>
      <c r="E2451" s="113" t="s">
        <v>130</v>
      </c>
      <c r="F2451" s="114" t="s">
        <v>15</v>
      </c>
      <c r="G2451" s="115" t="s">
        <v>40</v>
      </c>
      <c r="H2451" s="116">
        <v>16.5</v>
      </c>
      <c r="I2451" s="125">
        <v>7.1</v>
      </c>
      <c r="J2451" s="111">
        <v>8</v>
      </c>
      <c r="K2451" s="117">
        <f t="shared" si="224"/>
        <v>0.93719999999999992</v>
      </c>
      <c r="L2451" s="118"/>
      <c r="M2451" s="111">
        <v>8</v>
      </c>
      <c r="N2451" s="117">
        <f t="shared" si="225"/>
        <v>0.93719999999999992</v>
      </c>
      <c r="O2451" s="119">
        <f t="shared" si="226"/>
        <v>0</v>
      </c>
      <c r="P2451" s="120">
        <f t="shared" si="227"/>
        <v>0</v>
      </c>
      <c r="Q2451" s="111"/>
      <c r="R2451" s="32"/>
      <c r="S2451" s="213"/>
    </row>
    <row r="2452" spans="2:19" ht="15.6">
      <c r="B2452" s="110" t="s">
        <v>340</v>
      </c>
      <c r="C2452" s="111" t="s">
        <v>232</v>
      </c>
      <c r="D2452" s="112" t="s">
        <v>228</v>
      </c>
      <c r="E2452" s="113" t="s">
        <v>130</v>
      </c>
      <c r="F2452" s="114" t="s">
        <v>15</v>
      </c>
      <c r="G2452" s="115" t="s">
        <v>40</v>
      </c>
      <c r="H2452" s="116">
        <v>16.5</v>
      </c>
      <c r="I2452" s="125">
        <v>6.8</v>
      </c>
      <c r="J2452" s="111">
        <v>4</v>
      </c>
      <c r="K2452" s="117">
        <f t="shared" si="224"/>
        <v>0.44880000000000003</v>
      </c>
      <c r="L2452" s="118"/>
      <c r="M2452" s="111"/>
      <c r="N2452" s="117">
        <f t="shared" si="225"/>
        <v>0</v>
      </c>
      <c r="O2452" s="119">
        <f t="shared" si="226"/>
        <v>4</v>
      </c>
      <c r="P2452" s="120">
        <f t="shared" si="227"/>
        <v>0.44880000000000003</v>
      </c>
      <c r="Q2452" s="111"/>
      <c r="R2452" s="32"/>
      <c r="S2452" s="213"/>
    </row>
    <row r="2453" spans="2:19" ht="15.6">
      <c r="B2453" s="110" t="s">
        <v>340</v>
      </c>
      <c r="C2453" s="111" t="s">
        <v>232</v>
      </c>
      <c r="D2453" s="112" t="s">
        <v>228</v>
      </c>
      <c r="E2453" s="113" t="s">
        <v>130</v>
      </c>
      <c r="F2453" s="114" t="s">
        <v>15</v>
      </c>
      <c r="G2453" s="115" t="s">
        <v>40</v>
      </c>
      <c r="H2453" s="116">
        <v>16.5</v>
      </c>
      <c r="I2453" s="125">
        <v>6.5</v>
      </c>
      <c r="J2453" s="111">
        <v>1</v>
      </c>
      <c r="K2453" s="117">
        <f t="shared" si="224"/>
        <v>0.10725</v>
      </c>
      <c r="L2453" s="118"/>
      <c r="M2453" s="111"/>
      <c r="N2453" s="117">
        <f t="shared" si="225"/>
        <v>0</v>
      </c>
      <c r="O2453" s="119">
        <f t="shared" si="226"/>
        <v>1</v>
      </c>
      <c r="P2453" s="120">
        <f t="shared" si="227"/>
        <v>0.10725</v>
      </c>
      <c r="Q2453" s="111"/>
      <c r="R2453" s="32"/>
      <c r="S2453" s="213"/>
    </row>
    <row r="2454" spans="2:19" ht="15.6">
      <c r="B2454" s="110" t="s">
        <v>340</v>
      </c>
      <c r="C2454" s="111" t="s">
        <v>232</v>
      </c>
      <c r="D2454" s="112" t="s">
        <v>228</v>
      </c>
      <c r="E2454" s="113" t="s">
        <v>130</v>
      </c>
      <c r="F2454" s="114" t="s">
        <v>15</v>
      </c>
      <c r="G2454" s="115" t="s">
        <v>40</v>
      </c>
      <c r="H2454" s="116">
        <v>16.5</v>
      </c>
      <c r="I2454" s="125">
        <v>11</v>
      </c>
      <c r="J2454" s="111">
        <v>1</v>
      </c>
      <c r="K2454" s="117">
        <f t="shared" si="224"/>
        <v>0.18149999999999999</v>
      </c>
      <c r="L2454" s="118"/>
      <c r="M2454" s="111">
        <v>1</v>
      </c>
      <c r="N2454" s="117">
        <f t="shared" si="225"/>
        <v>0.18149999999999999</v>
      </c>
      <c r="O2454" s="119">
        <f t="shared" si="226"/>
        <v>0</v>
      </c>
      <c r="P2454" s="120">
        <f t="shared" si="227"/>
        <v>0</v>
      </c>
      <c r="Q2454" s="172">
        <v>10.9</v>
      </c>
      <c r="R2454" s="93">
        <v>1</v>
      </c>
      <c r="S2454" s="170" t="s">
        <v>442</v>
      </c>
    </row>
    <row r="2455" spans="2:19" ht="15.6">
      <c r="B2455" s="110" t="s">
        <v>340</v>
      </c>
      <c r="C2455" s="111" t="s">
        <v>232</v>
      </c>
      <c r="D2455" s="112" t="s">
        <v>228</v>
      </c>
      <c r="E2455" s="113" t="s">
        <v>130</v>
      </c>
      <c r="F2455" s="114" t="s">
        <v>15</v>
      </c>
      <c r="G2455" s="115" t="s">
        <v>40</v>
      </c>
      <c r="H2455" s="116">
        <v>16.5</v>
      </c>
      <c r="I2455" s="125">
        <v>10</v>
      </c>
      <c r="J2455" s="111">
        <v>1</v>
      </c>
      <c r="K2455" s="117">
        <f t="shared" si="224"/>
        <v>0.16500000000000001</v>
      </c>
      <c r="L2455" s="118"/>
      <c r="M2455" s="111">
        <v>1</v>
      </c>
      <c r="N2455" s="117">
        <f t="shared" si="225"/>
        <v>0.16500000000000001</v>
      </c>
      <c r="O2455" s="119">
        <f t="shared" si="226"/>
        <v>0</v>
      </c>
      <c r="P2455" s="120">
        <f t="shared" si="227"/>
        <v>0</v>
      </c>
      <c r="Q2455" s="172">
        <v>10.1</v>
      </c>
      <c r="R2455" s="93">
        <v>1</v>
      </c>
      <c r="S2455" s="170" t="s">
        <v>442</v>
      </c>
    </row>
    <row r="2456" spans="2:19" ht="15.6">
      <c r="B2456" s="110" t="s">
        <v>340</v>
      </c>
      <c r="C2456" s="111" t="s">
        <v>232</v>
      </c>
      <c r="D2456" s="112" t="s">
        <v>228</v>
      </c>
      <c r="E2456" s="113" t="s">
        <v>130</v>
      </c>
      <c r="F2456" s="114" t="s">
        <v>15</v>
      </c>
      <c r="G2456" s="115" t="s">
        <v>40</v>
      </c>
      <c r="H2456" s="116">
        <v>16.5</v>
      </c>
      <c r="I2456" s="125">
        <v>7.2</v>
      </c>
      <c r="J2456" s="111">
        <v>3</v>
      </c>
      <c r="K2456" s="117">
        <f t="shared" si="224"/>
        <v>0.35639999999999999</v>
      </c>
      <c r="L2456" s="118"/>
      <c r="M2456" s="111">
        <v>1</v>
      </c>
      <c r="N2456" s="117">
        <f t="shared" si="225"/>
        <v>0.1188</v>
      </c>
      <c r="O2456" s="119">
        <f t="shared" si="226"/>
        <v>2</v>
      </c>
      <c r="P2456" s="120">
        <f t="shared" si="227"/>
        <v>0.23760000000000001</v>
      </c>
      <c r="Q2456" s="94">
        <v>7.2</v>
      </c>
      <c r="R2456" s="93">
        <v>1</v>
      </c>
      <c r="S2456" s="170" t="s">
        <v>442</v>
      </c>
    </row>
    <row r="2457" spans="2:19" ht="15.6">
      <c r="B2457" s="110" t="s">
        <v>340</v>
      </c>
      <c r="C2457" s="111" t="s">
        <v>232</v>
      </c>
      <c r="D2457" s="112" t="s">
        <v>228</v>
      </c>
      <c r="E2457" s="113" t="s">
        <v>130</v>
      </c>
      <c r="F2457" s="114" t="s">
        <v>15</v>
      </c>
      <c r="G2457" s="115" t="s">
        <v>40</v>
      </c>
      <c r="H2457" s="116">
        <v>16.5</v>
      </c>
      <c r="I2457" s="125">
        <v>10.199999999999999</v>
      </c>
      <c r="J2457" s="111">
        <v>1</v>
      </c>
      <c r="K2457" s="117">
        <f t="shared" si="224"/>
        <v>0.16829999999999998</v>
      </c>
      <c r="L2457" s="118"/>
      <c r="M2457" s="111">
        <v>1</v>
      </c>
      <c r="N2457" s="117">
        <f t="shared" si="225"/>
        <v>0.16829999999999998</v>
      </c>
      <c r="O2457" s="119">
        <f t="shared" si="226"/>
        <v>0</v>
      </c>
      <c r="P2457" s="120">
        <f t="shared" si="227"/>
        <v>0</v>
      </c>
      <c r="Q2457" s="94">
        <v>10.1</v>
      </c>
      <c r="R2457" s="93">
        <v>1</v>
      </c>
      <c r="S2457" s="170" t="s">
        <v>442</v>
      </c>
    </row>
    <row r="2458" spans="2:19" ht="15.6">
      <c r="B2458" s="110" t="s">
        <v>340</v>
      </c>
      <c r="C2458" s="111" t="s">
        <v>232</v>
      </c>
      <c r="D2458" s="112" t="s">
        <v>228</v>
      </c>
      <c r="E2458" s="113" t="s">
        <v>130</v>
      </c>
      <c r="F2458" s="114" t="s">
        <v>15</v>
      </c>
      <c r="G2458" s="115" t="s">
        <v>40</v>
      </c>
      <c r="H2458" s="116">
        <v>16.5</v>
      </c>
      <c r="I2458" s="125">
        <v>11</v>
      </c>
      <c r="J2458" s="111">
        <v>1</v>
      </c>
      <c r="K2458" s="117">
        <f t="shared" si="224"/>
        <v>0.18149999999999999</v>
      </c>
      <c r="L2458" s="118"/>
      <c r="M2458" s="111">
        <v>1</v>
      </c>
      <c r="N2458" s="117">
        <f t="shared" si="225"/>
        <v>0.18149999999999999</v>
      </c>
      <c r="O2458" s="119">
        <f t="shared" si="226"/>
        <v>0</v>
      </c>
      <c r="P2458" s="120">
        <f t="shared" si="227"/>
        <v>0</v>
      </c>
      <c r="Q2458" s="94">
        <v>10.9</v>
      </c>
      <c r="R2458" s="93">
        <v>1</v>
      </c>
      <c r="S2458" s="170" t="s">
        <v>442</v>
      </c>
    </row>
    <row r="2459" spans="2:19" ht="15.6">
      <c r="B2459" s="110" t="s">
        <v>340</v>
      </c>
      <c r="C2459" s="111" t="s">
        <v>232</v>
      </c>
      <c r="D2459" s="112" t="s">
        <v>228</v>
      </c>
      <c r="E2459" s="113" t="s">
        <v>130</v>
      </c>
      <c r="F2459" s="114" t="s">
        <v>15</v>
      </c>
      <c r="G2459" s="115" t="s">
        <v>40</v>
      </c>
      <c r="H2459" s="116">
        <v>16.5</v>
      </c>
      <c r="I2459" s="125">
        <v>11.3</v>
      </c>
      <c r="J2459" s="111">
        <v>1</v>
      </c>
      <c r="K2459" s="117">
        <f t="shared" si="224"/>
        <v>0.18645</v>
      </c>
      <c r="L2459" s="118"/>
      <c r="M2459" s="111">
        <v>1</v>
      </c>
      <c r="N2459" s="117">
        <f t="shared" si="225"/>
        <v>0.18645</v>
      </c>
      <c r="O2459" s="119">
        <f t="shared" si="226"/>
        <v>0</v>
      </c>
      <c r="P2459" s="120">
        <f t="shared" si="227"/>
        <v>0</v>
      </c>
      <c r="Q2459" s="94">
        <v>11.3</v>
      </c>
      <c r="R2459" s="93">
        <v>1</v>
      </c>
      <c r="S2459" s="170" t="s">
        <v>442</v>
      </c>
    </row>
    <row r="2460" spans="2:19" ht="15.6">
      <c r="B2460" s="110" t="s">
        <v>340</v>
      </c>
      <c r="C2460" s="111" t="s">
        <v>232</v>
      </c>
      <c r="D2460" s="112" t="s">
        <v>228</v>
      </c>
      <c r="E2460" s="113" t="s">
        <v>130</v>
      </c>
      <c r="F2460" s="114" t="s">
        <v>15</v>
      </c>
      <c r="G2460" s="115" t="s">
        <v>40</v>
      </c>
      <c r="H2460" s="116">
        <v>16.5</v>
      </c>
      <c r="I2460" s="125">
        <v>11</v>
      </c>
      <c r="J2460" s="111">
        <v>1</v>
      </c>
      <c r="K2460" s="117">
        <f t="shared" si="224"/>
        <v>0.18149999999999999</v>
      </c>
      <c r="L2460" s="118"/>
      <c r="M2460" s="111">
        <v>1</v>
      </c>
      <c r="N2460" s="117">
        <f t="shared" si="225"/>
        <v>0.18149999999999999</v>
      </c>
      <c r="O2460" s="119">
        <f t="shared" si="226"/>
        <v>0</v>
      </c>
      <c r="P2460" s="120">
        <f t="shared" si="227"/>
        <v>0</v>
      </c>
      <c r="Q2460" s="94">
        <v>10.9</v>
      </c>
      <c r="R2460" s="93">
        <v>1</v>
      </c>
      <c r="S2460" s="170" t="s">
        <v>442</v>
      </c>
    </row>
    <row r="2461" spans="2:19" ht="15.6">
      <c r="B2461" s="110" t="s">
        <v>340</v>
      </c>
      <c r="C2461" s="111" t="s">
        <v>232</v>
      </c>
      <c r="D2461" s="112" t="s">
        <v>228</v>
      </c>
      <c r="E2461" s="113" t="s">
        <v>130</v>
      </c>
      <c r="F2461" s="114" t="s">
        <v>15</v>
      </c>
      <c r="G2461" s="115" t="s">
        <v>40</v>
      </c>
      <c r="H2461" s="116">
        <v>16.5</v>
      </c>
      <c r="I2461" s="125">
        <v>7.4</v>
      </c>
      <c r="J2461" s="111">
        <v>1</v>
      </c>
      <c r="K2461" s="117">
        <f t="shared" si="224"/>
        <v>0.12210000000000001</v>
      </c>
      <c r="L2461" s="118"/>
      <c r="M2461" s="111">
        <v>1</v>
      </c>
      <c r="N2461" s="117">
        <f t="shared" si="225"/>
        <v>0.12210000000000001</v>
      </c>
      <c r="O2461" s="119">
        <f t="shared" si="226"/>
        <v>0</v>
      </c>
      <c r="P2461" s="120">
        <f t="shared" si="227"/>
        <v>0</v>
      </c>
      <c r="Q2461" s="111"/>
      <c r="R2461" s="32"/>
      <c r="S2461" s="213"/>
    </row>
    <row r="2462" spans="2:19" ht="15.6">
      <c r="B2462" s="110" t="s">
        <v>340</v>
      </c>
      <c r="C2462" s="111" t="s">
        <v>232</v>
      </c>
      <c r="D2462" s="112" t="s">
        <v>228</v>
      </c>
      <c r="E2462" s="113" t="s">
        <v>130</v>
      </c>
      <c r="F2462" s="114" t="s">
        <v>15</v>
      </c>
      <c r="G2462" s="115" t="s">
        <v>40</v>
      </c>
      <c r="H2462" s="116">
        <v>16.5</v>
      </c>
      <c r="I2462" s="125">
        <v>11.2</v>
      </c>
      <c r="J2462" s="111">
        <v>4</v>
      </c>
      <c r="K2462" s="117">
        <f t="shared" si="224"/>
        <v>0.73919999999999997</v>
      </c>
      <c r="L2462" s="118"/>
      <c r="M2462" s="111">
        <v>4</v>
      </c>
      <c r="N2462" s="117">
        <f t="shared" si="225"/>
        <v>0.73919999999999997</v>
      </c>
      <c r="O2462" s="119">
        <f t="shared" si="226"/>
        <v>0</v>
      </c>
      <c r="P2462" s="120">
        <f t="shared" si="227"/>
        <v>0</v>
      </c>
      <c r="Q2462" s="111"/>
      <c r="R2462" s="32"/>
      <c r="S2462" s="213"/>
    </row>
    <row r="2463" spans="2:19" ht="15.6">
      <c r="B2463" s="110" t="s">
        <v>340</v>
      </c>
      <c r="C2463" s="111" t="s">
        <v>232</v>
      </c>
      <c r="D2463" s="112" t="s">
        <v>228</v>
      </c>
      <c r="E2463" s="113" t="s">
        <v>130</v>
      </c>
      <c r="F2463" s="114" t="s">
        <v>15</v>
      </c>
      <c r="G2463" s="115" t="s">
        <v>40</v>
      </c>
      <c r="H2463" s="116">
        <v>16.5</v>
      </c>
      <c r="I2463" s="125">
        <v>7.1</v>
      </c>
      <c r="J2463" s="111">
        <v>8</v>
      </c>
      <c r="K2463" s="117">
        <f t="shared" si="224"/>
        <v>0.93719999999999992</v>
      </c>
      <c r="L2463" s="118"/>
      <c r="M2463" s="111"/>
      <c r="N2463" s="117">
        <f t="shared" si="225"/>
        <v>0</v>
      </c>
      <c r="O2463" s="119">
        <f t="shared" si="226"/>
        <v>8</v>
      </c>
      <c r="P2463" s="120">
        <f t="shared" si="227"/>
        <v>0.93719999999999992</v>
      </c>
      <c r="Q2463" s="111"/>
      <c r="R2463" s="32"/>
      <c r="S2463" s="213"/>
    </row>
    <row r="2464" spans="2:19" ht="15.6">
      <c r="B2464" s="110" t="s">
        <v>340</v>
      </c>
      <c r="C2464" s="111" t="s">
        <v>232</v>
      </c>
      <c r="D2464" s="112" t="s">
        <v>228</v>
      </c>
      <c r="E2464" s="113" t="s">
        <v>130</v>
      </c>
      <c r="F2464" s="114" t="s">
        <v>15</v>
      </c>
      <c r="G2464" s="115" t="s">
        <v>40</v>
      </c>
      <c r="H2464" s="116">
        <v>16.5</v>
      </c>
      <c r="I2464" s="125">
        <v>6.9</v>
      </c>
      <c r="J2464" s="111">
        <v>3</v>
      </c>
      <c r="K2464" s="117">
        <f t="shared" si="224"/>
        <v>0.34155000000000002</v>
      </c>
      <c r="L2464" s="118"/>
      <c r="M2464" s="111"/>
      <c r="N2464" s="117">
        <f t="shared" si="225"/>
        <v>0</v>
      </c>
      <c r="O2464" s="119">
        <f t="shared" si="226"/>
        <v>3</v>
      </c>
      <c r="P2464" s="120">
        <f t="shared" si="227"/>
        <v>0.34155000000000008</v>
      </c>
      <c r="Q2464" s="111"/>
      <c r="R2464" s="32"/>
      <c r="S2464" s="213"/>
    </row>
    <row r="2465" spans="2:21" ht="15.6">
      <c r="B2465" s="110" t="s">
        <v>340</v>
      </c>
      <c r="C2465" s="111" t="s">
        <v>232</v>
      </c>
      <c r="D2465" s="112" t="s">
        <v>228</v>
      </c>
      <c r="E2465" s="113" t="s">
        <v>130</v>
      </c>
      <c r="F2465" s="114" t="s">
        <v>15</v>
      </c>
      <c r="G2465" s="115" t="s">
        <v>40</v>
      </c>
      <c r="H2465" s="116">
        <v>16.5</v>
      </c>
      <c r="I2465" s="125">
        <v>6.7</v>
      </c>
      <c r="J2465" s="111">
        <v>1</v>
      </c>
      <c r="K2465" s="117">
        <f t="shared" si="224"/>
        <v>0.11055</v>
      </c>
      <c r="L2465" s="118"/>
      <c r="M2465" s="111"/>
      <c r="N2465" s="117">
        <f t="shared" si="225"/>
        <v>0</v>
      </c>
      <c r="O2465" s="119">
        <f t="shared" si="226"/>
        <v>1</v>
      </c>
      <c r="P2465" s="120">
        <f t="shared" si="227"/>
        <v>0.11055</v>
      </c>
      <c r="Q2465" s="111"/>
      <c r="R2465" s="32"/>
      <c r="S2465" s="213"/>
    </row>
    <row r="2466" spans="2:21">
      <c r="B2466" s="32"/>
      <c r="C2466" s="32"/>
      <c r="D2466" s="32"/>
      <c r="E2466" s="32"/>
      <c r="F2466" s="32"/>
      <c r="G2466" s="32"/>
      <c r="H2466" s="32"/>
      <c r="I2466" s="32"/>
      <c r="J2466" s="129">
        <f>SUM(J2449:J2465)</f>
        <v>968</v>
      </c>
      <c r="K2466" s="124">
        <f>SUM(K2449:K2465)</f>
        <v>133.13602499999999</v>
      </c>
      <c r="L2466" s="32"/>
      <c r="M2466" s="129">
        <f>SUM(M2449:M2465)</f>
        <v>949</v>
      </c>
      <c r="N2466" s="124">
        <f>SUM(N2449:N2465)</f>
        <v>130.95307499999998</v>
      </c>
      <c r="O2466" s="131">
        <f>SUM(O2449:O2465)</f>
        <v>19</v>
      </c>
      <c r="P2466" s="124">
        <f>SUM(P2449:P2465)</f>
        <v>2.1829499999999999</v>
      </c>
      <c r="Q2466" s="32"/>
      <c r="R2466" s="131">
        <f>SUM(R2449:R2465)</f>
        <v>7</v>
      </c>
      <c r="S2466" s="213"/>
    </row>
    <row r="2468" spans="2:21" ht="15.6">
      <c r="B2468" s="110" t="s">
        <v>344</v>
      </c>
      <c r="C2468" s="111" t="s">
        <v>232</v>
      </c>
      <c r="D2468" s="112" t="s">
        <v>228</v>
      </c>
      <c r="E2468" s="113" t="s">
        <v>17</v>
      </c>
      <c r="F2468" s="114" t="s">
        <v>15</v>
      </c>
      <c r="G2468" s="115" t="s">
        <v>40</v>
      </c>
      <c r="H2468" s="116">
        <v>16.5</v>
      </c>
      <c r="I2468" s="125">
        <v>8.8000000000000007</v>
      </c>
      <c r="J2468" s="111">
        <v>21</v>
      </c>
      <c r="K2468" s="117">
        <f t="shared" ref="K2468:K2470" si="228">I2468*H2468*J2468/1000</f>
        <v>3.0492000000000004</v>
      </c>
      <c r="L2468" s="118"/>
      <c r="M2468" s="111">
        <v>21</v>
      </c>
      <c r="N2468" s="117">
        <f t="shared" ref="N2468:N2470" si="229">I2468*M2468*H2468/1000</f>
        <v>3.0492000000000004</v>
      </c>
      <c r="O2468" s="119">
        <f t="shared" ref="O2468" si="230">J2468-M2468</f>
        <v>0</v>
      </c>
      <c r="P2468" s="120">
        <f>I2468*O2468*H2468/1000</f>
        <v>0</v>
      </c>
      <c r="Q2468" s="111"/>
      <c r="R2468" s="32"/>
      <c r="S2468" s="213"/>
    </row>
    <row r="2469" spans="2:21" ht="15.6">
      <c r="B2469" s="110" t="s">
        <v>344</v>
      </c>
      <c r="C2469" s="111" t="s">
        <v>232</v>
      </c>
      <c r="D2469" s="112" t="s">
        <v>228</v>
      </c>
      <c r="E2469" s="113" t="s">
        <v>17</v>
      </c>
      <c r="F2469" s="114" t="s">
        <v>15</v>
      </c>
      <c r="G2469" s="115" t="s">
        <v>40</v>
      </c>
      <c r="H2469" s="116">
        <v>16.5</v>
      </c>
      <c r="I2469" s="125">
        <v>7.6</v>
      </c>
      <c r="J2469" s="111">
        <v>20</v>
      </c>
      <c r="K2469" s="117">
        <f t="shared" si="228"/>
        <v>2.508</v>
      </c>
      <c r="L2469" s="118"/>
      <c r="M2469" s="111">
        <f>18+2</f>
        <v>20</v>
      </c>
      <c r="N2469" s="117">
        <f t="shared" si="229"/>
        <v>2.508</v>
      </c>
      <c r="O2469" s="119">
        <f>J2469-M2469</f>
        <v>0</v>
      </c>
      <c r="P2469" s="120">
        <f>I2469*O2469*H2469/1000</f>
        <v>0</v>
      </c>
      <c r="Q2469" s="93">
        <v>7.4</v>
      </c>
      <c r="R2469" s="93">
        <v>2</v>
      </c>
      <c r="S2469" s="170" t="s">
        <v>359</v>
      </c>
    </row>
    <row r="2470" spans="2:21" ht="15.6">
      <c r="B2470" s="110" t="s">
        <v>344</v>
      </c>
      <c r="C2470" s="111" t="s">
        <v>232</v>
      </c>
      <c r="D2470" s="112" t="s">
        <v>228</v>
      </c>
      <c r="E2470" s="113" t="s">
        <v>17</v>
      </c>
      <c r="F2470" s="114" t="s">
        <v>15</v>
      </c>
      <c r="G2470" s="115" t="s">
        <v>40</v>
      </c>
      <c r="H2470" s="116">
        <v>16.5</v>
      </c>
      <c r="I2470" s="125">
        <v>8.8000000000000007</v>
      </c>
      <c r="J2470" s="111">
        <v>3</v>
      </c>
      <c r="K2470" s="117">
        <f t="shared" si="228"/>
        <v>0.43560000000000004</v>
      </c>
      <c r="L2470" s="118"/>
      <c r="M2470" s="111">
        <v>3</v>
      </c>
      <c r="N2470" s="117">
        <f t="shared" si="229"/>
        <v>0.43560000000000004</v>
      </c>
      <c r="O2470" s="119">
        <f>J2470-M2470</f>
        <v>0</v>
      </c>
      <c r="P2470" s="120">
        <f>I2470*O2470*H2470/1000</f>
        <v>0</v>
      </c>
      <c r="Q2470" s="94"/>
      <c r="R2470" s="93"/>
      <c r="S2470" s="93"/>
    </row>
    <row r="2471" spans="2:21">
      <c r="B2471" s="32"/>
      <c r="C2471" s="32"/>
      <c r="D2471" s="32"/>
      <c r="E2471" s="32"/>
      <c r="F2471" s="32"/>
      <c r="G2471" s="32"/>
      <c r="H2471" s="32"/>
      <c r="I2471" s="32"/>
      <c r="J2471" s="129">
        <f>SUM(J2468:J2470)</f>
        <v>44</v>
      </c>
      <c r="K2471" s="132">
        <f>SUM(K2468:K2470)</f>
        <v>5.9927999999999999</v>
      </c>
      <c r="L2471" s="32"/>
      <c r="M2471" s="129">
        <f>SUM(M2468:M2470)</f>
        <v>44</v>
      </c>
      <c r="N2471" s="132">
        <f>SUM(N2468:N2470)</f>
        <v>5.9927999999999999</v>
      </c>
      <c r="O2471" s="131">
        <f>SUM(O2468:O2470)</f>
        <v>0</v>
      </c>
      <c r="P2471" s="132">
        <f>SUM(P2468:P2470)</f>
        <v>0</v>
      </c>
      <c r="Q2471" s="32"/>
      <c r="R2471" s="131">
        <f>SUM(R2468:R2470)</f>
        <v>2</v>
      </c>
      <c r="S2471" s="213"/>
    </row>
    <row r="2473" spans="2:21" ht="15.6">
      <c r="B2473" s="110" t="s">
        <v>344</v>
      </c>
      <c r="C2473" s="111" t="s">
        <v>232</v>
      </c>
      <c r="D2473" s="112" t="s">
        <v>228</v>
      </c>
      <c r="E2473" s="113" t="s">
        <v>130</v>
      </c>
      <c r="F2473" s="114" t="s">
        <v>15</v>
      </c>
      <c r="G2473" s="115" t="s">
        <v>39</v>
      </c>
      <c r="H2473" s="116">
        <v>14.7</v>
      </c>
      <c r="I2473" s="125">
        <v>12</v>
      </c>
      <c r="J2473" s="111">
        <v>9</v>
      </c>
      <c r="K2473" s="117">
        <f>I2473*H2473*J2473/1000</f>
        <v>1.5875999999999999</v>
      </c>
      <c r="L2473" s="118"/>
      <c r="M2473" s="111">
        <v>9</v>
      </c>
      <c r="N2473" s="117">
        <f t="shared" ref="N2473:N2482" si="231">I2473*M2473*H2473/1000</f>
        <v>1.5875999999999999</v>
      </c>
      <c r="O2473" s="119">
        <f t="shared" ref="O2473:O2484" si="232">J2473-M2473</f>
        <v>0</v>
      </c>
      <c r="P2473" s="120">
        <f t="shared" ref="P2473:P2482" si="233">I2473*O2473*H2473/1000</f>
        <v>0</v>
      </c>
      <c r="Q2473" s="111"/>
      <c r="R2473" s="32"/>
      <c r="S2473" s="213"/>
      <c r="T2473" s="213"/>
      <c r="U2473" s="213"/>
    </row>
    <row r="2474" spans="2:21" ht="15.6">
      <c r="B2474" s="110" t="s">
        <v>344</v>
      </c>
      <c r="C2474" s="111" t="s">
        <v>232</v>
      </c>
      <c r="D2474" s="112" t="s">
        <v>228</v>
      </c>
      <c r="E2474" s="113" t="s">
        <v>130</v>
      </c>
      <c r="F2474" s="114" t="s">
        <v>15</v>
      </c>
      <c r="G2474" s="115" t="s">
        <v>39</v>
      </c>
      <c r="H2474" s="116">
        <v>14.7</v>
      </c>
      <c r="I2474" s="125">
        <v>8.6</v>
      </c>
      <c r="J2474" s="111">
        <f>21+12</f>
        <v>33</v>
      </c>
      <c r="K2474" s="117">
        <f t="shared" ref="K2474:K2484" si="234">I2474*H2474*J2474/1000</f>
        <v>4.1718599999999997</v>
      </c>
      <c r="L2474" s="118"/>
      <c r="M2474" s="111">
        <v>33</v>
      </c>
      <c r="N2474" s="117">
        <f t="shared" si="231"/>
        <v>4.1718599999999997</v>
      </c>
      <c r="O2474" s="119">
        <f t="shared" si="232"/>
        <v>0</v>
      </c>
      <c r="P2474" s="120">
        <f t="shared" si="233"/>
        <v>0</v>
      </c>
      <c r="Q2474" s="111"/>
      <c r="R2474" s="32"/>
      <c r="S2474" s="213"/>
      <c r="T2474" s="213"/>
      <c r="U2474" s="213"/>
    </row>
    <row r="2475" spans="2:21" ht="15.6">
      <c r="B2475" s="110" t="s">
        <v>344</v>
      </c>
      <c r="C2475" s="111" t="s">
        <v>232</v>
      </c>
      <c r="D2475" s="112" t="s">
        <v>228</v>
      </c>
      <c r="E2475" s="113" t="s">
        <v>130</v>
      </c>
      <c r="F2475" s="114" t="s">
        <v>15</v>
      </c>
      <c r="G2475" s="115" t="s">
        <v>39</v>
      </c>
      <c r="H2475" s="116">
        <v>14.7</v>
      </c>
      <c r="I2475" s="125">
        <v>12</v>
      </c>
      <c r="J2475" s="111">
        <f>18+18+18+18+16</f>
        <v>88</v>
      </c>
      <c r="K2475" s="117">
        <f t="shared" si="234"/>
        <v>15.523199999999997</v>
      </c>
      <c r="L2475" s="118"/>
      <c r="M2475" s="111">
        <f>78+10</f>
        <v>88</v>
      </c>
      <c r="N2475" s="117">
        <f t="shared" si="231"/>
        <v>15.523199999999999</v>
      </c>
      <c r="O2475" s="119">
        <f t="shared" si="232"/>
        <v>0</v>
      </c>
      <c r="P2475" s="120">
        <f t="shared" si="233"/>
        <v>0</v>
      </c>
      <c r="Q2475" s="111"/>
      <c r="R2475" s="32"/>
      <c r="S2475" s="213"/>
      <c r="T2475" s="213"/>
      <c r="U2475" s="213"/>
    </row>
    <row r="2476" spans="2:21" ht="15.6">
      <c r="B2476" s="110" t="s">
        <v>344</v>
      </c>
      <c r="C2476" s="111" t="s">
        <v>232</v>
      </c>
      <c r="D2476" s="112" t="s">
        <v>228</v>
      </c>
      <c r="E2476" s="113" t="s">
        <v>130</v>
      </c>
      <c r="F2476" s="114" t="s">
        <v>15</v>
      </c>
      <c r="G2476" s="115" t="s">
        <v>39</v>
      </c>
      <c r="H2476" s="116">
        <v>14.7</v>
      </c>
      <c r="I2476" s="125">
        <v>12</v>
      </c>
      <c r="J2476" s="111">
        <f>17+17+17+17+17+8</f>
        <v>93</v>
      </c>
      <c r="K2476" s="117">
        <f t="shared" si="234"/>
        <v>16.405199999999997</v>
      </c>
      <c r="L2476" s="118"/>
      <c r="M2476" s="111">
        <v>93</v>
      </c>
      <c r="N2476" s="117">
        <f t="shared" si="231"/>
        <v>16.405200000000001</v>
      </c>
      <c r="O2476" s="119">
        <f t="shared" si="232"/>
        <v>0</v>
      </c>
      <c r="P2476" s="120">
        <f t="shared" si="233"/>
        <v>0</v>
      </c>
      <c r="Q2476" s="111"/>
      <c r="R2476" s="32"/>
      <c r="S2476" s="213"/>
      <c r="T2476" s="213"/>
      <c r="U2476" s="213"/>
    </row>
    <row r="2477" spans="2:21" ht="15.6">
      <c r="B2477" s="110" t="s">
        <v>344</v>
      </c>
      <c r="C2477" s="111" t="s">
        <v>232</v>
      </c>
      <c r="D2477" s="112" t="s">
        <v>228</v>
      </c>
      <c r="E2477" s="113" t="s">
        <v>130</v>
      </c>
      <c r="F2477" s="114" t="s">
        <v>15</v>
      </c>
      <c r="G2477" s="115" t="s">
        <v>39</v>
      </c>
      <c r="H2477" s="116">
        <v>14.7</v>
      </c>
      <c r="I2477" s="125">
        <v>8.6</v>
      </c>
      <c r="J2477" s="111">
        <v>2</v>
      </c>
      <c r="K2477" s="117">
        <f t="shared" si="234"/>
        <v>0.25283999999999995</v>
      </c>
      <c r="L2477" s="118"/>
      <c r="M2477" s="111">
        <v>2</v>
      </c>
      <c r="N2477" s="117">
        <f t="shared" si="231"/>
        <v>0.25283999999999995</v>
      </c>
      <c r="O2477" s="119">
        <f t="shared" si="232"/>
        <v>0</v>
      </c>
      <c r="P2477" s="120">
        <f t="shared" si="233"/>
        <v>0</v>
      </c>
      <c r="Q2477" s="111"/>
      <c r="R2477" s="32"/>
      <c r="S2477" s="357">
        <v>8.6</v>
      </c>
      <c r="T2477" s="170">
        <v>2</v>
      </c>
      <c r="U2477" s="170" t="s">
        <v>443</v>
      </c>
    </row>
    <row r="2478" spans="2:21" ht="15.6">
      <c r="B2478" s="110" t="s">
        <v>344</v>
      </c>
      <c r="C2478" s="111" t="s">
        <v>232</v>
      </c>
      <c r="D2478" s="112" t="s">
        <v>228</v>
      </c>
      <c r="E2478" s="113" t="s">
        <v>130</v>
      </c>
      <c r="F2478" s="114" t="s">
        <v>15</v>
      </c>
      <c r="G2478" s="115" t="s">
        <v>39</v>
      </c>
      <c r="H2478" s="116">
        <v>14.7</v>
      </c>
      <c r="I2478" s="125">
        <v>11</v>
      </c>
      <c r="J2478" s="111">
        <v>1</v>
      </c>
      <c r="K2478" s="117">
        <f t="shared" si="234"/>
        <v>0.16169999999999998</v>
      </c>
      <c r="L2478" s="118"/>
      <c r="M2478" s="111">
        <v>1</v>
      </c>
      <c r="N2478" s="117">
        <f t="shared" si="231"/>
        <v>0.16169999999999998</v>
      </c>
      <c r="O2478" s="119">
        <f t="shared" si="232"/>
        <v>0</v>
      </c>
      <c r="P2478" s="120">
        <f t="shared" si="233"/>
        <v>0</v>
      </c>
      <c r="Q2478" s="111"/>
      <c r="R2478" s="32"/>
      <c r="S2478" s="357">
        <v>11</v>
      </c>
      <c r="T2478" s="170">
        <v>1</v>
      </c>
      <c r="U2478" s="170" t="s">
        <v>445</v>
      </c>
    </row>
    <row r="2479" spans="2:21" ht="15.6">
      <c r="B2479" s="110" t="s">
        <v>344</v>
      </c>
      <c r="C2479" s="111" t="s">
        <v>232</v>
      </c>
      <c r="D2479" s="112" t="s">
        <v>228</v>
      </c>
      <c r="E2479" s="113" t="s">
        <v>130</v>
      </c>
      <c r="F2479" s="114" t="s">
        <v>15</v>
      </c>
      <c r="G2479" s="115" t="s">
        <v>39</v>
      </c>
      <c r="H2479" s="116">
        <v>14.7</v>
      </c>
      <c r="I2479" s="125">
        <v>11.7</v>
      </c>
      <c r="J2479" s="111">
        <v>5</v>
      </c>
      <c r="K2479" s="117">
        <f t="shared" si="234"/>
        <v>0.85994999999999988</v>
      </c>
      <c r="L2479" s="118"/>
      <c r="M2479" s="111">
        <v>5</v>
      </c>
      <c r="N2479" s="117">
        <f t="shared" si="231"/>
        <v>0.85994999999999988</v>
      </c>
      <c r="O2479" s="119">
        <f t="shared" si="232"/>
        <v>0</v>
      </c>
      <c r="P2479" s="120">
        <f t="shared" si="233"/>
        <v>0</v>
      </c>
      <c r="Q2479" s="111"/>
      <c r="R2479" s="32"/>
      <c r="S2479" s="357">
        <v>11.7</v>
      </c>
      <c r="T2479" s="170">
        <v>5</v>
      </c>
      <c r="U2479" s="170" t="s">
        <v>445</v>
      </c>
    </row>
    <row r="2480" spans="2:21" ht="15.6">
      <c r="B2480" s="110" t="s">
        <v>344</v>
      </c>
      <c r="C2480" s="111" t="s">
        <v>232</v>
      </c>
      <c r="D2480" s="112" t="s">
        <v>228</v>
      </c>
      <c r="E2480" s="113" t="s">
        <v>130</v>
      </c>
      <c r="F2480" s="114" t="s">
        <v>15</v>
      </c>
      <c r="G2480" s="115" t="s">
        <v>39</v>
      </c>
      <c r="H2480" s="116">
        <v>14.7</v>
      </c>
      <c r="I2480" s="125">
        <v>7.5</v>
      </c>
      <c r="J2480" s="111">
        <v>1</v>
      </c>
      <c r="K2480" s="117">
        <f t="shared" si="234"/>
        <v>0.11025</v>
      </c>
      <c r="L2480" s="118"/>
      <c r="M2480" s="111">
        <v>1</v>
      </c>
      <c r="N2480" s="117">
        <f t="shared" si="231"/>
        <v>0.11025</v>
      </c>
      <c r="O2480" s="119">
        <f t="shared" si="232"/>
        <v>0</v>
      </c>
      <c r="P2480" s="120">
        <f t="shared" si="233"/>
        <v>0</v>
      </c>
      <c r="Q2480" s="111"/>
      <c r="R2480" s="32"/>
      <c r="S2480" s="357">
        <v>6.5</v>
      </c>
      <c r="T2480" s="170">
        <v>1</v>
      </c>
      <c r="U2480" s="170" t="s">
        <v>444</v>
      </c>
    </row>
    <row r="2481" spans="1:22" ht="15.6">
      <c r="B2481" s="110" t="s">
        <v>344</v>
      </c>
      <c r="C2481" s="111" t="s">
        <v>232</v>
      </c>
      <c r="D2481" s="112" t="s">
        <v>228</v>
      </c>
      <c r="E2481" s="113" t="s">
        <v>130</v>
      </c>
      <c r="F2481" s="114" t="s">
        <v>15</v>
      </c>
      <c r="G2481" s="115" t="s">
        <v>39</v>
      </c>
      <c r="H2481" s="116">
        <v>14.7</v>
      </c>
      <c r="I2481" s="125">
        <v>10</v>
      </c>
      <c r="J2481" s="111">
        <v>1</v>
      </c>
      <c r="K2481" s="117">
        <f t="shared" si="234"/>
        <v>0.14699999999999999</v>
      </c>
      <c r="L2481" s="118"/>
      <c r="M2481" s="111">
        <v>1</v>
      </c>
      <c r="N2481" s="117">
        <f t="shared" si="231"/>
        <v>0.14699999999999999</v>
      </c>
      <c r="O2481" s="119">
        <f t="shared" si="232"/>
        <v>0</v>
      </c>
      <c r="P2481" s="120">
        <f t="shared" si="233"/>
        <v>0</v>
      </c>
      <c r="Q2481" s="111"/>
      <c r="R2481" s="32"/>
      <c r="S2481" s="182"/>
      <c r="T2481" s="213"/>
      <c r="U2481" s="213"/>
    </row>
    <row r="2482" spans="1:22" ht="15.6">
      <c r="B2482" s="110" t="s">
        <v>344</v>
      </c>
      <c r="C2482" s="111" t="s">
        <v>232</v>
      </c>
      <c r="D2482" s="112" t="s">
        <v>228</v>
      </c>
      <c r="E2482" s="113" t="s">
        <v>130</v>
      </c>
      <c r="F2482" s="114" t="s">
        <v>15</v>
      </c>
      <c r="G2482" s="115" t="s">
        <v>39</v>
      </c>
      <c r="H2482" s="116">
        <v>14.7</v>
      </c>
      <c r="I2482" s="125">
        <v>11</v>
      </c>
      <c r="J2482" s="111">
        <v>1</v>
      </c>
      <c r="K2482" s="117">
        <f t="shared" si="234"/>
        <v>0.16169999999999998</v>
      </c>
      <c r="L2482" s="118"/>
      <c r="M2482" s="111">
        <v>1</v>
      </c>
      <c r="N2482" s="117">
        <f t="shared" si="231"/>
        <v>0.16169999999999998</v>
      </c>
      <c r="O2482" s="119">
        <f t="shared" si="232"/>
        <v>0</v>
      </c>
      <c r="P2482" s="120">
        <f t="shared" si="233"/>
        <v>0</v>
      </c>
      <c r="Q2482" s="111"/>
      <c r="R2482" s="32"/>
      <c r="S2482" s="182"/>
      <c r="T2482" s="213"/>
      <c r="U2482" s="213"/>
    </row>
    <row r="2483" spans="1:22" ht="15.6">
      <c r="B2483" s="110" t="s">
        <v>344</v>
      </c>
      <c r="C2483" s="111" t="s">
        <v>232</v>
      </c>
      <c r="D2483" s="112" t="s">
        <v>228</v>
      </c>
      <c r="E2483" s="113" t="s">
        <v>130</v>
      </c>
      <c r="F2483" s="114" t="s">
        <v>15</v>
      </c>
      <c r="G2483" s="115" t="s">
        <v>39</v>
      </c>
      <c r="H2483" s="116">
        <v>14.7</v>
      </c>
      <c r="I2483" s="125">
        <v>11.7</v>
      </c>
      <c r="J2483" s="111">
        <v>3</v>
      </c>
      <c r="K2483" s="117">
        <f t="shared" si="234"/>
        <v>0.51596999999999993</v>
      </c>
      <c r="L2483" s="118"/>
      <c r="M2483" s="111">
        <v>3</v>
      </c>
      <c r="N2483" s="117">
        <f>I2483*M2483*H2483/1000</f>
        <v>0.51596999999999993</v>
      </c>
      <c r="O2483" s="119">
        <f t="shared" si="232"/>
        <v>0</v>
      </c>
      <c r="P2483" s="120">
        <f>I2483*O2483*H2483/1000</f>
        <v>0</v>
      </c>
      <c r="Q2483" s="111"/>
      <c r="R2483" s="32"/>
      <c r="S2483" s="182"/>
      <c r="T2483" s="213"/>
      <c r="U2483" s="213"/>
    </row>
    <row r="2484" spans="1:22" ht="15.6">
      <c r="B2484" s="110" t="s">
        <v>344</v>
      </c>
      <c r="C2484" s="111" t="s">
        <v>232</v>
      </c>
      <c r="D2484" s="112" t="s">
        <v>228</v>
      </c>
      <c r="E2484" s="113" t="s">
        <v>130</v>
      </c>
      <c r="F2484" s="114" t="s">
        <v>15</v>
      </c>
      <c r="G2484" s="115" t="s">
        <v>39</v>
      </c>
      <c r="H2484" s="116">
        <v>14.7</v>
      </c>
      <c r="I2484" s="125">
        <v>11.9</v>
      </c>
      <c r="J2484" s="111">
        <v>3</v>
      </c>
      <c r="K2484" s="117">
        <f t="shared" si="234"/>
        <v>0.52478999999999998</v>
      </c>
      <c r="L2484" s="118"/>
      <c r="M2484" s="111">
        <f>2+1</f>
        <v>3</v>
      </c>
      <c r="N2484" s="117">
        <f>I2484*M2484*H2484/1000</f>
        <v>0.52478999999999998</v>
      </c>
      <c r="O2484" s="119">
        <f t="shared" si="232"/>
        <v>0</v>
      </c>
      <c r="P2484" s="120">
        <f>I2484*O2484*H2484/1000</f>
        <v>0</v>
      </c>
      <c r="Q2484" s="111"/>
      <c r="R2484" s="32"/>
      <c r="S2484" s="357">
        <v>11.7</v>
      </c>
      <c r="T2484" s="170">
        <v>1</v>
      </c>
      <c r="U2484" s="170" t="s">
        <v>445</v>
      </c>
      <c r="V2484" s="170"/>
    </row>
    <row r="2485" spans="1:22">
      <c r="B2485" s="32"/>
      <c r="C2485" s="32"/>
      <c r="D2485" s="32"/>
      <c r="E2485" s="32"/>
      <c r="F2485" s="32"/>
      <c r="G2485" s="32"/>
      <c r="H2485" s="32"/>
      <c r="I2485" s="32"/>
      <c r="J2485" s="129">
        <f>SUM(J2473:J2484)</f>
        <v>240</v>
      </c>
      <c r="K2485" s="124">
        <f>SUM(K2473:K2484)</f>
        <v>40.422060000000002</v>
      </c>
      <c r="L2485" s="32"/>
      <c r="M2485" s="129">
        <f>SUM(M2473:M2484)</f>
        <v>240</v>
      </c>
      <c r="N2485" s="132">
        <f>SUM(N2473:N2484)</f>
        <v>40.422060000000009</v>
      </c>
      <c r="O2485" s="131">
        <f>SUM(O2473:O2484)</f>
        <v>0</v>
      </c>
      <c r="P2485" s="132">
        <f>SUM(P2473:P2484)</f>
        <v>0</v>
      </c>
      <c r="Q2485" s="32"/>
      <c r="R2485" s="32"/>
      <c r="S2485" s="213"/>
      <c r="T2485" s="131">
        <f>SUM(T2473:T2484)</f>
        <v>10</v>
      </c>
      <c r="U2485" s="213"/>
    </row>
    <row r="2488" spans="1:22" ht="15.6">
      <c r="B2488" s="110" t="s">
        <v>344</v>
      </c>
      <c r="C2488" s="111" t="s">
        <v>232</v>
      </c>
      <c r="D2488" s="112" t="s">
        <v>228</v>
      </c>
      <c r="E2488" s="113" t="s">
        <v>17</v>
      </c>
      <c r="F2488" s="114" t="s">
        <v>15</v>
      </c>
      <c r="G2488" s="115" t="s">
        <v>39</v>
      </c>
      <c r="H2488" s="116">
        <v>14.7</v>
      </c>
      <c r="I2488" s="125">
        <v>6.25</v>
      </c>
      <c r="J2488" s="111">
        <v>5</v>
      </c>
      <c r="K2488" s="117">
        <f t="shared" ref="K2488:K2490" si="235">I2488*H2488*J2488/1000</f>
        <v>0.45937499999999998</v>
      </c>
      <c r="L2488" s="118"/>
      <c r="M2488" s="111">
        <v>5</v>
      </c>
      <c r="N2488" s="117">
        <f t="shared" ref="N2488:N2490" si="236">I2488*M2488*H2488/1000</f>
        <v>0.45937499999999998</v>
      </c>
      <c r="O2488" s="119">
        <f t="shared" ref="O2488" si="237">J2488-M2488</f>
        <v>0</v>
      </c>
      <c r="P2488" s="120">
        <f>I2488*O2488*H2488/1000</f>
        <v>0</v>
      </c>
      <c r="Q2488" s="111"/>
      <c r="R2488" s="32"/>
      <c r="S2488" s="213"/>
    </row>
    <row r="2489" spans="1:22" ht="15.6">
      <c r="B2489" s="110" t="s">
        <v>344</v>
      </c>
      <c r="C2489" s="111" t="s">
        <v>232</v>
      </c>
      <c r="D2489" s="112" t="s">
        <v>228</v>
      </c>
      <c r="E2489" s="113" t="s">
        <v>17</v>
      </c>
      <c r="F2489" s="114" t="s">
        <v>15</v>
      </c>
      <c r="G2489" s="115" t="s">
        <v>39</v>
      </c>
      <c r="H2489" s="116">
        <v>14.7</v>
      </c>
      <c r="I2489" s="125">
        <v>6.5</v>
      </c>
      <c r="J2489" s="111">
        <v>5</v>
      </c>
      <c r="K2489" s="117">
        <f t="shared" si="235"/>
        <v>0.47775000000000001</v>
      </c>
      <c r="L2489" s="118"/>
      <c r="M2489" s="111">
        <v>5</v>
      </c>
      <c r="N2489" s="117">
        <f t="shared" si="236"/>
        <v>0.47775000000000001</v>
      </c>
      <c r="O2489" s="119">
        <f>J2489-M2489</f>
        <v>0</v>
      </c>
      <c r="P2489" s="120">
        <f>I2489*O2489*H2489/1000</f>
        <v>0</v>
      </c>
      <c r="Q2489" s="94">
        <v>6.5</v>
      </c>
      <c r="R2489" s="93">
        <v>5</v>
      </c>
      <c r="S2489" s="170" t="s">
        <v>444</v>
      </c>
    </row>
    <row r="2490" spans="1:22" ht="15.6">
      <c r="B2490" s="110" t="s">
        <v>344</v>
      </c>
      <c r="C2490" s="111" t="s">
        <v>232</v>
      </c>
      <c r="D2490" s="112" t="s">
        <v>228</v>
      </c>
      <c r="E2490" s="113" t="s">
        <v>17</v>
      </c>
      <c r="F2490" s="114" t="s">
        <v>15</v>
      </c>
      <c r="G2490" s="115" t="s">
        <v>39</v>
      </c>
      <c r="H2490" s="116">
        <v>14.7</v>
      </c>
      <c r="I2490" s="125">
        <v>12</v>
      </c>
      <c r="J2490" s="111">
        <v>20</v>
      </c>
      <c r="K2490" s="117">
        <f t="shared" si="235"/>
        <v>3.5279999999999996</v>
      </c>
      <c r="L2490" s="118"/>
      <c r="M2490" s="111">
        <v>20</v>
      </c>
      <c r="N2490" s="117">
        <f t="shared" si="236"/>
        <v>3.528</v>
      </c>
      <c r="O2490" s="119">
        <f>J2490-M2490</f>
        <v>0</v>
      </c>
      <c r="P2490" s="120">
        <f>I2490*O2490*H2490/1000</f>
        <v>0</v>
      </c>
      <c r="Q2490" s="111"/>
      <c r="R2490" s="32"/>
      <c r="S2490" s="213"/>
    </row>
    <row r="2491" spans="1:22">
      <c r="B2491" s="32"/>
      <c r="C2491" s="32"/>
      <c r="D2491" s="32"/>
      <c r="E2491" s="32"/>
      <c r="F2491" s="32"/>
      <c r="G2491" s="32"/>
      <c r="H2491" s="32"/>
      <c r="I2491" s="32"/>
      <c r="J2491" s="129">
        <f>SUM(J2488:J2490)</f>
        <v>30</v>
      </c>
      <c r="K2491" s="132">
        <f>SUM(K2488:K2490)</f>
        <v>4.4651249999999996</v>
      </c>
      <c r="L2491" s="32"/>
      <c r="M2491" s="129">
        <f>SUM(M2488:M2490)</f>
        <v>30</v>
      </c>
      <c r="N2491" s="132">
        <f>SUM(N2488:N2490)</f>
        <v>4.4651250000000005</v>
      </c>
      <c r="O2491" s="131">
        <f>SUM(O2488:O2490)</f>
        <v>0</v>
      </c>
      <c r="P2491" s="132">
        <f>SUM(P2488:P2490)</f>
        <v>0</v>
      </c>
      <c r="Q2491" s="32"/>
      <c r="R2491" s="171">
        <f>SUM(R2488:R2490)</f>
        <v>5</v>
      </c>
      <c r="S2491" s="213"/>
    </row>
    <row r="2495" spans="1:22">
      <c r="A2495" s="42" t="s">
        <v>77</v>
      </c>
      <c r="B2495" s="3" t="s">
        <v>68</v>
      </c>
      <c r="C2495" s="3">
        <v>137</v>
      </c>
      <c r="D2495" s="1"/>
      <c r="E2495" s="20" t="s">
        <v>20</v>
      </c>
      <c r="F2495" s="7" t="s">
        <v>15</v>
      </c>
      <c r="G2495" s="7" t="s">
        <v>39</v>
      </c>
      <c r="H2495" s="11">
        <v>14.66</v>
      </c>
      <c r="I2495" s="8">
        <v>7</v>
      </c>
      <c r="J2495" s="26">
        <v>1</v>
      </c>
      <c r="K2495" s="10">
        <v>0.10262</v>
      </c>
      <c r="L2495" s="4"/>
      <c r="M2495" s="17">
        <v>1</v>
      </c>
      <c r="N2495" s="18">
        <v>0.10262</v>
      </c>
      <c r="O2495" s="19">
        <v>0</v>
      </c>
      <c r="P2495" s="13">
        <v>0</v>
      </c>
      <c r="Q2495" s="73">
        <v>6.5</v>
      </c>
      <c r="R2495" s="74">
        <v>1</v>
      </c>
      <c r="S2495" s="74" t="s">
        <v>444</v>
      </c>
    </row>
    <row r="2496" spans="1:22">
      <c r="A2496" s="42" t="s">
        <v>77</v>
      </c>
      <c r="B2496" s="3" t="s">
        <v>68</v>
      </c>
      <c r="C2496" s="3">
        <v>226</v>
      </c>
      <c r="D2496" s="1"/>
      <c r="E2496" s="12" t="s">
        <v>20</v>
      </c>
      <c r="F2496" s="7" t="s">
        <v>15</v>
      </c>
      <c r="G2496" s="7" t="s">
        <v>39</v>
      </c>
      <c r="H2496" s="11">
        <v>14.66</v>
      </c>
      <c r="I2496" s="8">
        <v>10.199999999999999</v>
      </c>
      <c r="J2496" s="26">
        <v>1</v>
      </c>
      <c r="K2496" s="10">
        <v>0.14953199999999997</v>
      </c>
      <c r="L2496" s="4"/>
      <c r="M2496" s="17">
        <v>1</v>
      </c>
      <c r="N2496" s="18">
        <v>0.14953199999999997</v>
      </c>
      <c r="O2496" s="19">
        <v>0</v>
      </c>
      <c r="P2496" s="13">
        <v>0</v>
      </c>
      <c r="Q2496" s="73">
        <v>10.1</v>
      </c>
      <c r="R2496" s="74">
        <v>1</v>
      </c>
      <c r="S2496" s="74" t="s">
        <v>444</v>
      </c>
    </row>
    <row r="2497" spans="1:19">
      <c r="A2497" s="42" t="s">
        <v>77</v>
      </c>
      <c r="B2497" s="3" t="s">
        <v>68</v>
      </c>
      <c r="C2497" s="3">
        <v>245</v>
      </c>
      <c r="D2497" s="1"/>
      <c r="E2497" s="12" t="s">
        <v>20</v>
      </c>
      <c r="F2497" s="7" t="s">
        <v>15</v>
      </c>
      <c r="G2497" s="7" t="s">
        <v>39</v>
      </c>
      <c r="H2497" s="11">
        <v>14.66</v>
      </c>
      <c r="I2497" s="8">
        <v>6.5</v>
      </c>
      <c r="J2497" s="26">
        <v>1</v>
      </c>
      <c r="K2497" s="10">
        <v>9.529E-2</v>
      </c>
      <c r="L2497" s="4"/>
      <c r="M2497" s="17">
        <v>1</v>
      </c>
      <c r="N2497" s="18">
        <v>9.529E-2</v>
      </c>
      <c r="O2497" s="19">
        <v>0</v>
      </c>
      <c r="P2497" s="13">
        <v>0</v>
      </c>
      <c r="Q2497" s="73">
        <v>6.5</v>
      </c>
      <c r="R2497" s="74">
        <v>1</v>
      </c>
      <c r="S2497" s="74" t="s">
        <v>444</v>
      </c>
    </row>
    <row r="2498" spans="1:19">
      <c r="A2498" s="42" t="s">
        <v>77</v>
      </c>
      <c r="B2498" s="3" t="s">
        <v>68</v>
      </c>
      <c r="C2498" s="3">
        <v>245</v>
      </c>
      <c r="D2498" s="1"/>
      <c r="E2498" s="12" t="s">
        <v>20</v>
      </c>
      <c r="F2498" s="7" t="s">
        <v>15</v>
      </c>
      <c r="G2498" s="7" t="s">
        <v>39</v>
      </c>
      <c r="H2498" s="11">
        <v>14.66</v>
      </c>
      <c r="I2498" s="8">
        <v>7.3</v>
      </c>
      <c r="J2498" s="26">
        <v>1</v>
      </c>
      <c r="K2498" s="10">
        <v>0.107018</v>
      </c>
      <c r="L2498" s="4"/>
      <c r="M2498" s="17">
        <v>1</v>
      </c>
      <c r="N2498" s="18">
        <v>0.107018</v>
      </c>
      <c r="O2498" s="19">
        <v>0</v>
      </c>
      <c r="P2498" s="13">
        <v>0</v>
      </c>
      <c r="Q2498" s="73">
        <v>6.5</v>
      </c>
      <c r="R2498" s="74">
        <v>1</v>
      </c>
      <c r="S2498" s="74" t="s">
        <v>444</v>
      </c>
    </row>
    <row r="2499" spans="1:19">
      <c r="A2499" s="48" t="s">
        <v>168</v>
      </c>
      <c r="B2499" s="48" t="s">
        <v>169</v>
      </c>
      <c r="C2499" s="32">
        <v>14</v>
      </c>
      <c r="D2499" s="32"/>
      <c r="E2499" s="48" t="s">
        <v>20</v>
      </c>
      <c r="F2499" s="48" t="s">
        <v>15</v>
      </c>
      <c r="G2499" s="48" t="s">
        <v>39</v>
      </c>
      <c r="H2499" s="11">
        <v>14.66</v>
      </c>
      <c r="I2499" s="52">
        <v>7.9</v>
      </c>
      <c r="J2499" s="7">
        <v>1</v>
      </c>
      <c r="K2499" s="10">
        <v>0.115814</v>
      </c>
      <c r="L2499" s="32" t="s">
        <v>104</v>
      </c>
      <c r="M2499" s="32">
        <v>1</v>
      </c>
      <c r="N2499" s="18">
        <v>0.115814</v>
      </c>
      <c r="O2499" s="19">
        <v>0</v>
      </c>
      <c r="P2499" s="13">
        <v>0</v>
      </c>
      <c r="Q2499" s="73">
        <v>6.5</v>
      </c>
      <c r="R2499" s="72">
        <v>1</v>
      </c>
      <c r="S2499" s="74" t="s">
        <v>444</v>
      </c>
    </row>
    <row r="2500" spans="1:19">
      <c r="A2500" s="48" t="s">
        <v>168</v>
      </c>
      <c r="B2500" s="48" t="s">
        <v>169</v>
      </c>
      <c r="C2500" s="32">
        <v>14</v>
      </c>
      <c r="D2500" s="32"/>
      <c r="E2500" s="48" t="s">
        <v>20</v>
      </c>
      <c r="F2500" s="48" t="s">
        <v>15</v>
      </c>
      <c r="G2500" s="48" t="s">
        <v>39</v>
      </c>
      <c r="H2500" s="11">
        <v>14.66</v>
      </c>
      <c r="I2500" s="52">
        <v>8.5</v>
      </c>
      <c r="J2500" s="7">
        <v>1</v>
      </c>
      <c r="K2500" s="10">
        <v>0.12461</v>
      </c>
      <c r="L2500" s="32" t="s">
        <v>104</v>
      </c>
      <c r="M2500" s="32">
        <v>1</v>
      </c>
      <c r="N2500" s="18">
        <v>0.12461</v>
      </c>
      <c r="O2500" s="19">
        <v>0</v>
      </c>
      <c r="P2500" s="13">
        <v>0</v>
      </c>
      <c r="Q2500" s="73">
        <v>6.5</v>
      </c>
      <c r="R2500" s="72">
        <v>1</v>
      </c>
      <c r="S2500" s="74" t="s">
        <v>444</v>
      </c>
    </row>
    <row r="2501" spans="1:19">
      <c r="A2501" s="48" t="s">
        <v>168</v>
      </c>
      <c r="B2501" s="48" t="s">
        <v>169</v>
      </c>
      <c r="C2501" s="32">
        <v>14</v>
      </c>
      <c r="D2501" s="32"/>
      <c r="E2501" s="48" t="s">
        <v>20</v>
      </c>
      <c r="F2501" s="48" t="s">
        <v>15</v>
      </c>
      <c r="G2501" s="48" t="s">
        <v>39</v>
      </c>
      <c r="H2501" s="11">
        <v>14.66</v>
      </c>
      <c r="I2501" s="52">
        <v>7.5</v>
      </c>
      <c r="J2501" s="7">
        <v>1</v>
      </c>
      <c r="K2501" s="10">
        <v>0.10995000000000001</v>
      </c>
      <c r="L2501" s="32" t="s">
        <v>104</v>
      </c>
      <c r="M2501" s="32">
        <v>1</v>
      </c>
      <c r="N2501" s="18">
        <v>0.10995000000000001</v>
      </c>
      <c r="O2501" s="19">
        <v>0</v>
      </c>
      <c r="P2501" s="13">
        <v>0</v>
      </c>
      <c r="Q2501" s="73">
        <v>6.5</v>
      </c>
      <c r="R2501" s="72">
        <v>1</v>
      </c>
      <c r="S2501" s="74" t="s">
        <v>444</v>
      </c>
    </row>
    <row r="2502" spans="1:19">
      <c r="A2502" s="42" t="s">
        <v>90</v>
      </c>
      <c r="B2502" s="3"/>
      <c r="C2502" s="3">
        <v>113</v>
      </c>
      <c r="D2502" s="1"/>
      <c r="E2502" s="20" t="s">
        <v>20</v>
      </c>
      <c r="F2502" s="7" t="s">
        <v>15</v>
      </c>
      <c r="G2502" s="7" t="s">
        <v>39</v>
      </c>
      <c r="H2502" s="11">
        <v>14.66</v>
      </c>
      <c r="I2502" s="8">
        <v>8.9</v>
      </c>
      <c r="J2502" s="26">
        <v>2</v>
      </c>
      <c r="K2502" s="10">
        <v>0.26094800000000001</v>
      </c>
      <c r="L2502" s="4"/>
      <c r="M2502" s="17">
        <v>2</v>
      </c>
      <c r="N2502" s="18">
        <v>0.26094800000000001</v>
      </c>
      <c r="O2502" s="19">
        <v>0</v>
      </c>
      <c r="P2502" s="13">
        <v>0</v>
      </c>
      <c r="Q2502" s="73">
        <v>8.6</v>
      </c>
      <c r="R2502" s="74">
        <v>2</v>
      </c>
      <c r="S2502" s="74" t="s">
        <v>359</v>
      </c>
    </row>
    <row r="2503" spans="1:19">
      <c r="A2503" s="42" t="s">
        <v>90</v>
      </c>
      <c r="B2503" s="3"/>
      <c r="C2503" s="3">
        <v>132</v>
      </c>
      <c r="D2503" s="1"/>
      <c r="E2503" s="20" t="s">
        <v>17</v>
      </c>
      <c r="F2503" s="7" t="s">
        <v>15</v>
      </c>
      <c r="G2503" s="7" t="s">
        <v>39</v>
      </c>
      <c r="H2503" s="11">
        <v>14.66</v>
      </c>
      <c r="I2503" s="8">
        <v>6.4</v>
      </c>
      <c r="J2503" s="26">
        <v>2</v>
      </c>
      <c r="K2503" s="10">
        <v>0.18764800000000004</v>
      </c>
      <c r="L2503" s="4"/>
      <c r="M2503" s="17"/>
      <c r="N2503" s="18">
        <v>0</v>
      </c>
      <c r="O2503" s="19">
        <v>2</v>
      </c>
      <c r="P2503" s="13">
        <v>0.18764800000000004</v>
      </c>
      <c r="Q2503" s="9"/>
      <c r="R2503" s="2"/>
      <c r="S2503" s="2"/>
    </row>
    <row r="2504" spans="1:19">
      <c r="A2504" s="42" t="s">
        <v>90</v>
      </c>
      <c r="B2504" s="3"/>
      <c r="C2504" s="3"/>
      <c r="D2504" s="1"/>
      <c r="E2504" s="20"/>
      <c r="F2504" s="7" t="s">
        <v>15</v>
      </c>
      <c r="G2504" s="7" t="s">
        <v>39</v>
      </c>
      <c r="H2504" s="11">
        <v>14.66</v>
      </c>
      <c r="I2504" s="8">
        <v>6.3</v>
      </c>
      <c r="J2504" s="26">
        <v>1</v>
      </c>
      <c r="K2504" s="10">
        <v>9.235800000000001E-2</v>
      </c>
      <c r="L2504" s="4"/>
      <c r="M2504" s="17"/>
      <c r="N2504" s="18">
        <v>0</v>
      </c>
      <c r="O2504" s="19">
        <v>1</v>
      </c>
      <c r="P2504" s="13">
        <v>9.235800000000001E-2</v>
      </c>
      <c r="Q2504" s="9"/>
      <c r="R2504" s="2"/>
      <c r="S2504" s="2"/>
    </row>
    <row r="2505" spans="1:19">
      <c r="A2505" s="42" t="s">
        <v>90</v>
      </c>
      <c r="B2505" s="3"/>
      <c r="C2505" s="3"/>
      <c r="D2505" s="1"/>
      <c r="E2505" s="20"/>
      <c r="F2505" s="7" t="s">
        <v>15</v>
      </c>
      <c r="G2505" s="7" t="s">
        <v>39</v>
      </c>
      <c r="H2505" s="11">
        <v>14.66</v>
      </c>
      <c r="I2505" s="8">
        <v>7</v>
      </c>
      <c r="J2505" s="26">
        <v>1</v>
      </c>
      <c r="K2505" s="10">
        <v>0.10262</v>
      </c>
      <c r="L2505" s="4"/>
      <c r="M2505" s="17">
        <v>1</v>
      </c>
      <c r="N2505" s="18">
        <v>0.10262</v>
      </c>
      <c r="O2505" s="19">
        <v>0</v>
      </c>
      <c r="P2505" s="13">
        <v>0</v>
      </c>
      <c r="Q2505" s="73">
        <v>6.5</v>
      </c>
      <c r="R2505" s="74">
        <v>1</v>
      </c>
      <c r="S2505" s="74" t="s">
        <v>444</v>
      </c>
    </row>
    <row r="2506" spans="1:19">
      <c r="A2506" s="42" t="s">
        <v>90</v>
      </c>
      <c r="B2506" s="3"/>
      <c r="C2506" s="3">
        <v>147</v>
      </c>
      <c r="D2506" s="1"/>
      <c r="E2506" s="59" t="s">
        <v>20</v>
      </c>
      <c r="F2506" s="60" t="s">
        <v>15</v>
      </c>
      <c r="G2506" s="60" t="s">
        <v>39</v>
      </c>
      <c r="H2506" s="61">
        <v>14.66</v>
      </c>
      <c r="I2506" s="21">
        <v>12.45</v>
      </c>
      <c r="J2506" s="22">
        <v>1</v>
      </c>
      <c r="K2506" s="62">
        <v>0.18251699999999998</v>
      </c>
      <c r="L2506" s="253" t="s">
        <v>46</v>
      </c>
      <c r="M2506" s="22"/>
      <c r="N2506" s="63">
        <v>0</v>
      </c>
      <c r="O2506" s="64">
        <v>1</v>
      </c>
      <c r="P2506" s="65">
        <v>0.18251699999999998</v>
      </c>
      <c r="Q2506" s="9"/>
      <c r="R2506" s="2"/>
      <c r="S2506" s="2"/>
    </row>
    <row r="2507" spans="1:19">
      <c r="A2507" s="42" t="s">
        <v>90</v>
      </c>
      <c r="B2507" s="3"/>
      <c r="C2507" s="3">
        <v>195</v>
      </c>
      <c r="D2507" s="1" t="s">
        <v>103</v>
      </c>
      <c r="E2507" s="12" t="s">
        <v>89</v>
      </c>
      <c r="F2507" s="7" t="s">
        <v>15</v>
      </c>
      <c r="G2507" s="7" t="s">
        <v>39</v>
      </c>
      <c r="H2507" s="11">
        <v>14.66</v>
      </c>
      <c r="I2507" s="8">
        <v>9.1999999999999993</v>
      </c>
      <c r="J2507" s="17">
        <v>1</v>
      </c>
      <c r="K2507" s="10">
        <v>0.13487199999999999</v>
      </c>
      <c r="L2507" s="4"/>
      <c r="M2507" s="17">
        <v>1</v>
      </c>
      <c r="N2507" s="18">
        <v>0.13487199999999999</v>
      </c>
      <c r="O2507" s="19">
        <v>0</v>
      </c>
      <c r="P2507" s="13">
        <v>0</v>
      </c>
      <c r="Q2507" s="73">
        <v>8.6</v>
      </c>
      <c r="R2507" s="74">
        <v>1</v>
      </c>
      <c r="S2507" s="74" t="s">
        <v>444</v>
      </c>
    </row>
    <row r="2508" spans="1:19">
      <c r="A2508" s="42" t="s">
        <v>90</v>
      </c>
      <c r="B2508" s="3"/>
      <c r="C2508" s="3">
        <v>195</v>
      </c>
      <c r="D2508" s="1" t="s">
        <v>103</v>
      </c>
      <c r="E2508" s="12" t="s">
        <v>89</v>
      </c>
      <c r="F2508" s="7" t="s">
        <v>15</v>
      </c>
      <c r="G2508" s="7" t="s">
        <v>39</v>
      </c>
      <c r="H2508" s="11">
        <v>14.66</v>
      </c>
      <c r="I2508" s="8">
        <v>8</v>
      </c>
      <c r="J2508" s="17">
        <v>1</v>
      </c>
      <c r="K2508" s="10">
        <v>0.11728</v>
      </c>
      <c r="L2508" s="4"/>
      <c r="M2508" s="17">
        <v>1</v>
      </c>
      <c r="N2508" s="18">
        <v>0.11728</v>
      </c>
      <c r="O2508" s="19">
        <v>0</v>
      </c>
      <c r="P2508" s="13">
        <v>0</v>
      </c>
      <c r="Q2508" s="73">
        <v>6.5</v>
      </c>
      <c r="R2508" s="74">
        <v>1</v>
      </c>
      <c r="S2508" s="74" t="s">
        <v>444</v>
      </c>
    </row>
    <row r="2509" spans="1:19">
      <c r="A2509" s="42" t="s">
        <v>90</v>
      </c>
      <c r="B2509" s="3"/>
      <c r="C2509" s="3">
        <v>202</v>
      </c>
      <c r="D2509" s="1"/>
      <c r="E2509" s="30" t="s">
        <v>20</v>
      </c>
      <c r="F2509" s="7" t="s">
        <v>15</v>
      </c>
      <c r="G2509" s="7" t="s">
        <v>39</v>
      </c>
      <c r="H2509" s="11">
        <v>14.66</v>
      </c>
      <c r="I2509" s="8">
        <v>10.7</v>
      </c>
      <c r="J2509" s="17">
        <v>1</v>
      </c>
      <c r="K2509" s="10">
        <v>0.156862</v>
      </c>
      <c r="L2509" s="32"/>
      <c r="M2509" s="32">
        <v>1</v>
      </c>
      <c r="N2509" s="18">
        <v>0.156862</v>
      </c>
      <c r="O2509" s="19">
        <v>0</v>
      </c>
      <c r="P2509" s="13">
        <v>0</v>
      </c>
      <c r="Q2509" s="75">
        <v>10.5</v>
      </c>
      <c r="R2509" s="72">
        <v>1</v>
      </c>
      <c r="S2509" s="74" t="s">
        <v>444</v>
      </c>
    </row>
    <row r="2510" spans="1:19">
      <c r="A2510" s="42" t="s">
        <v>90</v>
      </c>
      <c r="B2510" s="3"/>
      <c r="C2510" s="3">
        <v>202</v>
      </c>
      <c r="D2510" s="1"/>
      <c r="E2510" s="30" t="s">
        <v>20</v>
      </c>
      <c r="F2510" s="7" t="s">
        <v>15</v>
      </c>
      <c r="G2510" s="7" t="s">
        <v>39</v>
      </c>
      <c r="H2510" s="11">
        <v>14.66</v>
      </c>
      <c r="I2510" s="31">
        <v>10</v>
      </c>
      <c r="J2510" s="17">
        <v>1</v>
      </c>
      <c r="K2510" s="10">
        <v>0.14660000000000001</v>
      </c>
      <c r="L2510" s="32"/>
      <c r="M2510" s="32">
        <v>1</v>
      </c>
      <c r="N2510" s="18">
        <v>0.14660000000000001</v>
      </c>
      <c r="O2510" s="19">
        <v>0</v>
      </c>
      <c r="P2510" s="13">
        <v>0</v>
      </c>
      <c r="Q2510" s="33"/>
      <c r="R2510" s="32"/>
      <c r="S2510" s="32"/>
    </row>
    <row r="2511" spans="1:19">
      <c r="A2511" s="42" t="s">
        <v>90</v>
      </c>
      <c r="B2511" s="3"/>
      <c r="C2511" s="3">
        <v>202</v>
      </c>
      <c r="D2511" s="1"/>
      <c r="E2511" s="30" t="s">
        <v>20</v>
      </c>
      <c r="F2511" s="7" t="s">
        <v>15</v>
      </c>
      <c r="G2511" s="7" t="s">
        <v>39</v>
      </c>
      <c r="H2511" s="11">
        <v>14.66</v>
      </c>
      <c r="I2511" s="31">
        <v>6.5</v>
      </c>
      <c r="J2511" s="17">
        <v>1</v>
      </c>
      <c r="K2511" s="10">
        <v>9.529E-2</v>
      </c>
      <c r="L2511" s="32"/>
      <c r="M2511" s="32">
        <v>1</v>
      </c>
      <c r="N2511" s="18">
        <v>9.529E-2</v>
      </c>
      <c r="O2511" s="19">
        <v>0</v>
      </c>
      <c r="P2511" s="13">
        <v>0</v>
      </c>
      <c r="Q2511" s="75">
        <v>6.5</v>
      </c>
      <c r="R2511" s="72">
        <v>1</v>
      </c>
      <c r="S2511" s="74" t="s">
        <v>444</v>
      </c>
    </row>
    <row r="2512" spans="1:19">
      <c r="A2512" s="45" t="s">
        <v>136</v>
      </c>
      <c r="B2512" s="32" t="s">
        <v>137</v>
      </c>
      <c r="C2512" s="3">
        <v>4</v>
      </c>
      <c r="D2512" s="32"/>
      <c r="E2512" s="20" t="s">
        <v>139</v>
      </c>
      <c r="F2512" s="7" t="s">
        <v>15</v>
      </c>
      <c r="G2512" s="7" t="s">
        <v>39</v>
      </c>
      <c r="H2512" s="11">
        <v>14.7</v>
      </c>
      <c r="I2512" s="55">
        <v>7.8</v>
      </c>
      <c r="J2512" s="40">
        <v>2</v>
      </c>
      <c r="K2512" s="10">
        <v>0.22932</v>
      </c>
      <c r="L2512" s="4"/>
      <c r="M2512" s="17">
        <v>2</v>
      </c>
      <c r="N2512" s="18">
        <v>0.22932</v>
      </c>
      <c r="O2512" s="19">
        <v>0</v>
      </c>
      <c r="P2512" s="13">
        <v>0</v>
      </c>
      <c r="Q2512" s="75">
        <v>6.5</v>
      </c>
      <c r="R2512" s="72">
        <v>2</v>
      </c>
      <c r="S2512" s="74" t="s">
        <v>444</v>
      </c>
    </row>
    <row r="2513" spans="1:19">
      <c r="A2513" s="45" t="s">
        <v>136</v>
      </c>
      <c r="B2513" s="32" t="s">
        <v>137</v>
      </c>
      <c r="C2513" s="3">
        <v>4</v>
      </c>
      <c r="D2513" s="32"/>
      <c r="E2513" s="20" t="s">
        <v>20</v>
      </c>
      <c r="F2513" s="7" t="s">
        <v>15</v>
      </c>
      <c r="G2513" s="7" t="s">
        <v>39</v>
      </c>
      <c r="H2513" s="11">
        <v>14.66</v>
      </c>
      <c r="I2513" s="55">
        <v>10.5</v>
      </c>
      <c r="J2513" s="40">
        <v>1</v>
      </c>
      <c r="K2513" s="10">
        <v>0.15393000000000001</v>
      </c>
      <c r="L2513" s="4"/>
      <c r="M2513" s="17">
        <v>1</v>
      </c>
      <c r="N2513" s="18">
        <v>0.15393000000000001</v>
      </c>
      <c r="O2513" s="19">
        <v>0</v>
      </c>
      <c r="P2513" s="13">
        <v>0</v>
      </c>
      <c r="Q2513" s="75">
        <v>10.5</v>
      </c>
      <c r="R2513" s="72">
        <v>1</v>
      </c>
      <c r="S2513" s="74" t="s">
        <v>444</v>
      </c>
    </row>
    <row r="2514" spans="1:19">
      <c r="A2514" s="45" t="s">
        <v>136</v>
      </c>
      <c r="B2514" s="32" t="s">
        <v>137</v>
      </c>
      <c r="C2514" s="3">
        <v>76</v>
      </c>
      <c r="D2514" s="32"/>
      <c r="E2514" s="20" t="s">
        <v>20</v>
      </c>
      <c r="F2514" s="7" t="s">
        <v>15</v>
      </c>
      <c r="G2514" s="7" t="s">
        <v>39</v>
      </c>
      <c r="H2514" s="11">
        <v>14.66</v>
      </c>
      <c r="I2514" s="55">
        <v>6.5</v>
      </c>
      <c r="J2514" s="40">
        <v>1</v>
      </c>
      <c r="K2514" s="10">
        <v>9.529E-2</v>
      </c>
      <c r="L2514" s="4"/>
      <c r="M2514" s="17">
        <v>1</v>
      </c>
      <c r="N2514" s="18">
        <v>9.529E-2</v>
      </c>
      <c r="O2514" s="19">
        <v>0</v>
      </c>
      <c r="P2514" s="13">
        <v>0</v>
      </c>
      <c r="Q2514" s="79">
        <v>6.5</v>
      </c>
      <c r="R2514" s="72">
        <v>1</v>
      </c>
      <c r="S2514" s="74" t="s">
        <v>444</v>
      </c>
    </row>
    <row r="2515" spans="1:19">
      <c r="A2515" s="45" t="s">
        <v>136</v>
      </c>
      <c r="B2515" s="32" t="s">
        <v>137</v>
      </c>
      <c r="C2515" s="3">
        <v>83</v>
      </c>
      <c r="D2515" s="32"/>
      <c r="E2515" s="20" t="s">
        <v>20</v>
      </c>
      <c r="F2515" s="7" t="s">
        <v>15</v>
      </c>
      <c r="G2515" s="7" t="s">
        <v>39</v>
      </c>
      <c r="H2515" s="11">
        <v>14.66</v>
      </c>
      <c r="I2515" s="55">
        <v>8.3000000000000007</v>
      </c>
      <c r="J2515" s="40">
        <v>2</v>
      </c>
      <c r="K2515" s="10">
        <v>0.24335600000000002</v>
      </c>
      <c r="L2515" s="4"/>
      <c r="M2515" s="17">
        <v>2</v>
      </c>
      <c r="N2515" s="18">
        <v>0.24335600000000002</v>
      </c>
      <c r="O2515" s="19">
        <v>0</v>
      </c>
      <c r="P2515" s="13">
        <v>0</v>
      </c>
      <c r="Q2515" s="79">
        <v>6.5</v>
      </c>
      <c r="R2515" s="72">
        <v>2</v>
      </c>
      <c r="S2515" s="74" t="s">
        <v>444</v>
      </c>
    </row>
    <row r="2516" spans="1:19">
      <c r="A2516" s="45" t="s">
        <v>136</v>
      </c>
      <c r="B2516" s="32" t="s">
        <v>137</v>
      </c>
      <c r="C2516" s="3">
        <v>83</v>
      </c>
      <c r="D2516" s="32"/>
      <c r="E2516" s="20" t="s">
        <v>20</v>
      </c>
      <c r="F2516" s="7" t="s">
        <v>15</v>
      </c>
      <c r="G2516" s="7" t="s">
        <v>39</v>
      </c>
      <c r="H2516" s="11">
        <v>14.66</v>
      </c>
      <c r="I2516" s="55">
        <v>8</v>
      </c>
      <c r="J2516" s="40">
        <v>1</v>
      </c>
      <c r="K2516" s="10">
        <v>0.11728</v>
      </c>
      <c r="L2516" s="4"/>
      <c r="M2516" s="17"/>
      <c r="N2516" s="18">
        <v>0</v>
      </c>
      <c r="O2516" s="19">
        <v>1</v>
      </c>
      <c r="P2516" s="13">
        <v>0.11728</v>
      </c>
      <c r="Q2516" s="55"/>
      <c r="R2516" s="32"/>
      <c r="S2516" s="32"/>
    </row>
    <row r="2517" spans="1:19">
      <c r="O2517" s="215">
        <f>SUM(O2495:O2516)</f>
        <v>5</v>
      </c>
      <c r="R2517" s="215">
        <f>SUM(R2495:R2516)</f>
        <v>20</v>
      </c>
    </row>
    <row r="2519" spans="1:19">
      <c r="A2519" s="45" t="s">
        <v>136</v>
      </c>
      <c r="B2519" s="32" t="s">
        <v>137</v>
      </c>
      <c r="C2519" s="3">
        <v>41</v>
      </c>
      <c r="D2519" s="32"/>
      <c r="E2519" s="20" t="s">
        <v>19</v>
      </c>
      <c r="F2519" s="7" t="s">
        <v>14</v>
      </c>
      <c r="G2519" s="7" t="s">
        <v>37</v>
      </c>
      <c r="H2519" s="11">
        <v>18.149999999999999</v>
      </c>
      <c r="I2519" s="33">
        <v>9.4</v>
      </c>
      <c r="J2519" s="40">
        <v>2</v>
      </c>
      <c r="K2519" s="10">
        <v>0.34121999999999997</v>
      </c>
      <c r="L2519" s="4"/>
      <c r="M2519" s="17"/>
      <c r="N2519" s="18">
        <v>0</v>
      </c>
      <c r="O2519" s="19">
        <v>2</v>
      </c>
      <c r="P2519" s="13">
        <v>0.34121999999999997</v>
      </c>
      <c r="Q2519" s="32"/>
      <c r="R2519" s="32"/>
      <c r="S2519" s="32"/>
    </row>
    <row r="2520" spans="1:19">
      <c r="A2520" s="45" t="s">
        <v>136</v>
      </c>
      <c r="B2520" s="32" t="s">
        <v>137</v>
      </c>
      <c r="C2520" s="3">
        <v>43</v>
      </c>
      <c r="D2520" s="32"/>
      <c r="E2520" s="20" t="s">
        <v>19</v>
      </c>
      <c r="F2520" s="7" t="s">
        <v>14</v>
      </c>
      <c r="G2520" s="7" t="s">
        <v>37</v>
      </c>
      <c r="H2520" s="11">
        <v>18.149999999999999</v>
      </c>
      <c r="I2520" s="33">
        <v>12</v>
      </c>
      <c r="J2520" s="40">
        <v>4</v>
      </c>
      <c r="K2520" s="10">
        <v>0.87119999999999997</v>
      </c>
      <c r="L2520" s="4"/>
      <c r="M2520" s="17">
        <v>2</v>
      </c>
      <c r="N2520" s="18">
        <v>0.43559999999999999</v>
      </c>
      <c r="O2520" s="19">
        <v>2</v>
      </c>
      <c r="P2520" s="13">
        <v>0.43559999999999999</v>
      </c>
      <c r="Q2520" s="72">
        <v>12</v>
      </c>
      <c r="R2520" s="72">
        <v>2</v>
      </c>
      <c r="S2520" s="72" t="s">
        <v>313</v>
      </c>
    </row>
    <row r="2521" spans="1:19">
      <c r="A2521" s="45" t="s">
        <v>136</v>
      </c>
      <c r="B2521" s="32" t="s">
        <v>137</v>
      </c>
      <c r="C2521" s="3">
        <v>43</v>
      </c>
      <c r="D2521" s="32"/>
      <c r="E2521" s="20" t="s">
        <v>19</v>
      </c>
      <c r="F2521" s="7" t="s">
        <v>14</v>
      </c>
      <c r="G2521" s="7" t="s">
        <v>37</v>
      </c>
      <c r="H2521" s="11">
        <v>18.149999999999999</v>
      </c>
      <c r="I2521" s="33">
        <v>9.4</v>
      </c>
      <c r="J2521" s="40">
        <v>1</v>
      </c>
      <c r="K2521" s="10">
        <v>0.17060999999999998</v>
      </c>
      <c r="L2521" s="4"/>
      <c r="M2521" s="17"/>
      <c r="N2521" s="18">
        <v>0</v>
      </c>
      <c r="O2521" s="19">
        <v>1</v>
      </c>
      <c r="P2521" s="13">
        <v>0.17060999999999998</v>
      </c>
      <c r="Q2521" s="32"/>
      <c r="R2521" s="32"/>
      <c r="S2521" s="32"/>
    </row>
    <row r="2522" spans="1:19">
      <c r="A2522" s="45" t="s">
        <v>136</v>
      </c>
      <c r="B2522" s="48" t="s">
        <v>171</v>
      </c>
      <c r="C2522" s="32">
        <v>107</v>
      </c>
      <c r="D2522" s="32"/>
      <c r="E2522" s="48" t="s">
        <v>19</v>
      </c>
      <c r="F2522" s="48" t="s">
        <v>14</v>
      </c>
      <c r="G2522" s="48" t="s">
        <v>37</v>
      </c>
      <c r="H2522" s="11">
        <v>18.149999999999999</v>
      </c>
      <c r="I2522" s="52">
        <v>11.6</v>
      </c>
      <c r="J2522" s="7">
        <v>1</v>
      </c>
      <c r="K2522" s="10">
        <v>0.21053999999999998</v>
      </c>
      <c r="L2522" s="32"/>
      <c r="M2522" s="32"/>
      <c r="N2522" s="18">
        <v>0</v>
      </c>
      <c r="O2522" s="19">
        <v>1</v>
      </c>
      <c r="P2522" s="13">
        <v>0.21053999999999998</v>
      </c>
      <c r="Q2522" s="32"/>
      <c r="R2522" s="32"/>
      <c r="S2522" s="32"/>
    </row>
    <row r="2523" spans="1:19">
      <c r="A2523" s="45" t="s">
        <v>136</v>
      </c>
      <c r="B2523" s="48" t="s">
        <v>171</v>
      </c>
      <c r="C2523" s="32">
        <v>107</v>
      </c>
      <c r="D2523" s="32"/>
      <c r="E2523" s="48" t="s">
        <v>19</v>
      </c>
      <c r="F2523" s="48" t="s">
        <v>14</v>
      </c>
      <c r="G2523" s="48" t="s">
        <v>37</v>
      </c>
      <c r="H2523" s="11">
        <v>18.149999999999999</v>
      </c>
      <c r="I2523" s="52">
        <v>12</v>
      </c>
      <c r="J2523" s="7">
        <v>10</v>
      </c>
      <c r="K2523" s="10">
        <v>2.1779999999999999</v>
      </c>
      <c r="L2523" s="32"/>
      <c r="M2523" s="32"/>
      <c r="N2523" s="18">
        <v>0</v>
      </c>
      <c r="O2523" s="19">
        <v>10</v>
      </c>
      <c r="P2523" s="13">
        <v>2.1779999999999999</v>
      </c>
      <c r="Q2523" s="32"/>
      <c r="R2523" s="32"/>
      <c r="S2523" s="32"/>
    </row>
    <row r="2527" spans="1:19">
      <c r="A2527" s="44" t="s">
        <v>78</v>
      </c>
      <c r="B2527" s="3" t="s">
        <v>80</v>
      </c>
      <c r="C2527" s="3">
        <v>5</v>
      </c>
      <c r="D2527" s="1"/>
      <c r="E2527" s="20" t="s">
        <v>19</v>
      </c>
      <c r="F2527" s="7" t="s">
        <v>14</v>
      </c>
      <c r="G2527" s="7" t="s">
        <v>43</v>
      </c>
      <c r="H2527" s="11">
        <v>15.04</v>
      </c>
      <c r="I2527" s="8">
        <v>10.4</v>
      </c>
      <c r="J2527" s="26">
        <v>1</v>
      </c>
      <c r="K2527" s="10">
        <f t="shared" ref="K2527:K2528" si="238">(H2527*I2527*J2527/1000)</f>
        <v>0.156416</v>
      </c>
      <c r="L2527" s="4"/>
      <c r="M2527" s="17"/>
      <c r="N2527" s="18">
        <f t="shared" ref="N2527:N2528" si="239">I2527*M2527*H2527/1000</f>
        <v>0</v>
      </c>
      <c r="O2527" s="19">
        <f t="shared" ref="O2527:O2528" si="240">J2527-M2527</f>
        <v>1</v>
      </c>
      <c r="P2527" s="13">
        <f t="shared" ref="P2527:P2528" si="241">I2527*O2527*H2527/1000</f>
        <v>0.156416</v>
      </c>
      <c r="Q2527" s="9"/>
      <c r="R2527" s="32"/>
      <c r="S2527" s="32"/>
    </row>
    <row r="2528" spans="1:19">
      <c r="A2528" s="44" t="s">
        <v>78</v>
      </c>
      <c r="B2528" s="3" t="s">
        <v>80</v>
      </c>
      <c r="C2528" s="3">
        <v>5</v>
      </c>
      <c r="D2528" s="1"/>
      <c r="E2528" s="20" t="s">
        <v>19</v>
      </c>
      <c r="F2528" s="7" t="s">
        <v>14</v>
      </c>
      <c r="G2528" s="7" t="s">
        <v>43</v>
      </c>
      <c r="H2528" s="11">
        <v>15.04</v>
      </c>
      <c r="I2528" s="8">
        <v>8.1</v>
      </c>
      <c r="J2528" s="26">
        <v>1</v>
      </c>
      <c r="K2528" s="10">
        <f t="shared" si="238"/>
        <v>0.12182399999999999</v>
      </c>
      <c r="L2528" s="4"/>
      <c r="M2528" s="17">
        <v>1</v>
      </c>
      <c r="N2528" s="18">
        <f t="shared" si="239"/>
        <v>0.12182399999999999</v>
      </c>
      <c r="O2528" s="19">
        <f t="shared" si="240"/>
        <v>0</v>
      </c>
      <c r="P2528" s="13">
        <f t="shared" si="241"/>
        <v>0</v>
      </c>
      <c r="Q2528" s="73">
        <v>8.1</v>
      </c>
      <c r="R2528" s="72">
        <v>1</v>
      </c>
      <c r="S2528" s="72" t="s">
        <v>455</v>
      </c>
    </row>
    <row r="2531" spans="1:19">
      <c r="A2531" s="45" t="s">
        <v>136</v>
      </c>
      <c r="B2531" s="48" t="s">
        <v>171</v>
      </c>
      <c r="C2531" s="32">
        <v>130</v>
      </c>
      <c r="D2531" s="32"/>
      <c r="E2531" s="48" t="s">
        <v>106</v>
      </c>
      <c r="F2531" s="48" t="s">
        <v>15</v>
      </c>
      <c r="G2531" s="48" t="s">
        <v>32</v>
      </c>
      <c r="H2531" s="11">
        <v>8.3000000000000007</v>
      </c>
      <c r="I2531" s="52">
        <v>5.6</v>
      </c>
      <c r="J2531" s="7">
        <v>1</v>
      </c>
      <c r="K2531" s="10">
        <f t="shared" ref="K2531:K2535" si="242">(H2531*I2531*J2531/1000)</f>
        <v>4.6480000000000007E-2</v>
      </c>
      <c r="L2531" s="32"/>
      <c r="M2531" s="32">
        <v>1</v>
      </c>
      <c r="N2531" s="18">
        <f t="shared" ref="N2531:N2535" si="243">I2531*M2531*H2531/1000</f>
        <v>4.6480000000000007E-2</v>
      </c>
      <c r="O2531" s="19">
        <f t="shared" ref="O2531:O2535" si="244">J2531-M2531</f>
        <v>0</v>
      </c>
      <c r="P2531" s="13">
        <f t="shared" ref="P2531:P2535" si="245">I2531*O2531*H2531/1000</f>
        <v>0</v>
      </c>
      <c r="Q2531" s="32"/>
      <c r="R2531" s="72">
        <v>1</v>
      </c>
      <c r="S2531" s="72" t="s">
        <v>456</v>
      </c>
    </row>
    <row r="2532" spans="1:19">
      <c r="A2532" s="45" t="s">
        <v>136</v>
      </c>
      <c r="B2532" s="48" t="s">
        <v>171</v>
      </c>
      <c r="C2532" s="32">
        <v>130</v>
      </c>
      <c r="D2532" s="32"/>
      <c r="E2532" s="48" t="s">
        <v>106</v>
      </c>
      <c r="F2532" s="48" t="s">
        <v>15</v>
      </c>
      <c r="G2532" s="48" t="s">
        <v>32</v>
      </c>
      <c r="H2532" s="11">
        <v>8.3000000000000007</v>
      </c>
      <c r="I2532" s="52">
        <v>9.8000000000000007</v>
      </c>
      <c r="J2532" s="7">
        <v>1</v>
      </c>
      <c r="K2532" s="10">
        <f t="shared" si="242"/>
        <v>8.1340000000000023E-2</v>
      </c>
      <c r="L2532" s="32"/>
      <c r="M2532" s="32">
        <v>1</v>
      </c>
      <c r="N2532" s="18">
        <f t="shared" si="243"/>
        <v>8.1340000000000023E-2</v>
      </c>
      <c r="O2532" s="19">
        <f t="shared" si="244"/>
        <v>0</v>
      </c>
      <c r="P2532" s="13">
        <f t="shared" si="245"/>
        <v>0</v>
      </c>
      <c r="Q2532" s="32"/>
      <c r="R2532" s="72">
        <v>1</v>
      </c>
      <c r="S2532" s="72" t="s">
        <v>456</v>
      </c>
    </row>
    <row r="2533" spans="1:19">
      <c r="A2533" s="45" t="s">
        <v>136</v>
      </c>
      <c r="B2533" s="48" t="s">
        <v>171</v>
      </c>
      <c r="C2533" s="32">
        <v>130</v>
      </c>
      <c r="D2533" s="32"/>
      <c r="E2533" s="48" t="s">
        <v>106</v>
      </c>
      <c r="F2533" s="48" t="s">
        <v>15</v>
      </c>
      <c r="G2533" s="48" t="s">
        <v>32</v>
      </c>
      <c r="H2533" s="11">
        <v>8.3000000000000007</v>
      </c>
      <c r="I2533" s="52">
        <v>7</v>
      </c>
      <c r="J2533" s="7">
        <v>1</v>
      </c>
      <c r="K2533" s="10">
        <f t="shared" si="242"/>
        <v>5.8100000000000006E-2</v>
      </c>
      <c r="L2533" s="32"/>
      <c r="M2533" s="32">
        <v>1</v>
      </c>
      <c r="N2533" s="18">
        <f t="shared" si="243"/>
        <v>5.8100000000000006E-2</v>
      </c>
      <c r="O2533" s="19">
        <f t="shared" si="244"/>
        <v>0</v>
      </c>
      <c r="P2533" s="13">
        <f t="shared" si="245"/>
        <v>0</v>
      </c>
      <c r="Q2533" s="32"/>
      <c r="R2533" s="72">
        <v>1</v>
      </c>
      <c r="S2533" s="72" t="s">
        <v>456</v>
      </c>
    </row>
    <row r="2534" spans="1:19">
      <c r="A2534" s="45" t="s">
        <v>136</v>
      </c>
      <c r="B2534" s="48" t="s">
        <v>171</v>
      </c>
      <c r="C2534" s="32">
        <v>130</v>
      </c>
      <c r="D2534" s="32"/>
      <c r="E2534" s="48" t="s">
        <v>106</v>
      </c>
      <c r="F2534" s="48" t="s">
        <v>15</v>
      </c>
      <c r="G2534" s="48" t="s">
        <v>32</v>
      </c>
      <c r="H2534" s="11">
        <v>8.3000000000000007</v>
      </c>
      <c r="I2534" s="52">
        <v>8</v>
      </c>
      <c r="J2534" s="7">
        <v>1</v>
      </c>
      <c r="K2534" s="10">
        <f t="shared" si="242"/>
        <v>6.6400000000000001E-2</v>
      </c>
      <c r="L2534" s="32"/>
      <c r="M2534" s="32">
        <v>1</v>
      </c>
      <c r="N2534" s="18">
        <f t="shared" si="243"/>
        <v>6.6400000000000001E-2</v>
      </c>
      <c r="O2534" s="19">
        <f t="shared" si="244"/>
        <v>0</v>
      </c>
      <c r="P2534" s="13">
        <f t="shared" si="245"/>
        <v>0</v>
      </c>
      <c r="Q2534" s="32"/>
      <c r="R2534" s="72">
        <v>1</v>
      </c>
      <c r="S2534" s="72" t="s">
        <v>456</v>
      </c>
    </row>
    <row r="2535" spans="1:19">
      <c r="A2535" s="45" t="s">
        <v>136</v>
      </c>
      <c r="B2535" s="48" t="s">
        <v>171</v>
      </c>
      <c r="C2535" s="32">
        <v>130</v>
      </c>
      <c r="D2535" s="32"/>
      <c r="E2535" s="48" t="s">
        <v>106</v>
      </c>
      <c r="F2535" s="48" t="s">
        <v>15</v>
      </c>
      <c r="G2535" s="48" t="s">
        <v>32</v>
      </c>
      <c r="H2535" s="11">
        <v>8.3000000000000007</v>
      </c>
      <c r="I2535" s="52">
        <v>12</v>
      </c>
      <c r="J2535" s="7">
        <v>1</v>
      </c>
      <c r="K2535" s="10">
        <f t="shared" si="242"/>
        <v>9.9600000000000008E-2</v>
      </c>
      <c r="L2535" s="32"/>
      <c r="M2535" s="32">
        <v>1</v>
      </c>
      <c r="N2535" s="18">
        <f t="shared" si="243"/>
        <v>9.9600000000000008E-2</v>
      </c>
      <c r="O2535" s="19">
        <f t="shared" si="244"/>
        <v>0</v>
      </c>
      <c r="P2535" s="13">
        <f t="shared" si="245"/>
        <v>0</v>
      </c>
      <c r="Q2535" s="32"/>
      <c r="R2535" s="72">
        <v>1</v>
      </c>
      <c r="S2535" s="72" t="s">
        <v>456</v>
      </c>
    </row>
    <row r="2538" spans="1:19">
      <c r="A2538" s="42" t="s">
        <v>90</v>
      </c>
      <c r="B2538" s="48" t="s">
        <v>148</v>
      </c>
      <c r="C2538" s="32">
        <v>67</v>
      </c>
      <c r="D2538" s="32"/>
      <c r="E2538" s="48" t="s">
        <v>106</v>
      </c>
      <c r="F2538" s="48" t="s">
        <v>15</v>
      </c>
      <c r="G2538" s="48" t="s">
        <v>34</v>
      </c>
      <c r="H2538" s="11">
        <v>9.61</v>
      </c>
      <c r="I2538" s="52">
        <v>12</v>
      </c>
      <c r="J2538" s="7">
        <v>3</v>
      </c>
      <c r="K2538" s="10">
        <v>0.34595999999999999</v>
      </c>
      <c r="L2538" s="32"/>
      <c r="M2538" s="32">
        <v>3</v>
      </c>
      <c r="N2538" s="18">
        <v>0.34595999999999999</v>
      </c>
      <c r="O2538" s="19">
        <v>0</v>
      </c>
      <c r="P2538" s="13">
        <v>0</v>
      </c>
      <c r="Q2538" s="32"/>
      <c r="R2538" s="72">
        <v>3</v>
      </c>
      <c r="S2538" s="72" t="s">
        <v>456</v>
      </c>
    </row>
    <row r="2539" spans="1:19">
      <c r="A2539" s="45" t="s">
        <v>136</v>
      </c>
      <c r="B2539" s="32" t="s">
        <v>137</v>
      </c>
      <c r="C2539" s="3">
        <v>46</v>
      </c>
      <c r="D2539" s="32"/>
      <c r="E2539" s="20" t="s">
        <v>106</v>
      </c>
      <c r="F2539" s="7" t="s">
        <v>15</v>
      </c>
      <c r="G2539" s="7" t="s">
        <v>34</v>
      </c>
      <c r="H2539" s="11">
        <v>9.61</v>
      </c>
      <c r="I2539" s="33">
        <v>8.3000000000000007</v>
      </c>
      <c r="J2539" s="40">
        <v>2</v>
      </c>
      <c r="K2539" s="10">
        <v>0.159526</v>
      </c>
      <c r="L2539" s="4"/>
      <c r="M2539" s="17">
        <v>2</v>
      </c>
      <c r="N2539" s="18">
        <v>0.159526</v>
      </c>
      <c r="O2539" s="19">
        <v>0</v>
      </c>
      <c r="P2539" s="13">
        <v>0</v>
      </c>
      <c r="Q2539" s="32"/>
      <c r="R2539" s="72">
        <v>2</v>
      </c>
      <c r="S2539" s="72" t="s">
        <v>456</v>
      </c>
    </row>
    <row r="2540" spans="1:19">
      <c r="A2540" s="45" t="s">
        <v>136</v>
      </c>
      <c r="B2540" s="32" t="s">
        <v>137</v>
      </c>
      <c r="C2540" s="3">
        <v>46</v>
      </c>
      <c r="D2540" s="32"/>
      <c r="E2540" s="20" t="s">
        <v>106</v>
      </c>
      <c r="F2540" s="7" t="s">
        <v>15</v>
      </c>
      <c r="G2540" s="7" t="s">
        <v>34</v>
      </c>
      <c r="H2540" s="11">
        <v>9.61</v>
      </c>
      <c r="I2540" s="33">
        <v>6.5</v>
      </c>
      <c r="J2540" s="40">
        <v>1</v>
      </c>
      <c r="K2540" s="10">
        <v>6.2465E-2</v>
      </c>
      <c r="L2540" s="4"/>
      <c r="M2540" s="17">
        <v>1</v>
      </c>
      <c r="N2540" s="18">
        <v>6.2465E-2</v>
      </c>
      <c r="O2540" s="19">
        <v>0</v>
      </c>
      <c r="P2540" s="13">
        <v>0</v>
      </c>
      <c r="Q2540" s="32"/>
      <c r="R2540" s="72">
        <v>1</v>
      </c>
      <c r="S2540" s="72" t="s">
        <v>456</v>
      </c>
    </row>
    <row r="2541" spans="1:19">
      <c r="A2541" s="45" t="s">
        <v>136</v>
      </c>
      <c r="B2541" s="48" t="s">
        <v>171</v>
      </c>
      <c r="C2541" s="32">
        <v>152</v>
      </c>
      <c r="D2541" s="32"/>
      <c r="E2541" s="48" t="s">
        <v>106</v>
      </c>
      <c r="F2541" s="48" t="s">
        <v>15</v>
      </c>
      <c r="G2541" s="48" t="s">
        <v>34</v>
      </c>
      <c r="H2541" s="11">
        <v>9.61</v>
      </c>
      <c r="I2541" s="50">
        <v>8.5</v>
      </c>
      <c r="J2541" s="7">
        <v>1</v>
      </c>
      <c r="K2541" s="10">
        <v>8.1685000000000008E-2</v>
      </c>
      <c r="L2541" s="32"/>
      <c r="M2541" s="32">
        <v>1</v>
      </c>
      <c r="N2541" s="18">
        <v>8.1685000000000008E-2</v>
      </c>
      <c r="O2541" s="19">
        <v>0</v>
      </c>
      <c r="P2541" s="13">
        <v>0</v>
      </c>
      <c r="Q2541" s="32"/>
      <c r="R2541" s="72">
        <v>1</v>
      </c>
      <c r="S2541" s="72" t="s">
        <v>456</v>
      </c>
    </row>
    <row r="2542" spans="1:19">
      <c r="A2542" s="45" t="s">
        <v>136</v>
      </c>
      <c r="B2542" s="48" t="s">
        <v>171</v>
      </c>
      <c r="C2542" s="32">
        <v>152</v>
      </c>
      <c r="D2542" s="32"/>
      <c r="E2542" s="48" t="s">
        <v>106</v>
      </c>
      <c r="F2542" s="48" t="s">
        <v>15</v>
      </c>
      <c r="G2542" s="48" t="s">
        <v>34</v>
      </c>
      <c r="H2542" s="11">
        <v>9.61</v>
      </c>
      <c r="I2542" s="50">
        <v>10</v>
      </c>
      <c r="J2542" s="7">
        <v>1</v>
      </c>
      <c r="K2542" s="10">
        <v>9.6099999999999991E-2</v>
      </c>
      <c r="L2542" s="32"/>
      <c r="M2542" s="32">
        <v>1</v>
      </c>
      <c r="N2542" s="18">
        <v>9.6099999999999991E-2</v>
      </c>
      <c r="O2542" s="19">
        <v>0</v>
      </c>
      <c r="P2542" s="13">
        <v>0</v>
      </c>
      <c r="Q2542" s="32"/>
      <c r="R2542" s="72">
        <v>1</v>
      </c>
      <c r="S2542" s="72" t="s">
        <v>456</v>
      </c>
    </row>
    <row r="2543" spans="1:19">
      <c r="A2543" s="45" t="s">
        <v>136</v>
      </c>
      <c r="B2543" s="48" t="s">
        <v>171</v>
      </c>
      <c r="C2543" s="32">
        <v>152</v>
      </c>
      <c r="D2543" s="32"/>
      <c r="E2543" s="48" t="s">
        <v>106</v>
      </c>
      <c r="F2543" s="48" t="s">
        <v>15</v>
      </c>
      <c r="G2543" s="48" t="s">
        <v>34</v>
      </c>
      <c r="H2543" s="11">
        <v>9.61</v>
      </c>
      <c r="I2543" s="50">
        <v>12</v>
      </c>
      <c r="J2543" s="7">
        <v>1</v>
      </c>
      <c r="K2543" s="10">
        <v>0.11531999999999999</v>
      </c>
      <c r="L2543" s="32"/>
      <c r="M2543" s="32">
        <v>1</v>
      </c>
      <c r="N2543" s="18">
        <v>0.11531999999999999</v>
      </c>
      <c r="O2543" s="19">
        <v>0</v>
      </c>
      <c r="P2543" s="13">
        <v>0</v>
      </c>
      <c r="Q2543" s="32"/>
      <c r="R2543" s="72">
        <v>1</v>
      </c>
      <c r="S2543" s="72" t="s">
        <v>456</v>
      </c>
    </row>
    <row r="2547" spans="1:19">
      <c r="A2547" s="42" t="s">
        <v>77</v>
      </c>
      <c r="B2547" s="3" t="s">
        <v>68</v>
      </c>
      <c r="C2547" s="3">
        <v>187</v>
      </c>
      <c r="D2547" s="1"/>
      <c r="E2547" s="12" t="s">
        <v>20</v>
      </c>
      <c r="F2547" s="7" t="s">
        <v>15</v>
      </c>
      <c r="G2547" s="7" t="s">
        <v>48</v>
      </c>
      <c r="H2547" s="11">
        <v>23.6</v>
      </c>
      <c r="I2547" s="8">
        <v>7.2</v>
      </c>
      <c r="J2547" s="26">
        <v>1</v>
      </c>
      <c r="K2547" s="10">
        <v>0.16992000000000002</v>
      </c>
      <c r="L2547" s="4"/>
      <c r="M2547" s="17">
        <v>1</v>
      </c>
      <c r="N2547" s="18">
        <v>0.16992000000000002</v>
      </c>
      <c r="O2547" s="19">
        <v>0</v>
      </c>
      <c r="P2547" s="13">
        <v>0</v>
      </c>
      <c r="Q2547" s="73">
        <v>7</v>
      </c>
      <c r="R2547" s="74">
        <v>1</v>
      </c>
      <c r="S2547" s="74" t="s">
        <v>457</v>
      </c>
    </row>
    <row r="2548" spans="1:19">
      <c r="A2548" s="42" t="s">
        <v>77</v>
      </c>
      <c r="B2548" s="3" t="s">
        <v>68</v>
      </c>
      <c r="C2548" s="3">
        <v>225</v>
      </c>
      <c r="D2548" s="1"/>
      <c r="E2548" s="12" t="s">
        <v>20</v>
      </c>
      <c r="F2548" s="7" t="s">
        <v>15</v>
      </c>
      <c r="G2548" s="7" t="s">
        <v>48</v>
      </c>
      <c r="H2548" s="11">
        <v>23.6</v>
      </c>
      <c r="I2548" s="8">
        <v>9</v>
      </c>
      <c r="J2548" s="26">
        <v>1</v>
      </c>
      <c r="K2548" s="10">
        <v>0.21240000000000001</v>
      </c>
      <c r="L2548" s="4"/>
      <c r="M2548" s="17">
        <v>1</v>
      </c>
      <c r="N2548" s="18">
        <v>0.21240000000000001</v>
      </c>
      <c r="O2548" s="19">
        <v>0</v>
      </c>
      <c r="P2548" s="13">
        <v>0</v>
      </c>
      <c r="Q2548" s="73">
        <v>7</v>
      </c>
      <c r="R2548" s="74">
        <v>1</v>
      </c>
      <c r="S2548" s="74" t="s">
        <v>457</v>
      </c>
    </row>
    <row r="2549" spans="1:19">
      <c r="A2549" s="48" t="s">
        <v>179</v>
      </c>
      <c r="B2549" s="48" t="s">
        <v>180</v>
      </c>
      <c r="C2549" s="32"/>
      <c r="D2549" s="32"/>
      <c r="E2549" s="48" t="s">
        <v>152</v>
      </c>
      <c r="F2549" s="48" t="s">
        <v>15</v>
      </c>
      <c r="G2549" s="48" t="s">
        <v>48</v>
      </c>
      <c r="H2549" s="11">
        <v>23.6</v>
      </c>
      <c r="I2549" s="52">
        <v>10.9</v>
      </c>
      <c r="J2549" s="7">
        <v>1</v>
      </c>
      <c r="K2549" s="10">
        <v>0.25724000000000002</v>
      </c>
      <c r="L2549" s="32"/>
      <c r="M2549" s="32">
        <v>1</v>
      </c>
      <c r="N2549" s="18">
        <v>0.25724000000000002</v>
      </c>
      <c r="O2549" s="19">
        <v>0</v>
      </c>
      <c r="P2549" s="13">
        <v>0</v>
      </c>
      <c r="Q2549" s="75">
        <v>10</v>
      </c>
      <c r="R2549" s="72">
        <v>1</v>
      </c>
      <c r="S2549" s="74" t="s">
        <v>457</v>
      </c>
    </row>
    <row r="2550" spans="1:19">
      <c r="A2550" s="48" t="s">
        <v>179</v>
      </c>
      <c r="B2550" s="48" t="s">
        <v>180</v>
      </c>
      <c r="C2550" s="32"/>
      <c r="D2550" s="32"/>
      <c r="E2550" s="48" t="s">
        <v>152</v>
      </c>
      <c r="F2550" s="48" t="s">
        <v>15</v>
      </c>
      <c r="G2550" s="48" t="s">
        <v>48</v>
      </c>
      <c r="H2550" s="11">
        <v>23.6</v>
      </c>
      <c r="I2550" s="52">
        <v>11.6</v>
      </c>
      <c r="J2550" s="7">
        <v>1</v>
      </c>
      <c r="K2550" s="10">
        <v>0.27376</v>
      </c>
      <c r="L2550" s="32"/>
      <c r="M2550" s="32">
        <v>1</v>
      </c>
      <c r="N2550" s="18">
        <v>0.27376</v>
      </c>
      <c r="O2550" s="19">
        <v>0</v>
      </c>
      <c r="P2550" s="13">
        <v>0</v>
      </c>
      <c r="Q2550" s="75">
        <v>10</v>
      </c>
      <c r="R2550" s="72">
        <v>1</v>
      </c>
      <c r="S2550" s="74" t="s">
        <v>457</v>
      </c>
    </row>
    <row r="2551" spans="1:19">
      <c r="A2551" s="48" t="s">
        <v>179</v>
      </c>
      <c r="B2551" s="48" t="s">
        <v>180</v>
      </c>
      <c r="C2551" s="32"/>
      <c r="D2551" s="32"/>
      <c r="E2551" s="48" t="s">
        <v>152</v>
      </c>
      <c r="F2551" s="48" t="s">
        <v>15</v>
      </c>
      <c r="G2551" s="48" t="s">
        <v>48</v>
      </c>
      <c r="H2551" s="11">
        <v>23.6</v>
      </c>
      <c r="I2551" s="9">
        <v>6.7</v>
      </c>
      <c r="J2551" s="7">
        <v>2</v>
      </c>
      <c r="K2551" s="10">
        <v>0.31624000000000002</v>
      </c>
      <c r="L2551" s="32"/>
      <c r="M2551" s="32"/>
      <c r="N2551" s="18">
        <v>0</v>
      </c>
      <c r="O2551" s="19">
        <v>2</v>
      </c>
      <c r="P2551" s="13">
        <v>0.31624000000000002</v>
      </c>
      <c r="Q2551" s="32"/>
      <c r="R2551" s="32"/>
      <c r="S2551" s="32"/>
    </row>
    <row r="2552" spans="1:19">
      <c r="A2552" s="48" t="s">
        <v>179</v>
      </c>
      <c r="B2552" s="48" t="s">
        <v>180</v>
      </c>
      <c r="C2552" s="32"/>
      <c r="D2552" s="32"/>
      <c r="E2552" s="48" t="s">
        <v>152</v>
      </c>
      <c r="F2552" s="48" t="s">
        <v>15</v>
      </c>
      <c r="G2552" s="48" t="s">
        <v>48</v>
      </c>
      <c r="H2552" s="11">
        <v>23.6</v>
      </c>
      <c r="I2552" s="9">
        <v>6.9</v>
      </c>
      <c r="J2552" s="7">
        <v>1</v>
      </c>
      <c r="K2552" s="10">
        <v>0.16284000000000004</v>
      </c>
      <c r="L2552" s="32"/>
      <c r="M2552" s="32">
        <v>1</v>
      </c>
      <c r="N2552" s="18">
        <v>0.16284000000000004</v>
      </c>
      <c r="O2552" s="19">
        <v>0</v>
      </c>
      <c r="P2552" s="13">
        <v>0</v>
      </c>
      <c r="Q2552" s="75">
        <v>7</v>
      </c>
      <c r="R2552" s="72">
        <v>1</v>
      </c>
      <c r="S2552" s="74" t="s">
        <v>457</v>
      </c>
    </row>
    <row r="2553" spans="1:19">
      <c r="A2553" s="48" t="s">
        <v>179</v>
      </c>
      <c r="B2553" s="48" t="s">
        <v>180</v>
      </c>
      <c r="C2553" s="32"/>
      <c r="D2553" s="32"/>
      <c r="E2553" s="48" t="s">
        <v>152</v>
      </c>
      <c r="F2553" s="48" t="s">
        <v>15</v>
      </c>
      <c r="G2553" s="48" t="s">
        <v>48</v>
      </c>
      <c r="H2553" s="11">
        <v>23.6</v>
      </c>
      <c r="I2553" s="9">
        <v>7</v>
      </c>
      <c r="J2553" s="7">
        <v>1</v>
      </c>
      <c r="K2553" s="10">
        <v>0.16520000000000001</v>
      </c>
      <c r="L2553" s="32"/>
      <c r="M2553" s="32">
        <v>1</v>
      </c>
      <c r="N2553" s="18">
        <v>0.16520000000000001</v>
      </c>
      <c r="O2553" s="19">
        <v>0</v>
      </c>
      <c r="P2553" s="13">
        <v>0</v>
      </c>
      <c r="Q2553" s="75">
        <v>7</v>
      </c>
      <c r="R2553" s="72">
        <v>1</v>
      </c>
      <c r="S2553" s="74" t="s">
        <v>457</v>
      </c>
    </row>
    <row r="2554" spans="1:19">
      <c r="A2554" s="42" t="s">
        <v>84</v>
      </c>
      <c r="B2554" s="3" t="s">
        <v>120</v>
      </c>
      <c r="C2554" s="3">
        <v>2</v>
      </c>
      <c r="D2554" s="1"/>
      <c r="E2554" s="20" t="s">
        <v>76</v>
      </c>
      <c r="F2554" s="7" t="s">
        <v>15</v>
      </c>
      <c r="G2554" s="7" t="s">
        <v>48</v>
      </c>
      <c r="H2554" s="11">
        <v>23.6</v>
      </c>
      <c r="I2554" s="8">
        <v>10.7</v>
      </c>
      <c r="J2554" s="26">
        <v>1</v>
      </c>
      <c r="K2554" s="10">
        <v>0.25252000000000002</v>
      </c>
      <c r="L2554" s="4"/>
      <c r="M2554" s="17">
        <v>1</v>
      </c>
      <c r="N2554" s="18">
        <v>0.25252000000000002</v>
      </c>
      <c r="O2554" s="19">
        <v>0</v>
      </c>
      <c r="P2554" s="13">
        <v>0</v>
      </c>
      <c r="Q2554" s="73">
        <v>10</v>
      </c>
      <c r="R2554" s="74">
        <v>1</v>
      </c>
      <c r="S2554" s="74" t="s">
        <v>457</v>
      </c>
    </row>
    <row r="2555" spans="1:19">
      <c r="A2555" s="42" t="s">
        <v>90</v>
      </c>
      <c r="B2555" s="48" t="s">
        <v>148</v>
      </c>
      <c r="C2555" s="32">
        <v>78</v>
      </c>
      <c r="D2555" s="32"/>
      <c r="E2555" s="69" t="s">
        <v>20</v>
      </c>
      <c r="F2555" s="69" t="s">
        <v>15</v>
      </c>
      <c r="G2555" s="69" t="s">
        <v>48</v>
      </c>
      <c r="H2555" s="61">
        <v>23.6</v>
      </c>
      <c r="I2555" s="70">
        <v>12</v>
      </c>
      <c r="J2555" s="60">
        <v>1</v>
      </c>
      <c r="K2555" s="62">
        <v>0.28320000000000006</v>
      </c>
      <c r="L2555" s="256" t="s">
        <v>158</v>
      </c>
      <c r="M2555" s="67"/>
      <c r="N2555" s="63">
        <v>0</v>
      </c>
      <c r="O2555" s="64">
        <v>1</v>
      </c>
      <c r="P2555" s="65">
        <v>0.28320000000000006</v>
      </c>
      <c r="Q2555" s="32"/>
      <c r="R2555" s="32"/>
      <c r="S2555" s="32"/>
    </row>
    <row r="2556" spans="1:19">
      <c r="A2556" s="42" t="s">
        <v>90</v>
      </c>
      <c r="B2556" s="3"/>
      <c r="C2556" s="3">
        <v>241</v>
      </c>
      <c r="D2556" s="1"/>
      <c r="E2556" s="20" t="s">
        <v>17</v>
      </c>
      <c r="F2556" s="7" t="s">
        <v>15</v>
      </c>
      <c r="G2556" s="7" t="s">
        <v>48</v>
      </c>
      <c r="H2556" s="11">
        <v>23.6</v>
      </c>
      <c r="I2556" s="8">
        <v>9.4</v>
      </c>
      <c r="J2556" s="26">
        <v>3</v>
      </c>
      <c r="K2556" s="10">
        <v>0.66552000000000011</v>
      </c>
      <c r="L2556" s="4"/>
      <c r="M2556" s="17">
        <v>3</v>
      </c>
      <c r="N2556" s="18">
        <v>0.66552000000000011</v>
      </c>
      <c r="O2556" s="19">
        <v>0</v>
      </c>
      <c r="P2556" s="13">
        <v>0</v>
      </c>
      <c r="Q2556" s="33"/>
      <c r="R2556" s="32"/>
      <c r="S2556" s="32"/>
    </row>
    <row r="2557" spans="1:19">
      <c r="A2557" s="44" t="s">
        <v>78</v>
      </c>
      <c r="B2557" s="3" t="s">
        <v>80</v>
      </c>
      <c r="C2557" s="3">
        <v>4</v>
      </c>
      <c r="D2557" s="1"/>
      <c r="E2557" s="20" t="s">
        <v>20</v>
      </c>
      <c r="F2557" s="7" t="s">
        <v>15</v>
      </c>
      <c r="G2557" s="7" t="s">
        <v>48</v>
      </c>
      <c r="H2557" s="11">
        <v>23.6</v>
      </c>
      <c r="I2557" s="8">
        <v>7.6</v>
      </c>
      <c r="J2557" s="26">
        <v>2</v>
      </c>
      <c r="K2557" s="10">
        <v>0.35872000000000004</v>
      </c>
      <c r="L2557" s="4"/>
      <c r="M2557" s="17">
        <v>2</v>
      </c>
      <c r="N2557" s="18">
        <v>0.35872000000000004</v>
      </c>
      <c r="O2557" s="19">
        <v>0</v>
      </c>
      <c r="P2557" s="13">
        <v>0</v>
      </c>
      <c r="Q2557" s="75">
        <v>7</v>
      </c>
      <c r="R2557" s="72">
        <v>2</v>
      </c>
      <c r="S2557" s="74" t="s">
        <v>457</v>
      </c>
    </row>
    <row r="2558" spans="1:19">
      <c r="A2558" s="45" t="s">
        <v>136</v>
      </c>
      <c r="B2558" s="32" t="s">
        <v>137</v>
      </c>
      <c r="C2558" s="3">
        <v>71</v>
      </c>
      <c r="D2558" s="32"/>
      <c r="E2558" s="20" t="s">
        <v>20</v>
      </c>
      <c r="F2558" s="7" t="s">
        <v>15</v>
      </c>
      <c r="G2558" s="7" t="s">
        <v>48</v>
      </c>
      <c r="H2558" s="11">
        <v>23.6</v>
      </c>
      <c r="I2558" s="55">
        <v>8.6999999999999993</v>
      </c>
      <c r="J2558" s="40">
        <v>1</v>
      </c>
      <c r="K2558" s="10">
        <v>0.20532</v>
      </c>
      <c r="L2558" s="4"/>
      <c r="M2558" s="17">
        <v>1</v>
      </c>
      <c r="N2558" s="18">
        <v>0.20532</v>
      </c>
      <c r="O2558" s="19">
        <v>0</v>
      </c>
      <c r="P2558" s="13">
        <v>0</v>
      </c>
      <c r="Q2558" s="75">
        <v>7</v>
      </c>
      <c r="R2558" s="72">
        <v>1</v>
      </c>
      <c r="S2558" s="74" t="s">
        <v>457</v>
      </c>
    </row>
    <row r="2559" spans="1:19">
      <c r="A2559" s="45" t="s">
        <v>136</v>
      </c>
      <c r="B2559" s="32" t="s">
        <v>137</v>
      </c>
      <c r="C2559" s="3">
        <v>97</v>
      </c>
      <c r="D2559" s="32"/>
      <c r="E2559" s="20" t="s">
        <v>113</v>
      </c>
      <c r="F2559" s="7" t="s">
        <v>15</v>
      </c>
      <c r="G2559" s="7" t="s">
        <v>48</v>
      </c>
      <c r="H2559" s="11">
        <v>23.6</v>
      </c>
      <c r="I2559" s="55">
        <v>8</v>
      </c>
      <c r="J2559" s="41">
        <v>1</v>
      </c>
      <c r="K2559" s="10">
        <v>0.18880000000000002</v>
      </c>
      <c r="L2559" s="4"/>
      <c r="M2559" s="17">
        <v>1</v>
      </c>
      <c r="N2559" s="18">
        <v>0.18880000000000002</v>
      </c>
      <c r="O2559" s="19">
        <v>0</v>
      </c>
      <c r="P2559" s="13">
        <v>0</v>
      </c>
      <c r="Q2559" s="75">
        <v>7</v>
      </c>
      <c r="R2559" s="72">
        <v>1</v>
      </c>
      <c r="S2559" s="74" t="s">
        <v>457</v>
      </c>
    </row>
    <row r="2560" spans="1:19">
      <c r="A2560" s="45" t="s">
        <v>136</v>
      </c>
      <c r="B2560" s="32" t="s">
        <v>137</v>
      </c>
      <c r="C2560" s="3">
        <v>97</v>
      </c>
      <c r="D2560" s="32"/>
      <c r="E2560" s="20" t="s">
        <v>113</v>
      </c>
      <c r="F2560" s="7" t="s">
        <v>15</v>
      </c>
      <c r="G2560" s="7" t="s">
        <v>48</v>
      </c>
      <c r="H2560" s="11">
        <v>23.6</v>
      </c>
      <c r="I2560" s="55">
        <v>7.2</v>
      </c>
      <c r="J2560" s="41">
        <v>1</v>
      </c>
      <c r="K2560" s="10">
        <v>0.16992000000000002</v>
      </c>
      <c r="L2560" s="4"/>
      <c r="M2560" s="17">
        <v>1</v>
      </c>
      <c r="N2560" s="18">
        <v>0.16992000000000002</v>
      </c>
      <c r="O2560" s="19">
        <v>0</v>
      </c>
      <c r="P2560" s="13">
        <v>0</v>
      </c>
      <c r="Q2560" s="75">
        <v>7</v>
      </c>
      <c r="R2560" s="72">
        <v>1</v>
      </c>
      <c r="S2560" s="74" t="s">
        <v>457</v>
      </c>
    </row>
    <row r="2561" spans="1:19">
      <c r="A2561" s="45" t="s">
        <v>136</v>
      </c>
      <c r="B2561" s="48" t="s">
        <v>171</v>
      </c>
      <c r="C2561" s="32">
        <v>140</v>
      </c>
      <c r="D2561" s="32"/>
      <c r="E2561" s="48" t="s">
        <v>96</v>
      </c>
      <c r="F2561" s="48" t="s">
        <v>15</v>
      </c>
      <c r="G2561" s="48" t="s">
        <v>48</v>
      </c>
      <c r="H2561" s="11">
        <v>23.6</v>
      </c>
      <c r="I2561" s="8">
        <v>7.6</v>
      </c>
      <c r="J2561" s="7">
        <v>3</v>
      </c>
      <c r="K2561" s="10">
        <v>0.53808</v>
      </c>
      <c r="L2561" s="32"/>
      <c r="M2561" s="32">
        <v>3</v>
      </c>
      <c r="N2561" s="18">
        <v>0.53807999999999989</v>
      </c>
      <c r="O2561" s="19">
        <v>0</v>
      </c>
      <c r="P2561" s="13">
        <v>0</v>
      </c>
      <c r="Q2561" s="75">
        <v>7</v>
      </c>
      <c r="R2561" s="72">
        <v>3</v>
      </c>
      <c r="S2561" s="74" t="s">
        <v>457</v>
      </c>
    </row>
    <row r="2562" spans="1:19">
      <c r="O2562" s="215">
        <f>SUM(O2547:O2561)</f>
        <v>3</v>
      </c>
      <c r="R2562" s="215">
        <f>SUM(R2547:R2561)</f>
        <v>15</v>
      </c>
    </row>
    <row r="2564" spans="1:19">
      <c r="A2564" s="42" t="s">
        <v>77</v>
      </c>
      <c r="B2564" s="3" t="s">
        <v>68</v>
      </c>
      <c r="C2564" s="3">
        <v>171</v>
      </c>
      <c r="D2564" s="1"/>
      <c r="E2564" s="20" t="s">
        <v>70</v>
      </c>
      <c r="F2564" s="7" t="s">
        <v>15</v>
      </c>
      <c r="G2564" s="7" t="s">
        <v>49</v>
      </c>
      <c r="H2564" s="11">
        <v>17.82</v>
      </c>
      <c r="I2564" s="8">
        <v>9.5</v>
      </c>
      <c r="J2564" s="26">
        <v>1</v>
      </c>
      <c r="K2564" s="10">
        <v>0.16929</v>
      </c>
      <c r="L2564" s="4"/>
      <c r="M2564" s="17"/>
      <c r="N2564" s="18">
        <v>0</v>
      </c>
      <c r="O2564" s="19">
        <v>1</v>
      </c>
      <c r="P2564" s="13">
        <v>0.16929</v>
      </c>
      <c r="Q2564" s="9"/>
      <c r="R2564" s="2"/>
      <c r="S2564" s="2"/>
    </row>
    <row r="2565" spans="1:19">
      <c r="A2565" s="42" t="s">
        <v>77</v>
      </c>
      <c r="B2565" s="3" t="s">
        <v>68</v>
      </c>
      <c r="C2565" s="3">
        <v>224</v>
      </c>
      <c r="D2565" s="1"/>
      <c r="E2565" s="12" t="s">
        <v>20</v>
      </c>
      <c r="F2565" s="7" t="s">
        <v>15</v>
      </c>
      <c r="G2565" s="7" t="s">
        <v>49</v>
      </c>
      <c r="H2565" s="11">
        <v>17.82</v>
      </c>
      <c r="I2565" s="8">
        <v>7.7</v>
      </c>
      <c r="J2565" s="26">
        <v>1</v>
      </c>
      <c r="K2565" s="10">
        <v>0.137214</v>
      </c>
      <c r="L2565" s="4"/>
      <c r="M2565" s="17">
        <v>1</v>
      </c>
      <c r="N2565" s="18">
        <v>0.137214</v>
      </c>
      <c r="O2565" s="19">
        <v>0</v>
      </c>
      <c r="P2565" s="13">
        <v>0</v>
      </c>
      <c r="Q2565" s="73"/>
      <c r="R2565" s="74">
        <v>1</v>
      </c>
      <c r="S2565" s="74" t="s">
        <v>442</v>
      </c>
    </row>
    <row r="2566" spans="1:19">
      <c r="A2566" s="42" t="s">
        <v>77</v>
      </c>
      <c r="B2566" s="3" t="s">
        <v>68</v>
      </c>
      <c r="C2566" s="3">
        <v>224</v>
      </c>
      <c r="D2566" s="1"/>
      <c r="E2566" s="12" t="s">
        <v>20</v>
      </c>
      <c r="F2566" s="7" t="s">
        <v>15</v>
      </c>
      <c r="G2566" s="7" t="s">
        <v>49</v>
      </c>
      <c r="H2566" s="11">
        <v>17.82</v>
      </c>
      <c r="I2566" s="8">
        <v>8.5</v>
      </c>
      <c r="J2566" s="26">
        <v>1</v>
      </c>
      <c r="K2566" s="10">
        <v>0.15146999999999999</v>
      </c>
      <c r="L2566" s="4"/>
      <c r="M2566" s="17">
        <v>1</v>
      </c>
      <c r="N2566" s="18">
        <v>0.15146999999999999</v>
      </c>
      <c r="O2566" s="19">
        <v>0</v>
      </c>
      <c r="P2566" s="13">
        <v>0</v>
      </c>
      <c r="Q2566" s="73"/>
      <c r="R2566" s="74">
        <v>1</v>
      </c>
      <c r="S2566" s="74" t="s">
        <v>442</v>
      </c>
    </row>
    <row r="2567" spans="1:19">
      <c r="A2567" s="42" t="s">
        <v>84</v>
      </c>
      <c r="B2567" s="3" t="s">
        <v>124</v>
      </c>
      <c r="C2567" s="3">
        <v>1</v>
      </c>
      <c r="D2567" s="1"/>
      <c r="E2567" s="20" t="s">
        <v>114</v>
      </c>
      <c r="F2567" s="7" t="s">
        <v>15</v>
      </c>
      <c r="G2567" s="7" t="s">
        <v>49</v>
      </c>
      <c r="H2567" s="11">
        <v>17.82</v>
      </c>
      <c r="I2567" s="8">
        <v>9.4</v>
      </c>
      <c r="J2567" s="26">
        <v>9</v>
      </c>
      <c r="K2567" s="10">
        <v>1.5075720000000001</v>
      </c>
      <c r="L2567" s="4"/>
      <c r="M2567" s="17"/>
      <c r="N2567" s="18">
        <v>0</v>
      </c>
      <c r="O2567" s="19">
        <v>9</v>
      </c>
      <c r="P2567" s="13">
        <v>1.5075720000000001</v>
      </c>
      <c r="Q2567" s="73"/>
      <c r="R2567" s="74"/>
      <c r="S2567" s="74"/>
    </row>
    <row r="2568" spans="1:19">
      <c r="A2568" s="42" t="s">
        <v>90</v>
      </c>
      <c r="B2568" s="3"/>
      <c r="C2568" s="3">
        <v>142</v>
      </c>
      <c r="D2568" s="1" t="s">
        <v>93</v>
      </c>
      <c r="E2568" s="12" t="s">
        <v>20</v>
      </c>
      <c r="F2568" s="7" t="s">
        <v>15</v>
      </c>
      <c r="G2568" s="7" t="s">
        <v>49</v>
      </c>
      <c r="H2568" s="11">
        <v>17.82</v>
      </c>
      <c r="I2568" s="8">
        <v>6</v>
      </c>
      <c r="J2568" s="26">
        <v>1</v>
      </c>
      <c r="K2568" s="10">
        <v>0.10692</v>
      </c>
      <c r="L2568" s="4"/>
      <c r="M2568" s="17">
        <v>1</v>
      </c>
      <c r="N2568" s="18">
        <v>0.10692</v>
      </c>
      <c r="O2568" s="19">
        <v>0</v>
      </c>
      <c r="P2568" s="13">
        <v>0</v>
      </c>
      <c r="Q2568" s="73"/>
      <c r="R2568" s="74">
        <v>1</v>
      </c>
      <c r="S2568" s="74" t="s">
        <v>442</v>
      </c>
    </row>
    <row r="2569" spans="1:19">
      <c r="A2569" s="42" t="s">
        <v>90</v>
      </c>
      <c r="B2569" s="3"/>
      <c r="C2569" s="3">
        <v>142</v>
      </c>
      <c r="D2569" s="1" t="s">
        <v>93</v>
      </c>
      <c r="E2569" s="12" t="s">
        <v>20</v>
      </c>
      <c r="F2569" s="7" t="s">
        <v>15</v>
      </c>
      <c r="G2569" s="7" t="s">
        <v>49</v>
      </c>
      <c r="H2569" s="11">
        <v>17.82</v>
      </c>
      <c r="I2569" s="8">
        <v>8.6</v>
      </c>
      <c r="J2569" s="26">
        <v>1</v>
      </c>
      <c r="K2569" s="10">
        <v>0.153252</v>
      </c>
      <c r="L2569" s="4"/>
      <c r="M2569" s="17">
        <v>1</v>
      </c>
      <c r="N2569" s="18">
        <v>0.153252</v>
      </c>
      <c r="O2569" s="19">
        <v>0</v>
      </c>
      <c r="P2569" s="13">
        <v>0</v>
      </c>
      <c r="Q2569" s="73"/>
      <c r="R2569" s="74">
        <v>1</v>
      </c>
      <c r="S2569" s="74" t="s">
        <v>442</v>
      </c>
    </row>
    <row r="2570" spans="1:19">
      <c r="A2570" s="42" t="s">
        <v>90</v>
      </c>
      <c r="B2570" s="3"/>
      <c r="C2570" s="3">
        <v>148</v>
      </c>
      <c r="D2570" s="1"/>
      <c r="E2570" s="12" t="s">
        <v>96</v>
      </c>
      <c r="F2570" s="7" t="s">
        <v>15</v>
      </c>
      <c r="G2570" s="7" t="s">
        <v>49</v>
      </c>
      <c r="H2570" s="11">
        <v>17.82</v>
      </c>
      <c r="I2570" s="8">
        <v>6.1</v>
      </c>
      <c r="J2570" s="26">
        <v>1</v>
      </c>
      <c r="K2570" s="10">
        <v>0.10870199999999999</v>
      </c>
      <c r="L2570" s="4"/>
      <c r="M2570" s="17">
        <v>1</v>
      </c>
      <c r="N2570" s="18">
        <v>0.10870199999999999</v>
      </c>
      <c r="O2570" s="19">
        <v>0</v>
      </c>
      <c r="P2570" s="13">
        <v>0</v>
      </c>
      <c r="Q2570" s="73"/>
      <c r="R2570" s="74">
        <v>1</v>
      </c>
      <c r="S2570" s="74" t="s">
        <v>442</v>
      </c>
    </row>
    <row r="2571" spans="1:19">
      <c r="A2571" s="42" t="s">
        <v>90</v>
      </c>
      <c r="B2571" s="3"/>
      <c r="C2571" s="3">
        <v>148</v>
      </c>
      <c r="D2571" s="1"/>
      <c r="E2571" s="12" t="s">
        <v>96</v>
      </c>
      <c r="F2571" s="7" t="s">
        <v>15</v>
      </c>
      <c r="G2571" s="7" t="s">
        <v>49</v>
      </c>
      <c r="H2571" s="11">
        <v>17.82</v>
      </c>
      <c r="I2571" s="8">
        <v>6</v>
      </c>
      <c r="J2571" s="26">
        <v>1</v>
      </c>
      <c r="K2571" s="10">
        <v>0.10692</v>
      </c>
      <c r="L2571" s="4"/>
      <c r="M2571" s="17">
        <v>1</v>
      </c>
      <c r="N2571" s="18">
        <v>0.10692</v>
      </c>
      <c r="O2571" s="19">
        <v>0</v>
      </c>
      <c r="P2571" s="13">
        <v>0</v>
      </c>
      <c r="Q2571" s="73"/>
      <c r="R2571" s="74">
        <v>1</v>
      </c>
      <c r="S2571" s="74" t="s">
        <v>442</v>
      </c>
    </row>
    <row r="2572" spans="1:19">
      <c r="A2572" s="42" t="s">
        <v>90</v>
      </c>
      <c r="B2572" s="3"/>
      <c r="C2572" s="3">
        <v>148</v>
      </c>
      <c r="D2572" s="1"/>
      <c r="E2572" s="12" t="s">
        <v>96</v>
      </c>
      <c r="F2572" s="7" t="s">
        <v>15</v>
      </c>
      <c r="G2572" s="7" t="s">
        <v>49</v>
      </c>
      <c r="H2572" s="11">
        <v>17.82</v>
      </c>
      <c r="I2572" s="8">
        <v>9</v>
      </c>
      <c r="J2572" s="26">
        <v>2</v>
      </c>
      <c r="K2572" s="10">
        <v>0.32075999999999999</v>
      </c>
      <c r="L2572" s="4"/>
      <c r="M2572" s="17">
        <v>2</v>
      </c>
      <c r="N2572" s="18">
        <v>0.32075999999999999</v>
      </c>
      <c r="O2572" s="19">
        <v>0</v>
      </c>
      <c r="P2572" s="13">
        <v>0</v>
      </c>
      <c r="Q2572" s="73"/>
      <c r="R2572" s="74">
        <v>2</v>
      </c>
      <c r="S2572" s="74" t="s">
        <v>442</v>
      </c>
    </row>
    <row r="2573" spans="1:19">
      <c r="A2573" s="42" t="s">
        <v>90</v>
      </c>
      <c r="B2573" s="3"/>
      <c r="C2573" s="3">
        <v>148</v>
      </c>
      <c r="D2573" s="1"/>
      <c r="E2573" s="12" t="s">
        <v>96</v>
      </c>
      <c r="F2573" s="7" t="s">
        <v>15</v>
      </c>
      <c r="G2573" s="7" t="s">
        <v>49</v>
      </c>
      <c r="H2573" s="11">
        <v>17.82</v>
      </c>
      <c r="I2573" s="8">
        <v>7.7</v>
      </c>
      <c r="J2573" s="26">
        <v>1</v>
      </c>
      <c r="K2573" s="10">
        <v>0.137214</v>
      </c>
      <c r="L2573" s="4"/>
      <c r="M2573" s="17">
        <v>1</v>
      </c>
      <c r="N2573" s="18">
        <v>0.137214</v>
      </c>
      <c r="O2573" s="19">
        <v>0</v>
      </c>
      <c r="P2573" s="13">
        <v>0</v>
      </c>
      <c r="Q2573" s="73"/>
      <c r="R2573" s="74">
        <v>1</v>
      </c>
      <c r="S2573" s="74" t="s">
        <v>442</v>
      </c>
    </row>
    <row r="2574" spans="1:19">
      <c r="A2574" s="42" t="s">
        <v>90</v>
      </c>
      <c r="B2574" s="3"/>
      <c r="C2574" s="3">
        <v>197</v>
      </c>
      <c r="D2574" s="1"/>
      <c r="E2574" s="20" t="s">
        <v>17</v>
      </c>
      <c r="F2574" s="7" t="s">
        <v>15</v>
      </c>
      <c r="G2574" s="7" t="s">
        <v>49</v>
      </c>
      <c r="H2574" s="11">
        <v>17.82</v>
      </c>
      <c r="I2574" s="8">
        <v>12</v>
      </c>
      <c r="J2574" s="17">
        <v>3</v>
      </c>
      <c r="K2574" s="10">
        <v>0.64151999999999998</v>
      </c>
      <c r="L2574" s="4"/>
      <c r="M2574" s="17">
        <v>3</v>
      </c>
      <c r="N2574" s="18">
        <v>0.64151999999999998</v>
      </c>
      <c r="O2574" s="19">
        <v>0</v>
      </c>
      <c r="P2574" s="13">
        <v>0</v>
      </c>
      <c r="Q2574" s="81">
        <v>12</v>
      </c>
      <c r="R2574" s="74">
        <v>3</v>
      </c>
      <c r="S2574" s="74" t="s">
        <v>442</v>
      </c>
    </row>
    <row r="2575" spans="1:19">
      <c r="A2575" s="42" t="s">
        <v>90</v>
      </c>
      <c r="B2575" s="3"/>
      <c r="C2575" s="3">
        <v>198</v>
      </c>
      <c r="D2575" s="1"/>
      <c r="E2575" s="20" t="s">
        <v>17</v>
      </c>
      <c r="F2575" s="7" t="s">
        <v>15</v>
      </c>
      <c r="G2575" s="7" t="s">
        <v>49</v>
      </c>
      <c r="H2575" s="11">
        <v>17.82</v>
      </c>
      <c r="I2575" s="8">
        <v>5.4</v>
      </c>
      <c r="J2575" s="17">
        <v>1</v>
      </c>
      <c r="K2575" s="10">
        <v>9.6228000000000008E-2</v>
      </c>
      <c r="L2575" s="4"/>
      <c r="M2575" s="17"/>
      <c r="N2575" s="18">
        <v>0</v>
      </c>
      <c r="O2575" s="19">
        <v>1</v>
      </c>
      <c r="P2575" s="13">
        <v>9.6228000000000008E-2</v>
      </c>
      <c r="Q2575" s="50"/>
      <c r="R2575" s="2"/>
      <c r="S2575" s="2"/>
    </row>
    <row r="2576" spans="1:19">
      <c r="A2576" s="42" t="s">
        <v>90</v>
      </c>
      <c r="B2576" s="3"/>
      <c r="C2576" s="3">
        <v>198</v>
      </c>
      <c r="D2576" s="1"/>
      <c r="E2576" s="20" t="s">
        <v>17</v>
      </c>
      <c r="F2576" s="7" t="s">
        <v>15</v>
      </c>
      <c r="G2576" s="7" t="s">
        <v>49</v>
      </c>
      <c r="H2576" s="11">
        <v>17.82</v>
      </c>
      <c r="I2576" s="8">
        <v>5.5</v>
      </c>
      <c r="J2576" s="17">
        <v>1</v>
      </c>
      <c r="K2576" s="10">
        <v>9.801E-2</v>
      </c>
      <c r="L2576" s="4"/>
      <c r="M2576" s="17"/>
      <c r="N2576" s="18">
        <v>0</v>
      </c>
      <c r="O2576" s="19">
        <v>1</v>
      </c>
      <c r="P2576" s="13">
        <v>9.801E-2</v>
      </c>
      <c r="Q2576" s="50"/>
      <c r="R2576" s="2"/>
      <c r="S2576" s="2"/>
    </row>
    <row r="2577" spans="1:19">
      <c r="A2577" s="42" t="s">
        <v>90</v>
      </c>
      <c r="B2577" s="3"/>
      <c r="C2577" s="3">
        <v>198</v>
      </c>
      <c r="D2577" s="1"/>
      <c r="E2577" s="20" t="s">
        <v>17</v>
      </c>
      <c r="F2577" s="7" t="s">
        <v>15</v>
      </c>
      <c r="G2577" s="7" t="s">
        <v>49</v>
      </c>
      <c r="H2577" s="11">
        <v>17.82</v>
      </c>
      <c r="I2577" s="8">
        <v>5.7</v>
      </c>
      <c r="J2577" s="17">
        <v>1</v>
      </c>
      <c r="K2577" s="10">
        <v>0.101574</v>
      </c>
      <c r="L2577" s="4"/>
      <c r="M2577" s="17"/>
      <c r="N2577" s="18">
        <v>0</v>
      </c>
      <c r="O2577" s="19">
        <v>1</v>
      </c>
      <c r="P2577" s="13">
        <v>0.101574</v>
      </c>
      <c r="Q2577" s="50"/>
      <c r="R2577" s="2"/>
      <c r="S2577" s="2"/>
    </row>
    <row r="2578" spans="1:19">
      <c r="A2578" s="42" t="s">
        <v>90</v>
      </c>
      <c r="B2578" s="3"/>
      <c r="C2578" s="3">
        <v>198</v>
      </c>
      <c r="D2578" s="1"/>
      <c r="E2578" s="20" t="s">
        <v>17</v>
      </c>
      <c r="F2578" s="7" t="s">
        <v>15</v>
      </c>
      <c r="G2578" s="7" t="s">
        <v>49</v>
      </c>
      <c r="H2578" s="11">
        <v>17.82</v>
      </c>
      <c r="I2578" s="8">
        <v>5.8</v>
      </c>
      <c r="J2578" s="17">
        <v>1</v>
      </c>
      <c r="K2578" s="10">
        <v>0.10335599999999999</v>
      </c>
      <c r="L2578" s="4"/>
      <c r="M2578" s="17"/>
      <c r="N2578" s="18">
        <v>0</v>
      </c>
      <c r="O2578" s="19">
        <v>1</v>
      </c>
      <c r="P2578" s="13">
        <v>0.10335599999999999</v>
      </c>
      <c r="Q2578" s="50"/>
      <c r="R2578" s="2"/>
      <c r="S2578" s="2"/>
    </row>
    <row r="2579" spans="1:19">
      <c r="A2579" s="42" t="s">
        <v>90</v>
      </c>
      <c r="B2579" s="3"/>
      <c r="C2579" s="3">
        <v>198</v>
      </c>
      <c r="D2579" s="1"/>
      <c r="E2579" s="20" t="s">
        <v>17</v>
      </c>
      <c r="F2579" s="7" t="s">
        <v>15</v>
      </c>
      <c r="G2579" s="7" t="s">
        <v>49</v>
      </c>
      <c r="H2579" s="11">
        <v>17.82</v>
      </c>
      <c r="I2579" s="8">
        <v>6.1</v>
      </c>
      <c r="J2579" s="17">
        <v>1</v>
      </c>
      <c r="K2579" s="10">
        <v>0.10870199999999999</v>
      </c>
      <c r="L2579" s="4"/>
      <c r="M2579" s="17"/>
      <c r="N2579" s="18">
        <v>0</v>
      </c>
      <c r="O2579" s="19">
        <v>1</v>
      </c>
      <c r="P2579" s="13">
        <v>0.10870199999999999</v>
      </c>
      <c r="Q2579" s="50"/>
      <c r="R2579" s="2"/>
      <c r="S2579" s="2"/>
    </row>
    <row r="2580" spans="1:19">
      <c r="A2580" s="42" t="s">
        <v>90</v>
      </c>
      <c r="B2580" s="3"/>
      <c r="C2580" s="3">
        <v>238</v>
      </c>
      <c r="D2580" s="1" t="s">
        <v>93</v>
      </c>
      <c r="E2580" s="20" t="s">
        <v>89</v>
      </c>
      <c r="F2580" s="7" t="s">
        <v>15</v>
      </c>
      <c r="G2580" s="7" t="s">
        <v>49</v>
      </c>
      <c r="H2580" s="11">
        <v>17.82</v>
      </c>
      <c r="I2580" s="8">
        <v>9</v>
      </c>
      <c r="J2580" s="26">
        <v>1</v>
      </c>
      <c r="K2580" s="10">
        <v>0.16037999999999999</v>
      </c>
      <c r="L2580" s="4"/>
      <c r="M2580" s="17">
        <v>1</v>
      </c>
      <c r="N2580" s="18">
        <v>0.16037999999999999</v>
      </c>
      <c r="O2580" s="19">
        <v>0</v>
      </c>
      <c r="P2580" s="13">
        <v>0</v>
      </c>
      <c r="Q2580" s="81">
        <v>9</v>
      </c>
      <c r="R2580" s="72">
        <v>1</v>
      </c>
      <c r="S2580" s="74" t="s">
        <v>442</v>
      </c>
    </row>
    <row r="2581" spans="1:19">
      <c r="A2581" s="42" t="s">
        <v>90</v>
      </c>
      <c r="B2581" s="3"/>
      <c r="C2581" s="3">
        <v>238</v>
      </c>
      <c r="D2581" s="1" t="s">
        <v>93</v>
      </c>
      <c r="E2581" s="20" t="s">
        <v>89</v>
      </c>
      <c r="F2581" s="7" t="s">
        <v>15</v>
      </c>
      <c r="G2581" s="7" t="s">
        <v>49</v>
      </c>
      <c r="H2581" s="11">
        <v>17.82</v>
      </c>
      <c r="I2581" s="8">
        <v>11.7</v>
      </c>
      <c r="J2581" s="26">
        <v>1</v>
      </c>
      <c r="K2581" s="10">
        <v>0.20849400000000001</v>
      </c>
      <c r="L2581" s="4"/>
      <c r="M2581" s="17">
        <v>1</v>
      </c>
      <c r="N2581" s="18">
        <v>0.20849400000000001</v>
      </c>
      <c r="O2581" s="19">
        <v>0</v>
      </c>
      <c r="P2581" s="13">
        <v>0</v>
      </c>
      <c r="Q2581" s="81">
        <v>11.5</v>
      </c>
      <c r="R2581" s="74">
        <v>1</v>
      </c>
      <c r="S2581" s="74" t="s">
        <v>442</v>
      </c>
    </row>
    <row r="2582" spans="1:19">
      <c r="A2582" s="42" t="s">
        <v>90</v>
      </c>
      <c r="B2582" s="32"/>
      <c r="C2582" s="3">
        <v>238</v>
      </c>
      <c r="D2582" s="1" t="s">
        <v>93</v>
      </c>
      <c r="E2582" s="20" t="s">
        <v>89</v>
      </c>
      <c r="F2582" s="7" t="s">
        <v>15</v>
      </c>
      <c r="G2582" s="7" t="s">
        <v>49</v>
      </c>
      <c r="H2582" s="11">
        <v>17.82</v>
      </c>
      <c r="I2582" s="8">
        <v>12</v>
      </c>
      <c r="J2582" s="26">
        <v>1</v>
      </c>
      <c r="K2582" s="10">
        <v>0.21384</v>
      </c>
      <c r="L2582" s="4"/>
      <c r="M2582" s="17">
        <v>1</v>
      </c>
      <c r="N2582" s="18">
        <v>0.21384</v>
      </c>
      <c r="O2582" s="19">
        <v>0</v>
      </c>
      <c r="P2582" s="13">
        <v>0</v>
      </c>
      <c r="Q2582" s="81">
        <v>12</v>
      </c>
      <c r="R2582" s="74">
        <v>1</v>
      </c>
      <c r="S2582" s="74" t="s">
        <v>442</v>
      </c>
    </row>
    <row r="2583" spans="1:19">
      <c r="A2583" s="47" t="s">
        <v>147</v>
      </c>
      <c r="B2583" s="48" t="s">
        <v>148</v>
      </c>
      <c r="C2583" s="32">
        <v>280</v>
      </c>
      <c r="D2583" s="32"/>
      <c r="E2583" s="69" t="s">
        <v>20</v>
      </c>
      <c r="F2583" s="69" t="s">
        <v>160</v>
      </c>
      <c r="G2583" s="69" t="s">
        <v>49</v>
      </c>
      <c r="H2583" s="61">
        <v>17.82</v>
      </c>
      <c r="I2583" s="70">
        <v>6.4</v>
      </c>
      <c r="J2583" s="60">
        <v>1</v>
      </c>
      <c r="K2583" s="62">
        <v>0.114048</v>
      </c>
      <c r="L2583" s="256" t="s">
        <v>46</v>
      </c>
      <c r="M2583" s="67"/>
      <c r="N2583" s="63">
        <v>0</v>
      </c>
      <c r="O2583" s="64">
        <v>1</v>
      </c>
      <c r="P2583" s="65">
        <v>0.114048</v>
      </c>
      <c r="Q2583" s="32"/>
      <c r="R2583" s="32"/>
      <c r="S2583" s="32"/>
    </row>
    <row r="2584" spans="1:19">
      <c r="A2584" s="47" t="s">
        <v>147</v>
      </c>
      <c r="B2584" s="48" t="s">
        <v>148</v>
      </c>
      <c r="C2584" s="32">
        <v>289</v>
      </c>
      <c r="D2584" s="32" t="s">
        <v>102</v>
      </c>
      <c r="E2584" s="48" t="s">
        <v>20</v>
      </c>
      <c r="F2584" s="48" t="s">
        <v>160</v>
      </c>
      <c r="G2584" s="48" t="s">
        <v>49</v>
      </c>
      <c r="H2584" s="11">
        <v>17.82</v>
      </c>
      <c r="I2584" s="52">
        <v>9.5</v>
      </c>
      <c r="J2584" s="7">
        <v>1</v>
      </c>
      <c r="K2584" s="10">
        <v>0.16929</v>
      </c>
      <c r="L2584" s="32"/>
      <c r="M2584" s="32"/>
      <c r="N2584" s="18">
        <v>0</v>
      </c>
      <c r="O2584" s="19">
        <v>1</v>
      </c>
      <c r="P2584" s="13">
        <v>0.16929</v>
      </c>
      <c r="Q2584" s="32"/>
      <c r="R2584" s="32"/>
      <c r="S2584" s="32"/>
    </row>
    <row r="2585" spans="1:19">
      <c r="A2585" s="44" t="s">
        <v>78</v>
      </c>
      <c r="B2585" s="3" t="s">
        <v>80</v>
      </c>
      <c r="C2585" s="3">
        <v>1</v>
      </c>
      <c r="D2585" s="1"/>
      <c r="E2585" s="20" t="s">
        <v>20</v>
      </c>
      <c r="F2585" s="7" t="s">
        <v>15</v>
      </c>
      <c r="G2585" s="7" t="s">
        <v>49</v>
      </c>
      <c r="H2585" s="11">
        <v>17.82</v>
      </c>
      <c r="I2585" s="8">
        <v>11</v>
      </c>
      <c r="J2585" s="26">
        <v>1</v>
      </c>
      <c r="K2585" s="10">
        <v>0.19602</v>
      </c>
      <c r="L2585" s="4"/>
      <c r="M2585" s="17"/>
      <c r="N2585" s="18">
        <v>0</v>
      </c>
      <c r="O2585" s="19">
        <v>1</v>
      </c>
      <c r="P2585" s="13">
        <v>0.19602</v>
      </c>
      <c r="Q2585" s="2"/>
      <c r="R2585" s="2"/>
      <c r="S2585" s="2"/>
    </row>
    <row r="2586" spans="1:19">
      <c r="A2586" s="45" t="s">
        <v>136</v>
      </c>
      <c r="B2586" s="32" t="s">
        <v>137</v>
      </c>
      <c r="C2586" s="3">
        <v>4</v>
      </c>
      <c r="D2586" s="32"/>
      <c r="E2586" s="20" t="s">
        <v>139</v>
      </c>
      <c r="F2586" s="7" t="s">
        <v>15</v>
      </c>
      <c r="G2586" s="7" t="s">
        <v>49</v>
      </c>
      <c r="H2586" s="11">
        <v>17.82</v>
      </c>
      <c r="I2586" s="33">
        <v>6.2</v>
      </c>
      <c r="J2586" s="40">
        <v>6</v>
      </c>
      <c r="K2586" s="10">
        <v>0.66290400000000005</v>
      </c>
      <c r="L2586" s="4"/>
      <c r="M2586" s="17"/>
      <c r="N2586" s="18">
        <v>0</v>
      </c>
      <c r="O2586" s="19">
        <v>6</v>
      </c>
      <c r="P2586" s="13">
        <v>0.66290400000000016</v>
      </c>
      <c r="Q2586" s="32"/>
      <c r="R2586" s="32"/>
      <c r="S2586" s="32"/>
    </row>
    <row r="2587" spans="1:19">
      <c r="A2587" s="45" t="s">
        <v>136</v>
      </c>
      <c r="B2587" s="32" t="s">
        <v>137</v>
      </c>
      <c r="C2587" s="3">
        <v>4</v>
      </c>
      <c r="D2587" s="32"/>
      <c r="E2587" s="20" t="s">
        <v>139</v>
      </c>
      <c r="F2587" s="7" t="s">
        <v>15</v>
      </c>
      <c r="G2587" s="7" t="s">
        <v>49</v>
      </c>
      <c r="H2587" s="11">
        <v>17.82</v>
      </c>
      <c r="I2587" s="33">
        <v>6.8</v>
      </c>
      <c r="J2587" s="40">
        <v>2</v>
      </c>
      <c r="K2587" s="10">
        <v>0.24235200000000001</v>
      </c>
      <c r="L2587" s="4"/>
      <c r="M2587" s="17"/>
      <c r="N2587" s="18">
        <v>0</v>
      </c>
      <c r="O2587" s="19">
        <v>2</v>
      </c>
      <c r="P2587" s="13">
        <v>0.24235200000000001</v>
      </c>
      <c r="Q2587" s="32"/>
      <c r="R2587" s="32"/>
      <c r="S2587" s="32"/>
    </row>
    <row r="2588" spans="1:19">
      <c r="A2588" s="45" t="s">
        <v>136</v>
      </c>
      <c r="B2588" s="32" t="s">
        <v>137</v>
      </c>
      <c r="C2588" s="3">
        <v>4</v>
      </c>
      <c r="D2588" s="32"/>
      <c r="E2588" s="24" t="s">
        <v>139</v>
      </c>
      <c r="F2588" s="60" t="s">
        <v>15</v>
      </c>
      <c r="G2588" s="60" t="s">
        <v>49</v>
      </c>
      <c r="H2588" s="61">
        <v>17.82</v>
      </c>
      <c r="I2588" s="71">
        <v>7.2</v>
      </c>
      <c r="J2588" s="67">
        <v>1</v>
      </c>
      <c r="K2588" s="62">
        <v>0.128304</v>
      </c>
      <c r="L2588" s="253" t="s">
        <v>135</v>
      </c>
      <c r="M2588" s="22"/>
      <c r="N2588" s="63">
        <v>0</v>
      </c>
      <c r="O2588" s="64">
        <v>1</v>
      </c>
      <c r="P2588" s="65">
        <v>0.128304</v>
      </c>
      <c r="Q2588" s="32"/>
      <c r="R2588" s="32"/>
      <c r="S2588" s="32"/>
    </row>
    <row r="2589" spans="1:19">
      <c r="A2589" s="45" t="s">
        <v>136</v>
      </c>
      <c r="B2589" s="32" t="s">
        <v>137</v>
      </c>
      <c r="C2589" s="3">
        <v>4</v>
      </c>
      <c r="D2589" s="32"/>
      <c r="E2589" s="20" t="s">
        <v>139</v>
      </c>
      <c r="F2589" s="7" t="s">
        <v>15</v>
      </c>
      <c r="G2589" s="7" t="s">
        <v>49</v>
      </c>
      <c r="H2589" s="11">
        <v>17.82</v>
      </c>
      <c r="I2589" s="33">
        <v>7.4</v>
      </c>
      <c r="J2589" s="40">
        <v>1</v>
      </c>
      <c r="K2589" s="10">
        <v>0.13186799999999999</v>
      </c>
      <c r="L2589" s="4"/>
      <c r="M2589" s="17"/>
      <c r="N2589" s="18">
        <v>0</v>
      </c>
      <c r="O2589" s="19">
        <v>1</v>
      </c>
      <c r="P2589" s="13">
        <v>0.13186799999999999</v>
      </c>
      <c r="Q2589" s="32"/>
      <c r="R2589" s="32"/>
      <c r="S2589" s="32"/>
    </row>
    <row r="2590" spans="1:19">
      <c r="A2590" s="45" t="s">
        <v>136</v>
      </c>
      <c r="B2590" s="32" t="s">
        <v>137</v>
      </c>
      <c r="C2590" s="3">
        <v>5</v>
      </c>
      <c r="D2590" s="32"/>
      <c r="E2590" s="20" t="s">
        <v>20</v>
      </c>
      <c r="F2590" s="7" t="s">
        <v>15</v>
      </c>
      <c r="G2590" s="7" t="s">
        <v>49</v>
      </c>
      <c r="H2590" s="11">
        <v>17.82</v>
      </c>
      <c r="I2590" s="33">
        <v>6.2</v>
      </c>
      <c r="J2590" s="40">
        <v>1</v>
      </c>
      <c r="K2590" s="10">
        <v>0.11048400000000001</v>
      </c>
      <c r="L2590" s="4"/>
      <c r="M2590" s="17"/>
      <c r="N2590" s="18">
        <v>0</v>
      </c>
      <c r="O2590" s="19">
        <v>1</v>
      </c>
      <c r="P2590" s="13">
        <v>0.11048400000000001</v>
      </c>
      <c r="Q2590" s="55"/>
      <c r="R2590" s="32"/>
      <c r="S2590" s="32"/>
    </row>
    <row r="2591" spans="1:19">
      <c r="A2591" s="45" t="s">
        <v>136</v>
      </c>
      <c r="B2591" s="32" t="s">
        <v>137</v>
      </c>
      <c r="C2591" s="3">
        <v>44</v>
      </c>
      <c r="D2591" s="32"/>
      <c r="E2591" s="20" t="s">
        <v>17</v>
      </c>
      <c r="F2591" s="7" t="s">
        <v>15</v>
      </c>
      <c r="G2591" s="7" t="s">
        <v>49</v>
      </c>
      <c r="H2591" s="11">
        <v>17.82</v>
      </c>
      <c r="I2591" s="33">
        <v>8.3000000000000007</v>
      </c>
      <c r="J2591" s="40">
        <v>1</v>
      </c>
      <c r="K2591" s="10">
        <v>0.14790600000000001</v>
      </c>
      <c r="L2591" s="4"/>
      <c r="M2591" s="17"/>
      <c r="N2591" s="18">
        <v>0</v>
      </c>
      <c r="O2591" s="19">
        <v>1</v>
      </c>
      <c r="P2591" s="13">
        <v>0.14790600000000001</v>
      </c>
      <c r="Q2591" s="55"/>
      <c r="R2591" s="32"/>
      <c r="S2591" s="2"/>
    </row>
    <row r="2592" spans="1:19">
      <c r="A2592" s="45" t="s">
        <v>136</v>
      </c>
      <c r="B2592" s="32" t="s">
        <v>137</v>
      </c>
      <c r="C2592" s="3">
        <v>44</v>
      </c>
      <c r="D2592" s="32"/>
      <c r="E2592" s="20" t="s">
        <v>17</v>
      </c>
      <c r="F2592" s="7" t="s">
        <v>15</v>
      </c>
      <c r="G2592" s="7" t="s">
        <v>49</v>
      </c>
      <c r="H2592" s="11">
        <v>17.82</v>
      </c>
      <c r="I2592" s="55">
        <v>11.1</v>
      </c>
      <c r="J2592" s="40">
        <v>2</v>
      </c>
      <c r="K2592" s="10">
        <v>0.39560400000000001</v>
      </c>
      <c r="L2592" s="4"/>
      <c r="M2592" s="17"/>
      <c r="N2592" s="18">
        <v>0</v>
      </c>
      <c r="O2592" s="19">
        <v>2</v>
      </c>
      <c r="P2592" s="13">
        <v>0.39560400000000001</v>
      </c>
      <c r="Q2592" s="32"/>
      <c r="R2592" s="32"/>
      <c r="S2592" s="32"/>
    </row>
    <row r="2593" spans="1:19">
      <c r="A2593" s="45" t="s">
        <v>136</v>
      </c>
      <c r="B2593" s="32" t="s">
        <v>137</v>
      </c>
      <c r="C2593" s="3">
        <v>66</v>
      </c>
      <c r="D2593" s="32"/>
      <c r="E2593" s="20" t="s">
        <v>20</v>
      </c>
      <c r="F2593" s="7" t="s">
        <v>15</v>
      </c>
      <c r="G2593" s="7" t="s">
        <v>49</v>
      </c>
      <c r="H2593" s="11">
        <v>17.82</v>
      </c>
      <c r="I2593" s="33">
        <v>9.5</v>
      </c>
      <c r="J2593" s="40">
        <v>1</v>
      </c>
      <c r="K2593" s="10">
        <v>0.16929</v>
      </c>
      <c r="L2593" s="4"/>
      <c r="M2593" s="17"/>
      <c r="N2593" s="18">
        <v>0</v>
      </c>
      <c r="O2593" s="19">
        <v>1</v>
      </c>
      <c r="P2593" s="13">
        <v>0.16929</v>
      </c>
      <c r="Q2593" s="32"/>
      <c r="R2593" s="32"/>
      <c r="S2593" s="32"/>
    </row>
    <row r="2594" spans="1:19">
      <c r="A2594" s="45" t="s">
        <v>136</v>
      </c>
      <c r="B2594" s="32" t="s">
        <v>137</v>
      </c>
      <c r="C2594" s="3">
        <v>90</v>
      </c>
      <c r="D2594" s="32"/>
      <c r="E2594" s="20" t="s">
        <v>20</v>
      </c>
      <c r="F2594" s="7" t="s">
        <v>15</v>
      </c>
      <c r="G2594" s="7" t="s">
        <v>49</v>
      </c>
      <c r="H2594" s="11">
        <v>17.82</v>
      </c>
      <c r="I2594" s="33">
        <v>7</v>
      </c>
      <c r="J2594" s="40">
        <v>1</v>
      </c>
      <c r="K2594" s="10">
        <v>0.12474</v>
      </c>
      <c r="L2594" s="4"/>
      <c r="M2594" s="17"/>
      <c r="N2594" s="18">
        <v>0</v>
      </c>
      <c r="O2594" s="19">
        <v>1</v>
      </c>
      <c r="P2594" s="13">
        <v>0.12474</v>
      </c>
      <c r="Q2594" s="32"/>
      <c r="R2594" s="32"/>
      <c r="S2594" s="32"/>
    </row>
    <row r="2595" spans="1:19">
      <c r="A2595" s="45" t="s">
        <v>136</v>
      </c>
      <c r="B2595" s="32" t="s">
        <v>137</v>
      </c>
      <c r="C2595" s="3">
        <v>98</v>
      </c>
      <c r="D2595" s="32"/>
      <c r="E2595" s="20" t="s">
        <v>113</v>
      </c>
      <c r="F2595" s="7" t="s">
        <v>15</v>
      </c>
      <c r="G2595" s="7" t="s">
        <v>49</v>
      </c>
      <c r="H2595" s="11">
        <v>17.82</v>
      </c>
      <c r="I2595" s="55">
        <v>12</v>
      </c>
      <c r="J2595" s="41">
        <v>1</v>
      </c>
      <c r="K2595" s="10">
        <v>0.21384</v>
      </c>
      <c r="L2595" s="4"/>
      <c r="M2595" s="17"/>
      <c r="N2595" s="18">
        <v>0</v>
      </c>
      <c r="O2595" s="19">
        <v>1</v>
      </c>
      <c r="P2595" s="13">
        <v>0.21384</v>
      </c>
      <c r="Q2595" s="32"/>
      <c r="R2595" s="32"/>
      <c r="S2595" s="32"/>
    </row>
    <row r="2596" spans="1:19">
      <c r="O2596" s="215">
        <f>SUM(O2564:O2595)</f>
        <v>35</v>
      </c>
      <c r="R2596" s="215">
        <f>SUM(R2564:R2595)</f>
        <v>15</v>
      </c>
    </row>
    <row r="2599" spans="1:19">
      <c r="A2599" s="42" t="s">
        <v>77</v>
      </c>
      <c r="B2599" s="3" t="s">
        <v>68</v>
      </c>
      <c r="C2599" s="3">
        <v>229</v>
      </c>
      <c r="D2599" s="1"/>
      <c r="E2599" s="20" t="s">
        <v>17</v>
      </c>
      <c r="F2599" s="7" t="s">
        <v>15</v>
      </c>
      <c r="G2599" s="7" t="s">
        <v>33</v>
      </c>
      <c r="H2599" s="11">
        <v>15.92</v>
      </c>
      <c r="I2599" s="8">
        <v>5.9</v>
      </c>
      <c r="J2599" s="26">
        <v>1</v>
      </c>
      <c r="K2599" s="10">
        <v>9.3928000000000011E-2</v>
      </c>
      <c r="L2599" s="4"/>
      <c r="M2599" s="17"/>
      <c r="N2599" s="18">
        <v>0</v>
      </c>
      <c r="O2599" s="19">
        <v>1</v>
      </c>
      <c r="P2599" s="13">
        <v>9.3928000000000011E-2</v>
      </c>
      <c r="Q2599" s="9"/>
      <c r="R2599" s="2"/>
      <c r="S2599" s="2"/>
    </row>
    <row r="2600" spans="1:19">
      <c r="A2600" s="42" t="s">
        <v>77</v>
      </c>
      <c r="B2600" s="3" t="s">
        <v>68</v>
      </c>
      <c r="C2600" s="3">
        <v>229</v>
      </c>
      <c r="D2600" s="1"/>
      <c r="E2600" s="20" t="s">
        <v>17</v>
      </c>
      <c r="F2600" s="7" t="s">
        <v>15</v>
      </c>
      <c r="G2600" s="7" t="s">
        <v>33</v>
      </c>
      <c r="H2600" s="11">
        <v>15.92</v>
      </c>
      <c r="I2600" s="8">
        <v>6</v>
      </c>
      <c r="J2600" s="26">
        <v>1</v>
      </c>
      <c r="K2600" s="10">
        <v>9.5519999999999994E-2</v>
      </c>
      <c r="L2600" s="4"/>
      <c r="M2600" s="17"/>
      <c r="N2600" s="18">
        <v>0</v>
      </c>
      <c r="O2600" s="19">
        <v>1</v>
      </c>
      <c r="P2600" s="13">
        <v>9.5519999999999994E-2</v>
      </c>
      <c r="Q2600" s="9"/>
      <c r="R2600" s="2"/>
      <c r="S2600" s="2"/>
    </row>
    <row r="2601" spans="1:19">
      <c r="A2601" s="42" t="s">
        <v>90</v>
      </c>
      <c r="B2601" s="48" t="s">
        <v>148</v>
      </c>
      <c r="C2601" s="32">
        <v>54</v>
      </c>
      <c r="D2601" s="32"/>
      <c r="E2601" s="48" t="s">
        <v>20</v>
      </c>
      <c r="F2601" s="48" t="s">
        <v>15</v>
      </c>
      <c r="G2601" s="48" t="s">
        <v>33</v>
      </c>
      <c r="H2601" s="11">
        <v>15.92</v>
      </c>
      <c r="I2601" s="52">
        <v>11</v>
      </c>
      <c r="J2601" s="7">
        <v>1</v>
      </c>
      <c r="K2601" s="10">
        <v>0.17512</v>
      </c>
      <c r="L2601" s="32"/>
      <c r="M2601" s="32">
        <v>1</v>
      </c>
      <c r="N2601" s="18">
        <v>0.17512</v>
      </c>
      <c r="O2601" s="19">
        <v>0</v>
      </c>
      <c r="P2601" s="13">
        <v>0</v>
      </c>
      <c r="Q2601" s="91"/>
      <c r="R2601" s="91">
        <v>1</v>
      </c>
      <c r="S2601" s="91" t="s">
        <v>371</v>
      </c>
    </row>
    <row r="2602" spans="1:19">
      <c r="A2602" s="42" t="s">
        <v>90</v>
      </c>
      <c r="B2602" s="3"/>
      <c r="C2602" s="3">
        <v>136</v>
      </c>
      <c r="D2602" s="1"/>
      <c r="E2602" s="20" t="s">
        <v>17</v>
      </c>
      <c r="F2602" s="7" t="s">
        <v>15</v>
      </c>
      <c r="G2602" s="7" t="s">
        <v>33</v>
      </c>
      <c r="H2602" s="11">
        <v>15.92</v>
      </c>
      <c r="I2602" s="8">
        <v>5.5</v>
      </c>
      <c r="J2602" s="26">
        <v>1</v>
      </c>
      <c r="K2602" s="10">
        <v>8.7559999999999999E-2</v>
      </c>
      <c r="L2602" s="4"/>
      <c r="M2602" s="17"/>
      <c r="N2602" s="18">
        <v>0</v>
      </c>
      <c r="O2602" s="19">
        <v>1</v>
      </c>
      <c r="P2602" s="13">
        <v>8.7559999999999999E-2</v>
      </c>
      <c r="Q2602" s="9"/>
      <c r="R2602" s="2"/>
      <c r="S2602" s="2"/>
    </row>
    <row r="2603" spans="1:19">
      <c r="A2603" s="42" t="s">
        <v>90</v>
      </c>
      <c r="B2603" s="3"/>
      <c r="C2603" s="3">
        <v>136</v>
      </c>
      <c r="D2603" s="1"/>
      <c r="E2603" s="20" t="s">
        <v>17</v>
      </c>
      <c r="F2603" s="7" t="s">
        <v>15</v>
      </c>
      <c r="G2603" s="7" t="s">
        <v>33</v>
      </c>
      <c r="H2603" s="11">
        <v>15.92</v>
      </c>
      <c r="I2603" s="8">
        <v>6</v>
      </c>
      <c r="J2603" s="26">
        <v>3</v>
      </c>
      <c r="K2603" s="10">
        <v>0.28655999999999998</v>
      </c>
      <c r="L2603" s="4"/>
      <c r="M2603" s="17">
        <v>3</v>
      </c>
      <c r="N2603" s="18">
        <v>0.28655999999999998</v>
      </c>
      <c r="O2603" s="19">
        <v>0</v>
      </c>
      <c r="P2603" s="13">
        <v>0</v>
      </c>
      <c r="Q2603" s="9"/>
      <c r="R2603" s="2"/>
      <c r="S2603" s="2"/>
    </row>
    <row r="2604" spans="1:19">
      <c r="A2604" s="42" t="s">
        <v>90</v>
      </c>
      <c r="B2604" s="3"/>
      <c r="C2604" s="3">
        <v>143</v>
      </c>
      <c r="D2604" s="1"/>
      <c r="E2604" s="20" t="s">
        <v>17</v>
      </c>
      <c r="F2604" s="7" t="s">
        <v>15</v>
      </c>
      <c r="G2604" s="7" t="s">
        <v>33</v>
      </c>
      <c r="H2604" s="11">
        <v>15.92</v>
      </c>
      <c r="I2604" s="8">
        <v>10</v>
      </c>
      <c r="J2604" s="26">
        <v>1</v>
      </c>
      <c r="K2604" s="10">
        <v>0.15919999999999998</v>
      </c>
      <c r="L2604" s="4"/>
      <c r="M2604" s="22">
        <v>1</v>
      </c>
      <c r="N2604" s="18">
        <v>0.15919999999999998</v>
      </c>
      <c r="O2604" s="19">
        <v>0</v>
      </c>
      <c r="P2604" s="13">
        <v>0</v>
      </c>
      <c r="Q2604" s="9"/>
      <c r="R2604" s="2"/>
      <c r="S2604" s="2"/>
    </row>
    <row r="2605" spans="1:19">
      <c r="A2605" s="42" t="s">
        <v>90</v>
      </c>
      <c r="B2605" s="3"/>
      <c r="C2605" s="3">
        <v>143</v>
      </c>
      <c r="D2605" s="1"/>
      <c r="E2605" s="20" t="s">
        <v>17</v>
      </c>
      <c r="F2605" s="7" t="s">
        <v>15</v>
      </c>
      <c r="G2605" s="7" t="s">
        <v>33</v>
      </c>
      <c r="H2605" s="11">
        <v>15.92</v>
      </c>
      <c r="I2605" s="8">
        <v>12</v>
      </c>
      <c r="J2605" s="26">
        <v>4</v>
      </c>
      <c r="K2605" s="10">
        <v>0.76415999999999995</v>
      </c>
      <c r="L2605" s="4"/>
      <c r="M2605" s="17">
        <v>4</v>
      </c>
      <c r="N2605" s="18">
        <v>0.76415999999999995</v>
      </c>
      <c r="O2605" s="19">
        <v>0</v>
      </c>
      <c r="P2605" s="13">
        <v>0</v>
      </c>
      <c r="Q2605" s="9"/>
      <c r="R2605" s="2"/>
      <c r="S2605" s="2"/>
    </row>
    <row r="2606" spans="1:19">
      <c r="A2606" s="42" t="s">
        <v>90</v>
      </c>
      <c r="B2606" s="3"/>
      <c r="C2606" s="3">
        <v>149</v>
      </c>
      <c r="D2606" s="1"/>
      <c r="E2606" s="12" t="s">
        <v>20</v>
      </c>
      <c r="F2606" s="7" t="s">
        <v>15</v>
      </c>
      <c r="G2606" s="7" t="s">
        <v>33</v>
      </c>
      <c r="H2606" s="11">
        <v>15.92</v>
      </c>
      <c r="I2606" s="8">
        <v>10.8</v>
      </c>
      <c r="J2606" s="26">
        <v>1</v>
      </c>
      <c r="K2606" s="10">
        <v>0.17193600000000001</v>
      </c>
      <c r="L2606" s="4"/>
      <c r="M2606" s="17">
        <v>1</v>
      </c>
      <c r="N2606" s="18">
        <v>0.17193600000000001</v>
      </c>
      <c r="O2606" s="19">
        <v>0</v>
      </c>
      <c r="P2606" s="53">
        <v>0</v>
      </c>
      <c r="Q2606" s="91"/>
      <c r="R2606" s="90">
        <v>1</v>
      </c>
      <c r="S2606" s="91" t="s">
        <v>371</v>
      </c>
    </row>
    <row r="2607" spans="1:19">
      <c r="A2607" s="42" t="s">
        <v>90</v>
      </c>
      <c r="B2607" s="3"/>
      <c r="C2607" s="3">
        <v>149</v>
      </c>
      <c r="D2607" s="1"/>
      <c r="E2607" s="12" t="s">
        <v>20</v>
      </c>
      <c r="F2607" s="7" t="s">
        <v>15</v>
      </c>
      <c r="G2607" s="7" t="s">
        <v>33</v>
      </c>
      <c r="H2607" s="11">
        <v>15.92</v>
      </c>
      <c r="I2607" s="8">
        <v>9.1</v>
      </c>
      <c r="J2607" s="26">
        <v>1</v>
      </c>
      <c r="K2607" s="10">
        <v>0.14487199999999997</v>
      </c>
      <c r="L2607" s="4"/>
      <c r="M2607" s="17">
        <v>1</v>
      </c>
      <c r="N2607" s="18">
        <v>0.14487199999999997</v>
      </c>
      <c r="O2607" s="19">
        <v>0</v>
      </c>
      <c r="P2607" s="53">
        <v>0</v>
      </c>
      <c r="Q2607" s="91"/>
      <c r="R2607" s="90">
        <v>1</v>
      </c>
      <c r="S2607" s="91" t="s">
        <v>371</v>
      </c>
    </row>
    <row r="2608" spans="1:19">
      <c r="A2608" s="42" t="s">
        <v>90</v>
      </c>
      <c r="B2608" s="3"/>
      <c r="C2608" s="3">
        <v>179</v>
      </c>
      <c r="D2608" s="1"/>
      <c r="E2608" s="20" t="s">
        <v>17</v>
      </c>
      <c r="F2608" s="7" t="s">
        <v>15</v>
      </c>
      <c r="G2608" s="7" t="s">
        <v>33</v>
      </c>
      <c r="H2608" s="11">
        <v>15.92</v>
      </c>
      <c r="I2608" s="8">
        <v>12</v>
      </c>
      <c r="J2608" s="26">
        <v>3</v>
      </c>
      <c r="K2608" s="10">
        <v>0.57311999999999996</v>
      </c>
      <c r="L2608" s="4"/>
      <c r="M2608" s="17">
        <v>3</v>
      </c>
      <c r="N2608" s="18">
        <v>0.57311999999999996</v>
      </c>
      <c r="O2608" s="19">
        <v>0</v>
      </c>
      <c r="P2608" s="13">
        <v>0</v>
      </c>
      <c r="Q2608" s="9"/>
      <c r="R2608" s="2"/>
      <c r="S2608" s="2"/>
    </row>
    <row r="2609" spans="1:19">
      <c r="A2609" s="42" t="s">
        <v>90</v>
      </c>
      <c r="B2609" s="3"/>
      <c r="C2609" s="3">
        <v>179</v>
      </c>
      <c r="D2609" s="1"/>
      <c r="E2609" s="20" t="s">
        <v>17</v>
      </c>
      <c r="F2609" s="7" t="s">
        <v>15</v>
      </c>
      <c r="G2609" s="7" t="s">
        <v>33</v>
      </c>
      <c r="H2609" s="11">
        <v>15.92</v>
      </c>
      <c r="I2609" s="8">
        <v>10.9</v>
      </c>
      <c r="J2609" s="26">
        <v>1</v>
      </c>
      <c r="K2609" s="10">
        <v>0.17352799999999999</v>
      </c>
      <c r="L2609" s="4"/>
      <c r="M2609" s="17">
        <v>1</v>
      </c>
      <c r="N2609" s="18">
        <v>0.17352799999999999</v>
      </c>
      <c r="O2609" s="19">
        <v>0</v>
      </c>
      <c r="P2609" s="13">
        <v>0</v>
      </c>
      <c r="Q2609" s="9"/>
      <c r="R2609" s="2"/>
      <c r="S2609" s="2"/>
    </row>
    <row r="2610" spans="1:19">
      <c r="A2610" s="42" t="s">
        <v>90</v>
      </c>
      <c r="B2610" s="3"/>
      <c r="C2610" s="3">
        <v>179</v>
      </c>
      <c r="D2610" s="1"/>
      <c r="E2610" s="20" t="s">
        <v>17</v>
      </c>
      <c r="F2610" s="7" t="s">
        <v>15</v>
      </c>
      <c r="G2610" s="7" t="s">
        <v>33</v>
      </c>
      <c r="H2610" s="11">
        <v>15.92</v>
      </c>
      <c r="I2610" s="8">
        <v>10</v>
      </c>
      <c r="J2610" s="26">
        <v>1</v>
      </c>
      <c r="K2610" s="10">
        <v>0.15919999999999998</v>
      </c>
      <c r="L2610" s="4"/>
      <c r="M2610" s="17">
        <v>1</v>
      </c>
      <c r="N2610" s="18">
        <v>0.15919999999999998</v>
      </c>
      <c r="O2610" s="19">
        <v>0</v>
      </c>
      <c r="P2610" s="13">
        <v>0</v>
      </c>
      <c r="Q2610" s="9"/>
      <c r="R2610" s="2"/>
      <c r="S2610" s="2"/>
    </row>
    <row r="2611" spans="1:19">
      <c r="A2611" s="42" t="s">
        <v>90</v>
      </c>
      <c r="B2611" s="3"/>
      <c r="C2611" s="3">
        <v>179</v>
      </c>
      <c r="D2611" s="1"/>
      <c r="E2611" s="20" t="s">
        <v>17</v>
      </c>
      <c r="F2611" s="7" t="s">
        <v>15</v>
      </c>
      <c r="G2611" s="7" t="s">
        <v>33</v>
      </c>
      <c r="H2611" s="11">
        <v>15.92</v>
      </c>
      <c r="I2611" s="8">
        <v>9.5</v>
      </c>
      <c r="J2611" s="26">
        <v>1</v>
      </c>
      <c r="K2611" s="10">
        <v>0.15124000000000001</v>
      </c>
      <c r="L2611" s="4"/>
      <c r="M2611" s="17">
        <v>1</v>
      </c>
      <c r="N2611" s="18">
        <v>0.15124000000000001</v>
      </c>
      <c r="O2611" s="19">
        <v>0</v>
      </c>
      <c r="P2611" s="13">
        <v>0</v>
      </c>
      <c r="Q2611" s="9"/>
      <c r="R2611" s="2"/>
      <c r="S2611" s="2"/>
    </row>
    <row r="2612" spans="1:19">
      <c r="A2612" s="42" t="s">
        <v>90</v>
      </c>
      <c r="B2612" s="3"/>
      <c r="C2612" s="3">
        <v>201</v>
      </c>
      <c r="D2612" s="1"/>
      <c r="E2612" s="20" t="s">
        <v>17</v>
      </c>
      <c r="F2612" s="7" t="s">
        <v>15</v>
      </c>
      <c r="G2612" s="7" t="s">
        <v>33</v>
      </c>
      <c r="H2612" s="11">
        <v>15.92</v>
      </c>
      <c r="I2612" s="8">
        <v>8.6999999999999993</v>
      </c>
      <c r="J2612" s="17">
        <v>1</v>
      </c>
      <c r="K2612" s="10">
        <v>0.13850399999999999</v>
      </c>
      <c r="L2612" s="32"/>
      <c r="M2612" s="32">
        <v>1</v>
      </c>
      <c r="N2612" s="18">
        <v>0.13850399999999999</v>
      </c>
      <c r="O2612" s="19">
        <v>0</v>
      </c>
      <c r="P2612" s="13">
        <v>0</v>
      </c>
      <c r="Q2612" s="9"/>
      <c r="R2612" s="32"/>
      <c r="S2612" s="2"/>
    </row>
    <row r="2613" spans="1:19">
      <c r="A2613" s="42" t="s">
        <v>90</v>
      </c>
      <c r="B2613" s="3"/>
      <c r="C2613" s="3">
        <v>237</v>
      </c>
      <c r="D2613" s="1" t="s">
        <v>98</v>
      </c>
      <c r="E2613" s="20" t="s">
        <v>20</v>
      </c>
      <c r="F2613" s="7" t="s">
        <v>15</v>
      </c>
      <c r="G2613" s="7" t="s">
        <v>33</v>
      </c>
      <c r="H2613" s="11">
        <v>15.92</v>
      </c>
      <c r="I2613" s="8">
        <v>9.1</v>
      </c>
      <c r="J2613" s="26">
        <v>1</v>
      </c>
      <c r="K2613" s="10">
        <v>0.14487199999999997</v>
      </c>
      <c r="L2613" s="4"/>
      <c r="M2613" s="17"/>
      <c r="N2613" s="18">
        <v>0</v>
      </c>
      <c r="O2613" s="19">
        <v>1</v>
      </c>
      <c r="P2613" s="13">
        <v>0.14487199999999997</v>
      </c>
      <c r="Q2613" s="9"/>
      <c r="R2613" s="32"/>
      <c r="S2613" s="32"/>
    </row>
    <row r="2614" spans="1:19">
      <c r="A2614" s="42" t="s">
        <v>90</v>
      </c>
      <c r="B2614" s="3"/>
      <c r="C2614" s="3">
        <v>237</v>
      </c>
      <c r="D2614" s="1" t="s">
        <v>98</v>
      </c>
      <c r="E2614" s="20" t="s">
        <v>20</v>
      </c>
      <c r="F2614" s="7" t="s">
        <v>15</v>
      </c>
      <c r="G2614" s="7" t="s">
        <v>33</v>
      </c>
      <c r="H2614" s="11">
        <v>15.92</v>
      </c>
      <c r="I2614" s="8">
        <v>8.58</v>
      </c>
      <c r="J2614" s="26">
        <v>1</v>
      </c>
      <c r="K2614" s="10">
        <v>0.13659360000000001</v>
      </c>
      <c r="L2614" s="4"/>
      <c r="M2614" s="17"/>
      <c r="N2614" s="18">
        <v>0</v>
      </c>
      <c r="O2614" s="19">
        <v>1</v>
      </c>
      <c r="P2614" s="13">
        <v>0.13659360000000001</v>
      </c>
      <c r="Q2614" s="9"/>
      <c r="R2614" s="32"/>
      <c r="S2614" s="32"/>
    </row>
    <row r="2615" spans="1:19">
      <c r="A2615" s="47" t="s">
        <v>147</v>
      </c>
      <c r="B2615" s="48" t="s">
        <v>148</v>
      </c>
      <c r="C2615" s="32">
        <v>289</v>
      </c>
      <c r="D2615" s="32"/>
      <c r="E2615" s="48" t="s">
        <v>17</v>
      </c>
      <c r="F2615" s="48" t="s">
        <v>160</v>
      </c>
      <c r="G2615" s="48" t="s">
        <v>33</v>
      </c>
      <c r="H2615" s="11">
        <v>15.92</v>
      </c>
      <c r="I2615" s="52">
        <v>7.75</v>
      </c>
      <c r="J2615" s="7">
        <v>1</v>
      </c>
      <c r="K2615" s="10">
        <v>0.12337999999999999</v>
      </c>
      <c r="L2615" s="32"/>
      <c r="M2615" s="32"/>
      <c r="N2615" s="18">
        <v>0</v>
      </c>
      <c r="O2615" s="19">
        <v>1</v>
      </c>
      <c r="P2615" s="13">
        <v>0.12337999999999999</v>
      </c>
      <c r="Q2615" s="32"/>
      <c r="R2615" s="32"/>
      <c r="S2615" s="32"/>
    </row>
    <row r="2616" spans="1:19">
      <c r="A2616" s="45" t="s">
        <v>136</v>
      </c>
      <c r="B2616" s="32" t="s">
        <v>137</v>
      </c>
      <c r="C2616" s="3">
        <v>6</v>
      </c>
      <c r="D2616" s="32"/>
      <c r="E2616" s="20" t="s">
        <v>20</v>
      </c>
      <c r="F2616" s="7" t="s">
        <v>15</v>
      </c>
      <c r="G2616" s="7" t="s">
        <v>33</v>
      </c>
      <c r="H2616" s="11">
        <v>15.92</v>
      </c>
      <c r="I2616" s="33">
        <v>7.1</v>
      </c>
      <c r="J2616" s="40">
        <v>2</v>
      </c>
      <c r="K2616" s="10">
        <v>0.22606399999999999</v>
      </c>
      <c r="L2616" s="4"/>
      <c r="M2616" s="17">
        <v>2</v>
      </c>
      <c r="N2616" s="18">
        <v>0.22606399999999999</v>
      </c>
      <c r="O2616" s="19">
        <v>0</v>
      </c>
      <c r="P2616" s="53">
        <v>0</v>
      </c>
      <c r="Q2616" s="91"/>
      <c r="R2616" s="91">
        <v>2</v>
      </c>
      <c r="S2616" s="91" t="s">
        <v>371</v>
      </c>
    </row>
    <row r="2617" spans="1:19">
      <c r="A2617" s="45" t="s">
        <v>136</v>
      </c>
      <c r="B2617" s="32" t="s">
        <v>137</v>
      </c>
      <c r="C2617" s="3">
        <v>6</v>
      </c>
      <c r="D2617" s="32"/>
      <c r="E2617" s="20" t="s">
        <v>20</v>
      </c>
      <c r="F2617" s="7" t="s">
        <v>15</v>
      </c>
      <c r="G2617" s="7" t="s">
        <v>33</v>
      </c>
      <c r="H2617" s="11">
        <v>15.92</v>
      </c>
      <c r="I2617" s="33">
        <v>8</v>
      </c>
      <c r="J2617" s="40">
        <v>2</v>
      </c>
      <c r="K2617" s="10">
        <v>0.25472</v>
      </c>
      <c r="L2617" s="4"/>
      <c r="M2617" s="17">
        <v>2</v>
      </c>
      <c r="N2617" s="18">
        <v>0.25472</v>
      </c>
      <c r="O2617" s="19">
        <v>0</v>
      </c>
      <c r="P2617" s="53">
        <v>0</v>
      </c>
      <c r="Q2617" s="91"/>
      <c r="R2617" s="91">
        <v>2</v>
      </c>
      <c r="S2617" s="91" t="s">
        <v>371</v>
      </c>
    </row>
    <row r="2618" spans="1:19">
      <c r="A2618" s="45" t="s">
        <v>136</v>
      </c>
      <c r="B2618" s="32" t="s">
        <v>137</v>
      </c>
      <c r="C2618" s="3">
        <v>65</v>
      </c>
      <c r="D2618" s="32"/>
      <c r="E2618" s="20" t="s">
        <v>139</v>
      </c>
      <c r="F2618" s="7" t="s">
        <v>15</v>
      </c>
      <c r="G2618" s="7" t="s">
        <v>33</v>
      </c>
      <c r="H2618" s="11">
        <v>15.92</v>
      </c>
      <c r="I2618" s="33">
        <v>7.5</v>
      </c>
      <c r="J2618" s="40">
        <v>1</v>
      </c>
      <c r="K2618" s="10">
        <v>0.11940000000000001</v>
      </c>
      <c r="L2618" s="4"/>
      <c r="M2618" s="17">
        <v>1</v>
      </c>
      <c r="N2618" s="18">
        <v>0.11940000000000001</v>
      </c>
      <c r="O2618" s="19">
        <v>0</v>
      </c>
      <c r="P2618" s="53">
        <v>0</v>
      </c>
      <c r="Q2618" s="91"/>
      <c r="R2618" s="91">
        <v>1</v>
      </c>
      <c r="S2618" s="91" t="s">
        <v>371</v>
      </c>
    </row>
    <row r="2619" spans="1:19">
      <c r="A2619" s="45" t="s">
        <v>136</v>
      </c>
      <c r="B2619" s="32" t="s">
        <v>137</v>
      </c>
      <c r="C2619" s="3">
        <v>65</v>
      </c>
      <c r="D2619" s="32"/>
      <c r="E2619" s="20" t="s">
        <v>139</v>
      </c>
      <c r="F2619" s="7" t="s">
        <v>15</v>
      </c>
      <c r="G2619" s="7" t="s">
        <v>33</v>
      </c>
      <c r="H2619" s="11">
        <v>15.92</v>
      </c>
      <c r="I2619" s="33">
        <v>10</v>
      </c>
      <c r="J2619" s="40">
        <v>1</v>
      </c>
      <c r="K2619" s="10">
        <v>0.15919999999999998</v>
      </c>
      <c r="L2619" s="4"/>
      <c r="M2619" s="17">
        <v>1</v>
      </c>
      <c r="N2619" s="18">
        <v>0.15919999999999998</v>
      </c>
      <c r="O2619" s="19">
        <v>0</v>
      </c>
      <c r="P2619" s="53">
        <v>0</v>
      </c>
      <c r="Q2619" s="91"/>
      <c r="R2619" s="91">
        <v>1</v>
      </c>
      <c r="S2619" s="91" t="s">
        <v>371</v>
      </c>
    </row>
    <row r="2620" spans="1:19">
      <c r="A2620" s="45" t="s">
        <v>136</v>
      </c>
      <c r="B2620" s="32" t="s">
        <v>137</v>
      </c>
      <c r="C2620" s="3">
        <v>65</v>
      </c>
      <c r="D2620" s="32"/>
      <c r="E2620" s="20" t="s">
        <v>139</v>
      </c>
      <c r="F2620" s="7" t="s">
        <v>15</v>
      </c>
      <c r="G2620" s="7" t="s">
        <v>33</v>
      </c>
      <c r="H2620" s="11">
        <v>15.92</v>
      </c>
      <c r="I2620" s="33">
        <v>10.6</v>
      </c>
      <c r="J2620" s="40">
        <v>1</v>
      </c>
      <c r="K2620" s="10">
        <v>0.16875199999999999</v>
      </c>
      <c r="L2620" s="4"/>
      <c r="M2620" s="17">
        <v>1</v>
      </c>
      <c r="N2620" s="18">
        <v>0.16875199999999999</v>
      </c>
      <c r="O2620" s="19">
        <v>0</v>
      </c>
      <c r="P2620" s="53">
        <v>0</v>
      </c>
      <c r="Q2620" s="91"/>
      <c r="R2620" s="91">
        <v>1</v>
      </c>
      <c r="S2620" s="91" t="s">
        <v>371</v>
      </c>
    </row>
    <row r="2621" spans="1:19">
      <c r="A2621" s="45" t="s">
        <v>136</v>
      </c>
      <c r="B2621" s="32" t="s">
        <v>137</v>
      </c>
      <c r="C2621" s="3">
        <v>65</v>
      </c>
      <c r="D2621" s="32"/>
      <c r="E2621" s="20" t="s">
        <v>139</v>
      </c>
      <c r="F2621" s="7" t="s">
        <v>15</v>
      </c>
      <c r="G2621" s="7" t="s">
        <v>33</v>
      </c>
      <c r="H2621" s="11">
        <v>15.92</v>
      </c>
      <c r="I2621" s="33">
        <v>10.7</v>
      </c>
      <c r="J2621" s="40">
        <v>1</v>
      </c>
      <c r="K2621" s="10">
        <v>0.170344</v>
      </c>
      <c r="L2621" s="4"/>
      <c r="M2621" s="17">
        <v>1</v>
      </c>
      <c r="N2621" s="18">
        <v>0.170344</v>
      </c>
      <c r="O2621" s="19">
        <v>0</v>
      </c>
      <c r="P2621" s="53">
        <v>0</v>
      </c>
      <c r="Q2621" s="91"/>
      <c r="R2621" s="91">
        <v>1</v>
      </c>
      <c r="S2621" s="91" t="s">
        <v>371</v>
      </c>
    </row>
    <row r="2622" spans="1:19">
      <c r="A2622" s="45" t="s">
        <v>136</v>
      </c>
      <c r="B2622" s="32" t="s">
        <v>137</v>
      </c>
      <c r="C2622" s="3">
        <v>91</v>
      </c>
      <c r="D2622" s="32"/>
      <c r="E2622" s="20" t="s">
        <v>139</v>
      </c>
      <c r="F2622" s="7" t="s">
        <v>15</v>
      </c>
      <c r="G2622" s="7" t="s">
        <v>33</v>
      </c>
      <c r="H2622" s="11">
        <v>15.92</v>
      </c>
      <c r="I2622" s="33">
        <v>6.7</v>
      </c>
      <c r="J2622" s="40">
        <v>1</v>
      </c>
      <c r="K2622" s="10">
        <v>0.10666399999999999</v>
      </c>
      <c r="L2622" s="4"/>
      <c r="M2622" s="17">
        <v>1</v>
      </c>
      <c r="N2622" s="18">
        <v>0.10666399999999999</v>
      </c>
      <c r="O2622" s="19">
        <v>0</v>
      </c>
      <c r="P2622" s="53">
        <v>0</v>
      </c>
      <c r="Q2622" s="91"/>
      <c r="R2622" s="91">
        <v>1</v>
      </c>
      <c r="S2622" s="91" t="s">
        <v>371</v>
      </c>
    </row>
    <row r="2623" spans="1:19">
      <c r="A2623" s="45" t="s">
        <v>136</v>
      </c>
      <c r="B2623" s="32" t="s">
        <v>137</v>
      </c>
      <c r="C2623" s="3">
        <v>91</v>
      </c>
      <c r="D2623" s="32"/>
      <c r="E2623" s="20" t="s">
        <v>139</v>
      </c>
      <c r="F2623" s="7" t="s">
        <v>15</v>
      </c>
      <c r="G2623" s="7" t="s">
        <v>33</v>
      </c>
      <c r="H2623" s="11">
        <v>15.92</v>
      </c>
      <c r="I2623" s="33">
        <v>6.3</v>
      </c>
      <c r="J2623" s="40">
        <v>1</v>
      </c>
      <c r="K2623" s="10">
        <v>0.100296</v>
      </c>
      <c r="L2623" s="4"/>
      <c r="M2623" s="17">
        <v>1</v>
      </c>
      <c r="N2623" s="18">
        <v>0.100296</v>
      </c>
      <c r="O2623" s="19">
        <v>0</v>
      </c>
      <c r="P2623" s="53">
        <v>0</v>
      </c>
      <c r="Q2623" s="91"/>
      <c r="R2623" s="91">
        <v>1</v>
      </c>
      <c r="S2623" s="91" t="s">
        <v>371</v>
      </c>
    </row>
    <row r="2624" spans="1:19">
      <c r="O2624" s="215">
        <f>SUM(O2599:O2623)</f>
        <v>6</v>
      </c>
      <c r="R2624" s="215">
        <f>SUM(R2599:R2623)</f>
        <v>13</v>
      </c>
    </row>
    <row r="2626" spans="1:21">
      <c r="A2626" s="42" t="s">
        <v>90</v>
      </c>
      <c r="B2626" s="48" t="s">
        <v>148</v>
      </c>
      <c r="C2626" s="32">
        <v>92</v>
      </c>
      <c r="D2626" s="32"/>
      <c r="E2626" s="35"/>
      <c r="F2626" s="35" t="s">
        <v>14</v>
      </c>
      <c r="G2626" s="48" t="s">
        <v>42</v>
      </c>
      <c r="H2626" s="11">
        <v>19.72</v>
      </c>
      <c r="I2626" s="52">
        <v>11.5</v>
      </c>
      <c r="J2626" s="7">
        <v>1</v>
      </c>
      <c r="K2626" s="10">
        <v>0.22677999999999998</v>
      </c>
      <c r="L2626" s="32"/>
      <c r="M2626" s="32"/>
      <c r="N2626" s="18">
        <v>0</v>
      </c>
      <c r="O2626" s="19">
        <v>1</v>
      </c>
      <c r="P2626" s="13">
        <v>0.22677999999999998</v>
      </c>
      <c r="Q2626" s="32"/>
      <c r="R2626" s="32"/>
      <c r="S2626" s="32"/>
    </row>
    <row r="2627" spans="1:21">
      <c r="A2627" s="42" t="s">
        <v>90</v>
      </c>
      <c r="B2627" s="3"/>
      <c r="C2627" s="3">
        <v>139</v>
      </c>
      <c r="D2627" s="1"/>
      <c r="E2627" s="20" t="s">
        <v>24</v>
      </c>
      <c r="F2627" s="7" t="s">
        <v>14</v>
      </c>
      <c r="G2627" s="7" t="s">
        <v>42</v>
      </c>
      <c r="H2627" s="11">
        <v>19.72</v>
      </c>
      <c r="I2627" s="8">
        <v>12</v>
      </c>
      <c r="J2627" s="26">
        <v>1</v>
      </c>
      <c r="K2627" s="10">
        <v>0.23663999999999999</v>
      </c>
      <c r="L2627" s="4"/>
      <c r="M2627" s="17"/>
      <c r="N2627" s="18">
        <v>0</v>
      </c>
      <c r="O2627" s="19">
        <v>1</v>
      </c>
      <c r="P2627" s="13">
        <v>0.23663999999999999</v>
      </c>
      <c r="Q2627" s="9"/>
      <c r="R2627" s="2"/>
      <c r="S2627" s="2"/>
    </row>
    <row r="2628" spans="1:21">
      <c r="A2628" s="42" t="s">
        <v>90</v>
      </c>
      <c r="B2628" s="3"/>
      <c r="C2628" s="3">
        <v>139</v>
      </c>
      <c r="D2628" s="1"/>
      <c r="E2628" s="20" t="s">
        <v>24</v>
      </c>
      <c r="F2628" s="7" t="s">
        <v>14</v>
      </c>
      <c r="G2628" s="7" t="s">
        <v>42</v>
      </c>
      <c r="H2628" s="11">
        <v>19.72</v>
      </c>
      <c r="I2628" s="8">
        <v>6</v>
      </c>
      <c r="J2628" s="26">
        <v>2</v>
      </c>
      <c r="K2628" s="10">
        <v>0.23663999999999999</v>
      </c>
      <c r="L2628" s="4"/>
      <c r="M2628" s="17">
        <v>1</v>
      </c>
      <c r="N2628" s="18">
        <v>0.11831999999999999</v>
      </c>
      <c r="O2628" s="19">
        <v>1</v>
      </c>
      <c r="P2628" s="13">
        <v>0.11831999999999999</v>
      </c>
      <c r="Q2628" s="92">
        <v>6</v>
      </c>
      <c r="R2628" s="47">
        <v>1</v>
      </c>
      <c r="S2628" s="92" t="s">
        <v>372</v>
      </c>
    </row>
    <row r="2629" spans="1:21">
      <c r="A2629" s="42" t="s">
        <v>78</v>
      </c>
      <c r="B2629" s="3" t="s">
        <v>80</v>
      </c>
      <c r="C2629" s="3">
        <v>7</v>
      </c>
      <c r="D2629" s="1"/>
      <c r="E2629" s="12" t="s">
        <v>19</v>
      </c>
      <c r="F2629" s="7" t="s">
        <v>14</v>
      </c>
      <c r="G2629" s="7" t="s">
        <v>42</v>
      </c>
      <c r="H2629" s="11">
        <v>19.72</v>
      </c>
      <c r="I2629" s="8">
        <v>11.8</v>
      </c>
      <c r="J2629" s="26">
        <v>1</v>
      </c>
      <c r="K2629" s="10">
        <v>0.23269599999999999</v>
      </c>
      <c r="L2629" s="4"/>
      <c r="M2629" s="17"/>
      <c r="N2629" s="18">
        <v>0</v>
      </c>
      <c r="O2629" s="19">
        <v>1</v>
      </c>
      <c r="P2629" s="13">
        <v>0.23269599999999999</v>
      </c>
      <c r="Q2629" s="9"/>
      <c r="R2629" s="2"/>
      <c r="S2629" s="2"/>
    </row>
    <row r="2632" spans="1:21" ht="15.6">
      <c r="B2632" s="110" t="s">
        <v>365</v>
      </c>
      <c r="C2632" s="111" t="s">
        <v>232</v>
      </c>
      <c r="D2632" s="112" t="s">
        <v>228</v>
      </c>
      <c r="E2632" s="113" t="s">
        <v>24</v>
      </c>
      <c r="F2632" s="114" t="s">
        <v>14</v>
      </c>
      <c r="G2632" s="115" t="s">
        <v>48</v>
      </c>
      <c r="H2632" s="116">
        <v>23.45</v>
      </c>
      <c r="I2632" s="125">
        <v>10</v>
      </c>
      <c r="J2632" s="111">
        <v>4</v>
      </c>
      <c r="K2632" s="117">
        <f t="shared" ref="K2632:K2635" si="246">I2632*H2632*J2632/1000</f>
        <v>0.93799999999999994</v>
      </c>
      <c r="L2632" s="118"/>
      <c r="M2632" s="111">
        <v>4</v>
      </c>
      <c r="N2632" s="117">
        <f t="shared" ref="N2632:N2635" si="247">I2632*M2632*H2632/1000</f>
        <v>0.93799999999999994</v>
      </c>
      <c r="O2632" s="119">
        <f t="shared" ref="O2632:O2635" si="248">J2632-M2632</f>
        <v>0</v>
      </c>
      <c r="P2632" s="120">
        <f t="shared" ref="P2632:P2635" si="249">I2632*O2632*H2632/1000</f>
        <v>0</v>
      </c>
      <c r="Q2632" s="111"/>
      <c r="R2632" s="32"/>
      <c r="S2632" s="213"/>
    </row>
    <row r="2633" spans="1:21" ht="15.6">
      <c r="B2633" s="110" t="s">
        <v>365</v>
      </c>
      <c r="C2633" s="111" t="s">
        <v>232</v>
      </c>
      <c r="D2633" s="112" t="s">
        <v>228</v>
      </c>
      <c r="E2633" s="113" t="s">
        <v>24</v>
      </c>
      <c r="F2633" s="114" t="s">
        <v>14</v>
      </c>
      <c r="G2633" s="115" t="s">
        <v>48</v>
      </c>
      <c r="H2633" s="116">
        <v>23.45</v>
      </c>
      <c r="I2633" s="125">
        <v>11</v>
      </c>
      <c r="J2633" s="111">
        <v>2</v>
      </c>
      <c r="K2633" s="117">
        <f t="shared" si="246"/>
        <v>0.51590000000000003</v>
      </c>
      <c r="L2633" s="118"/>
      <c r="M2633" s="111">
        <v>2</v>
      </c>
      <c r="N2633" s="117">
        <f t="shared" si="247"/>
        <v>0.51590000000000003</v>
      </c>
      <c r="O2633" s="119">
        <f t="shared" si="248"/>
        <v>0</v>
      </c>
      <c r="P2633" s="120">
        <f t="shared" si="249"/>
        <v>0</v>
      </c>
      <c r="Q2633" s="111"/>
      <c r="R2633" s="32"/>
      <c r="S2633" s="213"/>
    </row>
    <row r="2634" spans="1:21" ht="15.6">
      <c r="B2634" s="110" t="s">
        <v>365</v>
      </c>
      <c r="C2634" s="111" t="s">
        <v>232</v>
      </c>
      <c r="D2634" s="112" t="s">
        <v>228</v>
      </c>
      <c r="E2634" s="113" t="s">
        <v>24</v>
      </c>
      <c r="F2634" s="114" t="s">
        <v>14</v>
      </c>
      <c r="G2634" s="115" t="s">
        <v>48</v>
      </c>
      <c r="H2634" s="116">
        <v>23.45</v>
      </c>
      <c r="I2634" s="125">
        <v>9</v>
      </c>
      <c r="J2634" s="111">
        <v>1</v>
      </c>
      <c r="K2634" s="117">
        <f t="shared" si="246"/>
        <v>0.21104999999999999</v>
      </c>
      <c r="L2634" s="118"/>
      <c r="M2634" s="111">
        <v>1</v>
      </c>
      <c r="N2634" s="117">
        <f t="shared" si="247"/>
        <v>0.21104999999999999</v>
      </c>
      <c r="O2634" s="119">
        <f t="shared" si="248"/>
        <v>0</v>
      </c>
      <c r="P2634" s="120">
        <f t="shared" si="249"/>
        <v>0</v>
      </c>
      <c r="Q2634" s="111"/>
      <c r="R2634" s="32"/>
      <c r="S2634" s="213"/>
    </row>
    <row r="2635" spans="1:21" ht="15.6">
      <c r="B2635" s="110" t="s">
        <v>365</v>
      </c>
      <c r="C2635" s="111" t="s">
        <v>232</v>
      </c>
      <c r="D2635" s="112" t="s">
        <v>228</v>
      </c>
      <c r="E2635" s="113" t="s">
        <v>24</v>
      </c>
      <c r="F2635" s="114" t="s">
        <v>14</v>
      </c>
      <c r="G2635" s="115" t="s">
        <v>48</v>
      </c>
      <c r="H2635" s="116">
        <v>23.45</v>
      </c>
      <c r="I2635" s="125">
        <v>12</v>
      </c>
      <c r="J2635" s="111">
        <f>4+12</f>
        <v>16</v>
      </c>
      <c r="K2635" s="117">
        <f t="shared" si="246"/>
        <v>4.5023999999999997</v>
      </c>
      <c r="L2635" s="118"/>
      <c r="M2635" s="111">
        <v>2</v>
      </c>
      <c r="N2635" s="117">
        <f t="shared" si="247"/>
        <v>0.56279999999999997</v>
      </c>
      <c r="O2635" s="119">
        <f t="shared" si="248"/>
        <v>14</v>
      </c>
      <c r="P2635" s="120">
        <f t="shared" si="249"/>
        <v>3.9396</v>
      </c>
      <c r="Q2635" s="93">
        <v>6.6</v>
      </c>
      <c r="R2635" s="93">
        <v>2</v>
      </c>
      <c r="S2635" s="170" t="s">
        <v>370</v>
      </c>
    </row>
    <row r="2636" spans="1:21">
      <c r="B2636" s="213"/>
      <c r="C2636" s="213"/>
      <c r="D2636" s="213"/>
      <c r="E2636" s="213"/>
      <c r="F2636" s="213"/>
      <c r="G2636" s="213"/>
      <c r="H2636" s="213"/>
      <c r="I2636" s="213"/>
      <c r="J2636" s="215">
        <f>SUM(J2632:J2635)</f>
        <v>23</v>
      </c>
      <c r="K2636" s="214">
        <f>SUM(K2632:K2635)</f>
        <v>6.1673499999999999</v>
      </c>
      <c r="L2636" s="213"/>
      <c r="M2636" s="215">
        <f>SUM(M2632:M2635)</f>
        <v>9</v>
      </c>
      <c r="N2636" s="214">
        <f>SUM(N2632:N2635)</f>
        <v>2.2277499999999999</v>
      </c>
      <c r="O2636" s="215">
        <f>SUM(O2632:O2635)</f>
        <v>14</v>
      </c>
      <c r="P2636" s="214">
        <f>SUM(P2632:P2635)</f>
        <v>3.9396</v>
      </c>
      <c r="Q2636" s="170"/>
      <c r="R2636" s="215">
        <f>SUM(R2632:R2635)</f>
        <v>2</v>
      </c>
      <c r="S2636" s="170"/>
    </row>
    <row r="2638" spans="1:21" ht="15.6">
      <c r="B2638" s="110" t="s">
        <v>238</v>
      </c>
      <c r="C2638" s="111" t="s">
        <v>232</v>
      </c>
      <c r="D2638" s="112" t="s">
        <v>228</v>
      </c>
      <c r="E2638" s="113" t="s">
        <v>236</v>
      </c>
      <c r="F2638" s="114" t="s">
        <v>15</v>
      </c>
      <c r="G2638" s="115" t="s">
        <v>18</v>
      </c>
      <c r="H2638" s="116">
        <v>6.86</v>
      </c>
      <c r="I2638" s="125">
        <v>11.1</v>
      </c>
      <c r="J2638" s="111">
        <f>41+40+28+42+34+39+31</f>
        <v>255</v>
      </c>
      <c r="K2638" s="117">
        <f t="shared" ref="K2638:K2674" si="250">I2638*H2638*J2638/1000</f>
        <v>19.41723</v>
      </c>
      <c r="L2638" s="118"/>
      <c r="M2638" s="111">
        <v>255</v>
      </c>
      <c r="N2638" s="117">
        <f t="shared" ref="N2638:N2674" si="251">I2638*M2638*H2638/1000</f>
        <v>19.41723</v>
      </c>
      <c r="O2638" s="119">
        <f t="shared" ref="O2638:O2674" si="252">J2638-M2638</f>
        <v>0</v>
      </c>
      <c r="P2638" s="120">
        <f t="shared" ref="P2638:P2674" si="253">I2638*O2638*H2638/1000</f>
        <v>0</v>
      </c>
      <c r="Q2638" s="111"/>
      <c r="R2638" s="111"/>
      <c r="S2638" s="111"/>
      <c r="T2638" s="111"/>
      <c r="U2638" s="213"/>
    </row>
    <row r="2639" spans="1:21" ht="15.6">
      <c r="B2639" s="110" t="s">
        <v>238</v>
      </c>
      <c r="C2639" s="111" t="s">
        <v>232</v>
      </c>
      <c r="D2639" s="112" t="s">
        <v>228</v>
      </c>
      <c r="E2639" s="113" t="s">
        <v>236</v>
      </c>
      <c r="F2639" s="114" t="s">
        <v>15</v>
      </c>
      <c r="G2639" s="115" t="s">
        <v>18</v>
      </c>
      <c r="H2639" s="116">
        <v>6.86</v>
      </c>
      <c r="I2639" s="125">
        <v>11.5</v>
      </c>
      <c r="J2639" s="111">
        <f>29+42+3+35</f>
        <v>109</v>
      </c>
      <c r="K2639" s="117">
        <f t="shared" si="250"/>
        <v>8.5990099999999998</v>
      </c>
      <c r="L2639" s="118"/>
      <c r="M2639" s="111">
        <f>99+10</f>
        <v>109</v>
      </c>
      <c r="N2639" s="117">
        <f t="shared" si="251"/>
        <v>8.5990099999999998</v>
      </c>
      <c r="O2639" s="119">
        <f t="shared" si="252"/>
        <v>0</v>
      </c>
      <c r="P2639" s="120">
        <f t="shared" si="253"/>
        <v>0</v>
      </c>
      <c r="Q2639" s="130">
        <v>11.1</v>
      </c>
      <c r="R2639" s="111">
        <v>10</v>
      </c>
      <c r="S2639" s="111"/>
      <c r="T2639" s="111"/>
      <c r="U2639" s="213"/>
    </row>
    <row r="2640" spans="1:21" ht="15.6">
      <c r="B2640" s="110" t="s">
        <v>238</v>
      </c>
      <c r="C2640" s="111" t="s">
        <v>232</v>
      </c>
      <c r="D2640" s="112" t="s">
        <v>228</v>
      </c>
      <c r="E2640" s="113" t="s">
        <v>236</v>
      </c>
      <c r="F2640" s="114" t="s">
        <v>15</v>
      </c>
      <c r="G2640" s="115" t="s">
        <v>18</v>
      </c>
      <c r="H2640" s="116">
        <v>6.86</v>
      </c>
      <c r="I2640" s="125">
        <v>9</v>
      </c>
      <c r="J2640" s="111">
        <v>6</v>
      </c>
      <c r="K2640" s="117">
        <f t="shared" si="250"/>
        <v>0.37043999999999999</v>
      </c>
      <c r="L2640" s="118"/>
      <c r="M2640" s="111">
        <v>6</v>
      </c>
      <c r="N2640" s="117">
        <f t="shared" si="251"/>
        <v>0.37043999999999999</v>
      </c>
      <c r="O2640" s="119">
        <f t="shared" si="252"/>
        <v>0</v>
      </c>
      <c r="P2640" s="120">
        <f t="shared" si="253"/>
        <v>0</v>
      </c>
      <c r="Q2640" s="130"/>
      <c r="R2640" s="111"/>
      <c r="S2640" s="111"/>
      <c r="T2640" s="111"/>
      <c r="U2640" s="213"/>
    </row>
    <row r="2641" spans="2:21" ht="15.6">
      <c r="B2641" s="110" t="s">
        <v>238</v>
      </c>
      <c r="C2641" s="111" t="s">
        <v>232</v>
      </c>
      <c r="D2641" s="112" t="s">
        <v>228</v>
      </c>
      <c r="E2641" s="113" t="s">
        <v>236</v>
      </c>
      <c r="F2641" s="114" t="s">
        <v>15</v>
      </c>
      <c r="G2641" s="115" t="s">
        <v>18</v>
      </c>
      <c r="H2641" s="116">
        <v>6.86</v>
      </c>
      <c r="I2641" s="125">
        <v>7.1</v>
      </c>
      <c r="J2641" s="111">
        <f>42+31+12+38+52+24</f>
        <v>199</v>
      </c>
      <c r="K2641" s="117">
        <f t="shared" si="250"/>
        <v>9.6924939999999999</v>
      </c>
      <c r="L2641" s="118"/>
      <c r="M2641" s="111">
        <v>191</v>
      </c>
      <c r="N2641" s="117">
        <f t="shared" si="251"/>
        <v>9.3028459999999988</v>
      </c>
      <c r="O2641" s="119">
        <f t="shared" si="252"/>
        <v>8</v>
      </c>
      <c r="P2641" s="120">
        <f t="shared" si="253"/>
        <v>0.38964800000000005</v>
      </c>
      <c r="Q2641" s="130"/>
      <c r="R2641" s="111"/>
      <c r="S2641" s="111"/>
      <c r="T2641" s="111"/>
      <c r="U2641" s="213"/>
    </row>
    <row r="2642" spans="2:21" ht="15.6">
      <c r="B2642" s="110" t="s">
        <v>238</v>
      </c>
      <c r="C2642" s="111" t="s">
        <v>232</v>
      </c>
      <c r="D2642" s="112" t="s">
        <v>228</v>
      </c>
      <c r="E2642" s="113" t="s">
        <v>236</v>
      </c>
      <c r="F2642" s="114" t="s">
        <v>15</v>
      </c>
      <c r="G2642" s="115" t="s">
        <v>18</v>
      </c>
      <c r="H2642" s="116">
        <v>6.86</v>
      </c>
      <c r="I2642" s="125">
        <v>8.9499999999999993</v>
      </c>
      <c r="J2642" s="111">
        <f>40+42+8+3+9+44+50</f>
        <v>196</v>
      </c>
      <c r="K2642" s="117">
        <f t="shared" si="250"/>
        <v>12.033811999999999</v>
      </c>
      <c r="L2642" s="118"/>
      <c r="M2642" s="111">
        <f>194+2</f>
        <v>196</v>
      </c>
      <c r="N2642" s="117">
        <f t="shared" si="251"/>
        <v>12.033811999999999</v>
      </c>
      <c r="O2642" s="119">
        <f t="shared" si="252"/>
        <v>0</v>
      </c>
      <c r="P2642" s="120">
        <f t="shared" si="253"/>
        <v>0</v>
      </c>
      <c r="Q2642" s="130"/>
      <c r="R2642" s="111"/>
      <c r="S2642" s="94">
        <v>7.6</v>
      </c>
      <c r="T2642" s="93">
        <v>2</v>
      </c>
      <c r="U2642" s="170" t="s">
        <v>404</v>
      </c>
    </row>
    <row r="2643" spans="2:21" ht="15.6">
      <c r="B2643" s="110" t="s">
        <v>238</v>
      </c>
      <c r="C2643" s="111" t="s">
        <v>232</v>
      </c>
      <c r="D2643" s="112" t="s">
        <v>228</v>
      </c>
      <c r="E2643" s="113" t="s">
        <v>236</v>
      </c>
      <c r="F2643" s="114" t="s">
        <v>15</v>
      </c>
      <c r="G2643" s="115" t="s">
        <v>18</v>
      </c>
      <c r="H2643" s="116">
        <v>6.86</v>
      </c>
      <c r="I2643" s="125">
        <v>11.2</v>
      </c>
      <c r="J2643" s="111">
        <f>40+36+27+12+15+26+40+43+15</f>
        <v>254</v>
      </c>
      <c r="K2643" s="117">
        <f t="shared" si="250"/>
        <v>19.515327999999997</v>
      </c>
      <c r="L2643" s="118"/>
      <c r="M2643" s="111">
        <v>254</v>
      </c>
      <c r="N2643" s="117">
        <f t="shared" si="251"/>
        <v>19.515327999999997</v>
      </c>
      <c r="O2643" s="119">
        <f t="shared" si="252"/>
        <v>0</v>
      </c>
      <c r="P2643" s="120">
        <f t="shared" si="253"/>
        <v>0</v>
      </c>
      <c r="Q2643" s="130"/>
      <c r="R2643" s="111"/>
      <c r="S2643" s="94"/>
      <c r="T2643" s="93"/>
      <c r="U2643" s="170"/>
    </row>
    <row r="2644" spans="2:21" ht="15.6">
      <c r="B2644" s="110" t="s">
        <v>238</v>
      </c>
      <c r="C2644" s="111" t="s">
        <v>232</v>
      </c>
      <c r="D2644" s="112" t="s">
        <v>228</v>
      </c>
      <c r="E2644" s="113" t="s">
        <v>236</v>
      </c>
      <c r="F2644" s="114" t="s">
        <v>15</v>
      </c>
      <c r="G2644" s="115" t="s">
        <v>18</v>
      </c>
      <c r="H2644" s="116">
        <v>6.86</v>
      </c>
      <c r="I2644" s="125">
        <v>10.5</v>
      </c>
      <c r="J2644" s="111">
        <v>1</v>
      </c>
      <c r="K2644" s="117">
        <f t="shared" si="250"/>
        <v>7.2029999999999997E-2</v>
      </c>
      <c r="L2644" s="118"/>
      <c r="M2644" s="111">
        <v>1</v>
      </c>
      <c r="N2644" s="117">
        <f t="shared" si="251"/>
        <v>7.2029999999999997E-2</v>
      </c>
      <c r="O2644" s="119">
        <f t="shared" si="252"/>
        <v>0</v>
      </c>
      <c r="P2644" s="120">
        <f t="shared" si="253"/>
        <v>0</v>
      </c>
      <c r="Q2644" s="130"/>
      <c r="R2644" s="111"/>
      <c r="S2644" s="94">
        <v>10</v>
      </c>
      <c r="T2644" s="93">
        <v>1</v>
      </c>
      <c r="U2644" s="170" t="s">
        <v>458</v>
      </c>
    </row>
    <row r="2645" spans="2:21" ht="15.6">
      <c r="B2645" s="110" t="s">
        <v>238</v>
      </c>
      <c r="C2645" s="111" t="s">
        <v>232</v>
      </c>
      <c r="D2645" s="112" t="s">
        <v>228</v>
      </c>
      <c r="E2645" s="113" t="s">
        <v>236</v>
      </c>
      <c r="F2645" s="114" t="s">
        <v>15</v>
      </c>
      <c r="G2645" s="115" t="s">
        <v>18</v>
      </c>
      <c r="H2645" s="116">
        <v>6.86</v>
      </c>
      <c r="I2645" s="125">
        <v>11.5</v>
      </c>
      <c r="J2645" s="111">
        <v>3</v>
      </c>
      <c r="K2645" s="117">
        <f t="shared" si="250"/>
        <v>0.23667000000000002</v>
      </c>
      <c r="L2645" s="118"/>
      <c r="M2645" s="111">
        <v>3</v>
      </c>
      <c r="N2645" s="117">
        <f t="shared" si="251"/>
        <v>0.23667000000000002</v>
      </c>
      <c r="O2645" s="119">
        <f t="shared" si="252"/>
        <v>0</v>
      </c>
      <c r="P2645" s="120">
        <f t="shared" si="253"/>
        <v>0</v>
      </c>
      <c r="Q2645" s="130">
        <v>11.1</v>
      </c>
      <c r="R2645" s="111">
        <v>3</v>
      </c>
      <c r="S2645" s="111"/>
      <c r="T2645" s="111"/>
      <c r="U2645" s="213"/>
    </row>
    <row r="2646" spans="2:21" ht="15.6">
      <c r="B2646" s="110" t="s">
        <v>238</v>
      </c>
      <c r="C2646" s="111" t="s">
        <v>232</v>
      </c>
      <c r="D2646" s="112" t="s">
        <v>228</v>
      </c>
      <c r="E2646" s="113" t="s">
        <v>236</v>
      </c>
      <c r="F2646" s="114" t="s">
        <v>15</v>
      </c>
      <c r="G2646" s="115" t="s">
        <v>18</v>
      </c>
      <c r="H2646" s="116">
        <v>6.86</v>
      </c>
      <c r="I2646" s="127">
        <v>12</v>
      </c>
      <c r="J2646" s="111">
        <v>3</v>
      </c>
      <c r="K2646" s="117">
        <f t="shared" si="250"/>
        <v>0.24696000000000004</v>
      </c>
      <c r="L2646" s="118"/>
      <c r="M2646" s="111">
        <v>3</v>
      </c>
      <c r="N2646" s="117">
        <f t="shared" si="251"/>
        <v>0.24696000000000001</v>
      </c>
      <c r="O2646" s="119">
        <f t="shared" si="252"/>
        <v>0</v>
      </c>
      <c r="P2646" s="120">
        <f t="shared" si="253"/>
        <v>0</v>
      </c>
      <c r="Q2646" s="130">
        <v>11.1</v>
      </c>
      <c r="R2646" s="111">
        <v>3</v>
      </c>
      <c r="S2646" s="111"/>
      <c r="T2646" s="111"/>
      <c r="U2646" s="213"/>
    </row>
    <row r="2647" spans="2:21" ht="15.6">
      <c r="B2647" s="110" t="s">
        <v>238</v>
      </c>
      <c r="C2647" s="111" t="s">
        <v>232</v>
      </c>
      <c r="D2647" s="112" t="s">
        <v>228</v>
      </c>
      <c r="E2647" s="113" t="s">
        <v>236</v>
      </c>
      <c r="F2647" s="114" t="s">
        <v>15</v>
      </c>
      <c r="G2647" s="115" t="s">
        <v>18</v>
      </c>
      <c r="H2647" s="116">
        <v>6.86</v>
      </c>
      <c r="I2647" s="125">
        <v>6.5</v>
      </c>
      <c r="J2647" s="111">
        <v>1</v>
      </c>
      <c r="K2647" s="117">
        <f t="shared" si="250"/>
        <v>4.4590000000000005E-2</v>
      </c>
      <c r="L2647" s="118"/>
      <c r="M2647" s="111"/>
      <c r="N2647" s="117">
        <f t="shared" si="251"/>
        <v>0</v>
      </c>
      <c r="O2647" s="119">
        <f t="shared" si="252"/>
        <v>1</v>
      </c>
      <c r="P2647" s="120">
        <f t="shared" si="253"/>
        <v>4.4590000000000005E-2</v>
      </c>
      <c r="Q2647" s="130"/>
      <c r="R2647" s="111"/>
      <c r="S2647" s="111"/>
      <c r="T2647" s="111"/>
      <c r="U2647" s="213"/>
    </row>
    <row r="2648" spans="2:21" ht="15.6">
      <c r="B2648" s="110" t="s">
        <v>238</v>
      </c>
      <c r="C2648" s="111" t="s">
        <v>232</v>
      </c>
      <c r="D2648" s="112" t="s">
        <v>228</v>
      </c>
      <c r="E2648" s="113" t="s">
        <v>236</v>
      </c>
      <c r="F2648" s="114" t="s">
        <v>15</v>
      </c>
      <c r="G2648" s="115" t="s">
        <v>18</v>
      </c>
      <c r="H2648" s="116">
        <v>6.86</v>
      </c>
      <c r="I2648" s="125">
        <v>6.8</v>
      </c>
      <c r="J2648" s="111">
        <v>1</v>
      </c>
      <c r="K2648" s="117">
        <f t="shared" si="250"/>
        <v>4.6648000000000002E-2</v>
      </c>
      <c r="L2648" s="118"/>
      <c r="M2648" s="111"/>
      <c r="N2648" s="117">
        <f t="shared" si="251"/>
        <v>0</v>
      </c>
      <c r="O2648" s="119">
        <f t="shared" si="252"/>
        <v>1</v>
      </c>
      <c r="P2648" s="120">
        <f t="shared" si="253"/>
        <v>4.6648000000000002E-2</v>
      </c>
      <c r="Q2648" s="130"/>
      <c r="R2648" s="111"/>
      <c r="S2648" s="111"/>
      <c r="T2648" s="111"/>
      <c r="U2648" s="213"/>
    </row>
    <row r="2649" spans="2:21" ht="15.6">
      <c r="B2649" s="110" t="s">
        <v>238</v>
      </c>
      <c r="C2649" s="111" t="s">
        <v>232</v>
      </c>
      <c r="D2649" s="112" t="s">
        <v>228</v>
      </c>
      <c r="E2649" s="113" t="s">
        <v>236</v>
      </c>
      <c r="F2649" s="114" t="s">
        <v>15</v>
      </c>
      <c r="G2649" s="115" t="s">
        <v>18</v>
      </c>
      <c r="H2649" s="116">
        <v>6.86</v>
      </c>
      <c r="I2649" s="125">
        <v>8.3000000000000007</v>
      </c>
      <c r="J2649" s="111">
        <v>1</v>
      </c>
      <c r="K2649" s="117">
        <f t="shared" si="250"/>
        <v>5.6938000000000009E-2</v>
      </c>
      <c r="L2649" s="118"/>
      <c r="M2649" s="111">
        <v>1</v>
      </c>
      <c r="N2649" s="117">
        <f t="shared" si="251"/>
        <v>5.6938000000000009E-2</v>
      </c>
      <c r="O2649" s="119">
        <f t="shared" si="252"/>
        <v>0</v>
      </c>
      <c r="P2649" s="120">
        <f t="shared" si="253"/>
        <v>0</v>
      </c>
      <c r="Q2649" s="130"/>
      <c r="R2649" s="111"/>
      <c r="S2649" s="94">
        <v>7.6</v>
      </c>
      <c r="T2649" s="93">
        <v>1</v>
      </c>
      <c r="U2649" s="170" t="s">
        <v>404</v>
      </c>
    </row>
    <row r="2650" spans="2:21" ht="15.6">
      <c r="B2650" s="110" t="s">
        <v>238</v>
      </c>
      <c r="C2650" s="111" t="s">
        <v>232</v>
      </c>
      <c r="D2650" s="112" t="s">
        <v>228</v>
      </c>
      <c r="E2650" s="113" t="s">
        <v>236</v>
      </c>
      <c r="F2650" s="114" t="s">
        <v>15</v>
      </c>
      <c r="G2650" s="115" t="s">
        <v>18</v>
      </c>
      <c r="H2650" s="116">
        <v>6.86</v>
      </c>
      <c r="I2650" s="125">
        <v>8.5</v>
      </c>
      <c r="J2650" s="111">
        <v>6</v>
      </c>
      <c r="K2650" s="117">
        <f t="shared" si="250"/>
        <v>0.34986</v>
      </c>
      <c r="L2650" s="118"/>
      <c r="M2650" s="111">
        <v>6</v>
      </c>
      <c r="N2650" s="117">
        <f t="shared" si="251"/>
        <v>0.34986</v>
      </c>
      <c r="O2650" s="119">
        <f t="shared" si="252"/>
        <v>0</v>
      </c>
      <c r="P2650" s="120">
        <f t="shared" si="253"/>
        <v>0</v>
      </c>
      <c r="Q2650" s="130"/>
      <c r="R2650" s="111"/>
      <c r="S2650" s="94">
        <v>7.6</v>
      </c>
      <c r="T2650" s="93">
        <v>6</v>
      </c>
      <c r="U2650" s="170" t="s">
        <v>404</v>
      </c>
    </row>
    <row r="2651" spans="2:21" ht="15.6">
      <c r="B2651" s="110" t="s">
        <v>238</v>
      </c>
      <c r="C2651" s="111" t="s">
        <v>232</v>
      </c>
      <c r="D2651" s="112" t="s">
        <v>228</v>
      </c>
      <c r="E2651" s="113" t="s">
        <v>236</v>
      </c>
      <c r="F2651" s="114" t="s">
        <v>15</v>
      </c>
      <c r="G2651" s="115" t="s">
        <v>18</v>
      </c>
      <c r="H2651" s="116">
        <v>6.86</v>
      </c>
      <c r="I2651" s="125">
        <v>10.3</v>
      </c>
      <c r="J2651" s="111">
        <v>1</v>
      </c>
      <c r="K2651" s="117">
        <f t="shared" si="250"/>
        <v>7.0657999999999999E-2</v>
      </c>
      <c r="L2651" s="118"/>
      <c r="M2651" s="111">
        <v>1</v>
      </c>
      <c r="N2651" s="117">
        <f t="shared" si="251"/>
        <v>7.0657999999999999E-2</v>
      </c>
      <c r="O2651" s="119">
        <f t="shared" si="252"/>
        <v>0</v>
      </c>
      <c r="P2651" s="120">
        <f t="shared" si="253"/>
        <v>0</v>
      </c>
      <c r="Q2651" s="130"/>
      <c r="R2651" s="111"/>
      <c r="S2651" s="168">
        <v>10</v>
      </c>
      <c r="T2651" s="93">
        <v>1</v>
      </c>
      <c r="U2651" s="170" t="s">
        <v>458</v>
      </c>
    </row>
    <row r="2652" spans="2:21" ht="15.6">
      <c r="B2652" s="110" t="s">
        <v>238</v>
      </c>
      <c r="C2652" s="111" t="s">
        <v>232</v>
      </c>
      <c r="D2652" s="112" t="s">
        <v>228</v>
      </c>
      <c r="E2652" s="113" t="s">
        <v>236</v>
      </c>
      <c r="F2652" s="114" t="s">
        <v>15</v>
      </c>
      <c r="G2652" s="115" t="s">
        <v>18</v>
      </c>
      <c r="H2652" s="116">
        <v>6.86</v>
      </c>
      <c r="I2652" s="125">
        <v>10.5</v>
      </c>
      <c r="J2652" s="111">
        <v>21</v>
      </c>
      <c r="K2652" s="117">
        <f t="shared" si="250"/>
        <v>1.5126300000000001</v>
      </c>
      <c r="L2652" s="118"/>
      <c r="M2652" s="111">
        <f>18+3</f>
        <v>21</v>
      </c>
      <c r="N2652" s="117">
        <f t="shared" si="251"/>
        <v>1.5126300000000001</v>
      </c>
      <c r="O2652" s="119">
        <f t="shared" si="252"/>
        <v>0</v>
      </c>
      <c r="P2652" s="120">
        <f t="shared" si="253"/>
        <v>0</v>
      </c>
      <c r="Q2652" s="130">
        <v>9</v>
      </c>
      <c r="R2652" s="111">
        <v>18</v>
      </c>
      <c r="S2652" s="168">
        <v>10</v>
      </c>
      <c r="T2652" s="93">
        <v>3</v>
      </c>
      <c r="U2652" s="170" t="s">
        <v>458</v>
      </c>
    </row>
    <row r="2653" spans="2:21" ht="15.6">
      <c r="B2653" s="110" t="s">
        <v>238</v>
      </c>
      <c r="C2653" s="111" t="s">
        <v>232</v>
      </c>
      <c r="D2653" s="112" t="s">
        <v>228</v>
      </c>
      <c r="E2653" s="113" t="s">
        <v>236</v>
      </c>
      <c r="F2653" s="114" t="s">
        <v>15</v>
      </c>
      <c r="G2653" s="115" t="s">
        <v>18</v>
      </c>
      <c r="H2653" s="116">
        <v>6.86</v>
      </c>
      <c r="I2653" s="125">
        <v>11.5</v>
      </c>
      <c r="J2653" s="111">
        <v>5</v>
      </c>
      <c r="K2653" s="117">
        <f t="shared" si="250"/>
        <v>0.39444999999999997</v>
      </c>
      <c r="L2653" s="118"/>
      <c r="M2653" s="111">
        <v>5</v>
      </c>
      <c r="N2653" s="117">
        <f t="shared" si="251"/>
        <v>0.39445000000000002</v>
      </c>
      <c r="O2653" s="119">
        <f t="shared" si="252"/>
        <v>0</v>
      </c>
      <c r="P2653" s="120">
        <f t="shared" si="253"/>
        <v>0</v>
      </c>
      <c r="Q2653" s="130">
        <v>11.1</v>
      </c>
      <c r="R2653" s="111">
        <v>5</v>
      </c>
      <c r="S2653" s="111"/>
      <c r="T2653" s="111"/>
      <c r="U2653" s="213"/>
    </row>
    <row r="2654" spans="2:21" ht="15.6">
      <c r="B2654" s="110" t="s">
        <v>238</v>
      </c>
      <c r="C2654" s="111" t="s">
        <v>232</v>
      </c>
      <c r="D2654" s="112" t="s">
        <v>228</v>
      </c>
      <c r="E2654" s="113" t="s">
        <v>236</v>
      </c>
      <c r="F2654" s="114" t="s">
        <v>15</v>
      </c>
      <c r="G2654" s="115" t="s">
        <v>18</v>
      </c>
      <c r="H2654" s="116">
        <v>6.86</v>
      </c>
      <c r="I2654" s="125">
        <v>12</v>
      </c>
      <c r="J2654" s="111">
        <v>5</v>
      </c>
      <c r="K2654" s="117">
        <f t="shared" si="250"/>
        <v>0.41160000000000002</v>
      </c>
      <c r="L2654" s="118"/>
      <c r="M2654" s="111">
        <v>5</v>
      </c>
      <c r="N2654" s="117">
        <f t="shared" si="251"/>
        <v>0.41160000000000002</v>
      </c>
      <c r="O2654" s="119">
        <f t="shared" si="252"/>
        <v>0</v>
      </c>
      <c r="P2654" s="120">
        <f t="shared" si="253"/>
        <v>0</v>
      </c>
      <c r="Q2654" s="130">
        <v>11.1</v>
      </c>
      <c r="R2654" s="111">
        <v>5</v>
      </c>
      <c r="S2654" s="111"/>
      <c r="T2654" s="111"/>
      <c r="U2654" s="213"/>
    </row>
    <row r="2655" spans="2:21" ht="15.6">
      <c r="B2655" s="110" t="s">
        <v>238</v>
      </c>
      <c r="C2655" s="111" t="s">
        <v>232</v>
      </c>
      <c r="D2655" s="112" t="s">
        <v>228</v>
      </c>
      <c r="E2655" s="113" t="s">
        <v>236</v>
      </c>
      <c r="F2655" s="114" t="s">
        <v>15</v>
      </c>
      <c r="G2655" s="115" t="s">
        <v>18</v>
      </c>
      <c r="H2655" s="116">
        <v>6.86</v>
      </c>
      <c r="I2655" s="125">
        <v>12</v>
      </c>
      <c r="J2655" s="111">
        <v>5</v>
      </c>
      <c r="K2655" s="117">
        <f t="shared" si="250"/>
        <v>0.41160000000000002</v>
      </c>
      <c r="L2655" s="118"/>
      <c r="M2655" s="111">
        <v>5</v>
      </c>
      <c r="N2655" s="117">
        <f t="shared" si="251"/>
        <v>0.41160000000000002</v>
      </c>
      <c r="O2655" s="119">
        <f t="shared" si="252"/>
        <v>0</v>
      </c>
      <c r="P2655" s="120">
        <f t="shared" si="253"/>
        <v>0</v>
      </c>
      <c r="Q2655" s="130">
        <v>11.1</v>
      </c>
      <c r="R2655" s="111">
        <v>5</v>
      </c>
      <c r="S2655" s="111"/>
      <c r="T2655" s="111"/>
      <c r="U2655" s="213"/>
    </row>
    <row r="2656" spans="2:21" ht="15.6">
      <c r="B2656" s="110" t="s">
        <v>238</v>
      </c>
      <c r="C2656" s="111" t="s">
        <v>232</v>
      </c>
      <c r="D2656" s="112" t="s">
        <v>228</v>
      </c>
      <c r="E2656" s="113" t="s">
        <v>236</v>
      </c>
      <c r="F2656" s="114" t="s">
        <v>15</v>
      </c>
      <c r="G2656" s="115" t="s">
        <v>18</v>
      </c>
      <c r="H2656" s="116">
        <v>6.86</v>
      </c>
      <c r="I2656" s="125">
        <v>11.5</v>
      </c>
      <c r="J2656" s="111">
        <v>1</v>
      </c>
      <c r="K2656" s="117">
        <f t="shared" si="250"/>
        <v>7.8890000000000002E-2</v>
      </c>
      <c r="L2656" s="118"/>
      <c r="M2656" s="111">
        <v>1</v>
      </c>
      <c r="N2656" s="117">
        <f t="shared" si="251"/>
        <v>7.8890000000000002E-2</v>
      </c>
      <c r="O2656" s="119">
        <f t="shared" si="252"/>
        <v>0</v>
      </c>
      <c r="P2656" s="120">
        <f t="shared" si="253"/>
        <v>0</v>
      </c>
      <c r="Q2656" s="130">
        <v>11.1</v>
      </c>
      <c r="R2656" s="111">
        <v>1</v>
      </c>
      <c r="S2656" s="111"/>
      <c r="T2656" s="111"/>
      <c r="U2656" s="213"/>
    </row>
    <row r="2657" spans="2:21" ht="15.6">
      <c r="B2657" s="110" t="s">
        <v>238</v>
      </c>
      <c r="C2657" s="111" t="s">
        <v>232</v>
      </c>
      <c r="D2657" s="112" t="s">
        <v>228</v>
      </c>
      <c r="E2657" s="113" t="s">
        <v>236</v>
      </c>
      <c r="F2657" s="114" t="s">
        <v>15</v>
      </c>
      <c r="G2657" s="115" t="s">
        <v>18</v>
      </c>
      <c r="H2657" s="116">
        <v>6.86</v>
      </c>
      <c r="I2657" s="125">
        <v>11</v>
      </c>
      <c r="J2657" s="111">
        <v>2</v>
      </c>
      <c r="K2657" s="117">
        <f t="shared" si="250"/>
        <v>0.15092000000000003</v>
      </c>
      <c r="L2657" s="118"/>
      <c r="M2657" s="111">
        <v>2</v>
      </c>
      <c r="N2657" s="117">
        <f t="shared" si="251"/>
        <v>0.15092000000000003</v>
      </c>
      <c r="O2657" s="119">
        <f t="shared" si="252"/>
        <v>0</v>
      </c>
      <c r="P2657" s="120">
        <f t="shared" si="253"/>
        <v>0</v>
      </c>
      <c r="Q2657" s="130"/>
      <c r="R2657" s="111"/>
      <c r="S2657" s="93">
        <v>10</v>
      </c>
      <c r="T2657" s="93">
        <v>2</v>
      </c>
      <c r="U2657" s="170" t="s">
        <v>458</v>
      </c>
    </row>
    <row r="2658" spans="2:21" ht="15.6">
      <c r="B2658" s="110" t="s">
        <v>238</v>
      </c>
      <c r="C2658" s="111" t="s">
        <v>232</v>
      </c>
      <c r="D2658" s="112" t="s">
        <v>228</v>
      </c>
      <c r="E2658" s="113" t="s">
        <v>236</v>
      </c>
      <c r="F2658" s="114" t="s">
        <v>15</v>
      </c>
      <c r="G2658" s="115" t="s">
        <v>18</v>
      </c>
      <c r="H2658" s="116">
        <v>6.86</v>
      </c>
      <c r="I2658" s="125">
        <v>10.5</v>
      </c>
      <c r="J2658" s="111">
        <v>3</v>
      </c>
      <c r="K2658" s="117">
        <f t="shared" si="250"/>
        <v>0.21609</v>
      </c>
      <c r="L2658" s="118"/>
      <c r="M2658" s="111">
        <v>3</v>
      </c>
      <c r="N2658" s="117">
        <f t="shared" si="251"/>
        <v>0.21609</v>
      </c>
      <c r="O2658" s="119">
        <f t="shared" si="252"/>
        <v>0</v>
      </c>
      <c r="P2658" s="120">
        <f t="shared" si="253"/>
        <v>0</v>
      </c>
      <c r="Q2658" s="130">
        <v>10.5</v>
      </c>
      <c r="R2658" s="111">
        <v>3</v>
      </c>
      <c r="S2658" s="111" t="s">
        <v>291</v>
      </c>
      <c r="T2658" s="111"/>
      <c r="U2658" s="213"/>
    </row>
    <row r="2659" spans="2:21" ht="15.6">
      <c r="B2659" s="110" t="s">
        <v>238</v>
      </c>
      <c r="C2659" s="111" t="s">
        <v>232</v>
      </c>
      <c r="D2659" s="112" t="s">
        <v>228</v>
      </c>
      <c r="E2659" s="113" t="s">
        <v>236</v>
      </c>
      <c r="F2659" s="114" t="s">
        <v>15</v>
      </c>
      <c r="G2659" s="115" t="s">
        <v>18</v>
      </c>
      <c r="H2659" s="116">
        <v>6.86</v>
      </c>
      <c r="I2659" s="125">
        <v>10</v>
      </c>
      <c r="J2659" s="111">
        <v>1</v>
      </c>
      <c r="K2659" s="117">
        <f t="shared" si="250"/>
        <v>6.8600000000000008E-2</v>
      </c>
      <c r="L2659" s="118"/>
      <c r="M2659" s="111">
        <v>1</v>
      </c>
      <c r="N2659" s="117">
        <f t="shared" si="251"/>
        <v>6.8600000000000008E-2</v>
      </c>
      <c r="O2659" s="119">
        <f t="shared" si="252"/>
        <v>0</v>
      </c>
      <c r="P2659" s="120">
        <f t="shared" si="253"/>
        <v>0</v>
      </c>
      <c r="Q2659" s="130">
        <v>9</v>
      </c>
      <c r="R2659" s="111">
        <v>1</v>
      </c>
      <c r="S2659" s="111"/>
      <c r="T2659" s="111"/>
      <c r="U2659" s="213"/>
    </row>
    <row r="2660" spans="2:21" ht="15.6">
      <c r="B2660" s="110" t="s">
        <v>238</v>
      </c>
      <c r="C2660" s="111" t="s">
        <v>232</v>
      </c>
      <c r="D2660" s="112" t="s">
        <v>228</v>
      </c>
      <c r="E2660" s="113" t="s">
        <v>236</v>
      </c>
      <c r="F2660" s="114" t="s">
        <v>15</v>
      </c>
      <c r="G2660" s="115" t="s">
        <v>18</v>
      </c>
      <c r="H2660" s="116">
        <v>6.86</v>
      </c>
      <c r="I2660" s="125">
        <v>8.5</v>
      </c>
      <c r="J2660" s="111">
        <v>1</v>
      </c>
      <c r="K2660" s="117">
        <f t="shared" si="250"/>
        <v>5.8310000000000001E-2</v>
      </c>
      <c r="L2660" s="118"/>
      <c r="M2660" s="111">
        <v>1</v>
      </c>
      <c r="N2660" s="117">
        <f t="shared" si="251"/>
        <v>5.8310000000000001E-2</v>
      </c>
      <c r="O2660" s="119">
        <f t="shared" si="252"/>
        <v>0</v>
      </c>
      <c r="P2660" s="120">
        <f t="shared" si="253"/>
        <v>0</v>
      </c>
      <c r="Q2660" s="130"/>
      <c r="R2660" s="111"/>
      <c r="S2660" s="93">
        <v>7.6</v>
      </c>
      <c r="T2660" s="93">
        <v>1</v>
      </c>
      <c r="U2660" s="170" t="s">
        <v>404</v>
      </c>
    </row>
    <row r="2661" spans="2:21" ht="15.6">
      <c r="B2661" s="110" t="s">
        <v>238</v>
      </c>
      <c r="C2661" s="111" t="s">
        <v>232</v>
      </c>
      <c r="D2661" s="112" t="s">
        <v>228</v>
      </c>
      <c r="E2661" s="113" t="s">
        <v>236</v>
      </c>
      <c r="F2661" s="114" t="s">
        <v>15</v>
      </c>
      <c r="G2661" s="115" t="s">
        <v>18</v>
      </c>
      <c r="H2661" s="116">
        <v>6.86</v>
      </c>
      <c r="I2661" s="125">
        <v>8</v>
      </c>
      <c r="J2661" s="111">
        <v>7</v>
      </c>
      <c r="K2661" s="117">
        <f t="shared" si="250"/>
        <v>0.38416</v>
      </c>
      <c r="L2661" s="118"/>
      <c r="M2661" s="111">
        <v>7</v>
      </c>
      <c r="N2661" s="117">
        <f t="shared" si="251"/>
        <v>0.38416</v>
      </c>
      <c r="O2661" s="119">
        <f t="shared" si="252"/>
        <v>0</v>
      </c>
      <c r="P2661" s="120">
        <f t="shared" si="253"/>
        <v>0</v>
      </c>
      <c r="Q2661" s="130"/>
      <c r="R2661" s="111"/>
      <c r="S2661" s="93">
        <v>7.6</v>
      </c>
      <c r="T2661" s="93">
        <v>7</v>
      </c>
      <c r="U2661" s="170" t="s">
        <v>404</v>
      </c>
    </row>
    <row r="2662" spans="2:21" ht="15.6">
      <c r="B2662" s="110" t="s">
        <v>238</v>
      </c>
      <c r="C2662" s="111" t="s">
        <v>232</v>
      </c>
      <c r="D2662" s="112" t="s">
        <v>228</v>
      </c>
      <c r="E2662" s="113" t="s">
        <v>236</v>
      </c>
      <c r="F2662" s="114" t="s">
        <v>15</v>
      </c>
      <c r="G2662" s="115" t="s">
        <v>18</v>
      </c>
      <c r="H2662" s="116">
        <v>6.86</v>
      </c>
      <c r="I2662" s="125">
        <v>10.5</v>
      </c>
      <c r="J2662" s="111">
        <v>11</v>
      </c>
      <c r="K2662" s="117">
        <f t="shared" si="250"/>
        <v>0.79233000000000009</v>
      </c>
      <c r="L2662" s="118"/>
      <c r="M2662" s="111">
        <v>11</v>
      </c>
      <c r="N2662" s="117">
        <f t="shared" si="251"/>
        <v>0.79233000000000009</v>
      </c>
      <c r="O2662" s="119">
        <f t="shared" si="252"/>
        <v>0</v>
      </c>
      <c r="P2662" s="120">
        <f t="shared" si="253"/>
        <v>0</v>
      </c>
      <c r="Q2662" s="130"/>
      <c r="R2662" s="111"/>
      <c r="S2662" s="93">
        <v>10</v>
      </c>
      <c r="T2662" s="93">
        <v>11</v>
      </c>
      <c r="U2662" s="170" t="s">
        <v>458</v>
      </c>
    </row>
    <row r="2663" spans="2:21" ht="15.6">
      <c r="B2663" s="110" t="s">
        <v>238</v>
      </c>
      <c r="C2663" s="111" t="s">
        <v>232</v>
      </c>
      <c r="D2663" s="112" t="s">
        <v>228</v>
      </c>
      <c r="E2663" s="113" t="s">
        <v>236</v>
      </c>
      <c r="F2663" s="114" t="s">
        <v>15</v>
      </c>
      <c r="G2663" s="115" t="s">
        <v>18</v>
      </c>
      <c r="H2663" s="116">
        <v>6.86</v>
      </c>
      <c r="I2663" s="125">
        <v>11</v>
      </c>
      <c r="J2663" s="111">
        <v>1</v>
      </c>
      <c r="K2663" s="117">
        <f t="shared" si="250"/>
        <v>7.5460000000000013E-2</v>
      </c>
      <c r="L2663" s="118"/>
      <c r="M2663" s="111">
        <v>1</v>
      </c>
      <c r="N2663" s="117">
        <f t="shared" si="251"/>
        <v>7.5460000000000013E-2</v>
      </c>
      <c r="O2663" s="119">
        <f t="shared" si="252"/>
        <v>0</v>
      </c>
      <c r="P2663" s="120">
        <f t="shared" si="253"/>
        <v>0</v>
      </c>
      <c r="Q2663" s="130"/>
      <c r="R2663" s="111"/>
      <c r="S2663" s="93">
        <v>10</v>
      </c>
      <c r="T2663" s="93">
        <v>1</v>
      </c>
      <c r="U2663" s="170" t="s">
        <v>458</v>
      </c>
    </row>
    <row r="2664" spans="2:21" ht="15.6">
      <c r="B2664" s="110" t="s">
        <v>238</v>
      </c>
      <c r="C2664" s="111" t="s">
        <v>232</v>
      </c>
      <c r="D2664" s="112" t="s">
        <v>228</v>
      </c>
      <c r="E2664" s="113" t="s">
        <v>236</v>
      </c>
      <c r="F2664" s="114" t="s">
        <v>15</v>
      </c>
      <c r="G2664" s="115" t="s">
        <v>18</v>
      </c>
      <c r="H2664" s="116">
        <v>6.86</v>
      </c>
      <c r="I2664" s="125">
        <v>10.8</v>
      </c>
      <c r="J2664" s="111">
        <v>3</v>
      </c>
      <c r="K2664" s="117">
        <f t="shared" si="250"/>
        <v>0.22226400000000002</v>
      </c>
      <c r="L2664" s="118"/>
      <c r="M2664" s="111">
        <v>3</v>
      </c>
      <c r="N2664" s="117">
        <f t="shared" si="251"/>
        <v>0.22226400000000004</v>
      </c>
      <c r="O2664" s="119">
        <f t="shared" si="252"/>
        <v>0</v>
      </c>
      <c r="P2664" s="120">
        <f t="shared" si="253"/>
        <v>0</v>
      </c>
      <c r="Q2664" s="130"/>
      <c r="R2664" s="111"/>
      <c r="S2664" s="93">
        <v>10</v>
      </c>
      <c r="T2664" s="93">
        <v>3</v>
      </c>
      <c r="U2664" s="170" t="s">
        <v>458</v>
      </c>
    </row>
    <row r="2665" spans="2:21" ht="15.6">
      <c r="B2665" s="110" t="s">
        <v>238</v>
      </c>
      <c r="C2665" s="111" t="s">
        <v>232</v>
      </c>
      <c r="D2665" s="112" t="s">
        <v>228</v>
      </c>
      <c r="E2665" s="113" t="s">
        <v>236</v>
      </c>
      <c r="F2665" s="114" t="s">
        <v>15</v>
      </c>
      <c r="G2665" s="115" t="s">
        <v>18</v>
      </c>
      <c r="H2665" s="116">
        <v>6.86</v>
      </c>
      <c r="I2665" s="125">
        <v>10</v>
      </c>
      <c r="J2665" s="111">
        <v>2</v>
      </c>
      <c r="K2665" s="117">
        <f t="shared" si="250"/>
        <v>0.13720000000000002</v>
      </c>
      <c r="L2665" s="118"/>
      <c r="M2665" s="111">
        <v>2</v>
      </c>
      <c r="N2665" s="117">
        <f t="shared" si="251"/>
        <v>0.13720000000000002</v>
      </c>
      <c r="O2665" s="119">
        <f t="shared" si="252"/>
        <v>0</v>
      </c>
      <c r="P2665" s="120">
        <f t="shared" si="253"/>
        <v>0</v>
      </c>
      <c r="Q2665" s="130">
        <v>9</v>
      </c>
      <c r="R2665" s="111">
        <v>2</v>
      </c>
      <c r="S2665" s="111"/>
      <c r="T2665" s="111"/>
      <c r="U2665" s="213"/>
    </row>
    <row r="2666" spans="2:21" ht="15.6">
      <c r="B2666" s="110" t="s">
        <v>238</v>
      </c>
      <c r="C2666" s="111" t="s">
        <v>232</v>
      </c>
      <c r="D2666" s="112" t="s">
        <v>228</v>
      </c>
      <c r="E2666" s="113" t="s">
        <v>236</v>
      </c>
      <c r="F2666" s="114" t="s">
        <v>15</v>
      </c>
      <c r="G2666" s="115" t="s">
        <v>18</v>
      </c>
      <c r="H2666" s="116">
        <v>6.86</v>
      </c>
      <c r="I2666" s="125">
        <v>8.6999999999999993</v>
      </c>
      <c r="J2666" s="111">
        <v>3</v>
      </c>
      <c r="K2666" s="117">
        <f t="shared" si="250"/>
        <v>0.17904599999999998</v>
      </c>
      <c r="L2666" s="118"/>
      <c r="M2666" s="111">
        <v>3</v>
      </c>
      <c r="N2666" s="117">
        <f t="shared" si="251"/>
        <v>0.17904599999999998</v>
      </c>
      <c r="O2666" s="119">
        <f t="shared" si="252"/>
        <v>0</v>
      </c>
      <c r="P2666" s="120">
        <f t="shared" si="253"/>
        <v>0</v>
      </c>
      <c r="Q2666" s="130"/>
      <c r="R2666" s="111"/>
      <c r="S2666" s="93">
        <v>7.6</v>
      </c>
      <c r="T2666" s="93">
        <v>3</v>
      </c>
      <c r="U2666" s="170" t="s">
        <v>404</v>
      </c>
    </row>
    <row r="2667" spans="2:21" ht="15.6">
      <c r="B2667" s="110" t="s">
        <v>238</v>
      </c>
      <c r="C2667" s="111" t="s">
        <v>232</v>
      </c>
      <c r="D2667" s="112" t="s">
        <v>228</v>
      </c>
      <c r="E2667" s="113" t="s">
        <v>236</v>
      </c>
      <c r="F2667" s="114" t="s">
        <v>15</v>
      </c>
      <c r="G2667" s="115" t="s">
        <v>18</v>
      </c>
      <c r="H2667" s="116">
        <v>6.86</v>
      </c>
      <c r="I2667" s="125">
        <v>8.65</v>
      </c>
      <c r="J2667" s="111">
        <v>1</v>
      </c>
      <c r="K2667" s="117">
        <f t="shared" si="250"/>
        <v>5.9339000000000003E-2</v>
      </c>
      <c r="L2667" s="118"/>
      <c r="M2667" s="111">
        <v>1</v>
      </c>
      <c r="N2667" s="117">
        <f t="shared" si="251"/>
        <v>5.9339000000000003E-2</v>
      </c>
      <c r="O2667" s="119">
        <f t="shared" si="252"/>
        <v>0</v>
      </c>
      <c r="P2667" s="120">
        <f t="shared" si="253"/>
        <v>0</v>
      </c>
      <c r="Q2667" s="130"/>
      <c r="R2667" s="111"/>
      <c r="S2667" s="93">
        <v>7.6</v>
      </c>
      <c r="T2667" s="93">
        <v>1</v>
      </c>
      <c r="U2667" s="170" t="s">
        <v>404</v>
      </c>
    </row>
    <row r="2668" spans="2:21" ht="15.6">
      <c r="B2668" s="110" t="s">
        <v>238</v>
      </c>
      <c r="C2668" s="111" t="s">
        <v>232</v>
      </c>
      <c r="D2668" s="112" t="s">
        <v>228</v>
      </c>
      <c r="E2668" s="113" t="s">
        <v>236</v>
      </c>
      <c r="F2668" s="114" t="s">
        <v>15</v>
      </c>
      <c r="G2668" s="115" t="s">
        <v>18</v>
      </c>
      <c r="H2668" s="116">
        <v>6.86</v>
      </c>
      <c r="I2668" s="125">
        <v>8.5</v>
      </c>
      <c r="J2668" s="111">
        <v>3</v>
      </c>
      <c r="K2668" s="117">
        <f t="shared" si="250"/>
        <v>0.17493</v>
      </c>
      <c r="L2668" s="118"/>
      <c r="M2668" s="111">
        <v>3</v>
      </c>
      <c r="N2668" s="117">
        <f t="shared" si="251"/>
        <v>0.17493</v>
      </c>
      <c r="O2668" s="119">
        <f t="shared" si="252"/>
        <v>0</v>
      </c>
      <c r="P2668" s="120">
        <f t="shared" si="253"/>
        <v>0</v>
      </c>
      <c r="Q2668" s="130"/>
      <c r="R2668" s="111"/>
      <c r="S2668" s="93">
        <v>7.6</v>
      </c>
      <c r="T2668" s="93">
        <v>3</v>
      </c>
      <c r="U2668" s="170" t="s">
        <v>404</v>
      </c>
    </row>
    <row r="2669" spans="2:21" ht="15.6">
      <c r="B2669" s="110" t="s">
        <v>238</v>
      </c>
      <c r="C2669" s="111" t="s">
        <v>232</v>
      </c>
      <c r="D2669" s="112" t="s">
        <v>228</v>
      </c>
      <c r="E2669" s="113" t="s">
        <v>236</v>
      </c>
      <c r="F2669" s="114" t="s">
        <v>15</v>
      </c>
      <c r="G2669" s="115" t="s">
        <v>18</v>
      </c>
      <c r="H2669" s="116">
        <v>6.86</v>
      </c>
      <c r="I2669" s="125">
        <v>8</v>
      </c>
      <c r="J2669" s="111">
        <v>1</v>
      </c>
      <c r="K2669" s="117">
        <f t="shared" si="250"/>
        <v>5.4880000000000005E-2</v>
      </c>
      <c r="L2669" s="118"/>
      <c r="M2669" s="111">
        <v>1</v>
      </c>
      <c r="N2669" s="117">
        <f t="shared" si="251"/>
        <v>5.4880000000000005E-2</v>
      </c>
      <c r="O2669" s="119">
        <f t="shared" si="252"/>
        <v>0</v>
      </c>
      <c r="P2669" s="120">
        <f t="shared" si="253"/>
        <v>0</v>
      </c>
      <c r="Q2669" s="130"/>
      <c r="R2669" s="111"/>
      <c r="S2669" s="93">
        <v>7.6</v>
      </c>
      <c r="T2669" s="93">
        <v>1</v>
      </c>
      <c r="U2669" s="170" t="s">
        <v>404</v>
      </c>
    </row>
    <row r="2670" spans="2:21" ht="15.6">
      <c r="B2670" s="110" t="s">
        <v>238</v>
      </c>
      <c r="C2670" s="111" t="s">
        <v>232</v>
      </c>
      <c r="D2670" s="112" t="s">
        <v>228</v>
      </c>
      <c r="E2670" s="113" t="s">
        <v>236</v>
      </c>
      <c r="F2670" s="114" t="s">
        <v>15</v>
      </c>
      <c r="G2670" s="115" t="s">
        <v>18</v>
      </c>
      <c r="H2670" s="116">
        <v>6.86</v>
      </c>
      <c r="I2670" s="125">
        <v>7</v>
      </c>
      <c r="J2670" s="111">
        <v>1</v>
      </c>
      <c r="K2670" s="117">
        <f t="shared" si="250"/>
        <v>4.802E-2</v>
      </c>
      <c r="L2670" s="118"/>
      <c r="M2670" s="111"/>
      <c r="N2670" s="117">
        <f t="shared" si="251"/>
        <v>0</v>
      </c>
      <c r="O2670" s="119">
        <f t="shared" si="252"/>
        <v>1</v>
      </c>
      <c r="P2670" s="120">
        <f t="shared" si="253"/>
        <v>4.802E-2</v>
      </c>
      <c r="Q2670" s="130"/>
      <c r="R2670" s="111"/>
      <c r="S2670" s="111"/>
      <c r="T2670" s="111"/>
      <c r="U2670" s="213"/>
    </row>
    <row r="2671" spans="2:21" ht="15.6">
      <c r="B2671" s="110" t="s">
        <v>238</v>
      </c>
      <c r="C2671" s="111" t="s">
        <v>232</v>
      </c>
      <c r="D2671" s="112" t="s">
        <v>228</v>
      </c>
      <c r="E2671" s="113" t="s">
        <v>236</v>
      </c>
      <c r="F2671" s="114" t="s">
        <v>15</v>
      </c>
      <c r="G2671" s="115" t="s">
        <v>18</v>
      </c>
      <c r="H2671" s="116">
        <v>6.86</v>
      </c>
      <c r="I2671" s="125">
        <v>11.5</v>
      </c>
      <c r="J2671" s="111">
        <v>1</v>
      </c>
      <c r="K2671" s="117">
        <f t="shared" si="250"/>
        <v>7.8890000000000002E-2</v>
      </c>
      <c r="L2671" s="118"/>
      <c r="M2671" s="111">
        <v>1</v>
      </c>
      <c r="N2671" s="117">
        <f t="shared" si="251"/>
        <v>7.8890000000000002E-2</v>
      </c>
      <c r="O2671" s="119">
        <f t="shared" si="252"/>
        <v>0</v>
      </c>
      <c r="P2671" s="120">
        <f t="shared" si="253"/>
        <v>0</v>
      </c>
      <c r="Q2671" s="130">
        <v>11.1</v>
      </c>
      <c r="R2671" s="111">
        <v>1</v>
      </c>
      <c r="S2671" s="111"/>
      <c r="T2671" s="111"/>
      <c r="U2671" s="213"/>
    </row>
    <row r="2672" spans="2:21" ht="15.6">
      <c r="B2672" s="110" t="s">
        <v>238</v>
      </c>
      <c r="C2672" s="111" t="s">
        <v>232</v>
      </c>
      <c r="D2672" s="112" t="s">
        <v>228</v>
      </c>
      <c r="E2672" s="113" t="s">
        <v>236</v>
      </c>
      <c r="F2672" s="114" t="s">
        <v>15</v>
      </c>
      <c r="G2672" s="115" t="s">
        <v>18</v>
      </c>
      <c r="H2672" s="116">
        <v>6.86</v>
      </c>
      <c r="I2672" s="125">
        <v>11.2</v>
      </c>
      <c r="J2672" s="111">
        <v>3</v>
      </c>
      <c r="K2672" s="117">
        <f t="shared" si="250"/>
        <v>0.23049599999999998</v>
      </c>
      <c r="L2672" s="118"/>
      <c r="M2672" s="111">
        <f>2+1</f>
        <v>3</v>
      </c>
      <c r="N2672" s="117">
        <f t="shared" si="251"/>
        <v>0.23049599999999998</v>
      </c>
      <c r="O2672" s="119">
        <f t="shared" si="252"/>
        <v>0</v>
      </c>
      <c r="P2672" s="120">
        <f t="shared" si="253"/>
        <v>0</v>
      </c>
      <c r="Q2672" s="130">
        <v>11.1</v>
      </c>
      <c r="R2672" s="111">
        <v>1</v>
      </c>
      <c r="S2672" s="111"/>
      <c r="T2672" s="111"/>
      <c r="U2672" s="213"/>
    </row>
    <row r="2673" spans="1:21" ht="15.6">
      <c r="B2673" s="110" t="s">
        <v>238</v>
      </c>
      <c r="C2673" s="111" t="s">
        <v>232</v>
      </c>
      <c r="D2673" s="112" t="s">
        <v>228</v>
      </c>
      <c r="E2673" s="113" t="s">
        <v>236</v>
      </c>
      <c r="F2673" s="114" t="s">
        <v>15</v>
      </c>
      <c r="G2673" s="115" t="s">
        <v>18</v>
      </c>
      <c r="H2673" s="116">
        <v>6.86</v>
      </c>
      <c r="I2673" s="125">
        <v>11.1</v>
      </c>
      <c r="J2673" s="111">
        <v>2</v>
      </c>
      <c r="K2673" s="117">
        <f t="shared" si="250"/>
        <v>0.15229200000000001</v>
      </c>
      <c r="L2673" s="118"/>
      <c r="M2673" s="111">
        <v>2</v>
      </c>
      <c r="N2673" s="117">
        <f t="shared" si="251"/>
        <v>0.15229200000000001</v>
      </c>
      <c r="O2673" s="119">
        <f t="shared" si="252"/>
        <v>0</v>
      </c>
      <c r="P2673" s="120">
        <f t="shared" si="253"/>
        <v>0</v>
      </c>
      <c r="Q2673" s="130"/>
      <c r="R2673" s="111"/>
      <c r="S2673" s="111"/>
      <c r="T2673" s="111"/>
      <c r="U2673" s="213"/>
    </row>
    <row r="2674" spans="1:21" ht="15.6">
      <c r="B2674" s="110" t="s">
        <v>238</v>
      </c>
      <c r="C2674" s="111" t="s">
        <v>232</v>
      </c>
      <c r="D2674" s="112" t="s">
        <v>228</v>
      </c>
      <c r="E2674" s="113" t="s">
        <v>236</v>
      </c>
      <c r="F2674" s="114" t="s">
        <v>15</v>
      </c>
      <c r="G2674" s="115" t="s">
        <v>18</v>
      </c>
      <c r="H2674" s="116">
        <v>6.86</v>
      </c>
      <c r="I2674" s="125">
        <v>11</v>
      </c>
      <c r="J2674" s="111">
        <v>1</v>
      </c>
      <c r="K2674" s="117">
        <f t="shared" si="250"/>
        <v>7.5460000000000013E-2</v>
      </c>
      <c r="L2674" s="118"/>
      <c r="M2674" s="111">
        <v>1</v>
      </c>
      <c r="N2674" s="117">
        <f t="shared" si="251"/>
        <v>7.5460000000000013E-2</v>
      </c>
      <c r="O2674" s="119">
        <f t="shared" si="252"/>
        <v>0</v>
      </c>
      <c r="P2674" s="120">
        <f t="shared" si="253"/>
        <v>0</v>
      </c>
      <c r="Q2674" s="130">
        <v>11.1</v>
      </c>
      <c r="R2674" s="111">
        <v>1</v>
      </c>
      <c r="S2674" s="111"/>
      <c r="T2674" s="111"/>
      <c r="U2674" s="213"/>
    </row>
    <row r="2675" spans="1:21">
      <c r="B2675" s="32"/>
      <c r="C2675" s="32"/>
      <c r="D2675" s="32"/>
      <c r="E2675" s="32"/>
      <c r="F2675" s="32"/>
      <c r="G2675" s="32"/>
      <c r="H2675" s="32"/>
      <c r="I2675" s="32"/>
      <c r="J2675" s="129">
        <f>SUM(J2638:J2674)</f>
        <v>1120</v>
      </c>
      <c r="K2675" s="124">
        <f>SUM(K2638:K2674)</f>
        <v>76.720525000000038</v>
      </c>
      <c r="L2675" s="32"/>
      <c r="M2675" s="129">
        <f>SUM(M2638:M2674)</f>
        <v>1109</v>
      </c>
      <c r="N2675" s="124">
        <f>SUM(N2638:N2674)</f>
        <v>76.191619000000046</v>
      </c>
      <c r="O2675" s="131">
        <f>SUM(O2638:O2674)</f>
        <v>11</v>
      </c>
      <c r="P2675" s="132">
        <f>SUM(P2638:P2674)</f>
        <v>0.5289060000000001</v>
      </c>
      <c r="Q2675" s="32"/>
      <c r="R2675" s="32"/>
      <c r="S2675" s="32"/>
      <c r="T2675" s="131">
        <f>SUM(T2638:T2674)</f>
        <v>47</v>
      </c>
      <c r="U2675" s="213"/>
    </row>
    <row r="2678" spans="1:21">
      <c r="A2678" s="42" t="s">
        <v>90</v>
      </c>
      <c r="B2678" s="48" t="s">
        <v>148</v>
      </c>
      <c r="C2678" s="32">
        <v>30</v>
      </c>
      <c r="D2678" s="32"/>
      <c r="E2678" s="48" t="s">
        <v>19</v>
      </c>
      <c r="F2678" s="48" t="s">
        <v>14</v>
      </c>
      <c r="G2678" s="48" t="s">
        <v>16</v>
      </c>
      <c r="H2678" s="11">
        <v>5.77</v>
      </c>
      <c r="I2678" s="52">
        <v>6.5</v>
      </c>
      <c r="J2678" s="7">
        <v>1</v>
      </c>
      <c r="K2678" s="10">
        <v>3.7504999999999997E-2</v>
      </c>
      <c r="L2678" s="32"/>
      <c r="M2678" s="32">
        <v>1</v>
      </c>
      <c r="N2678" s="18">
        <v>3.7504999999999997E-2</v>
      </c>
      <c r="O2678" s="19">
        <v>0</v>
      </c>
      <c r="P2678" s="13">
        <v>0</v>
      </c>
      <c r="Q2678" s="172">
        <v>6.5</v>
      </c>
      <c r="R2678" s="93">
        <v>1</v>
      </c>
      <c r="S2678" s="93" t="s">
        <v>374</v>
      </c>
    </row>
    <row r="2679" spans="1:21">
      <c r="A2679" s="42" t="s">
        <v>90</v>
      </c>
      <c r="B2679" s="48" t="s">
        <v>148</v>
      </c>
      <c r="C2679" s="32">
        <v>39</v>
      </c>
      <c r="D2679" s="32"/>
      <c r="E2679" s="48" t="s">
        <v>24</v>
      </c>
      <c r="F2679" s="48" t="s">
        <v>14</v>
      </c>
      <c r="G2679" s="48" t="s">
        <v>16</v>
      </c>
      <c r="H2679" s="11">
        <v>5.77</v>
      </c>
      <c r="I2679" s="52">
        <v>9</v>
      </c>
      <c r="J2679" s="7">
        <v>2</v>
      </c>
      <c r="K2679" s="10">
        <v>0.10385999999999998</v>
      </c>
      <c r="L2679" s="32"/>
      <c r="M2679" s="32">
        <v>2</v>
      </c>
      <c r="N2679" s="18">
        <v>0.10385999999999998</v>
      </c>
      <c r="O2679" s="19">
        <v>0</v>
      </c>
      <c r="P2679" s="13">
        <v>0</v>
      </c>
      <c r="Q2679" s="172">
        <v>6.5</v>
      </c>
      <c r="R2679" s="93">
        <v>2</v>
      </c>
      <c r="S2679" s="93" t="s">
        <v>374</v>
      </c>
    </row>
    <row r="2680" spans="1:21">
      <c r="A2680" s="47" t="s">
        <v>147</v>
      </c>
      <c r="B2680" s="48" t="s">
        <v>148</v>
      </c>
      <c r="C2680" s="32">
        <v>344</v>
      </c>
      <c r="D2680" s="32"/>
      <c r="E2680" s="48" t="s">
        <v>19</v>
      </c>
      <c r="F2680" s="48" t="s">
        <v>14</v>
      </c>
      <c r="G2680" s="48" t="s">
        <v>16</v>
      </c>
      <c r="H2680" s="11">
        <v>5.77</v>
      </c>
      <c r="I2680" s="52">
        <v>6</v>
      </c>
      <c r="J2680" s="7">
        <v>2</v>
      </c>
      <c r="K2680" s="10">
        <v>6.9239999999999996E-2</v>
      </c>
      <c r="L2680" s="32"/>
      <c r="M2680" s="32"/>
      <c r="N2680" s="18">
        <v>0</v>
      </c>
      <c r="O2680" s="19">
        <v>2</v>
      </c>
      <c r="P2680" s="13">
        <v>6.9239999999999996E-2</v>
      </c>
      <c r="Q2680" s="172"/>
      <c r="R2680" s="93"/>
      <c r="S2680" s="93"/>
    </row>
    <row r="2681" spans="1:21">
      <c r="A2681" s="47" t="s">
        <v>147</v>
      </c>
      <c r="B2681" s="48" t="s">
        <v>148</v>
      </c>
      <c r="C2681" s="32">
        <v>344</v>
      </c>
      <c r="D2681" s="32"/>
      <c r="E2681" s="48" t="s">
        <v>19</v>
      </c>
      <c r="F2681" s="48" t="s">
        <v>14</v>
      </c>
      <c r="G2681" s="48" t="s">
        <v>16</v>
      </c>
      <c r="H2681" s="11">
        <v>5.77</v>
      </c>
      <c r="I2681" s="52">
        <v>6.5</v>
      </c>
      <c r="J2681" s="7">
        <v>1</v>
      </c>
      <c r="K2681" s="10">
        <v>3.7504999999999997E-2</v>
      </c>
      <c r="L2681" s="32"/>
      <c r="M2681" s="32">
        <v>1</v>
      </c>
      <c r="N2681" s="18">
        <v>3.7504999999999997E-2</v>
      </c>
      <c r="O2681" s="19">
        <v>0</v>
      </c>
      <c r="P2681" s="13">
        <v>0</v>
      </c>
      <c r="Q2681" s="172">
        <v>6.5</v>
      </c>
      <c r="R2681" s="93">
        <v>1</v>
      </c>
      <c r="S2681" s="93" t="s">
        <v>374</v>
      </c>
    </row>
    <row r="2682" spans="1:21">
      <c r="A2682" s="47" t="s">
        <v>147</v>
      </c>
      <c r="B2682" s="48" t="s">
        <v>148</v>
      </c>
      <c r="C2682" s="32">
        <v>278</v>
      </c>
      <c r="D2682" s="32"/>
      <c r="E2682" s="48" t="s">
        <v>24</v>
      </c>
      <c r="F2682" s="48" t="s">
        <v>14</v>
      </c>
      <c r="G2682" s="48" t="s">
        <v>16</v>
      </c>
      <c r="H2682" s="11">
        <v>5.77</v>
      </c>
      <c r="I2682" s="52">
        <v>11.65</v>
      </c>
      <c r="J2682" s="7">
        <v>1</v>
      </c>
      <c r="K2682" s="10">
        <v>6.7220500000000002E-2</v>
      </c>
      <c r="L2682" s="32"/>
      <c r="M2682" s="32"/>
      <c r="N2682" s="18">
        <v>0</v>
      </c>
      <c r="O2682" s="19">
        <v>1</v>
      </c>
      <c r="P2682" s="13">
        <v>6.7220500000000002E-2</v>
      </c>
      <c r="Q2682" s="172"/>
      <c r="R2682" s="93"/>
      <c r="S2682" s="93"/>
    </row>
    <row r="2683" spans="1:21">
      <c r="A2683" s="47" t="s">
        <v>147</v>
      </c>
      <c r="B2683" s="48" t="s">
        <v>148</v>
      </c>
      <c r="C2683" s="32">
        <v>284</v>
      </c>
      <c r="D2683" s="32"/>
      <c r="E2683" s="69" t="s">
        <v>19</v>
      </c>
      <c r="F2683" s="69" t="s">
        <v>14</v>
      </c>
      <c r="G2683" s="69" t="s">
        <v>16</v>
      </c>
      <c r="H2683" s="61">
        <v>5.77</v>
      </c>
      <c r="I2683" s="109">
        <v>12</v>
      </c>
      <c r="J2683" s="60">
        <v>1</v>
      </c>
      <c r="K2683" s="62">
        <v>6.9239999999999996E-2</v>
      </c>
      <c r="L2683" s="256" t="s">
        <v>166</v>
      </c>
      <c r="M2683" s="67"/>
      <c r="N2683" s="63">
        <v>0</v>
      </c>
      <c r="O2683" s="64">
        <v>1</v>
      </c>
      <c r="P2683" s="65">
        <v>6.9239999999999996E-2</v>
      </c>
      <c r="Q2683" s="172"/>
      <c r="R2683" s="93"/>
      <c r="S2683" s="93"/>
    </row>
    <row r="2684" spans="1:21">
      <c r="A2684" s="47" t="s">
        <v>147</v>
      </c>
      <c r="B2684" s="48" t="s">
        <v>148</v>
      </c>
      <c r="C2684" s="32">
        <v>294</v>
      </c>
      <c r="D2684" s="32"/>
      <c r="E2684" s="48" t="s">
        <v>24</v>
      </c>
      <c r="F2684" s="48" t="s">
        <v>14</v>
      </c>
      <c r="G2684" s="48" t="s">
        <v>16</v>
      </c>
      <c r="H2684" s="11">
        <v>5.77</v>
      </c>
      <c r="I2684" s="52">
        <v>10.5</v>
      </c>
      <c r="J2684" s="7">
        <v>2</v>
      </c>
      <c r="K2684" s="10">
        <v>0.12116999999999999</v>
      </c>
      <c r="L2684" s="32"/>
      <c r="M2684" s="32">
        <v>2</v>
      </c>
      <c r="N2684" s="18">
        <v>0.12116999999999999</v>
      </c>
      <c r="O2684" s="19">
        <v>0</v>
      </c>
      <c r="P2684" s="13">
        <v>0</v>
      </c>
      <c r="Q2684" s="172">
        <v>10</v>
      </c>
      <c r="R2684" s="93">
        <v>2</v>
      </c>
      <c r="S2684" s="93" t="s">
        <v>419</v>
      </c>
    </row>
    <row r="2685" spans="1:21">
      <c r="A2685" s="42" t="s">
        <v>78</v>
      </c>
      <c r="B2685" s="3" t="s">
        <v>80</v>
      </c>
      <c r="C2685" s="3">
        <v>4</v>
      </c>
      <c r="D2685" s="1"/>
      <c r="E2685" s="20" t="s">
        <v>24</v>
      </c>
      <c r="F2685" s="7" t="s">
        <v>14</v>
      </c>
      <c r="G2685" s="7" t="s">
        <v>16</v>
      </c>
      <c r="H2685" s="11">
        <v>5.77</v>
      </c>
      <c r="I2685" s="8">
        <v>12</v>
      </c>
      <c r="J2685" s="26">
        <v>2</v>
      </c>
      <c r="K2685" s="10">
        <v>0.13847999999999999</v>
      </c>
      <c r="L2685" s="4"/>
      <c r="M2685" s="17">
        <v>2</v>
      </c>
      <c r="N2685" s="18">
        <v>0.13847999999999999</v>
      </c>
      <c r="O2685" s="19">
        <v>0</v>
      </c>
      <c r="P2685" s="13">
        <v>0</v>
      </c>
      <c r="Q2685" s="92">
        <v>11.5</v>
      </c>
      <c r="R2685" s="47">
        <v>2</v>
      </c>
      <c r="S2685" s="93" t="s">
        <v>419</v>
      </c>
    </row>
    <row r="2686" spans="1:21">
      <c r="A2686" s="42" t="s">
        <v>78</v>
      </c>
      <c r="B2686" s="3" t="s">
        <v>80</v>
      </c>
      <c r="C2686" s="3">
        <v>4</v>
      </c>
      <c r="D2686" s="1"/>
      <c r="E2686" s="20" t="s">
        <v>24</v>
      </c>
      <c r="F2686" s="7" t="s">
        <v>14</v>
      </c>
      <c r="G2686" s="7" t="s">
        <v>16</v>
      </c>
      <c r="H2686" s="11">
        <v>5.77</v>
      </c>
      <c r="I2686" s="8">
        <v>10</v>
      </c>
      <c r="J2686" s="26">
        <v>1</v>
      </c>
      <c r="K2686" s="10">
        <v>5.7699999999999994E-2</v>
      </c>
      <c r="L2686" s="4"/>
      <c r="M2686" s="17">
        <v>1</v>
      </c>
      <c r="N2686" s="18">
        <v>5.7699999999999994E-2</v>
      </c>
      <c r="O2686" s="19">
        <v>0</v>
      </c>
      <c r="P2686" s="13">
        <v>0</v>
      </c>
      <c r="Q2686" s="92">
        <v>10</v>
      </c>
      <c r="R2686" s="47">
        <v>1</v>
      </c>
      <c r="S2686" s="93" t="s">
        <v>419</v>
      </c>
    </row>
    <row r="2687" spans="1:21">
      <c r="A2687" s="45" t="s">
        <v>136</v>
      </c>
      <c r="B2687" s="48" t="s">
        <v>171</v>
      </c>
      <c r="C2687" s="32">
        <v>131</v>
      </c>
      <c r="D2687" s="32"/>
      <c r="E2687" s="48" t="s">
        <v>19</v>
      </c>
      <c r="F2687" s="48" t="s">
        <v>14</v>
      </c>
      <c r="G2687" s="48" t="s">
        <v>16</v>
      </c>
      <c r="H2687" s="11">
        <v>5.77</v>
      </c>
      <c r="I2687" s="52">
        <v>6.3</v>
      </c>
      <c r="J2687" s="7">
        <v>1</v>
      </c>
      <c r="K2687" s="10">
        <v>3.6351000000000001E-2</v>
      </c>
      <c r="L2687" s="32"/>
      <c r="M2687" s="32"/>
      <c r="N2687" s="18">
        <v>0</v>
      </c>
      <c r="O2687" s="19">
        <v>1</v>
      </c>
      <c r="P2687" s="13">
        <v>3.6351000000000001E-2</v>
      </c>
      <c r="Q2687" s="172"/>
      <c r="R2687" s="93"/>
      <c r="S2687" s="93"/>
    </row>
    <row r="2688" spans="1:21">
      <c r="A2688" s="45" t="s">
        <v>136</v>
      </c>
      <c r="B2688" s="48" t="s">
        <v>171</v>
      </c>
      <c r="C2688" s="32">
        <v>144</v>
      </c>
      <c r="D2688" s="32"/>
      <c r="E2688" s="48" t="s">
        <v>24</v>
      </c>
      <c r="F2688" s="48" t="s">
        <v>14</v>
      </c>
      <c r="G2688" s="48" t="s">
        <v>16</v>
      </c>
      <c r="H2688" s="11">
        <v>5.77</v>
      </c>
      <c r="I2688" s="52">
        <v>9.5</v>
      </c>
      <c r="J2688" s="7">
        <v>3</v>
      </c>
      <c r="K2688" s="10">
        <v>0.16444499999999998</v>
      </c>
      <c r="L2688" s="32"/>
      <c r="M2688" s="7">
        <v>3</v>
      </c>
      <c r="N2688" s="18">
        <v>0.16444499999999998</v>
      </c>
      <c r="O2688" s="19">
        <v>0</v>
      </c>
      <c r="P2688" s="13">
        <v>0</v>
      </c>
      <c r="Q2688" s="172">
        <v>6.5</v>
      </c>
      <c r="R2688" s="93">
        <v>3</v>
      </c>
      <c r="S2688" s="93" t="s">
        <v>374</v>
      </c>
    </row>
    <row r="2689" spans="1:19">
      <c r="A2689" s="45" t="s">
        <v>136</v>
      </c>
      <c r="B2689" s="48" t="s">
        <v>171</v>
      </c>
      <c r="C2689" s="32">
        <v>144</v>
      </c>
      <c r="D2689" s="32"/>
      <c r="E2689" s="48" t="s">
        <v>24</v>
      </c>
      <c r="F2689" s="48" t="s">
        <v>14</v>
      </c>
      <c r="G2689" s="48" t="s">
        <v>16</v>
      </c>
      <c r="H2689" s="11">
        <v>5.77</v>
      </c>
      <c r="I2689" s="52">
        <v>9.3000000000000007</v>
      </c>
      <c r="J2689" s="7">
        <v>1</v>
      </c>
      <c r="K2689" s="10">
        <v>5.3661E-2</v>
      </c>
      <c r="L2689" s="32"/>
      <c r="M2689" s="32">
        <v>1</v>
      </c>
      <c r="N2689" s="18">
        <v>5.3661E-2</v>
      </c>
      <c r="O2689" s="19">
        <v>0</v>
      </c>
      <c r="P2689" s="13">
        <v>0</v>
      </c>
      <c r="Q2689" s="172">
        <v>6.5</v>
      </c>
      <c r="R2689" s="93">
        <v>1</v>
      </c>
      <c r="S2689" s="93" t="s">
        <v>374</v>
      </c>
    </row>
    <row r="2690" spans="1:19">
      <c r="A2690" s="45" t="s">
        <v>136</v>
      </c>
      <c r="B2690" s="48" t="s">
        <v>171</v>
      </c>
      <c r="C2690" s="32">
        <v>144</v>
      </c>
      <c r="D2690" s="32"/>
      <c r="E2690" s="48" t="s">
        <v>24</v>
      </c>
      <c r="F2690" s="48" t="s">
        <v>14</v>
      </c>
      <c r="G2690" s="48" t="s">
        <v>16</v>
      </c>
      <c r="H2690" s="11">
        <v>5.77</v>
      </c>
      <c r="I2690" s="52">
        <v>8.5</v>
      </c>
      <c r="J2690" s="7">
        <v>1</v>
      </c>
      <c r="K2690" s="10">
        <v>4.9044999999999991E-2</v>
      </c>
      <c r="L2690" s="32"/>
      <c r="M2690" s="32">
        <v>1</v>
      </c>
      <c r="N2690" s="18">
        <v>4.9044999999999991E-2</v>
      </c>
      <c r="O2690" s="19">
        <v>0</v>
      </c>
      <c r="P2690" s="13">
        <v>0</v>
      </c>
      <c r="Q2690" s="172">
        <v>6.5</v>
      </c>
      <c r="R2690" s="93">
        <v>1</v>
      </c>
      <c r="S2690" s="93" t="s">
        <v>374</v>
      </c>
    </row>
    <row r="2691" spans="1:19">
      <c r="A2691" s="45" t="s">
        <v>136</v>
      </c>
      <c r="B2691" s="48" t="s">
        <v>171</v>
      </c>
      <c r="C2691" s="32">
        <v>146</v>
      </c>
      <c r="D2691" s="32"/>
      <c r="E2691" s="48" t="s">
        <v>19</v>
      </c>
      <c r="F2691" s="48" t="s">
        <v>14</v>
      </c>
      <c r="G2691" s="48" t="s">
        <v>16</v>
      </c>
      <c r="H2691" s="11">
        <v>5.77</v>
      </c>
      <c r="I2691" s="9">
        <v>9</v>
      </c>
      <c r="J2691" s="7">
        <v>1</v>
      </c>
      <c r="K2691" s="10">
        <v>5.192999999999999E-2</v>
      </c>
      <c r="L2691" s="32" t="s">
        <v>176</v>
      </c>
      <c r="M2691" s="32">
        <v>1</v>
      </c>
      <c r="N2691" s="18">
        <v>5.192999999999999E-2</v>
      </c>
      <c r="O2691" s="19">
        <v>0</v>
      </c>
      <c r="P2691" s="13">
        <v>0</v>
      </c>
      <c r="Q2691" s="93"/>
      <c r="R2691" s="93"/>
      <c r="S2691" s="93"/>
    </row>
    <row r="2692" spans="1:19">
      <c r="A2692" s="45" t="s">
        <v>136</v>
      </c>
      <c r="B2692" s="48" t="s">
        <v>171</v>
      </c>
      <c r="C2692" s="32">
        <v>146</v>
      </c>
      <c r="D2692" s="32"/>
      <c r="E2692" s="48" t="s">
        <v>19</v>
      </c>
      <c r="F2692" s="48" t="s">
        <v>14</v>
      </c>
      <c r="G2692" s="48" t="s">
        <v>16</v>
      </c>
      <c r="H2692" s="11">
        <v>5.77</v>
      </c>
      <c r="I2692" s="9">
        <v>9.5</v>
      </c>
      <c r="J2692" s="7">
        <v>1</v>
      </c>
      <c r="K2692" s="10">
        <v>5.4814999999999996E-2</v>
      </c>
      <c r="L2692" s="32" t="s">
        <v>176</v>
      </c>
      <c r="M2692" s="32">
        <v>1</v>
      </c>
      <c r="N2692" s="18">
        <v>5.4814999999999996E-2</v>
      </c>
      <c r="O2692" s="19">
        <v>0</v>
      </c>
      <c r="P2692" s="13">
        <v>0</v>
      </c>
      <c r="Q2692" s="93"/>
      <c r="R2692" s="93"/>
      <c r="S2692" s="93"/>
    </row>
    <row r="2693" spans="1:19">
      <c r="A2693" s="45" t="s">
        <v>136</v>
      </c>
      <c r="B2693" s="48" t="s">
        <v>171</v>
      </c>
      <c r="C2693" s="32">
        <v>146</v>
      </c>
      <c r="D2693" s="32"/>
      <c r="E2693" s="48" t="s">
        <v>19</v>
      </c>
      <c r="F2693" s="48" t="s">
        <v>14</v>
      </c>
      <c r="G2693" s="48" t="s">
        <v>16</v>
      </c>
      <c r="H2693" s="11">
        <v>5.77</v>
      </c>
      <c r="I2693" s="9">
        <v>12</v>
      </c>
      <c r="J2693" s="7">
        <v>1</v>
      </c>
      <c r="K2693" s="10">
        <v>6.9239999999999996E-2</v>
      </c>
      <c r="L2693" s="32" t="s">
        <v>176</v>
      </c>
      <c r="M2693" s="32">
        <v>1</v>
      </c>
      <c r="N2693" s="18">
        <v>6.9239999999999996E-2</v>
      </c>
      <c r="O2693" s="19">
        <v>0</v>
      </c>
      <c r="P2693" s="13">
        <v>0</v>
      </c>
      <c r="Q2693" s="93"/>
      <c r="R2693" s="93"/>
      <c r="S2693" s="93"/>
    </row>
    <row r="2694" spans="1:19">
      <c r="A2694" s="45" t="s">
        <v>136</v>
      </c>
      <c r="B2694" s="48" t="s">
        <v>171</v>
      </c>
      <c r="C2694" s="32">
        <v>146</v>
      </c>
      <c r="D2694" s="32"/>
      <c r="E2694" s="48" t="s">
        <v>19</v>
      </c>
      <c r="F2694" s="48" t="s">
        <v>14</v>
      </c>
      <c r="G2694" s="48" t="s">
        <v>16</v>
      </c>
      <c r="H2694" s="11">
        <v>5.77</v>
      </c>
      <c r="I2694" s="9">
        <v>10.8</v>
      </c>
      <c r="J2694" s="7">
        <v>1</v>
      </c>
      <c r="K2694" s="10">
        <v>6.2316000000000003E-2</v>
      </c>
      <c r="L2694" s="32" t="s">
        <v>176</v>
      </c>
      <c r="M2694" s="32">
        <v>1</v>
      </c>
      <c r="N2694" s="18">
        <v>6.2316000000000003E-2</v>
      </c>
      <c r="O2694" s="19">
        <v>0</v>
      </c>
      <c r="P2694" s="13">
        <v>0</v>
      </c>
      <c r="Q2694" s="93"/>
      <c r="R2694" s="93"/>
      <c r="S2694" s="93"/>
    </row>
    <row r="2695" spans="1:19">
      <c r="O2695" s="215">
        <f>SUM(O2678:O2694)</f>
        <v>5</v>
      </c>
      <c r="R2695" s="215">
        <f>SUM(R2678:R2694)</f>
        <v>14</v>
      </c>
    </row>
    <row r="2697" spans="1:19">
      <c r="A2697" s="42" t="s">
        <v>77</v>
      </c>
      <c r="B2697" s="3" t="s">
        <v>68</v>
      </c>
      <c r="C2697" s="3">
        <v>151</v>
      </c>
      <c r="D2697" s="1"/>
      <c r="E2697" s="20" t="s">
        <v>24</v>
      </c>
      <c r="F2697" s="7" t="s">
        <v>14</v>
      </c>
      <c r="G2697" s="7" t="s">
        <v>18</v>
      </c>
      <c r="H2697" s="11">
        <v>6.86</v>
      </c>
      <c r="I2697" s="8">
        <v>10</v>
      </c>
      <c r="J2697" s="26">
        <v>2</v>
      </c>
      <c r="K2697" s="10">
        <v>0.13720000000000002</v>
      </c>
      <c r="L2697" s="4"/>
      <c r="M2697" s="17">
        <v>2</v>
      </c>
      <c r="N2697" s="18">
        <v>0.13720000000000002</v>
      </c>
      <c r="O2697" s="19">
        <v>0</v>
      </c>
      <c r="P2697" s="13">
        <v>0</v>
      </c>
      <c r="Q2697" s="94">
        <v>8</v>
      </c>
      <c r="R2697" s="93">
        <v>2</v>
      </c>
      <c r="S2697" s="93" t="s">
        <v>314</v>
      </c>
    </row>
    <row r="2698" spans="1:19">
      <c r="A2698" s="42" t="s">
        <v>77</v>
      </c>
      <c r="B2698" s="3" t="s">
        <v>68</v>
      </c>
      <c r="C2698" s="3">
        <v>151</v>
      </c>
      <c r="D2698" s="1"/>
      <c r="E2698" s="20" t="s">
        <v>24</v>
      </c>
      <c r="F2698" s="7" t="s">
        <v>14</v>
      </c>
      <c r="G2698" s="7" t="s">
        <v>18</v>
      </c>
      <c r="H2698" s="11">
        <v>6.86</v>
      </c>
      <c r="I2698" s="8">
        <v>8</v>
      </c>
      <c r="J2698" s="26">
        <v>1</v>
      </c>
      <c r="K2698" s="10">
        <v>5.4880000000000005E-2</v>
      </c>
      <c r="L2698" s="4"/>
      <c r="M2698" s="17">
        <v>1</v>
      </c>
      <c r="N2698" s="18">
        <v>5.4880000000000005E-2</v>
      </c>
      <c r="O2698" s="19">
        <v>0</v>
      </c>
      <c r="P2698" s="13">
        <v>0</v>
      </c>
      <c r="Q2698" s="94">
        <v>8</v>
      </c>
      <c r="R2698" s="93">
        <v>1</v>
      </c>
      <c r="S2698" s="93" t="s">
        <v>314</v>
      </c>
    </row>
    <row r="2699" spans="1:19">
      <c r="A2699" s="42" t="s">
        <v>77</v>
      </c>
      <c r="B2699" s="3" t="s">
        <v>68</v>
      </c>
      <c r="C2699" s="3">
        <v>154</v>
      </c>
      <c r="D2699" s="1"/>
      <c r="E2699" s="20" t="s">
        <v>24</v>
      </c>
      <c r="F2699" s="7" t="s">
        <v>14</v>
      </c>
      <c r="G2699" s="7" t="s">
        <v>18</v>
      </c>
      <c r="H2699" s="11">
        <v>6.86</v>
      </c>
      <c r="I2699" s="8">
        <v>7.5</v>
      </c>
      <c r="J2699" s="26">
        <v>1</v>
      </c>
      <c r="K2699" s="10">
        <v>5.1450000000000003E-2</v>
      </c>
      <c r="L2699" s="4"/>
      <c r="M2699" s="17">
        <v>1</v>
      </c>
      <c r="N2699" s="18">
        <v>5.1450000000000003E-2</v>
      </c>
      <c r="O2699" s="19">
        <v>0</v>
      </c>
      <c r="P2699" s="13">
        <v>0</v>
      </c>
      <c r="Q2699" s="93">
        <v>6</v>
      </c>
      <c r="R2699" s="47">
        <v>1</v>
      </c>
      <c r="S2699" s="93" t="s">
        <v>459</v>
      </c>
    </row>
    <row r="2700" spans="1:19">
      <c r="A2700" s="42" t="s">
        <v>77</v>
      </c>
      <c r="B2700" s="3" t="s">
        <v>68</v>
      </c>
      <c r="C2700" s="3">
        <v>154</v>
      </c>
      <c r="D2700" s="1"/>
      <c r="E2700" s="20" t="s">
        <v>24</v>
      </c>
      <c r="F2700" s="7" t="s">
        <v>14</v>
      </c>
      <c r="G2700" s="7" t="s">
        <v>18</v>
      </c>
      <c r="H2700" s="11">
        <v>6.86</v>
      </c>
      <c r="I2700" s="8">
        <v>8</v>
      </c>
      <c r="J2700" s="26">
        <v>1</v>
      </c>
      <c r="K2700" s="10">
        <v>5.4880000000000005E-2</v>
      </c>
      <c r="L2700" s="4"/>
      <c r="M2700" s="17">
        <v>1</v>
      </c>
      <c r="N2700" s="18">
        <v>5.4880000000000005E-2</v>
      </c>
      <c r="O2700" s="19">
        <v>0</v>
      </c>
      <c r="P2700" s="13">
        <v>0</v>
      </c>
      <c r="Q2700" s="94">
        <v>8</v>
      </c>
      <c r="R2700" s="93">
        <v>1</v>
      </c>
      <c r="S2700" s="93" t="s">
        <v>314</v>
      </c>
    </row>
    <row r="2701" spans="1:19">
      <c r="A2701" s="42" t="s">
        <v>77</v>
      </c>
      <c r="B2701" s="3" t="s">
        <v>68</v>
      </c>
      <c r="C2701" s="3">
        <v>154</v>
      </c>
      <c r="D2701" s="1"/>
      <c r="E2701" s="20" t="s">
        <v>24</v>
      </c>
      <c r="F2701" s="7" t="s">
        <v>14</v>
      </c>
      <c r="G2701" s="7" t="s">
        <v>18</v>
      </c>
      <c r="H2701" s="11">
        <v>6.86</v>
      </c>
      <c r="I2701" s="8">
        <v>9.3000000000000007</v>
      </c>
      <c r="J2701" s="26">
        <v>1</v>
      </c>
      <c r="K2701" s="10">
        <v>6.3798000000000007E-2</v>
      </c>
      <c r="L2701" s="4"/>
      <c r="M2701" s="17">
        <v>1</v>
      </c>
      <c r="N2701" s="18">
        <v>6.3798000000000007E-2</v>
      </c>
      <c r="O2701" s="19">
        <v>0</v>
      </c>
      <c r="P2701" s="13">
        <v>0</v>
      </c>
      <c r="Q2701" s="94">
        <v>8</v>
      </c>
      <c r="R2701" s="93">
        <v>1</v>
      </c>
      <c r="S2701" s="93" t="s">
        <v>314</v>
      </c>
    </row>
    <row r="2702" spans="1:19">
      <c r="A2702" s="48" t="s">
        <v>168</v>
      </c>
      <c r="B2702" s="48" t="s">
        <v>169</v>
      </c>
      <c r="C2702" s="32">
        <v>15</v>
      </c>
      <c r="D2702" s="32"/>
      <c r="E2702" s="48" t="s">
        <v>19</v>
      </c>
      <c r="F2702" s="48" t="s">
        <v>14</v>
      </c>
      <c r="G2702" s="48" t="s">
        <v>18</v>
      </c>
      <c r="H2702" s="11">
        <v>6.86</v>
      </c>
      <c r="I2702" s="52">
        <v>6.6</v>
      </c>
      <c r="J2702" s="7">
        <v>1</v>
      </c>
      <c r="K2702" s="10">
        <v>4.5275999999999997E-2</v>
      </c>
      <c r="L2702" s="32" t="s">
        <v>104</v>
      </c>
      <c r="M2702" s="32"/>
      <c r="N2702" s="18">
        <v>0</v>
      </c>
      <c r="O2702" s="19">
        <v>1</v>
      </c>
      <c r="P2702" s="13">
        <v>4.5275999999999997E-2</v>
      </c>
      <c r="Q2702" s="111"/>
      <c r="R2702" s="32"/>
      <c r="S2702" s="32"/>
    </row>
    <row r="2703" spans="1:19">
      <c r="A2703" s="42" t="s">
        <v>90</v>
      </c>
      <c r="B2703" s="48" t="s">
        <v>148</v>
      </c>
      <c r="C2703" s="32">
        <v>35</v>
      </c>
      <c r="D2703" s="32"/>
      <c r="E2703" s="48" t="s">
        <v>19</v>
      </c>
      <c r="F2703" s="48" t="s">
        <v>14</v>
      </c>
      <c r="G2703" s="48" t="s">
        <v>18</v>
      </c>
      <c r="H2703" s="11">
        <v>6.86</v>
      </c>
      <c r="I2703" s="52">
        <v>10</v>
      </c>
      <c r="J2703" s="7">
        <v>7</v>
      </c>
      <c r="K2703" s="10">
        <v>0.48020000000000007</v>
      </c>
      <c r="L2703" s="32"/>
      <c r="M2703" s="32">
        <v>7</v>
      </c>
      <c r="N2703" s="18">
        <v>0.48020000000000007</v>
      </c>
      <c r="O2703" s="19">
        <v>0</v>
      </c>
      <c r="P2703" s="13">
        <v>0</v>
      </c>
      <c r="Q2703" s="32"/>
      <c r="R2703" s="32"/>
      <c r="S2703" s="32"/>
    </row>
    <row r="2704" spans="1:19">
      <c r="A2704" s="47" t="s">
        <v>147</v>
      </c>
      <c r="B2704" s="48" t="s">
        <v>148</v>
      </c>
      <c r="C2704" s="32">
        <v>361</v>
      </c>
      <c r="D2704" s="32"/>
      <c r="E2704" s="48" t="s">
        <v>19</v>
      </c>
      <c r="F2704" s="48" t="s">
        <v>14</v>
      </c>
      <c r="G2704" s="48" t="s">
        <v>18</v>
      </c>
      <c r="H2704" s="11">
        <v>6.86</v>
      </c>
      <c r="I2704" s="52">
        <v>11.7</v>
      </c>
      <c r="J2704" s="7">
        <v>1</v>
      </c>
      <c r="K2704" s="10">
        <v>8.0262E-2</v>
      </c>
      <c r="L2704" s="32"/>
      <c r="M2704" s="32">
        <v>1</v>
      </c>
      <c r="N2704" s="18">
        <v>8.0262E-2</v>
      </c>
      <c r="O2704" s="19">
        <v>0</v>
      </c>
      <c r="P2704" s="13">
        <v>0</v>
      </c>
      <c r="Q2704" s="32"/>
      <c r="R2704" s="32"/>
      <c r="S2704" s="32"/>
    </row>
    <row r="2705" spans="1:19">
      <c r="A2705" s="47" t="s">
        <v>147</v>
      </c>
      <c r="B2705" s="48" t="s">
        <v>148</v>
      </c>
      <c r="C2705" s="32">
        <v>361</v>
      </c>
      <c r="D2705" s="32"/>
      <c r="E2705" s="48" t="s">
        <v>19</v>
      </c>
      <c r="F2705" s="48" t="s">
        <v>14</v>
      </c>
      <c r="G2705" s="48" t="s">
        <v>18</v>
      </c>
      <c r="H2705" s="11">
        <v>6.86</v>
      </c>
      <c r="I2705" s="52">
        <v>10.5</v>
      </c>
      <c r="J2705" s="7">
        <v>1</v>
      </c>
      <c r="K2705" s="10">
        <v>7.2029999999999997E-2</v>
      </c>
      <c r="L2705" s="32"/>
      <c r="M2705" s="32">
        <v>1</v>
      </c>
      <c r="N2705" s="18">
        <v>7.2029999999999997E-2</v>
      </c>
      <c r="O2705" s="19">
        <v>0</v>
      </c>
      <c r="P2705" s="13">
        <v>0</v>
      </c>
      <c r="Q2705" s="94">
        <v>8</v>
      </c>
      <c r="R2705" s="93">
        <v>1</v>
      </c>
      <c r="S2705" s="93" t="s">
        <v>314</v>
      </c>
    </row>
    <row r="2706" spans="1:19">
      <c r="A2706" s="47" t="s">
        <v>147</v>
      </c>
      <c r="B2706" s="48" t="s">
        <v>148</v>
      </c>
      <c r="C2706" s="32">
        <v>361</v>
      </c>
      <c r="D2706" s="32"/>
      <c r="E2706" s="48" t="s">
        <v>19</v>
      </c>
      <c r="F2706" s="48" t="s">
        <v>14</v>
      </c>
      <c r="G2706" s="48" t="s">
        <v>18</v>
      </c>
      <c r="H2706" s="11">
        <v>6.86</v>
      </c>
      <c r="I2706" s="52">
        <v>10</v>
      </c>
      <c r="J2706" s="7">
        <v>1</v>
      </c>
      <c r="K2706" s="10">
        <v>6.8600000000000008E-2</v>
      </c>
      <c r="L2706" s="32"/>
      <c r="M2706" s="32">
        <v>1</v>
      </c>
      <c r="N2706" s="18">
        <v>6.8600000000000008E-2</v>
      </c>
      <c r="O2706" s="19">
        <v>0</v>
      </c>
      <c r="P2706" s="13">
        <v>0</v>
      </c>
      <c r="Q2706" s="94">
        <v>8</v>
      </c>
      <c r="R2706" s="93">
        <v>1</v>
      </c>
      <c r="S2706" s="93" t="s">
        <v>314</v>
      </c>
    </row>
    <row r="2707" spans="1:19">
      <c r="A2707" s="45" t="s">
        <v>136</v>
      </c>
      <c r="B2707" s="48" t="s">
        <v>171</v>
      </c>
      <c r="C2707" s="32">
        <v>156</v>
      </c>
      <c r="D2707" s="32"/>
      <c r="E2707" s="48" t="s">
        <v>178</v>
      </c>
      <c r="F2707" s="48" t="s">
        <v>14</v>
      </c>
      <c r="G2707" s="48" t="s">
        <v>18</v>
      </c>
      <c r="H2707" s="11">
        <v>6.86</v>
      </c>
      <c r="I2707" s="9">
        <v>4.3</v>
      </c>
      <c r="J2707" s="7">
        <v>1</v>
      </c>
      <c r="K2707" s="10">
        <v>2.9498E-2</v>
      </c>
      <c r="L2707" s="32"/>
      <c r="M2707" s="32"/>
      <c r="N2707" s="18">
        <v>0</v>
      </c>
      <c r="O2707" s="19">
        <v>1</v>
      </c>
      <c r="P2707" s="13">
        <v>2.9498E-2</v>
      </c>
      <c r="Q2707" s="93"/>
      <c r="R2707" s="93"/>
      <c r="S2707" s="93"/>
    </row>
    <row r="2708" spans="1:19">
      <c r="A2708" s="45" t="s">
        <v>136</v>
      </c>
      <c r="B2708" s="48" t="s">
        <v>171</v>
      </c>
      <c r="C2708" s="32">
        <v>156</v>
      </c>
      <c r="D2708" s="32"/>
      <c r="E2708" s="48" t="s">
        <v>178</v>
      </c>
      <c r="F2708" s="48" t="s">
        <v>14</v>
      </c>
      <c r="G2708" s="48" t="s">
        <v>18</v>
      </c>
      <c r="H2708" s="11">
        <v>6.86</v>
      </c>
      <c r="I2708" s="9">
        <v>6.15</v>
      </c>
      <c r="J2708" s="7">
        <v>2</v>
      </c>
      <c r="K2708" s="10">
        <v>8.4378000000000009E-2</v>
      </c>
      <c r="L2708" s="32"/>
      <c r="M2708" s="32">
        <v>2</v>
      </c>
      <c r="N2708" s="18">
        <v>8.4378000000000009E-2</v>
      </c>
      <c r="O2708" s="19">
        <v>0</v>
      </c>
      <c r="P2708" s="13">
        <v>0</v>
      </c>
      <c r="Q2708" s="94">
        <v>6</v>
      </c>
      <c r="R2708" s="93">
        <v>2</v>
      </c>
      <c r="S2708" s="93" t="s">
        <v>459</v>
      </c>
    </row>
    <row r="2709" spans="1:19">
      <c r="A2709" s="45" t="s">
        <v>136</v>
      </c>
      <c r="B2709" s="48" t="s">
        <v>171</v>
      </c>
      <c r="C2709" s="32">
        <v>156</v>
      </c>
      <c r="D2709" s="32"/>
      <c r="E2709" s="48" t="s">
        <v>178</v>
      </c>
      <c r="F2709" s="48" t="s">
        <v>14</v>
      </c>
      <c r="G2709" s="48" t="s">
        <v>18</v>
      </c>
      <c r="H2709" s="11">
        <v>6.86</v>
      </c>
      <c r="I2709" s="9">
        <v>9</v>
      </c>
      <c r="J2709" s="7">
        <v>2</v>
      </c>
      <c r="K2709" s="10">
        <v>0.12348000000000001</v>
      </c>
      <c r="L2709" s="32"/>
      <c r="M2709" s="32">
        <v>2</v>
      </c>
      <c r="N2709" s="18">
        <v>0.12348000000000001</v>
      </c>
      <c r="O2709" s="19">
        <v>0</v>
      </c>
      <c r="P2709" s="13">
        <v>0</v>
      </c>
      <c r="Q2709" s="94">
        <v>8</v>
      </c>
      <c r="R2709" s="93">
        <v>2</v>
      </c>
      <c r="S2709" s="93" t="s">
        <v>314</v>
      </c>
    </row>
    <row r="2710" spans="1:19">
      <c r="A2710" s="45" t="s">
        <v>136</v>
      </c>
      <c r="B2710" s="48" t="s">
        <v>171</v>
      </c>
      <c r="C2710" s="32">
        <v>156</v>
      </c>
      <c r="D2710" s="32"/>
      <c r="E2710" s="48" t="s">
        <v>178</v>
      </c>
      <c r="F2710" s="48" t="s">
        <v>14</v>
      </c>
      <c r="G2710" s="48" t="s">
        <v>18</v>
      </c>
      <c r="H2710" s="11">
        <v>6.86</v>
      </c>
      <c r="I2710" s="9">
        <v>10</v>
      </c>
      <c r="J2710" s="7">
        <v>2</v>
      </c>
      <c r="K2710" s="10">
        <v>0.13720000000000002</v>
      </c>
      <c r="L2710" s="32"/>
      <c r="M2710" s="32">
        <v>2</v>
      </c>
      <c r="N2710" s="18">
        <v>0.13720000000000002</v>
      </c>
      <c r="O2710" s="19">
        <v>0</v>
      </c>
      <c r="P2710" s="13">
        <v>0</v>
      </c>
      <c r="Q2710" s="94">
        <v>8</v>
      </c>
      <c r="R2710" s="93">
        <v>2</v>
      </c>
      <c r="S2710" s="93" t="s">
        <v>314</v>
      </c>
    </row>
    <row r="2711" spans="1:19">
      <c r="A2711" s="45" t="s">
        <v>136</v>
      </c>
      <c r="B2711" s="48" t="s">
        <v>171</v>
      </c>
      <c r="C2711" s="32">
        <v>156</v>
      </c>
      <c r="D2711" s="32"/>
      <c r="E2711" s="48" t="s">
        <v>178</v>
      </c>
      <c r="F2711" s="48" t="s">
        <v>14</v>
      </c>
      <c r="G2711" s="48" t="s">
        <v>18</v>
      </c>
      <c r="H2711" s="11">
        <v>6.86</v>
      </c>
      <c r="I2711" s="9">
        <v>10.5</v>
      </c>
      <c r="J2711" s="7">
        <v>1</v>
      </c>
      <c r="K2711" s="10">
        <v>7.2029999999999997E-2</v>
      </c>
      <c r="L2711" s="32"/>
      <c r="M2711" s="32">
        <v>1</v>
      </c>
      <c r="N2711" s="18">
        <v>7.2029999999999997E-2</v>
      </c>
      <c r="O2711" s="19">
        <v>0</v>
      </c>
      <c r="P2711" s="13">
        <v>0</v>
      </c>
      <c r="Q2711" s="94">
        <v>8</v>
      </c>
      <c r="R2711" s="93">
        <v>1</v>
      </c>
      <c r="S2711" s="93" t="s">
        <v>314</v>
      </c>
    </row>
    <row r="2712" spans="1:19">
      <c r="A2712" s="45" t="s">
        <v>136</v>
      </c>
      <c r="B2712" s="48" t="s">
        <v>171</v>
      </c>
      <c r="C2712" s="32">
        <v>156</v>
      </c>
      <c r="D2712" s="32"/>
      <c r="E2712" s="48" t="s">
        <v>178</v>
      </c>
      <c r="F2712" s="48" t="s">
        <v>14</v>
      </c>
      <c r="G2712" s="48" t="s">
        <v>18</v>
      </c>
      <c r="H2712" s="11">
        <v>6.86</v>
      </c>
      <c r="I2712" s="9">
        <v>11.5</v>
      </c>
      <c r="J2712" s="7">
        <v>1</v>
      </c>
      <c r="K2712" s="10">
        <v>7.8890000000000002E-2</v>
      </c>
      <c r="L2712" s="32"/>
      <c r="M2712" s="32">
        <v>1</v>
      </c>
      <c r="N2712" s="18">
        <v>7.8890000000000002E-2</v>
      </c>
      <c r="O2712" s="19">
        <v>0</v>
      </c>
      <c r="P2712" s="13">
        <v>0</v>
      </c>
      <c r="Q2712" s="94">
        <v>8</v>
      </c>
      <c r="R2712" s="93">
        <v>1</v>
      </c>
      <c r="S2712" s="93" t="s">
        <v>314</v>
      </c>
    </row>
    <row r="2713" spans="1:19">
      <c r="O2713" s="215">
        <f>SUM(O2697:O2712)</f>
        <v>2</v>
      </c>
      <c r="R2713" s="215">
        <f>SUM(R2697:R2712)</f>
        <v>16</v>
      </c>
    </row>
    <row r="2715" spans="1:19">
      <c r="A2715" s="42" t="s">
        <v>78</v>
      </c>
      <c r="B2715" s="3"/>
      <c r="C2715" s="3">
        <v>24</v>
      </c>
      <c r="D2715" s="1"/>
      <c r="E2715" s="20" t="s">
        <v>86</v>
      </c>
      <c r="F2715" s="7" t="s">
        <v>14</v>
      </c>
      <c r="G2715" s="7" t="s">
        <v>18</v>
      </c>
      <c r="H2715" s="11">
        <v>6.86</v>
      </c>
      <c r="I2715" s="8">
        <v>11.5</v>
      </c>
      <c r="J2715" s="26">
        <v>12</v>
      </c>
      <c r="K2715" s="10">
        <v>0.94668000000000008</v>
      </c>
      <c r="L2715" s="4"/>
      <c r="M2715" s="17">
        <v>10</v>
      </c>
      <c r="N2715" s="18">
        <v>0.78890000000000005</v>
      </c>
      <c r="O2715" s="19">
        <v>2</v>
      </c>
      <c r="P2715" s="13">
        <v>0.15778</v>
      </c>
      <c r="Q2715" s="92">
        <v>11.5</v>
      </c>
      <c r="R2715" s="47">
        <v>10</v>
      </c>
      <c r="S2715" s="47" t="s">
        <v>460</v>
      </c>
    </row>
    <row r="2716" spans="1:19">
      <c r="A2716" s="42" t="s">
        <v>78</v>
      </c>
      <c r="B2716" s="3"/>
      <c r="C2716" s="3">
        <v>28</v>
      </c>
      <c r="D2716" s="1" t="s">
        <v>93</v>
      </c>
      <c r="E2716" s="20" t="s">
        <v>86</v>
      </c>
      <c r="F2716" s="7" t="s">
        <v>14</v>
      </c>
      <c r="G2716" s="7" t="s">
        <v>18</v>
      </c>
      <c r="H2716" s="11">
        <v>6.86</v>
      </c>
      <c r="I2716" s="8">
        <v>10.5</v>
      </c>
      <c r="J2716" s="26">
        <v>7</v>
      </c>
      <c r="K2716" s="10">
        <v>0.50421000000000005</v>
      </c>
      <c r="L2716" s="4"/>
      <c r="M2716" s="17">
        <v>3</v>
      </c>
      <c r="N2716" s="18">
        <v>0.21609</v>
      </c>
      <c r="O2716" s="19">
        <v>4</v>
      </c>
      <c r="P2716" s="13">
        <v>0.28811999999999999</v>
      </c>
      <c r="Q2716" s="9"/>
      <c r="R2716" s="2"/>
      <c r="S2716" s="2"/>
    </row>
    <row r="2717" spans="1:19">
      <c r="A2717" s="42" t="s">
        <v>78</v>
      </c>
      <c r="B2717" s="3"/>
      <c r="C2717" s="3">
        <v>28</v>
      </c>
      <c r="D2717" s="1"/>
      <c r="E2717" s="20" t="s">
        <v>86</v>
      </c>
      <c r="F2717" s="7" t="s">
        <v>14</v>
      </c>
      <c r="G2717" s="7" t="s">
        <v>18</v>
      </c>
      <c r="H2717" s="11">
        <v>6.86</v>
      </c>
      <c r="I2717" s="8">
        <v>11</v>
      </c>
      <c r="J2717" s="26">
        <v>3</v>
      </c>
      <c r="K2717" s="10">
        <v>0.22638000000000003</v>
      </c>
      <c r="L2717" s="4"/>
      <c r="M2717" s="17">
        <v>3</v>
      </c>
      <c r="N2717" s="18">
        <v>0.22638000000000003</v>
      </c>
      <c r="O2717" s="19">
        <v>0</v>
      </c>
      <c r="P2717" s="13">
        <v>0</v>
      </c>
      <c r="Q2717" s="9"/>
      <c r="R2717" s="2"/>
      <c r="S2717" s="2"/>
    </row>
    <row r="2718" spans="1:19">
      <c r="A2718" s="42" t="s">
        <v>84</v>
      </c>
      <c r="B2718" s="3" t="s">
        <v>124</v>
      </c>
      <c r="C2718" s="3">
        <v>2</v>
      </c>
      <c r="D2718" s="1"/>
      <c r="E2718" s="20" t="s">
        <v>86</v>
      </c>
      <c r="F2718" s="7" t="s">
        <v>14</v>
      </c>
      <c r="G2718" s="7" t="s">
        <v>18</v>
      </c>
      <c r="H2718" s="11">
        <v>6.86</v>
      </c>
      <c r="I2718" s="8">
        <v>10.6</v>
      </c>
      <c r="J2718" s="26">
        <v>5</v>
      </c>
      <c r="K2718" s="10">
        <v>0.36357999999999996</v>
      </c>
      <c r="L2718" s="4"/>
      <c r="M2718" s="17">
        <v>5</v>
      </c>
      <c r="N2718" s="18">
        <v>0.36358000000000001</v>
      </c>
      <c r="O2718" s="19">
        <v>0</v>
      </c>
      <c r="P2718" s="13">
        <v>0</v>
      </c>
      <c r="Q2718" s="9"/>
      <c r="R2718" s="2"/>
      <c r="S2718" s="2"/>
    </row>
    <row r="2719" spans="1:19">
      <c r="A2719" s="42" t="s">
        <v>84</v>
      </c>
      <c r="B2719" s="3" t="s">
        <v>124</v>
      </c>
      <c r="C2719" s="3">
        <v>3</v>
      </c>
      <c r="D2719" s="1"/>
      <c r="E2719" s="20" t="s">
        <v>86</v>
      </c>
      <c r="F2719" s="7" t="s">
        <v>14</v>
      </c>
      <c r="G2719" s="7" t="s">
        <v>18</v>
      </c>
      <c r="H2719" s="11">
        <v>6.86</v>
      </c>
      <c r="I2719" s="8">
        <v>10.6</v>
      </c>
      <c r="J2719" s="26">
        <v>34</v>
      </c>
      <c r="K2719" s="10">
        <v>2.4723439999999997</v>
      </c>
      <c r="L2719" s="4"/>
      <c r="M2719" s="17">
        <v>34</v>
      </c>
      <c r="N2719" s="18">
        <v>2.4723440000000001</v>
      </c>
      <c r="O2719" s="19">
        <v>0</v>
      </c>
      <c r="P2719" s="13">
        <v>0</v>
      </c>
      <c r="Q2719" s="9"/>
      <c r="R2719" s="2"/>
      <c r="S2719" s="2"/>
    </row>
    <row r="2720" spans="1:19">
      <c r="A2720" s="42" t="s">
        <v>84</v>
      </c>
      <c r="B2720" s="3" t="s">
        <v>124</v>
      </c>
      <c r="C2720" s="3">
        <v>4</v>
      </c>
      <c r="D2720" s="1"/>
      <c r="E2720" s="20" t="s">
        <v>86</v>
      </c>
      <c r="F2720" s="7" t="s">
        <v>14</v>
      </c>
      <c r="G2720" s="7" t="s">
        <v>18</v>
      </c>
      <c r="H2720" s="11">
        <v>6.86</v>
      </c>
      <c r="I2720" s="8">
        <v>10.6</v>
      </c>
      <c r="J2720" s="26">
        <v>17</v>
      </c>
      <c r="K2720" s="10">
        <v>1.2361719999999998</v>
      </c>
      <c r="L2720" s="4"/>
      <c r="M2720" s="17">
        <v>17</v>
      </c>
      <c r="N2720" s="18">
        <v>1.236172</v>
      </c>
      <c r="O2720" s="19">
        <v>0</v>
      </c>
      <c r="P2720" s="13">
        <v>0</v>
      </c>
      <c r="Q2720" s="9"/>
      <c r="R2720" s="2"/>
      <c r="S2720" s="2"/>
    </row>
    <row r="2721" spans="1:21">
      <c r="A2721" s="42"/>
      <c r="B2721" s="3" t="s">
        <v>124</v>
      </c>
      <c r="C2721" s="3">
        <v>4</v>
      </c>
      <c r="D2721" s="1"/>
      <c r="E2721" s="20" t="s">
        <v>86</v>
      </c>
      <c r="F2721" s="7" t="s">
        <v>14</v>
      </c>
      <c r="G2721" s="7" t="s">
        <v>18</v>
      </c>
      <c r="H2721" s="11">
        <v>6.86</v>
      </c>
      <c r="I2721" s="8">
        <v>12</v>
      </c>
      <c r="J2721" s="26">
        <v>6</v>
      </c>
      <c r="K2721" s="10">
        <v>0.49392000000000008</v>
      </c>
      <c r="L2721" s="4"/>
      <c r="M2721" s="17">
        <v>6</v>
      </c>
      <c r="N2721" s="18">
        <v>0.49392000000000003</v>
      </c>
      <c r="O2721" s="19">
        <v>0</v>
      </c>
      <c r="P2721" s="13">
        <v>0</v>
      </c>
      <c r="Q2721" s="9"/>
      <c r="R2721" s="2"/>
      <c r="S2721" s="2"/>
    </row>
    <row r="2722" spans="1:21">
      <c r="A2722" s="42"/>
      <c r="B2722" s="3" t="s">
        <v>124</v>
      </c>
      <c r="C2722" s="3">
        <v>4</v>
      </c>
      <c r="D2722" s="1" t="s">
        <v>93</v>
      </c>
      <c r="E2722" s="20" t="s">
        <v>86</v>
      </c>
      <c r="F2722" s="7" t="s">
        <v>14</v>
      </c>
      <c r="G2722" s="7" t="s">
        <v>18</v>
      </c>
      <c r="H2722" s="11">
        <v>6.86</v>
      </c>
      <c r="I2722" s="8">
        <v>9.3000000000000007</v>
      </c>
      <c r="J2722" s="26">
        <v>1</v>
      </c>
      <c r="K2722" s="10">
        <v>6.3798000000000007E-2</v>
      </c>
      <c r="L2722" s="4"/>
      <c r="M2722" s="17">
        <v>1</v>
      </c>
      <c r="N2722" s="18">
        <v>6.3798000000000007E-2</v>
      </c>
      <c r="O2722" s="19">
        <v>0</v>
      </c>
      <c r="P2722" s="13">
        <v>0</v>
      </c>
      <c r="Q2722" s="92">
        <v>6</v>
      </c>
      <c r="R2722" s="47">
        <v>1</v>
      </c>
      <c r="S2722" s="47" t="s">
        <v>420</v>
      </c>
    </row>
    <row r="2723" spans="1:21">
      <c r="A2723" s="42"/>
      <c r="B2723" s="3" t="s">
        <v>124</v>
      </c>
      <c r="C2723" s="3">
        <v>4</v>
      </c>
      <c r="D2723" s="1"/>
      <c r="E2723" s="20" t="s">
        <v>86</v>
      </c>
      <c r="F2723" s="7" t="s">
        <v>14</v>
      </c>
      <c r="G2723" s="7" t="s">
        <v>18</v>
      </c>
      <c r="H2723" s="11">
        <v>6.86</v>
      </c>
      <c r="I2723" s="8">
        <v>12</v>
      </c>
      <c r="J2723" s="26">
        <v>2</v>
      </c>
      <c r="K2723" s="10">
        <v>0.16464000000000001</v>
      </c>
      <c r="L2723" s="4"/>
      <c r="M2723" s="17">
        <v>2</v>
      </c>
      <c r="N2723" s="18">
        <v>0.16464000000000001</v>
      </c>
      <c r="O2723" s="19">
        <v>0</v>
      </c>
      <c r="P2723" s="13">
        <v>0</v>
      </c>
      <c r="Q2723" s="9"/>
      <c r="R2723" s="2"/>
      <c r="S2723" s="2"/>
    </row>
    <row r="2724" spans="1:21">
      <c r="A2724" s="47" t="s">
        <v>147</v>
      </c>
      <c r="B2724" s="48" t="s">
        <v>148</v>
      </c>
      <c r="C2724" s="32">
        <v>316</v>
      </c>
      <c r="D2724" s="32"/>
      <c r="E2724" s="48" t="s">
        <v>161</v>
      </c>
      <c r="F2724" s="48" t="s">
        <v>14</v>
      </c>
      <c r="G2724" s="48" t="s">
        <v>18</v>
      </c>
      <c r="H2724" s="11">
        <v>6.86</v>
      </c>
      <c r="I2724" s="52">
        <v>7.5</v>
      </c>
      <c r="J2724" s="7">
        <v>1</v>
      </c>
      <c r="K2724" s="10">
        <v>5.1450000000000003E-2</v>
      </c>
      <c r="L2724" s="32"/>
      <c r="M2724" s="32"/>
      <c r="N2724" s="18">
        <v>0</v>
      </c>
      <c r="O2724" s="19">
        <v>1</v>
      </c>
      <c r="P2724" s="13">
        <v>5.1450000000000003E-2</v>
      </c>
      <c r="Q2724" s="111"/>
      <c r="R2724" s="32"/>
      <c r="S2724" s="32"/>
    </row>
    <row r="2725" spans="1:21">
      <c r="A2725" s="44" t="s">
        <v>78</v>
      </c>
      <c r="B2725" s="3" t="s">
        <v>80</v>
      </c>
      <c r="C2725" s="3">
        <v>5</v>
      </c>
      <c r="D2725" s="1"/>
      <c r="E2725" s="20" t="s">
        <v>81</v>
      </c>
      <c r="F2725" s="7" t="s">
        <v>14</v>
      </c>
      <c r="G2725" s="7" t="s">
        <v>18</v>
      </c>
      <c r="H2725" s="11">
        <v>6.86</v>
      </c>
      <c r="I2725" s="8">
        <v>10.6</v>
      </c>
      <c r="J2725" s="26">
        <v>1</v>
      </c>
      <c r="K2725" s="10">
        <v>7.2715999999999989E-2</v>
      </c>
      <c r="L2725" s="4"/>
      <c r="M2725" s="17">
        <v>1</v>
      </c>
      <c r="N2725" s="18">
        <v>7.2715999999999989E-2</v>
      </c>
      <c r="O2725" s="19">
        <v>0</v>
      </c>
      <c r="P2725" s="13">
        <v>0</v>
      </c>
      <c r="Q2725" s="9"/>
      <c r="R2725" s="32"/>
      <c r="S2725" s="32"/>
    </row>
    <row r="2726" spans="1:21">
      <c r="O2726" s="215">
        <f>SUM(O2715:O2725)</f>
        <v>7</v>
      </c>
      <c r="R2726" s="215">
        <f>SUM(R2715:R2725)</f>
        <v>11</v>
      </c>
    </row>
    <row r="2730" spans="1:21">
      <c r="B2730" s="110" t="s">
        <v>426</v>
      </c>
      <c r="C2730" s="111" t="s">
        <v>428</v>
      </c>
      <c r="D2730" s="112" t="s">
        <v>228</v>
      </c>
      <c r="E2730" s="113" t="s">
        <v>20</v>
      </c>
      <c r="F2730" s="175" t="s">
        <v>15</v>
      </c>
      <c r="G2730" s="175" t="s">
        <v>57</v>
      </c>
      <c r="H2730" s="176">
        <v>33.799999999999997</v>
      </c>
      <c r="I2730" s="177">
        <v>7.6</v>
      </c>
      <c r="J2730" s="178">
        <v>1</v>
      </c>
      <c r="K2730" s="174">
        <f t="shared" ref="K2730:K2753" si="254">(H2730*I2730*J2730/1000)</f>
        <v>0.25687999999999994</v>
      </c>
      <c r="L2730" s="118"/>
      <c r="M2730" s="111"/>
      <c r="N2730" s="117">
        <f t="shared" ref="N2730:N2755" si="255">I2730*M2730*H2730/1000</f>
        <v>0</v>
      </c>
      <c r="O2730" s="145">
        <f t="shared" ref="O2730:O2755" si="256">J2730-M2730</f>
        <v>1</v>
      </c>
      <c r="P2730" s="120">
        <f t="shared" ref="P2730:P2755" si="257">I2730*O2730*H2730/1000</f>
        <v>0.25687999999999994</v>
      </c>
      <c r="Q2730" s="32" t="s">
        <v>453</v>
      </c>
      <c r="R2730" s="32"/>
      <c r="S2730" s="364">
        <f>4.602+0.15</f>
        <v>4.7520000000000007</v>
      </c>
      <c r="T2730" s="187">
        <v>1</v>
      </c>
      <c r="U2730" s="365">
        <f>S2730*T2730*H2730/1000</f>
        <v>0.1606176</v>
      </c>
    </row>
    <row r="2731" spans="1:21">
      <c r="B2731" s="110" t="s">
        <v>426</v>
      </c>
      <c r="C2731" s="111" t="s">
        <v>428</v>
      </c>
      <c r="D2731" s="112" t="s">
        <v>228</v>
      </c>
      <c r="E2731" s="113" t="s">
        <v>20</v>
      </c>
      <c r="F2731" s="175" t="s">
        <v>15</v>
      </c>
      <c r="G2731" s="175" t="s">
        <v>57</v>
      </c>
      <c r="H2731" s="176">
        <v>33.799999999999997</v>
      </c>
      <c r="I2731" s="177">
        <v>8.1</v>
      </c>
      <c r="J2731" s="178">
        <f>8+10+10+10+10+8+8</f>
        <v>64</v>
      </c>
      <c r="K2731" s="174">
        <f t="shared" si="254"/>
        <v>17.521919999999998</v>
      </c>
      <c r="L2731" s="118"/>
      <c r="M2731" s="111">
        <v>64</v>
      </c>
      <c r="N2731" s="117">
        <f t="shared" si="255"/>
        <v>17.521919999999998</v>
      </c>
      <c r="O2731" s="119">
        <f t="shared" si="256"/>
        <v>0</v>
      </c>
      <c r="P2731" s="120">
        <f t="shared" si="257"/>
        <v>0</v>
      </c>
      <c r="Q2731" s="32"/>
      <c r="R2731" s="32"/>
      <c r="S2731" s="32"/>
      <c r="T2731" s="186"/>
      <c r="U2731" s="213"/>
    </row>
    <row r="2732" spans="1:21">
      <c r="B2732" s="110" t="s">
        <v>426</v>
      </c>
      <c r="C2732" s="111" t="s">
        <v>428</v>
      </c>
      <c r="D2732" s="112" t="s">
        <v>228</v>
      </c>
      <c r="E2732" s="113" t="s">
        <v>20</v>
      </c>
      <c r="F2732" s="175" t="s">
        <v>15</v>
      </c>
      <c r="G2732" s="175" t="s">
        <v>57</v>
      </c>
      <c r="H2732" s="176">
        <v>33.799999999999997</v>
      </c>
      <c r="I2732" s="177">
        <v>9.3000000000000007</v>
      </c>
      <c r="J2732" s="178">
        <f>9+8+2+8</f>
        <v>27</v>
      </c>
      <c r="K2732" s="174">
        <f t="shared" si="254"/>
        <v>8.4871799999999986</v>
      </c>
      <c r="L2732" s="118"/>
      <c r="M2732" s="111">
        <f>27+32-2-1</f>
        <v>56</v>
      </c>
      <c r="N2732" s="117">
        <f t="shared" si="255"/>
        <v>17.60304</v>
      </c>
      <c r="O2732" s="141">
        <f t="shared" si="256"/>
        <v>-29</v>
      </c>
      <c r="P2732" s="142">
        <f t="shared" si="257"/>
        <v>-9.1158600000000014</v>
      </c>
      <c r="Q2732" s="32" t="s">
        <v>304</v>
      </c>
      <c r="R2732" s="32"/>
      <c r="S2732" s="32"/>
      <c r="T2732" s="186"/>
      <c r="U2732" s="213"/>
    </row>
    <row r="2733" spans="1:21">
      <c r="B2733" s="110" t="s">
        <v>426</v>
      </c>
      <c r="C2733" s="111" t="s">
        <v>428</v>
      </c>
      <c r="D2733" s="112" t="s">
        <v>228</v>
      </c>
      <c r="E2733" s="113" t="s">
        <v>20</v>
      </c>
      <c r="F2733" s="175" t="s">
        <v>15</v>
      </c>
      <c r="G2733" s="175" t="s">
        <v>57</v>
      </c>
      <c r="H2733" s="176">
        <v>33.799999999999997</v>
      </c>
      <c r="I2733" s="177">
        <v>11.9</v>
      </c>
      <c r="J2733" s="178">
        <f>8+6+8+8+3+7</f>
        <v>40</v>
      </c>
      <c r="K2733" s="174">
        <f t="shared" si="254"/>
        <v>16.088799999999999</v>
      </c>
      <c r="L2733" s="118"/>
      <c r="M2733" s="111">
        <f>39+1</f>
        <v>40</v>
      </c>
      <c r="N2733" s="117">
        <f t="shared" si="255"/>
        <v>16.088799999999999</v>
      </c>
      <c r="O2733" s="119">
        <f t="shared" si="256"/>
        <v>0</v>
      </c>
      <c r="P2733" s="120">
        <f t="shared" si="257"/>
        <v>0</v>
      </c>
      <c r="Q2733" s="32">
        <v>9.3000000000000007</v>
      </c>
      <c r="R2733" s="32">
        <v>1</v>
      </c>
      <c r="S2733" s="32"/>
      <c r="T2733" s="186"/>
      <c r="U2733" s="213"/>
    </row>
    <row r="2734" spans="1:21">
      <c r="B2734" s="110" t="s">
        <v>426</v>
      </c>
      <c r="C2734" s="111" t="s">
        <v>428</v>
      </c>
      <c r="D2734" s="112" t="s">
        <v>228</v>
      </c>
      <c r="E2734" s="113" t="s">
        <v>20</v>
      </c>
      <c r="F2734" s="175" t="s">
        <v>15</v>
      </c>
      <c r="G2734" s="175" t="s">
        <v>57</v>
      </c>
      <c r="H2734" s="176">
        <v>33.799999999999997</v>
      </c>
      <c r="I2734" s="177">
        <v>7.5</v>
      </c>
      <c r="J2734" s="178">
        <v>1</v>
      </c>
      <c r="K2734" s="174">
        <f t="shared" si="254"/>
        <v>0.25349999999999995</v>
      </c>
      <c r="L2734" s="118"/>
      <c r="M2734" s="111"/>
      <c r="N2734" s="117">
        <f t="shared" si="255"/>
        <v>0</v>
      </c>
      <c r="O2734" s="145">
        <f t="shared" si="256"/>
        <v>1</v>
      </c>
      <c r="P2734" s="120">
        <f t="shared" si="257"/>
        <v>0.25349999999999995</v>
      </c>
      <c r="Q2734" s="32" t="s">
        <v>453</v>
      </c>
      <c r="R2734" s="32"/>
      <c r="S2734" s="364">
        <f t="shared" ref="S2734:S2739" si="258">4.602+0.15</f>
        <v>4.7520000000000007</v>
      </c>
      <c r="T2734" s="187">
        <v>1</v>
      </c>
      <c r="U2734" s="365">
        <f>S2734*T2734*H2734/1000</f>
        <v>0.1606176</v>
      </c>
    </row>
    <row r="2735" spans="1:21">
      <c r="B2735" s="110" t="s">
        <v>426</v>
      </c>
      <c r="C2735" s="111" t="s">
        <v>428</v>
      </c>
      <c r="D2735" s="112" t="s">
        <v>228</v>
      </c>
      <c r="E2735" s="113" t="s">
        <v>20</v>
      </c>
      <c r="F2735" s="175" t="s">
        <v>15</v>
      </c>
      <c r="G2735" s="175" t="s">
        <v>57</v>
      </c>
      <c r="H2735" s="176">
        <v>33.799999999999997</v>
      </c>
      <c r="I2735" s="177">
        <v>9</v>
      </c>
      <c r="J2735" s="178">
        <v>1</v>
      </c>
      <c r="K2735" s="174">
        <f t="shared" si="254"/>
        <v>0.30419999999999997</v>
      </c>
      <c r="L2735" s="118"/>
      <c r="M2735" s="111"/>
      <c r="N2735" s="117">
        <f t="shared" si="255"/>
        <v>0</v>
      </c>
      <c r="O2735" s="145">
        <f t="shared" si="256"/>
        <v>1</v>
      </c>
      <c r="P2735" s="120">
        <f t="shared" si="257"/>
        <v>0.30419999999999997</v>
      </c>
      <c r="Q2735" s="32" t="s">
        <v>453</v>
      </c>
      <c r="R2735" s="32"/>
      <c r="S2735" s="364">
        <f t="shared" si="258"/>
        <v>4.7520000000000007</v>
      </c>
      <c r="T2735" s="187">
        <v>1</v>
      </c>
      <c r="U2735" s="365">
        <f t="shared" ref="U2735:U2739" si="259">S2735*T2735*H2735/1000</f>
        <v>0.1606176</v>
      </c>
    </row>
    <row r="2736" spans="1:21">
      <c r="B2736" s="110" t="s">
        <v>426</v>
      </c>
      <c r="C2736" s="111" t="s">
        <v>428</v>
      </c>
      <c r="D2736" s="112" t="s">
        <v>228</v>
      </c>
      <c r="E2736" s="113" t="s">
        <v>20</v>
      </c>
      <c r="F2736" s="175" t="s">
        <v>15</v>
      </c>
      <c r="G2736" s="175" t="s">
        <v>57</v>
      </c>
      <c r="H2736" s="176">
        <v>33.799999999999997</v>
      </c>
      <c r="I2736" s="177">
        <v>7.5</v>
      </c>
      <c r="J2736" s="178">
        <v>1</v>
      </c>
      <c r="K2736" s="174">
        <f t="shared" si="254"/>
        <v>0.25349999999999995</v>
      </c>
      <c r="L2736" s="118"/>
      <c r="M2736" s="111"/>
      <c r="N2736" s="117">
        <f t="shared" si="255"/>
        <v>0</v>
      </c>
      <c r="O2736" s="145">
        <f t="shared" si="256"/>
        <v>1</v>
      </c>
      <c r="P2736" s="120">
        <f t="shared" si="257"/>
        <v>0.25349999999999995</v>
      </c>
      <c r="Q2736" s="32" t="s">
        <v>453</v>
      </c>
      <c r="R2736" s="32"/>
      <c r="S2736" s="364">
        <f t="shared" si="258"/>
        <v>4.7520000000000007</v>
      </c>
      <c r="T2736" s="187">
        <v>1</v>
      </c>
      <c r="U2736" s="365">
        <f t="shared" si="259"/>
        <v>0.1606176</v>
      </c>
    </row>
    <row r="2737" spans="2:21">
      <c r="B2737" s="110" t="s">
        <v>426</v>
      </c>
      <c r="C2737" s="111" t="s">
        <v>428</v>
      </c>
      <c r="D2737" s="112" t="s">
        <v>228</v>
      </c>
      <c r="E2737" s="113" t="s">
        <v>20</v>
      </c>
      <c r="F2737" s="175" t="s">
        <v>15</v>
      </c>
      <c r="G2737" s="175" t="s">
        <v>57</v>
      </c>
      <c r="H2737" s="176">
        <v>33.799999999999997</v>
      </c>
      <c r="I2737" s="177">
        <v>7.6</v>
      </c>
      <c r="J2737" s="178">
        <v>1</v>
      </c>
      <c r="K2737" s="174">
        <f t="shared" si="254"/>
        <v>0.25687999999999994</v>
      </c>
      <c r="L2737" s="118"/>
      <c r="M2737" s="111"/>
      <c r="N2737" s="117">
        <f t="shared" si="255"/>
        <v>0</v>
      </c>
      <c r="O2737" s="145">
        <f t="shared" si="256"/>
        <v>1</v>
      </c>
      <c r="P2737" s="120">
        <f t="shared" si="257"/>
        <v>0.25687999999999994</v>
      </c>
      <c r="Q2737" s="32" t="s">
        <v>453</v>
      </c>
      <c r="R2737" s="32"/>
      <c r="S2737" s="364">
        <f t="shared" si="258"/>
        <v>4.7520000000000007</v>
      </c>
      <c r="T2737" s="187">
        <v>1</v>
      </c>
      <c r="U2737" s="365">
        <f t="shared" si="259"/>
        <v>0.1606176</v>
      </c>
    </row>
    <row r="2738" spans="2:21">
      <c r="B2738" s="110" t="s">
        <v>426</v>
      </c>
      <c r="C2738" s="111" t="s">
        <v>428</v>
      </c>
      <c r="D2738" s="112" t="s">
        <v>228</v>
      </c>
      <c r="E2738" s="113" t="s">
        <v>20</v>
      </c>
      <c r="F2738" s="175" t="s">
        <v>15</v>
      </c>
      <c r="G2738" s="175" t="s">
        <v>57</v>
      </c>
      <c r="H2738" s="176">
        <v>33.799999999999997</v>
      </c>
      <c r="I2738" s="177">
        <v>7.9</v>
      </c>
      <c r="J2738" s="178">
        <v>1</v>
      </c>
      <c r="K2738" s="174">
        <f t="shared" si="254"/>
        <v>0.26701999999999998</v>
      </c>
      <c r="L2738" s="118"/>
      <c r="M2738" s="111"/>
      <c r="N2738" s="117">
        <f t="shared" si="255"/>
        <v>0</v>
      </c>
      <c r="O2738" s="145">
        <f t="shared" si="256"/>
        <v>1</v>
      </c>
      <c r="P2738" s="120">
        <f t="shared" si="257"/>
        <v>0.26701999999999998</v>
      </c>
      <c r="Q2738" s="32" t="s">
        <v>453</v>
      </c>
      <c r="R2738" s="32"/>
      <c r="S2738" s="364">
        <f t="shared" si="258"/>
        <v>4.7520000000000007</v>
      </c>
      <c r="T2738" s="187">
        <v>1</v>
      </c>
      <c r="U2738" s="365">
        <f t="shared" si="259"/>
        <v>0.1606176</v>
      </c>
    </row>
    <row r="2739" spans="2:21">
      <c r="B2739" s="110" t="s">
        <v>426</v>
      </c>
      <c r="C2739" s="111" t="s">
        <v>428</v>
      </c>
      <c r="D2739" s="112" t="s">
        <v>228</v>
      </c>
      <c r="E2739" s="113" t="s">
        <v>20</v>
      </c>
      <c r="F2739" s="175" t="s">
        <v>15</v>
      </c>
      <c r="G2739" s="175" t="s">
        <v>57</v>
      </c>
      <c r="H2739" s="176">
        <v>33.799999999999997</v>
      </c>
      <c r="I2739" s="177">
        <v>7.6</v>
      </c>
      <c r="J2739" s="178">
        <v>1</v>
      </c>
      <c r="K2739" s="174">
        <f t="shared" si="254"/>
        <v>0.25687999999999994</v>
      </c>
      <c r="L2739" s="118"/>
      <c r="M2739" s="111"/>
      <c r="N2739" s="117">
        <f t="shared" si="255"/>
        <v>0</v>
      </c>
      <c r="O2739" s="145">
        <f t="shared" si="256"/>
        <v>1</v>
      </c>
      <c r="P2739" s="120">
        <f t="shared" si="257"/>
        <v>0.25687999999999994</v>
      </c>
      <c r="Q2739" s="32" t="s">
        <v>453</v>
      </c>
      <c r="R2739" s="32"/>
      <c r="S2739" s="364">
        <f t="shared" si="258"/>
        <v>4.7520000000000007</v>
      </c>
      <c r="T2739" s="187">
        <v>1</v>
      </c>
      <c r="U2739" s="365">
        <f t="shared" si="259"/>
        <v>0.1606176</v>
      </c>
    </row>
    <row r="2740" spans="2:21">
      <c r="B2740" s="110" t="s">
        <v>426</v>
      </c>
      <c r="C2740" s="111" t="s">
        <v>428</v>
      </c>
      <c r="D2740" s="112" t="s">
        <v>228</v>
      </c>
      <c r="E2740" s="113" t="s">
        <v>20</v>
      </c>
      <c r="F2740" s="175" t="s">
        <v>15</v>
      </c>
      <c r="G2740" s="175" t="s">
        <v>57</v>
      </c>
      <c r="H2740" s="176">
        <v>33.799999999999997</v>
      </c>
      <c r="I2740" s="177">
        <v>9</v>
      </c>
      <c r="J2740" s="178">
        <v>3</v>
      </c>
      <c r="K2740" s="174">
        <f t="shared" si="254"/>
        <v>0.91259999999999986</v>
      </c>
      <c r="L2740" s="118"/>
      <c r="M2740" s="111">
        <v>3</v>
      </c>
      <c r="N2740" s="117">
        <f t="shared" si="255"/>
        <v>0.91259999999999986</v>
      </c>
      <c r="O2740" s="119">
        <f t="shared" si="256"/>
        <v>0</v>
      </c>
      <c r="P2740" s="120">
        <f t="shared" si="257"/>
        <v>0</v>
      </c>
      <c r="Q2740" s="32">
        <v>8.1</v>
      </c>
      <c r="R2740" s="32">
        <v>3</v>
      </c>
      <c r="S2740" s="32"/>
      <c r="T2740" s="186"/>
      <c r="U2740" s="213"/>
    </row>
    <row r="2741" spans="2:21">
      <c r="B2741" s="110" t="s">
        <v>426</v>
      </c>
      <c r="C2741" s="111" t="s">
        <v>428</v>
      </c>
      <c r="D2741" s="112" t="s">
        <v>228</v>
      </c>
      <c r="E2741" s="113" t="s">
        <v>20</v>
      </c>
      <c r="F2741" s="175" t="s">
        <v>15</v>
      </c>
      <c r="G2741" s="175" t="s">
        <v>57</v>
      </c>
      <c r="H2741" s="176">
        <v>33.799999999999997</v>
      </c>
      <c r="I2741" s="177">
        <v>9.1</v>
      </c>
      <c r="J2741" s="178">
        <v>5</v>
      </c>
      <c r="K2741" s="174">
        <f t="shared" si="254"/>
        <v>1.5378999999999998</v>
      </c>
      <c r="L2741" s="118"/>
      <c r="M2741" s="111">
        <v>5</v>
      </c>
      <c r="N2741" s="117">
        <f t="shared" si="255"/>
        <v>1.5378999999999998</v>
      </c>
      <c r="O2741" s="119">
        <f t="shared" si="256"/>
        <v>0</v>
      </c>
      <c r="P2741" s="120">
        <f t="shared" si="257"/>
        <v>0</v>
      </c>
      <c r="Q2741" s="32">
        <v>8.1</v>
      </c>
      <c r="R2741" s="32">
        <v>5</v>
      </c>
      <c r="S2741" s="32"/>
      <c r="T2741" s="186"/>
      <c r="U2741" s="213"/>
    </row>
    <row r="2742" spans="2:21">
      <c r="B2742" s="110" t="s">
        <v>426</v>
      </c>
      <c r="C2742" s="111" t="s">
        <v>428</v>
      </c>
      <c r="D2742" s="112" t="s">
        <v>228</v>
      </c>
      <c r="E2742" s="113" t="s">
        <v>20</v>
      </c>
      <c r="F2742" s="175" t="s">
        <v>15</v>
      </c>
      <c r="G2742" s="175" t="s">
        <v>57</v>
      </c>
      <c r="H2742" s="176">
        <v>33.799999999999997</v>
      </c>
      <c r="I2742" s="177">
        <v>11.5</v>
      </c>
      <c r="J2742" s="178">
        <v>1</v>
      </c>
      <c r="K2742" s="174">
        <f t="shared" si="254"/>
        <v>0.38869999999999999</v>
      </c>
      <c r="L2742" s="118"/>
      <c r="M2742" s="111">
        <v>1</v>
      </c>
      <c r="N2742" s="117">
        <f t="shared" si="255"/>
        <v>0.38869999999999999</v>
      </c>
      <c r="O2742" s="119">
        <f t="shared" si="256"/>
        <v>0</v>
      </c>
      <c r="P2742" s="120">
        <f t="shared" si="257"/>
        <v>0</v>
      </c>
      <c r="Q2742" s="32">
        <v>9.3000000000000007</v>
      </c>
      <c r="R2742" s="32">
        <v>1</v>
      </c>
      <c r="S2742" s="32"/>
      <c r="T2742" s="186"/>
      <c r="U2742" s="213"/>
    </row>
    <row r="2743" spans="2:21">
      <c r="B2743" s="110" t="s">
        <v>426</v>
      </c>
      <c r="C2743" s="111" t="s">
        <v>428</v>
      </c>
      <c r="D2743" s="112" t="s">
        <v>228</v>
      </c>
      <c r="E2743" s="113" t="s">
        <v>20</v>
      </c>
      <c r="F2743" s="175" t="s">
        <v>15</v>
      </c>
      <c r="G2743" s="175" t="s">
        <v>57</v>
      </c>
      <c r="H2743" s="176">
        <v>33.799999999999997</v>
      </c>
      <c r="I2743" s="177">
        <v>8.1</v>
      </c>
      <c r="J2743" s="178">
        <f>11+11+8+8+8+8+8+8+8+11+11+11+11+11+11+8+8+8+8+8+1+8+8+12+8+8+8+8+8+8+8+8+8+8+8+2</f>
        <v>303</v>
      </c>
      <c r="K2743" s="174">
        <f t="shared" si="254"/>
        <v>82.955339999999993</v>
      </c>
      <c r="L2743" s="118"/>
      <c r="M2743" s="111">
        <v>303</v>
      </c>
      <c r="N2743" s="117">
        <f t="shared" si="255"/>
        <v>82.955339999999978</v>
      </c>
      <c r="O2743" s="119">
        <f t="shared" si="256"/>
        <v>0</v>
      </c>
      <c r="P2743" s="120">
        <f t="shared" si="257"/>
        <v>0</v>
      </c>
      <c r="Q2743" s="32"/>
      <c r="R2743" s="32"/>
      <c r="S2743" s="32"/>
      <c r="T2743" s="186"/>
      <c r="U2743" s="213"/>
    </row>
    <row r="2744" spans="2:21">
      <c r="B2744" s="110" t="s">
        <v>426</v>
      </c>
      <c r="C2744" s="111" t="s">
        <v>428</v>
      </c>
      <c r="D2744" s="112" t="s">
        <v>228</v>
      </c>
      <c r="E2744" s="113" t="s">
        <v>20</v>
      </c>
      <c r="F2744" s="175" t="s">
        <v>15</v>
      </c>
      <c r="G2744" s="175" t="s">
        <v>57</v>
      </c>
      <c r="H2744" s="176">
        <v>33.799999999999997</v>
      </c>
      <c r="I2744" s="177">
        <v>9.3000000000000007</v>
      </c>
      <c r="J2744" s="178">
        <f>8+2+9+9+8+8+8+8+9+8+8+8+8+8+8+8+2+8</f>
        <v>135</v>
      </c>
      <c r="K2744" s="174">
        <f t="shared" si="254"/>
        <v>42.435899999999997</v>
      </c>
      <c r="L2744" s="118"/>
      <c r="M2744" s="111">
        <v>135</v>
      </c>
      <c r="N2744" s="117">
        <f t="shared" si="255"/>
        <v>42.435899999999997</v>
      </c>
      <c r="O2744" s="119">
        <f t="shared" si="256"/>
        <v>0</v>
      </c>
      <c r="P2744" s="120">
        <f t="shared" si="257"/>
        <v>0</v>
      </c>
      <c r="Q2744" s="32"/>
      <c r="R2744" s="32"/>
      <c r="S2744" s="32"/>
      <c r="T2744" s="186"/>
      <c r="U2744" s="213"/>
    </row>
    <row r="2745" spans="2:21">
      <c r="B2745" s="110" t="s">
        <v>426</v>
      </c>
      <c r="C2745" s="111" t="s">
        <v>428</v>
      </c>
      <c r="D2745" s="112" t="s">
        <v>228</v>
      </c>
      <c r="E2745" s="113" t="s">
        <v>20</v>
      </c>
      <c r="F2745" s="175" t="s">
        <v>15</v>
      </c>
      <c r="G2745" s="175" t="s">
        <v>57</v>
      </c>
      <c r="H2745" s="176">
        <v>33.799999999999997</v>
      </c>
      <c r="I2745" s="177">
        <v>9.1999999999999993</v>
      </c>
      <c r="J2745" s="178">
        <v>1</v>
      </c>
      <c r="K2745" s="174">
        <f t="shared" si="254"/>
        <v>0.3109599999999999</v>
      </c>
      <c r="L2745" s="118"/>
      <c r="M2745" s="111">
        <v>1</v>
      </c>
      <c r="N2745" s="117">
        <f t="shared" si="255"/>
        <v>0.3109599999999999</v>
      </c>
      <c r="O2745" s="119">
        <f t="shared" si="256"/>
        <v>0</v>
      </c>
      <c r="P2745" s="120">
        <f t="shared" si="257"/>
        <v>0</v>
      </c>
      <c r="Q2745" s="32">
        <v>9.3000000000000007</v>
      </c>
      <c r="R2745" s="32">
        <v>1</v>
      </c>
      <c r="S2745" s="32"/>
      <c r="T2745" s="186"/>
      <c r="U2745" s="213"/>
    </row>
    <row r="2746" spans="2:21">
      <c r="B2746" s="110" t="s">
        <v>426</v>
      </c>
      <c r="C2746" s="111" t="s">
        <v>428</v>
      </c>
      <c r="D2746" s="112" t="s">
        <v>228</v>
      </c>
      <c r="E2746" s="113" t="s">
        <v>20</v>
      </c>
      <c r="F2746" s="175" t="s">
        <v>15</v>
      </c>
      <c r="G2746" s="175" t="s">
        <v>57</v>
      </c>
      <c r="H2746" s="176">
        <v>33.799999999999997</v>
      </c>
      <c r="I2746" s="177">
        <v>9.1</v>
      </c>
      <c r="J2746" s="178">
        <v>3</v>
      </c>
      <c r="K2746" s="174">
        <f t="shared" si="254"/>
        <v>0.92274</v>
      </c>
      <c r="L2746" s="118"/>
      <c r="M2746" s="111">
        <v>3</v>
      </c>
      <c r="N2746" s="117">
        <f t="shared" si="255"/>
        <v>0.92273999999999978</v>
      </c>
      <c r="O2746" s="119">
        <f t="shared" si="256"/>
        <v>0</v>
      </c>
      <c r="P2746" s="120">
        <f t="shared" si="257"/>
        <v>0</v>
      </c>
      <c r="Q2746" s="32">
        <v>8.1</v>
      </c>
      <c r="R2746" s="32">
        <v>3</v>
      </c>
      <c r="S2746" s="32"/>
      <c r="T2746" s="186"/>
      <c r="U2746" s="213"/>
    </row>
    <row r="2747" spans="2:21">
      <c r="B2747" s="110" t="s">
        <v>426</v>
      </c>
      <c r="C2747" s="111" t="s">
        <v>428</v>
      </c>
      <c r="D2747" s="112" t="s">
        <v>228</v>
      </c>
      <c r="E2747" s="113" t="s">
        <v>20</v>
      </c>
      <c r="F2747" s="175" t="s">
        <v>15</v>
      </c>
      <c r="G2747" s="175" t="s">
        <v>57</v>
      </c>
      <c r="H2747" s="176">
        <v>33.799999999999997</v>
      </c>
      <c r="I2747" s="177">
        <v>6.4</v>
      </c>
      <c r="J2747" s="178">
        <v>1</v>
      </c>
      <c r="K2747" s="174">
        <f t="shared" si="254"/>
        <v>0.21631999999999998</v>
      </c>
      <c r="L2747" s="118"/>
      <c r="M2747" s="111"/>
      <c r="N2747" s="117">
        <f t="shared" si="255"/>
        <v>0</v>
      </c>
      <c r="O2747" s="145">
        <f t="shared" si="256"/>
        <v>1</v>
      </c>
      <c r="P2747" s="120">
        <f t="shared" si="257"/>
        <v>0.21631999999999998</v>
      </c>
      <c r="Q2747" s="32" t="s">
        <v>453</v>
      </c>
      <c r="R2747" s="32"/>
      <c r="S2747" s="364">
        <f>4.602+0.15</f>
        <v>4.7520000000000007</v>
      </c>
      <c r="T2747" s="187">
        <v>1</v>
      </c>
      <c r="U2747" s="365">
        <f>S2747*T2747*H2747/1000</f>
        <v>0.1606176</v>
      </c>
    </row>
    <row r="2748" spans="2:21">
      <c r="B2748" s="110" t="s">
        <v>426</v>
      </c>
      <c r="C2748" s="111" t="s">
        <v>428</v>
      </c>
      <c r="D2748" s="112" t="s">
        <v>228</v>
      </c>
      <c r="E2748" s="113" t="s">
        <v>20</v>
      </c>
      <c r="F2748" s="175" t="s">
        <v>15</v>
      </c>
      <c r="G2748" s="175" t="s">
        <v>57</v>
      </c>
      <c r="H2748" s="176">
        <v>33.799999999999997</v>
      </c>
      <c r="I2748" s="177">
        <v>9.1</v>
      </c>
      <c r="J2748" s="178">
        <v>6</v>
      </c>
      <c r="K2748" s="174">
        <f t="shared" si="254"/>
        <v>1.84548</v>
      </c>
      <c r="L2748" s="118"/>
      <c r="M2748" s="111">
        <v>6</v>
      </c>
      <c r="N2748" s="117">
        <f t="shared" si="255"/>
        <v>1.8454799999999996</v>
      </c>
      <c r="O2748" s="119">
        <f t="shared" si="256"/>
        <v>0</v>
      </c>
      <c r="P2748" s="120">
        <f t="shared" si="257"/>
        <v>0</v>
      </c>
      <c r="Q2748" s="32">
        <v>8.1</v>
      </c>
      <c r="R2748" s="32">
        <v>6</v>
      </c>
      <c r="S2748" s="32"/>
      <c r="T2748" s="186"/>
      <c r="U2748" s="213"/>
    </row>
    <row r="2749" spans="2:21">
      <c r="B2749" s="110" t="s">
        <v>426</v>
      </c>
      <c r="C2749" s="111" t="s">
        <v>428</v>
      </c>
      <c r="D2749" s="112" t="s">
        <v>228</v>
      </c>
      <c r="E2749" s="113" t="s">
        <v>20</v>
      </c>
      <c r="F2749" s="175" t="s">
        <v>15</v>
      </c>
      <c r="G2749" s="175" t="s">
        <v>57</v>
      </c>
      <c r="H2749" s="176">
        <v>33.799999999999997</v>
      </c>
      <c r="I2749" s="177">
        <v>9</v>
      </c>
      <c r="J2749" s="178">
        <v>2</v>
      </c>
      <c r="K2749" s="174">
        <f t="shared" si="254"/>
        <v>0.60839999999999994</v>
      </c>
      <c r="L2749" s="118"/>
      <c r="M2749" s="111">
        <v>2</v>
      </c>
      <c r="N2749" s="117">
        <f t="shared" si="255"/>
        <v>0.60839999999999994</v>
      </c>
      <c r="O2749" s="119">
        <f t="shared" si="256"/>
        <v>0</v>
      </c>
      <c r="P2749" s="120">
        <f t="shared" si="257"/>
        <v>0</v>
      </c>
      <c r="Q2749" s="32">
        <v>8.1</v>
      </c>
      <c r="R2749" s="32">
        <v>2</v>
      </c>
      <c r="S2749" s="32"/>
      <c r="T2749" s="186"/>
      <c r="U2749" s="213"/>
    </row>
    <row r="2750" spans="2:21">
      <c r="B2750" s="110" t="s">
        <v>426</v>
      </c>
      <c r="C2750" s="111" t="s">
        <v>428</v>
      </c>
      <c r="D2750" s="112" t="s">
        <v>228</v>
      </c>
      <c r="E2750" s="113" t="s">
        <v>20</v>
      </c>
      <c r="F2750" s="175" t="s">
        <v>15</v>
      </c>
      <c r="G2750" s="175" t="s">
        <v>57</v>
      </c>
      <c r="H2750" s="176">
        <v>33.799999999999997</v>
      </c>
      <c r="I2750" s="177">
        <v>8.9</v>
      </c>
      <c r="J2750" s="178">
        <v>2</v>
      </c>
      <c r="K2750" s="174">
        <f t="shared" si="254"/>
        <v>0.60163999999999995</v>
      </c>
      <c r="L2750" s="118"/>
      <c r="M2750" s="111">
        <v>2</v>
      </c>
      <c r="N2750" s="117">
        <f t="shared" si="255"/>
        <v>0.60163999999999995</v>
      </c>
      <c r="O2750" s="119">
        <f t="shared" si="256"/>
        <v>0</v>
      </c>
      <c r="P2750" s="120">
        <f t="shared" si="257"/>
        <v>0</v>
      </c>
      <c r="Q2750" s="32">
        <v>8.1</v>
      </c>
      <c r="R2750" s="32">
        <v>2</v>
      </c>
      <c r="S2750" s="32"/>
      <c r="T2750" s="186"/>
      <c r="U2750" s="213"/>
    </row>
    <row r="2751" spans="2:21">
      <c r="B2751" s="110" t="s">
        <v>426</v>
      </c>
      <c r="C2751" s="111" t="s">
        <v>428</v>
      </c>
      <c r="D2751" s="112" t="s">
        <v>228</v>
      </c>
      <c r="E2751" s="113" t="s">
        <v>20</v>
      </c>
      <c r="F2751" s="175" t="s">
        <v>15</v>
      </c>
      <c r="G2751" s="175" t="s">
        <v>57</v>
      </c>
      <c r="H2751" s="176">
        <v>33.799999999999997</v>
      </c>
      <c r="I2751" s="177">
        <v>7.9</v>
      </c>
      <c r="J2751" s="178">
        <v>2</v>
      </c>
      <c r="K2751" s="174">
        <f t="shared" si="254"/>
        <v>0.53403999999999996</v>
      </c>
      <c r="L2751" s="118"/>
      <c r="M2751" s="111"/>
      <c r="N2751" s="117">
        <f t="shared" si="255"/>
        <v>0</v>
      </c>
      <c r="O2751" s="145">
        <f t="shared" si="256"/>
        <v>2</v>
      </c>
      <c r="P2751" s="120">
        <f t="shared" si="257"/>
        <v>0.53403999999999996</v>
      </c>
      <c r="Q2751" s="32" t="s">
        <v>453</v>
      </c>
      <c r="R2751" s="32"/>
      <c r="S2751" s="364">
        <f t="shared" ref="S2751:S2755" si="260">4.602+0.15</f>
        <v>4.7520000000000007</v>
      </c>
      <c r="T2751" s="187">
        <v>2</v>
      </c>
      <c r="U2751" s="365">
        <f t="shared" ref="U2751:U2754" si="261">S2751*T2751*H2751/1000</f>
        <v>0.3212352</v>
      </c>
    </row>
    <row r="2752" spans="2:21">
      <c r="B2752" s="110" t="s">
        <v>426</v>
      </c>
      <c r="C2752" s="111" t="s">
        <v>428</v>
      </c>
      <c r="D2752" s="112" t="s">
        <v>228</v>
      </c>
      <c r="E2752" s="113" t="s">
        <v>20</v>
      </c>
      <c r="F2752" s="175" t="s">
        <v>15</v>
      </c>
      <c r="G2752" s="175" t="s">
        <v>57</v>
      </c>
      <c r="H2752" s="176">
        <v>33.799999999999997</v>
      </c>
      <c r="I2752" s="177">
        <v>7.5</v>
      </c>
      <c r="J2752" s="178">
        <v>1</v>
      </c>
      <c r="K2752" s="174">
        <f t="shared" si="254"/>
        <v>0.25349999999999995</v>
      </c>
      <c r="L2752" s="118"/>
      <c r="M2752" s="111"/>
      <c r="N2752" s="117">
        <f t="shared" si="255"/>
        <v>0</v>
      </c>
      <c r="O2752" s="145">
        <f t="shared" si="256"/>
        <v>1</v>
      </c>
      <c r="P2752" s="120">
        <f t="shared" si="257"/>
        <v>0.25349999999999995</v>
      </c>
      <c r="Q2752" s="32" t="s">
        <v>453</v>
      </c>
      <c r="R2752" s="32"/>
      <c r="S2752" s="364">
        <f t="shared" si="260"/>
        <v>4.7520000000000007</v>
      </c>
      <c r="T2752" s="187">
        <v>1</v>
      </c>
      <c r="U2752" s="365">
        <f t="shared" si="261"/>
        <v>0.1606176</v>
      </c>
    </row>
    <row r="2753" spans="1:21">
      <c r="B2753" s="110" t="s">
        <v>426</v>
      </c>
      <c r="C2753" s="111" t="s">
        <v>428</v>
      </c>
      <c r="D2753" s="112" t="s">
        <v>228</v>
      </c>
      <c r="E2753" s="113" t="s">
        <v>20</v>
      </c>
      <c r="F2753" s="175" t="s">
        <v>15</v>
      </c>
      <c r="G2753" s="175" t="s">
        <v>57</v>
      </c>
      <c r="H2753" s="176">
        <v>33.799999999999997</v>
      </c>
      <c r="I2753" s="177">
        <v>7.6</v>
      </c>
      <c r="J2753" s="178">
        <v>1</v>
      </c>
      <c r="K2753" s="174">
        <f t="shared" si="254"/>
        <v>0.25687999999999994</v>
      </c>
      <c r="L2753" s="118"/>
      <c r="M2753" s="111"/>
      <c r="N2753" s="117">
        <f t="shared" si="255"/>
        <v>0</v>
      </c>
      <c r="O2753" s="145">
        <f t="shared" si="256"/>
        <v>1</v>
      </c>
      <c r="P2753" s="120">
        <f t="shared" si="257"/>
        <v>0.25687999999999994</v>
      </c>
      <c r="Q2753" s="32" t="s">
        <v>453</v>
      </c>
      <c r="R2753" s="32"/>
      <c r="S2753" s="364">
        <f t="shared" si="260"/>
        <v>4.7520000000000007</v>
      </c>
      <c r="T2753" s="187">
        <v>1</v>
      </c>
      <c r="U2753" s="365">
        <f t="shared" si="261"/>
        <v>0.1606176</v>
      </c>
    </row>
    <row r="2754" spans="1:21">
      <c r="B2754" s="110" t="s">
        <v>426</v>
      </c>
      <c r="C2754" s="111" t="s">
        <v>428</v>
      </c>
      <c r="D2754" s="112" t="s">
        <v>228</v>
      </c>
      <c r="E2754" s="113" t="s">
        <v>20</v>
      </c>
      <c r="F2754" s="175" t="s">
        <v>15</v>
      </c>
      <c r="G2754" s="175" t="s">
        <v>57</v>
      </c>
      <c r="H2754" s="176">
        <v>33.799999999999997</v>
      </c>
      <c r="I2754" s="177">
        <v>7.9</v>
      </c>
      <c r="J2754" s="178">
        <v>5</v>
      </c>
      <c r="K2754" s="174">
        <f>(H2754*I2754*J2754/1000)</f>
        <v>1.3351</v>
      </c>
      <c r="L2754" s="118"/>
      <c r="M2754" s="111"/>
      <c r="N2754" s="117">
        <f t="shared" si="255"/>
        <v>0</v>
      </c>
      <c r="O2754" s="145">
        <f t="shared" si="256"/>
        <v>5</v>
      </c>
      <c r="P2754" s="120">
        <f t="shared" si="257"/>
        <v>1.3351</v>
      </c>
      <c r="Q2754" s="32" t="s">
        <v>453</v>
      </c>
      <c r="R2754" s="32"/>
      <c r="S2754" s="364">
        <f t="shared" si="260"/>
        <v>4.7520000000000007</v>
      </c>
      <c r="T2754" s="187">
        <v>5</v>
      </c>
      <c r="U2754" s="365">
        <f t="shared" si="261"/>
        <v>0.80308800000000002</v>
      </c>
    </row>
    <row r="2755" spans="1:21">
      <c r="B2755" s="110" t="s">
        <v>426</v>
      </c>
      <c r="C2755" s="111" t="s">
        <v>428</v>
      </c>
      <c r="D2755" s="112" t="s">
        <v>228</v>
      </c>
      <c r="E2755" s="113" t="s">
        <v>20</v>
      </c>
      <c r="F2755" s="175" t="s">
        <v>15</v>
      </c>
      <c r="G2755" s="175" t="s">
        <v>57</v>
      </c>
      <c r="H2755" s="176">
        <v>33.799999999999997</v>
      </c>
      <c r="I2755" s="177">
        <v>8</v>
      </c>
      <c r="J2755" s="178">
        <v>3</v>
      </c>
      <c r="K2755" s="174">
        <f>(H2755*I2755*J2755/1000)</f>
        <v>0.81119999999999992</v>
      </c>
      <c r="L2755" s="118"/>
      <c r="M2755" s="111"/>
      <c r="N2755" s="117">
        <f t="shared" si="255"/>
        <v>0</v>
      </c>
      <c r="O2755" s="145">
        <f t="shared" si="256"/>
        <v>3</v>
      </c>
      <c r="P2755" s="120">
        <f t="shared" si="257"/>
        <v>0.81119999999999992</v>
      </c>
      <c r="Q2755" s="32" t="s">
        <v>453</v>
      </c>
      <c r="R2755" s="32"/>
      <c r="S2755" s="364">
        <f t="shared" si="260"/>
        <v>4.7520000000000007</v>
      </c>
      <c r="T2755" s="187">
        <v>3</v>
      </c>
      <c r="U2755" s="365">
        <f>S2755*T2755*H2755/1000</f>
        <v>0.48185280000000003</v>
      </c>
    </row>
    <row r="2756" spans="1:21">
      <c r="B2756" s="213"/>
      <c r="C2756" s="213"/>
      <c r="D2756" s="213"/>
      <c r="E2756" s="213"/>
      <c r="F2756" s="213"/>
      <c r="G2756" s="213"/>
      <c r="H2756" s="213"/>
      <c r="I2756" s="213"/>
      <c r="J2756" s="78">
        <f>SUM(J2730:J2755)</f>
        <v>612</v>
      </c>
      <c r="K2756" s="214">
        <f>SUM(K2730:K2755)</f>
        <v>179.87346000000002</v>
      </c>
      <c r="L2756" s="213"/>
      <c r="M2756" s="78">
        <f>SUM(M2730:M2755)</f>
        <v>621</v>
      </c>
      <c r="N2756" s="214">
        <f>SUM(N2730:N2755)</f>
        <v>183.73341999999997</v>
      </c>
      <c r="O2756" s="78">
        <f>SUM(O2730:O2755)</f>
        <v>-9</v>
      </c>
      <c r="P2756" s="214">
        <f>SUM(P2730:P2755)</f>
        <v>-3.8599600000000014</v>
      </c>
      <c r="Q2756" s="213"/>
      <c r="R2756" s="213"/>
      <c r="S2756" s="213"/>
      <c r="T2756" s="78">
        <f>SUM(T2730:T2755)</f>
        <v>20</v>
      </c>
      <c r="U2756" s="360">
        <f>SUM(U2730:U2755)</f>
        <v>3.2123519999999997</v>
      </c>
    </row>
    <row r="2759" spans="1:21">
      <c r="A2759" s="48" t="s">
        <v>179</v>
      </c>
      <c r="B2759" s="48" t="s">
        <v>180</v>
      </c>
      <c r="C2759" s="32"/>
      <c r="D2759" s="32"/>
      <c r="E2759" s="48" t="s">
        <v>152</v>
      </c>
      <c r="F2759" s="48" t="s">
        <v>15</v>
      </c>
      <c r="G2759" s="48" t="s">
        <v>57</v>
      </c>
      <c r="H2759" s="11">
        <v>33.72</v>
      </c>
      <c r="I2759" s="9">
        <v>8.6</v>
      </c>
      <c r="J2759" s="7">
        <v>1</v>
      </c>
      <c r="K2759" s="10">
        <v>0.28999199999999997</v>
      </c>
      <c r="L2759" s="32" t="s">
        <v>104</v>
      </c>
      <c r="M2759" s="32"/>
      <c r="N2759" s="18">
        <v>0</v>
      </c>
      <c r="O2759" s="106">
        <v>1</v>
      </c>
      <c r="P2759" s="13">
        <v>0.28999199999999997</v>
      </c>
      <c r="Q2759" s="364">
        <v>4.7520000000000007</v>
      </c>
      <c r="R2759" s="91">
        <v>1</v>
      </c>
      <c r="S2759" s="90" t="s">
        <v>454</v>
      </c>
    </row>
    <row r="2760" spans="1:21">
      <c r="A2760" s="48" t="s">
        <v>179</v>
      </c>
      <c r="B2760" s="48" t="s">
        <v>180</v>
      </c>
      <c r="C2760" s="32"/>
      <c r="D2760" s="32"/>
      <c r="E2760" s="48" t="s">
        <v>152</v>
      </c>
      <c r="F2760" s="48" t="s">
        <v>15</v>
      </c>
      <c r="G2760" s="48" t="s">
        <v>57</v>
      </c>
      <c r="H2760" s="11">
        <v>33.72</v>
      </c>
      <c r="I2760" s="9">
        <v>11.4</v>
      </c>
      <c r="J2760" s="7">
        <v>1</v>
      </c>
      <c r="K2760" s="10">
        <v>0.38440800000000003</v>
      </c>
      <c r="L2760" s="32" t="s">
        <v>104</v>
      </c>
      <c r="M2760" s="32"/>
      <c r="N2760" s="18">
        <v>0</v>
      </c>
      <c r="O2760" s="106">
        <v>1</v>
      </c>
      <c r="P2760" s="13">
        <v>0.38440800000000003</v>
      </c>
      <c r="Q2760" s="102">
        <v>9.3000000000000007</v>
      </c>
      <c r="R2760" s="91">
        <v>1</v>
      </c>
      <c r="S2760" s="90" t="s">
        <v>454</v>
      </c>
    </row>
    <row r="2761" spans="1:21">
      <c r="A2761" s="42" t="s">
        <v>78</v>
      </c>
      <c r="B2761" s="3" t="s">
        <v>80</v>
      </c>
      <c r="C2761" s="3">
        <v>6</v>
      </c>
      <c r="D2761" s="1"/>
      <c r="E2761" s="12" t="s">
        <v>20</v>
      </c>
      <c r="F2761" s="7" t="s">
        <v>15</v>
      </c>
      <c r="G2761" s="7" t="s">
        <v>57</v>
      </c>
      <c r="H2761" s="11">
        <v>33.72</v>
      </c>
      <c r="I2761" s="8">
        <v>6</v>
      </c>
      <c r="J2761" s="26">
        <v>2</v>
      </c>
      <c r="K2761" s="10">
        <v>0.40464</v>
      </c>
      <c r="L2761" s="4"/>
      <c r="M2761" s="17"/>
      <c r="N2761" s="18">
        <v>0</v>
      </c>
      <c r="O2761" s="106">
        <v>2</v>
      </c>
      <c r="P2761" s="13">
        <v>0.40464</v>
      </c>
      <c r="Q2761" s="364">
        <v>4.7520000000000007</v>
      </c>
      <c r="R2761" s="90">
        <v>2</v>
      </c>
      <c r="S2761" s="90" t="s">
        <v>454</v>
      </c>
    </row>
    <row r="2762" spans="1:21">
      <c r="A2762" s="45" t="s">
        <v>136</v>
      </c>
      <c r="B2762" s="32" t="s">
        <v>137</v>
      </c>
      <c r="C2762" s="3">
        <v>2</v>
      </c>
      <c r="D2762" s="32"/>
      <c r="E2762" s="20" t="s">
        <v>20</v>
      </c>
      <c r="F2762" s="7" t="s">
        <v>15</v>
      </c>
      <c r="G2762" s="7" t="s">
        <v>57</v>
      </c>
      <c r="H2762" s="11">
        <v>33.72</v>
      </c>
      <c r="I2762" s="55">
        <v>8</v>
      </c>
      <c r="J2762" s="40">
        <v>1</v>
      </c>
      <c r="K2762" s="10">
        <v>0.26976</v>
      </c>
      <c r="L2762" s="4"/>
      <c r="M2762" s="17"/>
      <c r="N2762" s="18">
        <v>0</v>
      </c>
      <c r="O2762" s="106">
        <v>1</v>
      </c>
      <c r="P2762" s="13">
        <v>0.26976</v>
      </c>
      <c r="Q2762" s="364">
        <v>4.7520000000000007</v>
      </c>
      <c r="R2762" s="91">
        <v>1</v>
      </c>
      <c r="S2762" s="90" t="s">
        <v>454</v>
      </c>
    </row>
    <row r="2763" spans="1:21">
      <c r="A2763" s="45" t="s">
        <v>136</v>
      </c>
      <c r="B2763" s="32" t="s">
        <v>137</v>
      </c>
      <c r="C2763" s="3">
        <v>11</v>
      </c>
      <c r="D2763" s="32"/>
      <c r="E2763" s="20" t="s">
        <v>141</v>
      </c>
      <c r="F2763" s="7" t="s">
        <v>15</v>
      </c>
      <c r="G2763" s="7" t="s">
        <v>57</v>
      </c>
      <c r="H2763" s="11">
        <v>33.72</v>
      </c>
      <c r="I2763" s="55">
        <v>7</v>
      </c>
      <c r="J2763" s="40">
        <v>2</v>
      </c>
      <c r="K2763" s="10">
        <v>0.47208</v>
      </c>
      <c r="L2763" s="4"/>
      <c r="M2763" s="17"/>
      <c r="N2763" s="18">
        <v>0</v>
      </c>
      <c r="O2763" s="106">
        <v>2</v>
      </c>
      <c r="P2763" s="13">
        <v>0.47208</v>
      </c>
      <c r="Q2763" s="364">
        <v>4.7520000000000007</v>
      </c>
      <c r="R2763" s="91">
        <v>2</v>
      </c>
      <c r="S2763" s="90" t="s">
        <v>454</v>
      </c>
    </row>
    <row r="2764" spans="1:21">
      <c r="A2764" s="45" t="s">
        <v>136</v>
      </c>
      <c r="B2764" s="32" t="s">
        <v>137</v>
      </c>
      <c r="C2764" s="3">
        <v>14</v>
      </c>
      <c r="D2764" s="32"/>
      <c r="E2764" s="20" t="s">
        <v>141</v>
      </c>
      <c r="F2764" s="7" t="s">
        <v>15</v>
      </c>
      <c r="G2764" s="7" t="s">
        <v>57</v>
      </c>
      <c r="H2764" s="11">
        <v>33.72</v>
      </c>
      <c r="I2764" s="55">
        <v>7</v>
      </c>
      <c r="J2764" s="40">
        <v>3</v>
      </c>
      <c r="K2764" s="10">
        <v>0.70811999999999997</v>
      </c>
      <c r="L2764" s="4"/>
      <c r="M2764" s="17"/>
      <c r="N2764" s="18">
        <v>0</v>
      </c>
      <c r="O2764" s="106">
        <v>3</v>
      </c>
      <c r="P2764" s="13">
        <v>0.70811999999999997</v>
      </c>
      <c r="Q2764" s="364">
        <v>4.7520000000000007</v>
      </c>
      <c r="R2764" s="91">
        <v>3</v>
      </c>
      <c r="S2764" s="90" t="s">
        <v>454</v>
      </c>
    </row>
    <row r="2765" spans="1:21">
      <c r="A2765" s="45" t="s">
        <v>136</v>
      </c>
      <c r="B2765" s="32" t="s">
        <v>137</v>
      </c>
      <c r="C2765" s="3">
        <v>15</v>
      </c>
      <c r="D2765" s="32"/>
      <c r="E2765" s="20" t="s">
        <v>89</v>
      </c>
      <c r="F2765" s="7" t="s">
        <v>15</v>
      </c>
      <c r="G2765" s="7" t="s">
        <v>57</v>
      </c>
      <c r="H2765" s="11">
        <v>33.72</v>
      </c>
      <c r="I2765" s="55">
        <v>6.3</v>
      </c>
      <c r="J2765" s="40">
        <v>7</v>
      </c>
      <c r="K2765" s="10">
        <v>1.4870519999999998</v>
      </c>
      <c r="L2765" s="4"/>
      <c r="M2765" s="17"/>
      <c r="N2765" s="18">
        <v>0</v>
      </c>
      <c r="O2765" s="106">
        <v>7</v>
      </c>
      <c r="P2765" s="13">
        <v>1.4870519999999998</v>
      </c>
      <c r="Q2765" s="364">
        <v>4.7520000000000007</v>
      </c>
      <c r="R2765" s="91">
        <v>7</v>
      </c>
      <c r="S2765" s="90" t="s">
        <v>454</v>
      </c>
    </row>
    <row r="2766" spans="1:21">
      <c r="A2766" s="45" t="s">
        <v>136</v>
      </c>
      <c r="B2766" s="32" t="s">
        <v>137</v>
      </c>
      <c r="C2766" s="3">
        <v>30</v>
      </c>
      <c r="D2766" s="32"/>
      <c r="E2766" s="20" t="s">
        <v>20</v>
      </c>
      <c r="F2766" s="7" t="s">
        <v>15</v>
      </c>
      <c r="G2766" s="7" t="s">
        <v>57</v>
      </c>
      <c r="H2766" s="11">
        <v>33.72</v>
      </c>
      <c r="I2766" s="55">
        <v>6.4</v>
      </c>
      <c r="J2766" s="40">
        <v>1</v>
      </c>
      <c r="K2766" s="10">
        <v>0.215808</v>
      </c>
      <c r="L2766" s="4"/>
      <c r="M2766" s="17"/>
      <c r="N2766" s="18">
        <v>0</v>
      </c>
      <c r="O2766" s="106">
        <v>1</v>
      </c>
      <c r="P2766" s="13">
        <v>0.215808</v>
      </c>
      <c r="Q2766" s="364">
        <v>4.7520000000000007</v>
      </c>
      <c r="R2766" s="91">
        <v>1</v>
      </c>
      <c r="S2766" s="90" t="s">
        <v>454</v>
      </c>
    </row>
    <row r="2767" spans="1:21">
      <c r="A2767" s="45" t="s">
        <v>136</v>
      </c>
      <c r="B2767" s="32" t="s">
        <v>137</v>
      </c>
      <c r="C2767" s="3">
        <v>30</v>
      </c>
      <c r="D2767" s="32"/>
      <c r="E2767" s="20" t="s">
        <v>20</v>
      </c>
      <c r="F2767" s="7" t="s">
        <v>15</v>
      </c>
      <c r="G2767" s="7" t="s">
        <v>57</v>
      </c>
      <c r="H2767" s="11">
        <v>33.72</v>
      </c>
      <c r="I2767" s="55">
        <v>7</v>
      </c>
      <c r="J2767" s="40">
        <v>3</v>
      </c>
      <c r="K2767" s="10">
        <v>0.70811999999999997</v>
      </c>
      <c r="L2767" s="4"/>
      <c r="M2767" s="17"/>
      <c r="N2767" s="18">
        <v>0</v>
      </c>
      <c r="O2767" s="106">
        <v>3</v>
      </c>
      <c r="P2767" s="13">
        <v>0.70811999999999997</v>
      </c>
      <c r="Q2767" s="364">
        <v>4.7520000000000007</v>
      </c>
      <c r="R2767" s="91">
        <v>3</v>
      </c>
      <c r="S2767" s="90" t="s">
        <v>454</v>
      </c>
    </row>
    <row r="2768" spans="1:21">
      <c r="A2768" s="45" t="s">
        <v>136</v>
      </c>
      <c r="B2768" s="32" t="s">
        <v>137</v>
      </c>
      <c r="C2768" s="3">
        <v>34</v>
      </c>
      <c r="D2768" s="32"/>
      <c r="E2768" s="20" t="s">
        <v>20</v>
      </c>
      <c r="F2768" s="7" t="s">
        <v>15</v>
      </c>
      <c r="G2768" s="7" t="s">
        <v>57</v>
      </c>
      <c r="H2768" s="11">
        <v>33.72</v>
      </c>
      <c r="I2768" s="55">
        <v>5</v>
      </c>
      <c r="J2768" s="40">
        <v>1</v>
      </c>
      <c r="K2768" s="10">
        <v>0.1686</v>
      </c>
      <c r="L2768" s="4"/>
      <c r="M2768" s="17"/>
      <c r="N2768" s="18">
        <v>0</v>
      </c>
      <c r="O2768" s="106">
        <v>1</v>
      </c>
      <c r="P2768" s="13">
        <v>0.1686</v>
      </c>
      <c r="Q2768" s="364">
        <v>4.7520000000000007</v>
      </c>
      <c r="R2768" s="91">
        <v>1</v>
      </c>
      <c r="S2768" s="90" t="s">
        <v>454</v>
      </c>
    </row>
    <row r="2769" spans="1:19">
      <c r="A2769" s="45" t="s">
        <v>136</v>
      </c>
      <c r="B2769" s="32" t="s">
        <v>137</v>
      </c>
      <c r="C2769" s="3">
        <v>34</v>
      </c>
      <c r="D2769" s="32"/>
      <c r="E2769" s="20" t="s">
        <v>20</v>
      </c>
      <c r="F2769" s="7" t="s">
        <v>15</v>
      </c>
      <c r="G2769" s="7" t="s">
        <v>57</v>
      </c>
      <c r="H2769" s="11">
        <v>33.72</v>
      </c>
      <c r="I2769" s="55">
        <v>6.7</v>
      </c>
      <c r="J2769" s="40">
        <v>2</v>
      </c>
      <c r="K2769" s="10">
        <v>0.45184800000000003</v>
      </c>
      <c r="L2769" s="4"/>
      <c r="M2769" s="17"/>
      <c r="N2769" s="18">
        <v>0</v>
      </c>
      <c r="O2769" s="106">
        <v>2</v>
      </c>
      <c r="P2769" s="13">
        <v>0.45184800000000003</v>
      </c>
      <c r="Q2769" s="364">
        <v>4.7520000000000007</v>
      </c>
      <c r="R2769" s="91">
        <v>2</v>
      </c>
      <c r="S2769" s="90" t="s">
        <v>454</v>
      </c>
    </row>
    <row r="2770" spans="1:19">
      <c r="A2770" s="45" t="s">
        <v>136</v>
      </c>
      <c r="B2770" s="32" t="s">
        <v>137</v>
      </c>
      <c r="C2770" s="3">
        <v>40</v>
      </c>
      <c r="D2770" s="32"/>
      <c r="E2770" s="20" t="s">
        <v>20</v>
      </c>
      <c r="F2770" s="7" t="s">
        <v>15</v>
      </c>
      <c r="G2770" s="7" t="s">
        <v>57</v>
      </c>
      <c r="H2770" s="11">
        <v>33.72</v>
      </c>
      <c r="I2770" s="55">
        <v>7</v>
      </c>
      <c r="J2770" s="40">
        <v>1</v>
      </c>
      <c r="K2770" s="10">
        <v>0.23604</v>
      </c>
      <c r="L2770" s="4"/>
      <c r="M2770" s="17"/>
      <c r="N2770" s="18">
        <v>0</v>
      </c>
      <c r="O2770" s="106">
        <v>1</v>
      </c>
      <c r="P2770" s="13">
        <v>0.23604</v>
      </c>
      <c r="Q2770" s="364">
        <v>4.7520000000000007</v>
      </c>
      <c r="R2770" s="91">
        <v>1</v>
      </c>
      <c r="S2770" s="90" t="s">
        <v>454</v>
      </c>
    </row>
    <row r="2771" spans="1:19">
      <c r="A2771" s="45" t="s">
        <v>136</v>
      </c>
      <c r="B2771" s="32" t="s">
        <v>137</v>
      </c>
      <c r="C2771" s="3">
        <v>40</v>
      </c>
      <c r="D2771" s="32"/>
      <c r="E2771" s="20" t="s">
        <v>20</v>
      </c>
      <c r="F2771" s="7" t="s">
        <v>15</v>
      </c>
      <c r="G2771" s="7" t="s">
        <v>57</v>
      </c>
      <c r="H2771" s="11">
        <v>33.72</v>
      </c>
      <c r="I2771" s="55">
        <v>7.5</v>
      </c>
      <c r="J2771" s="40">
        <v>1</v>
      </c>
      <c r="K2771" s="10">
        <v>0.25289999999999996</v>
      </c>
      <c r="L2771" s="4"/>
      <c r="M2771" s="17"/>
      <c r="N2771" s="18">
        <v>0</v>
      </c>
      <c r="O2771" s="106">
        <v>1</v>
      </c>
      <c r="P2771" s="13">
        <v>0.25289999999999996</v>
      </c>
      <c r="Q2771" s="364">
        <v>4.7520000000000007</v>
      </c>
      <c r="R2771" s="91">
        <v>1</v>
      </c>
      <c r="S2771" s="90" t="s">
        <v>454</v>
      </c>
    </row>
    <row r="2772" spans="1:19">
      <c r="A2772" s="45" t="s">
        <v>136</v>
      </c>
      <c r="B2772" s="32" t="s">
        <v>137</v>
      </c>
      <c r="C2772" s="3">
        <v>77</v>
      </c>
      <c r="D2772" s="32"/>
      <c r="E2772" s="20" t="s">
        <v>20</v>
      </c>
      <c r="F2772" s="7" t="s">
        <v>15</v>
      </c>
      <c r="G2772" s="7" t="s">
        <v>57</v>
      </c>
      <c r="H2772" s="11">
        <v>33.72</v>
      </c>
      <c r="I2772" s="55">
        <v>5.7</v>
      </c>
      <c r="J2772" s="40">
        <v>1</v>
      </c>
      <c r="K2772" s="10">
        <v>0.19220400000000001</v>
      </c>
      <c r="L2772" s="4"/>
      <c r="M2772" s="17"/>
      <c r="N2772" s="18">
        <v>0</v>
      </c>
      <c r="O2772" s="106">
        <v>1</v>
      </c>
      <c r="P2772" s="13">
        <v>0.19220400000000001</v>
      </c>
      <c r="Q2772" s="364">
        <v>4.7520000000000007</v>
      </c>
      <c r="R2772" s="91">
        <v>1</v>
      </c>
      <c r="S2772" s="90" t="s">
        <v>454</v>
      </c>
    </row>
    <row r="2773" spans="1:19">
      <c r="A2773" s="45" t="s">
        <v>136</v>
      </c>
      <c r="B2773" s="32" t="s">
        <v>137</v>
      </c>
      <c r="C2773" s="3">
        <v>77</v>
      </c>
      <c r="D2773" s="32"/>
      <c r="E2773" s="20" t="s">
        <v>20</v>
      </c>
      <c r="F2773" s="7" t="s">
        <v>15</v>
      </c>
      <c r="G2773" s="7" t="s">
        <v>57</v>
      </c>
      <c r="H2773" s="11">
        <v>33.72</v>
      </c>
      <c r="I2773" s="55">
        <v>6</v>
      </c>
      <c r="J2773" s="40">
        <v>1</v>
      </c>
      <c r="K2773" s="10">
        <v>0.20232</v>
      </c>
      <c r="L2773" s="4"/>
      <c r="M2773" s="17"/>
      <c r="N2773" s="18">
        <v>0</v>
      </c>
      <c r="O2773" s="106">
        <v>1</v>
      </c>
      <c r="P2773" s="13">
        <v>0.20232</v>
      </c>
      <c r="Q2773" s="364">
        <v>4.7520000000000007</v>
      </c>
      <c r="R2773" s="91">
        <v>1</v>
      </c>
      <c r="S2773" s="90" t="s">
        <v>454</v>
      </c>
    </row>
    <row r="2774" spans="1:19">
      <c r="A2774" s="45" t="s">
        <v>136</v>
      </c>
      <c r="B2774" s="32" t="s">
        <v>137</v>
      </c>
      <c r="C2774" s="3">
        <v>86</v>
      </c>
      <c r="D2774" s="32"/>
      <c r="E2774" s="20" t="s">
        <v>20</v>
      </c>
      <c r="F2774" s="7" t="s">
        <v>15</v>
      </c>
      <c r="G2774" s="7" t="s">
        <v>57</v>
      </c>
      <c r="H2774" s="11">
        <v>33.72</v>
      </c>
      <c r="I2774" s="55">
        <v>6.3</v>
      </c>
      <c r="J2774" s="40">
        <v>1</v>
      </c>
      <c r="K2774" s="10">
        <v>0.21243599999999999</v>
      </c>
      <c r="L2774" s="4"/>
      <c r="M2774" s="17"/>
      <c r="N2774" s="18">
        <v>0</v>
      </c>
      <c r="O2774" s="106">
        <v>1</v>
      </c>
      <c r="P2774" s="13">
        <v>0.21243599999999999</v>
      </c>
      <c r="Q2774" s="364">
        <v>4.7520000000000007</v>
      </c>
      <c r="R2774" s="91">
        <v>1</v>
      </c>
      <c r="S2774" s="90" t="s">
        <v>454</v>
      </c>
    </row>
    <row r="2775" spans="1:19">
      <c r="A2775" s="45" t="s">
        <v>136</v>
      </c>
      <c r="B2775" s="48" t="s">
        <v>171</v>
      </c>
      <c r="C2775" s="32">
        <v>118</v>
      </c>
      <c r="D2775" s="32"/>
      <c r="E2775" s="48" t="s">
        <v>20</v>
      </c>
      <c r="F2775" s="48" t="s">
        <v>15</v>
      </c>
      <c r="G2775" s="48" t="s">
        <v>57</v>
      </c>
      <c r="H2775" s="11">
        <v>33.72</v>
      </c>
      <c r="I2775" s="52">
        <v>8.6999999999999993</v>
      </c>
      <c r="J2775" s="7">
        <v>1</v>
      </c>
      <c r="K2775" s="10">
        <v>0.29336399999999996</v>
      </c>
      <c r="L2775" s="32"/>
      <c r="M2775" s="32"/>
      <c r="N2775" s="18">
        <v>0</v>
      </c>
      <c r="O2775" s="106">
        <v>1</v>
      </c>
      <c r="P2775" s="13">
        <v>0.29336399999999996</v>
      </c>
      <c r="Q2775" s="364">
        <v>4.7520000000000007</v>
      </c>
      <c r="R2775" s="91">
        <v>1</v>
      </c>
      <c r="S2775" s="90" t="s">
        <v>454</v>
      </c>
    </row>
    <row r="2776" spans="1:19">
      <c r="A2776" s="45" t="s">
        <v>136</v>
      </c>
      <c r="B2776" s="48" t="s">
        <v>171</v>
      </c>
      <c r="C2776" s="32">
        <v>118</v>
      </c>
      <c r="D2776" s="32"/>
      <c r="E2776" s="48" t="s">
        <v>20</v>
      </c>
      <c r="F2776" s="48" t="s">
        <v>15</v>
      </c>
      <c r="G2776" s="48" t="s">
        <v>57</v>
      </c>
      <c r="H2776" s="11">
        <v>33.72</v>
      </c>
      <c r="I2776" s="8">
        <v>7.2</v>
      </c>
      <c r="J2776" s="7">
        <v>1</v>
      </c>
      <c r="K2776" s="10">
        <v>0.242784</v>
      </c>
      <c r="L2776" s="32"/>
      <c r="M2776" s="32"/>
      <c r="N2776" s="18">
        <v>0</v>
      </c>
      <c r="O2776" s="106">
        <v>1</v>
      </c>
      <c r="P2776" s="13">
        <v>0.242784</v>
      </c>
      <c r="Q2776" s="364">
        <v>4.7520000000000007</v>
      </c>
      <c r="R2776" s="91">
        <v>1</v>
      </c>
      <c r="S2776" s="90" t="s">
        <v>454</v>
      </c>
    </row>
    <row r="2777" spans="1:19">
      <c r="R2777" s="76">
        <f>SUM(R2759:R2776)</f>
        <v>31</v>
      </c>
    </row>
    <row r="2781" spans="1:19">
      <c r="A2781" s="42" t="s">
        <v>77</v>
      </c>
      <c r="B2781" s="3" t="s">
        <v>68</v>
      </c>
      <c r="C2781" s="3">
        <v>187</v>
      </c>
      <c r="D2781" s="1"/>
      <c r="E2781" s="12" t="s">
        <v>20</v>
      </c>
      <c r="F2781" s="7" t="s">
        <v>15</v>
      </c>
      <c r="G2781" s="7" t="s">
        <v>54</v>
      </c>
      <c r="H2781" s="11">
        <v>31.6</v>
      </c>
      <c r="I2781" s="8">
        <v>10</v>
      </c>
      <c r="J2781" s="26">
        <v>1</v>
      </c>
      <c r="K2781" s="10">
        <v>0.316</v>
      </c>
      <c r="L2781" s="4"/>
      <c r="M2781" s="17"/>
      <c r="N2781" s="18">
        <v>0</v>
      </c>
      <c r="O2781" s="106">
        <v>1</v>
      </c>
      <c r="P2781" s="13">
        <v>0.316</v>
      </c>
      <c r="Q2781" s="79">
        <v>8.14</v>
      </c>
      <c r="R2781" s="74">
        <v>1</v>
      </c>
      <c r="S2781" s="72" t="s">
        <v>462</v>
      </c>
    </row>
    <row r="2782" spans="1:19">
      <c r="A2782" s="42" t="s">
        <v>77</v>
      </c>
      <c r="B2782" s="3" t="s">
        <v>68</v>
      </c>
      <c r="C2782" s="3">
        <v>255</v>
      </c>
      <c r="D2782" s="1"/>
      <c r="E2782" s="12" t="s">
        <v>20</v>
      </c>
      <c r="F2782" s="7" t="s">
        <v>15</v>
      </c>
      <c r="G2782" s="7" t="s">
        <v>54</v>
      </c>
      <c r="H2782" s="11">
        <v>31.6</v>
      </c>
      <c r="I2782" s="8">
        <v>4</v>
      </c>
      <c r="J2782" s="26">
        <v>1</v>
      </c>
      <c r="K2782" s="10">
        <v>0.12640000000000001</v>
      </c>
      <c r="L2782" s="4"/>
      <c r="M2782" s="17"/>
      <c r="N2782" s="18">
        <v>0</v>
      </c>
      <c r="O2782" s="19">
        <v>1</v>
      </c>
      <c r="P2782" s="13">
        <v>0.12640000000000001</v>
      </c>
      <c r="Q2782" s="9"/>
      <c r="R2782" s="2"/>
      <c r="S2782" s="2"/>
    </row>
    <row r="2783" spans="1:19">
      <c r="A2783" s="44" t="s">
        <v>78</v>
      </c>
      <c r="B2783" s="3" t="s">
        <v>80</v>
      </c>
      <c r="C2783" s="3">
        <v>14</v>
      </c>
      <c r="D2783" s="1"/>
      <c r="E2783" s="20" t="s">
        <v>20</v>
      </c>
      <c r="F2783" s="7" t="s">
        <v>15</v>
      </c>
      <c r="G2783" s="7" t="s">
        <v>54</v>
      </c>
      <c r="H2783" s="11">
        <v>31.6</v>
      </c>
      <c r="I2783" s="8">
        <v>4.5</v>
      </c>
      <c r="J2783" s="26">
        <v>1</v>
      </c>
      <c r="K2783" s="10">
        <v>0.14220000000000002</v>
      </c>
      <c r="L2783" s="4"/>
      <c r="M2783" s="17"/>
      <c r="N2783" s="18">
        <v>0</v>
      </c>
      <c r="O2783" s="106">
        <v>1</v>
      </c>
      <c r="P2783" s="13">
        <v>0.14220000000000002</v>
      </c>
      <c r="Q2783" s="73">
        <v>4.1449999999999996</v>
      </c>
      <c r="R2783" s="72">
        <v>1</v>
      </c>
      <c r="S2783" s="72" t="s">
        <v>462</v>
      </c>
    </row>
    <row r="2784" spans="1:19">
      <c r="A2784" s="44" t="s">
        <v>78</v>
      </c>
      <c r="B2784" s="32" t="s">
        <v>80</v>
      </c>
      <c r="C2784" s="3">
        <v>1</v>
      </c>
      <c r="D2784" s="32"/>
      <c r="E2784" s="20" t="s">
        <v>74</v>
      </c>
      <c r="F2784" s="7" t="s">
        <v>15</v>
      </c>
      <c r="G2784" s="7" t="s">
        <v>54</v>
      </c>
      <c r="H2784" s="11">
        <v>31.6</v>
      </c>
      <c r="I2784" s="55">
        <v>11.9</v>
      </c>
      <c r="J2784" s="40">
        <v>1</v>
      </c>
      <c r="K2784" s="10">
        <v>0.37604000000000004</v>
      </c>
      <c r="L2784" s="4"/>
      <c r="M2784" s="17"/>
      <c r="N2784" s="18">
        <v>0</v>
      </c>
      <c r="O2784" s="106">
        <v>1</v>
      </c>
      <c r="P2784" s="13">
        <v>0.37604000000000004</v>
      </c>
      <c r="Q2784" s="79">
        <v>10.1</v>
      </c>
      <c r="R2784" s="72">
        <v>1</v>
      </c>
      <c r="S2784" s="74" t="s">
        <v>464</v>
      </c>
    </row>
    <row r="2785" spans="1:19">
      <c r="A2785" s="45" t="s">
        <v>136</v>
      </c>
      <c r="B2785" s="32" t="s">
        <v>137</v>
      </c>
      <c r="C2785" s="3">
        <v>10</v>
      </c>
      <c r="D2785" s="32"/>
      <c r="E2785" s="39" t="s">
        <v>17</v>
      </c>
      <c r="F2785" s="7" t="s">
        <v>15</v>
      </c>
      <c r="G2785" s="7" t="s">
        <v>54</v>
      </c>
      <c r="H2785" s="11">
        <v>31.6</v>
      </c>
      <c r="I2785" s="55">
        <v>5.8</v>
      </c>
      <c r="J2785" s="40">
        <v>1</v>
      </c>
      <c r="K2785" s="10">
        <v>0.18328</v>
      </c>
      <c r="L2785" s="4"/>
      <c r="M2785" s="17"/>
      <c r="N2785" s="18">
        <v>0</v>
      </c>
      <c r="O2785" s="106">
        <v>1</v>
      </c>
      <c r="P2785" s="13">
        <v>0.18328</v>
      </c>
      <c r="Q2785" s="73">
        <v>4.1449999999999996</v>
      </c>
      <c r="R2785" s="72">
        <v>1</v>
      </c>
      <c r="S2785" s="72" t="s">
        <v>462</v>
      </c>
    </row>
    <row r="2786" spans="1:19">
      <c r="A2786" s="45" t="s">
        <v>136</v>
      </c>
      <c r="B2786" s="32" t="s">
        <v>137</v>
      </c>
      <c r="C2786" s="3">
        <v>19</v>
      </c>
      <c r="D2786" s="32"/>
      <c r="E2786" s="20" t="s">
        <v>20</v>
      </c>
      <c r="F2786" s="7" t="s">
        <v>15</v>
      </c>
      <c r="G2786" s="7" t="s">
        <v>54</v>
      </c>
      <c r="H2786" s="11">
        <v>31.6</v>
      </c>
      <c r="I2786" s="55">
        <v>11.4</v>
      </c>
      <c r="J2786" s="40">
        <v>1</v>
      </c>
      <c r="K2786" s="10">
        <v>0.36024</v>
      </c>
      <c r="L2786" s="4"/>
      <c r="M2786" s="17"/>
      <c r="N2786" s="18">
        <v>0</v>
      </c>
      <c r="O2786" s="106">
        <v>1</v>
      </c>
      <c r="P2786" s="13">
        <v>0.36024</v>
      </c>
      <c r="Q2786" s="79">
        <v>10.1</v>
      </c>
      <c r="R2786" s="72">
        <v>1</v>
      </c>
      <c r="S2786" s="74" t="s">
        <v>464</v>
      </c>
    </row>
    <row r="2787" spans="1:19">
      <c r="A2787" s="45" t="s">
        <v>136</v>
      </c>
      <c r="B2787" s="32" t="s">
        <v>137</v>
      </c>
      <c r="C2787" s="3">
        <v>61</v>
      </c>
      <c r="D2787" s="32"/>
      <c r="E2787" s="20" t="s">
        <v>20</v>
      </c>
      <c r="F2787" s="7" t="s">
        <v>15</v>
      </c>
      <c r="G2787" s="7" t="s">
        <v>54</v>
      </c>
      <c r="H2787" s="11">
        <v>31.6</v>
      </c>
      <c r="I2787" s="55">
        <v>8.1</v>
      </c>
      <c r="J2787" s="40">
        <v>1</v>
      </c>
      <c r="K2787" s="10">
        <v>0.25596000000000002</v>
      </c>
      <c r="L2787" s="4"/>
      <c r="M2787" s="17"/>
      <c r="N2787" s="18">
        <v>0</v>
      </c>
      <c r="O2787" s="106">
        <v>1</v>
      </c>
      <c r="P2787" s="13">
        <v>0.25596000000000002</v>
      </c>
      <c r="Q2787" s="79">
        <v>8.14</v>
      </c>
      <c r="R2787" s="72">
        <v>1</v>
      </c>
      <c r="S2787" s="72" t="s">
        <v>462</v>
      </c>
    </row>
    <row r="2788" spans="1:19">
      <c r="A2788" s="45" t="s">
        <v>136</v>
      </c>
      <c r="B2788" s="32" t="s">
        <v>137</v>
      </c>
      <c r="C2788" s="3">
        <v>61</v>
      </c>
      <c r="D2788" s="32"/>
      <c r="E2788" s="20" t="s">
        <v>20</v>
      </c>
      <c r="F2788" s="7" t="s">
        <v>15</v>
      </c>
      <c r="G2788" s="7" t="s">
        <v>54</v>
      </c>
      <c r="H2788" s="11">
        <v>31.6</v>
      </c>
      <c r="I2788" s="55">
        <v>11.8</v>
      </c>
      <c r="J2788" s="40">
        <v>1</v>
      </c>
      <c r="K2788" s="10">
        <v>0.37288000000000004</v>
      </c>
      <c r="L2788" s="4"/>
      <c r="M2788" s="17"/>
      <c r="N2788" s="18">
        <v>0</v>
      </c>
      <c r="O2788" s="106">
        <v>1</v>
      </c>
      <c r="P2788" s="13">
        <v>0.37288000000000004</v>
      </c>
      <c r="Q2788" s="79">
        <v>10.1</v>
      </c>
      <c r="R2788" s="72">
        <v>1</v>
      </c>
      <c r="S2788" s="74" t="s">
        <v>464</v>
      </c>
    </row>
    <row r="2789" spans="1:19">
      <c r="A2789" s="45" t="s">
        <v>136</v>
      </c>
      <c r="B2789" s="32" t="s">
        <v>137</v>
      </c>
      <c r="C2789" s="3">
        <v>86</v>
      </c>
      <c r="D2789" s="32"/>
      <c r="E2789" s="20" t="s">
        <v>20</v>
      </c>
      <c r="F2789" s="7" t="s">
        <v>15</v>
      </c>
      <c r="G2789" s="7" t="s">
        <v>54</v>
      </c>
      <c r="H2789" s="11">
        <v>31.6</v>
      </c>
      <c r="I2789" s="55">
        <v>7</v>
      </c>
      <c r="J2789" s="40">
        <v>1</v>
      </c>
      <c r="K2789" s="10">
        <v>0.22120000000000001</v>
      </c>
      <c r="L2789" s="4"/>
      <c r="M2789" s="17"/>
      <c r="N2789" s="18">
        <v>0</v>
      </c>
      <c r="O2789" s="106">
        <v>1</v>
      </c>
      <c r="P2789" s="13">
        <v>0.22120000000000001</v>
      </c>
      <c r="Q2789" s="79">
        <v>6.1449999999999996</v>
      </c>
      <c r="R2789" s="72">
        <v>1</v>
      </c>
      <c r="S2789" s="72" t="s">
        <v>462</v>
      </c>
    </row>
    <row r="2790" spans="1:19">
      <c r="A2790" s="45" t="s">
        <v>136</v>
      </c>
      <c r="B2790" s="32" t="s">
        <v>137</v>
      </c>
      <c r="C2790" s="3">
        <v>94</v>
      </c>
      <c r="D2790" s="32"/>
      <c r="E2790" s="20" t="s">
        <v>20</v>
      </c>
      <c r="F2790" s="7" t="s">
        <v>15</v>
      </c>
      <c r="G2790" s="7" t="s">
        <v>146</v>
      </c>
      <c r="H2790" s="32">
        <v>32.6</v>
      </c>
      <c r="I2790" s="33">
        <v>9</v>
      </c>
      <c r="J2790" s="41">
        <v>3</v>
      </c>
      <c r="K2790" s="10">
        <v>0.88020000000000009</v>
      </c>
      <c r="L2790" s="4"/>
      <c r="M2790" s="17"/>
      <c r="N2790" s="18">
        <v>0</v>
      </c>
      <c r="O2790" s="19">
        <v>3</v>
      </c>
      <c r="P2790" s="13">
        <v>0.88020000000000009</v>
      </c>
      <c r="Q2790" s="55"/>
      <c r="R2790" s="32"/>
      <c r="S2790" s="32"/>
    </row>
    <row r="2791" spans="1:19">
      <c r="A2791" s="45" t="s">
        <v>136</v>
      </c>
      <c r="B2791" s="32" t="s">
        <v>137</v>
      </c>
      <c r="C2791" s="3">
        <v>94</v>
      </c>
      <c r="D2791" s="32"/>
      <c r="E2791" s="20" t="s">
        <v>20</v>
      </c>
      <c r="F2791" s="7" t="s">
        <v>15</v>
      </c>
      <c r="G2791" s="7" t="s">
        <v>146</v>
      </c>
      <c r="H2791" s="32">
        <v>32.6</v>
      </c>
      <c r="I2791" s="33">
        <v>9.6999999999999993</v>
      </c>
      <c r="J2791" s="41">
        <v>1</v>
      </c>
      <c r="K2791" s="10">
        <v>0.31621999999999995</v>
      </c>
      <c r="L2791" s="4"/>
      <c r="M2791" s="17"/>
      <c r="N2791" s="18">
        <v>0</v>
      </c>
      <c r="O2791" s="19">
        <v>1</v>
      </c>
      <c r="P2791" s="13">
        <v>0.31621999999999995</v>
      </c>
      <c r="Q2791" s="55"/>
      <c r="R2791" s="32"/>
      <c r="S2791" s="32"/>
    </row>
    <row r="2792" spans="1:19">
      <c r="A2792" s="45" t="s">
        <v>136</v>
      </c>
      <c r="B2792" s="32" t="s">
        <v>137</v>
      </c>
      <c r="C2792" s="32">
        <v>100</v>
      </c>
      <c r="D2792" s="32"/>
      <c r="E2792" s="20" t="s">
        <v>20</v>
      </c>
      <c r="F2792" s="7" t="s">
        <v>15</v>
      </c>
      <c r="G2792" s="7" t="s">
        <v>146</v>
      </c>
      <c r="H2792" s="32">
        <v>32.6</v>
      </c>
      <c r="I2792" s="55">
        <v>8.1</v>
      </c>
      <c r="J2792" s="41">
        <v>3</v>
      </c>
      <c r="K2792" s="10">
        <v>0.79218000000000011</v>
      </c>
      <c r="L2792" s="4"/>
      <c r="M2792" s="17"/>
      <c r="N2792" s="18">
        <v>0</v>
      </c>
      <c r="O2792" s="106">
        <v>3</v>
      </c>
      <c r="P2792" s="13">
        <v>0.79218</v>
      </c>
      <c r="Q2792" s="79">
        <v>8.14</v>
      </c>
      <c r="R2792" s="72">
        <v>3</v>
      </c>
      <c r="S2792" s="72" t="s">
        <v>462</v>
      </c>
    </row>
    <row r="2793" spans="1:19">
      <c r="A2793" s="45" t="s">
        <v>136</v>
      </c>
      <c r="B2793" s="32" t="s">
        <v>137</v>
      </c>
      <c r="C2793" s="32">
        <v>101</v>
      </c>
      <c r="D2793" s="32"/>
      <c r="E2793" s="20" t="s">
        <v>20</v>
      </c>
      <c r="F2793" s="7" t="s">
        <v>15</v>
      </c>
      <c r="G2793" s="7" t="s">
        <v>54</v>
      </c>
      <c r="H2793" s="11">
        <v>31.6</v>
      </c>
      <c r="I2793" s="55">
        <v>8.9</v>
      </c>
      <c r="J2793" s="41">
        <v>1</v>
      </c>
      <c r="K2793" s="10">
        <v>0.28123999999999999</v>
      </c>
      <c r="L2793" s="4"/>
      <c r="M2793" s="17"/>
      <c r="N2793" s="18">
        <v>0</v>
      </c>
      <c r="O2793" s="106">
        <v>1</v>
      </c>
      <c r="P2793" s="13">
        <v>0.28123999999999999</v>
      </c>
      <c r="Q2793" s="79">
        <v>8.14</v>
      </c>
      <c r="R2793" s="72">
        <v>1</v>
      </c>
      <c r="S2793" s="72" t="s">
        <v>462</v>
      </c>
    </row>
    <row r="2796" spans="1:19">
      <c r="B2796" s="110" t="s">
        <v>426</v>
      </c>
      <c r="C2796" s="111" t="s">
        <v>297</v>
      </c>
      <c r="D2796" s="112" t="s">
        <v>228</v>
      </c>
      <c r="E2796" s="113" t="s">
        <v>20</v>
      </c>
      <c r="F2796" s="175" t="s">
        <v>15</v>
      </c>
      <c r="G2796" s="175" t="s">
        <v>54</v>
      </c>
      <c r="H2796" s="176">
        <v>31.6</v>
      </c>
      <c r="I2796" s="177">
        <v>10.1</v>
      </c>
      <c r="J2796" s="178">
        <v>348</v>
      </c>
      <c r="K2796" s="174">
        <f t="shared" ref="K2796:K2814" si="262">(H2796*I2796*J2796/1000)</f>
        <v>111.06768000000001</v>
      </c>
      <c r="L2796" s="118"/>
      <c r="M2796" s="178">
        <f>348+24</f>
        <v>372</v>
      </c>
      <c r="N2796" s="117">
        <f t="shared" ref="N2796:N2814" si="263">I2796*M2796*H2796/1000</f>
        <v>118.72752</v>
      </c>
      <c r="O2796" s="180">
        <f t="shared" ref="O2796:O2814" si="264">J2796-M2796</f>
        <v>-24</v>
      </c>
      <c r="P2796" s="181">
        <f t="shared" ref="P2796:P2813" si="265">I2796*O2796*H2796/1000</f>
        <v>-7.6598399999999991</v>
      </c>
      <c r="Q2796" s="32" t="s">
        <v>281</v>
      </c>
      <c r="R2796" s="32"/>
      <c r="S2796" s="32"/>
    </row>
    <row r="2797" spans="1:19">
      <c r="B2797" s="110" t="s">
        <v>426</v>
      </c>
      <c r="C2797" s="111" t="s">
        <v>297</v>
      </c>
      <c r="D2797" s="112" t="s">
        <v>228</v>
      </c>
      <c r="E2797" s="113" t="s">
        <v>20</v>
      </c>
      <c r="F2797" s="175" t="s">
        <v>15</v>
      </c>
      <c r="G2797" s="175" t="s">
        <v>54</v>
      </c>
      <c r="H2797" s="176">
        <v>31.6</v>
      </c>
      <c r="I2797" s="177">
        <v>11.9</v>
      </c>
      <c r="J2797" s="178">
        <f>8+8+8+8+5</f>
        <v>37</v>
      </c>
      <c r="K2797" s="174">
        <f t="shared" si="262"/>
        <v>13.913480000000002</v>
      </c>
      <c r="L2797" s="118"/>
      <c r="M2797" s="111">
        <v>37</v>
      </c>
      <c r="N2797" s="117">
        <f t="shared" si="263"/>
        <v>13.913480000000002</v>
      </c>
      <c r="O2797" s="119">
        <f t="shared" si="264"/>
        <v>0</v>
      </c>
      <c r="P2797" s="120">
        <f t="shared" si="265"/>
        <v>0</v>
      </c>
      <c r="Q2797" s="32"/>
      <c r="R2797" s="32"/>
      <c r="S2797" s="32"/>
    </row>
    <row r="2798" spans="1:19">
      <c r="B2798" s="110" t="s">
        <v>426</v>
      </c>
      <c r="C2798" s="111" t="s">
        <v>297</v>
      </c>
      <c r="D2798" s="112" t="s">
        <v>228</v>
      </c>
      <c r="E2798" s="113" t="s">
        <v>20</v>
      </c>
      <c r="F2798" s="175" t="s">
        <v>15</v>
      </c>
      <c r="G2798" s="175" t="s">
        <v>54</v>
      </c>
      <c r="H2798" s="176">
        <v>31.6</v>
      </c>
      <c r="I2798" s="177">
        <v>9.9</v>
      </c>
      <c r="J2798" s="178">
        <v>1</v>
      </c>
      <c r="K2798" s="174">
        <f t="shared" si="262"/>
        <v>0.31284000000000001</v>
      </c>
      <c r="L2798" s="118"/>
      <c r="M2798" s="111"/>
      <c r="N2798" s="117">
        <f t="shared" si="263"/>
        <v>0</v>
      </c>
      <c r="O2798" s="145">
        <f t="shared" si="264"/>
        <v>1</v>
      </c>
      <c r="P2798" s="120">
        <f t="shared" si="265"/>
        <v>0.31284000000000001</v>
      </c>
      <c r="Q2798" s="79">
        <v>6.1449999999999996</v>
      </c>
      <c r="R2798" s="72">
        <v>1</v>
      </c>
      <c r="S2798" s="72" t="s">
        <v>463</v>
      </c>
    </row>
    <row r="2799" spans="1:19">
      <c r="B2799" s="110" t="s">
        <v>426</v>
      </c>
      <c r="C2799" s="111" t="s">
        <v>297</v>
      </c>
      <c r="D2799" s="112" t="s">
        <v>228</v>
      </c>
      <c r="E2799" s="113" t="s">
        <v>20</v>
      </c>
      <c r="F2799" s="175" t="s">
        <v>15</v>
      </c>
      <c r="G2799" s="175" t="s">
        <v>54</v>
      </c>
      <c r="H2799" s="176">
        <v>31.6</v>
      </c>
      <c r="I2799" s="177">
        <v>9.8000000000000007</v>
      </c>
      <c r="J2799" s="178">
        <v>1</v>
      </c>
      <c r="K2799" s="174">
        <f t="shared" si="262"/>
        <v>0.30968000000000007</v>
      </c>
      <c r="L2799" s="118"/>
      <c r="M2799" s="111"/>
      <c r="N2799" s="117">
        <f t="shared" si="263"/>
        <v>0</v>
      </c>
      <c r="O2799" s="145">
        <f t="shared" si="264"/>
        <v>1</v>
      </c>
      <c r="P2799" s="120">
        <f t="shared" si="265"/>
        <v>0.30968000000000007</v>
      </c>
      <c r="Q2799" s="79">
        <v>6.1449999999999996</v>
      </c>
      <c r="R2799" s="72">
        <v>1</v>
      </c>
      <c r="S2799" s="72" t="s">
        <v>463</v>
      </c>
    </row>
    <row r="2800" spans="1:19">
      <c r="B2800" s="110" t="s">
        <v>426</v>
      </c>
      <c r="C2800" s="111" t="s">
        <v>297</v>
      </c>
      <c r="D2800" s="112" t="s">
        <v>228</v>
      </c>
      <c r="E2800" s="113" t="s">
        <v>20</v>
      </c>
      <c r="F2800" s="175" t="s">
        <v>15</v>
      </c>
      <c r="G2800" s="175" t="s">
        <v>54</v>
      </c>
      <c r="H2800" s="176">
        <v>31.6</v>
      </c>
      <c r="I2800" s="177">
        <v>10</v>
      </c>
      <c r="J2800" s="178">
        <v>7</v>
      </c>
      <c r="K2800" s="174">
        <f t="shared" si="262"/>
        <v>2.2120000000000002</v>
      </c>
      <c r="L2800" s="118"/>
      <c r="M2800" s="111"/>
      <c r="N2800" s="117">
        <f t="shared" si="263"/>
        <v>0</v>
      </c>
      <c r="O2800" s="145">
        <f t="shared" si="264"/>
        <v>7</v>
      </c>
      <c r="P2800" s="120">
        <f t="shared" si="265"/>
        <v>2.2120000000000002</v>
      </c>
      <c r="Q2800" s="79">
        <v>6.1449999999999996</v>
      </c>
      <c r="R2800" s="72">
        <v>7</v>
      </c>
      <c r="S2800" s="72" t="s">
        <v>463</v>
      </c>
    </row>
    <row r="2801" spans="2:19">
      <c r="B2801" s="110" t="s">
        <v>426</v>
      </c>
      <c r="C2801" s="111" t="s">
        <v>297</v>
      </c>
      <c r="D2801" s="112" t="s">
        <v>228</v>
      </c>
      <c r="E2801" s="113" t="s">
        <v>20</v>
      </c>
      <c r="F2801" s="175" t="s">
        <v>15</v>
      </c>
      <c r="G2801" s="175" t="s">
        <v>54</v>
      </c>
      <c r="H2801" s="176">
        <v>31.6</v>
      </c>
      <c r="I2801" s="177">
        <v>11.7</v>
      </c>
      <c r="J2801" s="178">
        <v>1</v>
      </c>
      <c r="K2801" s="174">
        <f t="shared" si="262"/>
        <v>0.36971999999999999</v>
      </c>
      <c r="L2801" s="118"/>
      <c r="M2801" s="111">
        <v>1</v>
      </c>
      <c r="N2801" s="117">
        <f t="shared" si="263"/>
        <v>0.36971999999999999</v>
      </c>
      <c r="O2801" s="119">
        <f t="shared" si="264"/>
        <v>0</v>
      </c>
      <c r="P2801" s="120">
        <f t="shared" si="265"/>
        <v>0</v>
      </c>
      <c r="Q2801" s="32"/>
      <c r="R2801" s="32"/>
      <c r="S2801" s="32"/>
    </row>
    <row r="2802" spans="2:19">
      <c r="B2802" s="110" t="s">
        <v>426</v>
      </c>
      <c r="C2802" s="111" t="s">
        <v>297</v>
      </c>
      <c r="D2802" s="112" t="s">
        <v>228</v>
      </c>
      <c r="E2802" s="113" t="s">
        <v>20</v>
      </c>
      <c r="F2802" s="175" t="s">
        <v>15</v>
      </c>
      <c r="G2802" s="175" t="s">
        <v>54</v>
      </c>
      <c r="H2802" s="176">
        <v>31.6</v>
      </c>
      <c r="I2802" s="177">
        <v>10</v>
      </c>
      <c r="J2802" s="178">
        <v>1</v>
      </c>
      <c r="K2802" s="174">
        <f t="shared" si="262"/>
        <v>0.316</v>
      </c>
      <c r="L2802" s="118"/>
      <c r="M2802" s="111"/>
      <c r="N2802" s="117">
        <f t="shared" si="263"/>
        <v>0</v>
      </c>
      <c r="O2802" s="145">
        <f t="shared" si="264"/>
        <v>1</v>
      </c>
      <c r="P2802" s="120">
        <f t="shared" si="265"/>
        <v>0.316</v>
      </c>
      <c r="Q2802" s="79">
        <v>6.1449999999999996</v>
      </c>
      <c r="R2802" s="72">
        <v>1</v>
      </c>
      <c r="S2802" s="72" t="s">
        <v>463</v>
      </c>
    </row>
    <row r="2803" spans="2:19">
      <c r="B2803" s="110" t="s">
        <v>426</v>
      </c>
      <c r="C2803" s="111" t="s">
        <v>297</v>
      </c>
      <c r="D2803" s="112" t="s">
        <v>228</v>
      </c>
      <c r="E2803" s="113" t="s">
        <v>20</v>
      </c>
      <c r="F2803" s="175" t="s">
        <v>15</v>
      </c>
      <c r="G2803" s="175" t="s">
        <v>54</v>
      </c>
      <c r="H2803" s="176">
        <v>31.6</v>
      </c>
      <c r="I2803" s="177">
        <v>9.6999999999999993</v>
      </c>
      <c r="J2803" s="178">
        <v>3</v>
      </c>
      <c r="K2803" s="174">
        <f t="shared" si="262"/>
        <v>0.91955999999999993</v>
      </c>
      <c r="L2803" s="118"/>
      <c r="M2803" s="111"/>
      <c r="N2803" s="117">
        <f t="shared" si="263"/>
        <v>0</v>
      </c>
      <c r="O2803" s="119">
        <f t="shared" si="264"/>
        <v>3</v>
      </c>
      <c r="P2803" s="120">
        <f t="shared" si="265"/>
        <v>0.91955999999999993</v>
      </c>
      <c r="Q2803" s="32"/>
      <c r="R2803" s="32"/>
      <c r="S2803" s="32"/>
    </row>
    <row r="2804" spans="2:19">
      <c r="B2804" s="110" t="s">
        <v>426</v>
      </c>
      <c r="C2804" s="111" t="s">
        <v>297</v>
      </c>
      <c r="D2804" s="112" t="s">
        <v>228</v>
      </c>
      <c r="E2804" s="113" t="s">
        <v>20</v>
      </c>
      <c r="F2804" s="175" t="s">
        <v>15</v>
      </c>
      <c r="G2804" s="175" t="s">
        <v>54</v>
      </c>
      <c r="H2804" s="176">
        <v>31.6</v>
      </c>
      <c r="I2804" s="177">
        <v>9.5</v>
      </c>
      <c r="J2804" s="178">
        <v>3</v>
      </c>
      <c r="K2804" s="174">
        <f t="shared" si="262"/>
        <v>0.90059999999999996</v>
      </c>
      <c r="L2804" s="118"/>
      <c r="M2804" s="111"/>
      <c r="N2804" s="117">
        <f t="shared" si="263"/>
        <v>0</v>
      </c>
      <c r="O2804" s="119">
        <f t="shared" si="264"/>
        <v>3</v>
      </c>
      <c r="P2804" s="120">
        <f t="shared" si="265"/>
        <v>0.90060000000000007</v>
      </c>
      <c r="Q2804" s="32"/>
      <c r="R2804" s="32"/>
      <c r="S2804" s="32"/>
    </row>
    <row r="2805" spans="2:19">
      <c r="B2805" s="110" t="s">
        <v>426</v>
      </c>
      <c r="C2805" s="111" t="s">
        <v>297</v>
      </c>
      <c r="D2805" s="112" t="s">
        <v>228</v>
      </c>
      <c r="E2805" s="113" t="s">
        <v>20</v>
      </c>
      <c r="F2805" s="175" t="s">
        <v>15</v>
      </c>
      <c r="G2805" s="175" t="s">
        <v>54</v>
      </c>
      <c r="H2805" s="176">
        <v>31.6</v>
      </c>
      <c r="I2805" s="177">
        <v>9.6999999999999993</v>
      </c>
      <c r="J2805" s="178">
        <v>8</v>
      </c>
      <c r="K2805" s="174">
        <f t="shared" si="262"/>
        <v>2.4521599999999997</v>
      </c>
      <c r="L2805" s="118"/>
      <c r="M2805" s="111"/>
      <c r="N2805" s="117">
        <f t="shared" si="263"/>
        <v>0</v>
      </c>
      <c r="O2805" s="145">
        <f t="shared" si="264"/>
        <v>8</v>
      </c>
      <c r="P2805" s="120">
        <f t="shared" si="265"/>
        <v>2.4521599999999997</v>
      </c>
      <c r="Q2805" s="79">
        <v>6.1449999999999996</v>
      </c>
      <c r="R2805" s="72">
        <v>7</v>
      </c>
      <c r="S2805" s="72" t="s">
        <v>463</v>
      </c>
    </row>
    <row r="2806" spans="2:19">
      <c r="B2806" s="110" t="s">
        <v>426</v>
      </c>
      <c r="C2806" s="111" t="s">
        <v>297</v>
      </c>
      <c r="D2806" s="112" t="s">
        <v>228</v>
      </c>
      <c r="E2806" s="113" t="s">
        <v>20</v>
      </c>
      <c r="F2806" s="175" t="s">
        <v>15</v>
      </c>
      <c r="G2806" s="175" t="s">
        <v>54</v>
      </c>
      <c r="H2806" s="176">
        <v>31.6</v>
      </c>
      <c r="I2806" s="177">
        <v>8.9</v>
      </c>
      <c r="J2806" s="178">
        <v>1</v>
      </c>
      <c r="K2806" s="174">
        <f t="shared" si="262"/>
        <v>0.28123999999999999</v>
      </c>
      <c r="L2806" s="118"/>
      <c r="M2806" s="111"/>
      <c r="N2806" s="117">
        <f t="shared" si="263"/>
        <v>0</v>
      </c>
      <c r="O2806" s="145">
        <f t="shared" si="264"/>
        <v>1</v>
      </c>
      <c r="P2806" s="120">
        <f t="shared" si="265"/>
        <v>0.28123999999999999</v>
      </c>
      <c r="Q2806" s="79">
        <v>8.14</v>
      </c>
      <c r="R2806" s="72">
        <v>1</v>
      </c>
      <c r="S2806" s="72" t="s">
        <v>463</v>
      </c>
    </row>
    <row r="2807" spans="2:19">
      <c r="B2807" s="110" t="s">
        <v>426</v>
      </c>
      <c r="C2807" s="111" t="s">
        <v>297</v>
      </c>
      <c r="D2807" s="112" t="s">
        <v>228</v>
      </c>
      <c r="E2807" s="113" t="s">
        <v>20</v>
      </c>
      <c r="F2807" s="175" t="s">
        <v>15</v>
      </c>
      <c r="G2807" s="175" t="s">
        <v>54</v>
      </c>
      <c r="H2807" s="176">
        <v>31.6</v>
      </c>
      <c r="I2807" s="177">
        <v>9.3000000000000007</v>
      </c>
      <c r="J2807" s="178">
        <v>1</v>
      </c>
      <c r="K2807" s="174">
        <f t="shared" si="262"/>
        <v>0.29388000000000003</v>
      </c>
      <c r="L2807" s="118"/>
      <c r="M2807" s="111"/>
      <c r="N2807" s="117">
        <f t="shared" si="263"/>
        <v>0</v>
      </c>
      <c r="O2807" s="145">
        <f t="shared" si="264"/>
        <v>1</v>
      </c>
      <c r="P2807" s="120">
        <f t="shared" si="265"/>
        <v>0.29388000000000003</v>
      </c>
      <c r="Q2807" s="79">
        <v>8.14</v>
      </c>
      <c r="R2807" s="72">
        <v>1</v>
      </c>
      <c r="S2807" s="72" t="s">
        <v>463</v>
      </c>
    </row>
    <row r="2808" spans="2:19">
      <c r="B2808" s="110" t="s">
        <v>426</v>
      </c>
      <c r="C2808" s="111" t="s">
        <v>297</v>
      </c>
      <c r="D2808" s="112" t="s">
        <v>228</v>
      </c>
      <c r="E2808" s="113" t="s">
        <v>20</v>
      </c>
      <c r="F2808" s="175" t="s">
        <v>15</v>
      </c>
      <c r="G2808" s="175" t="s">
        <v>54</v>
      </c>
      <c r="H2808" s="176">
        <v>31.6</v>
      </c>
      <c r="I2808" s="177">
        <v>9.8000000000000007</v>
      </c>
      <c r="J2808" s="178">
        <v>1</v>
      </c>
      <c r="K2808" s="174">
        <f t="shared" si="262"/>
        <v>0.30968000000000007</v>
      </c>
      <c r="L2808" s="118"/>
      <c r="M2808" s="111"/>
      <c r="N2808" s="117">
        <f t="shared" si="263"/>
        <v>0</v>
      </c>
      <c r="O2808" s="145">
        <f t="shared" si="264"/>
        <v>1</v>
      </c>
      <c r="P2808" s="120">
        <f t="shared" si="265"/>
        <v>0.30968000000000007</v>
      </c>
      <c r="Q2808" s="79">
        <v>8.14</v>
      </c>
      <c r="R2808" s="72">
        <v>1</v>
      </c>
      <c r="S2808" s="72" t="s">
        <v>463</v>
      </c>
    </row>
    <row r="2809" spans="2:19">
      <c r="B2809" s="110" t="s">
        <v>426</v>
      </c>
      <c r="C2809" s="111" t="s">
        <v>297</v>
      </c>
      <c r="D2809" s="112" t="s">
        <v>228</v>
      </c>
      <c r="E2809" s="113" t="s">
        <v>20</v>
      </c>
      <c r="F2809" s="175" t="s">
        <v>15</v>
      </c>
      <c r="G2809" s="175" t="s">
        <v>54</v>
      </c>
      <c r="H2809" s="176">
        <v>31.6</v>
      </c>
      <c r="I2809" s="177">
        <v>9.9</v>
      </c>
      <c r="J2809" s="178">
        <v>1</v>
      </c>
      <c r="K2809" s="174">
        <f t="shared" si="262"/>
        <v>0.31284000000000001</v>
      </c>
      <c r="L2809" s="118"/>
      <c r="M2809" s="111"/>
      <c r="N2809" s="117">
        <f t="shared" si="263"/>
        <v>0</v>
      </c>
      <c r="O2809" s="145">
        <f t="shared" si="264"/>
        <v>1</v>
      </c>
      <c r="P2809" s="120">
        <f t="shared" si="265"/>
        <v>0.31284000000000001</v>
      </c>
      <c r="Q2809" s="79">
        <v>6.1449999999999996</v>
      </c>
      <c r="R2809" s="72">
        <v>1</v>
      </c>
      <c r="S2809" s="72" t="s">
        <v>463</v>
      </c>
    </row>
    <row r="2810" spans="2:19">
      <c r="B2810" s="110" t="s">
        <v>426</v>
      </c>
      <c r="C2810" s="111" t="s">
        <v>297</v>
      </c>
      <c r="D2810" s="112" t="s">
        <v>228</v>
      </c>
      <c r="E2810" s="113" t="s">
        <v>20</v>
      </c>
      <c r="F2810" s="175" t="s">
        <v>15</v>
      </c>
      <c r="G2810" s="175" t="s">
        <v>54</v>
      </c>
      <c r="H2810" s="176">
        <v>31.6</v>
      </c>
      <c r="I2810" s="177">
        <v>10</v>
      </c>
      <c r="J2810" s="178">
        <v>1</v>
      </c>
      <c r="K2810" s="174">
        <f t="shared" si="262"/>
        <v>0.316</v>
      </c>
      <c r="L2810" s="118"/>
      <c r="M2810" s="111"/>
      <c r="N2810" s="117">
        <f t="shared" si="263"/>
        <v>0</v>
      </c>
      <c r="O2810" s="145">
        <f t="shared" si="264"/>
        <v>1</v>
      </c>
      <c r="P2810" s="120">
        <f t="shared" si="265"/>
        <v>0.316</v>
      </c>
      <c r="Q2810" s="79">
        <v>6.1449999999999996</v>
      </c>
      <c r="R2810" s="72">
        <v>1</v>
      </c>
      <c r="S2810" s="72" t="s">
        <v>463</v>
      </c>
    </row>
    <row r="2811" spans="2:19">
      <c r="B2811" s="110" t="s">
        <v>426</v>
      </c>
      <c r="C2811" s="111" t="s">
        <v>297</v>
      </c>
      <c r="D2811" s="112" t="s">
        <v>228</v>
      </c>
      <c r="E2811" s="113" t="s">
        <v>20</v>
      </c>
      <c r="F2811" s="175" t="s">
        <v>15</v>
      </c>
      <c r="G2811" s="175" t="s">
        <v>54</v>
      </c>
      <c r="H2811" s="176">
        <v>31.6</v>
      </c>
      <c r="I2811" s="177">
        <v>10</v>
      </c>
      <c r="J2811" s="178">
        <v>1</v>
      </c>
      <c r="K2811" s="174">
        <f t="shared" si="262"/>
        <v>0.316</v>
      </c>
      <c r="L2811" s="118"/>
      <c r="M2811" s="111"/>
      <c r="N2811" s="117">
        <f t="shared" si="263"/>
        <v>0</v>
      </c>
      <c r="O2811" s="145">
        <f t="shared" si="264"/>
        <v>1</v>
      </c>
      <c r="P2811" s="120">
        <f t="shared" si="265"/>
        <v>0.316</v>
      </c>
      <c r="Q2811" s="79">
        <v>6.1449999999999996</v>
      </c>
      <c r="R2811" s="72">
        <v>1</v>
      </c>
      <c r="S2811" s="72" t="s">
        <v>463</v>
      </c>
    </row>
    <row r="2812" spans="2:19">
      <c r="B2812" s="110" t="s">
        <v>426</v>
      </c>
      <c r="C2812" s="111" t="s">
        <v>297</v>
      </c>
      <c r="D2812" s="112" t="s">
        <v>228</v>
      </c>
      <c r="E2812" s="113" t="s">
        <v>20</v>
      </c>
      <c r="F2812" s="175" t="s">
        <v>15</v>
      </c>
      <c r="G2812" s="175" t="s">
        <v>54</v>
      </c>
      <c r="H2812" s="176">
        <v>31.6</v>
      </c>
      <c r="I2812" s="177">
        <v>9.6999999999999993</v>
      </c>
      <c r="J2812" s="178">
        <v>1</v>
      </c>
      <c r="K2812" s="174">
        <f t="shared" si="262"/>
        <v>0.30651999999999996</v>
      </c>
      <c r="L2812" s="118"/>
      <c r="M2812" s="111"/>
      <c r="N2812" s="117">
        <f t="shared" si="263"/>
        <v>0</v>
      </c>
      <c r="O2812" s="119">
        <f t="shared" si="264"/>
        <v>1</v>
      </c>
      <c r="P2812" s="120">
        <f t="shared" si="265"/>
        <v>0.30651999999999996</v>
      </c>
      <c r="Q2812" s="32"/>
      <c r="R2812" s="32"/>
      <c r="S2812" s="32"/>
    </row>
    <row r="2813" spans="2:19">
      <c r="B2813" s="110" t="s">
        <v>426</v>
      </c>
      <c r="C2813" s="111" t="s">
        <v>297</v>
      </c>
      <c r="D2813" s="112" t="s">
        <v>228</v>
      </c>
      <c r="E2813" s="113" t="s">
        <v>20</v>
      </c>
      <c r="F2813" s="175" t="s">
        <v>15</v>
      </c>
      <c r="G2813" s="175" t="s">
        <v>54</v>
      </c>
      <c r="H2813" s="176">
        <v>31.6</v>
      </c>
      <c r="I2813" s="177">
        <v>8.5</v>
      </c>
      <c r="J2813" s="178">
        <v>1</v>
      </c>
      <c r="K2813" s="174">
        <f t="shared" si="262"/>
        <v>0.26860000000000001</v>
      </c>
      <c r="L2813" s="118"/>
      <c r="M2813" s="111"/>
      <c r="N2813" s="117">
        <f t="shared" si="263"/>
        <v>0</v>
      </c>
      <c r="O2813" s="145">
        <f t="shared" si="264"/>
        <v>1</v>
      </c>
      <c r="P2813" s="120">
        <f t="shared" si="265"/>
        <v>0.26860000000000001</v>
      </c>
      <c r="Q2813" s="79">
        <v>8.14</v>
      </c>
      <c r="R2813" s="72">
        <v>1</v>
      </c>
      <c r="S2813" s="72" t="s">
        <v>463</v>
      </c>
    </row>
    <row r="2814" spans="2:19">
      <c r="B2814" s="110" t="s">
        <v>426</v>
      </c>
      <c r="C2814" s="111" t="s">
        <v>297</v>
      </c>
      <c r="D2814" s="112" t="s">
        <v>228</v>
      </c>
      <c r="E2814" s="113" t="s">
        <v>20</v>
      </c>
      <c r="F2814" s="175" t="s">
        <v>15</v>
      </c>
      <c r="G2814" s="175" t="s">
        <v>54</v>
      </c>
      <c r="H2814" s="176">
        <v>31.6</v>
      </c>
      <c r="I2814" s="177">
        <v>11.6</v>
      </c>
      <c r="J2814" s="178">
        <v>4</v>
      </c>
      <c r="K2814" s="174">
        <f t="shared" si="262"/>
        <v>1.46624</v>
      </c>
      <c r="L2814" s="118"/>
      <c r="M2814" s="111">
        <v>4</v>
      </c>
      <c r="N2814" s="117">
        <f t="shared" si="263"/>
        <v>1.46624</v>
      </c>
      <c r="O2814" s="119">
        <f t="shared" si="264"/>
        <v>0</v>
      </c>
      <c r="P2814" s="120">
        <f>I2814*O2814*H2814/1000</f>
        <v>0</v>
      </c>
      <c r="Q2814" s="32"/>
      <c r="R2814" s="32"/>
      <c r="S2814" s="32"/>
    </row>
    <row r="2815" spans="2:19">
      <c r="B2815" s="32"/>
      <c r="C2815" s="32"/>
      <c r="D2815" s="32"/>
      <c r="E2815" s="32"/>
      <c r="F2815" s="32"/>
      <c r="G2815" s="32"/>
      <c r="H2815" s="32"/>
      <c r="I2815" s="32"/>
      <c r="J2815" s="131">
        <f>SUM(J2796:J2814)</f>
        <v>422</v>
      </c>
      <c r="K2815" s="124">
        <f>SUM(K2796:K2814)</f>
        <v>136.64471999999998</v>
      </c>
      <c r="L2815" s="32"/>
      <c r="M2815" s="131">
        <f>SUM(M2796:M2814)</f>
        <v>414</v>
      </c>
      <c r="N2815" s="124">
        <f>SUM(N2796:N2814)</f>
        <v>134.47695999999999</v>
      </c>
      <c r="O2815" s="131">
        <f>SUM(O2796:O2814)</f>
        <v>8</v>
      </c>
      <c r="P2815" s="124">
        <f>SUM(P2796:P2814)</f>
        <v>2.1677599999999995</v>
      </c>
      <c r="Q2815" s="32"/>
      <c r="R2815" s="171">
        <f>SUM(R2796:R2814)</f>
        <v>24</v>
      </c>
      <c r="S2815" s="32"/>
    </row>
    <row r="2818" spans="1:19">
      <c r="A2818" s="42" t="s">
        <v>77</v>
      </c>
      <c r="B2818" s="3" t="s">
        <v>68</v>
      </c>
      <c r="C2818" s="3">
        <v>184</v>
      </c>
      <c r="D2818" s="1"/>
      <c r="E2818" s="12" t="s">
        <v>20</v>
      </c>
      <c r="F2818" s="7" t="s">
        <v>15</v>
      </c>
      <c r="G2818" s="7" t="s">
        <v>28</v>
      </c>
      <c r="H2818" s="11">
        <v>12.18</v>
      </c>
      <c r="I2818" s="8">
        <v>9.1</v>
      </c>
      <c r="J2818" s="26">
        <v>1</v>
      </c>
      <c r="K2818" s="10">
        <v>0.11083799999999999</v>
      </c>
      <c r="L2818" s="4"/>
      <c r="M2818" s="17"/>
      <c r="N2818" s="18">
        <v>0</v>
      </c>
      <c r="O2818" s="106">
        <v>1</v>
      </c>
      <c r="P2818" s="13">
        <v>0.11083799999999999</v>
      </c>
      <c r="Q2818" s="73">
        <v>7.13</v>
      </c>
      <c r="R2818" s="74">
        <v>1</v>
      </c>
      <c r="S2818" s="74" t="s">
        <v>467</v>
      </c>
    </row>
    <row r="2819" spans="1:19">
      <c r="A2819" s="42" t="s">
        <v>78</v>
      </c>
      <c r="B2819" s="3" t="s">
        <v>79</v>
      </c>
      <c r="C2819" s="3"/>
      <c r="D2819" s="1"/>
      <c r="E2819" s="20" t="s">
        <v>20</v>
      </c>
      <c r="F2819" s="7" t="s">
        <v>15</v>
      </c>
      <c r="G2819" s="7" t="s">
        <v>28</v>
      </c>
      <c r="H2819" s="11">
        <v>12.18</v>
      </c>
      <c r="I2819" s="8">
        <v>10</v>
      </c>
      <c r="J2819" s="26">
        <v>1</v>
      </c>
      <c r="K2819" s="10">
        <v>0.12179999999999999</v>
      </c>
      <c r="L2819" s="4"/>
      <c r="M2819" s="17"/>
      <c r="N2819" s="18">
        <v>0</v>
      </c>
      <c r="O2819" s="106">
        <v>1</v>
      </c>
      <c r="P2819" s="13">
        <v>0.12179999999999999</v>
      </c>
      <c r="Q2819" s="73">
        <v>7.13</v>
      </c>
      <c r="R2819" s="74">
        <v>1</v>
      </c>
      <c r="S2819" s="74" t="s">
        <v>467</v>
      </c>
    </row>
    <row r="2820" spans="1:19">
      <c r="A2820" s="42" t="s">
        <v>78</v>
      </c>
      <c r="B2820" s="3" t="s">
        <v>79</v>
      </c>
      <c r="C2820" s="3"/>
      <c r="D2820" s="1"/>
      <c r="E2820" s="20" t="s">
        <v>20</v>
      </c>
      <c r="F2820" s="7" t="s">
        <v>15</v>
      </c>
      <c r="G2820" s="7" t="s">
        <v>28</v>
      </c>
      <c r="H2820" s="11">
        <v>12.18</v>
      </c>
      <c r="I2820" s="8">
        <v>7.9</v>
      </c>
      <c r="J2820" s="26">
        <v>1</v>
      </c>
      <c r="K2820" s="10">
        <v>9.6222000000000002E-2</v>
      </c>
      <c r="L2820" s="4"/>
      <c r="M2820" s="17"/>
      <c r="N2820" s="18">
        <v>0</v>
      </c>
      <c r="O2820" s="106">
        <v>1</v>
      </c>
      <c r="P2820" s="13">
        <v>9.6222000000000002E-2</v>
      </c>
      <c r="Q2820" s="73">
        <v>7.13</v>
      </c>
      <c r="R2820" s="74">
        <v>1</v>
      </c>
      <c r="S2820" s="74" t="s">
        <v>467</v>
      </c>
    </row>
    <row r="2821" spans="1:19">
      <c r="A2821" s="42" t="s">
        <v>90</v>
      </c>
      <c r="B2821" s="3"/>
      <c r="C2821" s="3">
        <v>164</v>
      </c>
      <c r="D2821" s="1"/>
      <c r="E2821" s="12" t="s">
        <v>114</v>
      </c>
      <c r="F2821" s="7" t="s">
        <v>15</v>
      </c>
      <c r="G2821" s="7" t="s">
        <v>28</v>
      </c>
      <c r="H2821" s="11">
        <v>12.18</v>
      </c>
      <c r="I2821" s="8">
        <v>11.7</v>
      </c>
      <c r="J2821" s="26">
        <v>2</v>
      </c>
      <c r="K2821" s="10">
        <v>0.28501199999999999</v>
      </c>
      <c r="L2821" s="4"/>
      <c r="M2821" s="22"/>
      <c r="N2821" s="18">
        <v>0</v>
      </c>
      <c r="O2821" s="106">
        <v>2</v>
      </c>
      <c r="P2821" s="13">
        <v>0.28501199999999999</v>
      </c>
      <c r="Q2821" s="73">
        <v>10.5</v>
      </c>
      <c r="R2821" s="74">
        <v>2</v>
      </c>
      <c r="S2821" s="74" t="s">
        <v>466</v>
      </c>
    </row>
    <row r="2822" spans="1:19">
      <c r="A2822" s="42" t="s">
        <v>90</v>
      </c>
      <c r="B2822" s="3"/>
      <c r="C2822" s="3">
        <v>164</v>
      </c>
      <c r="D2822" s="1"/>
      <c r="E2822" s="12" t="s">
        <v>114</v>
      </c>
      <c r="F2822" s="7" t="s">
        <v>15</v>
      </c>
      <c r="G2822" s="7" t="s">
        <v>28</v>
      </c>
      <c r="H2822" s="11">
        <v>12.18</v>
      </c>
      <c r="I2822" s="8">
        <v>11</v>
      </c>
      <c r="J2822" s="26">
        <v>1</v>
      </c>
      <c r="K2822" s="10">
        <v>0.13397999999999999</v>
      </c>
      <c r="L2822" s="4"/>
      <c r="M2822" s="22"/>
      <c r="N2822" s="18">
        <v>0</v>
      </c>
      <c r="O2822" s="106">
        <v>1</v>
      </c>
      <c r="P2822" s="13">
        <v>0.13397999999999999</v>
      </c>
      <c r="Q2822" s="73">
        <v>10.5</v>
      </c>
      <c r="R2822" s="74">
        <v>1</v>
      </c>
      <c r="S2822" s="74" t="s">
        <v>466</v>
      </c>
    </row>
    <row r="2823" spans="1:19">
      <c r="A2823" s="42" t="s">
        <v>90</v>
      </c>
      <c r="B2823" s="3"/>
      <c r="C2823" s="3">
        <v>219</v>
      </c>
      <c r="D2823" s="1"/>
      <c r="E2823" s="20" t="s">
        <v>20</v>
      </c>
      <c r="F2823" s="7" t="s">
        <v>15</v>
      </c>
      <c r="G2823" s="7" t="s">
        <v>28</v>
      </c>
      <c r="H2823" s="11">
        <v>12.18</v>
      </c>
      <c r="I2823" s="8">
        <v>7.6</v>
      </c>
      <c r="J2823" s="26">
        <v>1</v>
      </c>
      <c r="K2823" s="10">
        <v>9.2567999999999998E-2</v>
      </c>
      <c r="L2823" s="4"/>
      <c r="M2823" s="17"/>
      <c r="N2823" s="18">
        <v>0</v>
      </c>
      <c r="O2823" s="106">
        <v>1</v>
      </c>
      <c r="P2823" s="13">
        <v>9.2567999999999998E-2</v>
      </c>
      <c r="Q2823" s="73">
        <v>7.13</v>
      </c>
      <c r="R2823" s="72">
        <v>1</v>
      </c>
      <c r="S2823" s="74" t="s">
        <v>467</v>
      </c>
    </row>
    <row r="2824" spans="1:19">
      <c r="A2824" s="42" t="s">
        <v>90</v>
      </c>
      <c r="B2824" s="3"/>
      <c r="C2824" s="3">
        <v>226</v>
      </c>
      <c r="D2824" s="1"/>
      <c r="E2824" s="20" t="s">
        <v>96</v>
      </c>
      <c r="F2824" s="7" t="s">
        <v>15</v>
      </c>
      <c r="G2824" s="7" t="s">
        <v>28</v>
      </c>
      <c r="H2824" s="11">
        <v>12.18</v>
      </c>
      <c r="I2824" s="8">
        <v>9</v>
      </c>
      <c r="J2824" s="26">
        <v>1</v>
      </c>
      <c r="K2824" s="10">
        <v>0.10962000000000001</v>
      </c>
      <c r="L2824" s="4"/>
      <c r="M2824" s="17"/>
      <c r="N2824" s="18">
        <v>0</v>
      </c>
      <c r="O2824" s="106">
        <v>1</v>
      </c>
      <c r="P2824" s="13">
        <v>0.10962000000000001</v>
      </c>
      <c r="Q2824" s="73">
        <v>7.13</v>
      </c>
      <c r="R2824" s="72">
        <v>1</v>
      </c>
      <c r="S2824" s="74" t="s">
        <v>467</v>
      </c>
    </row>
    <row r="2825" spans="1:19">
      <c r="A2825" s="42" t="s">
        <v>90</v>
      </c>
      <c r="B2825" s="3"/>
      <c r="C2825" s="3">
        <v>226</v>
      </c>
      <c r="D2825" s="1"/>
      <c r="E2825" s="20" t="s">
        <v>96</v>
      </c>
      <c r="F2825" s="7" t="s">
        <v>15</v>
      </c>
      <c r="G2825" s="7" t="s">
        <v>28</v>
      </c>
      <c r="H2825" s="11">
        <v>12.18</v>
      </c>
      <c r="I2825" s="8">
        <v>8</v>
      </c>
      <c r="J2825" s="26">
        <v>1</v>
      </c>
      <c r="K2825" s="10">
        <v>9.7439999999999999E-2</v>
      </c>
      <c r="L2825" s="4"/>
      <c r="M2825" s="17"/>
      <c r="N2825" s="18">
        <v>0</v>
      </c>
      <c r="O2825" s="106">
        <v>1</v>
      </c>
      <c r="P2825" s="13">
        <v>9.7439999999999999E-2</v>
      </c>
      <c r="Q2825" s="73">
        <v>7.13</v>
      </c>
      <c r="R2825" s="72">
        <v>1</v>
      </c>
      <c r="S2825" s="74" t="s">
        <v>467</v>
      </c>
    </row>
    <row r="2826" spans="1:19">
      <c r="A2826" s="42" t="s">
        <v>90</v>
      </c>
      <c r="B2826" s="3"/>
      <c r="C2826" s="3">
        <v>226</v>
      </c>
      <c r="D2826" s="1"/>
      <c r="E2826" s="20" t="s">
        <v>96</v>
      </c>
      <c r="F2826" s="7" t="s">
        <v>15</v>
      </c>
      <c r="G2826" s="7" t="s">
        <v>28</v>
      </c>
      <c r="H2826" s="11">
        <v>12.18</v>
      </c>
      <c r="I2826" s="8">
        <v>9.5</v>
      </c>
      <c r="J2826" s="26">
        <v>1</v>
      </c>
      <c r="K2826" s="10">
        <v>0.11570999999999999</v>
      </c>
      <c r="L2826" s="4"/>
      <c r="M2826" s="17"/>
      <c r="N2826" s="18">
        <v>0</v>
      </c>
      <c r="O2826" s="106">
        <v>1</v>
      </c>
      <c r="P2826" s="13">
        <v>0.11570999999999999</v>
      </c>
      <c r="Q2826" s="73">
        <v>7.13</v>
      </c>
      <c r="R2826" s="72">
        <v>1</v>
      </c>
      <c r="S2826" s="74" t="s">
        <v>467</v>
      </c>
    </row>
    <row r="2827" spans="1:19">
      <c r="A2827" s="44" t="s">
        <v>78</v>
      </c>
      <c r="B2827" s="3" t="s">
        <v>80</v>
      </c>
      <c r="C2827" s="3">
        <v>5</v>
      </c>
      <c r="D2827" s="1"/>
      <c r="E2827" s="20" t="s">
        <v>20</v>
      </c>
      <c r="F2827" s="7" t="s">
        <v>15</v>
      </c>
      <c r="G2827" s="7" t="s">
        <v>28</v>
      </c>
      <c r="H2827" s="11">
        <v>12.18</v>
      </c>
      <c r="I2827" s="8">
        <v>11.2</v>
      </c>
      <c r="J2827" s="26">
        <v>1</v>
      </c>
      <c r="K2827" s="10">
        <v>0.13641600000000001</v>
      </c>
      <c r="L2827" s="4"/>
      <c r="M2827" s="17"/>
      <c r="N2827" s="18">
        <v>0</v>
      </c>
      <c r="O2827" s="106">
        <v>1</v>
      </c>
      <c r="P2827" s="13">
        <v>0.13641600000000001</v>
      </c>
      <c r="Q2827" s="73">
        <v>10.5</v>
      </c>
      <c r="R2827" s="74">
        <v>1</v>
      </c>
      <c r="S2827" s="74" t="s">
        <v>466</v>
      </c>
    </row>
    <row r="2828" spans="1:19">
      <c r="A2828" s="45" t="s">
        <v>136</v>
      </c>
      <c r="B2828" s="32" t="s">
        <v>137</v>
      </c>
      <c r="C2828" s="3">
        <v>35</v>
      </c>
      <c r="D2828" s="32"/>
      <c r="E2828" s="20" t="s">
        <v>113</v>
      </c>
      <c r="F2828" s="7" t="s">
        <v>15</v>
      </c>
      <c r="G2828" s="7" t="s">
        <v>28</v>
      </c>
      <c r="H2828" s="11">
        <v>12.18</v>
      </c>
      <c r="I2828" s="33">
        <v>6</v>
      </c>
      <c r="J2828" s="40">
        <v>1</v>
      </c>
      <c r="K2828" s="10">
        <v>7.3079999999999992E-2</v>
      </c>
      <c r="L2828" s="4"/>
      <c r="M2828" s="17"/>
      <c r="N2828" s="18">
        <v>0</v>
      </c>
      <c r="O2828" s="19">
        <v>1</v>
      </c>
      <c r="P2828" s="13">
        <v>7.3079999999999992E-2</v>
      </c>
      <c r="Q2828" s="32"/>
      <c r="R2828" s="32"/>
      <c r="S2828" s="32"/>
    </row>
    <row r="2829" spans="1:19">
      <c r="A2829" s="45" t="s">
        <v>136</v>
      </c>
      <c r="B2829" s="32" t="s">
        <v>137</v>
      </c>
      <c r="C2829" s="3">
        <v>35</v>
      </c>
      <c r="D2829" s="32"/>
      <c r="E2829" s="20" t="s">
        <v>113</v>
      </c>
      <c r="F2829" s="7" t="s">
        <v>15</v>
      </c>
      <c r="G2829" s="7" t="s">
        <v>28</v>
      </c>
      <c r="H2829" s="11">
        <v>12.18</v>
      </c>
      <c r="I2829" s="33">
        <v>6.3</v>
      </c>
      <c r="J2829" s="40">
        <v>2</v>
      </c>
      <c r="K2829" s="10">
        <v>0.15346799999999999</v>
      </c>
      <c r="L2829" s="4"/>
      <c r="M2829" s="17"/>
      <c r="N2829" s="18">
        <v>0</v>
      </c>
      <c r="O2829" s="19">
        <v>2</v>
      </c>
      <c r="P2829" s="13">
        <v>0.15346799999999999</v>
      </c>
      <c r="Q2829" s="32"/>
      <c r="R2829" s="32"/>
      <c r="S2829" s="32"/>
    </row>
    <row r="2830" spans="1:19">
      <c r="A2830" s="45" t="s">
        <v>136</v>
      </c>
      <c r="B2830" s="32" t="s">
        <v>137</v>
      </c>
      <c r="C2830" s="3">
        <v>55</v>
      </c>
      <c r="D2830" s="32"/>
      <c r="E2830" s="20" t="s">
        <v>20</v>
      </c>
      <c r="F2830" s="7" t="s">
        <v>15</v>
      </c>
      <c r="G2830" s="7" t="s">
        <v>28</v>
      </c>
      <c r="H2830" s="11">
        <v>12.18</v>
      </c>
      <c r="I2830" s="33">
        <v>8.5</v>
      </c>
      <c r="J2830" s="40">
        <v>1</v>
      </c>
      <c r="K2830" s="10">
        <v>0.10353</v>
      </c>
      <c r="L2830" s="4"/>
      <c r="M2830" s="17"/>
      <c r="N2830" s="18">
        <v>0</v>
      </c>
      <c r="O2830" s="106">
        <v>1</v>
      </c>
      <c r="P2830" s="13">
        <v>0.10353</v>
      </c>
      <c r="Q2830" s="73">
        <v>7.13</v>
      </c>
      <c r="R2830" s="72">
        <v>1</v>
      </c>
      <c r="S2830" s="74" t="s">
        <v>467</v>
      </c>
    </row>
    <row r="2831" spans="1:19">
      <c r="A2831" s="45" t="s">
        <v>136</v>
      </c>
      <c r="B2831" s="32" t="s">
        <v>137</v>
      </c>
      <c r="C2831" s="3">
        <v>55</v>
      </c>
      <c r="D2831" s="32"/>
      <c r="E2831" s="20" t="s">
        <v>20</v>
      </c>
      <c r="F2831" s="7" t="s">
        <v>15</v>
      </c>
      <c r="G2831" s="7" t="s">
        <v>28</v>
      </c>
      <c r="H2831" s="11">
        <v>12.18</v>
      </c>
      <c r="I2831" s="33">
        <v>9</v>
      </c>
      <c r="J2831" s="40">
        <v>1</v>
      </c>
      <c r="K2831" s="10">
        <v>0.10962000000000001</v>
      </c>
      <c r="L2831" s="4"/>
      <c r="M2831" s="17"/>
      <c r="N2831" s="18">
        <v>0</v>
      </c>
      <c r="O2831" s="106">
        <v>1</v>
      </c>
      <c r="P2831" s="13">
        <v>0.10962000000000001</v>
      </c>
      <c r="Q2831" s="73">
        <v>7.13</v>
      </c>
      <c r="R2831" s="72">
        <v>1</v>
      </c>
      <c r="S2831" s="74" t="s">
        <v>467</v>
      </c>
    </row>
    <row r="2832" spans="1:19">
      <c r="A2832" s="45" t="s">
        <v>136</v>
      </c>
      <c r="B2832" s="32" t="s">
        <v>137</v>
      </c>
      <c r="C2832" s="3">
        <v>79</v>
      </c>
      <c r="D2832" s="32"/>
      <c r="E2832" s="20" t="s">
        <v>113</v>
      </c>
      <c r="F2832" s="7" t="s">
        <v>15</v>
      </c>
      <c r="G2832" s="7" t="s">
        <v>28</v>
      </c>
      <c r="H2832" s="11">
        <v>12.18</v>
      </c>
      <c r="I2832" s="33">
        <v>11.2</v>
      </c>
      <c r="J2832" s="40">
        <v>1</v>
      </c>
      <c r="K2832" s="10">
        <v>0.13641600000000001</v>
      </c>
      <c r="L2832" s="4"/>
      <c r="M2832" s="17"/>
      <c r="N2832" s="18">
        <v>0</v>
      </c>
      <c r="O2832" s="106">
        <v>1</v>
      </c>
      <c r="P2832" s="13">
        <v>0.13641600000000001</v>
      </c>
      <c r="Q2832" s="73">
        <v>10.5</v>
      </c>
      <c r="R2832" s="74">
        <v>1</v>
      </c>
      <c r="S2832" s="74" t="s">
        <v>466</v>
      </c>
    </row>
    <row r="2833" spans="1:19">
      <c r="A2833" s="45" t="s">
        <v>136</v>
      </c>
      <c r="B2833" s="48" t="s">
        <v>171</v>
      </c>
      <c r="C2833" s="32">
        <v>163</v>
      </c>
      <c r="D2833" s="32"/>
      <c r="E2833" s="48" t="s">
        <v>94</v>
      </c>
      <c r="F2833" s="48" t="s">
        <v>15</v>
      </c>
      <c r="G2833" s="48" t="s">
        <v>28</v>
      </c>
      <c r="H2833" s="11">
        <v>12.18</v>
      </c>
      <c r="I2833" s="52">
        <v>11.7</v>
      </c>
      <c r="J2833" s="7">
        <v>1</v>
      </c>
      <c r="K2833" s="10">
        <v>0.14250599999999999</v>
      </c>
      <c r="L2833" s="32"/>
      <c r="M2833" s="32"/>
      <c r="N2833" s="18">
        <v>0</v>
      </c>
      <c r="O2833" s="106">
        <v>1</v>
      </c>
      <c r="P2833" s="13">
        <v>0.14250599999999999</v>
      </c>
      <c r="Q2833" s="73">
        <v>10.5</v>
      </c>
      <c r="R2833" s="74">
        <v>1</v>
      </c>
      <c r="S2833" s="74" t="s">
        <v>466</v>
      </c>
    </row>
    <row r="2834" spans="1:19">
      <c r="A2834" s="45" t="s">
        <v>136</v>
      </c>
      <c r="B2834" s="48" t="s">
        <v>171</v>
      </c>
      <c r="C2834" s="32">
        <v>163</v>
      </c>
      <c r="D2834" s="32"/>
      <c r="E2834" s="48" t="s">
        <v>94</v>
      </c>
      <c r="F2834" s="48" t="s">
        <v>15</v>
      </c>
      <c r="G2834" s="48" t="s">
        <v>28</v>
      </c>
      <c r="H2834" s="11">
        <v>12.18</v>
      </c>
      <c r="I2834" s="52">
        <v>9.6</v>
      </c>
      <c r="J2834" s="7">
        <v>2</v>
      </c>
      <c r="K2834" s="10">
        <v>0.23385600000000001</v>
      </c>
      <c r="L2834" s="32"/>
      <c r="M2834" s="32"/>
      <c r="N2834" s="18">
        <v>0</v>
      </c>
      <c r="O2834" s="106">
        <v>2</v>
      </c>
      <c r="P2834" s="13">
        <v>0.23385600000000001</v>
      </c>
      <c r="Q2834" s="73">
        <v>7.13</v>
      </c>
      <c r="R2834" s="72">
        <v>2</v>
      </c>
      <c r="S2834" s="74" t="s">
        <v>467</v>
      </c>
    </row>
    <row r="2835" spans="1:19">
      <c r="A2835" s="45" t="s">
        <v>136</v>
      </c>
      <c r="B2835" s="48" t="s">
        <v>171</v>
      </c>
      <c r="C2835" s="32">
        <v>163</v>
      </c>
      <c r="D2835" s="32"/>
      <c r="E2835" s="48" t="s">
        <v>94</v>
      </c>
      <c r="F2835" s="48" t="s">
        <v>15</v>
      </c>
      <c r="G2835" s="48" t="s">
        <v>28</v>
      </c>
      <c r="H2835" s="11">
        <v>12.18</v>
      </c>
      <c r="I2835" s="52">
        <v>9</v>
      </c>
      <c r="J2835" s="7">
        <v>1</v>
      </c>
      <c r="K2835" s="10">
        <v>0.10962000000000001</v>
      </c>
      <c r="L2835" s="32"/>
      <c r="M2835" s="32"/>
      <c r="N2835" s="18">
        <v>0</v>
      </c>
      <c r="O2835" s="106">
        <v>1</v>
      </c>
      <c r="P2835" s="13">
        <v>0.10962000000000001</v>
      </c>
      <c r="Q2835" s="73">
        <v>7.13</v>
      </c>
      <c r="R2835" s="72">
        <v>1</v>
      </c>
      <c r="S2835" s="74" t="s">
        <v>467</v>
      </c>
    </row>
    <row r="2836" spans="1:19">
      <c r="O2836" s="215">
        <f>SUM(O2818:O2835)</f>
        <v>21</v>
      </c>
      <c r="R2836" s="215">
        <f>SUM(R2818:R2835)</f>
        <v>18</v>
      </c>
    </row>
    <row r="2838" spans="1:19" ht="15.6">
      <c r="B2838" s="110" t="s">
        <v>425</v>
      </c>
      <c r="C2838" s="111" t="s">
        <v>232</v>
      </c>
      <c r="D2838" s="112" t="s">
        <v>228</v>
      </c>
      <c r="E2838" s="113" t="s">
        <v>152</v>
      </c>
      <c r="F2838" s="216" t="s">
        <v>15</v>
      </c>
      <c r="G2838" s="216" t="s">
        <v>28</v>
      </c>
      <c r="H2838" s="217">
        <v>12.2</v>
      </c>
      <c r="I2838" s="221">
        <v>10.5</v>
      </c>
      <c r="J2838" s="219">
        <f>24+25+23+23+23+23+23+23+20+27+23+23+23+23+23+23+23+23+23+23+23+23+10</f>
        <v>520</v>
      </c>
      <c r="K2838" s="220">
        <f t="shared" ref="K2838:K2872" si="266">(H2838*I2838*J2838/1000)</f>
        <v>66.611999999999995</v>
      </c>
      <c r="L2838" s="118"/>
      <c r="M2838" s="111">
        <f>520+50</f>
        <v>570</v>
      </c>
      <c r="N2838" s="117">
        <f t="shared" ref="N2838:N2872" si="267">I2838*M2838*H2838/1000</f>
        <v>73.016999999999996</v>
      </c>
      <c r="O2838" s="141">
        <f t="shared" ref="O2838:O2872" si="268">J2838-M2838</f>
        <v>-50</v>
      </c>
      <c r="P2838" s="142">
        <f t="shared" ref="P2838:P2867" si="269">I2838*O2838*H2838/1000</f>
        <v>-6.4050000000000002</v>
      </c>
      <c r="Q2838" s="111" t="s">
        <v>281</v>
      </c>
      <c r="R2838" s="111"/>
      <c r="S2838" s="111"/>
    </row>
    <row r="2839" spans="1:19" ht="15.6">
      <c r="B2839" s="110" t="s">
        <v>425</v>
      </c>
      <c r="C2839" s="111" t="s">
        <v>232</v>
      </c>
      <c r="D2839" s="112" t="s">
        <v>228</v>
      </c>
      <c r="E2839" s="113" t="s">
        <v>152</v>
      </c>
      <c r="F2839" s="216" t="s">
        <v>15</v>
      </c>
      <c r="G2839" s="216" t="s">
        <v>28</v>
      </c>
      <c r="H2839" s="217">
        <v>12.2</v>
      </c>
      <c r="I2839" s="221">
        <v>11.25</v>
      </c>
      <c r="J2839" s="219">
        <f>22+23+23+23+23+22+21+23+24+22+20</f>
        <v>246</v>
      </c>
      <c r="K2839" s="220">
        <f t="shared" si="266"/>
        <v>33.763500000000001</v>
      </c>
      <c r="L2839" s="118"/>
      <c r="M2839" s="111">
        <v>246</v>
      </c>
      <c r="N2839" s="117">
        <f t="shared" si="267"/>
        <v>33.763500000000001</v>
      </c>
      <c r="O2839" s="119">
        <f t="shared" si="268"/>
        <v>0</v>
      </c>
      <c r="P2839" s="120">
        <f t="shared" si="269"/>
        <v>0</v>
      </c>
      <c r="Q2839" s="111"/>
      <c r="R2839" s="111"/>
      <c r="S2839" s="111"/>
    </row>
    <row r="2840" spans="1:19" ht="15.6">
      <c r="B2840" s="110" t="s">
        <v>425</v>
      </c>
      <c r="C2840" s="111" t="s">
        <v>232</v>
      </c>
      <c r="D2840" s="112" t="s">
        <v>228</v>
      </c>
      <c r="E2840" s="113" t="s">
        <v>152</v>
      </c>
      <c r="F2840" s="216" t="s">
        <v>15</v>
      </c>
      <c r="G2840" s="216" t="s">
        <v>28</v>
      </c>
      <c r="H2840" s="217">
        <v>12.2</v>
      </c>
      <c r="I2840" s="221">
        <v>11.5</v>
      </c>
      <c r="J2840" s="219">
        <f>22+22+22+22+22+22+20+21+28</f>
        <v>201</v>
      </c>
      <c r="K2840" s="220">
        <f t="shared" si="266"/>
        <v>28.200299999999995</v>
      </c>
      <c r="L2840" s="118"/>
      <c r="M2840" s="219">
        <f>200+1</f>
        <v>201</v>
      </c>
      <c r="N2840" s="117">
        <f t="shared" si="267"/>
        <v>28.200299999999999</v>
      </c>
      <c r="O2840" s="119">
        <f t="shared" si="268"/>
        <v>0</v>
      </c>
      <c r="P2840" s="120">
        <f t="shared" si="269"/>
        <v>0</v>
      </c>
      <c r="Q2840" s="111"/>
      <c r="R2840" s="111"/>
      <c r="S2840" s="111"/>
    </row>
    <row r="2841" spans="1:19" ht="15.6">
      <c r="B2841" s="110" t="s">
        <v>425</v>
      </c>
      <c r="C2841" s="111" t="s">
        <v>232</v>
      </c>
      <c r="D2841" s="112" t="s">
        <v>228</v>
      </c>
      <c r="E2841" s="113" t="s">
        <v>152</v>
      </c>
      <c r="F2841" s="216" t="s">
        <v>15</v>
      </c>
      <c r="G2841" s="216" t="s">
        <v>28</v>
      </c>
      <c r="H2841" s="217">
        <v>12.2</v>
      </c>
      <c r="I2841" s="221">
        <v>12</v>
      </c>
      <c r="J2841" s="219">
        <v>7</v>
      </c>
      <c r="K2841" s="220">
        <f t="shared" si="266"/>
        <v>1.0247999999999997</v>
      </c>
      <c r="L2841" s="118"/>
      <c r="M2841" s="111">
        <v>7</v>
      </c>
      <c r="N2841" s="117">
        <f t="shared" si="267"/>
        <v>1.0247999999999999</v>
      </c>
      <c r="O2841" s="119">
        <f t="shared" si="268"/>
        <v>0</v>
      </c>
      <c r="P2841" s="120">
        <f t="shared" si="269"/>
        <v>0</v>
      </c>
      <c r="Q2841" s="111"/>
      <c r="R2841" s="111"/>
      <c r="S2841" s="111"/>
    </row>
    <row r="2842" spans="1:19" ht="15.6">
      <c r="B2842" s="110" t="s">
        <v>425</v>
      </c>
      <c r="C2842" s="111" t="s">
        <v>232</v>
      </c>
      <c r="D2842" s="112" t="s">
        <v>228</v>
      </c>
      <c r="E2842" s="113" t="s">
        <v>152</v>
      </c>
      <c r="F2842" s="216" t="s">
        <v>15</v>
      </c>
      <c r="G2842" s="216" t="s">
        <v>28</v>
      </c>
      <c r="H2842" s="217">
        <v>12.2</v>
      </c>
      <c r="I2842" s="221">
        <v>10.3</v>
      </c>
      <c r="J2842" s="219">
        <v>8</v>
      </c>
      <c r="K2842" s="220">
        <f t="shared" si="266"/>
        <v>1.00528</v>
      </c>
      <c r="L2842" s="118"/>
      <c r="M2842" s="111"/>
      <c r="N2842" s="117">
        <f t="shared" si="267"/>
        <v>0</v>
      </c>
      <c r="O2842" s="145">
        <f t="shared" si="268"/>
        <v>8</v>
      </c>
      <c r="P2842" s="120">
        <f t="shared" si="269"/>
        <v>1.00528</v>
      </c>
      <c r="Q2842" s="79">
        <v>7.13</v>
      </c>
      <c r="R2842" s="72">
        <v>8</v>
      </c>
      <c r="S2842" s="74" t="s">
        <v>467</v>
      </c>
    </row>
    <row r="2843" spans="1:19" ht="15.6">
      <c r="B2843" s="110" t="s">
        <v>425</v>
      </c>
      <c r="C2843" s="111" t="s">
        <v>232</v>
      </c>
      <c r="D2843" s="112" t="s">
        <v>228</v>
      </c>
      <c r="E2843" s="113" t="s">
        <v>152</v>
      </c>
      <c r="F2843" s="216" t="s">
        <v>15</v>
      </c>
      <c r="G2843" s="216" t="s">
        <v>28</v>
      </c>
      <c r="H2843" s="217">
        <v>12.2</v>
      </c>
      <c r="I2843" s="221">
        <v>10.199999999999999</v>
      </c>
      <c r="J2843" s="219">
        <v>2</v>
      </c>
      <c r="K2843" s="220">
        <f t="shared" si="266"/>
        <v>0.24887999999999996</v>
      </c>
      <c r="L2843" s="118"/>
      <c r="M2843" s="111"/>
      <c r="N2843" s="117">
        <f t="shared" si="267"/>
        <v>0</v>
      </c>
      <c r="O2843" s="145">
        <f t="shared" si="268"/>
        <v>2</v>
      </c>
      <c r="P2843" s="120">
        <f t="shared" si="269"/>
        <v>0.24887999999999996</v>
      </c>
      <c r="Q2843" s="79">
        <v>7.13</v>
      </c>
      <c r="R2843" s="72">
        <v>2</v>
      </c>
      <c r="S2843" s="74" t="s">
        <v>467</v>
      </c>
    </row>
    <row r="2844" spans="1:19" ht="15.6">
      <c r="B2844" s="110" t="s">
        <v>425</v>
      </c>
      <c r="C2844" s="111" t="s">
        <v>232</v>
      </c>
      <c r="D2844" s="112" t="s">
        <v>228</v>
      </c>
      <c r="E2844" s="113" t="s">
        <v>152</v>
      </c>
      <c r="F2844" s="216" t="s">
        <v>15</v>
      </c>
      <c r="G2844" s="216" t="s">
        <v>28</v>
      </c>
      <c r="H2844" s="217">
        <v>12.2</v>
      </c>
      <c r="I2844" s="221">
        <v>10.1</v>
      </c>
      <c r="J2844" s="219">
        <v>5</v>
      </c>
      <c r="K2844" s="220">
        <f t="shared" si="266"/>
        <v>0.61609999999999987</v>
      </c>
      <c r="L2844" s="118"/>
      <c r="M2844" s="111"/>
      <c r="N2844" s="117">
        <f t="shared" si="267"/>
        <v>0</v>
      </c>
      <c r="O2844" s="145">
        <f t="shared" si="268"/>
        <v>5</v>
      </c>
      <c r="P2844" s="120">
        <f t="shared" si="269"/>
        <v>0.61609999999999987</v>
      </c>
      <c r="Q2844" s="79">
        <v>7.13</v>
      </c>
      <c r="R2844" s="72">
        <v>5</v>
      </c>
      <c r="S2844" s="74" t="s">
        <v>467</v>
      </c>
    </row>
    <row r="2845" spans="1:19" ht="15.6">
      <c r="B2845" s="110" t="s">
        <v>425</v>
      </c>
      <c r="C2845" s="111" t="s">
        <v>232</v>
      </c>
      <c r="D2845" s="112" t="s">
        <v>228</v>
      </c>
      <c r="E2845" s="113" t="s">
        <v>152</v>
      </c>
      <c r="F2845" s="216" t="s">
        <v>15</v>
      </c>
      <c r="G2845" s="216" t="s">
        <v>28</v>
      </c>
      <c r="H2845" s="217">
        <v>12.2</v>
      </c>
      <c r="I2845" s="221">
        <v>10</v>
      </c>
      <c r="J2845" s="219">
        <v>3</v>
      </c>
      <c r="K2845" s="220">
        <f t="shared" si="266"/>
        <v>0.36599999999999999</v>
      </c>
      <c r="L2845" s="118"/>
      <c r="M2845" s="111"/>
      <c r="N2845" s="117">
        <f t="shared" si="267"/>
        <v>0</v>
      </c>
      <c r="O2845" s="145">
        <f t="shared" si="268"/>
        <v>3</v>
      </c>
      <c r="P2845" s="120">
        <f t="shared" si="269"/>
        <v>0.36599999999999999</v>
      </c>
      <c r="Q2845" s="79">
        <v>7.13</v>
      </c>
      <c r="R2845" s="72">
        <v>3</v>
      </c>
      <c r="S2845" s="74" t="s">
        <v>467</v>
      </c>
    </row>
    <row r="2846" spans="1:19" ht="15.6">
      <c r="B2846" s="110" t="s">
        <v>425</v>
      </c>
      <c r="C2846" s="111" t="s">
        <v>232</v>
      </c>
      <c r="D2846" s="112" t="s">
        <v>228</v>
      </c>
      <c r="E2846" s="113" t="s">
        <v>152</v>
      </c>
      <c r="F2846" s="216" t="s">
        <v>15</v>
      </c>
      <c r="G2846" s="216" t="s">
        <v>28</v>
      </c>
      <c r="H2846" s="217">
        <v>12.2</v>
      </c>
      <c r="I2846" s="221">
        <v>9.9</v>
      </c>
      <c r="J2846" s="219">
        <v>1</v>
      </c>
      <c r="K2846" s="220">
        <f t="shared" si="266"/>
        <v>0.12078</v>
      </c>
      <c r="L2846" s="118"/>
      <c r="M2846" s="111"/>
      <c r="N2846" s="117">
        <f t="shared" si="267"/>
        <v>0</v>
      </c>
      <c r="O2846" s="145">
        <f t="shared" si="268"/>
        <v>1</v>
      </c>
      <c r="P2846" s="120">
        <f t="shared" si="269"/>
        <v>0.12078</v>
      </c>
      <c r="Q2846" s="79">
        <v>7.13</v>
      </c>
      <c r="R2846" s="72">
        <v>1</v>
      </c>
      <c r="S2846" s="74" t="s">
        <v>467</v>
      </c>
    </row>
    <row r="2847" spans="1:19" ht="15.6">
      <c r="B2847" s="110" t="s">
        <v>425</v>
      </c>
      <c r="C2847" s="111" t="s">
        <v>232</v>
      </c>
      <c r="D2847" s="112" t="s">
        <v>228</v>
      </c>
      <c r="E2847" s="113" t="s">
        <v>152</v>
      </c>
      <c r="F2847" s="216" t="s">
        <v>15</v>
      </c>
      <c r="G2847" s="216" t="s">
        <v>28</v>
      </c>
      <c r="H2847" s="217">
        <v>12.2</v>
      </c>
      <c r="I2847" s="221">
        <v>9.6</v>
      </c>
      <c r="J2847" s="219">
        <v>3</v>
      </c>
      <c r="K2847" s="220">
        <f t="shared" si="266"/>
        <v>0.35135999999999995</v>
      </c>
      <c r="L2847" s="118"/>
      <c r="M2847" s="111"/>
      <c r="N2847" s="117">
        <f t="shared" si="267"/>
        <v>0</v>
      </c>
      <c r="O2847" s="145">
        <f t="shared" si="268"/>
        <v>3</v>
      </c>
      <c r="P2847" s="120">
        <f t="shared" si="269"/>
        <v>0.35135999999999995</v>
      </c>
      <c r="Q2847" s="79">
        <v>7.13</v>
      </c>
      <c r="R2847" s="72">
        <v>3</v>
      </c>
      <c r="S2847" s="74" t="s">
        <v>467</v>
      </c>
    </row>
    <row r="2848" spans="1:19" ht="15.6">
      <c r="B2848" s="110" t="s">
        <v>425</v>
      </c>
      <c r="C2848" s="111" t="s">
        <v>232</v>
      </c>
      <c r="D2848" s="112" t="s">
        <v>228</v>
      </c>
      <c r="E2848" s="113" t="s">
        <v>152</v>
      </c>
      <c r="F2848" s="216" t="s">
        <v>15</v>
      </c>
      <c r="G2848" s="216" t="s">
        <v>28</v>
      </c>
      <c r="H2848" s="217">
        <v>12.2</v>
      </c>
      <c r="I2848" s="221">
        <v>9.5</v>
      </c>
      <c r="J2848" s="219">
        <v>1</v>
      </c>
      <c r="K2848" s="220">
        <f t="shared" si="266"/>
        <v>0.11589999999999999</v>
      </c>
      <c r="L2848" s="118"/>
      <c r="M2848" s="111"/>
      <c r="N2848" s="117">
        <f t="shared" si="267"/>
        <v>0</v>
      </c>
      <c r="O2848" s="145">
        <f t="shared" si="268"/>
        <v>1</v>
      </c>
      <c r="P2848" s="120">
        <f t="shared" si="269"/>
        <v>0.11589999999999999</v>
      </c>
      <c r="Q2848" s="79">
        <v>7.13</v>
      </c>
      <c r="R2848" s="72">
        <v>1</v>
      </c>
      <c r="S2848" s="74" t="s">
        <v>467</v>
      </c>
    </row>
    <row r="2849" spans="2:19" ht="15.6">
      <c r="B2849" s="110" t="s">
        <v>425</v>
      </c>
      <c r="C2849" s="111" t="s">
        <v>232</v>
      </c>
      <c r="D2849" s="112" t="s">
        <v>228</v>
      </c>
      <c r="E2849" s="113" t="s">
        <v>152</v>
      </c>
      <c r="F2849" s="216" t="s">
        <v>15</v>
      </c>
      <c r="G2849" s="216" t="s">
        <v>28</v>
      </c>
      <c r="H2849" s="217">
        <v>12.2</v>
      </c>
      <c r="I2849" s="221">
        <v>9</v>
      </c>
      <c r="J2849" s="219">
        <v>1</v>
      </c>
      <c r="K2849" s="220">
        <f t="shared" si="266"/>
        <v>0.10979999999999999</v>
      </c>
      <c r="L2849" s="118"/>
      <c r="M2849" s="111"/>
      <c r="N2849" s="117">
        <f t="shared" si="267"/>
        <v>0</v>
      </c>
      <c r="O2849" s="145">
        <f t="shared" si="268"/>
        <v>1</v>
      </c>
      <c r="P2849" s="120">
        <f t="shared" si="269"/>
        <v>0.10979999999999999</v>
      </c>
      <c r="Q2849" s="79">
        <v>7.13</v>
      </c>
      <c r="R2849" s="72">
        <v>1</v>
      </c>
      <c r="S2849" s="74" t="s">
        <v>467</v>
      </c>
    </row>
    <row r="2850" spans="2:19" ht="15.6">
      <c r="B2850" s="110" t="s">
        <v>425</v>
      </c>
      <c r="C2850" s="111" t="s">
        <v>232</v>
      </c>
      <c r="D2850" s="112" t="s">
        <v>228</v>
      </c>
      <c r="E2850" s="113" t="s">
        <v>152</v>
      </c>
      <c r="F2850" s="216" t="s">
        <v>15</v>
      </c>
      <c r="G2850" s="216" t="s">
        <v>28</v>
      </c>
      <c r="H2850" s="217">
        <v>12.2</v>
      </c>
      <c r="I2850" s="221">
        <v>11.5</v>
      </c>
      <c r="J2850" s="219">
        <v>23</v>
      </c>
      <c r="K2850" s="220">
        <f t="shared" si="266"/>
        <v>3.2268999999999997</v>
      </c>
      <c r="L2850" s="118" t="s">
        <v>252</v>
      </c>
      <c r="M2850" s="111">
        <v>23</v>
      </c>
      <c r="N2850" s="117">
        <f t="shared" si="267"/>
        <v>3.2268999999999997</v>
      </c>
      <c r="O2850" s="119">
        <f t="shared" si="268"/>
        <v>0</v>
      </c>
      <c r="P2850" s="120">
        <f t="shared" si="269"/>
        <v>0</v>
      </c>
      <c r="Q2850" s="111"/>
      <c r="R2850" s="111"/>
      <c r="S2850" s="111"/>
    </row>
    <row r="2851" spans="2:19" ht="15.6">
      <c r="B2851" s="110" t="s">
        <v>425</v>
      </c>
      <c r="C2851" s="111" t="s">
        <v>232</v>
      </c>
      <c r="D2851" s="112" t="s">
        <v>228</v>
      </c>
      <c r="E2851" s="113" t="s">
        <v>152</v>
      </c>
      <c r="F2851" s="216" t="s">
        <v>15</v>
      </c>
      <c r="G2851" s="216" t="s">
        <v>28</v>
      </c>
      <c r="H2851" s="217">
        <v>12.2</v>
      </c>
      <c r="I2851" s="221">
        <v>11.25</v>
      </c>
      <c r="J2851" s="219">
        <v>1</v>
      </c>
      <c r="K2851" s="220">
        <f t="shared" si="266"/>
        <v>0.13725000000000001</v>
      </c>
      <c r="L2851" s="118" t="s">
        <v>252</v>
      </c>
      <c r="M2851" s="111">
        <v>1</v>
      </c>
      <c r="N2851" s="117">
        <f t="shared" si="267"/>
        <v>0.13725000000000001</v>
      </c>
      <c r="O2851" s="119">
        <f t="shared" si="268"/>
        <v>0</v>
      </c>
      <c r="P2851" s="120">
        <f t="shared" si="269"/>
        <v>0</v>
      </c>
      <c r="Q2851" s="111"/>
      <c r="R2851" s="111"/>
      <c r="S2851" s="111"/>
    </row>
    <row r="2852" spans="2:19" ht="15.6">
      <c r="B2852" s="110" t="s">
        <v>425</v>
      </c>
      <c r="C2852" s="111" t="s">
        <v>232</v>
      </c>
      <c r="D2852" s="112" t="s">
        <v>228</v>
      </c>
      <c r="E2852" s="113" t="s">
        <v>152</v>
      </c>
      <c r="F2852" s="216" t="s">
        <v>15</v>
      </c>
      <c r="G2852" s="216" t="s">
        <v>28</v>
      </c>
      <c r="H2852" s="217">
        <v>12.2</v>
      </c>
      <c r="I2852" s="221">
        <v>10.5</v>
      </c>
      <c r="J2852" s="219">
        <f>24+13</f>
        <v>37</v>
      </c>
      <c r="K2852" s="220">
        <f t="shared" si="266"/>
        <v>4.7397</v>
      </c>
      <c r="L2852" s="118" t="s">
        <v>252</v>
      </c>
      <c r="M2852" s="111">
        <v>37</v>
      </c>
      <c r="N2852" s="117">
        <f t="shared" si="267"/>
        <v>4.7397</v>
      </c>
      <c r="O2852" s="119">
        <f t="shared" si="268"/>
        <v>0</v>
      </c>
      <c r="P2852" s="120">
        <f t="shared" si="269"/>
        <v>0</v>
      </c>
      <c r="Q2852" s="111"/>
      <c r="R2852" s="111"/>
      <c r="S2852" s="111"/>
    </row>
    <row r="2853" spans="2:19" ht="15.6">
      <c r="B2853" s="110" t="s">
        <v>425</v>
      </c>
      <c r="C2853" s="111" t="s">
        <v>232</v>
      </c>
      <c r="D2853" s="112" t="s">
        <v>228</v>
      </c>
      <c r="E2853" s="113" t="s">
        <v>152</v>
      </c>
      <c r="F2853" s="216" t="s">
        <v>15</v>
      </c>
      <c r="G2853" s="216" t="s">
        <v>28</v>
      </c>
      <c r="H2853" s="217">
        <v>12.2</v>
      </c>
      <c r="I2853" s="221">
        <v>12</v>
      </c>
      <c r="J2853" s="219">
        <v>3</v>
      </c>
      <c r="K2853" s="220">
        <f t="shared" si="266"/>
        <v>0.43919999999999992</v>
      </c>
      <c r="L2853" s="118" t="s">
        <v>252</v>
      </c>
      <c r="M2853" s="111">
        <v>3</v>
      </c>
      <c r="N2853" s="117">
        <f t="shared" si="267"/>
        <v>0.43919999999999998</v>
      </c>
      <c r="O2853" s="119">
        <f t="shared" si="268"/>
        <v>0</v>
      </c>
      <c r="P2853" s="120">
        <f t="shared" si="269"/>
        <v>0</v>
      </c>
      <c r="Q2853" s="111"/>
      <c r="R2853" s="111"/>
      <c r="S2853" s="111"/>
    </row>
    <row r="2854" spans="2:19" ht="15.6">
      <c r="B2854" s="110" t="s">
        <v>425</v>
      </c>
      <c r="C2854" s="111" t="s">
        <v>232</v>
      </c>
      <c r="D2854" s="112" t="s">
        <v>228</v>
      </c>
      <c r="E2854" s="113" t="s">
        <v>152</v>
      </c>
      <c r="F2854" s="216" t="s">
        <v>15</v>
      </c>
      <c r="G2854" s="216" t="s">
        <v>28</v>
      </c>
      <c r="H2854" s="217">
        <v>12.2</v>
      </c>
      <c r="I2854" s="221">
        <v>11.25</v>
      </c>
      <c r="J2854" s="219">
        <v>3</v>
      </c>
      <c r="K2854" s="220">
        <f t="shared" si="266"/>
        <v>0.41175</v>
      </c>
      <c r="L2854" s="118" t="s">
        <v>252</v>
      </c>
      <c r="M2854" s="111">
        <v>3</v>
      </c>
      <c r="N2854" s="117">
        <f t="shared" si="267"/>
        <v>0.41175</v>
      </c>
      <c r="O2854" s="119">
        <f t="shared" si="268"/>
        <v>0</v>
      </c>
      <c r="P2854" s="120">
        <f t="shared" si="269"/>
        <v>0</v>
      </c>
      <c r="Q2854" s="111"/>
      <c r="R2854" s="111"/>
      <c r="S2854" s="111"/>
    </row>
    <row r="2855" spans="2:19" ht="15.6">
      <c r="B2855" s="110" t="s">
        <v>425</v>
      </c>
      <c r="C2855" s="111" t="s">
        <v>232</v>
      </c>
      <c r="D2855" s="112" t="s">
        <v>228</v>
      </c>
      <c r="E2855" s="113" t="s">
        <v>152</v>
      </c>
      <c r="F2855" s="216" t="s">
        <v>15</v>
      </c>
      <c r="G2855" s="216" t="s">
        <v>28</v>
      </c>
      <c r="H2855" s="217">
        <v>12.2</v>
      </c>
      <c r="I2855" s="221">
        <v>10.1</v>
      </c>
      <c r="J2855" s="219">
        <v>1</v>
      </c>
      <c r="K2855" s="220">
        <f t="shared" si="266"/>
        <v>0.12321999999999998</v>
      </c>
      <c r="L2855" s="118" t="s">
        <v>252</v>
      </c>
      <c r="M2855" s="111"/>
      <c r="N2855" s="117">
        <f t="shared" si="267"/>
        <v>0</v>
      </c>
      <c r="O2855" s="145">
        <f t="shared" si="268"/>
        <v>1</v>
      </c>
      <c r="P2855" s="120">
        <f t="shared" si="269"/>
        <v>0.12321999999999998</v>
      </c>
      <c r="Q2855" s="79">
        <v>7.13</v>
      </c>
      <c r="R2855" s="72">
        <v>1</v>
      </c>
      <c r="S2855" s="74" t="s">
        <v>467</v>
      </c>
    </row>
    <row r="2856" spans="2:19" ht="15.6">
      <c r="B2856" s="110" t="s">
        <v>425</v>
      </c>
      <c r="C2856" s="111" t="s">
        <v>232</v>
      </c>
      <c r="D2856" s="112" t="s">
        <v>228</v>
      </c>
      <c r="E2856" s="113" t="s">
        <v>152</v>
      </c>
      <c r="F2856" s="216" t="s">
        <v>15</v>
      </c>
      <c r="G2856" s="216" t="s">
        <v>28</v>
      </c>
      <c r="H2856" s="217">
        <v>12.2</v>
      </c>
      <c r="I2856" s="221">
        <v>10.5</v>
      </c>
      <c r="J2856" s="219">
        <f>23+23+23+23+23+23+23+24+24+24+23+21+23+23+23+23+23+23+23+23+13+23</f>
        <v>497</v>
      </c>
      <c r="K2856" s="220">
        <f t="shared" si="266"/>
        <v>63.665699999999994</v>
      </c>
      <c r="L2856" s="118"/>
      <c r="M2856" s="111">
        <v>497</v>
      </c>
      <c r="N2856" s="117">
        <f t="shared" si="267"/>
        <v>63.665699999999994</v>
      </c>
      <c r="O2856" s="119">
        <f t="shared" si="268"/>
        <v>0</v>
      </c>
      <c r="P2856" s="120">
        <f t="shared" si="269"/>
        <v>0</v>
      </c>
      <c r="Q2856" s="111"/>
      <c r="R2856" s="111"/>
      <c r="S2856" s="111"/>
    </row>
    <row r="2857" spans="2:19" ht="15.6">
      <c r="B2857" s="110" t="s">
        <v>425</v>
      </c>
      <c r="C2857" s="111" t="s">
        <v>232</v>
      </c>
      <c r="D2857" s="112" t="s">
        <v>228</v>
      </c>
      <c r="E2857" s="113" t="s">
        <v>152</v>
      </c>
      <c r="F2857" s="216" t="s">
        <v>15</v>
      </c>
      <c r="G2857" s="216" t="s">
        <v>28</v>
      </c>
      <c r="H2857" s="217">
        <v>12.2</v>
      </c>
      <c r="I2857" s="221">
        <v>11.25</v>
      </c>
      <c r="J2857" s="219">
        <f>21+24+24+27+25+24+24+23+23+23+23+22</f>
        <v>283</v>
      </c>
      <c r="K2857" s="220">
        <f t="shared" si="266"/>
        <v>38.841749999999998</v>
      </c>
      <c r="L2857" s="118"/>
      <c r="M2857" s="111">
        <v>283</v>
      </c>
      <c r="N2857" s="117">
        <f t="shared" si="267"/>
        <v>38.841749999999998</v>
      </c>
      <c r="O2857" s="119">
        <f t="shared" si="268"/>
        <v>0</v>
      </c>
      <c r="P2857" s="120">
        <f t="shared" si="269"/>
        <v>0</v>
      </c>
      <c r="Q2857" s="111"/>
      <c r="R2857" s="111"/>
      <c r="S2857" s="111"/>
    </row>
    <row r="2858" spans="2:19" ht="15.6">
      <c r="B2858" s="110" t="s">
        <v>425</v>
      </c>
      <c r="C2858" s="111" t="s">
        <v>232</v>
      </c>
      <c r="D2858" s="112" t="s">
        <v>228</v>
      </c>
      <c r="E2858" s="113" t="s">
        <v>152</v>
      </c>
      <c r="F2858" s="216" t="s">
        <v>15</v>
      </c>
      <c r="G2858" s="216" t="s">
        <v>28</v>
      </c>
      <c r="H2858" s="217">
        <v>12.2</v>
      </c>
      <c r="I2858" s="221">
        <v>11.5</v>
      </c>
      <c r="J2858" s="219">
        <f>23+23+24+23+23+23+23+23+23+21+18+18+1</f>
        <v>266</v>
      </c>
      <c r="K2858" s="220">
        <f t="shared" si="266"/>
        <v>37.319799999999994</v>
      </c>
      <c r="L2858" s="118"/>
      <c r="M2858" s="111">
        <v>266</v>
      </c>
      <c r="N2858" s="117">
        <f t="shared" si="267"/>
        <v>37.319799999999994</v>
      </c>
      <c r="O2858" s="119">
        <f t="shared" si="268"/>
        <v>0</v>
      </c>
      <c r="P2858" s="120">
        <f t="shared" si="269"/>
        <v>0</v>
      </c>
      <c r="Q2858" s="111"/>
      <c r="R2858" s="111"/>
      <c r="S2858" s="111"/>
    </row>
    <row r="2859" spans="2:19" ht="15.6">
      <c r="B2859" s="110" t="s">
        <v>425</v>
      </c>
      <c r="C2859" s="111" t="s">
        <v>232</v>
      </c>
      <c r="D2859" s="112" t="s">
        <v>228</v>
      </c>
      <c r="E2859" s="113" t="s">
        <v>152</v>
      </c>
      <c r="F2859" s="216" t="s">
        <v>15</v>
      </c>
      <c r="G2859" s="216" t="s">
        <v>28</v>
      </c>
      <c r="H2859" s="217">
        <v>12.2</v>
      </c>
      <c r="I2859" s="221">
        <v>12</v>
      </c>
      <c r="J2859" s="219">
        <f>15+11</f>
        <v>26</v>
      </c>
      <c r="K2859" s="220">
        <f t="shared" si="266"/>
        <v>3.8063999999999996</v>
      </c>
      <c r="L2859" s="118"/>
      <c r="M2859" s="111">
        <f>15+11</f>
        <v>26</v>
      </c>
      <c r="N2859" s="117">
        <f t="shared" si="267"/>
        <v>3.8063999999999996</v>
      </c>
      <c r="O2859" s="119">
        <f t="shared" si="268"/>
        <v>0</v>
      </c>
      <c r="P2859" s="120">
        <f t="shared" si="269"/>
        <v>0</v>
      </c>
      <c r="Q2859" s="111"/>
      <c r="R2859" s="111"/>
      <c r="S2859" s="111"/>
    </row>
    <row r="2860" spans="2:19" ht="15.6">
      <c r="B2860" s="110" t="s">
        <v>425</v>
      </c>
      <c r="C2860" s="111" t="s">
        <v>232</v>
      </c>
      <c r="D2860" s="112" t="s">
        <v>228</v>
      </c>
      <c r="E2860" s="113" t="s">
        <v>152</v>
      </c>
      <c r="F2860" s="216" t="s">
        <v>15</v>
      </c>
      <c r="G2860" s="216" t="s">
        <v>28</v>
      </c>
      <c r="H2860" s="217">
        <v>12.2</v>
      </c>
      <c r="I2860" s="221">
        <v>10.5</v>
      </c>
      <c r="J2860" s="219">
        <v>24</v>
      </c>
      <c r="K2860" s="220">
        <f t="shared" si="266"/>
        <v>3.0743999999999998</v>
      </c>
      <c r="L2860" s="118" t="s">
        <v>252</v>
      </c>
      <c r="M2860" s="111">
        <v>24</v>
      </c>
      <c r="N2860" s="117">
        <f t="shared" si="267"/>
        <v>3.0743999999999998</v>
      </c>
      <c r="O2860" s="119">
        <f t="shared" si="268"/>
        <v>0</v>
      </c>
      <c r="P2860" s="120">
        <f t="shared" si="269"/>
        <v>0</v>
      </c>
      <c r="Q2860" s="111"/>
      <c r="R2860" s="111"/>
      <c r="S2860" s="111"/>
    </row>
    <row r="2861" spans="2:19" ht="15.6">
      <c r="B2861" s="110" t="s">
        <v>425</v>
      </c>
      <c r="C2861" s="111" t="s">
        <v>232</v>
      </c>
      <c r="D2861" s="112" t="s">
        <v>228</v>
      </c>
      <c r="E2861" s="113" t="s">
        <v>152</v>
      </c>
      <c r="F2861" s="216" t="s">
        <v>15</v>
      </c>
      <c r="G2861" s="216" t="s">
        <v>28</v>
      </c>
      <c r="H2861" s="217">
        <v>12.2</v>
      </c>
      <c r="I2861" s="221">
        <v>11.25</v>
      </c>
      <c r="J2861" s="219">
        <v>2</v>
      </c>
      <c r="K2861" s="220">
        <f t="shared" si="266"/>
        <v>0.27450000000000002</v>
      </c>
      <c r="L2861" s="118" t="s">
        <v>252</v>
      </c>
      <c r="M2861" s="111">
        <v>2</v>
      </c>
      <c r="N2861" s="117">
        <f t="shared" si="267"/>
        <v>0.27450000000000002</v>
      </c>
      <c r="O2861" s="119">
        <f t="shared" si="268"/>
        <v>0</v>
      </c>
      <c r="P2861" s="120">
        <f t="shared" si="269"/>
        <v>0</v>
      </c>
      <c r="Q2861" s="111"/>
      <c r="R2861" s="111"/>
      <c r="S2861" s="111"/>
    </row>
    <row r="2862" spans="2:19" ht="15.6">
      <c r="B2862" s="110" t="s">
        <v>425</v>
      </c>
      <c r="C2862" s="111" t="s">
        <v>232</v>
      </c>
      <c r="D2862" s="112" t="s">
        <v>228</v>
      </c>
      <c r="E2862" s="113" t="s">
        <v>152</v>
      </c>
      <c r="F2862" s="216" t="s">
        <v>15</v>
      </c>
      <c r="G2862" s="216" t="s">
        <v>28</v>
      </c>
      <c r="H2862" s="217">
        <v>12.2</v>
      </c>
      <c r="I2862" s="221">
        <v>12</v>
      </c>
      <c r="J2862" s="219">
        <v>2</v>
      </c>
      <c r="K2862" s="220">
        <f t="shared" si="266"/>
        <v>0.29279999999999995</v>
      </c>
      <c r="L2862" s="118" t="s">
        <v>252</v>
      </c>
      <c r="M2862" s="111">
        <v>2</v>
      </c>
      <c r="N2862" s="117">
        <f t="shared" si="267"/>
        <v>0.29279999999999995</v>
      </c>
      <c r="O2862" s="119">
        <f t="shared" si="268"/>
        <v>0</v>
      </c>
      <c r="P2862" s="120">
        <f t="shared" si="269"/>
        <v>0</v>
      </c>
      <c r="Q2862" s="111"/>
      <c r="R2862" s="111"/>
      <c r="S2862" s="111"/>
    </row>
    <row r="2863" spans="2:19" ht="15.6">
      <c r="B2863" s="110" t="s">
        <v>425</v>
      </c>
      <c r="C2863" s="111" t="s">
        <v>232</v>
      </c>
      <c r="D2863" s="112" t="s">
        <v>228</v>
      </c>
      <c r="E2863" s="113" t="s">
        <v>152</v>
      </c>
      <c r="F2863" s="216" t="s">
        <v>15</v>
      </c>
      <c r="G2863" s="216" t="s">
        <v>28</v>
      </c>
      <c r="H2863" s="217">
        <v>12.2</v>
      </c>
      <c r="I2863" s="221">
        <v>10.5</v>
      </c>
      <c r="J2863" s="219">
        <v>24</v>
      </c>
      <c r="K2863" s="220">
        <f t="shared" si="266"/>
        <v>3.0743999999999998</v>
      </c>
      <c r="L2863" s="118" t="s">
        <v>252</v>
      </c>
      <c r="M2863" s="111">
        <v>24</v>
      </c>
      <c r="N2863" s="117">
        <f t="shared" si="267"/>
        <v>3.0743999999999998</v>
      </c>
      <c r="O2863" s="119">
        <f t="shared" si="268"/>
        <v>0</v>
      </c>
      <c r="P2863" s="120">
        <f t="shared" si="269"/>
        <v>0</v>
      </c>
      <c r="Q2863" s="111"/>
      <c r="R2863" s="111"/>
      <c r="S2863" s="111"/>
    </row>
    <row r="2864" spans="2:19" ht="15.6">
      <c r="B2864" s="110" t="s">
        <v>425</v>
      </c>
      <c r="C2864" s="111" t="s">
        <v>232</v>
      </c>
      <c r="D2864" s="112" t="s">
        <v>228</v>
      </c>
      <c r="E2864" s="113" t="s">
        <v>152</v>
      </c>
      <c r="F2864" s="216" t="s">
        <v>15</v>
      </c>
      <c r="G2864" s="216" t="s">
        <v>28</v>
      </c>
      <c r="H2864" s="217">
        <v>12.2</v>
      </c>
      <c r="I2864" s="221">
        <v>11.25</v>
      </c>
      <c r="J2864" s="219">
        <v>4</v>
      </c>
      <c r="K2864" s="220">
        <f t="shared" si="266"/>
        <v>0.54900000000000004</v>
      </c>
      <c r="L2864" s="118" t="s">
        <v>252</v>
      </c>
      <c r="M2864" s="111">
        <v>4</v>
      </c>
      <c r="N2864" s="117">
        <f t="shared" si="267"/>
        <v>0.54900000000000004</v>
      </c>
      <c r="O2864" s="119">
        <f t="shared" si="268"/>
        <v>0</v>
      </c>
      <c r="P2864" s="120">
        <f t="shared" si="269"/>
        <v>0</v>
      </c>
      <c r="Q2864" s="111"/>
      <c r="R2864" s="111"/>
      <c r="S2864" s="111"/>
    </row>
    <row r="2865" spans="1:19" ht="15.6">
      <c r="B2865" s="110" t="s">
        <v>425</v>
      </c>
      <c r="C2865" s="111" t="s">
        <v>232</v>
      </c>
      <c r="D2865" s="112" t="s">
        <v>228</v>
      </c>
      <c r="E2865" s="113" t="s">
        <v>152</v>
      </c>
      <c r="F2865" s="216" t="s">
        <v>15</v>
      </c>
      <c r="G2865" s="216" t="s">
        <v>28</v>
      </c>
      <c r="H2865" s="217">
        <v>12.2</v>
      </c>
      <c r="I2865" s="221">
        <v>10.5</v>
      </c>
      <c r="J2865" s="219">
        <v>14</v>
      </c>
      <c r="K2865" s="220">
        <f t="shared" si="266"/>
        <v>1.7933999999999999</v>
      </c>
      <c r="L2865" s="118" t="s">
        <v>252</v>
      </c>
      <c r="M2865" s="111">
        <v>14</v>
      </c>
      <c r="N2865" s="117">
        <f t="shared" si="267"/>
        <v>1.7933999999999999</v>
      </c>
      <c r="O2865" s="119">
        <f t="shared" si="268"/>
        <v>0</v>
      </c>
      <c r="P2865" s="120">
        <f t="shared" si="269"/>
        <v>0</v>
      </c>
      <c r="Q2865" s="111"/>
      <c r="R2865" s="111"/>
      <c r="S2865" s="111"/>
    </row>
    <row r="2866" spans="1:19" ht="15.6">
      <c r="B2866" s="110" t="s">
        <v>425</v>
      </c>
      <c r="C2866" s="111" t="s">
        <v>232</v>
      </c>
      <c r="D2866" s="112" t="s">
        <v>228</v>
      </c>
      <c r="E2866" s="113" t="s">
        <v>152</v>
      </c>
      <c r="F2866" s="216" t="s">
        <v>15</v>
      </c>
      <c r="G2866" s="216" t="s">
        <v>28</v>
      </c>
      <c r="H2866" s="217">
        <v>12.2</v>
      </c>
      <c r="I2866" s="221">
        <v>12</v>
      </c>
      <c r="J2866" s="219">
        <v>4</v>
      </c>
      <c r="K2866" s="220">
        <f t="shared" si="266"/>
        <v>0.5855999999999999</v>
      </c>
      <c r="L2866" s="118" t="s">
        <v>252</v>
      </c>
      <c r="M2866" s="111">
        <v>4</v>
      </c>
      <c r="N2866" s="117">
        <f t="shared" si="267"/>
        <v>0.5855999999999999</v>
      </c>
      <c r="O2866" s="119">
        <f t="shared" si="268"/>
        <v>0</v>
      </c>
      <c r="P2866" s="120">
        <f t="shared" si="269"/>
        <v>0</v>
      </c>
      <c r="Q2866" s="111"/>
      <c r="R2866" s="111"/>
      <c r="S2866" s="111"/>
    </row>
    <row r="2867" spans="1:19" ht="15.6">
      <c r="B2867" s="110" t="s">
        <v>425</v>
      </c>
      <c r="C2867" s="111" t="s">
        <v>232</v>
      </c>
      <c r="D2867" s="112" t="s">
        <v>228</v>
      </c>
      <c r="E2867" s="113" t="s">
        <v>152</v>
      </c>
      <c r="F2867" s="216" t="s">
        <v>15</v>
      </c>
      <c r="G2867" s="216" t="s">
        <v>28</v>
      </c>
      <c r="H2867" s="217">
        <v>12.2</v>
      </c>
      <c r="I2867" s="221">
        <v>10.4</v>
      </c>
      <c r="J2867" s="219">
        <v>5</v>
      </c>
      <c r="K2867" s="220">
        <f t="shared" si="266"/>
        <v>0.63439999999999996</v>
      </c>
      <c r="L2867" s="118"/>
      <c r="M2867" s="111"/>
      <c r="N2867" s="117">
        <f t="shared" si="267"/>
        <v>0</v>
      </c>
      <c r="O2867" s="145">
        <f t="shared" si="268"/>
        <v>5</v>
      </c>
      <c r="P2867" s="120">
        <f t="shared" si="269"/>
        <v>0.63439999999999996</v>
      </c>
      <c r="Q2867" s="79">
        <v>10.25</v>
      </c>
      <c r="R2867" s="72">
        <v>5</v>
      </c>
      <c r="S2867" s="72" t="s">
        <v>467</v>
      </c>
    </row>
    <row r="2868" spans="1:19" ht="15.6">
      <c r="B2868" s="110" t="s">
        <v>425</v>
      </c>
      <c r="C2868" s="111" t="s">
        <v>232</v>
      </c>
      <c r="D2868" s="112" t="s">
        <v>228</v>
      </c>
      <c r="E2868" s="113" t="s">
        <v>152</v>
      </c>
      <c r="F2868" s="216" t="s">
        <v>15</v>
      </c>
      <c r="G2868" s="216" t="s">
        <v>28</v>
      </c>
      <c r="H2868" s="217">
        <v>12.2</v>
      </c>
      <c r="I2868" s="221">
        <v>10.199999999999999</v>
      </c>
      <c r="J2868" s="219">
        <v>11</v>
      </c>
      <c r="K2868" s="220">
        <f t="shared" si="266"/>
        <v>1.3688399999999998</v>
      </c>
      <c r="L2868" s="118"/>
      <c r="M2868" s="111"/>
      <c r="N2868" s="117">
        <f t="shared" si="267"/>
        <v>0</v>
      </c>
      <c r="O2868" s="145">
        <f t="shared" si="268"/>
        <v>11</v>
      </c>
      <c r="P2868" s="120">
        <f>I2868*O2868*H2868/1000</f>
        <v>1.3688399999999996</v>
      </c>
      <c r="Q2868" s="79">
        <v>10.25</v>
      </c>
      <c r="R2868" s="72">
        <v>11</v>
      </c>
      <c r="S2868" s="72" t="s">
        <v>467</v>
      </c>
    </row>
    <row r="2869" spans="1:19" ht="15.6">
      <c r="B2869" s="110" t="s">
        <v>425</v>
      </c>
      <c r="C2869" s="111" t="s">
        <v>232</v>
      </c>
      <c r="D2869" s="112" t="s">
        <v>228</v>
      </c>
      <c r="E2869" s="113" t="s">
        <v>152</v>
      </c>
      <c r="F2869" s="216" t="s">
        <v>15</v>
      </c>
      <c r="G2869" s="216" t="s">
        <v>28</v>
      </c>
      <c r="H2869" s="217">
        <v>12.2</v>
      </c>
      <c r="I2869" s="221">
        <v>10</v>
      </c>
      <c r="J2869" s="219">
        <v>4</v>
      </c>
      <c r="K2869" s="220">
        <f t="shared" si="266"/>
        <v>0.48799999999999999</v>
      </c>
      <c r="L2869" s="118"/>
      <c r="M2869" s="111"/>
      <c r="N2869" s="117">
        <f t="shared" si="267"/>
        <v>0</v>
      </c>
      <c r="O2869" s="145">
        <f t="shared" si="268"/>
        <v>4</v>
      </c>
      <c r="P2869" s="120">
        <f>I2869*O2869*H2869/1000</f>
        <v>0.48799999999999999</v>
      </c>
      <c r="Q2869" s="79">
        <v>7.13</v>
      </c>
      <c r="R2869" s="72">
        <v>4</v>
      </c>
      <c r="S2869" s="72" t="s">
        <v>467</v>
      </c>
    </row>
    <row r="2870" spans="1:19" ht="15.6">
      <c r="B2870" s="110" t="s">
        <v>425</v>
      </c>
      <c r="C2870" s="111" t="s">
        <v>232</v>
      </c>
      <c r="D2870" s="112" t="s">
        <v>228</v>
      </c>
      <c r="E2870" s="113" t="s">
        <v>152</v>
      </c>
      <c r="F2870" s="216" t="s">
        <v>15</v>
      </c>
      <c r="G2870" s="216" t="s">
        <v>28</v>
      </c>
      <c r="H2870" s="217">
        <v>12.2</v>
      </c>
      <c r="I2870" s="221">
        <v>9.3000000000000007</v>
      </c>
      <c r="J2870" s="219">
        <v>1</v>
      </c>
      <c r="K2870" s="220">
        <f t="shared" si="266"/>
        <v>0.11346000000000001</v>
      </c>
      <c r="L2870" s="118"/>
      <c r="M2870" s="111"/>
      <c r="N2870" s="117">
        <f t="shared" si="267"/>
        <v>0</v>
      </c>
      <c r="O2870" s="145">
        <f t="shared" si="268"/>
        <v>1</v>
      </c>
      <c r="P2870" s="120">
        <f>I2870*O2870*H2870/1000</f>
        <v>0.11346000000000001</v>
      </c>
      <c r="Q2870" s="79">
        <v>7.13</v>
      </c>
      <c r="R2870" s="72">
        <v>1</v>
      </c>
      <c r="S2870" s="72" t="s">
        <v>467</v>
      </c>
    </row>
    <row r="2871" spans="1:19" ht="15.6">
      <c r="B2871" s="110" t="s">
        <v>425</v>
      </c>
      <c r="C2871" s="111" t="s">
        <v>232</v>
      </c>
      <c r="D2871" s="112" t="s">
        <v>228</v>
      </c>
      <c r="E2871" s="113" t="s">
        <v>152</v>
      </c>
      <c r="F2871" s="216" t="s">
        <v>15</v>
      </c>
      <c r="G2871" s="216" t="s">
        <v>28</v>
      </c>
      <c r="H2871" s="217">
        <v>12.2</v>
      </c>
      <c r="I2871" s="221">
        <v>7.2</v>
      </c>
      <c r="J2871" s="219">
        <v>1</v>
      </c>
      <c r="K2871" s="220">
        <f t="shared" si="266"/>
        <v>8.7840000000000001E-2</v>
      </c>
      <c r="L2871" s="118"/>
      <c r="M2871" s="111"/>
      <c r="N2871" s="117">
        <f t="shared" si="267"/>
        <v>0</v>
      </c>
      <c r="O2871" s="145">
        <f t="shared" si="268"/>
        <v>1</v>
      </c>
      <c r="P2871" s="120">
        <f>I2871*O2871*H2871/1000</f>
        <v>8.7840000000000001E-2</v>
      </c>
      <c r="Q2871" s="79">
        <v>7.13</v>
      </c>
      <c r="R2871" s="72">
        <v>1</v>
      </c>
      <c r="S2871" s="72" t="s">
        <v>467</v>
      </c>
    </row>
    <row r="2872" spans="1:19" ht="15.6">
      <c r="B2872" s="110" t="s">
        <v>425</v>
      </c>
      <c r="C2872" s="111" t="s">
        <v>232</v>
      </c>
      <c r="D2872" s="112" t="s">
        <v>228</v>
      </c>
      <c r="E2872" s="113" t="s">
        <v>152</v>
      </c>
      <c r="F2872" s="216" t="s">
        <v>15</v>
      </c>
      <c r="G2872" s="216" t="s">
        <v>28</v>
      </c>
      <c r="H2872" s="217">
        <v>12.2</v>
      </c>
      <c r="I2872" s="221">
        <v>4.5</v>
      </c>
      <c r="J2872" s="219">
        <v>1</v>
      </c>
      <c r="K2872" s="220">
        <f t="shared" si="266"/>
        <v>5.4899999999999997E-2</v>
      </c>
      <c r="L2872" s="118"/>
      <c r="M2872" s="111"/>
      <c r="N2872" s="117">
        <f t="shared" si="267"/>
        <v>0</v>
      </c>
      <c r="O2872" s="119">
        <f t="shared" si="268"/>
        <v>1</v>
      </c>
      <c r="P2872" s="120">
        <f>I2872*O2872*H2872/1000</f>
        <v>5.4899999999999997E-2</v>
      </c>
      <c r="Q2872" s="111"/>
      <c r="R2872" s="111"/>
      <c r="S2872" s="111"/>
    </row>
    <row r="2873" spans="1:19">
      <c r="B2873" s="213"/>
      <c r="C2873" s="213"/>
      <c r="D2873" s="213"/>
      <c r="E2873" s="213"/>
      <c r="F2873" s="213"/>
      <c r="G2873" s="213"/>
      <c r="H2873" s="213"/>
      <c r="I2873" s="213"/>
      <c r="J2873" s="215">
        <f>SUM(J2838:J2872)</f>
        <v>2235</v>
      </c>
      <c r="K2873" s="214">
        <f>SUM(K2838:K2872)</f>
        <v>297.63791000000003</v>
      </c>
      <c r="L2873" s="213"/>
      <c r="M2873" s="215">
        <f>SUM(M2838:M2872)</f>
        <v>2237</v>
      </c>
      <c r="N2873" s="214">
        <f>SUM(N2838:N2872)</f>
        <v>298.23815000000002</v>
      </c>
      <c r="O2873" s="78">
        <f>SUM(O2838:O2872)</f>
        <v>-2</v>
      </c>
      <c r="P2873" s="128">
        <f>SUM(P2838:P2872)</f>
        <v>-0.60024000000000233</v>
      </c>
      <c r="Q2873" s="213"/>
      <c r="R2873" s="80">
        <f>SUM(R2838:R2872)</f>
        <v>47</v>
      </c>
      <c r="S2873" s="213"/>
    </row>
    <row r="2877" spans="1:19">
      <c r="A2877" s="42" t="s">
        <v>78</v>
      </c>
      <c r="B2877" s="3" t="s">
        <v>79</v>
      </c>
      <c r="C2877" s="3">
        <v>5</v>
      </c>
      <c r="D2877" s="1"/>
      <c r="E2877" s="20" t="s">
        <v>24</v>
      </c>
      <c r="F2877" s="7" t="s">
        <v>14</v>
      </c>
      <c r="G2877" s="7" t="s">
        <v>37</v>
      </c>
      <c r="H2877" s="11">
        <v>18.149999999999999</v>
      </c>
      <c r="I2877" s="8">
        <v>11.3</v>
      </c>
      <c r="J2877" s="26">
        <v>6</v>
      </c>
      <c r="K2877" s="10">
        <v>1.2305699999999999</v>
      </c>
      <c r="L2877" s="4"/>
      <c r="M2877" s="17">
        <v>6</v>
      </c>
      <c r="N2877" s="18">
        <v>1.2305700000000002</v>
      </c>
      <c r="O2877" s="19">
        <v>0</v>
      </c>
      <c r="P2877" s="13">
        <v>0</v>
      </c>
      <c r="Q2877" s="9" t="s">
        <v>306</v>
      </c>
      <c r="R2877" s="2">
        <v>6</v>
      </c>
      <c r="S2877" s="2" t="s">
        <v>307</v>
      </c>
    </row>
    <row r="2878" spans="1:19">
      <c r="A2878" s="42" t="s">
        <v>90</v>
      </c>
      <c r="B2878" s="48" t="s">
        <v>148</v>
      </c>
      <c r="C2878" s="32">
        <v>54</v>
      </c>
      <c r="D2878" s="32"/>
      <c r="E2878" s="48" t="s">
        <v>24</v>
      </c>
      <c r="F2878" s="48" t="s">
        <v>14</v>
      </c>
      <c r="G2878" s="48" t="s">
        <v>37</v>
      </c>
      <c r="H2878" s="11">
        <v>18.149999999999999</v>
      </c>
      <c r="I2878" s="8">
        <v>11.35</v>
      </c>
      <c r="J2878" s="7">
        <v>1</v>
      </c>
      <c r="K2878" s="10">
        <v>0.20600249999999998</v>
      </c>
      <c r="L2878" s="32"/>
      <c r="M2878" s="32">
        <v>1</v>
      </c>
      <c r="N2878" s="18">
        <v>0.20600249999999998</v>
      </c>
      <c r="O2878" s="19">
        <v>0</v>
      </c>
      <c r="P2878" s="13">
        <v>0</v>
      </c>
      <c r="Q2878" s="32">
        <v>8.75</v>
      </c>
      <c r="R2878" s="32">
        <v>1</v>
      </c>
      <c r="S2878" s="2" t="s">
        <v>307</v>
      </c>
    </row>
    <row r="2881" spans="1:19">
      <c r="A2881" s="42" t="s">
        <v>77</v>
      </c>
      <c r="B2881" s="3" t="s">
        <v>68</v>
      </c>
      <c r="C2881" s="3">
        <v>229</v>
      </c>
      <c r="D2881" s="1"/>
      <c r="E2881" s="20" t="s">
        <v>17</v>
      </c>
      <c r="F2881" s="7" t="s">
        <v>15</v>
      </c>
      <c r="G2881" s="7" t="s">
        <v>33</v>
      </c>
      <c r="H2881" s="11">
        <v>15.92</v>
      </c>
      <c r="I2881" s="8">
        <v>5.9</v>
      </c>
      <c r="J2881" s="26">
        <v>1</v>
      </c>
      <c r="K2881" s="10">
        <v>9.3928000000000011E-2</v>
      </c>
      <c r="L2881" s="4"/>
      <c r="M2881" s="17"/>
      <c r="N2881" s="18">
        <v>0</v>
      </c>
      <c r="O2881" s="19">
        <v>1</v>
      </c>
      <c r="P2881" s="13">
        <v>9.3928000000000011E-2</v>
      </c>
      <c r="Q2881" s="9"/>
      <c r="R2881" s="2"/>
      <c r="S2881" s="2"/>
    </row>
    <row r="2882" spans="1:19">
      <c r="A2882" s="42" t="s">
        <v>77</v>
      </c>
      <c r="B2882" s="3" t="s">
        <v>68</v>
      </c>
      <c r="C2882" s="3">
        <v>229</v>
      </c>
      <c r="D2882" s="1"/>
      <c r="E2882" s="20" t="s">
        <v>17</v>
      </c>
      <c r="F2882" s="7" t="s">
        <v>15</v>
      </c>
      <c r="G2882" s="7" t="s">
        <v>33</v>
      </c>
      <c r="H2882" s="11">
        <v>15.92</v>
      </c>
      <c r="I2882" s="8">
        <v>6</v>
      </c>
      <c r="J2882" s="26">
        <v>1</v>
      </c>
      <c r="K2882" s="10">
        <v>9.5519999999999994E-2</v>
      </c>
      <c r="L2882" s="4"/>
      <c r="M2882" s="17"/>
      <c r="N2882" s="18">
        <v>0</v>
      </c>
      <c r="O2882" s="19">
        <v>1</v>
      </c>
      <c r="P2882" s="13">
        <v>9.5519999999999994E-2</v>
      </c>
      <c r="Q2882" s="9"/>
      <c r="R2882" s="2"/>
      <c r="S2882" s="2"/>
    </row>
    <row r="2883" spans="1:19">
      <c r="A2883" s="42" t="s">
        <v>90</v>
      </c>
      <c r="B2883" s="3"/>
      <c r="C2883" s="3">
        <v>136</v>
      </c>
      <c r="D2883" s="1"/>
      <c r="E2883" s="20" t="s">
        <v>17</v>
      </c>
      <c r="F2883" s="7" t="s">
        <v>15</v>
      </c>
      <c r="G2883" s="7" t="s">
        <v>33</v>
      </c>
      <c r="H2883" s="11">
        <v>15.92</v>
      </c>
      <c r="I2883" s="8">
        <v>5.5</v>
      </c>
      <c r="J2883" s="26">
        <v>1</v>
      </c>
      <c r="K2883" s="10">
        <v>8.7559999999999999E-2</v>
      </c>
      <c r="L2883" s="4"/>
      <c r="M2883" s="17"/>
      <c r="N2883" s="18">
        <v>0</v>
      </c>
      <c r="O2883" s="19">
        <v>1</v>
      </c>
      <c r="P2883" s="13">
        <v>8.7559999999999999E-2</v>
      </c>
      <c r="Q2883" s="9"/>
      <c r="R2883" s="2"/>
      <c r="S2883" s="2"/>
    </row>
    <row r="2884" spans="1:19">
      <c r="A2884" s="42" t="s">
        <v>90</v>
      </c>
      <c r="B2884" s="3"/>
      <c r="C2884" s="3">
        <v>136</v>
      </c>
      <c r="D2884" s="1"/>
      <c r="E2884" s="20" t="s">
        <v>17</v>
      </c>
      <c r="F2884" s="7" t="s">
        <v>15</v>
      </c>
      <c r="G2884" s="7" t="s">
        <v>33</v>
      </c>
      <c r="H2884" s="11">
        <v>15.92</v>
      </c>
      <c r="I2884" s="8">
        <v>6</v>
      </c>
      <c r="J2884" s="26">
        <v>3</v>
      </c>
      <c r="K2884" s="10">
        <v>0.28655999999999998</v>
      </c>
      <c r="L2884" s="4"/>
      <c r="M2884" s="17">
        <v>3</v>
      </c>
      <c r="N2884" s="18">
        <v>0.28655999999999998</v>
      </c>
      <c r="O2884" s="19">
        <v>0</v>
      </c>
      <c r="P2884" s="13">
        <v>0</v>
      </c>
      <c r="Q2884" s="9">
        <v>6</v>
      </c>
      <c r="R2884" s="2">
        <v>3</v>
      </c>
      <c r="S2884" s="2" t="s">
        <v>323</v>
      </c>
    </row>
    <row r="2885" spans="1:19">
      <c r="A2885" s="42" t="s">
        <v>90</v>
      </c>
      <c r="B2885" s="3"/>
      <c r="C2885" s="3">
        <v>143</v>
      </c>
      <c r="D2885" s="1"/>
      <c r="E2885" s="20" t="s">
        <v>17</v>
      </c>
      <c r="F2885" s="7" t="s">
        <v>15</v>
      </c>
      <c r="G2885" s="7" t="s">
        <v>33</v>
      </c>
      <c r="H2885" s="11">
        <v>15.92</v>
      </c>
      <c r="I2885" s="8">
        <v>10</v>
      </c>
      <c r="J2885" s="26">
        <v>1</v>
      </c>
      <c r="K2885" s="10">
        <v>0.15919999999999998</v>
      </c>
      <c r="L2885" s="4"/>
      <c r="M2885" s="22">
        <v>1</v>
      </c>
      <c r="N2885" s="18">
        <v>0.15919999999999998</v>
      </c>
      <c r="O2885" s="19">
        <v>0</v>
      </c>
      <c r="P2885" s="13">
        <v>0</v>
      </c>
      <c r="Q2885" s="9">
        <v>10</v>
      </c>
      <c r="R2885" s="2">
        <v>1</v>
      </c>
      <c r="S2885" s="2" t="s">
        <v>323</v>
      </c>
    </row>
    <row r="2886" spans="1:19">
      <c r="A2886" s="42" t="s">
        <v>90</v>
      </c>
      <c r="B2886" s="3"/>
      <c r="C2886" s="3">
        <v>143</v>
      </c>
      <c r="D2886" s="1"/>
      <c r="E2886" s="20" t="s">
        <v>17</v>
      </c>
      <c r="F2886" s="7" t="s">
        <v>15</v>
      </c>
      <c r="G2886" s="7" t="s">
        <v>33</v>
      </c>
      <c r="H2886" s="11">
        <v>15.92</v>
      </c>
      <c r="I2886" s="8">
        <v>12</v>
      </c>
      <c r="J2886" s="26">
        <v>4</v>
      </c>
      <c r="K2886" s="10">
        <v>0.76415999999999995</v>
      </c>
      <c r="L2886" s="4"/>
      <c r="M2886" s="17">
        <v>4</v>
      </c>
      <c r="N2886" s="18">
        <v>0.76415999999999995</v>
      </c>
      <c r="O2886" s="19">
        <v>0</v>
      </c>
      <c r="P2886" s="13">
        <v>0</v>
      </c>
      <c r="Q2886" s="9">
        <v>12</v>
      </c>
      <c r="R2886" s="2">
        <v>4</v>
      </c>
      <c r="S2886" s="2" t="s">
        <v>323</v>
      </c>
    </row>
    <row r="2887" spans="1:19">
      <c r="A2887" s="42" t="s">
        <v>90</v>
      </c>
      <c r="B2887" s="3"/>
      <c r="C2887" s="3">
        <v>179</v>
      </c>
      <c r="D2887" s="1"/>
      <c r="E2887" s="20" t="s">
        <v>17</v>
      </c>
      <c r="F2887" s="7" t="s">
        <v>15</v>
      </c>
      <c r="G2887" s="7" t="s">
        <v>33</v>
      </c>
      <c r="H2887" s="11">
        <v>15.92</v>
      </c>
      <c r="I2887" s="8">
        <v>12</v>
      </c>
      <c r="J2887" s="26">
        <v>3</v>
      </c>
      <c r="K2887" s="10">
        <v>0.57311999999999996</v>
      </c>
      <c r="L2887" s="4"/>
      <c r="M2887" s="17">
        <v>3</v>
      </c>
      <c r="N2887" s="18">
        <v>0.57311999999999996</v>
      </c>
      <c r="O2887" s="19">
        <v>0</v>
      </c>
      <c r="P2887" s="13">
        <v>0</v>
      </c>
      <c r="Q2887" s="9">
        <v>12</v>
      </c>
      <c r="R2887" s="2">
        <v>3</v>
      </c>
      <c r="S2887" s="2" t="s">
        <v>323</v>
      </c>
    </row>
    <row r="2888" spans="1:19">
      <c r="A2888" s="42" t="s">
        <v>90</v>
      </c>
      <c r="B2888" s="3"/>
      <c r="C2888" s="3">
        <v>179</v>
      </c>
      <c r="D2888" s="1"/>
      <c r="E2888" s="20" t="s">
        <v>17</v>
      </c>
      <c r="F2888" s="7" t="s">
        <v>15</v>
      </c>
      <c r="G2888" s="7" t="s">
        <v>33</v>
      </c>
      <c r="H2888" s="11">
        <v>15.92</v>
      </c>
      <c r="I2888" s="8">
        <v>10.9</v>
      </c>
      <c r="J2888" s="26">
        <v>1</v>
      </c>
      <c r="K2888" s="10">
        <v>0.17352799999999999</v>
      </c>
      <c r="L2888" s="4"/>
      <c r="M2888" s="17">
        <v>1</v>
      </c>
      <c r="N2888" s="18">
        <v>0.17352799999999999</v>
      </c>
      <c r="O2888" s="19">
        <v>0</v>
      </c>
      <c r="P2888" s="13">
        <v>0</v>
      </c>
      <c r="Q2888" s="9">
        <v>10</v>
      </c>
      <c r="R2888" s="2">
        <v>1</v>
      </c>
      <c r="S2888" s="2" t="s">
        <v>323</v>
      </c>
    </row>
    <row r="2889" spans="1:19">
      <c r="A2889" s="42" t="s">
        <v>90</v>
      </c>
      <c r="B2889" s="3"/>
      <c r="C2889" s="3">
        <v>179</v>
      </c>
      <c r="D2889" s="1"/>
      <c r="E2889" s="20" t="s">
        <v>17</v>
      </c>
      <c r="F2889" s="7" t="s">
        <v>15</v>
      </c>
      <c r="G2889" s="7" t="s">
        <v>33</v>
      </c>
      <c r="H2889" s="11">
        <v>15.92</v>
      </c>
      <c r="I2889" s="8">
        <v>10</v>
      </c>
      <c r="J2889" s="26">
        <v>1</v>
      </c>
      <c r="K2889" s="10">
        <v>0.15919999999999998</v>
      </c>
      <c r="L2889" s="4"/>
      <c r="M2889" s="17">
        <v>1</v>
      </c>
      <c r="N2889" s="18">
        <v>0.15919999999999998</v>
      </c>
      <c r="O2889" s="19">
        <v>0</v>
      </c>
      <c r="P2889" s="13">
        <v>0</v>
      </c>
      <c r="Q2889" s="9">
        <v>10</v>
      </c>
      <c r="R2889" s="2">
        <v>1</v>
      </c>
      <c r="S2889" s="2" t="s">
        <v>323</v>
      </c>
    </row>
    <row r="2890" spans="1:19">
      <c r="A2890" s="42" t="s">
        <v>90</v>
      </c>
      <c r="B2890" s="3"/>
      <c r="C2890" s="3">
        <v>179</v>
      </c>
      <c r="D2890" s="1"/>
      <c r="E2890" s="20" t="s">
        <v>17</v>
      </c>
      <c r="F2890" s="7" t="s">
        <v>15</v>
      </c>
      <c r="G2890" s="7" t="s">
        <v>33</v>
      </c>
      <c r="H2890" s="11">
        <v>15.92</v>
      </c>
      <c r="I2890" s="8">
        <v>9.5</v>
      </c>
      <c r="J2890" s="26">
        <v>1</v>
      </c>
      <c r="K2890" s="10">
        <v>0.15124000000000001</v>
      </c>
      <c r="L2890" s="4"/>
      <c r="M2890" s="17">
        <v>1</v>
      </c>
      <c r="N2890" s="18">
        <v>0.15124000000000001</v>
      </c>
      <c r="O2890" s="19">
        <v>0</v>
      </c>
      <c r="P2890" s="13">
        <v>0</v>
      </c>
      <c r="Q2890" s="9">
        <v>8.6999999999999993</v>
      </c>
      <c r="R2890" s="2">
        <v>1</v>
      </c>
      <c r="S2890" s="2" t="s">
        <v>323</v>
      </c>
    </row>
    <row r="2891" spans="1:19">
      <c r="A2891" s="42" t="s">
        <v>90</v>
      </c>
      <c r="B2891" s="3"/>
      <c r="C2891" s="3">
        <v>201</v>
      </c>
      <c r="D2891" s="1"/>
      <c r="E2891" s="20" t="s">
        <v>17</v>
      </c>
      <c r="F2891" s="7" t="s">
        <v>15</v>
      </c>
      <c r="G2891" s="7" t="s">
        <v>33</v>
      </c>
      <c r="H2891" s="11">
        <v>15.92</v>
      </c>
      <c r="I2891" s="8">
        <v>8.6999999999999993</v>
      </c>
      <c r="J2891" s="17">
        <v>1</v>
      </c>
      <c r="K2891" s="10">
        <v>0.13850399999999999</v>
      </c>
      <c r="L2891" s="32"/>
      <c r="M2891" s="32">
        <v>1</v>
      </c>
      <c r="N2891" s="18">
        <v>0.13850399999999999</v>
      </c>
      <c r="O2891" s="19">
        <v>0</v>
      </c>
      <c r="P2891" s="13">
        <v>0</v>
      </c>
      <c r="Q2891" s="9">
        <v>8.6999999999999993</v>
      </c>
      <c r="R2891" s="32">
        <v>1</v>
      </c>
      <c r="S2891" s="2" t="s">
        <v>323</v>
      </c>
    </row>
    <row r="2892" spans="1:19">
      <c r="A2892" s="47" t="s">
        <v>147</v>
      </c>
      <c r="B2892" s="48" t="s">
        <v>148</v>
      </c>
      <c r="C2892" s="32">
        <v>289</v>
      </c>
      <c r="D2892" s="32"/>
      <c r="E2892" s="48" t="s">
        <v>17</v>
      </c>
      <c r="F2892" s="48" t="s">
        <v>160</v>
      </c>
      <c r="G2892" s="48" t="s">
        <v>33</v>
      </c>
      <c r="H2892" s="11">
        <v>15.92</v>
      </c>
      <c r="I2892" s="52">
        <v>7.75</v>
      </c>
      <c r="J2892" s="7">
        <v>1</v>
      </c>
      <c r="K2892" s="10">
        <v>0.12337999999999999</v>
      </c>
      <c r="L2892" s="32"/>
      <c r="M2892" s="32"/>
      <c r="N2892" s="18">
        <v>0</v>
      </c>
      <c r="O2892" s="19">
        <v>1</v>
      </c>
      <c r="P2892" s="13">
        <v>0.12337999999999999</v>
      </c>
      <c r="Q2892" s="32"/>
      <c r="R2892" s="32"/>
      <c r="S2892" s="32"/>
    </row>
    <row r="2896" spans="1:19">
      <c r="A2896" s="42" t="s">
        <v>78</v>
      </c>
      <c r="B2896" s="3"/>
      <c r="C2896" s="3">
        <v>21</v>
      </c>
      <c r="D2896" s="1"/>
      <c r="E2896" s="20" t="s">
        <v>17</v>
      </c>
      <c r="F2896" s="7" t="s">
        <v>15</v>
      </c>
      <c r="G2896" s="7" t="s">
        <v>27</v>
      </c>
      <c r="H2896" s="11">
        <v>6.17</v>
      </c>
      <c r="I2896" s="8">
        <v>10.5</v>
      </c>
      <c r="J2896" s="26">
        <v>3</v>
      </c>
      <c r="K2896" s="10">
        <v>0.194355</v>
      </c>
      <c r="L2896" s="4"/>
      <c r="M2896" s="17">
        <v>3</v>
      </c>
      <c r="N2896" s="18">
        <v>0.194355</v>
      </c>
      <c r="O2896" s="19">
        <v>0</v>
      </c>
      <c r="P2896" s="13">
        <v>0</v>
      </c>
      <c r="Q2896" s="9">
        <v>9.85</v>
      </c>
      <c r="R2896" s="2">
        <v>3</v>
      </c>
      <c r="S2896" s="2" t="s">
        <v>243</v>
      </c>
    </row>
    <row r="2897" spans="1:19">
      <c r="A2897" s="42" t="s">
        <v>84</v>
      </c>
      <c r="B2897" s="3" t="s">
        <v>120</v>
      </c>
      <c r="C2897" s="3">
        <v>1</v>
      </c>
      <c r="D2897" s="1"/>
      <c r="E2897" s="20" t="s">
        <v>114</v>
      </c>
      <c r="F2897" s="7" t="s">
        <v>15</v>
      </c>
      <c r="G2897" s="7" t="s">
        <v>27</v>
      </c>
      <c r="H2897" s="11">
        <v>6.17</v>
      </c>
      <c r="I2897" s="8">
        <v>9.85</v>
      </c>
      <c r="J2897" s="26">
        <v>1</v>
      </c>
      <c r="K2897" s="10">
        <v>6.0774499999999995E-2</v>
      </c>
      <c r="L2897" s="4"/>
      <c r="M2897" s="17">
        <v>1</v>
      </c>
      <c r="N2897" s="18">
        <v>6.0774499999999995E-2</v>
      </c>
      <c r="O2897" s="19">
        <v>0</v>
      </c>
      <c r="P2897" s="13">
        <v>0</v>
      </c>
      <c r="Q2897" s="9">
        <v>9.85</v>
      </c>
      <c r="R2897" s="2">
        <v>1</v>
      </c>
      <c r="S2897" s="2"/>
    </row>
    <row r="2898" spans="1:19">
      <c r="A2898" s="42" t="s">
        <v>90</v>
      </c>
      <c r="B2898" s="3"/>
      <c r="C2898" s="3">
        <v>126</v>
      </c>
      <c r="D2898" s="1" t="s">
        <v>93</v>
      </c>
      <c r="E2898" s="12" t="s">
        <v>20</v>
      </c>
      <c r="F2898" s="7" t="s">
        <v>15</v>
      </c>
      <c r="G2898" s="7" t="s">
        <v>27</v>
      </c>
      <c r="H2898" s="11">
        <v>6.17</v>
      </c>
      <c r="I2898" s="8">
        <v>9.8000000000000007</v>
      </c>
      <c r="J2898" s="26">
        <v>2</v>
      </c>
      <c r="K2898" s="10">
        <v>0.120932</v>
      </c>
      <c r="L2898" s="4"/>
      <c r="M2898" s="22">
        <v>2</v>
      </c>
      <c r="N2898" s="18">
        <v>0.120932</v>
      </c>
      <c r="O2898" s="19">
        <v>0</v>
      </c>
      <c r="P2898" s="13">
        <v>0</v>
      </c>
      <c r="Q2898" s="9">
        <v>9.85</v>
      </c>
      <c r="R2898" s="2">
        <v>2</v>
      </c>
      <c r="S2898" s="2"/>
    </row>
    <row r="2899" spans="1:19">
      <c r="A2899" s="44" t="s">
        <v>78</v>
      </c>
      <c r="B2899" s="32" t="s">
        <v>80</v>
      </c>
      <c r="C2899" s="3">
        <v>1</v>
      </c>
      <c r="D2899" s="32"/>
      <c r="E2899" s="20" t="s">
        <v>20</v>
      </c>
      <c r="F2899" s="7" t="s">
        <v>15</v>
      </c>
      <c r="G2899" s="7" t="s">
        <v>27</v>
      </c>
      <c r="H2899" s="11">
        <v>6.17</v>
      </c>
      <c r="I2899" s="55">
        <v>10.9</v>
      </c>
      <c r="J2899" s="40">
        <v>2</v>
      </c>
      <c r="K2899" s="10">
        <v>0.13450599999999999</v>
      </c>
      <c r="L2899" s="4"/>
      <c r="M2899" s="17">
        <v>2</v>
      </c>
      <c r="N2899" s="18">
        <v>0.13450599999999999</v>
      </c>
      <c r="O2899" s="19">
        <v>0</v>
      </c>
      <c r="P2899" s="13">
        <v>0</v>
      </c>
      <c r="Q2899" s="9">
        <v>9.85</v>
      </c>
      <c r="R2899" s="32">
        <v>2</v>
      </c>
      <c r="S2899" s="32"/>
    </row>
    <row r="2900" spans="1:19">
      <c r="A2900" s="44" t="s">
        <v>78</v>
      </c>
      <c r="B2900" s="32" t="s">
        <v>80</v>
      </c>
      <c r="C2900" s="3">
        <v>1</v>
      </c>
      <c r="D2900" s="32"/>
      <c r="E2900" s="20" t="s">
        <v>20</v>
      </c>
      <c r="F2900" s="7" t="s">
        <v>15</v>
      </c>
      <c r="G2900" s="7" t="s">
        <v>27</v>
      </c>
      <c r="H2900" s="11">
        <v>6.17</v>
      </c>
      <c r="I2900" s="55">
        <v>11</v>
      </c>
      <c r="J2900" s="40">
        <v>4</v>
      </c>
      <c r="K2900" s="10">
        <v>0.27148</v>
      </c>
      <c r="L2900" s="4"/>
      <c r="M2900" s="17">
        <v>4</v>
      </c>
      <c r="N2900" s="18">
        <v>0.27148</v>
      </c>
      <c r="O2900" s="19">
        <v>0</v>
      </c>
      <c r="P2900" s="13">
        <v>0</v>
      </c>
      <c r="Q2900" s="9">
        <v>9.85</v>
      </c>
      <c r="R2900" s="32">
        <v>4</v>
      </c>
      <c r="S2900" s="32"/>
    </row>
    <row r="2905" spans="1:19">
      <c r="A2905" s="42" t="s">
        <v>90</v>
      </c>
      <c r="B2905" s="3"/>
      <c r="C2905" s="3">
        <v>218</v>
      </c>
      <c r="D2905" s="1"/>
      <c r="E2905" s="20" t="s">
        <v>20</v>
      </c>
      <c r="F2905" s="7" t="s">
        <v>15</v>
      </c>
      <c r="G2905" s="7" t="s">
        <v>35</v>
      </c>
      <c r="H2905" s="11">
        <v>16.579999999999998</v>
      </c>
      <c r="I2905" s="8">
        <v>12</v>
      </c>
      <c r="J2905" s="26">
        <v>2</v>
      </c>
      <c r="K2905" s="10">
        <f t="shared" ref="K2905:K2906" si="270">(H2905*I2905*J2905/1000)</f>
        <v>0.39791999999999994</v>
      </c>
      <c r="L2905" s="4"/>
      <c r="M2905" s="17">
        <v>2</v>
      </c>
      <c r="N2905" s="18">
        <f t="shared" ref="N2905:N2906" si="271">I2905*M2905*H2905/1000</f>
        <v>0.39791999999999994</v>
      </c>
      <c r="O2905" s="19">
        <f t="shared" ref="O2905:O2906" si="272">J2905-M2905</f>
        <v>0</v>
      </c>
      <c r="P2905" s="53">
        <f t="shared" ref="P2905:P2906" si="273">I2905*O2905*H2905/1000</f>
        <v>0</v>
      </c>
      <c r="Q2905" s="73">
        <v>12</v>
      </c>
      <c r="R2905" s="72">
        <v>2</v>
      </c>
      <c r="S2905" s="73" t="s">
        <v>370</v>
      </c>
    </row>
    <row r="2906" spans="1:19">
      <c r="A2906" s="42" t="s">
        <v>90</v>
      </c>
      <c r="B2906" s="3"/>
      <c r="C2906" s="3">
        <v>218</v>
      </c>
      <c r="D2906" s="1"/>
      <c r="E2906" s="20" t="s">
        <v>20</v>
      </c>
      <c r="F2906" s="7" t="s">
        <v>15</v>
      </c>
      <c r="G2906" s="7" t="s">
        <v>35</v>
      </c>
      <c r="H2906" s="11">
        <v>16.579999999999998</v>
      </c>
      <c r="I2906" s="8">
        <v>6.2</v>
      </c>
      <c r="J2906" s="26">
        <v>1</v>
      </c>
      <c r="K2906" s="10">
        <f t="shared" si="270"/>
        <v>0.102796</v>
      </c>
      <c r="L2906" s="4"/>
      <c r="M2906" s="17"/>
      <c r="N2906" s="18">
        <f t="shared" si="271"/>
        <v>0</v>
      </c>
      <c r="O2906" s="19">
        <f t="shared" si="272"/>
        <v>1</v>
      </c>
      <c r="P2906" s="13">
        <f t="shared" si="273"/>
        <v>0.102796</v>
      </c>
      <c r="Q2906" s="9"/>
      <c r="R2906" s="32"/>
      <c r="S2906" s="32"/>
    </row>
    <row r="2909" spans="1:19">
      <c r="A2909" s="42" t="s">
        <v>84</v>
      </c>
      <c r="B2909" s="3" t="s">
        <v>122</v>
      </c>
      <c r="C2909" s="3">
        <v>1</v>
      </c>
      <c r="D2909" s="1"/>
      <c r="E2909" s="20" t="s">
        <v>20</v>
      </c>
      <c r="F2909" s="7" t="s">
        <v>15</v>
      </c>
      <c r="G2909" s="7" t="s">
        <v>35</v>
      </c>
      <c r="H2909" s="11">
        <v>16.579999999999998</v>
      </c>
      <c r="I2909" s="8">
        <v>7</v>
      </c>
      <c r="J2909" s="26">
        <v>1</v>
      </c>
      <c r="K2909" s="10">
        <v>0.11605999999999998</v>
      </c>
      <c r="L2909" s="4"/>
      <c r="M2909" s="17">
        <v>1</v>
      </c>
      <c r="N2909" s="18">
        <v>0.11605999999999998</v>
      </c>
      <c r="O2909" s="19">
        <v>0</v>
      </c>
      <c r="P2909" s="13">
        <v>0</v>
      </c>
      <c r="Q2909" s="9"/>
      <c r="R2909" s="74">
        <v>1</v>
      </c>
      <c r="S2909" s="74" t="s">
        <v>369</v>
      </c>
    </row>
    <row r="2910" spans="1:19">
      <c r="A2910" s="42" t="s">
        <v>84</v>
      </c>
      <c r="B2910" s="3" t="s">
        <v>122</v>
      </c>
      <c r="C2910" s="3">
        <v>1</v>
      </c>
      <c r="D2910" s="1"/>
      <c r="E2910" s="20" t="s">
        <v>20</v>
      </c>
      <c r="F2910" s="7" t="s">
        <v>15</v>
      </c>
      <c r="G2910" s="7" t="s">
        <v>35</v>
      </c>
      <c r="H2910" s="11">
        <v>16.579999999999998</v>
      </c>
      <c r="I2910" s="8">
        <v>9.1999999999999993</v>
      </c>
      <c r="J2910" s="26">
        <v>1</v>
      </c>
      <c r="K2910" s="10">
        <v>0.15253599999999998</v>
      </c>
      <c r="L2910" s="4"/>
      <c r="M2910" s="17">
        <v>1</v>
      </c>
      <c r="N2910" s="18">
        <v>0.15253599999999998</v>
      </c>
      <c r="O2910" s="19">
        <v>0</v>
      </c>
      <c r="P2910" s="13">
        <v>0</v>
      </c>
      <c r="Q2910" s="9"/>
      <c r="R2910" s="74">
        <v>1</v>
      </c>
      <c r="S2910" s="74" t="s">
        <v>369</v>
      </c>
    </row>
    <row r="2911" spans="1:19">
      <c r="A2911" s="42" t="s">
        <v>84</v>
      </c>
      <c r="B2911" s="3" t="s">
        <v>122</v>
      </c>
      <c r="C2911" s="3">
        <v>1</v>
      </c>
      <c r="D2911" s="1"/>
      <c r="E2911" s="20" t="s">
        <v>20</v>
      </c>
      <c r="F2911" s="7" t="s">
        <v>15</v>
      </c>
      <c r="G2911" s="7" t="s">
        <v>35</v>
      </c>
      <c r="H2911" s="11">
        <v>16.579999999999998</v>
      </c>
      <c r="I2911" s="8">
        <v>10</v>
      </c>
      <c r="J2911" s="26">
        <v>1</v>
      </c>
      <c r="K2911" s="10">
        <v>0.16579999999999998</v>
      </c>
      <c r="L2911" s="4"/>
      <c r="M2911" s="17">
        <v>1</v>
      </c>
      <c r="N2911" s="18">
        <v>0.16579999999999998</v>
      </c>
      <c r="O2911" s="19">
        <v>0</v>
      </c>
      <c r="P2911" s="13">
        <v>0</v>
      </c>
      <c r="Q2911" s="9"/>
      <c r="R2911" s="74">
        <v>1</v>
      </c>
      <c r="S2911" s="74" t="s">
        <v>369</v>
      </c>
    </row>
    <row r="2912" spans="1:19">
      <c r="A2912" s="42" t="s">
        <v>84</v>
      </c>
      <c r="B2912" s="3" t="s">
        <v>122</v>
      </c>
      <c r="C2912" s="3">
        <v>1</v>
      </c>
      <c r="D2912" s="1"/>
      <c r="E2912" s="20" t="s">
        <v>20</v>
      </c>
      <c r="F2912" s="7" t="s">
        <v>15</v>
      </c>
      <c r="G2912" s="7" t="s">
        <v>35</v>
      </c>
      <c r="H2912" s="11">
        <v>16.579999999999998</v>
      </c>
      <c r="I2912" s="8">
        <v>12</v>
      </c>
      <c r="J2912" s="26">
        <v>3</v>
      </c>
      <c r="K2912" s="10">
        <v>0.59687999999999986</v>
      </c>
      <c r="L2912" s="4"/>
      <c r="M2912" s="17">
        <v>3</v>
      </c>
      <c r="N2912" s="18">
        <v>0.59687999999999986</v>
      </c>
      <c r="O2912" s="19">
        <v>0</v>
      </c>
      <c r="P2912" s="13">
        <v>0</v>
      </c>
      <c r="Q2912" s="9"/>
      <c r="R2912" s="74">
        <v>3</v>
      </c>
      <c r="S2912" s="74" t="s">
        <v>369</v>
      </c>
    </row>
    <row r="2913" spans="1:19">
      <c r="A2913" s="42" t="s">
        <v>84</v>
      </c>
      <c r="B2913" s="3"/>
      <c r="C2913" s="3">
        <v>1</v>
      </c>
      <c r="D2913" s="1"/>
      <c r="E2913" s="20" t="s">
        <v>20</v>
      </c>
      <c r="F2913" s="7" t="s">
        <v>15</v>
      </c>
      <c r="G2913" s="7" t="s">
        <v>35</v>
      </c>
      <c r="H2913" s="11">
        <v>16.579999999999998</v>
      </c>
      <c r="I2913" s="8">
        <v>12</v>
      </c>
      <c r="J2913" s="26">
        <v>5</v>
      </c>
      <c r="K2913" s="10">
        <v>0.99479999999999991</v>
      </c>
      <c r="L2913" s="4"/>
      <c r="M2913" s="17">
        <v>5</v>
      </c>
      <c r="N2913" s="18">
        <v>0.99479999999999991</v>
      </c>
      <c r="O2913" s="19">
        <v>0</v>
      </c>
      <c r="P2913" s="13">
        <v>0</v>
      </c>
      <c r="Q2913" s="9"/>
      <c r="R2913" s="74">
        <v>5</v>
      </c>
      <c r="S2913" s="74" t="s">
        <v>369</v>
      </c>
    </row>
    <row r="2914" spans="1:19">
      <c r="A2914" s="42" t="s">
        <v>84</v>
      </c>
      <c r="B2914" s="3" t="s">
        <v>124</v>
      </c>
      <c r="C2914" s="3">
        <v>3</v>
      </c>
      <c r="D2914" s="1"/>
      <c r="E2914" s="20" t="s">
        <v>85</v>
      </c>
      <c r="F2914" s="7" t="s">
        <v>15</v>
      </c>
      <c r="G2914" s="7" t="s">
        <v>35</v>
      </c>
      <c r="H2914" s="11">
        <v>16.579999999999998</v>
      </c>
      <c r="I2914" s="8">
        <v>7.3</v>
      </c>
      <c r="J2914" s="26">
        <v>8</v>
      </c>
      <c r="K2914" s="10">
        <v>0.9682719999999998</v>
      </c>
      <c r="L2914" s="4"/>
      <c r="M2914" s="17">
        <v>6</v>
      </c>
      <c r="N2914" s="18">
        <v>0.72620399999999985</v>
      </c>
      <c r="O2914" s="19">
        <v>2</v>
      </c>
      <c r="P2914" s="13">
        <v>0.24206799999999995</v>
      </c>
      <c r="Q2914" s="9"/>
      <c r="R2914" s="2"/>
      <c r="S2914" s="2"/>
    </row>
    <row r="2915" spans="1:19">
      <c r="A2915" s="42" t="s">
        <v>84</v>
      </c>
      <c r="B2915" s="3" t="s">
        <v>124</v>
      </c>
      <c r="C2915" s="3">
        <v>6</v>
      </c>
      <c r="D2915" s="1"/>
      <c r="E2915" s="20" t="s">
        <v>76</v>
      </c>
      <c r="F2915" s="7" t="s">
        <v>15</v>
      </c>
      <c r="G2915" s="7" t="s">
        <v>35</v>
      </c>
      <c r="H2915" s="11">
        <v>16.579999999999998</v>
      </c>
      <c r="I2915" s="8">
        <v>8.15</v>
      </c>
      <c r="J2915" s="26">
        <v>15</v>
      </c>
      <c r="K2915" s="10">
        <v>2.0269049999999997</v>
      </c>
      <c r="L2915" s="4"/>
      <c r="M2915" s="17">
        <v>4</v>
      </c>
      <c r="N2915" s="18">
        <v>0.54050799999999988</v>
      </c>
      <c r="O2915" s="19">
        <v>11</v>
      </c>
      <c r="P2915" s="13">
        <v>1.486397</v>
      </c>
      <c r="Q2915" s="9"/>
      <c r="R2915" s="74">
        <v>4</v>
      </c>
      <c r="S2915" s="74" t="s">
        <v>369</v>
      </c>
    </row>
    <row r="2916" spans="1:19">
      <c r="O2916" s="78">
        <f>SUM(O2909:O2915)</f>
        <v>13</v>
      </c>
      <c r="R2916" s="80">
        <f>SUM(R2909:R2915)</f>
        <v>15</v>
      </c>
    </row>
    <row r="2918" spans="1:19">
      <c r="B2918" s="110" t="s">
        <v>280</v>
      </c>
      <c r="C2918" s="111" t="s">
        <v>232</v>
      </c>
      <c r="D2918" s="112" t="s">
        <v>228</v>
      </c>
      <c r="E2918" s="113" t="s">
        <v>20</v>
      </c>
      <c r="F2918" s="175" t="s">
        <v>15</v>
      </c>
      <c r="G2918" s="175" t="s">
        <v>36</v>
      </c>
      <c r="H2918" s="176">
        <v>10.199999999999999</v>
      </c>
      <c r="I2918" s="177">
        <v>6</v>
      </c>
      <c r="J2918" s="178">
        <f>21+14+5+22+3</f>
        <v>65</v>
      </c>
      <c r="K2918" s="174">
        <f t="shared" ref="K2918:K2935" si="274">(H2918*I2918*J2918/1000)</f>
        <v>3.9779999999999998</v>
      </c>
      <c r="L2918" s="118"/>
      <c r="M2918" s="111">
        <v>65</v>
      </c>
      <c r="N2918" s="117">
        <f t="shared" ref="N2918:N2935" si="275">I2918*M2918*H2918/1000</f>
        <v>3.9779999999999998</v>
      </c>
      <c r="O2918" s="119">
        <f t="shared" ref="O2918:O2935" si="276">J2918-M2918</f>
        <v>0</v>
      </c>
      <c r="P2918" s="120">
        <f t="shared" ref="P2918:P2934" si="277">I2918*O2918*H2918/1000</f>
        <v>0</v>
      </c>
      <c r="Q2918" s="111"/>
      <c r="R2918" s="111"/>
      <c r="S2918" s="111"/>
    </row>
    <row r="2919" spans="1:19">
      <c r="B2919" s="110" t="s">
        <v>280</v>
      </c>
      <c r="C2919" s="111" t="s">
        <v>232</v>
      </c>
      <c r="D2919" s="112" t="s">
        <v>228</v>
      </c>
      <c r="E2919" s="113" t="s">
        <v>20</v>
      </c>
      <c r="F2919" s="175" t="s">
        <v>15</v>
      </c>
      <c r="G2919" s="175" t="s">
        <v>36</v>
      </c>
      <c r="H2919" s="176">
        <v>10.199999999999999</v>
      </c>
      <c r="I2919" s="177">
        <v>7.5</v>
      </c>
      <c r="J2919" s="178">
        <f>30+33+35+3+9+38+38+32+33+6+14+33+27</f>
        <v>331</v>
      </c>
      <c r="K2919" s="174">
        <f t="shared" si="274"/>
        <v>25.3215</v>
      </c>
      <c r="L2919" s="118"/>
      <c r="M2919" s="111">
        <f>320+11</f>
        <v>331</v>
      </c>
      <c r="N2919" s="117">
        <f t="shared" si="275"/>
        <v>25.3215</v>
      </c>
      <c r="O2919" s="119">
        <f t="shared" si="276"/>
        <v>0</v>
      </c>
      <c r="P2919" s="120">
        <f t="shared" si="277"/>
        <v>0</v>
      </c>
      <c r="Q2919" s="159"/>
      <c r="R2919" s="111"/>
      <c r="S2919" s="111"/>
    </row>
    <row r="2920" spans="1:19">
      <c r="B2920" s="110" t="s">
        <v>280</v>
      </c>
      <c r="C2920" s="111" t="s">
        <v>232</v>
      </c>
      <c r="D2920" s="112" t="s">
        <v>228</v>
      </c>
      <c r="E2920" s="113" t="s">
        <v>20</v>
      </c>
      <c r="F2920" s="175" t="s">
        <v>15</v>
      </c>
      <c r="G2920" s="175" t="s">
        <v>36</v>
      </c>
      <c r="H2920" s="176">
        <v>10.199999999999999</v>
      </c>
      <c r="I2920" s="177">
        <v>8</v>
      </c>
      <c r="J2920" s="178">
        <f>33+36+38+33+5+35+38+36+33+32+23+8+30+15</f>
        <v>395</v>
      </c>
      <c r="K2920" s="174">
        <f t="shared" si="274"/>
        <v>32.231999999999999</v>
      </c>
      <c r="L2920" s="118"/>
      <c r="M2920" s="111">
        <v>395</v>
      </c>
      <c r="N2920" s="117">
        <f t="shared" si="275"/>
        <v>32.231999999999999</v>
      </c>
      <c r="O2920" s="119">
        <f t="shared" si="276"/>
        <v>0</v>
      </c>
      <c r="P2920" s="120">
        <f t="shared" si="277"/>
        <v>0</v>
      </c>
      <c r="Q2920" s="159"/>
      <c r="R2920" s="111"/>
      <c r="S2920" s="111"/>
    </row>
    <row r="2921" spans="1:19">
      <c r="B2921" s="110" t="s">
        <v>280</v>
      </c>
      <c r="C2921" s="111" t="s">
        <v>232</v>
      </c>
      <c r="D2921" s="112" t="s">
        <v>228</v>
      </c>
      <c r="E2921" s="113" t="s">
        <v>20</v>
      </c>
      <c r="F2921" s="175" t="s">
        <v>15</v>
      </c>
      <c r="G2921" s="175" t="s">
        <v>36</v>
      </c>
      <c r="H2921" s="176">
        <v>10.199999999999999</v>
      </c>
      <c r="I2921" s="177">
        <v>11.25</v>
      </c>
      <c r="J2921" s="178">
        <f>30+29+33+17+4+10+27+9</f>
        <v>159</v>
      </c>
      <c r="K2921" s="174">
        <f t="shared" si="274"/>
        <v>18.245249999999995</v>
      </c>
      <c r="L2921" s="118"/>
      <c r="M2921" s="111">
        <f>143+1+15</f>
        <v>159</v>
      </c>
      <c r="N2921" s="117">
        <f t="shared" si="275"/>
        <v>18.245249999999999</v>
      </c>
      <c r="O2921" s="119">
        <f t="shared" si="276"/>
        <v>0</v>
      </c>
      <c r="P2921" s="120">
        <f t="shared" si="277"/>
        <v>0</v>
      </c>
      <c r="Q2921" s="75">
        <v>9.75</v>
      </c>
      <c r="R2921" s="72">
        <v>15</v>
      </c>
      <c r="S2921" s="72" t="s">
        <v>486</v>
      </c>
    </row>
    <row r="2922" spans="1:19">
      <c r="B2922" s="110" t="s">
        <v>280</v>
      </c>
      <c r="C2922" s="111" t="s">
        <v>232</v>
      </c>
      <c r="D2922" s="112" t="s">
        <v>228</v>
      </c>
      <c r="E2922" s="113" t="s">
        <v>20</v>
      </c>
      <c r="F2922" s="175" t="s">
        <v>15</v>
      </c>
      <c r="G2922" s="175" t="s">
        <v>36</v>
      </c>
      <c r="H2922" s="176">
        <v>10.199999999999999</v>
      </c>
      <c r="I2922" s="177">
        <v>10</v>
      </c>
      <c r="J2922" s="178">
        <v>2</v>
      </c>
      <c r="K2922" s="174">
        <f t="shared" si="274"/>
        <v>0.20399999999999999</v>
      </c>
      <c r="L2922" s="118"/>
      <c r="M2922" s="111">
        <v>2</v>
      </c>
      <c r="N2922" s="117">
        <f t="shared" si="275"/>
        <v>0.20399999999999999</v>
      </c>
      <c r="O2922" s="119">
        <f t="shared" si="276"/>
        <v>0</v>
      </c>
      <c r="P2922" s="120">
        <f t="shared" si="277"/>
        <v>0</v>
      </c>
      <c r="Q2922" s="159"/>
      <c r="R2922" s="111"/>
      <c r="S2922" s="111"/>
    </row>
    <row r="2923" spans="1:19">
      <c r="B2923" s="110" t="s">
        <v>280</v>
      </c>
      <c r="C2923" s="111" t="s">
        <v>232</v>
      </c>
      <c r="D2923" s="112" t="s">
        <v>228</v>
      </c>
      <c r="E2923" s="113" t="s">
        <v>20</v>
      </c>
      <c r="F2923" s="175" t="s">
        <v>15</v>
      </c>
      <c r="G2923" s="175" t="s">
        <v>36</v>
      </c>
      <c r="H2923" s="176">
        <v>10.199999999999999</v>
      </c>
      <c r="I2923" s="177">
        <v>11</v>
      </c>
      <c r="J2923" s="178">
        <v>4</v>
      </c>
      <c r="K2923" s="174">
        <f t="shared" si="274"/>
        <v>0.44879999999999998</v>
      </c>
      <c r="L2923" s="118"/>
      <c r="M2923" s="111">
        <v>4</v>
      </c>
      <c r="N2923" s="117">
        <f t="shared" si="275"/>
        <v>0.44879999999999998</v>
      </c>
      <c r="O2923" s="119">
        <f t="shared" si="276"/>
        <v>0</v>
      </c>
      <c r="P2923" s="120">
        <f t="shared" si="277"/>
        <v>0</v>
      </c>
      <c r="Q2923" s="159"/>
      <c r="R2923" s="111"/>
      <c r="S2923" s="111"/>
    </row>
    <row r="2924" spans="1:19">
      <c r="B2924" s="110" t="s">
        <v>280</v>
      </c>
      <c r="C2924" s="111" t="s">
        <v>232</v>
      </c>
      <c r="D2924" s="112" t="s">
        <v>228</v>
      </c>
      <c r="E2924" s="113" t="s">
        <v>20</v>
      </c>
      <c r="F2924" s="175" t="s">
        <v>15</v>
      </c>
      <c r="G2924" s="175" t="s">
        <v>36</v>
      </c>
      <c r="H2924" s="176">
        <v>10.199999999999999</v>
      </c>
      <c r="I2924" s="177">
        <v>12</v>
      </c>
      <c r="J2924" s="178">
        <v>3</v>
      </c>
      <c r="K2924" s="174">
        <f t="shared" si="274"/>
        <v>0.36719999999999997</v>
      </c>
      <c r="L2924" s="118"/>
      <c r="M2924" s="111">
        <v>3</v>
      </c>
      <c r="N2924" s="117">
        <f t="shared" si="275"/>
        <v>0.36719999999999997</v>
      </c>
      <c r="O2924" s="119">
        <f t="shared" si="276"/>
        <v>0</v>
      </c>
      <c r="P2924" s="120">
        <f t="shared" si="277"/>
        <v>0</v>
      </c>
      <c r="Q2924" s="159"/>
      <c r="R2924" s="111"/>
      <c r="S2924" s="111"/>
    </row>
    <row r="2925" spans="1:19">
      <c r="B2925" s="110" t="s">
        <v>280</v>
      </c>
      <c r="C2925" s="111" t="s">
        <v>232</v>
      </c>
      <c r="D2925" s="112" t="s">
        <v>228</v>
      </c>
      <c r="E2925" s="113" t="s">
        <v>20</v>
      </c>
      <c r="F2925" s="175" t="s">
        <v>15</v>
      </c>
      <c r="G2925" s="175" t="s">
        <v>36</v>
      </c>
      <c r="H2925" s="176">
        <v>10.199999999999999</v>
      </c>
      <c r="I2925" s="177">
        <v>11</v>
      </c>
      <c r="J2925" s="178">
        <v>5</v>
      </c>
      <c r="K2925" s="174">
        <f t="shared" si="274"/>
        <v>0.56100000000000005</v>
      </c>
      <c r="L2925" s="118"/>
      <c r="M2925" s="111">
        <v>5</v>
      </c>
      <c r="N2925" s="117">
        <f t="shared" si="275"/>
        <v>0.56100000000000005</v>
      </c>
      <c r="O2925" s="119">
        <f t="shared" si="276"/>
        <v>0</v>
      </c>
      <c r="P2925" s="120">
        <f t="shared" si="277"/>
        <v>0</v>
      </c>
      <c r="Q2925" s="159"/>
      <c r="R2925" s="111"/>
      <c r="S2925" s="111"/>
    </row>
    <row r="2926" spans="1:19">
      <c r="B2926" s="110" t="s">
        <v>280</v>
      </c>
      <c r="C2926" s="111" t="s">
        <v>232</v>
      </c>
      <c r="D2926" s="112" t="s">
        <v>228</v>
      </c>
      <c r="E2926" s="113" t="s">
        <v>20</v>
      </c>
      <c r="F2926" s="175" t="s">
        <v>15</v>
      </c>
      <c r="G2926" s="175" t="s">
        <v>36</v>
      </c>
      <c r="H2926" s="176">
        <v>10.199999999999999</v>
      </c>
      <c r="I2926" s="177">
        <v>10.8</v>
      </c>
      <c r="J2926" s="178">
        <v>1</v>
      </c>
      <c r="K2926" s="174">
        <f t="shared" si="274"/>
        <v>0.11015999999999999</v>
      </c>
      <c r="L2926" s="118"/>
      <c r="M2926" s="111">
        <v>1</v>
      </c>
      <c r="N2926" s="117">
        <f t="shared" si="275"/>
        <v>0.11015999999999999</v>
      </c>
      <c r="O2926" s="119">
        <f t="shared" si="276"/>
        <v>0</v>
      </c>
      <c r="P2926" s="120">
        <f t="shared" si="277"/>
        <v>0</v>
      </c>
      <c r="Q2926" s="159"/>
      <c r="R2926" s="111"/>
      <c r="S2926" s="111"/>
    </row>
    <row r="2927" spans="1:19">
      <c r="B2927" s="110" t="s">
        <v>280</v>
      </c>
      <c r="C2927" s="111" t="s">
        <v>232</v>
      </c>
      <c r="D2927" s="112" t="s">
        <v>228</v>
      </c>
      <c r="E2927" s="113" t="s">
        <v>20</v>
      </c>
      <c r="F2927" s="175" t="s">
        <v>15</v>
      </c>
      <c r="G2927" s="175" t="s">
        <v>36</v>
      </c>
      <c r="H2927" s="176">
        <v>10.199999999999999</v>
      </c>
      <c r="I2927" s="177">
        <v>10.5</v>
      </c>
      <c r="J2927" s="178">
        <v>3</v>
      </c>
      <c r="K2927" s="174">
        <f t="shared" si="274"/>
        <v>0.32129999999999997</v>
      </c>
      <c r="L2927" s="118"/>
      <c r="M2927" s="111">
        <v>3</v>
      </c>
      <c r="N2927" s="117">
        <f t="shared" si="275"/>
        <v>0.32129999999999997</v>
      </c>
      <c r="O2927" s="119">
        <f t="shared" si="276"/>
        <v>0</v>
      </c>
      <c r="P2927" s="120">
        <f t="shared" si="277"/>
        <v>0</v>
      </c>
      <c r="Q2927" s="159"/>
      <c r="R2927" s="111"/>
      <c r="S2927" s="111"/>
    </row>
    <row r="2928" spans="1:19">
      <c r="B2928" s="110" t="s">
        <v>280</v>
      </c>
      <c r="C2928" s="111" t="s">
        <v>232</v>
      </c>
      <c r="D2928" s="112" t="s">
        <v>228</v>
      </c>
      <c r="E2928" s="113" t="s">
        <v>20</v>
      </c>
      <c r="F2928" s="175" t="s">
        <v>15</v>
      </c>
      <c r="G2928" s="175" t="s">
        <v>36</v>
      </c>
      <c r="H2928" s="176">
        <v>10.199999999999999</v>
      </c>
      <c r="I2928" s="177">
        <v>7.8</v>
      </c>
      <c r="J2928" s="178">
        <v>1</v>
      </c>
      <c r="K2928" s="174">
        <f t="shared" si="274"/>
        <v>7.9559999999999992E-2</v>
      </c>
      <c r="L2928" s="118"/>
      <c r="M2928" s="111">
        <v>1</v>
      </c>
      <c r="N2928" s="117">
        <f t="shared" si="275"/>
        <v>7.9559999999999992E-2</v>
      </c>
      <c r="O2928" s="119">
        <f t="shared" si="276"/>
        <v>0</v>
      </c>
      <c r="P2928" s="120">
        <f t="shared" si="277"/>
        <v>0</v>
      </c>
      <c r="Q2928" s="159"/>
      <c r="R2928" s="111"/>
      <c r="S2928" s="111"/>
    </row>
    <row r="2929" spans="2:19">
      <c r="B2929" s="110" t="s">
        <v>280</v>
      </c>
      <c r="C2929" s="111" t="s">
        <v>232</v>
      </c>
      <c r="D2929" s="112" t="s">
        <v>228</v>
      </c>
      <c r="E2929" s="113" t="s">
        <v>20</v>
      </c>
      <c r="F2929" s="175" t="s">
        <v>15</v>
      </c>
      <c r="G2929" s="175" t="s">
        <v>36</v>
      </c>
      <c r="H2929" s="176">
        <v>10.199999999999999</v>
      </c>
      <c r="I2929" s="177">
        <v>10.5</v>
      </c>
      <c r="J2929" s="178">
        <v>1</v>
      </c>
      <c r="K2929" s="174">
        <f t="shared" si="274"/>
        <v>0.1071</v>
      </c>
      <c r="L2929" s="118"/>
      <c r="M2929" s="111">
        <v>1</v>
      </c>
      <c r="N2929" s="117">
        <f t="shared" si="275"/>
        <v>0.1071</v>
      </c>
      <c r="O2929" s="119">
        <f t="shared" si="276"/>
        <v>0</v>
      </c>
      <c r="P2929" s="120">
        <f t="shared" si="277"/>
        <v>0</v>
      </c>
      <c r="Q2929" s="159"/>
      <c r="R2929" s="111"/>
      <c r="S2929" s="111"/>
    </row>
    <row r="2930" spans="2:19">
      <c r="B2930" s="110" t="s">
        <v>280</v>
      </c>
      <c r="C2930" s="111" t="s">
        <v>232</v>
      </c>
      <c r="D2930" s="112" t="s">
        <v>228</v>
      </c>
      <c r="E2930" s="113" t="s">
        <v>20</v>
      </c>
      <c r="F2930" s="175" t="s">
        <v>15</v>
      </c>
      <c r="G2930" s="175" t="s">
        <v>36</v>
      </c>
      <c r="H2930" s="176">
        <v>10.199999999999999</v>
      </c>
      <c r="I2930" s="177">
        <v>7.7</v>
      </c>
      <c r="J2930" s="178">
        <v>1</v>
      </c>
      <c r="K2930" s="174">
        <f t="shared" si="274"/>
        <v>7.8539999999999999E-2</v>
      </c>
      <c r="L2930" s="118"/>
      <c r="M2930" s="111">
        <v>1</v>
      </c>
      <c r="N2930" s="117">
        <f t="shared" si="275"/>
        <v>7.8539999999999999E-2</v>
      </c>
      <c r="O2930" s="119">
        <f t="shared" si="276"/>
        <v>0</v>
      </c>
      <c r="P2930" s="120">
        <f t="shared" si="277"/>
        <v>0</v>
      </c>
      <c r="Q2930" s="159"/>
      <c r="R2930" s="111"/>
      <c r="S2930" s="111"/>
    </row>
    <row r="2931" spans="2:19">
      <c r="B2931" s="110" t="s">
        <v>280</v>
      </c>
      <c r="C2931" s="111" t="s">
        <v>232</v>
      </c>
      <c r="D2931" s="112" t="s">
        <v>228</v>
      </c>
      <c r="E2931" s="113" t="s">
        <v>20</v>
      </c>
      <c r="F2931" s="175" t="s">
        <v>15</v>
      </c>
      <c r="G2931" s="175" t="s">
        <v>36</v>
      </c>
      <c r="H2931" s="176">
        <v>10.199999999999999</v>
      </c>
      <c r="I2931" s="177">
        <v>9.3000000000000007</v>
      </c>
      <c r="J2931" s="178">
        <v>1</v>
      </c>
      <c r="K2931" s="174">
        <f t="shared" si="274"/>
        <v>9.486E-2</v>
      </c>
      <c r="L2931" s="118"/>
      <c r="M2931" s="111">
        <v>1</v>
      </c>
      <c r="N2931" s="117">
        <f t="shared" si="275"/>
        <v>9.486E-2</v>
      </c>
      <c r="O2931" s="119">
        <f t="shared" si="276"/>
        <v>0</v>
      </c>
      <c r="P2931" s="120">
        <f t="shared" si="277"/>
        <v>0</v>
      </c>
      <c r="Q2931" s="159"/>
      <c r="R2931" s="111"/>
      <c r="S2931" s="111"/>
    </row>
    <row r="2932" spans="2:19">
      <c r="B2932" s="110" t="s">
        <v>280</v>
      </c>
      <c r="C2932" s="111" t="s">
        <v>232</v>
      </c>
      <c r="D2932" s="112" t="s">
        <v>228</v>
      </c>
      <c r="E2932" s="113" t="s">
        <v>20</v>
      </c>
      <c r="F2932" s="175" t="s">
        <v>15</v>
      </c>
      <c r="G2932" s="175" t="s">
        <v>36</v>
      </c>
      <c r="H2932" s="176">
        <v>10.199999999999999</v>
      </c>
      <c r="I2932" s="177">
        <v>9</v>
      </c>
      <c r="J2932" s="178">
        <v>1</v>
      </c>
      <c r="K2932" s="174">
        <f t="shared" si="274"/>
        <v>9.1799999999999993E-2</v>
      </c>
      <c r="L2932" s="118"/>
      <c r="M2932" s="111">
        <v>1</v>
      </c>
      <c r="N2932" s="117">
        <f t="shared" si="275"/>
        <v>9.1799999999999993E-2</v>
      </c>
      <c r="O2932" s="119">
        <f t="shared" si="276"/>
        <v>0</v>
      </c>
      <c r="P2932" s="120">
        <f t="shared" si="277"/>
        <v>0</v>
      </c>
      <c r="Q2932" s="159"/>
      <c r="R2932" s="111"/>
      <c r="S2932" s="111"/>
    </row>
    <row r="2933" spans="2:19">
      <c r="B2933" s="110" t="s">
        <v>280</v>
      </c>
      <c r="C2933" s="111" t="s">
        <v>232</v>
      </c>
      <c r="D2933" s="112" t="s">
        <v>228</v>
      </c>
      <c r="E2933" s="113" t="s">
        <v>20</v>
      </c>
      <c r="F2933" s="175" t="s">
        <v>15</v>
      </c>
      <c r="G2933" s="175" t="s">
        <v>36</v>
      </c>
      <c r="H2933" s="176">
        <v>10.199999999999999</v>
      </c>
      <c r="I2933" s="179">
        <v>7</v>
      </c>
      <c r="J2933" s="178">
        <v>2</v>
      </c>
      <c r="K2933" s="174">
        <f t="shared" si="274"/>
        <v>0.14279999999999998</v>
      </c>
      <c r="L2933" s="118"/>
      <c r="M2933" s="111">
        <v>2</v>
      </c>
      <c r="N2933" s="117">
        <f t="shared" si="275"/>
        <v>0.14279999999999998</v>
      </c>
      <c r="O2933" s="119">
        <f t="shared" si="276"/>
        <v>0</v>
      </c>
      <c r="P2933" s="120">
        <f t="shared" si="277"/>
        <v>0</v>
      </c>
      <c r="Q2933" s="159"/>
      <c r="R2933" s="111"/>
      <c r="S2933" s="111"/>
    </row>
    <row r="2934" spans="2:19">
      <c r="B2934" s="110" t="s">
        <v>280</v>
      </c>
      <c r="C2934" s="111" t="s">
        <v>232</v>
      </c>
      <c r="D2934" s="112" t="s">
        <v>228</v>
      </c>
      <c r="E2934" s="113" t="s">
        <v>20</v>
      </c>
      <c r="F2934" s="175" t="s">
        <v>15</v>
      </c>
      <c r="G2934" s="175" t="s">
        <v>36</v>
      </c>
      <c r="H2934" s="176">
        <v>10.199999999999999</v>
      </c>
      <c r="I2934" s="179">
        <v>7.1</v>
      </c>
      <c r="J2934" s="178">
        <v>2</v>
      </c>
      <c r="K2934" s="174">
        <f t="shared" si="274"/>
        <v>0.14483999999999997</v>
      </c>
      <c r="L2934" s="118"/>
      <c r="M2934" s="111">
        <v>2</v>
      </c>
      <c r="N2934" s="117">
        <f t="shared" si="275"/>
        <v>0.14483999999999997</v>
      </c>
      <c r="O2934" s="119">
        <f t="shared" si="276"/>
        <v>0</v>
      </c>
      <c r="P2934" s="120">
        <f t="shared" si="277"/>
        <v>0</v>
      </c>
      <c r="Q2934" s="159"/>
      <c r="R2934" s="111"/>
      <c r="S2934" s="111"/>
    </row>
    <row r="2935" spans="2:19">
      <c r="B2935" s="110" t="s">
        <v>280</v>
      </c>
      <c r="C2935" s="111" t="s">
        <v>232</v>
      </c>
      <c r="D2935" s="112" t="s">
        <v>228</v>
      </c>
      <c r="E2935" s="113" t="s">
        <v>20</v>
      </c>
      <c r="F2935" s="175" t="s">
        <v>15</v>
      </c>
      <c r="G2935" s="175" t="s">
        <v>36</v>
      </c>
      <c r="H2935" s="176">
        <v>10.199999999999999</v>
      </c>
      <c r="I2935" s="179">
        <v>6.1</v>
      </c>
      <c r="J2935" s="178">
        <v>1</v>
      </c>
      <c r="K2935" s="174">
        <f t="shared" si="274"/>
        <v>6.2219999999999991E-2</v>
      </c>
      <c r="L2935" s="118"/>
      <c r="M2935" s="111">
        <v>1</v>
      </c>
      <c r="N2935" s="117">
        <f t="shared" si="275"/>
        <v>6.2219999999999991E-2</v>
      </c>
      <c r="O2935" s="119">
        <f t="shared" si="276"/>
        <v>0</v>
      </c>
      <c r="P2935" s="120">
        <f>I2935*O2935*H2935/1000</f>
        <v>0</v>
      </c>
      <c r="Q2935" s="159"/>
      <c r="R2935" s="111"/>
      <c r="S2935" s="111"/>
    </row>
    <row r="2936" spans="2:19">
      <c r="B2936" s="213"/>
      <c r="C2936" s="213"/>
      <c r="D2936" s="213"/>
      <c r="E2936" s="213"/>
      <c r="F2936" s="213"/>
      <c r="G2936" s="213"/>
      <c r="H2936" s="213"/>
      <c r="I2936" s="213"/>
      <c r="J2936" s="78">
        <f>SUM(J2918:J2935)</f>
        <v>978</v>
      </c>
      <c r="K2936" s="245">
        <f>SUM(K2918:K2935)</f>
        <v>82.590929999999986</v>
      </c>
      <c r="L2936" s="213"/>
      <c r="M2936" s="80">
        <f>SUM(M2918:M2935)</f>
        <v>978</v>
      </c>
      <c r="N2936" s="128">
        <f>SUM(N2918:N2935)</f>
        <v>82.590929999999986</v>
      </c>
      <c r="O2936" s="78">
        <f>SUM(O2918:O2935)</f>
        <v>0</v>
      </c>
      <c r="P2936" s="128">
        <f>SUM(P2918:P2935)</f>
        <v>0</v>
      </c>
      <c r="Q2936" s="213"/>
      <c r="R2936" s="78">
        <f>SUM(R2918:R2935)</f>
        <v>15</v>
      </c>
      <c r="S2936" s="213"/>
    </row>
    <row r="2938" spans="2:19">
      <c r="B2938" s="110" t="s">
        <v>303</v>
      </c>
      <c r="C2938" s="111" t="s">
        <v>232</v>
      </c>
      <c r="D2938" s="112" t="s">
        <v>228</v>
      </c>
      <c r="E2938" s="113" t="s">
        <v>17</v>
      </c>
      <c r="F2938" s="175" t="s">
        <v>15</v>
      </c>
      <c r="G2938" s="175" t="s">
        <v>36</v>
      </c>
      <c r="H2938" s="176">
        <v>10.199999999999999</v>
      </c>
      <c r="I2938" s="179">
        <v>7.25</v>
      </c>
      <c r="J2938" s="178">
        <v>15</v>
      </c>
      <c r="K2938" s="174">
        <f t="shared" ref="K2938:K2950" si="278">(H2938*I2938*J2938/1000)</f>
        <v>1.1092499999999998</v>
      </c>
      <c r="L2938" s="118"/>
      <c r="M2938" s="111">
        <f>11+2</f>
        <v>13</v>
      </c>
      <c r="N2938" s="117">
        <f t="shared" ref="N2938:N2950" si="279">I2938*M2938*H2938/1000</f>
        <v>0.96134999999999993</v>
      </c>
      <c r="O2938" s="119">
        <f t="shared" ref="O2938:O2950" si="280">J2938-M2938</f>
        <v>2</v>
      </c>
      <c r="P2938" s="120">
        <f t="shared" ref="P2938:P2949" si="281">I2938*O2938*H2938/1000</f>
        <v>0.14789999999999998</v>
      </c>
      <c r="Q2938" s="159"/>
      <c r="R2938" s="111"/>
      <c r="S2938" s="111"/>
    </row>
    <row r="2939" spans="2:19">
      <c r="B2939" s="110" t="s">
        <v>303</v>
      </c>
      <c r="C2939" s="111" t="s">
        <v>232</v>
      </c>
      <c r="D2939" s="112" t="s">
        <v>228</v>
      </c>
      <c r="E2939" s="113" t="s">
        <v>17</v>
      </c>
      <c r="F2939" s="175" t="s">
        <v>15</v>
      </c>
      <c r="G2939" s="175" t="s">
        <v>36</v>
      </c>
      <c r="H2939" s="176">
        <v>10.199999999999999</v>
      </c>
      <c r="I2939" s="179">
        <v>8.25</v>
      </c>
      <c r="J2939" s="178">
        <v>10</v>
      </c>
      <c r="K2939" s="174">
        <f t="shared" si="278"/>
        <v>0.84149999999999991</v>
      </c>
      <c r="L2939" s="118"/>
      <c r="M2939" s="111">
        <v>4</v>
      </c>
      <c r="N2939" s="117">
        <f t="shared" si="279"/>
        <v>0.33659999999999995</v>
      </c>
      <c r="O2939" s="180">
        <f t="shared" si="280"/>
        <v>6</v>
      </c>
      <c r="P2939" s="181">
        <f t="shared" si="281"/>
        <v>0.50490000000000002</v>
      </c>
      <c r="Q2939" s="159"/>
      <c r="R2939" s="111"/>
      <c r="S2939" s="111"/>
    </row>
    <row r="2940" spans="2:19">
      <c r="B2940" s="110" t="s">
        <v>303</v>
      </c>
      <c r="C2940" s="111" t="s">
        <v>232</v>
      </c>
      <c r="D2940" s="112" t="s">
        <v>228</v>
      </c>
      <c r="E2940" s="113" t="s">
        <v>17</v>
      </c>
      <c r="F2940" s="175" t="s">
        <v>15</v>
      </c>
      <c r="G2940" s="175" t="s">
        <v>36</v>
      </c>
      <c r="H2940" s="176">
        <v>10.199999999999999</v>
      </c>
      <c r="I2940" s="179">
        <v>10</v>
      </c>
      <c r="J2940" s="178">
        <v>19</v>
      </c>
      <c r="K2940" s="174">
        <f t="shared" si="278"/>
        <v>1.9379999999999999</v>
      </c>
      <c r="L2940" s="118"/>
      <c r="M2940" s="111">
        <v>19</v>
      </c>
      <c r="N2940" s="117">
        <f t="shared" si="279"/>
        <v>1.9379999999999997</v>
      </c>
      <c r="O2940" s="119">
        <f t="shared" si="280"/>
        <v>0</v>
      </c>
      <c r="P2940" s="120">
        <f t="shared" si="281"/>
        <v>0</v>
      </c>
      <c r="Q2940" s="159"/>
      <c r="R2940" s="111"/>
      <c r="S2940" s="111"/>
    </row>
    <row r="2941" spans="2:19">
      <c r="B2941" s="110" t="s">
        <v>303</v>
      </c>
      <c r="C2941" s="111" t="s">
        <v>232</v>
      </c>
      <c r="D2941" s="112" t="s">
        <v>228</v>
      </c>
      <c r="E2941" s="113" t="s">
        <v>17</v>
      </c>
      <c r="F2941" s="175" t="s">
        <v>15</v>
      </c>
      <c r="G2941" s="175" t="s">
        <v>36</v>
      </c>
      <c r="H2941" s="176">
        <v>10.199999999999999</v>
      </c>
      <c r="I2941" s="179">
        <v>12</v>
      </c>
      <c r="J2941" s="178">
        <v>15</v>
      </c>
      <c r="K2941" s="174">
        <f t="shared" si="278"/>
        <v>1.8359999999999999</v>
      </c>
      <c r="L2941" s="118"/>
      <c r="M2941" s="111">
        <v>15</v>
      </c>
      <c r="N2941" s="117">
        <f t="shared" si="279"/>
        <v>1.8359999999999999</v>
      </c>
      <c r="O2941" s="119">
        <f t="shared" si="280"/>
        <v>0</v>
      </c>
      <c r="P2941" s="120">
        <f t="shared" si="281"/>
        <v>0</v>
      </c>
      <c r="Q2941" s="159"/>
      <c r="R2941" s="111"/>
      <c r="S2941" s="111"/>
    </row>
    <row r="2942" spans="2:19">
      <c r="B2942" s="110" t="s">
        <v>303</v>
      </c>
      <c r="C2942" s="111" t="s">
        <v>232</v>
      </c>
      <c r="D2942" s="112" t="s">
        <v>228</v>
      </c>
      <c r="E2942" s="113" t="s">
        <v>17</v>
      </c>
      <c r="F2942" s="175" t="s">
        <v>15</v>
      </c>
      <c r="G2942" s="175" t="s">
        <v>36</v>
      </c>
      <c r="H2942" s="176">
        <v>10.199999999999999</v>
      </c>
      <c r="I2942" s="179">
        <v>6.6</v>
      </c>
      <c r="J2942" s="178">
        <v>13</v>
      </c>
      <c r="K2942" s="174">
        <f t="shared" si="278"/>
        <v>0.87515999999999983</v>
      </c>
      <c r="L2942" s="118"/>
      <c r="M2942" s="111">
        <v>13</v>
      </c>
      <c r="N2942" s="117">
        <f t="shared" si="279"/>
        <v>0.87515999999999983</v>
      </c>
      <c r="O2942" s="119">
        <f t="shared" si="280"/>
        <v>0</v>
      </c>
      <c r="P2942" s="120">
        <f t="shared" si="281"/>
        <v>0</v>
      </c>
      <c r="Q2942" s="159"/>
      <c r="R2942" s="111"/>
      <c r="S2942" s="111"/>
    </row>
    <row r="2943" spans="2:19">
      <c r="B2943" s="110" t="s">
        <v>303</v>
      </c>
      <c r="C2943" s="111" t="s">
        <v>232</v>
      </c>
      <c r="D2943" s="112" t="s">
        <v>228</v>
      </c>
      <c r="E2943" s="113" t="s">
        <v>17</v>
      </c>
      <c r="F2943" s="175" t="s">
        <v>15</v>
      </c>
      <c r="G2943" s="175" t="s">
        <v>36</v>
      </c>
      <c r="H2943" s="176">
        <v>10.199999999999999</v>
      </c>
      <c r="I2943" s="179">
        <v>11.8</v>
      </c>
      <c r="J2943" s="178">
        <v>6</v>
      </c>
      <c r="K2943" s="174">
        <f t="shared" si="278"/>
        <v>0.72215999999999991</v>
      </c>
      <c r="L2943" s="118"/>
      <c r="M2943" s="111">
        <f>6+5</f>
        <v>11</v>
      </c>
      <c r="N2943" s="117">
        <f t="shared" si="279"/>
        <v>1.32396</v>
      </c>
      <c r="O2943" s="180">
        <f t="shared" si="280"/>
        <v>-5</v>
      </c>
      <c r="P2943" s="397">
        <f t="shared" si="281"/>
        <v>-0.6018</v>
      </c>
      <c r="Q2943" s="191" t="s">
        <v>304</v>
      </c>
      <c r="R2943" s="192"/>
      <c r="S2943" s="111"/>
    </row>
    <row r="2944" spans="2:19">
      <c r="B2944" s="110" t="s">
        <v>303</v>
      </c>
      <c r="C2944" s="111" t="s">
        <v>232</v>
      </c>
      <c r="D2944" s="112" t="s">
        <v>228</v>
      </c>
      <c r="E2944" s="113" t="s">
        <v>17</v>
      </c>
      <c r="F2944" s="175" t="s">
        <v>15</v>
      </c>
      <c r="G2944" s="175" t="s">
        <v>36</v>
      </c>
      <c r="H2944" s="176">
        <v>10.199999999999999</v>
      </c>
      <c r="I2944" s="179">
        <v>11.4</v>
      </c>
      <c r="J2944" s="178">
        <v>1</v>
      </c>
      <c r="K2944" s="174">
        <f t="shared" si="278"/>
        <v>0.11627999999999999</v>
      </c>
      <c r="L2944" s="118"/>
      <c r="M2944" s="111"/>
      <c r="N2944" s="117">
        <f t="shared" si="279"/>
        <v>0</v>
      </c>
      <c r="O2944" s="119">
        <f t="shared" si="280"/>
        <v>1</v>
      </c>
      <c r="P2944" s="120">
        <f t="shared" si="281"/>
        <v>0.11627999999999999</v>
      </c>
      <c r="Q2944" s="159"/>
      <c r="R2944" s="111"/>
      <c r="S2944" s="111"/>
    </row>
    <row r="2945" spans="1:19">
      <c r="B2945" s="110" t="s">
        <v>303</v>
      </c>
      <c r="C2945" s="111" t="s">
        <v>232</v>
      </c>
      <c r="D2945" s="112" t="s">
        <v>228</v>
      </c>
      <c r="E2945" s="113" t="s">
        <v>17</v>
      </c>
      <c r="F2945" s="175" t="s">
        <v>15</v>
      </c>
      <c r="G2945" s="175" t="s">
        <v>36</v>
      </c>
      <c r="H2945" s="176">
        <v>10.199999999999999</v>
      </c>
      <c r="I2945" s="179">
        <v>11</v>
      </c>
      <c r="J2945" s="178">
        <v>2</v>
      </c>
      <c r="K2945" s="174">
        <f t="shared" si="278"/>
        <v>0.22439999999999999</v>
      </c>
      <c r="L2945" s="118"/>
      <c r="M2945" s="111"/>
      <c r="N2945" s="117">
        <f t="shared" si="279"/>
        <v>0</v>
      </c>
      <c r="O2945" s="180">
        <f t="shared" si="280"/>
        <v>2</v>
      </c>
      <c r="P2945" s="181">
        <f t="shared" si="281"/>
        <v>0.22439999999999999</v>
      </c>
      <c r="Q2945" s="159"/>
      <c r="R2945" s="111"/>
      <c r="S2945" s="111"/>
    </row>
    <row r="2946" spans="1:19">
      <c r="B2946" s="110" t="s">
        <v>303</v>
      </c>
      <c r="C2946" s="111" t="s">
        <v>232</v>
      </c>
      <c r="D2946" s="112" t="s">
        <v>228</v>
      </c>
      <c r="E2946" s="113" t="s">
        <v>17</v>
      </c>
      <c r="F2946" s="175" t="s">
        <v>15</v>
      </c>
      <c r="G2946" s="175" t="s">
        <v>36</v>
      </c>
      <c r="H2946" s="176">
        <v>10.199999999999999</v>
      </c>
      <c r="I2946" s="179">
        <v>10</v>
      </c>
      <c r="J2946" s="178">
        <v>1</v>
      </c>
      <c r="K2946" s="174">
        <f t="shared" si="278"/>
        <v>0.10199999999999999</v>
      </c>
      <c r="L2946" s="118"/>
      <c r="M2946" s="111">
        <v>1</v>
      </c>
      <c r="N2946" s="117">
        <f t="shared" si="279"/>
        <v>0.10199999999999999</v>
      </c>
      <c r="O2946" s="119">
        <f t="shared" si="280"/>
        <v>0</v>
      </c>
      <c r="P2946" s="120">
        <f t="shared" si="281"/>
        <v>0</v>
      </c>
      <c r="Q2946" s="75">
        <v>9.75</v>
      </c>
      <c r="R2946" s="72">
        <v>1</v>
      </c>
      <c r="S2946" s="72" t="s">
        <v>487</v>
      </c>
    </row>
    <row r="2947" spans="1:19">
      <c r="B2947" s="110" t="s">
        <v>303</v>
      </c>
      <c r="C2947" s="111" t="s">
        <v>232</v>
      </c>
      <c r="D2947" s="112" t="s">
        <v>228</v>
      </c>
      <c r="E2947" s="113" t="s">
        <v>17</v>
      </c>
      <c r="F2947" s="175" t="s">
        <v>15</v>
      </c>
      <c r="G2947" s="175" t="s">
        <v>36</v>
      </c>
      <c r="H2947" s="176">
        <v>10.199999999999999</v>
      </c>
      <c r="I2947" s="179">
        <v>9.5</v>
      </c>
      <c r="J2947" s="178">
        <v>1</v>
      </c>
      <c r="K2947" s="174">
        <f t="shared" si="278"/>
        <v>9.6899999999999986E-2</v>
      </c>
      <c r="L2947" s="118"/>
      <c r="M2947" s="111"/>
      <c r="N2947" s="117">
        <f t="shared" si="279"/>
        <v>0</v>
      </c>
      <c r="O2947" s="119">
        <f t="shared" si="280"/>
        <v>1</v>
      </c>
      <c r="P2947" s="120">
        <f t="shared" si="281"/>
        <v>9.6899999999999986E-2</v>
      </c>
      <c r="Q2947" s="159"/>
      <c r="R2947" s="111"/>
      <c r="S2947" s="111"/>
    </row>
    <row r="2948" spans="1:19">
      <c r="B2948" s="110" t="s">
        <v>303</v>
      </c>
      <c r="C2948" s="111" t="s">
        <v>232</v>
      </c>
      <c r="D2948" s="112" t="s">
        <v>228</v>
      </c>
      <c r="E2948" s="113" t="s">
        <v>17</v>
      </c>
      <c r="F2948" s="175" t="s">
        <v>15</v>
      </c>
      <c r="G2948" s="175" t="s">
        <v>36</v>
      </c>
      <c r="H2948" s="176">
        <v>10.199999999999999</v>
      </c>
      <c r="I2948" s="179">
        <v>9</v>
      </c>
      <c r="J2948" s="178">
        <v>1</v>
      </c>
      <c r="K2948" s="174">
        <f t="shared" si="278"/>
        <v>9.1799999999999993E-2</v>
      </c>
      <c r="L2948" s="118"/>
      <c r="M2948" s="111"/>
      <c r="N2948" s="117">
        <f t="shared" si="279"/>
        <v>0</v>
      </c>
      <c r="O2948" s="119">
        <f t="shared" si="280"/>
        <v>1</v>
      </c>
      <c r="P2948" s="120">
        <f t="shared" si="281"/>
        <v>9.1799999999999993E-2</v>
      </c>
      <c r="Q2948" s="159"/>
      <c r="R2948" s="111"/>
      <c r="S2948" s="111"/>
    </row>
    <row r="2949" spans="1:19">
      <c r="B2949" s="110" t="s">
        <v>303</v>
      </c>
      <c r="C2949" s="111" t="s">
        <v>232</v>
      </c>
      <c r="D2949" s="112" t="s">
        <v>228</v>
      </c>
      <c r="E2949" s="113" t="s">
        <v>17</v>
      </c>
      <c r="F2949" s="175" t="s">
        <v>15</v>
      </c>
      <c r="G2949" s="175" t="s">
        <v>36</v>
      </c>
      <c r="H2949" s="176">
        <v>10.199999999999999</v>
      </c>
      <c r="I2949" s="179">
        <v>6.25</v>
      </c>
      <c r="J2949" s="178">
        <v>1</v>
      </c>
      <c r="K2949" s="174">
        <f t="shared" si="278"/>
        <v>6.3749999999999987E-2</v>
      </c>
      <c r="L2949" s="118"/>
      <c r="M2949" s="111"/>
      <c r="N2949" s="117">
        <f t="shared" si="279"/>
        <v>0</v>
      </c>
      <c r="O2949" s="119">
        <f t="shared" si="280"/>
        <v>1</v>
      </c>
      <c r="P2949" s="120">
        <f t="shared" si="281"/>
        <v>6.3749999999999987E-2</v>
      </c>
      <c r="Q2949" s="159"/>
      <c r="R2949" s="111"/>
      <c r="S2949" s="111"/>
    </row>
    <row r="2950" spans="1:19">
      <c r="B2950" s="110" t="s">
        <v>303</v>
      </c>
      <c r="C2950" s="111" t="s">
        <v>232</v>
      </c>
      <c r="D2950" s="112" t="s">
        <v>228</v>
      </c>
      <c r="E2950" s="113" t="s">
        <v>17</v>
      </c>
      <c r="F2950" s="175" t="s">
        <v>15</v>
      </c>
      <c r="G2950" s="175" t="s">
        <v>36</v>
      </c>
      <c r="H2950" s="176">
        <v>10.199999999999999</v>
      </c>
      <c r="I2950" s="179">
        <v>6</v>
      </c>
      <c r="J2950" s="178">
        <v>1</v>
      </c>
      <c r="K2950" s="174">
        <f t="shared" si="278"/>
        <v>6.1199999999999997E-2</v>
      </c>
      <c r="L2950" s="118"/>
      <c r="M2950" s="111">
        <v>1</v>
      </c>
      <c r="N2950" s="117">
        <f t="shared" si="279"/>
        <v>6.1199999999999997E-2</v>
      </c>
      <c r="O2950" s="119">
        <f t="shared" si="280"/>
        <v>0</v>
      </c>
      <c r="P2950" s="120">
        <f>I2950*O2950*H2950/1000</f>
        <v>0</v>
      </c>
      <c r="Q2950" s="75">
        <v>6</v>
      </c>
      <c r="R2950" s="72">
        <v>1</v>
      </c>
      <c r="S2950" s="72" t="s">
        <v>485</v>
      </c>
    </row>
    <row r="2951" spans="1:19">
      <c r="B2951" s="213"/>
      <c r="C2951" s="213"/>
      <c r="D2951" s="213"/>
      <c r="E2951" s="213"/>
      <c r="F2951" s="213"/>
      <c r="G2951" s="213"/>
      <c r="H2951" s="213"/>
      <c r="I2951" s="213"/>
      <c r="J2951" s="78">
        <f>SUM(J2938:J2950)</f>
        <v>86</v>
      </c>
      <c r="K2951" s="214">
        <f>SUM(K2938:K2950)</f>
        <v>8.0784000000000002</v>
      </c>
      <c r="L2951" s="213"/>
      <c r="M2951" s="78">
        <f>SUM(M2938:M2950)</f>
        <v>77</v>
      </c>
      <c r="N2951" s="128">
        <f>SUM(N2938:N2950)</f>
        <v>7.4342700000000006</v>
      </c>
      <c r="O2951" s="78">
        <f>SUM(O2938:O2950)</f>
        <v>9</v>
      </c>
      <c r="P2951" s="214">
        <f>SUM(P2938:P2950)</f>
        <v>0.64412999999999998</v>
      </c>
      <c r="Q2951" s="213"/>
      <c r="R2951" s="78">
        <f>SUM(R2938:R2950)</f>
        <v>2</v>
      </c>
      <c r="S2951" s="213"/>
    </row>
    <row r="2953" spans="1:19">
      <c r="A2953" s="42" t="s">
        <v>77</v>
      </c>
      <c r="B2953" s="3" t="s">
        <v>68</v>
      </c>
      <c r="C2953" s="3">
        <v>143</v>
      </c>
      <c r="D2953" s="1"/>
      <c r="E2953" s="20" t="s">
        <v>20</v>
      </c>
      <c r="F2953" s="7" t="s">
        <v>15</v>
      </c>
      <c r="G2953" s="7" t="s">
        <v>44</v>
      </c>
      <c r="H2953" s="11">
        <v>13.4</v>
      </c>
      <c r="I2953" s="8">
        <v>6.8</v>
      </c>
      <c r="J2953" s="26">
        <v>2</v>
      </c>
      <c r="K2953" s="10">
        <v>0.18224000000000001</v>
      </c>
      <c r="L2953" s="4"/>
      <c r="M2953" s="17">
        <v>2</v>
      </c>
      <c r="N2953" s="18">
        <v>0.18224000000000001</v>
      </c>
      <c r="O2953" s="19">
        <v>0</v>
      </c>
      <c r="P2953" s="13">
        <v>0</v>
      </c>
      <c r="Q2953" s="73"/>
      <c r="R2953" s="74">
        <v>2</v>
      </c>
      <c r="S2953" s="74" t="s">
        <v>485</v>
      </c>
    </row>
    <row r="2954" spans="1:19">
      <c r="A2954" s="42" t="s">
        <v>77</v>
      </c>
      <c r="B2954" s="3" t="s">
        <v>68</v>
      </c>
      <c r="C2954" s="3">
        <v>143</v>
      </c>
      <c r="D2954" s="1"/>
      <c r="E2954" s="20" t="s">
        <v>20</v>
      </c>
      <c r="F2954" s="7" t="s">
        <v>15</v>
      </c>
      <c r="G2954" s="7" t="s">
        <v>44</v>
      </c>
      <c r="H2954" s="11">
        <v>13.4</v>
      </c>
      <c r="I2954" s="8">
        <v>7.2</v>
      </c>
      <c r="J2954" s="26">
        <v>1</v>
      </c>
      <c r="K2954" s="10">
        <v>9.648000000000001E-2</v>
      </c>
      <c r="L2954" s="4"/>
      <c r="M2954" s="17">
        <v>1</v>
      </c>
      <c r="N2954" s="18">
        <v>9.648000000000001E-2</v>
      </c>
      <c r="O2954" s="19">
        <v>0</v>
      </c>
      <c r="P2954" s="13">
        <v>0</v>
      </c>
      <c r="Q2954" s="73"/>
      <c r="R2954" s="74">
        <v>1</v>
      </c>
      <c r="S2954" s="74" t="s">
        <v>485</v>
      </c>
    </row>
    <row r="2955" spans="1:19">
      <c r="A2955" s="42" t="s">
        <v>77</v>
      </c>
      <c r="B2955" s="3" t="s">
        <v>68</v>
      </c>
      <c r="C2955" s="3">
        <v>194</v>
      </c>
      <c r="D2955" s="1"/>
      <c r="E2955" s="12" t="s">
        <v>20</v>
      </c>
      <c r="F2955" s="7" t="s">
        <v>15</v>
      </c>
      <c r="G2955" s="7" t="s">
        <v>44</v>
      </c>
      <c r="H2955" s="11">
        <v>13.4</v>
      </c>
      <c r="I2955" s="8">
        <v>10</v>
      </c>
      <c r="J2955" s="26">
        <v>1</v>
      </c>
      <c r="K2955" s="10">
        <v>0.13400000000000001</v>
      </c>
      <c r="L2955" s="4"/>
      <c r="M2955" s="17">
        <v>1</v>
      </c>
      <c r="N2955" s="18">
        <v>0.13400000000000001</v>
      </c>
      <c r="O2955" s="19">
        <v>0</v>
      </c>
      <c r="P2955" s="13">
        <v>0</v>
      </c>
      <c r="Q2955" s="73">
        <v>8.1</v>
      </c>
      <c r="R2955" s="74">
        <v>1</v>
      </c>
      <c r="S2955" s="74" t="s">
        <v>485</v>
      </c>
    </row>
    <row r="2956" spans="1:19">
      <c r="A2956" s="42" t="s">
        <v>77</v>
      </c>
      <c r="B2956" s="3" t="s">
        <v>68</v>
      </c>
      <c r="C2956" s="3">
        <v>194</v>
      </c>
      <c r="D2956" s="1"/>
      <c r="E2956" s="12" t="s">
        <v>20</v>
      </c>
      <c r="F2956" s="7" t="s">
        <v>15</v>
      </c>
      <c r="G2956" s="7" t="s">
        <v>44</v>
      </c>
      <c r="H2956" s="11">
        <v>13.4</v>
      </c>
      <c r="I2956" s="8">
        <v>12</v>
      </c>
      <c r="J2956" s="26">
        <v>1</v>
      </c>
      <c r="K2956" s="10">
        <v>0.1608</v>
      </c>
      <c r="L2956" s="4"/>
      <c r="M2956" s="17">
        <v>1</v>
      </c>
      <c r="N2956" s="18">
        <v>0.1608</v>
      </c>
      <c r="O2956" s="19">
        <v>0</v>
      </c>
      <c r="P2956" s="13">
        <v>0</v>
      </c>
      <c r="Q2956" s="73">
        <v>11</v>
      </c>
      <c r="R2956" s="74">
        <v>1</v>
      </c>
      <c r="S2956" s="74" t="s">
        <v>485</v>
      </c>
    </row>
    <row r="2957" spans="1:19">
      <c r="A2957" s="48" t="s">
        <v>168</v>
      </c>
      <c r="B2957" s="48" t="s">
        <v>169</v>
      </c>
      <c r="C2957" s="32">
        <v>4</v>
      </c>
      <c r="D2957" s="32"/>
      <c r="E2957" s="48" t="s">
        <v>20</v>
      </c>
      <c r="F2957" s="48" t="s">
        <v>15</v>
      </c>
      <c r="G2957" s="48" t="s">
        <v>44</v>
      </c>
      <c r="H2957" s="11">
        <v>13.4</v>
      </c>
      <c r="I2957" s="52">
        <v>11.75</v>
      </c>
      <c r="J2957" s="7">
        <v>1</v>
      </c>
      <c r="K2957" s="10">
        <v>0.15745000000000001</v>
      </c>
      <c r="L2957" s="32" t="s">
        <v>104</v>
      </c>
      <c r="M2957" s="32"/>
      <c r="N2957" s="18">
        <v>0</v>
      </c>
      <c r="O2957" s="19">
        <v>1</v>
      </c>
      <c r="P2957" s="13">
        <v>0.15745000000000001</v>
      </c>
      <c r="Q2957" s="32"/>
      <c r="R2957" s="32"/>
      <c r="S2957" s="32"/>
    </row>
    <row r="2958" spans="1:19">
      <c r="A2958" s="42" t="s">
        <v>90</v>
      </c>
      <c r="B2958" s="48" t="s">
        <v>148</v>
      </c>
      <c r="C2958" s="32">
        <v>41</v>
      </c>
      <c r="D2958" s="32"/>
      <c r="E2958" s="48" t="s">
        <v>155</v>
      </c>
      <c r="F2958" s="48" t="s">
        <v>15</v>
      </c>
      <c r="G2958" s="48" t="s">
        <v>44</v>
      </c>
      <c r="H2958" s="11">
        <v>13.4</v>
      </c>
      <c r="I2958" s="52">
        <v>9.5</v>
      </c>
      <c r="J2958" s="7">
        <v>2</v>
      </c>
      <c r="K2958" s="10">
        <v>0.25459999999999999</v>
      </c>
      <c r="L2958" s="32"/>
      <c r="M2958" s="32">
        <v>2</v>
      </c>
      <c r="N2958" s="18">
        <v>0.25459999999999999</v>
      </c>
      <c r="O2958" s="19">
        <v>0</v>
      </c>
      <c r="P2958" s="13">
        <v>0</v>
      </c>
      <c r="Q2958" s="72"/>
      <c r="R2958" s="72">
        <v>2</v>
      </c>
      <c r="S2958" s="74" t="s">
        <v>485</v>
      </c>
    </row>
    <row r="2959" spans="1:19">
      <c r="A2959" s="42" t="s">
        <v>90</v>
      </c>
      <c r="B2959" s="3"/>
      <c r="C2959" s="3">
        <v>160</v>
      </c>
      <c r="D2959" s="1"/>
      <c r="E2959" s="12" t="s">
        <v>20</v>
      </c>
      <c r="F2959" s="7" t="s">
        <v>15</v>
      </c>
      <c r="G2959" s="7" t="s">
        <v>44</v>
      </c>
      <c r="H2959" s="11">
        <v>13.4</v>
      </c>
      <c r="I2959" s="8">
        <v>10.3</v>
      </c>
      <c r="J2959" s="26">
        <v>1</v>
      </c>
      <c r="K2959" s="10">
        <v>0.13802</v>
      </c>
      <c r="L2959" s="4"/>
      <c r="M2959" s="17">
        <v>1</v>
      </c>
      <c r="N2959" s="18">
        <v>0.13802</v>
      </c>
      <c r="O2959" s="19">
        <v>0</v>
      </c>
      <c r="P2959" s="13">
        <v>0</v>
      </c>
      <c r="Q2959" s="73"/>
      <c r="R2959" s="74">
        <v>1</v>
      </c>
      <c r="S2959" s="74" t="s">
        <v>485</v>
      </c>
    </row>
    <row r="2960" spans="1:19">
      <c r="A2960" s="42" t="s">
        <v>90</v>
      </c>
      <c r="B2960" s="3"/>
      <c r="C2960" s="3">
        <v>170</v>
      </c>
      <c r="D2960" s="1"/>
      <c r="E2960" s="12" t="s">
        <v>20</v>
      </c>
      <c r="F2960" s="7" t="s">
        <v>15</v>
      </c>
      <c r="G2960" s="7" t="s">
        <v>44</v>
      </c>
      <c r="H2960" s="11">
        <v>13.4</v>
      </c>
      <c r="I2960" s="8">
        <v>10.5</v>
      </c>
      <c r="J2960" s="26">
        <v>2</v>
      </c>
      <c r="K2960" s="10">
        <v>0.28140000000000004</v>
      </c>
      <c r="L2960" s="4"/>
      <c r="M2960" s="17">
        <v>2</v>
      </c>
      <c r="N2960" s="18">
        <v>0.28140000000000004</v>
      </c>
      <c r="O2960" s="19">
        <v>0</v>
      </c>
      <c r="P2960" s="13">
        <v>0</v>
      </c>
      <c r="Q2960" s="73"/>
      <c r="R2960" s="74">
        <v>2</v>
      </c>
      <c r="S2960" s="74" t="s">
        <v>485</v>
      </c>
    </row>
    <row r="2961" spans="1:19">
      <c r="A2961" s="42" t="s">
        <v>90</v>
      </c>
      <c r="B2961" s="3"/>
      <c r="C2961" s="3">
        <v>170</v>
      </c>
      <c r="D2961" s="1"/>
      <c r="E2961" s="12" t="s">
        <v>20</v>
      </c>
      <c r="F2961" s="7" t="s">
        <v>15</v>
      </c>
      <c r="G2961" s="7" t="s">
        <v>44</v>
      </c>
      <c r="H2961" s="11">
        <v>13.4</v>
      </c>
      <c r="I2961" s="8">
        <v>12</v>
      </c>
      <c r="J2961" s="26">
        <v>1</v>
      </c>
      <c r="K2961" s="10">
        <v>0.1608</v>
      </c>
      <c r="L2961" s="4"/>
      <c r="M2961" s="22">
        <v>1</v>
      </c>
      <c r="N2961" s="18">
        <v>0.1608</v>
      </c>
      <c r="O2961" s="19">
        <v>0</v>
      </c>
      <c r="P2961" s="13">
        <v>0</v>
      </c>
      <c r="Q2961" s="73">
        <v>11</v>
      </c>
      <c r="R2961" s="74">
        <v>1</v>
      </c>
      <c r="S2961" s="74" t="s">
        <v>485</v>
      </c>
    </row>
    <row r="2962" spans="1:19">
      <c r="A2962" s="42" t="s">
        <v>90</v>
      </c>
      <c r="B2962" s="3"/>
      <c r="C2962" s="3">
        <v>176</v>
      </c>
      <c r="D2962" s="1"/>
      <c r="E2962" s="20" t="s">
        <v>20</v>
      </c>
      <c r="F2962" s="7" t="s">
        <v>15</v>
      </c>
      <c r="G2962" s="7" t="s">
        <v>44</v>
      </c>
      <c r="H2962" s="11">
        <v>13.4</v>
      </c>
      <c r="I2962" s="8">
        <v>9</v>
      </c>
      <c r="J2962" s="26">
        <v>2</v>
      </c>
      <c r="K2962" s="10">
        <v>0.24120000000000003</v>
      </c>
      <c r="L2962" s="4"/>
      <c r="M2962" s="17">
        <v>2</v>
      </c>
      <c r="N2962" s="18">
        <v>0.24120000000000003</v>
      </c>
      <c r="O2962" s="19">
        <v>0</v>
      </c>
      <c r="P2962" s="13">
        <v>0</v>
      </c>
      <c r="Q2962" s="73">
        <v>8.1</v>
      </c>
      <c r="R2962" s="74">
        <v>2</v>
      </c>
      <c r="S2962" s="74" t="s">
        <v>485</v>
      </c>
    </row>
    <row r="2963" spans="1:19">
      <c r="A2963" s="42" t="s">
        <v>90</v>
      </c>
      <c r="B2963" s="3"/>
      <c r="C2963" s="3">
        <v>177</v>
      </c>
      <c r="D2963" s="1"/>
      <c r="E2963" s="20" t="s">
        <v>20</v>
      </c>
      <c r="F2963" s="7" t="s">
        <v>15</v>
      </c>
      <c r="G2963" s="7" t="s">
        <v>44</v>
      </c>
      <c r="H2963" s="11">
        <v>13.4</v>
      </c>
      <c r="I2963" s="8">
        <v>6.5</v>
      </c>
      <c r="J2963" s="26">
        <v>3</v>
      </c>
      <c r="K2963" s="10">
        <v>0.26130000000000003</v>
      </c>
      <c r="L2963" s="4"/>
      <c r="M2963" s="17"/>
      <c r="N2963" s="18">
        <v>0</v>
      </c>
      <c r="O2963" s="19">
        <v>3</v>
      </c>
      <c r="P2963" s="13">
        <v>0.26130000000000003</v>
      </c>
      <c r="Q2963" s="9"/>
      <c r="R2963" s="2"/>
      <c r="S2963" s="2"/>
    </row>
    <row r="2964" spans="1:19">
      <c r="A2964" s="42" t="s">
        <v>90</v>
      </c>
      <c r="B2964" s="3"/>
      <c r="C2964" s="3">
        <v>177</v>
      </c>
      <c r="D2964" s="1"/>
      <c r="E2964" s="20" t="s">
        <v>20</v>
      </c>
      <c r="F2964" s="7" t="s">
        <v>15</v>
      </c>
      <c r="G2964" s="7" t="s">
        <v>44</v>
      </c>
      <c r="H2964" s="11">
        <v>13.4</v>
      </c>
      <c r="I2964" s="8">
        <v>6.4</v>
      </c>
      <c r="J2964" s="26">
        <v>2</v>
      </c>
      <c r="K2964" s="10">
        <v>0.17152000000000001</v>
      </c>
      <c r="L2964" s="4"/>
      <c r="M2964" s="17"/>
      <c r="N2964" s="18">
        <v>0</v>
      </c>
      <c r="O2964" s="19">
        <v>2</v>
      </c>
      <c r="P2964" s="13">
        <v>0.17152000000000001</v>
      </c>
      <c r="Q2964" s="9"/>
      <c r="R2964" s="2"/>
      <c r="S2964" s="2"/>
    </row>
    <row r="2965" spans="1:19">
      <c r="A2965" s="42" t="s">
        <v>90</v>
      </c>
      <c r="B2965" s="3"/>
      <c r="C2965" s="3">
        <v>183</v>
      </c>
      <c r="D2965" s="1"/>
      <c r="E2965" s="12" t="s">
        <v>20</v>
      </c>
      <c r="F2965" s="7" t="s">
        <v>15</v>
      </c>
      <c r="G2965" s="7" t="s">
        <v>44</v>
      </c>
      <c r="H2965" s="11">
        <v>13.4</v>
      </c>
      <c r="I2965" s="8">
        <v>11.7</v>
      </c>
      <c r="J2965" s="26">
        <v>1</v>
      </c>
      <c r="K2965" s="10">
        <v>0.15678</v>
      </c>
      <c r="L2965" s="4"/>
      <c r="M2965" s="17">
        <v>1</v>
      </c>
      <c r="N2965" s="18">
        <v>0.15678</v>
      </c>
      <c r="O2965" s="19">
        <v>0</v>
      </c>
      <c r="P2965" s="13">
        <v>0</v>
      </c>
      <c r="Q2965" s="73">
        <v>11</v>
      </c>
      <c r="R2965" s="74">
        <v>1</v>
      </c>
      <c r="S2965" s="74" t="s">
        <v>485</v>
      </c>
    </row>
    <row r="2966" spans="1:19">
      <c r="A2966" s="42" t="s">
        <v>90</v>
      </c>
      <c r="B2966" s="3"/>
      <c r="C2966" s="3">
        <v>191</v>
      </c>
      <c r="D2966" s="1" t="s">
        <v>102</v>
      </c>
      <c r="E2966" s="12" t="s">
        <v>76</v>
      </c>
      <c r="F2966" s="7" t="s">
        <v>15</v>
      </c>
      <c r="G2966" s="7" t="s">
        <v>44</v>
      </c>
      <c r="H2966" s="11">
        <v>13.4</v>
      </c>
      <c r="I2966" s="8">
        <v>9.9</v>
      </c>
      <c r="J2966" s="26">
        <v>1</v>
      </c>
      <c r="K2966" s="10">
        <v>0.13266</v>
      </c>
      <c r="L2966" s="4"/>
      <c r="M2966" s="17">
        <v>1</v>
      </c>
      <c r="N2966" s="18">
        <v>0.13266</v>
      </c>
      <c r="O2966" s="19">
        <v>0</v>
      </c>
      <c r="P2966" s="13">
        <v>0</v>
      </c>
      <c r="Q2966" s="73">
        <v>8.1</v>
      </c>
      <c r="R2966" s="74">
        <v>1</v>
      </c>
      <c r="S2966" s="74" t="s">
        <v>485</v>
      </c>
    </row>
    <row r="2967" spans="1:19">
      <c r="A2967" s="42" t="s">
        <v>90</v>
      </c>
      <c r="B2967" s="3"/>
      <c r="C2967" s="3">
        <v>191</v>
      </c>
      <c r="D2967" s="1" t="s">
        <v>102</v>
      </c>
      <c r="E2967" s="12" t="s">
        <v>76</v>
      </c>
      <c r="F2967" s="7" t="s">
        <v>15</v>
      </c>
      <c r="G2967" s="7" t="s">
        <v>44</v>
      </c>
      <c r="H2967" s="11">
        <v>13.4</v>
      </c>
      <c r="I2967" s="8">
        <v>9.5</v>
      </c>
      <c r="J2967" s="26">
        <v>1</v>
      </c>
      <c r="K2967" s="10">
        <v>0.1273</v>
      </c>
      <c r="L2967" s="4"/>
      <c r="M2967" s="17">
        <v>1</v>
      </c>
      <c r="N2967" s="18">
        <v>0.1273</v>
      </c>
      <c r="O2967" s="19">
        <v>0</v>
      </c>
      <c r="P2967" s="13">
        <v>0</v>
      </c>
      <c r="Q2967" s="73">
        <v>8.1</v>
      </c>
      <c r="R2967" s="74">
        <v>1</v>
      </c>
      <c r="S2967" s="74" t="s">
        <v>485</v>
      </c>
    </row>
    <row r="2968" spans="1:19">
      <c r="A2968" s="47" t="s">
        <v>147</v>
      </c>
      <c r="B2968" s="48" t="s">
        <v>148</v>
      </c>
      <c r="C2968" s="32">
        <v>280</v>
      </c>
      <c r="D2968" s="32"/>
      <c r="E2968" s="69" t="s">
        <v>20</v>
      </c>
      <c r="F2968" s="69" t="s">
        <v>160</v>
      </c>
      <c r="G2968" s="69" t="s">
        <v>44</v>
      </c>
      <c r="H2968" s="61">
        <v>13.4</v>
      </c>
      <c r="I2968" s="70">
        <v>7.8</v>
      </c>
      <c r="J2968" s="60">
        <v>1</v>
      </c>
      <c r="K2968" s="62">
        <v>0.10452</v>
      </c>
      <c r="L2968" s="256" t="s">
        <v>46</v>
      </c>
      <c r="M2968" s="67"/>
      <c r="N2968" s="63">
        <v>0</v>
      </c>
      <c r="O2968" s="64">
        <v>1</v>
      </c>
      <c r="P2968" s="65">
        <v>0.10452</v>
      </c>
      <c r="Q2968" s="32"/>
      <c r="R2968" s="32"/>
      <c r="S2968" s="32"/>
    </row>
    <row r="2969" spans="1:19">
      <c r="A2969" s="47" t="s">
        <v>147</v>
      </c>
      <c r="B2969" s="48" t="s">
        <v>148</v>
      </c>
      <c r="C2969" s="32">
        <v>280</v>
      </c>
      <c r="D2969" s="32"/>
      <c r="E2969" s="69" t="s">
        <v>20</v>
      </c>
      <c r="F2969" s="69" t="s">
        <v>160</v>
      </c>
      <c r="G2969" s="69" t="s">
        <v>44</v>
      </c>
      <c r="H2969" s="61">
        <v>13.4</v>
      </c>
      <c r="I2969" s="70">
        <v>10.9</v>
      </c>
      <c r="J2969" s="60">
        <v>1</v>
      </c>
      <c r="K2969" s="62">
        <v>0.14606</v>
      </c>
      <c r="L2969" s="256" t="s">
        <v>46</v>
      </c>
      <c r="M2969" s="67"/>
      <c r="N2969" s="63">
        <v>0</v>
      </c>
      <c r="O2969" s="64">
        <v>1</v>
      </c>
      <c r="P2969" s="65">
        <v>0.14606</v>
      </c>
      <c r="Q2969" s="32"/>
      <c r="R2969" s="32"/>
      <c r="S2969" s="32"/>
    </row>
    <row r="2970" spans="1:19">
      <c r="A2970" s="44" t="s">
        <v>78</v>
      </c>
      <c r="B2970" s="3" t="s">
        <v>80</v>
      </c>
      <c r="C2970" s="3">
        <v>13</v>
      </c>
      <c r="D2970" s="1"/>
      <c r="E2970" s="20" t="s">
        <v>76</v>
      </c>
      <c r="F2970" s="7" t="s">
        <v>15</v>
      </c>
      <c r="G2970" s="7" t="s">
        <v>44</v>
      </c>
      <c r="H2970" s="11">
        <v>13.4</v>
      </c>
      <c r="I2970" s="8">
        <v>8.6999999999999993</v>
      </c>
      <c r="J2970" s="26">
        <v>3</v>
      </c>
      <c r="K2970" s="10">
        <v>0.34974</v>
      </c>
      <c r="L2970" s="4"/>
      <c r="M2970" s="17">
        <v>3</v>
      </c>
      <c r="N2970" s="18">
        <v>0.34974</v>
      </c>
      <c r="O2970" s="19">
        <v>0</v>
      </c>
      <c r="P2970" s="13">
        <v>0</v>
      </c>
      <c r="Q2970" s="73">
        <v>8.1</v>
      </c>
      <c r="R2970" s="72">
        <v>3</v>
      </c>
      <c r="S2970" s="74" t="s">
        <v>485</v>
      </c>
    </row>
    <row r="2971" spans="1:19">
      <c r="A2971" s="44" t="s">
        <v>78</v>
      </c>
      <c r="B2971" s="3" t="s">
        <v>80</v>
      </c>
      <c r="C2971" s="3">
        <v>13</v>
      </c>
      <c r="D2971" s="1"/>
      <c r="E2971" s="20" t="s">
        <v>76</v>
      </c>
      <c r="F2971" s="7" t="s">
        <v>15</v>
      </c>
      <c r="G2971" s="7" t="s">
        <v>44</v>
      </c>
      <c r="H2971" s="11">
        <v>13.4</v>
      </c>
      <c r="I2971" s="8">
        <v>8.5</v>
      </c>
      <c r="J2971" s="26">
        <v>1</v>
      </c>
      <c r="K2971" s="10">
        <v>0.1139</v>
      </c>
      <c r="L2971" s="4"/>
      <c r="M2971" s="17">
        <v>1</v>
      </c>
      <c r="N2971" s="18">
        <v>0.1139</v>
      </c>
      <c r="O2971" s="19">
        <v>0</v>
      </c>
      <c r="P2971" s="13">
        <v>0</v>
      </c>
      <c r="Q2971" s="73">
        <v>8.1</v>
      </c>
      <c r="R2971" s="72">
        <v>1</v>
      </c>
      <c r="S2971" s="74" t="s">
        <v>485</v>
      </c>
    </row>
    <row r="2972" spans="1:19">
      <c r="A2972" s="44" t="s">
        <v>78</v>
      </c>
      <c r="B2972" s="3" t="s">
        <v>80</v>
      </c>
      <c r="C2972" s="3">
        <v>13</v>
      </c>
      <c r="D2972" s="1"/>
      <c r="E2972" s="20" t="s">
        <v>76</v>
      </c>
      <c r="F2972" s="7" t="s">
        <v>15</v>
      </c>
      <c r="G2972" s="7" t="s">
        <v>44</v>
      </c>
      <c r="H2972" s="11">
        <v>13.4</v>
      </c>
      <c r="I2972" s="8">
        <v>8.3000000000000007</v>
      </c>
      <c r="J2972" s="26">
        <v>2</v>
      </c>
      <c r="K2972" s="10">
        <v>0.22244000000000003</v>
      </c>
      <c r="L2972" s="4"/>
      <c r="M2972" s="17">
        <v>2</v>
      </c>
      <c r="N2972" s="18">
        <v>0.22244000000000003</v>
      </c>
      <c r="O2972" s="19">
        <v>0</v>
      </c>
      <c r="P2972" s="13">
        <v>0</v>
      </c>
      <c r="Q2972" s="73">
        <v>8.1</v>
      </c>
      <c r="R2972" s="72">
        <v>2</v>
      </c>
      <c r="S2972" s="74" t="s">
        <v>485</v>
      </c>
    </row>
    <row r="2973" spans="1:19">
      <c r="A2973" s="44" t="s">
        <v>78</v>
      </c>
      <c r="B2973" s="3" t="s">
        <v>80</v>
      </c>
      <c r="C2973" s="3">
        <v>13</v>
      </c>
      <c r="D2973" s="1"/>
      <c r="E2973" s="20" t="s">
        <v>76</v>
      </c>
      <c r="F2973" s="7" t="s">
        <v>15</v>
      </c>
      <c r="G2973" s="7" t="s">
        <v>44</v>
      </c>
      <c r="H2973" s="11">
        <v>13.4</v>
      </c>
      <c r="I2973" s="8">
        <v>8.1</v>
      </c>
      <c r="J2973" s="26">
        <v>2</v>
      </c>
      <c r="K2973" s="10">
        <v>0.21708</v>
      </c>
      <c r="L2973" s="4"/>
      <c r="M2973" s="17">
        <v>2</v>
      </c>
      <c r="N2973" s="18">
        <v>0.21708</v>
      </c>
      <c r="O2973" s="19">
        <v>0</v>
      </c>
      <c r="P2973" s="13">
        <v>0</v>
      </c>
      <c r="Q2973" s="73">
        <v>8.1</v>
      </c>
      <c r="R2973" s="72">
        <v>2</v>
      </c>
      <c r="S2973" s="74" t="s">
        <v>485</v>
      </c>
    </row>
    <row r="2974" spans="1:19">
      <c r="A2974" s="44" t="s">
        <v>78</v>
      </c>
      <c r="B2974" s="3" t="s">
        <v>80</v>
      </c>
      <c r="C2974" s="3">
        <v>13</v>
      </c>
      <c r="D2974" s="1"/>
      <c r="E2974" s="20" t="s">
        <v>76</v>
      </c>
      <c r="F2974" s="7" t="s">
        <v>15</v>
      </c>
      <c r="G2974" s="7" t="s">
        <v>44</v>
      </c>
      <c r="H2974" s="11">
        <v>13.4</v>
      </c>
      <c r="I2974" s="8">
        <v>6.4</v>
      </c>
      <c r="J2974" s="26">
        <v>1</v>
      </c>
      <c r="K2974" s="10">
        <v>8.5760000000000003E-2</v>
      </c>
      <c r="L2974" s="4"/>
      <c r="M2974" s="17"/>
      <c r="N2974" s="18">
        <v>0</v>
      </c>
      <c r="O2974" s="19">
        <v>1</v>
      </c>
      <c r="P2974" s="13">
        <v>8.5760000000000003E-2</v>
      </c>
      <c r="Q2974" s="9"/>
      <c r="R2974" s="32"/>
      <c r="S2974" s="2"/>
    </row>
    <row r="2975" spans="1:19">
      <c r="A2975" s="44" t="s">
        <v>78</v>
      </c>
      <c r="B2975" s="32" t="s">
        <v>109</v>
      </c>
      <c r="C2975" s="3">
        <v>3</v>
      </c>
      <c r="D2975" s="1"/>
      <c r="E2975" s="20" t="s">
        <v>20</v>
      </c>
      <c r="F2975" s="7" t="s">
        <v>15</v>
      </c>
      <c r="G2975" s="7" t="s">
        <v>44</v>
      </c>
      <c r="H2975" s="11">
        <v>13.4</v>
      </c>
      <c r="I2975" s="55">
        <v>7.6</v>
      </c>
      <c r="J2975" s="40">
        <v>2</v>
      </c>
      <c r="K2975" s="10">
        <v>0.20368</v>
      </c>
      <c r="L2975" s="4"/>
      <c r="M2975" s="17"/>
      <c r="N2975" s="18">
        <v>0</v>
      </c>
      <c r="O2975" s="19">
        <v>2</v>
      </c>
      <c r="P2975" s="13">
        <v>0.20368</v>
      </c>
      <c r="Q2975" s="32"/>
      <c r="R2975" s="32"/>
      <c r="S2975" s="32"/>
    </row>
    <row r="2976" spans="1:19">
      <c r="A2976" s="44" t="s">
        <v>78</v>
      </c>
      <c r="B2976" s="32" t="s">
        <v>109</v>
      </c>
      <c r="C2976" s="3">
        <v>3</v>
      </c>
      <c r="D2976" s="1"/>
      <c r="E2976" s="20" t="s">
        <v>20</v>
      </c>
      <c r="F2976" s="7" t="s">
        <v>15</v>
      </c>
      <c r="G2976" s="7" t="s">
        <v>44</v>
      </c>
      <c r="H2976" s="11">
        <v>13.4</v>
      </c>
      <c r="I2976" s="55">
        <v>6.8</v>
      </c>
      <c r="J2976" s="40">
        <v>1</v>
      </c>
      <c r="K2976" s="10">
        <v>9.1120000000000007E-2</v>
      </c>
      <c r="L2976" s="4"/>
      <c r="M2976" s="17"/>
      <c r="N2976" s="18">
        <v>0</v>
      </c>
      <c r="O2976" s="19">
        <v>1</v>
      </c>
      <c r="P2976" s="13">
        <v>9.1120000000000007E-2</v>
      </c>
      <c r="Q2976" s="32"/>
      <c r="R2976" s="32"/>
      <c r="S2976" s="32"/>
    </row>
    <row r="2977" spans="1:19">
      <c r="A2977" s="45" t="s">
        <v>136</v>
      </c>
      <c r="B2977" s="32" t="s">
        <v>137</v>
      </c>
      <c r="C2977" s="3">
        <v>54</v>
      </c>
      <c r="D2977" s="32"/>
      <c r="E2977" s="20" t="s">
        <v>20</v>
      </c>
      <c r="F2977" s="7" t="s">
        <v>15</v>
      </c>
      <c r="G2977" s="7" t="s">
        <v>44</v>
      </c>
      <c r="H2977" s="11">
        <v>13.4</v>
      </c>
      <c r="I2977" s="55">
        <v>6.5</v>
      </c>
      <c r="J2977" s="40">
        <v>1</v>
      </c>
      <c r="K2977" s="10">
        <v>8.7100000000000011E-2</v>
      </c>
      <c r="L2977" s="4"/>
      <c r="M2977" s="17"/>
      <c r="N2977" s="18">
        <v>0</v>
      </c>
      <c r="O2977" s="19">
        <v>1</v>
      </c>
      <c r="P2977" s="13">
        <v>8.7100000000000011E-2</v>
      </c>
      <c r="Q2977" s="32"/>
      <c r="R2977" s="32"/>
      <c r="S2977" s="32"/>
    </row>
    <row r="2978" spans="1:19">
      <c r="O2978" s="215">
        <f>SUM(O2953:O2977)</f>
        <v>13</v>
      </c>
      <c r="R2978" s="215">
        <f>SUM(R2953:R2977)</f>
        <v>24</v>
      </c>
    </row>
    <row r="2980" spans="1:19">
      <c r="A2980" s="42" t="s">
        <v>90</v>
      </c>
      <c r="B2980" s="3"/>
      <c r="C2980" s="3">
        <v>169</v>
      </c>
      <c r="D2980" s="1"/>
      <c r="E2980" s="12" t="s">
        <v>20</v>
      </c>
      <c r="F2980" s="7" t="s">
        <v>15</v>
      </c>
      <c r="G2980" s="7" t="s">
        <v>47</v>
      </c>
      <c r="H2980" s="11">
        <v>15</v>
      </c>
      <c r="I2980" s="8">
        <v>9.5</v>
      </c>
      <c r="J2980" s="26">
        <v>2</v>
      </c>
      <c r="K2980" s="10">
        <v>0.28499999999999998</v>
      </c>
      <c r="L2980" s="4"/>
      <c r="M2980" s="17">
        <v>2</v>
      </c>
      <c r="N2980" s="18">
        <v>0.28499999999999998</v>
      </c>
      <c r="O2980" s="19">
        <v>0</v>
      </c>
      <c r="P2980" s="13">
        <v>0</v>
      </c>
      <c r="Q2980" s="73">
        <v>7</v>
      </c>
      <c r="R2980" s="74">
        <v>2</v>
      </c>
      <c r="S2980" s="73" t="s">
        <v>369</v>
      </c>
    </row>
    <row r="2981" spans="1:19">
      <c r="A2981" s="42" t="s">
        <v>90</v>
      </c>
      <c r="B2981" s="3"/>
      <c r="C2981" s="3">
        <v>182</v>
      </c>
      <c r="D2981" s="1"/>
      <c r="E2981" s="12" t="s">
        <v>20</v>
      </c>
      <c r="F2981" s="7" t="s">
        <v>15</v>
      </c>
      <c r="G2981" s="7" t="s">
        <v>47</v>
      </c>
      <c r="H2981" s="11">
        <v>15</v>
      </c>
      <c r="I2981" s="8">
        <v>7.5</v>
      </c>
      <c r="J2981" s="26">
        <v>1</v>
      </c>
      <c r="K2981" s="10">
        <v>0.1125</v>
      </c>
      <c r="L2981" s="4"/>
      <c r="M2981" s="17"/>
      <c r="N2981" s="18">
        <v>0</v>
      </c>
      <c r="O2981" s="19">
        <v>1</v>
      </c>
      <c r="P2981" s="13">
        <v>0.1125</v>
      </c>
      <c r="Q2981" s="9"/>
      <c r="R2981" s="2"/>
      <c r="S2981" s="2"/>
    </row>
    <row r="2982" spans="1:19">
      <c r="A2982" s="42" t="s">
        <v>90</v>
      </c>
      <c r="B2982" s="3"/>
      <c r="C2982" s="3">
        <v>182</v>
      </c>
      <c r="D2982" s="1"/>
      <c r="E2982" s="12" t="s">
        <v>20</v>
      </c>
      <c r="F2982" s="7" t="s">
        <v>15</v>
      </c>
      <c r="G2982" s="7" t="s">
        <v>47</v>
      </c>
      <c r="H2982" s="11">
        <v>15</v>
      </c>
      <c r="I2982" s="8">
        <v>9.5</v>
      </c>
      <c r="J2982" s="26">
        <v>2</v>
      </c>
      <c r="K2982" s="10">
        <v>0.28499999999999998</v>
      </c>
      <c r="L2982" s="4"/>
      <c r="M2982" s="17"/>
      <c r="N2982" s="18">
        <v>0</v>
      </c>
      <c r="O2982" s="19">
        <v>2</v>
      </c>
      <c r="P2982" s="13">
        <v>0.28499999999999998</v>
      </c>
      <c r="Q2982" s="9"/>
      <c r="R2982" s="398">
        <f>SUM(R2980:R2981)</f>
        <v>2</v>
      </c>
      <c r="S2982" s="2"/>
    </row>
    <row r="2985" spans="1:19">
      <c r="A2985" s="42" t="s">
        <v>90</v>
      </c>
      <c r="B2985" s="3"/>
      <c r="C2985" s="3">
        <v>173</v>
      </c>
      <c r="D2985" s="1"/>
      <c r="E2985" s="12" t="s">
        <v>88</v>
      </c>
      <c r="F2985" s="7" t="s">
        <v>15</v>
      </c>
      <c r="G2985" s="7" t="s">
        <v>41</v>
      </c>
      <c r="H2985" s="11">
        <v>11.8</v>
      </c>
      <c r="I2985" s="8">
        <v>12</v>
      </c>
      <c r="J2985" s="26">
        <v>8</v>
      </c>
      <c r="K2985" s="10">
        <v>1.1328000000000003</v>
      </c>
      <c r="L2985" s="4"/>
      <c r="M2985" s="17"/>
      <c r="N2985" s="18">
        <v>0</v>
      </c>
      <c r="O2985" s="19">
        <v>8</v>
      </c>
      <c r="P2985" s="13">
        <v>1.1328000000000003</v>
      </c>
      <c r="Q2985" s="9"/>
      <c r="R2985" s="2"/>
      <c r="S2985" s="2"/>
    </row>
    <row r="2986" spans="1:19">
      <c r="A2986" s="47" t="s">
        <v>147</v>
      </c>
      <c r="B2986" s="48" t="s">
        <v>148</v>
      </c>
      <c r="C2986" s="32">
        <v>293</v>
      </c>
      <c r="D2986" s="32"/>
      <c r="E2986" s="48" t="s">
        <v>186</v>
      </c>
      <c r="F2986" s="48" t="s">
        <v>160</v>
      </c>
      <c r="G2986" s="48" t="s">
        <v>41</v>
      </c>
      <c r="H2986" s="11">
        <v>11.8</v>
      </c>
      <c r="I2986" s="52">
        <v>12</v>
      </c>
      <c r="J2986" s="7">
        <v>2</v>
      </c>
      <c r="K2986" s="10">
        <v>0.28320000000000006</v>
      </c>
      <c r="L2986" s="32"/>
      <c r="M2986" s="32">
        <v>2</v>
      </c>
      <c r="N2986" s="18">
        <v>0.28320000000000006</v>
      </c>
      <c r="O2986" s="19">
        <v>0</v>
      </c>
      <c r="P2986" s="13">
        <v>0</v>
      </c>
      <c r="Q2986" s="75">
        <v>12</v>
      </c>
      <c r="R2986" s="72">
        <v>2</v>
      </c>
      <c r="S2986" s="72" t="s">
        <v>488</v>
      </c>
    </row>
    <row r="2987" spans="1:19">
      <c r="A2987" s="47" t="s">
        <v>147</v>
      </c>
      <c r="B2987" s="48" t="s">
        <v>148</v>
      </c>
      <c r="C2987" s="32">
        <v>293</v>
      </c>
      <c r="D2987" s="32"/>
      <c r="E2987" s="48" t="s">
        <v>186</v>
      </c>
      <c r="F2987" s="48" t="s">
        <v>160</v>
      </c>
      <c r="G2987" s="48" t="s">
        <v>41</v>
      </c>
      <c r="H2987" s="11">
        <v>11.8</v>
      </c>
      <c r="I2987" s="52">
        <v>7</v>
      </c>
      <c r="J2987" s="7">
        <v>3</v>
      </c>
      <c r="K2987" s="10">
        <v>0.24780000000000002</v>
      </c>
      <c r="L2987" s="32"/>
      <c r="M2987" s="32"/>
      <c r="N2987" s="18">
        <v>0</v>
      </c>
      <c r="O2987" s="19">
        <v>3</v>
      </c>
      <c r="P2987" s="13">
        <v>0.24780000000000002</v>
      </c>
      <c r="Q2987" s="32"/>
      <c r="R2987" s="32"/>
      <c r="S2987" s="32"/>
    </row>
    <row r="2988" spans="1:19">
      <c r="A2988" s="47" t="s">
        <v>147</v>
      </c>
      <c r="B2988" s="48" t="s">
        <v>148</v>
      </c>
      <c r="C2988" s="32">
        <v>293</v>
      </c>
      <c r="D2988" s="32"/>
      <c r="E2988" s="48" t="s">
        <v>186</v>
      </c>
      <c r="F2988" s="48" t="s">
        <v>160</v>
      </c>
      <c r="G2988" s="48" t="s">
        <v>41</v>
      </c>
      <c r="H2988" s="11">
        <v>11.8</v>
      </c>
      <c r="I2988" s="52">
        <v>6</v>
      </c>
      <c r="J2988" s="7">
        <v>1</v>
      </c>
      <c r="K2988" s="10">
        <v>7.0800000000000016E-2</v>
      </c>
      <c r="L2988" s="32"/>
      <c r="M2988" s="32"/>
      <c r="N2988" s="18">
        <v>0</v>
      </c>
      <c r="O2988" s="19">
        <v>1</v>
      </c>
      <c r="P2988" s="13">
        <v>7.0800000000000016E-2</v>
      </c>
      <c r="Q2988" s="32"/>
      <c r="R2988" s="32"/>
      <c r="S2988" s="32"/>
    </row>
    <row r="2989" spans="1:19">
      <c r="A2989" s="47" t="s">
        <v>147</v>
      </c>
      <c r="B2989" s="48" t="s">
        <v>148</v>
      </c>
      <c r="C2989" s="32">
        <v>293</v>
      </c>
      <c r="D2989" s="32"/>
      <c r="E2989" s="48" t="s">
        <v>186</v>
      </c>
      <c r="F2989" s="48" t="s">
        <v>160</v>
      </c>
      <c r="G2989" s="48" t="s">
        <v>41</v>
      </c>
      <c r="H2989" s="11">
        <v>11.8</v>
      </c>
      <c r="I2989" s="52">
        <v>6.2</v>
      </c>
      <c r="J2989" s="7">
        <v>4</v>
      </c>
      <c r="K2989" s="10">
        <v>0.29264000000000007</v>
      </c>
      <c r="L2989" s="32"/>
      <c r="M2989" s="32"/>
      <c r="N2989" s="18">
        <v>0</v>
      </c>
      <c r="O2989" s="19">
        <v>4</v>
      </c>
      <c r="P2989" s="13">
        <v>0.29264000000000007</v>
      </c>
      <c r="Q2989" s="32"/>
      <c r="R2989" s="32"/>
      <c r="S2989" s="32"/>
    </row>
    <row r="2990" spans="1:19">
      <c r="O2990" s="215">
        <f>SUM(O2985:O2989)</f>
        <v>16</v>
      </c>
      <c r="R2990" s="215">
        <f>SUM(R2985:R2989)</f>
        <v>2</v>
      </c>
    </row>
    <row r="2992" spans="1:19">
      <c r="A2992" s="45" t="s">
        <v>136</v>
      </c>
      <c r="B2992" s="32" t="s">
        <v>137</v>
      </c>
      <c r="C2992" s="3">
        <v>67</v>
      </c>
      <c r="D2992" s="32"/>
      <c r="E2992" s="20" t="s">
        <v>145</v>
      </c>
      <c r="F2992" s="7" t="s">
        <v>14</v>
      </c>
      <c r="G2992" s="7" t="s">
        <v>44</v>
      </c>
      <c r="H2992" s="11">
        <v>13.4</v>
      </c>
      <c r="I2992" s="33">
        <v>8.4</v>
      </c>
      <c r="J2992" s="40">
        <v>1</v>
      </c>
      <c r="K2992" s="10">
        <f t="shared" ref="K2992:K2994" si="282">(H2992*I2992*J2992/1000)</f>
        <v>0.11256000000000001</v>
      </c>
      <c r="L2992" s="4"/>
      <c r="M2992" s="17">
        <v>1</v>
      </c>
      <c r="N2992" s="18">
        <f t="shared" ref="N2992:N2994" si="283">I2992*M2992*H2992/1000</f>
        <v>0.11256000000000001</v>
      </c>
      <c r="O2992" s="106">
        <f t="shared" ref="O2992:O2994" si="284">J2992-M2992</f>
        <v>0</v>
      </c>
      <c r="P2992" s="13">
        <f t="shared" ref="P2992:P2994" si="285">I2992*O2992*H2992/1000</f>
        <v>0</v>
      </c>
      <c r="Q2992" s="72">
        <v>6.5</v>
      </c>
      <c r="R2992" s="72">
        <v>1</v>
      </c>
      <c r="S2992" s="72" t="s">
        <v>370</v>
      </c>
    </row>
    <row r="2993" spans="1:19">
      <c r="A2993" s="45" t="s">
        <v>136</v>
      </c>
      <c r="B2993" s="32" t="s">
        <v>137</v>
      </c>
      <c r="C2993" s="3">
        <v>67</v>
      </c>
      <c r="D2993" s="32"/>
      <c r="E2993" s="20" t="s">
        <v>145</v>
      </c>
      <c r="F2993" s="7" t="s">
        <v>14</v>
      </c>
      <c r="G2993" s="7" t="s">
        <v>44</v>
      </c>
      <c r="H2993" s="11">
        <v>13.4</v>
      </c>
      <c r="I2993" s="33">
        <v>7.1</v>
      </c>
      <c r="J2993" s="40">
        <v>1</v>
      </c>
      <c r="K2993" s="10">
        <f t="shared" si="282"/>
        <v>9.5140000000000002E-2</v>
      </c>
      <c r="L2993" s="4"/>
      <c r="M2993" s="17">
        <v>1</v>
      </c>
      <c r="N2993" s="18">
        <f t="shared" si="283"/>
        <v>9.5140000000000002E-2</v>
      </c>
      <c r="O2993" s="106">
        <f t="shared" si="284"/>
        <v>0</v>
      </c>
      <c r="P2993" s="13">
        <f t="shared" si="285"/>
        <v>0</v>
      </c>
      <c r="Q2993" s="72">
        <v>6.5</v>
      </c>
      <c r="R2993" s="72">
        <v>1</v>
      </c>
      <c r="S2993" s="72" t="s">
        <v>370</v>
      </c>
    </row>
    <row r="2994" spans="1:19">
      <c r="A2994" s="45" t="s">
        <v>136</v>
      </c>
      <c r="B2994" s="32" t="s">
        <v>137</v>
      </c>
      <c r="C2994" s="3">
        <v>67</v>
      </c>
      <c r="D2994" s="32"/>
      <c r="E2994" s="20" t="s">
        <v>145</v>
      </c>
      <c r="F2994" s="7" t="s">
        <v>14</v>
      </c>
      <c r="G2994" s="7" t="s">
        <v>44</v>
      </c>
      <c r="H2994" s="11">
        <v>13.4</v>
      </c>
      <c r="I2994" s="33">
        <v>7</v>
      </c>
      <c r="J2994" s="40">
        <v>2</v>
      </c>
      <c r="K2994" s="10">
        <f t="shared" si="282"/>
        <v>0.18759999999999999</v>
      </c>
      <c r="L2994" s="4"/>
      <c r="M2994" s="17">
        <v>2</v>
      </c>
      <c r="N2994" s="18">
        <f t="shared" si="283"/>
        <v>0.18759999999999999</v>
      </c>
      <c r="O2994" s="106">
        <f t="shared" si="284"/>
        <v>0</v>
      </c>
      <c r="P2994" s="13">
        <f t="shared" si="285"/>
        <v>0</v>
      </c>
      <c r="Q2994" s="72">
        <v>6.5</v>
      </c>
      <c r="R2994" s="72">
        <v>2</v>
      </c>
      <c r="S2994" s="72" t="s">
        <v>370</v>
      </c>
    </row>
    <row r="2995" spans="1:19">
      <c r="R2995" s="76">
        <f>SUM(R2992:R2994)</f>
        <v>4</v>
      </c>
    </row>
    <row r="2998" spans="1:19">
      <c r="A2998" s="42" t="s">
        <v>77</v>
      </c>
      <c r="B2998" s="3" t="s">
        <v>68</v>
      </c>
      <c r="C2998" s="3">
        <v>174</v>
      </c>
      <c r="D2998" s="1"/>
      <c r="E2998" s="20" t="s">
        <v>72</v>
      </c>
      <c r="F2998" s="7" t="s">
        <v>15</v>
      </c>
      <c r="G2998" s="7" t="s">
        <v>57</v>
      </c>
      <c r="H2998" s="11">
        <v>33.72</v>
      </c>
      <c r="I2998" s="8">
        <v>7.3</v>
      </c>
      <c r="J2998" s="26">
        <v>1</v>
      </c>
      <c r="K2998" s="10">
        <v>0.24615599999999999</v>
      </c>
      <c r="L2998" s="4"/>
      <c r="M2998" s="17">
        <v>1</v>
      </c>
      <c r="N2998" s="18">
        <v>0.24615599999999999</v>
      </c>
      <c r="O2998" s="310">
        <v>0</v>
      </c>
      <c r="P2998" s="13">
        <v>0</v>
      </c>
      <c r="Q2998" s="9"/>
      <c r="R2998" s="74">
        <v>1</v>
      </c>
      <c r="S2998" s="74" t="s">
        <v>514</v>
      </c>
    </row>
    <row r="2999" spans="1:19">
      <c r="A2999" s="42" t="s">
        <v>77</v>
      </c>
      <c r="B2999" s="3" t="s">
        <v>68</v>
      </c>
      <c r="C2999" s="3">
        <v>174</v>
      </c>
      <c r="D2999" s="1"/>
      <c r="E2999" s="20" t="s">
        <v>72</v>
      </c>
      <c r="F2999" s="7" t="s">
        <v>15</v>
      </c>
      <c r="G2999" s="7" t="s">
        <v>57</v>
      </c>
      <c r="H2999" s="11">
        <v>33.72</v>
      </c>
      <c r="I2999" s="8">
        <v>7.8</v>
      </c>
      <c r="J2999" s="26">
        <v>3</v>
      </c>
      <c r="K2999" s="10">
        <v>0.78904799999999986</v>
      </c>
      <c r="L2999" s="4"/>
      <c r="M2999" s="17">
        <v>3</v>
      </c>
      <c r="N2999" s="18">
        <v>0.78904799999999986</v>
      </c>
      <c r="O2999" s="310">
        <v>0</v>
      </c>
      <c r="P2999" s="13">
        <v>0</v>
      </c>
      <c r="Q2999" s="9"/>
      <c r="R2999" s="74">
        <v>3</v>
      </c>
      <c r="S2999" s="74" t="s">
        <v>514</v>
      </c>
    </row>
    <row r="3000" spans="1:19">
      <c r="A3000" s="42" t="s">
        <v>77</v>
      </c>
      <c r="B3000" s="3" t="s">
        <v>68</v>
      </c>
      <c r="C3000" s="3">
        <v>174</v>
      </c>
      <c r="D3000" s="1"/>
      <c r="E3000" s="20" t="s">
        <v>72</v>
      </c>
      <c r="F3000" s="7" t="s">
        <v>15</v>
      </c>
      <c r="G3000" s="7" t="s">
        <v>57</v>
      </c>
      <c r="H3000" s="11">
        <v>33.72</v>
      </c>
      <c r="I3000" s="8">
        <v>7.7</v>
      </c>
      <c r="J3000" s="26">
        <v>1</v>
      </c>
      <c r="K3000" s="10">
        <v>0.25964399999999999</v>
      </c>
      <c r="L3000" s="4"/>
      <c r="M3000" s="17">
        <v>1</v>
      </c>
      <c r="N3000" s="18">
        <v>0.25964399999999999</v>
      </c>
      <c r="O3000" s="310">
        <v>0</v>
      </c>
      <c r="P3000" s="13">
        <v>0</v>
      </c>
      <c r="Q3000" s="9"/>
      <c r="R3000" s="74">
        <v>1</v>
      </c>
      <c r="S3000" s="74" t="s">
        <v>514</v>
      </c>
    </row>
    <row r="3001" spans="1:19">
      <c r="A3001" s="42" t="s">
        <v>77</v>
      </c>
      <c r="B3001" s="3" t="s">
        <v>68</v>
      </c>
      <c r="C3001" s="3">
        <v>178</v>
      </c>
      <c r="D3001" s="1"/>
      <c r="E3001" s="20" t="s">
        <v>72</v>
      </c>
      <c r="F3001" s="7" t="s">
        <v>15</v>
      </c>
      <c r="G3001" s="7" t="s">
        <v>57</v>
      </c>
      <c r="H3001" s="11">
        <v>33.72</v>
      </c>
      <c r="I3001" s="8">
        <v>6.5</v>
      </c>
      <c r="J3001" s="26">
        <v>5</v>
      </c>
      <c r="K3001" s="10">
        <v>1.0959000000000001</v>
      </c>
      <c r="L3001" s="4"/>
      <c r="M3001" s="17">
        <v>5</v>
      </c>
      <c r="N3001" s="18">
        <v>1.0958999999999999</v>
      </c>
      <c r="O3001" s="310">
        <v>0</v>
      </c>
      <c r="P3001" s="13">
        <v>0</v>
      </c>
      <c r="Q3001" s="9"/>
      <c r="R3001" s="74">
        <v>5</v>
      </c>
      <c r="S3001" s="74" t="s">
        <v>514</v>
      </c>
    </row>
    <row r="3002" spans="1:19">
      <c r="A3002" s="42" t="s">
        <v>77</v>
      </c>
      <c r="B3002" s="3" t="s">
        <v>68</v>
      </c>
      <c r="C3002" s="3">
        <v>178</v>
      </c>
      <c r="D3002" s="1"/>
      <c r="E3002" s="20" t="s">
        <v>72</v>
      </c>
      <c r="F3002" s="7" t="s">
        <v>15</v>
      </c>
      <c r="G3002" s="7" t="s">
        <v>57</v>
      </c>
      <c r="H3002" s="11">
        <v>33.72</v>
      </c>
      <c r="I3002" s="8">
        <v>6</v>
      </c>
      <c r="J3002" s="26">
        <v>1</v>
      </c>
      <c r="K3002" s="10">
        <v>0.20232</v>
      </c>
      <c r="L3002" s="4"/>
      <c r="M3002" s="17">
        <v>1</v>
      </c>
      <c r="N3002" s="18">
        <v>0.20232</v>
      </c>
      <c r="O3002" s="310">
        <v>0</v>
      </c>
      <c r="P3002" s="13">
        <v>0</v>
      </c>
      <c r="Q3002" s="9"/>
      <c r="R3002" s="74">
        <v>1</v>
      </c>
      <c r="S3002" s="74" t="s">
        <v>514</v>
      </c>
    </row>
    <row r="3003" spans="1:19">
      <c r="A3003" s="42" t="s">
        <v>77</v>
      </c>
      <c r="B3003" s="3" t="s">
        <v>68</v>
      </c>
      <c r="C3003" s="3">
        <v>179</v>
      </c>
      <c r="D3003" s="1"/>
      <c r="E3003" s="20" t="s">
        <v>72</v>
      </c>
      <c r="F3003" s="7" t="s">
        <v>15</v>
      </c>
      <c r="G3003" s="7" t="s">
        <v>57</v>
      </c>
      <c r="H3003" s="11">
        <v>33.72</v>
      </c>
      <c r="I3003" s="8">
        <v>6.5</v>
      </c>
      <c r="J3003" s="26">
        <v>6</v>
      </c>
      <c r="K3003" s="10">
        <v>1.31508</v>
      </c>
      <c r="L3003" s="4"/>
      <c r="M3003" s="17">
        <v>6</v>
      </c>
      <c r="N3003" s="18">
        <v>1.31508</v>
      </c>
      <c r="O3003" s="310">
        <v>0</v>
      </c>
      <c r="P3003" s="13">
        <v>0</v>
      </c>
      <c r="Q3003" s="9"/>
      <c r="R3003" s="74">
        <v>6</v>
      </c>
      <c r="S3003" s="74" t="s">
        <v>514</v>
      </c>
    </row>
    <row r="3004" spans="1:19">
      <c r="A3004" s="42" t="s">
        <v>77</v>
      </c>
      <c r="B3004" s="3" t="s">
        <v>68</v>
      </c>
      <c r="C3004" s="3">
        <v>181</v>
      </c>
      <c r="D3004" s="1"/>
      <c r="E3004" s="20" t="s">
        <v>72</v>
      </c>
      <c r="F3004" s="7" t="s">
        <v>15</v>
      </c>
      <c r="G3004" s="7" t="s">
        <v>57</v>
      </c>
      <c r="H3004" s="11">
        <v>33.72</v>
      </c>
      <c r="I3004" s="8">
        <v>6.15</v>
      </c>
      <c r="J3004" s="26">
        <v>2</v>
      </c>
      <c r="K3004" s="10">
        <v>0.41475600000000001</v>
      </c>
      <c r="L3004" s="4"/>
      <c r="M3004" s="17">
        <v>2</v>
      </c>
      <c r="N3004" s="18">
        <v>0.41475600000000001</v>
      </c>
      <c r="O3004" s="310">
        <v>0</v>
      </c>
      <c r="P3004" s="13">
        <v>0</v>
      </c>
      <c r="Q3004" s="9"/>
      <c r="R3004" s="74">
        <v>2</v>
      </c>
      <c r="S3004" s="74" t="s">
        <v>514</v>
      </c>
    </row>
    <row r="3005" spans="1:19">
      <c r="A3005" s="42" t="s">
        <v>77</v>
      </c>
      <c r="B3005" s="3" t="s">
        <v>68</v>
      </c>
      <c r="C3005" s="3">
        <v>181</v>
      </c>
      <c r="D3005" s="1"/>
      <c r="E3005" s="20" t="s">
        <v>72</v>
      </c>
      <c r="F3005" s="7" t="s">
        <v>15</v>
      </c>
      <c r="G3005" s="7" t="s">
        <v>57</v>
      </c>
      <c r="H3005" s="11">
        <v>33.72</v>
      </c>
      <c r="I3005" s="8">
        <v>7</v>
      </c>
      <c r="J3005" s="26">
        <v>1</v>
      </c>
      <c r="K3005" s="10">
        <v>0.23604</v>
      </c>
      <c r="L3005" s="4"/>
      <c r="M3005" s="17">
        <v>1</v>
      </c>
      <c r="N3005" s="18">
        <v>0.23604</v>
      </c>
      <c r="O3005" s="310">
        <v>0</v>
      </c>
      <c r="P3005" s="13">
        <v>0</v>
      </c>
      <c r="Q3005" s="9"/>
      <c r="R3005" s="74">
        <v>1</v>
      </c>
      <c r="S3005" s="74" t="s">
        <v>514</v>
      </c>
    </row>
    <row r="3006" spans="1:19">
      <c r="A3006" s="42" t="s">
        <v>77</v>
      </c>
      <c r="B3006" s="3" t="s">
        <v>68</v>
      </c>
      <c r="C3006" s="3">
        <v>181</v>
      </c>
      <c r="D3006" s="1"/>
      <c r="E3006" s="20" t="s">
        <v>72</v>
      </c>
      <c r="F3006" s="7" t="s">
        <v>15</v>
      </c>
      <c r="G3006" s="7" t="s">
        <v>57</v>
      </c>
      <c r="H3006" s="11">
        <v>33.72</v>
      </c>
      <c r="I3006" s="8">
        <v>7.7</v>
      </c>
      <c r="J3006" s="26">
        <v>1</v>
      </c>
      <c r="K3006" s="10">
        <v>0.25964399999999999</v>
      </c>
      <c r="L3006" s="4"/>
      <c r="M3006" s="17">
        <v>1</v>
      </c>
      <c r="N3006" s="18">
        <v>0.25964399999999999</v>
      </c>
      <c r="O3006" s="310">
        <v>0</v>
      </c>
      <c r="P3006" s="13">
        <v>0</v>
      </c>
      <c r="Q3006" s="9"/>
      <c r="R3006" s="74">
        <v>1</v>
      </c>
      <c r="S3006" s="74" t="s">
        <v>514</v>
      </c>
    </row>
    <row r="3007" spans="1:19">
      <c r="A3007" s="42" t="s">
        <v>77</v>
      </c>
      <c r="B3007" s="3" t="s">
        <v>68</v>
      </c>
      <c r="C3007" s="3">
        <v>182</v>
      </c>
      <c r="D3007" s="1"/>
      <c r="E3007" s="20" t="s">
        <v>72</v>
      </c>
      <c r="F3007" s="7" t="s">
        <v>15</v>
      </c>
      <c r="G3007" s="7" t="s">
        <v>57</v>
      </c>
      <c r="H3007" s="11">
        <v>33.72</v>
      </c>
      <c r="I3007" s="8">
        <v>6.7</v>
      </c>
      <c r="J3007" s="26">
        <v>1</v>
      </c>
      <c r="K3007" s="10">
        <v>0.22592400000000001</v>
      </c>
      <c r="L3007" s="4"/>
      <c r="M3007" s="17">
        <v>1</v>
      </c>
      <c r="N3007" s="18">
        <v>0.22592400000000001</v>
      </c>
      <c r="O3007" s="310">
        <v>0</v>
      </c>
      <c r="P3007" s="13">
        <v>0</v>
      </c>
      <c r="Q3007" s="9"/>
      <c r="R3007" s="74">
        <v>1</v>
      </c>
      <c r="S3007" s="74" t="s">
        <v>514</v>
      </c>
    </row>
    <row r="3008" spans="1:19">
      <c r="A3008" s="42" t="s">
        <v>77</v>
      </c>
      <c r="B3008" s="3" t="s">
        <v>68</v>
      </c>
      <c r="C3008" s="3">
        <v>182</v>
      </c>
      <c r="D3008" s="1"/>
      <c r="E3008" s="20" t="s">
        <v>72</v>
      </c>
      <c r="F3008" s="7" t="s">
        <v>15</v>
      </c>
      <c r="G3008" s="7" t="s">
        <v>57</v>
      </c>
      <c r="H3008" s="11">
        <v>33.72</v>
      </c>
      <c r="I3008" s="8">
        <v>7.1</v>
      </c>
      <c r="J3008" s="26">
        <v>1</v>
      </c>
      <c r="K3008" s="10">
        <v>0.23941199999999999</v>
      </c>
      <c r="L3008" s="4"/>
      <c r="M3008" s="17">
        <v>1</v>
      </c>
      <c r="N3008" s="18">
        <v>0.23941199999999999</v>
      </c>
      <c r="O3008" s="310">
        <v>0</v>
      </c>
      <c r="P3008" s="13">
        <v>0</v>
      </c>
      <c r="Q3008" s="9"/>
      <c r="R3008" s="74">
        <v>1</v>
      </c>
      <c r="S3008" s="74" t="s">
        <v>514</v>
      </c>
    </row>
    <row r="3009" spans="1:19">
      <c r="A3009" s="42" t="s">
        <v>77</v>
      </c>
      <c r="B3009" s="3" t="s">
        <v>68</v>
      </c>
      <c r="C3009" s="3">
        <v>182</v>
      </c>
      <c r="D3009" s="1"/>
      <c r="E3009" s="20" t="s">
        <v>72</v>
      </c>
      <c r="F3009" s="7" t="s">
        <v>15</v>
      </c>
      <c r="G3009" s="7" t="s">
        <v>57</v>
      </c>
      <c r="H3009" s="11">
        <v>33.72</v>
      </c>
      <c r="I3009" s="8">
        <v>8.5</v>
      </c>
      <c r="J3009" s="26">
        <v>1</v>
      </c>
      <c r="K3009" s="10">
        <v>0.28661999999999999</v>
      </c>
      <c r="L3009" s="4"/>
      <c r="M3009" s="17">
        <v>1</v>
      </c>
      <c r="N3009" s="18">
        <v>0.28661999999999999</v>
      </c>
      <c r="O3009" s="310">
        <v>0</v>
      </c>
      <c r="P3009" s="13">
        <v>0</v>
      </c>
      <c r="Q3009" s="9"/>
      <c r="R3009" s="74">
        <v>1</v>
      </c>
      <c r="S3009" s="74" t="s">
        <v>514</v>
      </c>
    </row>
    <row r="3010" spans="1:19">
      <c r="A3010" s="42" t="s">
        <v>77</v>
      </c>
      <c r="B3010" s="3" t="s">
        <v>68</v>
      </c>
      <c r="C3010" s="3">
        <v>185</v>
      </c>
      <c r="D3010" s="1"/>
      <c r="E3010" s="20" t="s">
        <v>72</v>
      </c>
      <c r="F3010" s="7" t="s">
        <v>15</v>
      </c>
      <c r="G3010" s="7" t="s">
        <v>57</v>
      </c>
      <c r="H3010" s="11">
        <v>33.72</v>
      </c>
      <c r="I3010" s="8">
        <v>6.7</v>
      </c>
      <c r="J3010" s="26">
        <v>1</v>
      </c>
      <c r="K3010" s="10">
        <v>0.22592400000000001</v>
      </c>
      <c r="L3010" s="4"/>
      <c r="M3010" s="17">
        <v>1</v>
      </c>
      <c r="N3010" s="18">
        <v>0.22592400000000001</v>
      </c>
      <c r="O3010" s="310">
        <v>0</v>
      </c>
      <c r="P3010" s="13">
        <v>0</v>
      </c>
      <c r="Q3010" s="9"/>
      <c r="R3010" s="74">
        <v>1</v>
      </c>
      <c r="S3010" s="74" t="s">
        <v>514</v>
      </c>
    </row>
    <row r="3011" spans="1:19">
      <c r="A3011" s="42" t="s">
        <v>77</v>
      </c>
      <c r="B3011" s="3" t="s">
        <v>68</v>
      </c>
      <c r="C3011" s="3">
        <v>185</v>
      </c>
      <c r="D3011" s="1"/>
      <c r="E3011" s="20" t="s">
        <v>72</v>
      </c>
      <c r="F3011" s="7" t="s">
        <v>15</v>
      </c>
      <c r="G3011" s="7" t="s">
        <v>57</v>
      </c>
      <c r="H3011" s="11">
        <v>33.72</v>
      </c>
      <c r="I3011" s="8">
        <v>7</v>
      </c>
      <c r="J3011" s="26">
        <v>7</v>
      </c>
      <c r="K3011" s="10">
        <v>1.65228</v>
      </c>
      <c r="L3011" s="4"/>
      <c r="M3011" s="17">
        <v>7</v>
      </c>
      <c r="N3011" s="18">
        <v>1.65228</v>
      </c>
      <c r="O3011" s="310">
        <v>0</v>
      </c>
      <c r="P3011" s="13">
        <v>0</v>
      </c>
      <c r="Q3011" s="9"/>
      <c r="R3011" s="74">
        <v>7</v>
      </c>
      <c r="S3011" s="74" t="s">
        <v>514</v>
      </c>
    </row>
    <row r="3012" spans="1:19">
      <c r="A3012" s="42" t="s">
        <v>77</v>
      </c>
      <c r="B3012" s="3" t="s">
        <v>68</v>
      </c>
      <c r="C3012" s="3">
        <v>188</v>
      </c>
      <c r="D3012" s="1"/>
      <c r="E3012" s="20" t="s">
        <v>72</v>
      </c>
      <c r="F3012" s="7" t="s">
        <v>15</v>
      </c>
      <c r="G3012" s="7" t="s">
        <v>57</v>
      </c>
      <c r="H3012" s="11">
        <v>33.72</v>
      </c>
      <c r="I3012" s="8">
        <v>5.6</v>
      </c>
      <c r="J3012" s="26">
        <v>1</v>
      </c>
      <c r="K3012" s="10">
        <v>0.188832</v>
      </c>
      <c r="L3012" s="4"/>
      <c r="M3012" s="17">
        <v>1</v>
      </c>
      <c r="N3012" s="18">
        <v>0.188832</v>
      </c>
      <c r="O3012" s="310">
        <v>0</v>
      </c>
      <c r="P3012" s="13">
        <v>0</v>
      </c>
      <c r="Q3012" s="9"/>
      <c r="R3012" s="74">
        <v>1</v>
      </c>
      <c r="S3012" s="74" t="s">
        <v>514</v>
      </c>
    </row>
    <row r="3013" spans="1:19">
      <c r="A3013" s="42" t="s">
        <v>77</v>
      </c>
      <c r="B3013" s="3" t="s">
        <v>68</v>
      </c>
      <c r="C3013" s="3">
        <v>189</v>
      </c>
      <c r="D3013" s="1"/>
      <c r="E3013" s="20" t="s">
        <v>72</v>
      </c>
      <c r="F3013" s="7" t="s">
        <v>15</v>
      </c>
      <c r="G3013" s="7" t="s">
        <v>57</v>
      </c>
      <c r="H3013" s="11">
        <v>33.72</v>
      </c>
      <c r="I3013" s="8">
        <v>6.2</v>
      </c>
      <c r="J3013" s="26">
        <v>1</v>
      </c>
      <c r="K3013" s="10">
        <v>0.209064</v>
      </c>
      <c r="L3013" s="4"/>
      <c r="M3013" s="17">
        <v>1</v>
      </c>
      <c r="N3013" s="18">
        <v>0.209064</v>
      </c>
      <c r="O3013" s="310">
        <v>0</v>
      </c>
      <c r="P3013" s="13">
        <v>0</v>
      </c>
      <c r="Q3013" s="9"/>
      <c r="R3013" s="74">
        <v>1</v>
      </c>
      <c r="S3013" s="74" t="s">
        <v>514</v>
      </c>
    </row>
    <row r="3014" spans="1:19">
      <c r="A3014" s="42" t="s">
        <v>77</v>
      </c>
      <c r="B3014" s="3" t="s">
        <v>68</v>
      </c>
      <c r="C3014" s="3">
        <v>215</v>
      </c>
      <c r="D3014" s="1"/>
      <c r="E3014" s="20" t="s">
        <v>63</v>
      </c>
      <c r="F3014" s="7" t="s">
        <v>15</v>
      </c>
      <c r="G3014" s="7" t="s">
        <v>57</v>
      </c>
      <c r="H3014" s="11">
        <v>33.72</v>
      </c>
      <c r="I3014" s="8">
        <v>7.5</v>
      </c>
      <c r="J3014" s="26">
        <v>2</v>
      </c>
      <c r="K3014" s="10">
        <v>0.50579999999999992</v>
      </c>
      <c r="L3014" s="4"/>
      <c r="M3014" s="17">
        <v>2</v>
      </c>
      <c r="N3014" s="18">
        <v>0.50579999999999992</v>
      </c>
      <c r="O3014" s="310">
        <v>0</v>
      </c>
      <c r="P3014" s="13">
        <v>0</v>
      </c>
      <c r="Q3014" s="9"/>
      <c r="R3014" s="74">
        <v>2</v>
      </c>
      <c r="S3014" s="74" t="s">
        <v>514</v>
      </c>
    </row>
    <row r="3015" spans="1:19">
      <c r="A3015" s="42" t="s">
        <v>77</v>
      </c>
      <c r="B3015" s="3" t="s">
        <v>68</v>
      </c>
      <c r="C3015" s="3">
        <v>215</v>
      </c>
      <c r="D3015" s="1"/>
      <c r="E3015" s="20" t="s">
        <v>63</v>
      </c>
      <c r="F3015" s="7" t="s">
        <v>15</v>
      </c>
      <c r="G3015" s="7" t="s">
        <v>57</v>
      </c>
      <c r="H3015" s="11">
        <v>33.72</v>
      </c>
      <c r="I3015" s="8">
        <v>7.8</v>
      </c>
      <c r="J3015" s="26">
        <v>3</v>
      </c>
      <c r="K3015" s="10">
        <v>0.78904799999999986</v>
      </c>
      <c r="L3015" s="4"/>
      <c r="M3015" s="17">
        <v>3</v>
      </c>
      <c r="N3015" s="18">
        <v>0.78904799999999986</v>
      </c>
      <c r="O3015" s="310">
        <v>0</v>
      </c>
      <c r="P3015" s="13">
        <v>0</v>
      </c>
      <c r="Q3015" s="9"/>
      <c r="R3015" s="74">
        <v>3</v>
      </c>
      <c r="S3015" s="74" t="s">
        <v>514</v>
      </c>
    </row>
    <row r="3016" spans="1:19">
      <c r="A3016" s="42" t="s">
        <v>77</v>
      </c>
      <c r="B3016" s="3" t="s">
        <v>68</v>
      </c>
      <c r="C3016" s="3">
        <v>217</v>
      </c>
      <c r="D3016" s="1"/>
      <c r="E3016" s="20" t="s">
        <v>63</v>
      </c>
      <c r="F3016" s="7" t="s">
        <v>15</v>
      </c>
      <c r="G3016" s="7" t="s">
        <v>57</v>
      </c>
      <c r="H3016" s="11">
        <v>33.72</v>
      </c>
      <c r="I3016" s="8">
        <v>6.5</v>
      </c>
      <c r="J3016" s="26">
        <v>1</v>
      </c>
      <c r="K3016" s="10">
        <v>0.21918000000000001</v>
      </c>
      <c r="L3016" s="4"/>
      <c r="M3016" s="17">
        <v>1</v>
      </c>
      <c r="N3016" s="18">
        <v>0.21918000000000001</v>
      </c>
      <c r="O3016" s="19">
        <v>0</v>
      </c>
      <c r="P3016" s="13">
        <v>0</v>
      </c>
      <c r="Q3016" s="9"/>
      <c r="R3016" s="74">
        <v>1</v>
      </c>
      <c r="S3016" s="74" t="s">
        <v>514</v>
      </c>
    </row>
    <row r="3017" spans="1:19">
      <c r="A3017" s="42" t="s">
        <v>77</v>
      </c>
      <c r="B3017" s="3" t="s">
        <v>68</v>
      </c>
      <c r="C3017" s="3">
        <v>218</v>
      </c>
      <c r="D3017" s="1"/>
      <c r="E3017" s="20" t="s">
        <v>63</v>
      </c>
      <c r="F3017" s="7" t="s">
        <v>15</v>
      </c>
      <c r="G3017" s="7" t="s">
        <v>57</v>
      </c>
      <c r="H3017" s="11">
        <v>33.72</v>
      </c>
      <c r="I3017" s="8">
        <v>7.8</v>
      </c>
      <c r="J3017" s="26">
        <v>11</v>
      </c>
      <c r="K3017" s="10">
        <v>2.8931759999999995</v>
      </c>
      <c r="L3017" s="4"/>
      <c r="M3017" s="17">
        <v>11</v>
      </c>
      <c r="N3017" s="18">
        <v>2.893176</v>
      </c>
      <c r="O3017" s="310">
        <v>0</v>
      </c>
      <c r="P3017" s="13">
        <v>0</v>
      </c>
      <c r="Q3017" s="9"/>
      <c r="R3017" s="74">
        <v>11</v>
      </c>
      <c r="S3017" s="74" t="s">
        <v>514</v>
      </c>
    </row>
    <row r="3018" spans="1:19">
      <c r="A3018" s="42" t="s">
        <v>77</v>
      </c>
      <c r="B3018" s="3" t="s">
        <v>68</v>
      </c>
      <c r="C3018" s="3">
        <v>220</v>
      </c>
      <c r="D3018" s="1"/>
      <c r="E3018" s="20" t="s">
        <v>63</v>
      </c>
      <c r="F3018" s="7" t="s">
        <v>15</v>
      </c>
      <c r="G3018" s="7" t="s">
        <v>57</v>
      </c>
      <c r="H3018" s="11">
        <v>33.72</v>
      </c>
      <c r="I3018" s="8">
        <v>7.3</v>
      </c>
      <c r="J3018" s="26">
        <v>1</v>
      </c>
      <c r="K3018" s="10">
        <v>0.24615599999999999</v>
      </c>
      <c r="L3018" s="4"/>
      <c r="M3018" s="17">
        <v>1</v>
      </c>
      <c r="N3018" s="18">
        <v>0.24615599999999999</v>
      </c>
      <c r="O3018" s="310">
        <v>0</v>
      </c>
      <c r="P3018" s="13">
        <v>0</v>
      </c>
      <c r="Q3018" s="9"/>
      <c r="R3018" s="74">
        <v>1</v>
      </c>
      <c r="S3018" s="74" t="s">
        <v>514</v>
      </c>
    </row>
    <row r="3019" spans="1:19">
      <c r="A3019" s="42" t="s">
        <v>77</v>
      </c>
      <c r="B3019" s="3" t="s">
        <v>68</v>
      </c>
      <c r="C3019" s="3">
        <v>220</v>
      </c>
      <c r="D3019" s="1"/>
      <c r="E3019" s="20" t="s">
        <v>63</v>
      </c>
      <c r="F3019" s="7" t="s">
        <v>15</v>
      </c>
      <c r="G3019" s="7" t="s">
        <v>57</v>
      </c>
      <c r="H3019" s="11">
        <v>33.72</v>
      </c>
      <c r="I3019" s="8">
        <v>7.5</v>
      </c>
      <c r="J3019" s="26">
        <v>8</v>
      </c>
      <c r="K3019" s="10">
        <v>2.0231999999999997</v>
      </c>
      <c r="L3019" s="4"/>
      <c r="M3019" s="17">
        <v>8</v>
      </c>
      <c r="N3019" s="18">
        <v>2.0231999999999997</v>
      </c>
      <c r="O3019" s="310">
        <v>0</v>
      </c>
      <c r="P3019" s="13">
        <v>0</v>
      </c>
      <c r="Q3019" s="9"/>
      <c r="R3019" s="74">
        <v>8</v>
      </c>
      <c r="S3019" s="74" t="s">
        <v>514</v>
      </c>
    </row>
    <row r="3020" spans="1:19">
      <c r="A3020" s="42" t="s">
        <v>77</v>
      </c>
      <c r="B3020" s="3" t="s">
        <v>68</v>
      </c>
      <c r="C3020" s="3">
        <v>223</v>
      </c>
      <c r="D3020" s="1"/>
      <c r="E3020" s="20" t="s">
        <v>63</v>
      </c>
      <c r="F3020" s="7" t="s">
        <v>15</v>
      </c>
      <c r="G3020" s="7" t="s">
        <v>57</v>
      </c>
      <c r="H3020" s="11">
        <v>33.72</v>
      </c>
      <c r="I3020" s="8">
        <v>7.8</v>
      </c>
      <c r="J3020" s="26">
        <v>11</v>
      </c>
      <c r="K3020" s="10">
        <v>2.8931759999999995</v>
      </c>
      <c r="L3020" s="4"/>
      <c r="M3020" s="17">
        <v>11</v>
      </c>
      <c r="N3020" s="18">
        <v>2.893176</v>
      </c>
      <c r="O3020" s="310">
        <v>0</v>
      </c>
      <c r="P3020" s="13">
        <v>0</v>
      </c>
      <c r="Q3020" s="9"/>
      <c r="R3020" s="74">
        <v>11</v>
      </c>
      <c r="S3020" s="74" t="s">
        <v>514</v>
      </c>
    </row>
    <row r="3021" spans="1:19">
      <c r="A3021" s="48" t="s">
        <v>179</v>
      </c>
      <c r="B3021" s="48" t="s">
        <v>180</v>
      </c>
      <c r="C3021" s="32"/>
      <c r="D3021" s="32"/>
      <c r="E3021" s="48" t="s">
        <v>63</v>
      </c>
      <c r="F3021" s="48" t="s">
        <v>15</v>
      </c>
      <c r="G3021" s="48" t="s">
        <v>57</v>
      </c>
      <c r="H3021" s="11">
        <v>33.72</v>
      </c>
      <c r="I3021" s="52">
        <v>5.3</v>
      </c>
      <c r="J3021" s="7">
        <v>1</v>
      </c>
      <c r="K3021" s="10">
        <v>0.17871599999999999</v>
      </c>
      <c r="L3021" s="32"/>
      <c r="M3021" s="32">
        <v>1</v>
      </c>
      <c r="N3021" s="18">
        <v>0.17871599999999999</v>
      </c>
      <c r="O3021" s="310">
        <v>0</v>
      </c>
      <c r="P3021" s="13">
        <v>0</v>
      </c>
      <c r="Q3021" s="32"/>
      <c r="R3021" s="72">
        <v>1</v>
      </c>
      <c r="S3021" s="74" t="s">
        <v>514</v>
      </c>
    </row>
    <row r="3022" spans="1:19">
      <c r="A3022" s="48" t="s">
        <v>179</v>
      </c>
      <c r="B3022" s="48" t="s">
        <v>180</v>
      </c>
      <c r="C3022" s="32"/>
      <c r="D3022" s="32"/>
      <c r="E3022" s="48" t="s">
        <v>63</v>
      </c>
      <c r="F3022" s="48" t="s">
        <v>15</v>
      </c>
      <c r="G3022" s="48" t="s">
        <v>57</v>
      </c>
      <c r="H3022" s="11">
        <v>33.72</v>
      </c>
      <c r="I3022" s="9">
        <v>8.5</v>
      </c>
      <c r="J3022" s="7">
        <v>1</v>
      </c>
      <c r="K3022" s="10">
        <v>0.28661999999999999</v>
      </c>
      <c r="L3022" s="32"/>
      <c r="M3022" s="32">
        <v>1</v>
      </c>
      <c r="N3022" s="18">
        <v>0.28661999999999999</v>
      </c>
      <c r="O3022" s="310">
        <v>0</v>
      </c>
      <c r="P3022" s="13">
        <v>0</v>
      </c>
      <c r="Q3022" s="32"/>
      <c r="R3022" s="72">
        <v>1</v>
      </c>
      <c r="S3022" s="74" t="s">
        <v>514</v>
      </c>
    </row>
    <row r="3023" spans="1:19">
      <c r="A3023" s="48" t="s">
        <v>179</v>
      </c>
      <c r="B3023" s="48" t="s">
        <v>180</v>
      </c>
      <c r="C3023" s="32"/>
      <c r="D3023" s="32"/>
      <c r="E3023" s="48" t="s">
        <v>63</v>
      </c>
      <c r="F3023" s="48" t="s">
        <v>15</v>
      </c>
      <c r="G3023" s="48" t="s">
        <v>57</v>
      </c>
      <c r="H3023" s="11">
        <v>33.72</v>
      </c>
      <c r="I3023" s="9">
        <v>10</v>
      </c>
      <c r="J3023" s="7">
        <v>1</v>
      </c>
      <c r="K3023" s="10">
        <v>0.3372</v>
      </c>
      <c r="L3023" s="32"/>
      <c r="M3023" s="32">
        <v>1</v>
      </c>
      <c r="N3023" s="18">
        <v>0.3372</v>
      </c>
      <c r="O3023" s="310">
        <v>0</v>
      </c>
      <c r="P3023" s="13">
        <v>0</v>
      </c>
      <c r="Q3023" s="32"/>
      <c r="R3023" s="72">
        <v>1</v>
      </c>
      <c r="S3023" s="74" t="s">
        <v>514</v>
      </c>
    </row>
    <row r="3024" spans="1:19">
      <c r="A3024" s="48" t="s">
        <v>179</v>
      </c>
      <c r="B3024" s="48" t="s">
        <v>180</v>
      </c>
      <c r="C3024" s="32"/>
      <c r="D3024" s="32"/>
      <c r="E3024" s="48" t="s">
        <v>63</v>
      </c>
      <c r="F3024" s="48" t="s">
        <v>15</v>
      </c>
      <c r="G3024" s="48" t="s">
        <v>57</v>
      </c>
      <c r="H3024" s="11">
        <v>33.72</v>
      </c>
      <c r="I3024" s="9">
        <v>10.199999999999999</v>
      </c>
      <c r="J3024" s="7">
        <v>1</v>
      </c>
      <c r="K3024" s="10">
        <v>0.34394399999999997</v>
      </c>
      <c r="L3024" s="32"/>
      <c r="M3024" s="32">
        <v>1</v>
      </c>
      <c r="N3024" s="18">
        <v>0.34394399999999997</v>
      </c>
      <c r="O3024" s="310">
        <v>0</v>
      </c>
      <c r="P3024" s="13">
        <v>0</v>
      </c>
      <c r="Q3024" s="32"/>
      <c r="R3024" s="72">
        <v>1</v>
      </c>
      <c r="S3024" s="74" t="s">
        <v>514</v>
      </c>
    </row>
    <row r="3025" spans="1:19">
      <c r="A3025" s="42" t="s">
        <v>84</v>
      </c>
      <c r="B3025" s="3" t="s">
        <v>122</v>
      </c>
      <c r="C3025" s="3">
        <v>1</v>
      </c>
      <c r="D3025" s="1"/>
      <c r="E3025" s="20" t="s">
        <v>63</v>
      </c>
      <c r="F3025" s="7" t="s">
        <v>15</v>
      </c>
      <c r="G3025" s="7" t="s">
        <v>57</v>
      </c>
      <c r="H3025" s="11">
        <v>33.72</v>
      </c>
      <c r="I3025" s="8">
        <v>7.5</v>
      </c>
      <c r="J3025" s="26">
        <v>3</v>
      </c>
      <c r="K3025" s="10">
        <v>0.75869999999999993</v>
      </c>
      <c r="L3025" s="4"/>
      <c r="M3025" s="17">
        <v>3</v>
      </c>
      <c r="N3025" s="18">
        <v>0.75869999999999993</v>
      </c>
      <c r="O3025" s="310">
        <v>0</v>
      </c>
      <c r="P3025" s="13">
        <v>0</v>
      </c>
      <c r="Q3025" s="9"/>
      <c r="R3025" s="74">
        <v>3</v>
      </c>
      <c r="S3025" s="74" t="s">
        <v>514</v>
      </c>
    </row>
    <row r="3026" spans="1:19">
      <c r="A3026" s="42" t="s">
        <v>84</v>
      </c>
      <c r="B3026" s="3" t="s">
        <v>122</v>
      </c>
      <c r="C3026" s="3">
        <v>1</v>
      </c>
      <c r="D3026" s="1"/>
      <c r="E3026" s="20" t="s">
        <v>63</v>
      </c>
      <c r="F3026" s="7" t="s">
        <v>15</v>
      </c>
      <c r="G3026" s="7" t="s">
        <v>57</v>
      </c>
      <c r="H3026" s="11">
        <v>33.72</v>
      </c>
      <c r="I3026" s="8">
        <v>8</v>
      </c>
      <c r="J3026" s="26">
        <v>2</v>
      </c>
      <c r="K3026" s="10">
        <v>0.53952</v>
      </c>
      <c r="L3026" s="4"/>
      <c r="M3026" s="17">
        <v>2</v>
      </c>
      <c r="N3026" s="18">
        <v>0.53952</v>
      </c>
      <c r="O3026" s="310">
        <v>0</v>
      </c>
      <c r="P3026" s="13">
        <v>0</v>
      </c>
      <c r="Q3026" s="9"/>
      <c r="R3026" s="74">
        <v>2</v>
      </c>
      <c r="S3026" s="74" t="s">
        <v>514</v>
      </c>
    </row>
    <row r="3027" spans="1:19">
      <c r="A3027" s="44" t="s">
        <v>78</v>
      </c>
      <c r="B3027" s="3" t="s">
        <v>80</v>
      </c>
      <c r="C3027" s="3">
        <v>3</v>
      </c>
      <c r="D3027" s="1"/>
      <c r="E3027" s="20" t="s">
        <v>91</v>
      </c>
      <c r="F3027" s="7" t="s">
        <v>15</v>
      </c>
      <c r="G3027" s="7" t="s">
        <v>57</v>
      </c>
      <c r="H3027" s="11">
        <v>33.72</v>
      </c>
      <c r="I3027" s="8">
        <v>7.5</v>
      </c>
      <c r="J3027" s="26">
        <v>4</v>
      </c>
      <c r="K3027" s="10">
        <v>1.0115999999999998</v>
      </c>
      <c r="L3027" s="4"/>
      <c r="M3027" s="17">
        <v>4</v>
      </c>
      <c r="N3027" s="18">
        <v>1.0115999999999998</v>
      </c>
      <c r="O3027" s="310">
        <v>0</v>
      </c>
      <c r="P3027" s="13">
        <v>0</v>
      </c>
      <c r="Q3027" s="9"/>
      <c r="R3027" s="72">
        <v>4</v>
      </c>
      <c r="S3027" s="74" t="s">
        <v>514</v>
      </c>
    </row>
    <row r="3028" spans="1:19" s="213" customFormat="1">
      <c r="A3028" s="44" t="s">
        <v>78</v>
      </c>
      <c r="B3028" s="32" t="s">
        <v>80</v>
      </c>
      <c r="C3028" s="3">
        <v>1</v>
      </c>
      <c r="D3028" s="32"/>
      <c r="E3028" s="20" t="s">
        <v>88</v>
      </c>
      <c r="F3028" s="7" t="s">
        <v>15</v>
      </c>
      <c r="G3028" s="7" t="s">
        <v>57</v>
      </c>
      <c r="H3028" s="11">
        <v>33.72</v>
      </c>
      <c r="I3028" s="33">
        <v>9.6999999999999993</v>
      </c>
      <c r="J3028" s="40">
        <v>2</v>
      </c>
      <c r="K3028" s="10">
        <v>0.65416799999999986</v>
      </c>
      <c r="L3028" s="4"/>
      <c r="M3028" s="17">
        <v>2</v>
      </c>
      <c r="N3028" s="18">
        <v>0.65416799999999986</v>
      </c>
      <c r="O3028" s="310">
        <v>0</v>
      </c>
      <c r="P3028" s="13">
        <v>0</v>
      </c>
      <c r="Q3028" s="32"/>
      <c r="R3028" s="72">
        <v>2</v>
      </c>
      <c r="S3028" s="74" t="s">
        <v>514</v>
      </c>
    </row>
    <row r="3029" spans="1:19">
      <c r="A3029" s="44" t="s">
        <v>78</v>
      </c>
      <c r="B3029" s="32" t="s">
        <v>80</v>
      </c>
      <c r="C3029" s="3">
        <v>1</v>
      </c>
      <c r="D3029" s="32"/>
      <c r="E3029" s="20" t="s">
        <v>88</v>
      </c>
      <c r="F3029" s="7" t="s">
        <v>15</v>
      </c>
      <c r="G3029" s="7" t="s">
        <v>57</v>
      </c>
      <c r="H3029" s="11">
        <v>33.72</v>
      </c>
      <c r="I3029" s="33">
        <v>9.1</v>
      </c>
      <c r="J3029" s="40">
        <v>1</v>
      </c>
      <c r="K3029" s="10">
        <v>0.30685199999999996</v>
      </c>
      <c r="L3029" s="4"/>
      <c r="M3029" s="17">
        <v>1</v>
      </c>
      <c r="N3029" s="18">
        <v>0.30685199999999996</v>
      </c>
      <c r="O3029" s="310">
        <v>0</v>
      </c>
      <c r="P3029" s="13">
        <v>0</v>
      </c>
      <c r="Q3029" s="32"/>
      <c r="R3029" s="72">
        <v>1</v>
      </c>
      <c r="S3029" s="74" t="s">
        <v>514</v>
      </c>
    </row>
    <row r="3030" spans="1:19">
      <c r="A3030" s="44" t="s">
        <v>78</v>
      </c>
      <c r="B3030" s="32" t="s">
        <v>80</v>
      </c>
      <c r="C3030" s="3">
        <v>1</v>
      </c>
      <c r="D3030" s="32"/>
      <c r="E3030" s="20" t="s">
        <v>88</v>
      </c>
      <c r="F3030" s="7" t="s">
        <v>15</v>
      </c>
      <c r="G3030" s="7" t="s">
        <v>57</v>
      </c>
      <c r="H3030" s="11">
        <v>33.72</v>
      </c>
      <c r="I3030" s="33">
        <v>7.5</v>
      </c>
      <c r="J3030" s="40">
        <v>3</v>
      </c>
      <c r="K3030" s="10">
        <v>0.75869999999999993</v>
      </c>
      <c r="L3030" s="4"/>
      <c r="M3030" s="17">
        <v>3</v>
      </c>
      <c r="N3030" s="18">
        <v>0.75869999999999993</v>
      </c>
      <c r="O3030" s="310">
        <v>0</v>
      </c>
      <c r="P3030" s="13">
        <v>0</v>
      </c>
      <c r="Q3030" s="32"/>
      <c r="R3030" s="72">
        <v>3</v>
      </c>
      <c r="S3030" s="74" t="s">
        <v>514</v>
      </c>
    </row>
    <row r="3031" spans="1:19">
      <c r="A3031" s="45" t="s">
        <v>136</v>
      </c>
      <c r="B3031" s="32" t="s">
        <v>137</v>
      </c>
      <c r="C3031" s="3">
        <v>2</v>
      </c>
      <c r="D3031" s="32"/>
      <c r="E3031" s="20" t="s">
        <v>106</v>
      </c>
      <c r="F3031" s="7" t="s">
        <v>15</v>
      </c>
      <c r="G3031" s="7" t="s">
        <v>57</v>
      </c>
      <c r="H3031" s="11">
        <v>33.72</v>
      </c>
      <c r="I3031" s="33">
        <v>8.6</v>
      </c>
      <c r="J3031" s="40">
        <v>1</v>
      </c>
      <c r="K3031" s="10">
        <v>0.28999199999999997</v>
      </c>
      <c r="L3031" s="4"/>
      <c r="M3031" s="17">
        <v>1</v>
      </c>
      <c r="N3031" s="18">
        <v>0.28999199999999997</v>
      </c>
      <c r="O3031" s="310">
        <v>0</v>
      </c>
      <c r="P3031" s="13">
        <v>0</v>
      </c>
      <c r="Q3031" s="32"/>
      <c r="R3031" s="72">
        <v>1</v>
      </c>
      <c r="S3031" s="74" t="s">
        <v>514</v>
      </c>
    </row>
    <row r="3032" spans="1:19">
      <c r="A3032" s="45" t="s">
        <v>136</v>
      </c>
      <c r="B3032" s="32" t="s">
        <v>137</v>
      </c>
      <c r="C3032" s="3">
        <v>17</v>
      </c>
      <c r="D3032" s="32"/>
      <c r="E3032" s="20" t="s">
        <v>106</v>
      </c>
      <c r="F3032" s="7" t="s">
        <v>15</v>
      </c>
      <c r="G3032" s="7" t="s">
        <v>57</v>
      </c>
      <c r="H3032" s="11">
        <v>33.72</v>
      </c>
      <c r="I3032" s="33">
        <v>6</v>
      </c>
      <c r="J3032" s="40">
        <v>2</v>
      </c>
      <c r="K3032" s="10">
        <v>0.40464</v>
      </c>
      <c r="L3032" s="4"/>
      <c r="M3032" s="17">
        <v>2</v>
      </c>
      <c r="N3032" s="18">
        <v>0.40464</v>
      </c>
      <c r="O3032" s="19">
        <v>0</v>
      </c>
      <c r="P3032" s="13">
        <v>0</v>
      </c>
      <c r="Q3032" s="32"/>
      <c r="R3032" s="72">
        <v>2</v>
      </c>
      <c r="S3032" s="74" t="s">
        <v>514</v>
      </c>
    </row>
    <row r="3033" spans="1:19">
      <c r="A3033" s="45" t="s">
        <v>136</v>
      </c>
      <c r="B3033" s="32" t="s">
        <v>137</v>
      </c>
      <c r="C3033" s="3">
        <v>17</v>
      </c>
      <c r="D3033" s="32"/>
      <c r="E3033" s="20" t="s">
        <v>106</v>
      </c>
      <c r="F3033" s="7" t="s">
        <v>15</v>
      </c>
      <c r="G3033" s="7" t="s">
        <v>57</v>
      </c>
      <c r="H3033" s="11">
        <v>33.72</v>
      </c>
      <c r="I3033" s="33">
        <v>6.6</v>
      </c>
      <c r="J3033" s="40">
        <v>3</v>
      </c>
      <c r="K3033" s="10">
        <v>0.66765599999999992</v>
      </c>
      <c r="L3033" s="4"/>
      <c r="M3033" s="17">
        <v>3</v>
      </c>
      <c r="N3033" s="18">
        <v>0.66765599999999981</v>
      </c>
      <c r="O3033" s="310">
        <v>0</v>
      </c>
      <c r="P3033" s="13">
        <v>0</v>
      </c>
      <c r="Q3033" s="32"/>
      <c r="R3033" s="72">
        <v>3</v>
      </c>
      <c r="S3033" s="74" t="s">
        <v>514</v>
      </c>
    </row>
    <row r="3034" spans="1:19">
      <c r="A3034" s="45" t="s">
        <v>136</v>
      </c>
      <c r="B3034" s="32" t="s">
        <v>137</v>
      </c>
      <c r="C3034" s="3">
        <v>18</v>
      </c>
      <c r="D3034" s="32"/>
      <c r="E3034" s="20" t="s">
        <v>106</v>
      </c>
      <c r="F3034" s="7" t="s">
        <v>15</v>
      </c>
      <c r="G3034" s="7" t="s">
        <v>57</v>
      </c>
      <c r="H3034" s="11">
        <v>33.72</v>
      </c>
      <c r="I3034" s="33">
        <v>6.5</v>
      </c>
      <c r="J3034" s="40">
        <v>2</v>
      </c>
      <c r="K3034" s="10">
        <v>0.43836000000000003</v>
      </c>
      <c r="L3034" s="4"/>
      <c r="M3034" s="17">
        <v>2</v>
      </c>
      <c r="N3034" s="18">
        <v>0.43836000000000003</v>
      </c>
      <c r="O3034" s="310">
        <v>0</v>
      </c>
      <c r="P3034" s="13">
        <v>0</v>
      </c>
      <c r="Q3034" s="32"/>
      <c r="R3034" s="72">
        <v>2</v>
      </c>
      <c r="S3034" s="74" t="s">
        <v>514</v>
      </c>
    </row>
    <row r="3035" spans="1:19" s="213" customFormat="1">
      <c r="A3035" s="45" t="s">
        <v>136</v>
      </c>
      <c r="B3035" s="32" t="s">
        <v>137</v>
      </c>
      <c r="C3035" s="3">
        <v>18</v>
      </c>
      <c r="D3035" s="32"/>
      <c r="E3035" s="20" t="s">
        <v>106</v>
      </c>
      <c r="F3035" s="7" t="s">
        <v>15</v>
      </c>
      <c r="G3035" s="7" t="s">
        <v>57</v>
      </c>
      <c r="H3035" s="11">
        <v>33.72</v>
      </c>
      <c r="I3035" s="33">
        <v>7</v>
      </c>
      <c r="J3035" s="40">
        <v>2</v>
      </c>
      <c r="K3035" s="10">
        <v>0.47208</v>
      </c>
      <c r="L3035" s="4"/>
      <c r="M3035" s="17">
        <v>2</v>
      </c>
      <c r="N3035" s="18">
        <v>0.47208</v>
      </c>
      <c r="O3035" s="310">
        <v>0</v>
      </c>
      <c r="P3035" s="13">
        <v>0</v>
      </c>
      <c r="Q3035" s="32"/>
      <c r="R3035" s="72">
        <v>2</v>
      </c>
      <c r="S3035" s="74" t="s">
        <v>514</v>
      </c>
    </row>
    <row r="3036" spans="1:19">
      <c r="A3036" s="45" t="s">
        <v>136</v>
      </c>
      <c r="B3036" s="32" t="s">
        <v>137</v>
      </c>
      <c r="C3036" s="3">
        <v>20</v>
      </c>
      <c r="D3036" s="32"/>
      <c r="E3036" s="20" t="s">
        <v>106</v>
      </c>
      <c r="F3036" s="7" t="s">
        <v>15</v>
      </c>
      <c r="G3036" s="7" t="s">
        <v>57</v>
      </c>
      <c r="H3036" s="11">
        <v>33.72</v>
      </c>
      <c r="I3036" s="33">
        <v>6.5</v>
      </c>
      <c r="J3036" s="40">
        <v>3</v>
      </c>
      <c r="K3036" s="10">
        <v>0.65754000000000001</v>
      </c>
      <c r="L3036" s="4"/>
      <c r="M3036" s="17">
        <v>3</v>
      </c>
      <c r="N3036" s="18">
        <v>0.65754000000000001</v>
      </c>
      <c r="O3036" s="310">
        <v>0</v>
      </c>
      <c r="P3036" s="13">
        <v>0</v>
      </c>
      <c r="Q3036" s="32"/>
      <c r="R3036" s="72">
        <v>3</v>
      </c>
      <c r="S3036" s="74" t="s">
        <v>514</v>
      </c>
    </row>
    <row r="3037" spans="1:19">
      <c r="A3037" s="45" t="s">
        <v>136</v>
      </c>
      <c r="B3037" s="32" t="s">
        <v>137</v>
      </c>
      <c r="C3037" s="3">
        <v>20</v>
      </c>
      <c r="D3037" s="32"/>
      <c r="E3037" s="20" t="s">
        <v>106</v>
      </c>
      <c r="F3037" s="7" t="s">
        <v>15</v>
      </c>
      <c r="G3037" s="7" t="s">
        <v>57</v>
      </c>
      <c r="H3037" s="11">
        <v>33.72</v>
      </c>
      <c r="I3037" s="33">
        <v>7</v>
      </c>
      <c r="J3037" s="40">
        <v>2</v>
      </c>
      <c r="K3037" s="10">
        <v>0.47208</v>
      </c>
      <c r="L3037" s="4"/>
      <c r="M3037" s="17">
        <v>2</v>
      </c>
      <c r="N3037" s="18">
        <v>0.47208</v>
      </c>
      <c r="O3037" s="310">
        <v>0</v>
      </c>
      <c r="P3037" s="13">
        <v>0</v>
      </c>
      <c r="Q3037" s="32"/>
      <c r="R3037" s="72">
        <v>2</v>
      </c>
      <c r="S3037" s="74" t="s">
        <v>514</v>
      </c>
    </row>
    <row r="3038" spans="1:19">
      <c r="A3038" s="45" t="s">
        <v>136</v>
      </c>
      <c r="B3038" s="32" t="s">
        <v>137</v>
      </c>
      <c r="C3038" s="3">
        <v>27</v>
      </c>
      <c r="D3038" s="32"/>
      <c r="E3038" s="20" t="s">
        <v>88</v>
      </c>
      <c r="F3038" s="7" t="s">
        <v>15</v>
      </c>
      <c r="G3038" s="7" t="s">
        <v>57</v>
      </c>
      <c r="H3038" s="11">
        <v>33.72</v>
      </c>
      <c r="I3038" s="33">
        <v>7</v>
      </c>
      <c r="J3038" s="40">
        <v>2</v>
      </c>
      <c r="K3038" s="10">
        <v>0.47208</v>
      </c>
      <c r="L3038" s="4"/>
      <c r="M3038" s="17">
        <v>2</v>
      </c>
      <c r="N3038" s="18">
        <v>0.47208</v>
      </c>
      <c r="O3038" s="310">
        <v>0</v>
      </c>
      <c r="P3038" s="13">
        <v>0</v>
      </c>
      <c r="Q3038" s="32"/>
      <c r="R3038" s="72">
        <v>2</v>
      </c>
      <c r="S3038" s="74" t="s">
        <v>514</v>
      </c>
    </row>
    <row r="3039" spans="1:19">
      <c r="A3039" s="45" t="s">
        <v>136</v>
      </c>
      <c r="B3039" s="48" t="s">
        <v>171</v>
      </c>
      <c r="C3039" s="32">
        <v>109</v>
      </c>
      <c r="D3039" s="32"/>
      <c r="E3039" s="48" t="s">
        <v>106</v>
      </c>
      <c r="F3039" s="48" t="s">
        <v>15</v>
      </c>
      <c r="G3039" s="48" t="s">
        <v>57</v>
      </c>
      <c r="H3039" s="11">
        <v>33.72</v>
      </c>
      <c r="I3039" s="52">
        <v>8</v>
      </c>
      <c r="J3039" s="7">
        <v>1</v>
      </c>
      <c r="K3039" s="10">
        <v>0.26976</v>
      </c>
      <c r="L3039" s="32"/>
      <c r="M3039" s="32">
        <v>1</v>
      </c>
      <c r="N3039" s="18">
        <v>0.26976</v>
      </c>
      <c r="O3039" s="310">
        <v>0</v>
      </c>
      <c r="P3039" s="13">
        <v>0</v>
      </c>
      <c r="Q3039" s="32"/>
      <c r="R3039" s="72">
        <v>1</v>
      </c>
      <c r="S3039" s="74" t="s">
        <v>514</v>
      </c>
    </row>
    <row r="3040" spans="1:19">
      <c r="A3040" s="45" t="s">
        <v>136</v>
      </c>
      <c r="B3040" s="48" t="s">
        <v>171</v>
      </c>
      <c r="C3040" s="32">
        <v>109</v>
      </c>
      <c r="D3040" s="32"/>
      <c r="E3040" s="48" t="s">
        <v>106</v>
      </c>
      <c r="F3040" s="48" t="s">
        <v>15</v>
      </c>
      <c r="G3040" s="48" t="s">
        <v>57</v>
      </c>
      <c r="H3040" s="11">
        <v>33.72</v>
      </c>
      <c r="I3040" s="52">
        <v>11</v>
      </c>
      <c r="J3040" s="7">
        <v>1</v>
      </c>
      <c r="K3040" s="10">
        <v>0.37091999999999997</v>
      </c>
      <c r="L3040" s="32"/>
      <c r="M3040" s="32">
        <v>1</v>
      </c>
      <c r="N3040" s="18">
        <v>0.37091999999999997</v>
      </c>
      <c r="O3040" s="310">
        <v>0</v>
      </c>
      <c r="P3040" s="13">
        <v>0</v>
      </c>
      <c r="Q3040" s="32"/>
      <c r="R3040" s="72">
        <v>1</v>
      </c>
      <c r="S3040" s="74" t="s">
        <v>514</v>
      </c>
    </row>
    <row r="3041" spans="1:19">
      <c r="A3041" s="45" t="s">
        <v>136</v>
      </c>
      <c r="B3041" s="48" t="s">
        <v>171</v>
      </c>
      <c r="C3041" s="32">
        <v>109</v>
      </c>
      <c r="D3041" s="32"/>
      <c r="E3041" s="48" t="s">
        <v>106</v>
      </c>
      <c r="F3041" s="48" t="s">
        <v>15</v>
      </c>
      <c r="G3041" s="48" t="s">
        <v>57</v>
      </c>
      <c r="H3041" s="11">
        <v>33.72</v>
      </c>
      <c r="I3041" s="52">
        <v>11.2</v>
      </c>
      <c r="J3041" s="7">
        <v>2</v>
      </c>
      <c r="K3041" s="10">
        <v>0.755328</v>
      </c>
      <c r="L3041" s="32"/>
      <c r="M3041" s="32">
        <v>2</v>
      </c>
      <c r="N3041" s="18">
        <v>0.755328</v>
      </c>
      <c r="O3041" s="310">
        <v>0</v>
      </c>
      <c r="P3041" s="13">
        <v>0</v>
      </c>
      <c r="Q3041" s="32"/>
      <c r="R3041" s="72">
        <v>2</v>
      </c>
      <c r="S3041" s="74" t="s">
        <v>514</v>
      </c>
    </row>
    <row r="3042" spans="1:19">
      <c r="A3042" s="45" t="s">
        <v>136</v>
      </c>
      <c r="B3042" s="48" t="s">
        <v>171</v>
      </c>
      <c r="C3042" s="32">
        <v>129</v>
      </c>
      <c r="D3042" s="32"/>
      <c r="E3042" s="48" t="s">
        <v>106</v>
      </c>
      <c r="F3042" s="48" t="s">
        <v>15</v>
      </c>
      <c r="G3042" s="48" t="s">
        <v>57</v>
      </c>
      <c r="H3042" s="11">
        <v>33.72</v>
      </c>
      <c r="I3042" s="52">
        <v>7.2</v>
      </c>
      <c r="J3042" s="7">
        <v>1</v>
      </c>
      <c r="K3042" s="10">
        <v>0.242784</v>
      </c>
      <c r="L3042" s="32"/>
      <c r="M3042" s="32">
        <v>1</v>
      </c>
      <c r="N3042" s="18">
        <v>0.242784</v>
      </c>
      <c r="O3042" s="310">
        <v>0</v>
      </c>
      <c r="P3042" s="13">
        <v>0</v>
      </c>
      <c r="Q3042" s="32"/>
      <c r="R3042" s="72">
        <v>1</v>
      </c>
      <c r="S3042" s="74" t="s">
        <v>514</v>
      </c>
    </row>
    <row r="3043" spans="1:19">
      <c r="A3043" s="45" t="s">
        <v>136</v>
      </c>
      <c r="B3043" s="48" t="s">
        <v>171</v>
      </c>
      <c r="C3043" s="32">
        <v>129</v>
      </c>
      <c r="D3043" s="32"/>
      <c r="E3043" s="48" t="s">
        <v>106</v>
      </c>
      <c r="F3043" s="48" t="s">
        <v>15</v>
      </c>
      <c r="G3043" s="48" t="s">
        <v>57</v>
      </c>
      <c r="H3043" s="11">
        <v>33.72</v>
      </c>
      <c r="I3043" s="52">
        <v>7.5</v>
      </c>
      <c r="J3043" s="7">
        <v>3</v>
      </c>
      <c r="K3043" s="10">
        <v>0.75869999999999993</v>
      </c>
      <c r="L3043" s="32"/>
      <c r="M3043" s="32">
        <v>3</v>
      </c>
      <c r="N3043" s="18">
        <v>0.75869999999999993</v>
      </c>
      <c r="O3043" s="310">
        <v>0</v>
      </c>
      <c r="P3043" s="13">
        <v>0</v>
      </c>
      <c r="Q3043" s="32"/>
      <c r="R3043" s="72">
        <v>3</v>
      </c>
      <c r="S3043" s="74" t="s">
        <v>514</v>
      </c>
    </row>
    <row r="3044" spans="1:19">
      <c r="A3044" s="45" t="s">
        <v>136</v>
      </c>
      <c r="B3044" s="48" t="s">
        <v>171</v>
      </c>
      <c r="C3044" s="32">
        <v>129</v>
      </c>
      <c r="D3044" s="32"/>
      <c r="E3044" s="48" t="s">
        <v>106</v>
      </c>
      <c r="F3044" s="48" t="s">
        <v>15</v>
      </c>
      <c r="G3044" s="48" t="s">
        <v>57</v>
      </c>
      <c r="H3044" s="11">
        <v>33.72</v>
      </c>
      <c r="I3044" s="52">
        <v>7.8</v>
      </c>
      <c r="J3044" s="7">
        <v>4</v>
      </c>
      <c r="K3044" s="10">
        <v>1.0520639999999999</v>
      </c>
      <c r="L3044" s="32"/>
      <c r="M3044" s="32">
        <v>4</v>
      </c>
      <c r="N3044" s="18">
        <v>1.0520639999999999</v>
      </c>
      <c r="O3044" s="310">
        <v>0</v>
      </c>
      <c r="P3044" s="13">
        <v>0</v>
      </c>
      <c r="Q3044" s="32"/>
      <c r="R3044" s="72">
        <v>4</v>
      </c>
      <c r="S3044" s="74" t="s">
        <v>514</v>
      </c>
    </row>
    <row r="3045" spans="1:19">
      <c r="A3045" s="45" t="s">
        <v>136</v>
      </c>
      <c r="B3045" s="48" t="s">
        <v>171</v>
      </c>
      <c r="C3045" s="32">
        <v>129</v>
      </c>
      <c r="D3045" s="32"/>
      <c r="E3045" s="48" t="s">
        <v>106</v>
      </c>
      <c r="F3045" s="48" t="s">
        <v>15</v>
      </c>
      <c r="G3045" s="48" t="s">
        <v>57</v>
      </c>
      <c r="H3045" s="11">
        <v>33.72</v>
      </c>
      <c r="I3045" s="52">
        <v>10</v>
      </c>
      <c r="J3045" s="7">
        <v>3</v>
      </c>
      <c r="K3045" s="10">
        <v>1.0115999999999998</v>
      </c>
      <c r="L3045" s="32"/>
      <c r="M3045" s="32">
        <v>3</v>
      </c>
      <c r="N3045" s="18">
        <v>1.0115999999999998</v>
      </c>
      <c r="O3045" s="310">
        <v>0</v>
      </c>
      <c r="P3045" s="13">
        <v>0</v>
      </c>
      <c r="Q3045" s="32"/>
      <c r="R3045" s="72">
        <v>3</v>
      </c>
      <c r="S3045" s="74" t="s">
        <v>514</v>
      </c>
    </row>
    <row r="3046" spans="1:19">
      <c r="M3046" s="76">
        <f>SUM(M2998:M3045)</f>
        <v>122</v>
      </c>
      <c r="R3046" s="76">
        <f>SUM(R2998:R3045)</f>
        <v>122</v>
      </c>
    </row>
    <row r="3049" spans="1:19">
      <c r="A3049" s="44" t="s">
        <v>78</v>
      </c>
      <c r="B3049" s="3" t="s">
        <v>80</v>
      </c>
      <c r="C3049" s="3">
        <v>8</v>
      </c>
      <c r="D3049" s="1"/>
      <c r="E3049" s="20" t="s">
        <v>91</v>
      </c>
      <c r="F3049" s="7" t="s">
        <v>15</v>
      </c>
      <c r="G3049" s="7" t="s">
        <v>66</v>
      </c>
      <c r="H3049" s="11">
        <v>29.5</v>
      </c>
      <c r="I3049" s="8">
        <v>6.8</v>
      </c>
      <c r="J3049" s="26">
        <v>3</v>
      </c>
      <c r="K3049" s="10">
        <f t="shared" ref="K3049:K3054" si="286">(H3049*I3049*J3049/1000)</f>
        <v>0.6018</v>
      </c>
      <c r="L3049" s="4"/>
      <c r="M3049" s="17">
        <v>3</v>
      </c>
      <c r="N3049" s="18">
        <f t="shared" ref="N3049:N3054" si="287">I3049*M3049*H3049/1000</f>
        <v>0.6018</v>
      </c>
      <c r="O3049" s="19">
        <f t="shared" ref="O3049:O3054" si="288">J3049-M3049</f>
        <v>0</v>
      </c>
      <c r="P3049" s="13">
        <f t="shared" ref="P3049:P3054" si="289">I3049*O3049*H3049/1000</f>
        <v>0</v>
      </c>
      <c r="Q3049" s="9"/>
      <c r="R3049" s="72">
        <v>3</v>
      </c>
      <c r="S3049" s="74" t="s">
        <v>514</v>
      </c>
    </row>
    <row r="3050" spans="1:19">
      <c r="A3050" s="44" t="s">
        <v>78</v>
      </c>
      <c r="B3050" s="3" t="s">
        <v>80</v>
      </c>
      <c r="C3050" s="3">
        <v>8</v>
      </c>
      <c r="D3050" s="1"/>
      <c r="E3050" s="20" t="s">
        <v>91</v>
      </c>
      <c r="F3050" s="7" t="s">
        <v>15</v>
      </c>
      <c r="G3050" s="7" t="s">
        <v>66</v>
      </c>
      <c r="H3050" s="11">
        <v>29.5</v>
      </c>
      <c r="I3050" s="8">
        <v>8.5</v>
      </c>
      <c r="J3050" s="26">
        <v>1</v>
      </c>
      <c r="K3050" s="10">
        <f t="shared" si="286"/>
        <v>0.25074999999999997</v>
      </c>
      <c r="L3050" s="4"/>
      <c r="M3050" s="17">
        <v>1</v>
      </c>
      <c r="N3050" s="18">
        <f t="shared" si="287"/>
        <v>0.25074999999999997</v>
      </c>
      <c r="O3050" s="19">
        <f t="shared" si="288"/>
        <v>0</v>
      </c>
      <c r="P3050" s="13">
        <f t="shared" si="289"/>
        <v>0</v>
      </c>
      <c r="Q3050" s="9"/>
      <c r="R3050" s="72"/>
      <c r="S3050" s="72"/>
    </row>
    <row r="3051" spans="1:19">
      <c r="A3051" s="44" t="s">
        <v>78</v>
      </c>
      <c r="B3051" s="3" t="s">
        <v>80</v>
      </c>
      <c r="C3051" s="3">
        <v>8</v>
      </c>
      <c r="D3051" s="1"/>
      <c r="E3051" s="20" t="s">
        <v>91</v>
      </c>
      <c r="F3051" s="7" t="s">
        <v>15</v>
      </c>
      <c r="G3051" s="7" t="s">
        <v>66</v>
      </c>
      <c r="H3051" s="11">
        <v>29.5</v>
      </c>
      <c r="I3051" s="8">
        <v>6.5</v>
      </c>
      <c r="J3051" s="26">
        <v>1</v>
      </c>
      <c r="K3051" s="10">
        <f t="shared" si="286"/>
        <v>0.19175</v>
      </c>
      <c r="L3051" s="4"/>
      <c r="M3051" s="17">
        <v>1</v>
      </c>
      <c r="N3051" s="18">
        <f t="shared" si="287"/>
        <v>0.19175</v>
      </c>
      <c r="O3051" s="154">
        <f t="shared" si="288"/>
        <v>0</v>
      </c>
      <c r="P3051" s="13">
        <f t="shared" si="289"/>
        <v>0</v>
      </c>
      <c r="Q3051" s="9"/>
      <c r="R3051" s="72">
        <v>1</v>
      </c>
      <c r="S3051" s="74" t="s">
        <v>514</v>
      </c>
    </row>
    <row r="3052" spans="1:19">
      <c r="A3052" s="44" t="s">
        <v>78</v>
      </c>
      <c r="B3052" s="3" t="s">
        <v>80</v>
      </c>
      <c r="C3052" s="3">
        <v>8</v>
      </c>
      <c r="D3052" s="1"/>
      <c r="E3052" s="20" t="s">
        <v>91</v>
      </c>
      <c r="F3052" s="7" t="s">
        <v>15</v>
      </c>
      <c r="G3052" s="7" t="s">
        <v>66</v>
      </c>
      <c r="H3052" s="11">
        <v>29.5</v>
      </c>
      <c r="I3052" s="8">
        <v>8.8000000000000007</v>
      </c>
      <c r="J3052" s="26">
        <v>3</v>
      </c>
      <c r="K3052" s="10">
        <f t="shared" si="286"/>
        <v>0.77880000000000005</v>
      </c>
      <c r="L3052" s="4"/>
      <c r="M3052" s="17">
        <v>3</v>
      </c>
      <c r="N3052" s="18">
        <f t="shared" si="287"/>
        <v>0.77880000000000005</v>
      </c>
      <c r="O3052" s="19">
        <f t="shared" si="288"/>
        <v>0</v>
      </c>
      <c r="P3052" s="13">
        <f t="shared" si="289"/>
        <v>0</v>
      </c>
      <c r="Q3052" s="9"/>
      <c r="R3052" s="72"/>
      <c r="S3052" s="72"/>
    </row>
    <row r="3053" spans="1:19">
      <c r="A3053" s="44" t="s">
        <v>78</v>
      </c>
      <c r="B3053" s="3" t="s">
        <v>80</v>
      </c>
      <c r="C3053" s="3">
        <v>8</v>
      </c>
      <c r="D3053" s="1"/>
      <c r="E3053" s="20" t="s">
        <v>91</v>
      </c>
      <c r="F3053" s="7" t="s">
        <v>15</v>
      </c>
      <c r="G3053" s="7" t="s">
        <v>66</v>
      </c>
      <c r="H3053" s="11">
        <v>29.5</v>
      </c>
      <c r="I3053" s="8">
        <v>10.3</v>
      </c>
      <c r="J3053" s="26">
        <v>1</v>
      </c>
      <c r="K3053" s="10">
        <f t="shared" si="286"/>
        <v>0.30385000000000001</v>
      </c>
      <c r="L3053" s="4"/>
      <c r="M3053" s="17">
        <v>1</v>
      </c>
      <c r="N3053" s="18">
        <f t="shared" si="287"/>
        <v>0.30385000000000001</v>
      </c>
      <c r="O3053" s="154">
        <f t="shared" si="288"/>
        <v>0</v>
      </c>
      <c r="P3053" s="13">
        <f t="shared" si="289"/>
        <v>0</v>
      </c>
      <c r="Q3053" s="9"/>
      <c r="R3053" s="72">
        <v>1</v>
      </c>
      <c r="S3053" s="74" t="s">
        <v>514</v>
      </c>
    </row>
    <row r="3054" spans="1:19">
      <c r="A3054" s="44" t="s">
        <v>78</v>
      </c>
      <c r="B3054" s="3" t="s">
        <v>80</v>
      </c>
      <c r="C3054" s="3">
        <v>8</v>
      </c>
      <c r="D3054" s="1"/>
      <c r="E3054" s="20" t="s">
        <v>91</v>
      </c>
      <c r="F3054" s="7" t="s">
        <v>15</v>
      </c>
      <c r="G3054" s="7" t="s">
        <v>66</v>
      </c>
      <c r="H3054" s="11">
        <v>29.5</v>
      </c>
      <c r="I3054" s="8">
        <v>12</v>
      </c>
      <c r="J3054" s="26">
        <v>1</v>
      </c>
      <c r="K3054" s="10">
        <f t="shared" si="286"/>
        <v>0.35399999999999998</v>
      </c>
      <c r="L3054" s="4"/>
      <c r="M3054" s="17">
        <v>1</v>
      </c>
      <c r="N3054" s="18">
        <f t="shared" si="287"/>
        <v>0.35399999999999998</v>
      </c>
      <c r="O3054" s="154">
        <f t="shared" si="288"/>
        <v>0</v>
      </c>
      <c r="P3054" s="13">
        <f t="shared" si="289"/>
        <v>0</v>
      </c>
      <c r="Q3054" s="9"/>
      <c r="R3054" s="72">
        <v>1</v>
      </c>
      <c r="S3054" s="74" t="s">
        <v>514</v>
      </c>
    </row>
    <row r="3055" spans="1:19">
      <c r="O3055" s="215">
        <f>SUM(O3049:O3054)</f>
        <v>0</v>
      </c>
      <c r="R3055" s="215">
        <f>SUM(R3049:R3054)</f>
        <v>6</v>
      </c>
    </row>
    <row r="3058" spans="1:21" ht="15.6">
      <c r="A3058" s="110" t="s">
        <v>311</v>
      </c>
      <c r="B3058" s="111" t="s">
        <v>232</v>
      </c>
      <c r="C3058" s="112" t="s">
        <v>228</v>
      </c>
      <c r="D3058" s="113" t="s">
        <v>17</v>
      </c>
      <c r="E3058" s="216" t="s">
        <v>15</v>
      </c>
      <c r="F3058" s="216" t="s">
        <v>28</v>
      </c>
      <c r="G3058" s="217">
        <v>12.18</v>
      </c>
      <c r="H3058" s="218">
        <v>6.7</v>
      </c>
      <c r="I3058" s="219">
        <v>11</v>
      </c>
      <c r="J3058" s="220">
        <f t="shared" ref="J3058:J3079" si="290">(G3058*H3058*I3058/1000)</f>
        <v>0.89766599999999996</v>
      </c>
      <c r="K3058" s="118"/>
      <c r="L3058" s="111">
        <v>11</v>
      </c>
      <c r="M3058" s="117">
        <f t="shared" ref="M3058:M3079" si="291">H3058*L3058*G3058/1000</f>
        <v>0.89766600000000007</v>
      </c>
      <c r="N3058" s="119">
        <f t="shared" ref="N3058:N3079" si="292">I3058-L3058</f>
        <v>0</v>
      </c>
      <c r="O3058" s="120">
        <f t="shared" ref="O3058:O3079" si="293">H3058*N3058*G3058/1000</f>
        <v>0</v>
      </c>
      <c r="P3058" s="111"/>
      <c r="Q3058" s="111"/>
      <c r="R3058" s="111"/>
      <c r="S3058" s="111"/>
      <c r="T3058" s="213"/>
      <c r="U3058" s="213"/>
    </row>
    <row r="3059" spans="1:21" ht="15.6">
      <c r="A3059" s="110" t="s">
        <v>311</v>
      </c>
      <c r="B3059" s="111" t="s">
        <v>232</v>
      </c>
      <c r="C3059" s="112" t="s">
        <v>228</v>
      </c>
      <c r="D3059" s="113" t="s">
        <v>17</v>
      </c>
      <c r="E3059" s="216" t="s">
        <v>15</v>
      </c>
      <c r="F3059" s="216" t="s">
        <v>28</v>
      </c>
      <c r="G3059" s="217">
        <v>12.18</v>
      </c>
      <c r="H3059" s="218">
        <v>7</v>
      </c>
      <c r="I3059" s="219">
        <v>16</v>
      </c>
      <c r="J3059" s="220">
        <f t="shared" si="290"/>
        <v>1.3641599999999998</v>
      </c>
      <c r="K3059" s="118"/>
      <c r="L3059" s="111">
        <v>16</v>
      </c>
      <c r="M3059" s="117">
        <f t="shared" si="291"/>
        <v>1.3641599999999998</v>
      </c>
      <c r="N3059" s="119">
        <f t="shared" si="292"/>
        <v>0</v>
      </c>
      <c r="O3059" s="120">
        <f t="shared" si="293"/>
        <v>0</v>
      </c>
      <c r="P3059" s="111"/>
      <c r="Q3059" s="111"/>
      <c r="R3059" s="111"/>
      <c r="S3059" s="111"/>
      <c r="T3059" s="213"/>
      <c r="U3059" s="213"/>
    </row>
    <row r="3060" spans="1:21" ht="15.6">
      <c r="A3060" s="110" t="s">
        <v>311</v>
      </c>
      <c r="B3060" s="111" t="s">
        <v>232</v>
      </c>
      <c r="C3060" s="112" t="s">
        <v>228</v>
      </c>
      <c r="D3060" s="113" t="s">
        <v>17</v>
      </c>
      <c r="E3060" s="216" t="s">
        <v>15</v>
      </c>
      <c r="F3060" s="216" t="s">
        <v>28</v>
      </c>
      <c r="G3060" s="217">
        <v>12.18</v>
      </c>
      <c r="H3060" s="218">
        <v>8.6999999999999993</v>
      </c>
      <c r="I3060" s="219">
        <f>25+29</f>
        <v>54</v>
      </c>
      <c r="J3060" s="220">
        <f t="shared" si="290"/>
        <v>5.7221639999999994</v>
      </c>
      <c r="K3060" s="118"/>
      <c r="L3060" s="111">
        <f>52+1</f>
        <v>53</v>
      </c>
      <c r="M3060" s="117">
        <f t="shared" si="291"/>
        <v>5.6161979999999998</v>
      </c>
      <c r="N3060" s="119">
        <f t="shared" si="292"/>
        <v>1</v>
      </c>
      <c r="O3060" s="120">
        <f t="shared" si="293"/>
        <v>0.10596599999999999</v>
      </c>
      <c r="P3060" s="111">
        <v>6.7</v>
      </c>
      <c r="Q3060" s="111">
        <v>1</v>
      </c>
      <c r="R3060" s="111"/>
      <c r="S3060" s="111"/>
      <c r="T3060" s="213"/>
      <c r="U3060" s="213"/>
    </row>
    <row r="3061" spans="1:21" ht="15.6">
      <c r="A3061" s="110" t="s">
        <v>311</v>
      </c>
      <c r="B3061" s="111" t="s">
        <v>232</v>
      </c>
      <c r="C3061" s="112" t="s">
        <v>228</v>
      </c>
      <c r="D3061" s="113" t="s">
        <v>17</v>
      </c>
      <c r="E3061" s="216" t="s">
        <v>15</v>
      </c>
      <c r="F3061" s="216" t="s">
        <v>28</v>
      </c>
      <c r="G3061" s="217">
        <v>12.18</v>
      </c>
      <c r="H3061" s="218">
        <v>11.3</v>
      </c>
      <c r="I3061" s="219"/>
      <c r="J3061" s="220">
        <f t="shared" si="290"/>
        <v>0</v>
      </c>
      <c r="K3061" s="118"/>
      <c r="L3061" s="111"/>
      <c r="M3061" s="117">
        <f t="shared" si="291"/>
        <v>0</v>
      </c>
      <c r="N3061" s="119">
        <f t="shared" si="292"/>
        <v>0</v>
      </c>
      <c r="O3061" s="120">
        <f t="shared" si="293"/>
        <v>0</v>
      </c>
      <c r="P3061" s="111"/>
      <c r="Q3061" s="111"/>
      <c r="R3061" s="111"/>
      <c r="S3061" s="111"/>
      <c r="T3061" s="213"/>
      <c r="U3061" s="213"/>
    </row>
    <row r="3062" spans="1:21" ht="15.6">
      <c r="A3062" s="110" t="s">
        <v>311</v>
      </c>
      <c r="B3062" s="111" t="s">
        <v>232</v>
      </c>
      <c r="C3062" s="112" t="s">
        <v>228</v>
      </c>
      <c r="D3062" s="113" t="s">
        <v>17</v>
      </c>
      <c r="E3062" s="216" t="s">
        <v>15</v>
      </c>
      <c r="F3062" s="216" t="s">
        <v>28</v>
      </c>
      <c r="G3062" s="217">
        <v>12.18</v>
      </c>
      <c r="H3062" s="218">
        <v>7</v>
      </c>
      <c r="I3062" s="219">
        <f>20+2</f>
        <v>22</v>
      </c>
      <c r="J3062" s="220">
        <f t="shared" si="290"/>
        <v>1.8757199999999998</v>
      </c>
      <c r="K3062" s="118"/>
      <c r="L3062" s="111">
        <f>12+10</f>
        <v>22</v>
      </c>
      <c r="M3062" s="117">
        <f t="shared" si="291"/>
        <v>1.8757200000000001</v>
      </c>
      <c r="N3062" s="119">
        <f t="shared" si="292"/>
        <v>0</v>
      </c>
      <c r="O3062" s="120">
        <f t="shared" si="293"/>
        <v>0</v>
      </c>
      <c r="P3062" s="111"/>
      <c r="Q3062" s="111"/>
      <c r="R3062" s="111"/>
      <c r="S3062" s="111"/>
      <c r="T3062" s="213"/>
      <c r="U3062" s="213"/>
    </row>
    <row r="3063" spans="1:21" ht="15.6">
      <c r="A3063" s="110" t="s">
        <v>311</v>
      </c>
      <c r="B3063" s="111" t="s">
        <v>232</v>
      </c>
      <c r="C3063" s="112" t="s">
        <v>228</v>
      </c>
      <c r="D3063" s="113" t="s">
        <v>17</v>
      </c>
      <c r="E3063" s="216" t="s">
        <v>15</v>
      </c>
      <c r="F3063" s="216" t="s">
        <v>28</v>
      </c>
      <c r="G3063" s="217">
        <v>12.18</v>
      </c>
      <c r="H3063" s="218">
        <v>10</v>
      </c>
      <c r="I3063" s="219">
        <f>7+1</f>
        <v>8</v>
      </c>
      <c r="J3063" s="220">
        <f t="shared" si="290"/>
        <v>0.97439999999999993</v>
      </c>
      <c r="K3063" s="118"/>
      <c r="L3063" s="111">
        <f>6+2</f>
        <v>8</v>
      </c>
      <c r="M3063" s="117">
        <f t="shared" si="291"/>
        <v>0.97439999999999993</v>
      </c>
      <c r="N3063" s="119">
        <f t="shared" si="292"/>
        <v>0</v>
      </c>
      <c r="O3063" s="120">
        <f t="shared" si="293"/>
        <v>0</v>
      </c>
      <c r="P3063" s="111"/>
      <c r="Q3063" s="111"/>
      <c r="R3063" s="111"/>
      <c r="S3063" s="111"/>
      <c r="T3063" s="213"/>
      <c r="U3063" s="213"/>
    </row>
    <row r="3064" spans="1:21" ht="15.6">
      <c r="A3064" s="110" t="s">
        <v>311</v>
      </c>
      <c r="B3064" s="111" t="s">
        <v>232</v>
      </c>
      <c r="C3064" s="112" t="s">
        <v>228</v>
      </c>
      <c r="D3064" s="113" t="s">
        <v>17</v>
      </c>
      <c r="E3064" s="216" t="s">
        <v>15</v>
      </c>
      <c r="F3064" s="216" t="s">
        <v>28</v>
      </c>
      <c r="G3064" s="217">
        <v>12.18</v>
      </c>
      <c r="H3064" s="218">
        <v>9</v>
      </c>
      <c r="I3064" s="219">
        <v>2</v>
      </c>
      <c r="J3064" s="220">
        <f t="shared" si="290"/>
        <v>0.21924000000000002</v>
      </c>
      <c r="K3064" s="118"/>
      <c r="L3064" s="111">
        <v>1</v>
      </c>
      <c r="M3064" s="117">
        <f t="shared" si="291"/>
        <v>0.10962000000000001</v>
      </c>
      <c r="N3064" s="119">
        <f t="shared" si="292"/>
        <v>1</v>
      </c>
      <c r="O3064" s="120">
        <f t="shared" si="293"/>
        <v>0.10962000000000001</v>
      </c>
      <c r="P3064" s="111"/>
      <c r="Q3064" s="111"/>
      <c r="R3064" s="111"/>
      <c r="S3064" s="111"/>
      <c r="T3064" s="213"/>
      <c r="U3064" s="213"/>
    </row>
    <row r="3065" spans="1:21" ht="15.6">
      <c r="A3065" s="110" t="s">
        <v>311</v>
      </c>
      <c r="B3065" s="111" t="s">
        <v>232</v>
      </c>
      <c r="C3065" s="112" t="s">
        <v>228</v>
      </c>
      <c r="D3065" s="113" t="s">
        <v>17</v>
      </c>
      <c r="E3065" s="216" t="s">
        <v>15</v>
      </c>
      <c r="F3065" s="216" t="s">
        <v>28</v>
      </c>
      <c r="G3065" s="217">
        <v>12.18</v>
      </c>
      <c r="H3065" s="218">
        <v>12</v>
      </c>
      <c r="I3065" s="219">
        <v>2</v>
      </c>
      <c r="J3065" s="220">
        <f t="shared" si="290"/>
        <v>0.29231999999999997</v>
      </c>
      <c r="K3065" s="118"/>
      <c r="L3065" s="111">
        <v>2</v>
      </c>
      <c r="M3065" s="117">
        <f t="shared" si="291"/>
        <v>0.29231999999999997</v>
      </c>
      <c r="N3065" s="119">
        <f t="shared" si="292"/>
        <v>0</v>
      </c>
      <c r="O3065" s="120">
        <f t="shared" si="293"/>
        <v>0</v>
      </c>
      <c r="P3065" s="111"/>
      <c r="Q3065" s="111"/>
      <c r="R3065" s="111"/>
      <c r="S3065" s="111"/>
      <c r="T3065" s="213"/>
      <c r="U3065" s="213"/>
    </row>
    <row r="3066" spans="1:21" ht="15.6">
      <c r="A3066" s="110" t="s">
        <v>311</v>
      </c>
      <c r="B3066" s="111" t="s">
        <v>232</v>
      </c>
      <c r="C3066" s="112" t="s">
        <v>228</v>
      </c>
      <c r="D3066" s="113" t="s">
        <v>17</v>
      </c>
      <c r="E3066" s="216" t="s">
        <v>15</v>
      </c>
      <c r="F3066" s="216" t="s">
        <v>28</v>
      </c>
      <c r="G3066" s="217">
        <v>12.18</v>
      </c>
      <c r="H3066" s="218">
        <v>10.5</v>
      </c>
      <c r="I3066" s="219">
        <v>10</v>
      </c>
      <c r="J3066" s="220">
        <f t="shared" si="290"/>
        <v>1.2789000000000001</v>
      </c>
      <c r="K3066" s="118"/>
      <c r="L3066" s="111">
        <v>10</v>
      </c>
      <c r="M3066" s="117">
        <f t="shared" si="291"/>
        <v>1.2788999999999999</v>
      </c>
      <c r="N3066" s="119">
        <f t="shared" si="292"/>
        <v>0</v>
      </c>
      <c r="O3066" s="120">
        <f t="shared" si="293"/>
        <v>0</v>
      </c>
      <c r="P3066" s="111"/>
      <c r="Q3066" s="111"/>
      <c r="R3066" s="111"/>
      <c r="S3066" s="111"/>
      <c r="T3066" s="213"/>
      <c r="U3066" s="213"/>
    </row>
    <row r="3067" spans="1:21" ht="15.6">
      <c r="A3067" s="110" t="s">
        <v>311</v>
      </c>
      <c r="B3067" s="111" t="s">
        <v>232</v>
      </c>
      <c r="C3067" s="112" t="s">
        <v>228</v>
      </c>
      <c r="D3067" s="113" t="s">
        <v>17</v>
      </c>
      <c r="E3067" s="216" t="s">
        <v>15</v>
      </c>
      <c r="F3067" s="216" t="s">
        <v>28</v>
      </c>
      <c r="G3067" s="217">
        <v>12.18</v>
      </c>
      <c r="H3067" s="218">
        <v>11.5</v>
      </c>
      <c r="I3067" s="219">
        <v>6</v>
      </c>
      <c r="J3067" s="220">
        <f t="shared" si="290"/>
        <v>0.84041999999999994</v>
      </c>
      <c r="K3067" s="118"/>
      <c r="L3067" s="111">
        <v>6</v>
      </c>
      <c r="M3067" s="117">
        <f t="shared" si="291"/>
        <v>0.84041999999999994</v>
      </c>
      <c r="N3067" s="119">
        <f t="shared" si="292"/>
        <v>0</v>
      </c>
      <c r="O3067" s="120">
        <f t="shared" si="293"/>
        <v>0</v>
      </c>
      <c r="P3067" s="111"/>
      <c r="Q3067" s="111"/>
      <c r="R3067" s="111"/>
      <c r="S3067" s="111"/>
      <c r="T3067" s="213"/>
      <c r="U3067" s="213"/>
    </row>
    <row r="3068" spans="1:21" ht="15.6">
      <c r="A3068" s="110" t="s">
        <v>311</v>
      </c>
      <c r="B3068" s="111" t="s">
        <v>232</v>
      </c>
      <c r="C3068" s="112" t="s">
        <v>228</v>
      </c>
      <c r="D3068" s="113" t="s">
        <v>17</v>
      </c>
      <c r="E3068" s="216" t="s">
        <v>15</v>
      </c>
      <c r="F3068" s="216" t="s">
        <v>28</v>
      </c>
      <c r="G3068" s="217">
        <v>12.18</v>
      </c>
      <c r="H3068" s="218">
        <v>12</v>
      </c>
      <c r="I3068" s="219">
        <v>14</v>
      </c>
      <c r="J3068" s="220">
        <f t="shared" si="290"/>
        <v>2.0462400000000001</v>
      </c>
      <c r="K3068" s="118"/>
      <c r="L3068" s="111">
        <f>12+2</f>
        <v>14</v>
      </c>
      <c r="M3068" s="117">
        <f t="shared" si="291"/>
        <v>2.0462400000000001</v>
      </c>
      <c r="N3068" s="119">
        <f t="shared" si="292"/>
        <v>0</v>
      </c>
      <c r="O3068" s="120">
        <f t="shared" si="293"/>
        <v>0</v>
      </c>
      <c r="P3068" s="111" t="s">
        <v>312</v>
      </c>
      <c r="Q3068" s="111">
        <v>2</v>
      </c>
      <c r="R3068" s="111"/>
      <c r="S3068" s="111"/>
      <c r="T3068" s="213"/>
      <c r="U3068" s="213"/>
    </row>
    <row r="3069" spans="1:21" ht="15.6">
      <c r="A3069" s="110" t="s">
        <v>311</v>
      </c>
      <c r="B3069" s="111" t="s">
        <v>232</v>
      </c>
      <c r="C3069" s="112" t="s">
        <v>228</v>
      </c>
      <c r="D3069" s="113" t="s">
        <v>17</v>
      </c>
      <c r="E3069" s="216" t="s">
        <v>15</v>
      </c>
      <c r="F3069" s="216" t="s">
        <v>28</v>
      </c>
      <c r="G3069" s="217">
        <v>12.18</v>
      </c>
      <c r="H3069" s="218">
        <v>10</v>
      </c>
      <c r="I3069" s="219">
        <v>1</v>
      </c>
      <c r="J3069" s="220">
        <f t="shared" si="290"/>
        <v>0.12179999999999999</v>
      </c>
      <c r="K3069" s="118"/>
      <c r="L3069" s="111"/>
      <c r="M3069" s="117">
        <f t="shared" si="291"/>
        <v>0</v>
      </c>
      <c r="N3069" s="119">
        <f t="shared" si="292"/>
        <v>1</v>
      </c>
      <c r="O3069" s="120">
        <f t="shared" si="293"/>
        <v>0.12179999999999999</v>
      </c>
      <c r="P3069" s="111"/>
      <c r="Q3069" s="111"/>
      <c r="R3069" s="111"/>
      <c r="S3069" s="111"/>
      <c r="T3069" s="213"/>
      <c r="U3069" s="213"/>
    </row>
    <row r="3070" spans="1:21" ht="15.6">
      <c r="A3070" s="110" t="s">
        <v>311</v>
      </c>
      <c r="B3070" s="111" t="s">
        <v>232</v>
      </c>
      <c r="C3070" s="112" t="s">
        <v>228</v>
      </c>
      <c r="D3070" s="113" t="s">
        <v>17</v>
      </c>
      <c r="E3070" s="216" t="s">
        <v>15</v>
      </c>
      <c r="F3070" s="216" t="s">
        <v>28</v>
      </c>
      <c r="G3070" s="217">
        <v>12.18</v>
      </c>
      <c r="H3070" s="218">
        <v>7</v>
      </c>
      <c r="I3070" s="219">
        <v>16</v>
      </c>
      <c r="J3070" s="220">
        <f t="shared" si="290"/>
        <v>1.3641599999999998</v>
      </c>
      <c r="K3070" s="118"/>
      <c r="L3070" s="111">
        <v>16</v>
      </c>
      <c r="M3070" s="117">
        <f t="shared" si="291"/>
        <v>1.3641599999999998</v>
      </c>
      <c r="N3070" s="119">
        <f t="shared" si="292"/>
        <v>0</v>
      </c>
      <c r="O3070" s="120">
        <f t="shared" si="293"/>
        <v>0</v>
      </c>
      <c r="P3070" s="111"/>
      <c r="Q3070" s="111"/>
      <c r="R3070" s="111"/>
      <c r="S3070" s="111"/>
      <c r="T3070" s="213"/>
      <c r="U3070" s="213"/>
    </row>
    <row r="3071" spans="1:21" ht="15.6">
      <c r="A3071" s="110" t="s">
        <v>311</v>
      </c>
      <c r="B3071" s="111" t="s">
        <v>232</v>
      </c>
      <c r="C3071" s="112" t="s">
        <v>228</v>
      </c>
      <c r="D3071" s="113" t="s">
        <v>17</v>
      </c>
      <c r="E3071" s="216" t="s">
        <v>15</v>
      </c>
      <c r="F3071" s="216" t="s">
        <v>28</v>
      </c>
      <c r="G3071" s="217">
        <v>12.18</v>
      </c>
      <c r="H3071" s="218">
        <v>6.7</v>
      </c>
      <c r="I3071" s="219">
        <v>4</v>
      </c>
      <c r="J3071" s="220">
        <f t="shared" si="290"/>
        <v>0.32642399999999999</v>
      </c>
      <c r="K3071" s="118"/>
      <c r="L3071" s="111">
        <v>4</v>
      </c>
      <c r="M3071" s="117">
        <f t="shared" si="291"/>
        <v>0.32642399999999999</v>
      </c>
      <c r="N3071" s="119">
        <f t="shared" si="292"/>
        <v>0</v>
      </c>
      <c r="O3071" s="120">
        <f t="shared" si="293"/>
        <v>0</v>
      </c>
      <c r="P3071" s="111"/>
      <c r="Q3071" s="111"/>
      <c r="R3071" s="111"/>
      <c r="S3071" s="111"/>
      <c r="T3071" s="213"/>
      <c r="U3071" s="213"/>
    </row>
    <row r="3072" spans="1:21" ht="15.6">
      <c r="A3072" s="110" t="s">
        <v>311</v>
      </c>
      <c r="B3072" s="111" t="s">
        <v>232</v>
      </c>
      <c r="C3072" s="112" t="s">
        <v>228</v>
      </c>
      <c r="D3072" s="113" t="s">
        <v>17</v>
      </c>
      <c r="E3072" s="216" t="s">
        <v>15</v>
      </c>
      <c r="F3072" s="216" t="s">
        <v>28</v>
      </c>
      <c r="G3072" s="217">
        <v>12.18</v>
      </c>
      <c r="H3072" s="218">
        <v>6.3</v>
      </c>
      <c r="I3072" s="219">
        <v>1</v>
      </c>
      <c r="J3072" s="220">
        <f t="shared" si="290"/>
        <v>7.6733999999999997E-2</v>
      </c>
      <c r="K3072" s="118"/>
      <c r="L3072" s="111"/>
      <c r="M3072" s="117">
        <f t="shared" si="291"/>
        <v>0</v>
      </c>
      <c r="N3072" s="119">
        <f t="shared" si="292"/>
        <v>1</v>
      </c>
      <c r="O3072" s="120">
        <f t="shared" si="293"/>
        <v>7.6733999999999997E-2</v>
      </c>
      <c r="P3072" s="111"/>
      <c r="Q3072" s="111"/>
      <c r="R3072" s="111"/>
      <c r="S3072" s="111"/>
      <c r="T3072" s="213"/>
      <c r="U3072" s="213"/>
    </row>
    <row r="3073" spans="1:21" ht="15.6">
      <c r="A3073" s="110" t="s">
        <v>311</v>
      </c>
      <c r="B3073" s="111" t="s">
        <v>232</v>
      </c>
      <c r="C3073" s="112" t="s">
        <v>228</v>
      </c>
      <c r="D3073" s="113" t="s">
        <v>17</v>
      </c>
      <c r="E3073" s="216" t="s">
        <v>15</v>
      </c>
      <c r="F3073" s="216" t="s">
        <v>28</v>
      </c>
      <c r="G3073" s="217">
        <v>12.18</v>
      </c>
      <c r="H3073" s="221">
        <v>8.3000000000000007</v>
      </c>
      <c r="I3073" s="219">
        <v>1</v>
      </c>
      <c r="J3073" s="220">
        <f t="shared" si="290"/>
        <v>0.101094</v>
      </c>
      <c r="K3073" s="118"/>
      <c r="L3073" s="111">
        <v>1</v>
      </c>
      <c r="M3073" s="117">
        <f t="shared" si="291"/>
        <v>0.101094</v>
      </c>
      <c r="N3073" s="143">
        <f t="shared" si="292"/>
        <v>0</v>
      </c>
      <c r="O3073" s="144">
        <f t="shared" si="293"/>
        <v>0</v>
      </c>
      <c r="P3073" s="72"/>
      <c r="Q3073" s="72"/>
      <c r="R3073" s="75">
        <v>8.3000000000000007</v>
      </c>
      <c r="S3073" s="72">
        <v>1</v>
      </c>
      <c r="T3073" s="77" t="s">
        <v>510</v>
      </c>
      <c r="U3073" s="213"/>
    </row>
    <row r="3074" spans="1:21" ht="15.6">
      <c r="A3074" s="110" t="s">
        <v>311</v>
      </c>
      <c r="B3074" s="111" t="s">
        <v>232</v>
      </c>
      <c r="C3074" s="112" t="s">
        <v>228</v>
      </c>
      <c r="D3074" s="113" t="s">
        <v>17</v>
      </c>
      <c r="E3074" s="216" t="s">
        <v>15</v>
      </c>
      <c r="F3074" s="216" t="s">
        <v>28</v>
      </c>
      <c r="G3074" s="217">
        <v>12.18</v>
      </c>
      <c r="H3074" s="221">
        <v>12</v>
      </c>
      <c r="I3074" s="219">
        <v>8</v>
      </c>
      <c r="J3074" s="220">
        <f t="shared" si="290"/>
        <v>1.1692799999999999</v>
      </c>
      <c r="K3074" s="118"/>
      <c r="L3074" s="111">
        <v>8</v>
      </c>
      <c r="M3074" s="117">
        <f t="shared" si="291"/>
        <v>1.1692799999999999</v>
      </c>
      <c r="N3074" s="143">
        <f t="shared" si="292"/>
        <v>0</v>
      </c>
      <c r="O3074" s="144">
        <f t="shared" si="293"/>
        <v>0</v>
      </c>
      <c r="P3074" s="72"/>
      <c r="Q3074" s="72"/>
      <c r="R3074" s="75">
        <v>12</v>
      </c>
      <c r="S3074" s="72">
        <f>1+7</f>
        <v>8</v>
      </c>
      <c r="T3074" s="77" t="s">
        <v>511</v>
      </c>
      <c r="U3074" s="213"/>
    </row>
    <row r="3075" spans="1:21" ht="15.6">
      <c r="A3075" s="110" t="s">
        <v>311</v>
      </c>
      <c r="B3075" s="111" t="s">
        <v>232</v>
      </c>
      <c r="C3075" s="112" t="s">
        <v>228</v>
      </c>
      <c r="D3075" s="113" t="s">
        <v>17</v>
      </c>
      <c r="E3075" s="216" t="s">
        <v>15</v>
      </c>
      <c r="F3075" s="216" t="s">
        <v>28</v>
      </c>
      <c r="G3075" s="217">
        <v>12.18</v>
      </c>
      <c r="H3075" s="221">
        <v>11.8</v>
      </c>
      <c r="I3075" s="219">
        <v>1</v>
      </c>
      <c r="J3075" s="220">
        <f t="shared" si="290"/>
        <v>0.14372400000000002</v>
      </c>
      <c r="K3075" s="118"/>
      <c r="L3075" s="111">
        <v>1</v>
      </c>
      <c r="M3075" s="117">
        <f t="shared" si="291"/>
        <v>0.14372400000000002</v>
      </c>
      <c r="N3075" s="119">
        <f t="shared" si="292"/>
        <v>0</v>
      </c>
      <c r="O3075" s="120">
        <f t="shared" si="293"/>
        <v>0</v>
      </c>
      <c r="P3075" s="111">
        <v>10.5</v>
      </c>
      <c r="Q3075" s="111">
        <v>1</v>
      </c>
      <c r="R3075" s="159"/>
      <c r="S3075" s="111"/>
      <c r="T3075" s="213"/>
      <c r="U3075" s="213"/>
    </row>
    <row r="3076" spans="1:21" ht="15.6">
      <c r="A3076" s="110" t="s">
        <v>311</v>
      </c>
      <c r="B3076" s="111" t="s">
        <v>232</v>
      </c>
      <c r="C3076" s="112" t="s">
        <v>228</v>
      </c>
      <c r="D3076" s="113" t="s">
        <v>17</v>
      </c>
      <c r="E3076" s="216" t="s">
        <v>15</v>
      </c>
      <c r="F3076" s="216" t="s">
        <v>28</v>
      </c>
      <c r="G3076" s="217">
        <v>12.18</v>
      </c>
      <c r="H3076" s="221">
        <v>11.5</v>
      </c>
      <c r="I3076" s="219">
        <v>1</v>
      </c>
      <c r="J3076" s="220">
        <f t="shared" si="290"/>
        <v>0.14007</v>
      </c>
      <c r="K3076" s="118"/>
      <c r="L3076" s="111">
        <v>1</v>
      </c>
      <c r="M3076" s="117">
        <f t="shared" si="291"/>
        <v>0.14007</v>
      </c>
      <c r="N3076" s="119">
        <f t="shared" si="292"/>
        <v>0</v>
      </c>
      <c r="O3076" s="120">
        <f t="shared" si="293"/>
        <v>0</v>
      </c>
      <c r="P3076" s="111"/>
      <c r="Q3076" s="111"/>
      <c r="R3076" s="159"/>
      <c r="S3076" s="111"/>
      <c r="T3076" s="213"/>
      <c r="U3076" s="213"/>
    </row>
    <row r="3077" spans="1:21" ht="15.6">
      <c r="A3077" s="110" t="s">
        <v>311</v>
      </c>
      <c r="B3077" s="111" t="s">
        <v>232</v>
      </c>
      <c r="C3077" s="112" t="s">
        <v>228</v>
      </c>
      <c r="D3077" s="113" t="s">
        <v>17</v>
      </c>
      <c r="E3077" s="216" t="s">
        <v>15</v>
      </c>
      <c r="F3077" s="216" t="s">
        <v>28</v>
      </c>
      <c r="G3077" s="217">
        <v>12.18</v>
      </c>
      <c r="H3077" s="221">
        <v>11.3</v>
      </c>
      <c r="I3077" s="219">
        <v>1</v>
      </c>
      <c r="J3077" s="220">
        <f t="shared" si="290"/>
        <v>0.13763400000000001</v>
      </c>
      <c r="K3077" s="118"/>
      <c r="L3077" s="111">
        <v>1</v>
      </c>
      <c r="M3077" s="117">
        <f t="shared" si="291"/>
        <v>0.13763400000000001</v>
      </c>
      <c r="N3077" s="119">
        <f t="shared" si="292"/>
        <v>0</v>
      </c>
      <c r="O3077" s="120">
        <f t="shared" si="293"/>
        <v>0</v>
      </c>
      <c r="P3077" s="111"/>
      <c r="Q3077" s="111"/>
      <c r="R3077" s="159"/>
      <c r="S3077" s="111"/>
      <c r="T3077" s="213"/>
      <c r="U3077" s="213"/>
    </row>
    <row r="3078" spans="1:21" ht="15.6">
      <c r="A3078" s="110" t="s">
        <v>311</v>
      </c>
      <c r="B3078" s="111" t="s">
        <v>232</v>
      </c>
      <c r="C3078" s="112" t="s">
        <v>228</v>
      </c>
      <c r="D3078" s="113" t="s">
        <v>17</v>
      </c>
      <c r="E3078" s="216" t="s">
        <v>15</v>
      </c>
      <c r="F3078" s="216" t="s">
        <v>28</v>
      </c>
      <c r="G3078" s="217">
        <v>12.18</v>
      </c>
      <c r="H3078" s="221">
        <v>10.5</v>
      </c>
      <c r="I3078" s="219">
        <v>1</v>
      </c>
      <c r="J3078" s="220">
        <f t="shared" si="290"/>
        <v>0.12789</v>
      </c>
      <c r="K3078" s="118"/>
      <c r="L3078" s="111">
        <v>1</v>
      </c>
      <c r="M3078" s="117">
        <f t="shared" si="291"/>
        <v>0.12789</v>
      </c>
      <c r="N3078" s="119">
        <f t="shared" si="292"/>
        <v>0</v>
      </c>
      <c r="O3078" s="120">
        <f t="shared" si="293"/>
        <v>0</v>
      </c>
      <c r="P3078" s="111"/>
      <c r="Q3078" s="111"/>
      <c r="R3078" s="159"/>
      <c r="S3078" s="111"/>
      <c r="T3078" s="213"/>
      <c r="U3078" s="213"/>
    </row>
    <row r="3079" spans="1:21" ht="15.6">
      <c r="A3079" s="110" t="s">
        <v>311</v>
      </c>
      <c r="B3079" s="111" t="s">
        <v>232</v>
      </c>
      <c r="C3079" s="112" t="s">
        <v>228</v>
      </c>
      <c r="D3079" s="113" t="s">
        <v>17</v>
      </c>
      <c r="E3079" s="216" t="s">
        <v>15</v>
      </c>
      <c r="F3079" s="216" t="s">
        <v>28</v>
      </c>
      <c r="G3079" s="217">
        <v>12.18</v>
      </c>
      <c r="H3079" s="221">
        <v>8.6999999999999993</v>
      </c>
      <c r="I3079" s="219">
        <v>1</v>
      </c>
      <c r="J3079" s="220">
        <f t="shared" si="290"/>
        <v>0.10596599999999999</v>
      </c>
      <c r="K3079" s="118"/>
      <c r="L3079" s="111">
        <v>1</v>
      </c>
      <c r="M3079" s="117">
        <f t="shared" si="291"/>
        <v>0.10596599999999999</v>
      </c>
      <c r="N3079" s="143">
        <f t="shared" si="292"/>
        <v>0</v>
      </c>
      <c r="O3079" s="144">
        <f t="shared" si="293"/>
        <v>0</v>
      </c>
      <c r="P3079" s="72"/>
      <c r="Q3079" s="72"/>
      <c r="R3079" s="75">
        <v>8.6999999999999993</v>
      </c>
      <c r="S3079" s="72">
        <v>1</v>
      </c>
      <c r="T3079" s="77" t="s">
        <v>510</v>
      </c>
      <c r="U3079" s="213"/>
    </row>
    <row r="3080" spans="1:21">
      <c r="A3080" s="213"/>
      <c r="B3080" s="213"/>
      <c r="C3080" s="213"/>
      <c r="D3080" s="213"/>
      <c r="E3080" s="213"/>
      <c r="F3080" s="213"/>
      <c r="G3080" s="213"/>
      <c r="H3080" s="213"/>
      <c r="I3080" s="215">
        <f>SUM(I3058:I3079)</f>
        <v>181</v>
      </c>
      <c r="J3080" s="214">
        <f>SUM(J3058:J3079)</f>
        <v>19.326005999999992</v>
      </c>
      <c r="K3080" s="213"/>
      <c r="L3080" s="215">
        <f>SUM(L3058:L3079)</f>
        <v>177</v>
      </c>
      <c r="M3080" s="214">
        <f>SUM(M3058:M3079)</f>
        <v>18.911885999999996</v>
      </c>
      <c r="N3080" s="78">
        <f>SUM(N3058:N3079)</f>
        <v>4</v>
      </c>
      <c r="O3080" s="128">
        <f>SUM(O3058:O3079)</f>
        <v>0.41411999999999993</v>
      </c>
      <c r="P3080" s="213"/>
      <c r="Q3080" s="213"/>
      <c r="R3080" s="213"/>
      <c r="S3080" s="78">
        <f>SUM(S3058:S3079)</f>
        <v>10</v>
      </c>
      <c r="T3080" s="213"/>
      <c r="U3080" s="213"/>
    </row>
    <row r="3082" spans="1:21" ht="15.6">
      <c r="A3082" s="110" t="s">
        <v>432</v>
      </c>
      <c r="B3082" s="111" t="s">
        <v>232</v>
      </c>
      <c r="C3082" s="112" t="s">
        <v>80</v>
      </c>
      <c r="D3082" s="113" t="s">
        <v>152</v>
      </c>
      <c r="E3082" s="216" t="s">
        <v>15</v>
      </c>
      <c r="F3082" s="216" t="s">
        <v>22</v>
      </c>
      <c r="G3082" s="217">
        <v>10.7</v>
      </c>
      <c r="H3082" s="218">
        <v>10.4</v>
      </c>
      <c r="I3082" s="219">
        <f>26+26+26+26+18</f>
        <v>122</v>
      </c>
      <c r="J3082" s="220">
        <f t="shared" ref="J3082:J3106" si="294">(G3082*H3082*I3082/1000)</f>
        <v>13.57616</v>
      </c>
      <c r="K3082" s="118"/>
      <c r="L3082" s="219">
        <f>26+26+26+26+18</f>
        <v>122</v>
      </c>
      <c r="M3082" s="117">
        <f t="shared" ref="M3082:M3106" si="295">H3082*L3082*G3082/1000</f>
        <v>13.576159999999998</v>
      </c>
      <c r="N3082" s="119">
        <f t="shared" ref="N3082:N3106" si="296">I3082-L3082</f>
        <v>0</v>
      </c>
      <c r="O3082" s="120">
        <f t="shared" ref="O3082:O3104" si="297">H3082*N3082*G3082/1000</f>
        <v>0</v>
      </c>
      <c r="P3082" s="111"/>
      <c r="Q3082" s="111"/>
      <c r="R3082" s="111"/>
    </row>
    <row r="3083" spans="1:21" ht="15.6">
      <c r="A3083" s="110" t="s">
        <v>432</v>
      </c>
      <c r="B3083" s="111" t="s">
        <v>232</v>
      </c>
      <c r="C3083" s="112" t="s">
        <v>80</v>
      </c>
      <c r="D3083" s="113" t="s">
        <v>152</v>
      </c>
      <c r="E3083" s="216" t="s">
        <v>15</v>
      </c>
      <c r="F3083" s="216" t="s">
        <v>22</v>
      </c>
      <c r="G3083" s="217">
        <v>10.7</v>
      </c>
      <c r="H3083" s="218">
        <v>11.6</v>
      </c>
      <c r="I3083" s="219">
        <f>24+23+23+23+19+26+26+26+26+26+26+26+17</f>
        <v>311</v>
      </c>
      <c r="J3083" s="220">
        <f t="shared" si="294"/>
        <v>38.601320000000001</v>
      </c>
      <c r="K3083" s="118"/>
      <c r="L3083" s="219">
        <f>24+23+23+23+19+26+26+26+26+26+26+26+17+32</f>
        <v>343</v>
      </c>
      <c r="M3083" s="117">
        <f t="shared" si="295"/>
        <v>42.573159999999994</v>
      </c>
      <c r="N3083" s="228">
        <f t="shared" si="296"/>
        <v>-32</v>
      </c>
      <c r="O3083" s="229">
        <f t="shared" si="297"/>
        <v>-3.9718399999999998</v>
      </c>
      <c r="P3083" s="44" t="s">
        <v>435</v>
      </c>
      <c r="Q3083" s="111"/>
      <c r="R3083" s="111"/>
    </row>
    <row r="3084" spans="1:21" ht="15.6">
      <c r="A3084" s="110" t="s">
        <v>432</v>
      </c>
      <c r="B3084" s="111" t="s">
        <v>232</v>
      </c>
      <c r="C3084" s="112" t="s">
        <v>80</v>
      </c>
      <c r="D3084" s="113" t="s">
        <v>152</v>
      </c>
      <c r="E3084" s="216" t="s">
        <v>15</v>
      </c>
      <c r="F3084" s="216" t="s">
        <v>22</v>
      </c>
      <c r="G3084" s="217">
        <v>10.7</v>
      </c>
      <c r="H3084" s="218">
        <v>12</v>
      </c>
      <c r="I3084" s="219">
        <f>21+23+23+25+23+23+23+26+18+26+17</f>
        <v>248</v>
      </c>
      <c r="J3084" s="220">
        <f t="shared" si="294"/>
        <v>31.843199999999992</v>
      </c>
      <c r="K3084" s="118"/>
      <c r="L3084" s="219">
        <f>21+23+23+25+23+23+23+26+18+26+17</f>
        <v>248</v>
      </c>
      <c r="M3084" s="117">
        <f t="shared" si="295"/>
        <v>31.843199999999996</v>
      </c>
      <c r="N3084" s="119">
        <f t="shared" si="296"/>
        <v>0</v>
      </c>
      <c r="O3084" s="120">
        <f t="shared" si="297"/>
        <v>0</v>
      </c>
      <c r="P3084" s="111"/>
      <c r="Q3084" s="111"/>
      <c r="R3084" s="111"/>
    </row>
    <row r="3085" spans="1:21" ht="15.6">
      <c r="A3085" s="110" t="s">
        <v>432</v>
      </c>
      <c r="B3085" s="111" t="s">
        <v>232</v>
      </c>
      <c r="C3085" s="112" t="s">
        <v>80</v>
      </c>
      <c r="D3085" s="113" t="s">
        <v>152</v>
      </c>
      <c r="E3085" s="216" t="s">
        <v>15</v>
      </c>
      <c r="F3085" s="216" t="s">
        <v>22</v>
      </c>
      <c r="G3085" s="217">
        <v>10.7</v>
      </c>
      <c r="H3085" s="218">
        <v>12</v>
      </c>
      <c r="I3085" s="219">
        <v>8</v>
      </c>
      <c r="J3085" s="220">
        <f t="shared" si="294"/>
        <v>1.0271999999999999</v>
      </c>
      <c r="K3085" s="118"/>
      <c r="L3085" s="219">
        <v>8</v>
      </c>
      <c r="M3085" s="117">
        <f t="shared" si="295"/>
        <v>1.0271999999999999</v>
      </c>
      <c r="N3085" s="119">
        <f t="shared" si="296"/>
        <v>0</v>
      </c>
      <c r="O3085" s="120">
        <f t="shared" si="297"/>
        <v>0</v>
      </c>
      <c r="P3085" s="111"/>
      <c r="Q3085" s="111"/>
      <c r="R3085" s="111"/>
    </row>
    <row r="3086" spans="1:21" ht="15.6">
      <c r="A3086" s="110" t="s">
        <v>432</v>
      </c>
      <c r="B3086" s="111" t="s">
        <v>232</v>
      </c>
      <c r="C3086" s="112" t="s">
        <v>80</v>
      </c>
      <c r="D3086" s="113" t="s">
        <v>152</v>
      </c>
      <c r="E3086" s="216" t="s">
        <v>15</v>
      </c>
      <c r="F3086" s="216" t="s">
        <v>22</v>
      </c>
      <c r="G3086" s="217">
        <v>10.7</v>
      </c>
      <c r="H3086" s="218">
        <v>10</v>
      </c>
      <c r="I3086" s="219">
        <v>11</v>
      </c>
      <c r="J3086" s="220">
        <f t="shared" si="294"/>
        <v>1.177</v>
      </c>
      <c r="K3086" s="118"/>
      <c r="L3086" s="111">
        <v>11</v>
      </c>
      <c r="M3086" s="117">
        <f t="shared" si="295"/>
        <v>1.177</v>
      </c>
      <c r="N3086" s="119">
        <f t="shared" si="296"/>
        <v>0</v>
      </c>
      <c r="O3086" s="120">
        <f t="shared" si="297"/>
        <v>0</v>
      </c>
      <c r="P3086" s="111"/>
      <c r="Q3086" s="111"/>
      <c r="R3086" s="111"/>
    </row>
    <row r="3087" spans="1:21" ht="15.6">
      <c r="A3087" s="110" t="s">
        <v>432</v>
      </c>
      <c r="B3087" s="111" t="s">
        <v>232</v>
      </c>
      <c r="C3087" s="112" t="s">
        <v>80</v>
      </c>
      <c r="D3087" s="113" t="s">
        <v>152</v>
      </c>
      <c r="E3087" s="216" t="s">
        <v>15</v>
      </c>
      <c r="F3087" s="216" t="s">
        <v>22</v>
      </c>
      <c r="G3087" s="217">
        <v>10.7</v>
      </c>
      <c r="H3087" s="218">
        <v>11.25</v>
      </c>
      <c r="I3087" s="219">
        <v>10</v>
      </c>
      <c r="J3087" s="220">
        <f t="shared" si="294"/>
        <v>1.2037499999999999</v>
      </c>
      <c r="K3087" s="118" t="s">
        <v>233</v>
      </c>
      <c r="L3087" s="111">
        <v>10</v>
      </c>
      <c r="M3087" s="117">
        <f t="shared" si="295"/>
        <v>1.2037500000000001</v>
      </c>
      <c r="N3087" s="119">
        <f t="shared" si="296"/>
        <v>0</v>
      </c>
      <c r="O3087" s="120">
        <f t="shared" si="297"/>
        <v>0</v>
      </c>
      <c r="P3087" s="111"/>
      <c r="Q3087" s="111"/>
      <c r="R3087" s="111"/>
    </row>
    <row r="3088" spans="1:21" ht="15.6">
      <c r="A3088" s="110" t="s">
        <v>432</v>
      </c>
      <c r="B3088" s="111" t="s">
        <v>232</v>
      </c>
      <c r="C3088" s="112" t="s">
        <v>80</v>
      </c>
      <c r="D3088" s="113" t="s">
        <v>152</v>
      </c>
      <c r="E3088" s="216" t="s">
        <v>15</v>
      </c>
      <c r="F3088" s="216" t="s">
        <v>22</v>
      </c>
      <c r="G3088" s="217">
        <v>10.7</v>
      </c>
      <c r="H3088" s="218">
        <v>11</v>
      </c>
      <c r="I3088" s="219">
        <v>2</v>
      </c>
      <c r="J3088" s="220">
        <f t="shared" si="294"/>
        <v>0.23539999999999997</v>
      </c>
      <c r="K3088" s="118" t="s">
        <v>233</v>
      </c>
      <c r="L3088" s="111">
        <v>2</v>
      </c>
      <c r="M3088" s="117">
        <f t="shared" si="295"/>
        <v>0.23539999999999997</v>
      </c>
      <c r="N3088" s="145">
        <f t="shared" si="296"/>
        <v>0</v>
      </c>
      <c r="O3088" s="120">
        <f t="shared" si="297"/>
        <v>0</v>
      </c>
      <c r="P3088" s="111"/>
      <c r="Q3088" s="91">
        <v>2</v>
      </c>
      <c r="R3088" s="91" t="s">
        <v>512</v>
      </c>
    </row>
    <row r="3089" spans="1:18" ht="15.6">
      <c r="A3089" s="110" t="s">
        <v>432</v>
      </c>
      <c r="B3089" s="111" t="s">
        <v>232</v>
      </c>
      <c r="C3089" s="112" t="s">
        <v>80</v>
      </c>
      <c r="D3089" s="113" t="s">
        <v>152</v>
      </c>
      <c r="E3089" s="216" t="s">
        <v>15</v>
      </c>
      <c r="F3089" s="216" t="s">
        <v>22</v>
      </c>
      <c r="G3089" s="217">
        <v>10.7</v>
      </c>
      <c r="H3089" s="218">
        <v>10.9</v>
      </c>
      <c r="I3089" s="219">
        <v>1</v>
      </c>
      <c r="J3089" s="220">
        <f t="shared" si="294"/>
        <v>0.11663</v>
      </c>
      <c r="K3089" s="118" t="s">
        <v>233</v>
      </c>
      <c r="L3089" s="111">
        <v>1</v>
      </c>
      <c r="M3089" s="117">
        <f t="shared" si="295"/>
        <v>0.11663</v>
      </c>
      <c r="N3089" s="145">
        <f t="shared" si="296"/>
        <v>0</v>
      </c>
      <c r="O3089" s="120">
        <f t="shared" si="297"/>
        <v>0</v>
      </c>
      <c r="P3089" s="111"/>
      <c r="Q3089" s="91">
        <v>1</v>
      </c>
      <c r="R3089" s="91" t="s">
        <v>512</v>
      </c>
    </row>
    <row r="3090" spans="1:18" ht="15.6">
      <c r="A3090" s="110" t="s">
        <v>432</v>
      </c>
      <c r="B3090" s="111" t="s">
        <v>232</v>
      </c>
      <c r="C3090" s="112" t="s">
        <v>80</v>
      </c>
      <c r="D3090" s="113" t="s">
        <v>152</v>
      </c>
      <c r="E3090" s="216" t="s">
        <v>15</v>
      </c>
      <c r="F3090" s="216" t="s">
        <v>22</v>
      </c>
      <c r="G3090" s="217">
        <v>10.7</v>
      </c>
      <c r="H3090" s="218">
        <v>9.9</v>
      </c>
      <c r="I3090" s="219">
        <v>2</v>
      </c>
      <c r="J3090" s="220">
        <f t="shared" si="294"/>
        <v>0.21185999999999999</v>
      </c>
      <c r="K3090" s="118" t="s">
        <v>233</v>
      </c>
      <c r="L3090" s="111">
        <v>2</v>
      </c>
      <c r="M3090" s="117">
        <f t="shared" si="295"/>
        <v>0.21185999999999999</v>
      </c>
      <c r="N3090" s="145">
        <f t="shared" si="296"/>
        <v>0</v>
      </c>
      <c r="O3090" s="120">
        <f t="shared" si="297"/>
        <v>0</v>
      </c>
      <c r="P3090" s="111"/>
      <c r="Q3090" s="91">
        <v>2</v>
      </c>
      <c r="R3090" s="91" t="s">
        <v>512</v>
      </c>
    </row>
    <row r="3091" spans="1:18" ht="15.6">
      <c r="A3091" s="110" t="s">
        <v>432</v>
      </c>
      <c r="B3091" s="111" t="s">
        <v>232</v>
      </c>
      <c r="C3091" s="112" t="s">
        <v>80</v>
      </c>
      <c r="D3091" s="113" t="s">
        <v>152</v>
      </c>
      <c r="E3091" s="216" t="s">
        <v>15</v>
      </c>
      <c r="F3091" s="216" t="s">
        <v>22</v>
      </c>
      <c r="G3091" s="217">
        <v>10.7</v>
      </c>
      <c r="H3091" s="218">
        <v>9.6999999999999993</v>
      </c>
      <c r="I3091" s="219">
        <v>2</v>
      </c>
      <c r="J3091" s="220">
        <f t="shared" si="294"/>
        <v>0.20757999999999999</v>
      </c>
      <c r="K3091" s="118" t="s">
        <v>233</v>
      </c>
      <c r="L3091" s="111">
        <v>2</v>
      </c>
      <c r="M3091" s="117">
        <f t="shared" si="295"/>
        <v>0.20757999999999999</v>
      </c>
      <c r="N3091" s="145">
        <f t="shared" si="296"/>
        <v>0</v>
      </c>
      <c r="O3091" s="120">
        <f t="shared" si="297"/>
        <v>0</v>
      </c>
      <c r="P3091" s="111"/>
      <c r="Q3091" s="91">
        <v>2</v>
      </c>
      <c r="R3091" s="91" t="s">
        <v>512</v>
      </c>
    </row>
    <row r="3092" spans="1:18" ht="15.6">
      <c r="A3092" s="110" t="s">
        <v>432</v>
      </c>
      <c r="B3092" s="111" t="s">
        <v>232</v>
      </c>
      <c r="C3092" s="112" t="s">
        <v>80</v>
      </c>
      <c r="D3092" s="113" t="s">
        <v>152</v>
      </c>
      <c r="E3092" s="216" t="s">
        <v>15</v>
      </c>
      <c r="F3092" s="216" t="s">
        <v>22</v>
      </c>
      <c r="G3092" s="217">
        <v>10.7</v>
      </c>
      <c r="H3092" s="218">
        <v>9</v>
      </c>
      <c r="I3092" s="219">
        <v>1</v>
      </c>
      <c r="J3092" s="220">
        <f t="shared" si="294"/>
        <v>9.6299999999999997E-2</v>
      </c>
      <c r="K3092" s="118" t="s">
        <v>233</v>
      </c>
      <c r="L3092" s="111">
        <v>1</v>
      </c>
      <c r="M3092" s="117">
        <f t="shared" si="295"/>
        <v>9.6299999999999997E-2</v>
      </c>
      <c r="N3092" s="145">
        <f t="shared" si="296"/>
        <v>0</v>
      </c>
      <c r="O3092" s="120">
        <f t="shared" si="297"/>
        <v>0</v>
      </c>
      <c r="P3092" s="111"/>
      <c r="Q3092" s="91">
        <v>1</v>
      </c>
      <c r="R3092" s="91" t="s">
        <v>512</v>
      </c>
    </row>
    <row r="3093" spans="1:18" ht="15.6">
      <c r="A3093" s="110" t="s">
        <v>432</v>
      </c>
      <c r="B3093" s="111" t="s">
        <v>232</v>
      </c>
      <c r="C3093" s="112" t="s">
        <v>80</v>
      </c>
      <c r="D3093" s="113" t="s">
        <v>152</v>
      </c>
      <c r="E3093" s="216" t="s">
        <v>15</v>
      </c>
      <c r="F3093" s="216" t="s">
        <v>22</v>
      </c>
      <c r="G3093" s="217">
        <v>10.7</v>
      </c>
      <c r="H3093" s="218">
        <v>8.1</v>
      </c>
      <c r="I3093" s="219">
        <v>1</v>
      </c>
      <c r="J3093" s="220">
        <f t="shared" si="294"/>
        <v>8.6669999999999983E-2</v>
      </c>
      <c r="K3093" s="118" t="s">
        <v>233</v>
      </c>
      <c r="L3093" s="111">
        <v>1</v>
      </c>
      <c r="M3093" s="117">
        <f t="shared" si="295"/>
        <v>8.6669999999999983E-2</v>
      </c>
      <c r="N3093" s="145">
        <f t="shared" si="296"/>
        <v>0</v>
      </c>
      <c r="O3093" s="120">
        <f t="shared" si="297"/>
        <v>0</v>
      </c>
      <c r="P3093" s="111"/>
      <c r="Q3093" s="91">
        <v>1</v>
      </c>
      <c r="R3093" s="91" t="s">
        <v>512</v>
      </c>
    </row>
    <row r="3094" spans="1:18" ht="15.6">
      <c r="A3094" s="110" t="s">
        <v>432</v>
      </c>
      <c r="B3094" s="111" t="s">
        <v>232</v>
      </c>
      <c r="C3094" s="112" t="s">
        <v>80</v>
      </c>
      <c r="D3094" s="113" t="s">
        <v>152</v>
      </c>
      <c r="E3094" s="216" t="s">
        <v>15</v>
      </c>
      <c r="F3094" s="216" t="s">
        <v>22</v>
      </c>
      <c r="G3094" s="217">
        <v>10.7</v>
      </c>
      <c r="H3094" s="218">
        <v>8</v>
      </c>
      <c r="I3094" s="219">
        <v>1</v>
      </c>
      <c r="J3094" s="220">
        <f t="shared" si="294"/>
        <v>8.5599999999999996E-2</v>
      </c>
      <c r="K3094" s="118" t="s">
        <v>233</v>
      </c>
      <c r="L3094" s="111">
        <v>1</v>
      </c>
      <c r="M3094" s="117">
        <f t="shared" si="295"/>
        <v>8.5599999999999996E-2</v>
      </c>
      <c r="N3094" s="145">
        <f t="shared" si="296"/>
        <v>0</v>
      </c>
      <c r="O3094" s="120">
        <f t="shared" si="297"/>
        <v>0</v>
      </c>
      <c r="P3094" s="111"/>
      <c r="Q3094" s="91">
        <v>1</v>
      </c>
      <c r="R3094" s="91" t="s">
        <v>512</v>
      </c>
    </row>
    <row r="3095" spans="1:18" ht="15.6">
      <c r="A3095" s="110" t="s">
        <v>432</v>
      </c>
      <c r="B3095" s="111" t="s">
        <v>232</v>
      </c>
      <c r="C3095" s="112" t="s">
        <v>433</v>
      </c>
      <c r="D3095" s="113" t="s">
        <v>152</v>
      </c>
      <c r="E3095" s="216" t="s">
        <v>15</v>
      </c>
      <c r="F3095" s="216" t="s">
        <v>22</v>
      </c>
      <c r="G3095" s="217">
        <v>10.7</v>
      </c>
      <c r="H3095" s="218">
        <v>10.4</v>
      </c>
      <c r="I3095" s="219">
        <f>26+26+26+22+8</f>
        <v>108</v>
      </c>
      <c r="J3095" s="220">
        <f t="shared" si="294"/>
        <v>12.01824</v>
      </c>
      <c r="K3095" s="118"/>
      <c r="L3095" s="219">
        <f>26+26+26+22+8</f>
        <v>108</v>
      </c>
      <c r="M3095" s="117">
        <f t="shared" si="295"/>
        <v>12.01824</v>
      </c>
      <c r="N3095" s="119">
        <f t="shared" si="296"/>
        <v>0</v>
      </c>
      <c r="O3095" s="120">
        <f t="shared" si="297"/>
        <v>0</v>
      </c>
      <c r="P3095" s="111"/>
      <c r="Q3095" s="111"/>
      <c r="R3095" s="111"/>
    </row>
    <row r="3096" spans="1:18" ht="15.6">
      <c r="A3096" s="110" t="s">
        <v>432</v>
      </c>
      <c r="B3096" s="111" t="s">
        <v>232</v>
      </c>
      <c r="C3096" s="112" t="s">
        <v>433</v>
      </c>
      <c r="D3096" s="113" t="s">
        <v>152</v>
      </c>
      <c r="E3096" s="216" t="s">
        <v>15</v>
      </c>
      <c r="F3096" s="216" t="s">
        <v>22</v>
      </c>
      <c r="G3096" s="217">
        <v>10.7</v>
      </c>
      <c r="H3096" s="218">
        <v>11.6</v>
      </c>
      <c r="I3096" s="219">
        <f>22+25+26+19+24+24+24+24+24+24+24+24+14</f>
        <v>298</v>
      </c>
      <c r="J3096" s="220">
        <f t="shared" si="294"/>
        <v>36.987759999999994</v>
      </c>
      <c r="K3096" s="118"/>
      <c r="L3096" s="219">
        <f>22+25+26+19+24+24+24+24+24+24+24+24+14</f>
        <v>298</v>
      </c>
      <c r="M3096" s="117">
        <f t="shared" si="295"/>
        <v>36.987759999999994</v>
      </c>
      <c r="N3096" s="119">
        <f t="shared" si="296"/>
        <v>0</v>
      </c>
      <c r="O3096" s="120">
        <f t="shared" si="297"/>
        <v>0</v>
      </c>
      <c r="P3096" s="111"/>
      <c r="Q3096" s="111"/>
      <c r="R3096" s="111"/>
    </row>
    <row r="3097" spans="1:18" ht="15.6">
      <c r="A3097" s="110" t="s">
        <v>432</v>
      </c>
      <c r="B3097" s="111" t="s">
        <v>232</v>
      </c>
      <c r="C3097" s="112" t="s">
        <v>433</v>
      </c>
      <c r="D3097" s="113" t="s">
        <v>152</v>
      </c>
      <c r="E3097" s="216" t="s">
        <v>15</v>
      </c>
      <c r="F3097" s="216" t="s">
        <v>22</v>
      </c>
      <c r="G3097" s="217">
        <v>10.7</v>
      </c>
      <c r="H3097" s="218">
        <v>12</v>
      </c>
      <c r="I3097" s="219">
        <f>18+26+24+26+20+26+24+24+3</f>
        <v>191</v>
      </c>
      <c r="J3097" s="220">
        <f t="shared" si="294"/>
        <v>24.524399999999993</v>
      </c>
      <c r="K3097" s="118"/>
      <c r="L3097" s="219">
        <f>18+26+24+26+20+26+24+24+3</f>
        <v>191</v>
      </c>
      <c r="M3097" s="117">
        <f t="shared" si="295"/>
        <v>24.524399999999996</v>
      </c>
      <c r="N3097" s="119">
        <f t="shared" si="296"/>
        <v>0</v>
      </c>
      <c r="O3097" s="120">
        <f t="shared" si="297"/>
        <v>0</v>
      </c>
      <c r="P3097" s="130"/>
      <c r="Q3097" s="111"/>
      <c r="R3097" s="111"/>
    </row>
    <row r="3098" spans="1:18" ht="15.6">
      <c r="A3098" s="110" t="s">
        <v>432</v>
      </c>
      <c r="B3098" s="111" t="s">
        <v>232</v>
      </c>
      <c r="C3098" s="112" t="s">
        <v>433</v>
      </c>
      <c r="D3098" s="113" t="s">
        <v>152</v>
      </c>
      <c r="E3098" s="216" t="s">
        <v>15</v>
      </c>
      <c r="F3098" s="216" t="s">
        <v>22</v>
      </c>
      <c r="G3098" s="217">
        <v>10.7</v>
      </c>
      <c r="H3098" s="218">
        <v>10</v>
      </c>
      <c r="I3098" s="219">
        <v>10</v>
      </c>
      <c r="J3098" s="220">
        <f t="shared" si="294"/>
        <v>1.07</v>
      </c>
      <c r="K3098" s="118"/>
      <c r="L3098" s="111">
        <v>10</v>
      </c>
      <c r="M3098" s="117">
        <f t="shared" si="295"/>
        <v>1.07</v>
      </c>
      <c r="N3098" s="119">
        <f t="shared" si="296"/>
        <v>0</v>
      </c>
      <c r="O3098" s="120">
        <f t="shared" si="297"/>
        <v>0</v>
      </c>
      <c r="P3098" s="130"/>
      <c r="Q3098" s="111"/>
      <c r="R3098" s="111"/>
    </row>
    <row r="3099" spans="1:18" ht="15.6">
      <c r="A3099" s="110" t="s">
        <v>432</v>
      </c>
      <c r="B3099" s="111" t="s">
        <v>232</v>
      </c>
      <c r="C3099" s="112" t="s">
        <v>433</v>
      </c>
      <c r="D3099" s="113" t="s">
        <v>152</v>
      </c>
      <c r="E3099" s="216" t="s">
        <v>15</v>
      </c>
      <c r="F3099" s="216" t="s">
        <v>22</v>
      </c>
      <c r="G3099" s="217">
        <v>10.7</v>
      </c>
      <c r="H3099" s="218">
        <v>11.3</v>
      </c>
      <c r="I3099" s="219">
        <v>10</v>
      </c>
      <c r="J3099" s="220">
        <f t="shared" si="294"/>
        <v>1.2090999999999998</v>
      </c>
      <c r="K3099" s="118"/>
      <c r="L3099" s="111">
        <v>10</v>
      </c>
      <c r="M3099" s="117">
        <f t="shared" si="295"/>
        <v>1.2090999999999998</v>
      </c>
      <c r="N3099" s="119">
        <f t="shared" si="296"/>
        <v>0</v>
      </c>
      <c r="O3099" s="120">
        <f t="shared" si="297"/>
        <v>0</v>
      </c>
      <c r="P3099" s="130"/>
      <c r="Q3099" s="111"/>
      <c r="R3099" s="111"/>
    </row>
    <row r="3100" spans="1:18" ht="15.6">
      <c r="A3100" s="110" t="s">
        <v>432</v>
      </c>
      <c r="B3100" s="111" t="s">
        <v>232</v>
      </c>
      <c r="C3100" s="112" t="s">
        <v>433</v>
      </c>
      <c r="D3100" s="113" t="s">
        <v>152</v>
      </c>
      <c r="E3100" s="216" t="s">
        <v>15</v>
      </c>
      <c r="F3100" s="216" t="s">
        <v>22</v>
      </c>
      <c r="G3100" s="217">
        <v>10.7</v>
      </c>
      <c r="H3100" s="218">
        <v>10.5</v>
      </c>
      <c r="I3100" s="219">
        <v>12</v>
      </c>
      <c r="J3100" s="220">
        <f t="shared" si="294"/>
        <v>1.3481999999999998</v>
      </c>
      <c r="K3100" s="118" t="s">
        <v>233</v>
      </c>
      <c r="L3100" s="111">
        <f>7+5</f>
        <v>12</v>
      </c>
      <c r="M3100" s="117">
        <f t="shared" si="295"/>
        <v>1.3481999999999998</v>
      </c>
      <c r="N3100" s="119">
        <f t="shared" si="296"/>
        <v>0</v>
      </c>
      <c r="O3100" s="120">
        <f t="shared" si="297"/>
        <v>0</v>
      </c>
      <c r="P3100" s="130"/>
      <c r="Q3100" s="111"/>
      <c r="R3100" s="111"/>
    </row>
    <row r="3101" spans="1:18" ht="15.6">
      <c r="A3101" s="110" t="s">
        <v>432</v>
      </c>
      <c r="B3101" s="111" t="s">
        <v>232</v>
      </c>
      <c r="C3101" s="112" t="s">
        <v>433</v>
      </c>
      <c r="D3101" s="113" t="s">
        <v>152</v>
      </c>
      <c r="E3101" s="216" t="s">
        <v>15</v>
      </c>
      <c r="F3101" s="216" t="s">
        <v>22</v>
      </c>
      <c r="G3101" s="217">
        <v>10.7</v>
      </c>
      <c r="H3101" s="218">
        <v>10</v>
      </c>
      <c r="I3101" s="219">
        <v>1</v>
      </c>
      <c r="J3101" s="220">
        <f t="shared" si="294"/>
        <v>0.107</v>
      </c>
      <c r="K3101" s="118" t="s">
        <v>233</v>
      </c>
      <c r="L3101" s="111"/>
      <c r="M3101" s="117">
        <f t="shared" si="295"/>
        <v>0</v>
      </c>
      <c r="N3101" s="119">
        <f t="shared" si="296"/>
        <v>1</v>
      </c>
      <c r="O3101" s="120">
        <f t="shared" si="297"/>
        <v>0.107</v>
      </c>
      <c r="P3101" s="111"/>
      <c r="Q3101" s="111"/>
      <c r="R3101" s="111"/>
    </row>
    <row r="3102" spans="1:18" ht="15.6">
      <c r="A3102" s="110" t="s">
        <v>432</v>
      </c>
      <c r="B3102" s="111" t="s">
        <v>232</v>
      </c>
      <c r="C3102" s="112" t="s">
        <v>433</v>
      </c>
      <c r="D3102" s="113" t="s">
        <v>152</v>
      </c>
      <c r="E3102" s="216" t="s">
        <v>15</v>
      </c>
      <c r="F3102" s="216" t="s">
        <v>22</v>
      </c>
      <c r="G3102" s="217">
        <v>10.7</v>
      </c>
      <c r="H3102" s="218">
        <v>9.5</v>
      </c>
      <c r="I3102" s="219">
        <v>1</v>
      </c>
      <c r="J3102" s="220">
        <f t="shared" si="294"/>
        <v>0.10164999999999999</v>
      </c>
      <c r="K3102" s="118" t="s">
        <v>233</v>
      </c>
      <c r="L3102" s="111"/>
      <c r="M3102" s="117">
        <f t="shared" si="295"/>
        <v>0</v>
      </c>
      <c r="N3102" s="119">
        <f t="shared" si="296"/>
        <v>1</v>
      </c>
      <c r="O3102" s="120">
        <f t="shared" si="297"/>
        <v>0.10164999999999999</v>
      </c>
      <c r="P3102" s="111"/>
      <c r="Q3102" s="111"/>
      <c r="R3102" s="111"/>
    </row>
    <row r="3103" spans="1:18" ht="15.6">
      <c r="A3103" s="110" t="s">
        <v>432</v>
      </c>
      <c r="B3103" s="111" t="s">
        <v>232</v>
      </c>
      <c r="C3103" s="112" t="s">
        <v>433</v>
      </c>
      <c r="D3103" s="113" t="s">
        <v>152</v>
      </c>
      <c r="E3103" s="216" t="s">
        <v>15</v>
      </c>
      <c r="F3103" s="216" t="s">
        <v>22</v>
      </c>
      <c r="G3103" s="217">
        <v>10.7</v>
      </c>
      <c r="H3103" s="218">
        <v>9.1999999999999993</v>
      </c>
      <c r="I3103" s="219">
        <v>1</v>
      </c>
      <c r="J3103" s="220">
        <f t="shared" si="294"/>
        <v>9.8439999999999986E-2</v>
      </c>
      <c r="K3103" s="118" t="s">
        <v>233</v>
      </c>
      <c r="L3103" s="111"/>
      <c r="M3103" s="117">
        <f t="shared" si="295"/>
        <v>0</v>
      </c>
      <c r="N3103" s="119">
        <f t="shared" si="296"/>
        <v>1</v>
      </c>
      <c r="O3103" s="120">
        <f t="shared" si="297"/>
        <v>9.8439999999999986E-2</v>
      </c>
      <c r="P3103" s="111"/>
      <c r="Q3103" s="111"/>
      <c r="R3103" s="111"/>
    </row>
    <row r="3104" spans="1:18" ht="15.6">
      <c r="A3104" s="110" t="s">
        <v>432</v>
      </c>
      <c r="B3104" s="111" t="s">
        <v>232</v>
      </c>
      <c r="C3104" s="112" t="s">
        <v>433</v>
      </c>
      <c r="D3104" s="113" t="s">
        <v>152</v>
      </c>
      <c r="E3104" s="216" t="s">
        <v>15</v>
      </c>
      <c r="F3104" s="216" t="s">
        <v>22</v>
      </c>
      <c r="G3104" s="217">
        <v>10.7</v>
      </c>
      <c r="H3104" s="218">
        <v>10.4</v>
      </c>
      <c r="I3104" s="219">
        <v>1</v>
      </c>
      <c r="J3104" s="220">
        <f t="shared" si="294"/>
        <v>0.11128</v>
      </c>
      <c r="K3104" s="118" t="s">
        <v>235</v>
      </c>
      <c r="L3104" s="219">
        <v>1</v>
      </c>
      <c r="M3104" s="117">
        <f t="shared" si="295"/>
        <v>0.11128</v>
      </c>
      <c r="N3104" s="119">
        <f t="shared" si="296"/>
        <v>0</v>
      </c>
      <c r="O3104" s="120">
        <f t="shared" si="297"/>
        <v>0</v>
      </c>
      <c r="P3104" s="111"/>
      <c r="Q3104" s="111"/>
      <c r="R3104" s="111"/>
    </row>
    <row r="3105" spans="1:18" ht="15.6">
      <c r="A3105" s="110" t="s">
        <v>432</v>
      </c>
      <c r="B3105" s="111" t="s">
        <v>232</v>
      </c>
      <c r="C3105" s="112" t="s">
        <v>433</v>
      </c>
      <c r="D3105" s="113" t="s">
        <v>152</v>
      </c>
      <c r="E3105" s="216" t="s">
        <v>15</v>
      </c>
      <c r="F3105" s="216" t="s">
        <v>22</v>
      </c>
      <c r="G3105" s="217">
        <v>10.7</v>
      </c>
      <c r="H3105" s="218">
        <v>10.5</v>
      </c>
      <c r="I3105" s="219">
        <v>1</v>
      </c>
      <c r="J3105" s="220">
        <f t="shared" si="294"/>
        <v>0.11234999999999999</v>
      </c>
      <c r="K3105" s="118" t="s">
        <v>235</v>
      </c>
      <c r="L3105" s="111">
        <v>1</v>
      </c>
      <c r="M3105" s="117">
        <f t="shared" si="295"/>
        <v>0.11234999999999999</v>
      </c>
      <c r="N3105" s="119">
        <f t="shared" si="296"/>
        <v>0</v>
      </c>
      <c r="O3105" s="120">
        <f>H3105*N3105*G3105/1000</f>
        <v>0</v>
      </c>
      <c r="P3105" s="111"/>
      <c r="Q3105" s="111"/>
      <c r="R3105" s="111"/>
    </row>
    <row r="3106" spans="1:18" ht="15.6">
      <c r="A3106" s="110" t="s">
        <v>432</v>
      </c>
      <c r="B3106" s="111" t="s">
        <v>232</v>
      </c>
      <c r="C3106" s="112" t="s">
        <v>433</v>
      </c>
      <c r="D3106" s="113" t="s">
        <v>152</v>
      </c>
      <c r="E3106" s="216" t="s">
        <v>15</v>
      </c>
      <c r="F3106" s="216" t="s">
        <v>22</v>
      </c>
      <c r="G3106" s="217">
        <v>10.7</v>
      </c>
      <c r="H3106" s="218">
        <v>11.6</v>
      </c>
      <c r="I3106" s="219">
        <v>1</v>
      </c>
      <c r="J3106" s="220">
        <f t="shared" si="294"/>
        <v>0.12411999999999999</v>
      </c>
      <c r="K3106" s="118" t="s">
        <v>235</v>
      </c>
      <c r="L3106" s="111">
        <v>1</v>
      </c>
      <c r="M3106" s="117">
        <f t="shared" si="295"/>
        <v>0.12411999999999999</v>
      </c>
      <c r="N3106" s="119">
        <f t="shared" si="296"/>
        <v>0</v>
      </c>
      <c r="O3106" s="120">
        <f>H3106*N3106*G3106/1000</f>
        <v>0</v>
      </c>
      <c r="P3106" s="111"/>
      <c r="Q3106" s="111"/>
      <c r="R3106" s="111"/>
    </row>
    <row r="3107" spans="1:18">
      <c r="A3107" s="213"/>
      <c r="B3107" s="213"/>
      <c r="C3107" s="213"/>
      <c r="D3107" s="213"/>
      <c r="E3107" s="213"/>
      <c r="F3107" s="213"/>
      <c r="G3107" s="213"/>
      <c r="H3107" s="213"/>
      <c r="I3107" s="215">
        <f>SUM(I3082:I3106)</f>
        <v>1355</v>
      </c>
      <c r="J3107" s="214">
        <f>SUM(J3082:J3106)</f>
        <v>166.28120999999999</v>
      </c>
      <c r="K3107" s="213"/>
      <c r="L3107" s="215">
        <f>SUM(L3082:L3106)</f>
        <v>1384</v>
      </c>
      <c r="M3107" s="214">
        <f>SUM(M3082:M3106)</f>
        <v>169.94595999999996</v>
      </c>
      <c r="N3107" s="78">
        <f>SUM(N3082:N3106)</f>
        <v>-29</v>
      </c>
      <c r="O3107" s="214">
        <f>SUM(O3082:O3106)</f>
        <v>-3.6647499999999997</v>
      </c>
      <c r="P3107" s="213"/>
      <c r="Q3107" s="215">
        <f>SUM(Q3082:Q3106)</f>
        <v>10</v>
      </c>
      <c r="R3107" s="213"/>
    </row>
    <row r="3109" spans="1:18" ht="15.6">
      <c r="A3109" s="110" t="s">
        <v>436</v>
      </c>
      <c r="B3109" s="111" t="s">
        <v>232</v>
      </c>
      <c r="C3109" s="112" t="s">
        <v>228</v>
      </c>
      <c r="D3109" s="113" t="s">
        <v>152</v>
      </c>
      <c r="E3109" s="216" t="s">
        <v>15</v>
      </c>
      <c r="F3109" s="216" t="s">
        <v>30</v>
      </c>
      <c r="G3109" s="217">
        <v>9.26</v>
      </c>
      <c r="H3109" s="218">
        <v>10.3</v>
      </c>
      <c r="I3109" s="219">
        <f>32+14+31+26+30+30+19</f>
        <v>182</v>
      </c>
      <c r="J3109" s="220">
        <f t="shared" ref="J3109:J3117" si="298">(G3109*H3109*I3109/1000)</f>
        <v>17.358795999999998</v>
      </c>
      <c r="K3109" s="118"/>
      <c r="L3109" s="111">
        <v>182</v>
      </c>
      <c r="M3109" s="117">
        <f t="shared" ref="M3109:M3117" si="299">H3109*L3109*G3109/1000</f>
        <v>17.358796000000002</v>
      </c>
      <c r="N3109" s="119">
        <f t="shared" ref="N3109:N3117" si="300">I3109-L3109</f>
        <v>0</v>
      </c>
      <c r="O3109" s="120">
        <f t="shared" ref="O3109:O3117" si="301">H3109*N3109*G3109/1000</f>
        <v>0</v>
      </c>
      <c r="P3109" s="111"/>
      <c r="Q3109" s="111"/>
      <c r="R3109" s="111"/>
    </row>
    <row r="3110" spans="1:18" ht="15.6">
      <c r="A3110" s="110" t="s">
        <v>436</v>
      </c>
      <c r="B3110" s="111" t="s">
        <v>232</v>
      </c>
      <c r="C3110" s="112" t="s">
        <v>228</v>
      </c>
      <c r="D3110" s="113" t="s">
        <v>152</v>
      </c>
      <c r="E3110" s="216" t="s">
        <v>15</v>
      </c>
      <c r="F3110" s="216" t="s">
        <v>30</v>
      </c>
      <c r="G3110" s="217">
        <v>9.26</v>
      </c>
      <c r="H3110" s="218">
        <v>11.3</v>
      </c>
      <c r="I3110" s="219">
        <f>15+31</f>
        <v>46</v>
      </c>
      <c r="J3110" s="220">
        <f t="shared" si="298"/>
        <v>4.8133479999999995</v>
      </c>
      <c r="K3110" s="118"/>
      <c r="L3110" s="111">
        <f>39+7</f>
        <v>46</v>
      </c>
      <c r="M3110" s="117">
        <f t="shared" si="299"/>
        <v>4.8133480000000013</v>
      </c>
      <c r="N3110" s="119">
        <f t="shared" si="300"/>
        <v>0</v>
      </c>
      <c r="O3110" s="120">
        <f t="shared" si="301"/>
        <v>0</v>
      </c>
      <c r="P3110" s="111"/>
      <c r="Q3110" s="111"/>
      <c r="R3110" s="111"/>
    </row>
    <row r="3111" spans="1:18" ht="15.6">
      <c r="A3111" s="110" t="s">
        <v>436</v>
      </c>
      <c r="B3111" s="111" t="s">
        <v>232</v>
      </c>
      <c r="C3111" s="112" t="s">
        <v>228</v>
      </c>
      <c r="D3111" s="113" t="s">
        <v>152</v>
      </c>
      <c r="E3111" s="216" t="s">
        <v>15</v>
      </c>
      <c r="F3111" s="216" t="s">
        <v>30</v>
      </c>
      <c r="G3111" s="217">
        <v>9.26</v>
      </c>
      <c r="H3111" s="218">
        <v>11.8</v>
      </c>
      <c r="I3111" s="219">
        <f>27+32+32+33+26+26+26+26+28+29+29+29+27</f>
        <v>370</v>
      </c>
      <c r="J3111" s="220">
        <f t="shared" si="298"/>
        <v>40.429160000000003</v>
      </c>
      <c r="K3111" s="118"/>
      <c r="L3111" s="111">
        <v>370</v>
      </c>
      <c r="M3111" s="117">
        <f t="shared" si="299"/>
        <v>40.429159999999996</v>
      </c>
      <c r="N3111" s="119">
        <f t="shared" si="300"/>
        <v>0</v>
      </c>
      <c r="O3111" s="120">
        <f t="shared" si="301"/>
        <v>0</v>
      </c>
      <c r="P3111" s="111"/>
      <c r="Q3111" s="111"/>
      <c r="R3111" s="111"/>
    </row>
    <row r="3112" spans="1:18" ht="15.6">
      <c r="A3112" s="110" t="s">
        <v>436</v>
      </c>
      <c r="B3112" s="111" t="s">
        <v>232</v>
      </c>
      <c r="C3112" s="112" t="s">
        <v>228</v>
      </c>
      <c r="D3112" s="113" t="s">
        <v>152</v>
      </c>
      <c r="E3112" s="216" t="s">
        <v>15</v>
      </c>
      <c r="F3112" s="216" t="s">
        <v>30</v>
      </c>
      <c r="G3112" s="217">
        <v>9.26</v>
      </c>
      <c r="H3112" s="218">
        <v>12</v>
      </c>
      <c r="I3112" s="219">
        <f>5+17</f>
        <v>22</v>
      </c>
      <c r="J3112" s="220">
        <f t="shared" si="298"/>
        <v>2.4446400000000001</v>
      </c>
      <c r="K3112" s="118"/>
      <c r="L3112" s="111">
        <f>19+3</f>
        <v>22</v>
      </c>
      <c r="M3112" s="117">
        <f t="shared" si="299"/>
        <v>2.4446399999999997</v>
      </c>
      <c r="N3112" s="119">
        <f t="shared" si="300"/>
        <v>0</v>
      </c>
      <c r="O3112" s="120">
        <f t="shared" si="301"/>
        <v>0</v>
      </c>
      <c r="P3112" s="111"/>
      <c r="Q3112" s="111"/>
      <c r="R3112" s="111"/>
    </row>
    <row r="3113" spans="1:18" ht="15.6">
      <c r="A3113" s="110" t="s">
        <v>436</v>
      </c>
      <c r="B3113" s="111" t="s">
        <v>232</v>
      </c>
      <c r="C3113" s="112" t="s">
        <v>228</v>
      </c>
      <c r="D3113" s="113" t="s">
        <v>152</v>
      </c>
      <c r="E3113" s="216" t="s">
        <v>15</v>
      </c>
      <c r="F3113" s="216" t="s">
        <v>30</v>
      </c>
      <c r="G3113" s="217">
        <v>9.26</v>
      </c>
      <c r="H3113" s="218">
        <v>9</v>
      </c>
      <c r="I3113" s="219">
        <v>1</v>
      </c>
      <c r="J3113" s="220">
        <f t="shared" si="298"/>
        <v>8.3339999999999997E-2</v>
      </c>
      <c r="K3113" s="118"/>
      <c r="L3113" s="111"/>
      <c r="M3113" s="117">
        <f t="shared" si="299"/>
        <v>0</v>
      </c>
      <c r="N3113" s="119">
        <f t="shared" si="300"/>
        <v>1</v>
      </c>
      <c r="O3113" s="120">
        <f t="shared" si="301"/>
        <v>8.3339999999999997E-2</v>
      </c>
      <c r="P3113" s="111"/>
      <c r="Q3113" s="111"/>
      <c r="R3113" s="111"/>
    </row>
    <row r="3114" spans="1:18" ht="15.6">
      <c r="A3114" s="110" t="s">
        <v>436</v>
      </c>
      <c r="B3114" s="111" t="s">
        <v>232</v>
      </c>
      <c r="C3114" s="112" t="s">
        <v>228</v>
      </c>
      <c r="D3114" s="113" t="s">
        <v>152</v>
      </c>
      <c r="E3114" s="216" t="s">
        <v>15</v>
      </c>
      <c r="F3114" s="216" t="s">
        <v>30</v>
      </c>
      <c r="G3114" s="217">
        <v>9.26</v>
      </c>
      <c r="H3114" s="218">
        <v>10</v>
      </c>
      <c r="I3114" s="219">
        <v>1</v>
      </c>
      <c r="J3114" s="220">
        <f t="shared" si="298"/>
        <v>9.2599999999999988E-2</v>
      </c>
      <c r="K3114" s="118"/>
      <c r="L3114" s="111"/>
      <c r="M3114" s="117">
        <f t="shared" si="299"/>
        <v>0</v>
      </c>
      <c r="N3114" s="119">
        <f t="shared" si="300"/>
        <v>1</v>
      </c>
      <c r="O3114" s="120">
        <f t="shared" si="301"/>
        <v>9.2599999999999988E-2</v>
      </c>
      <c r="P3114" s="111"/>
      <c r="Q3114" s="111"/>
      <c r="R3114" s="111"/>
    </row>
    <row r="3115" spans="1:18" ht="15.6">
      <c r="A3115" s="110" t="s">
        <v>436</v>
      </c>
      <c r="B3115" s="111" t="s">
        <v>232</v>
      </c>
      <c r="C3115" s="112" t="s">
        <v>228</v>
      </c>
      <c r="D3115" s="113" t="s">
        <v>152</v>
      </c>
      <c r="E3115" s="216" t="s">
        <v>15</v>
      </c>
      <c r="F3115" s="216" t="s">
        <v>30</v>
      </c>
      <c r="G3115" s="217">
        <v>9.26</v>
      </c>
      <c r="H3115" s="221">
        <v>10</v>
      </c>
      <c r="I3115" s="219">
        <v>5</v>
      </c>
      <c r="J3115" s="220">
        <f t="shared" si="298"/>
        <v>0.46300000000000002</v>
      </c>
      <c r="K3115" s="118"/>
      <c r="L3115" s="111"/>
      <c r="M3115" s="117">
        <f t="shared" si="299"/>
        <v>0</v>
      </c>
      <c r="N3115" s="119">
        <f t="shared" si="300"/>
        <v>5</v>
      </c>
      <c r="O3115" s="120">
        <f t="shared" si="301"/>
        <v>0.46300000000000002</v>
      </c>
      <c r="P3115" s="111"/>
      <c r="Q3115" s="111"/>
      <c r="R3115" s="111"/>
    </row>
    <row r="3116" spans="1:18" ht="15.6">
      <c r="A3116" s="110" t="s">
        <v>436</v>
      </c>
      <c r="B3116" s="111" t="s">
        <v>232</v>
      </c>
      <c r="C3116" s="112" t="s">
        <v>228</v>
      </c>
      <c r="D3116" s="113" t="s">
        <v>152</v>
      </c>
      <c r="E3116" s="216" t="s">
        <v>15</v>
      </c>
      <c r="F3116" s="216" t="s">
        <v>30</v>
      </c>
      <c r="G3116" s="217">
        <v>9.26</v>
      </c>
      <c r="H3116" s="221">
        <v>9.8000000000000007</v>
      </c>
      <c r="I3116" s="219">
        <v>4</v>
      </c>
      <c r="J3116" s="220">
        <f t="shared" si="298"/>
        <v>0.36299200000000004</v>
      </c>
      <c r="K3116" s="118"/>
      <c r="L3116" s="111">
        <v>3</v>
      </c>
      <c r="M3116" s="117">
        <f t="shared" si="299"/>
        <v>0.27224400000000004</v>
      </c>
      <c r="N3116" s="119">
        <f t="shared" si="300"/>
        <v>1</v>
      </c>
      <c r="O3116" s="120">
        <f t="shared" si="301"/>
        <v>9.0748000000000009E-2</v>
      </c>
      <c r="P3116" s="91">
        <v>9.8000000000000007</v>
      </c>
      <c r="Q3116" s="91">
        <v>3</v>
      </c>
      <c r="R3116" s="91" t="s">
        <v>513</v>
      </c>
    </row>
    <row r="3117" spans="1:18" ht="15.6">
      <c r="A3117" s="110" t="s">
        <v>436</v>
      </c>
      <c r="B3117" s="111" t="s">
        <v>232</v>
      </c>
      <c r="C3117" s="112" t="s">
        <v>228</v>
      </c>
      <c r="D3117" s="113" t="s">
        <v>152</v>
      </c>
      <c r="E3117" s="216" t="s">
        <v>15</v>
      </c>
      <c r="F3117" s="216" t="s">
        <v>30</v>
      </c>
      <c r="G3117" s="217">
        <v>9.26</v>
      </c>
      <c r="H3117" s="221">
        <v>9</v>
      </c>
      <c r="I3117" s="219">
        <v>1</v>
      </c>
      <c r="J3117" s="220">
        <f t="shared" si="298"/>
        <v>8.3339999999999997E-2</v>
      </c>
      <c r="K3117" s="118"/>
      <c r="L3117" s="111"/>
      <c r="M3117" s="117">
        <f t="shared" si="299"/>
        <v>0</v>
      </c>
      <c r="N3117" s="119">
        <f t="shared" si="300"/>
        <v>1</v>
      </c>
      <c r="O3117" s="120">
        <f t="shared" si="301"/>
        <v>8.3339999999999997E-2</v>
      </c>
      <c r="P3117" s="111"/>
      <c r="Q3117" s="111"/>
      <c r="R3117" s="111"/>
    </row>
    <row r="3118" spans="1:18">
      <c r="A3118" s="213"/>
      <c r="B3118" s="213"/>
      <c r="C3118" s="213"/>
      <c r="D3118" s="213"/>
      <c r="E3118" s="213"/>
      <c r="F3118" s="213"/>
      <c r="G3118" s="213"/>
      <c r="H3118" s="213"/>
      <c r="I3118" s="215">
        <f>SUM(I3109:I3117)</f>
        <v>632</v>
      </c>
      <c r="J3118" s="214">
        <f>SUM(J3109:J3117)</f>
        <v>66.131216000000023</v>
      </c>
      <c r="K3118" s="213"/>
      <c r="L3118" s="215">
        <f>SUM(L3109:L3117)</f>
        <v>623</v>
      </c>
      <c r="M3118" s="214">
        <f>SUM(M3109:M3117)</f>
        <v>65.318187999999992</v>
      </c>
      <c r="N3118" s="215">
        <f>SUM(N3109:N3117)</f>
        <v>9</v>
      </c>
      <c r="O3118" s="214">
        <f>SUM(O3109:O3117)</f>
        <v>0.81302800000000008</v>
      </c>
      <c r="P3118" s="213"/>
      <c r="Q3118" s="215">
        <f>SUM(Q3109:Q3117)</f>
        <v>3</v>
      </c>
      <c r="R3118" s="213"/>
    </row>
    <row r="3121" spans="1:19">
      <c r="A3121" s="47" t="s">
        <v>147</v>
      </c>
      <c r="B3121" s="48" t="s">
        <v>148</v>
      </c>
      <c r="C3121" s="32">
        <v>291</v>
      </c>
      <c r="D3121" s="32"/>
      <c r="E3121" s="48" t="s">
        <v>20</v>
      </c>
      <c r="F3121" s="48" t="s">
        <v>160</v>
      </c>
      <c r="G3121" s="48" t="s">
        <v>45</v>
      </c>
      <c r="H3121" s="11">
        <v>13.6</v>
      </c>
      <c r="I3121" s="52">
        <v>12</v>
      </c>
      <c r="J3121" s="7">
        <v>2</v>
      </c>
      <c r="K3121" s="10">
        <f t="shared" ref="K3121:K3122" si="302">(H3121*I3121*J3121/1000)</f>
        <v>0.32639999999999997</v>
      </c>
      <c r="L3121" s="32"/>
      <c r="M3121" s="32"/>
      <c r="N3121" s="18">
        <f t="shared" ref="N3121:N3122" si="303">I3121*M3121*H3121/1000</f>
        <v>0</v>
      </c>
      <c r="O3121" s="19">
        <f t="shared" ref="O3121:O3122" si="304">J3121-M3121</f>
        <v>2</v>
      </c>
      <c r="P3121" s="13">
        <f t="shared" ref="P3121:P3122" si="305">I3121*O3121*H3121/1000</f>
        <v>0.32639999999999997</v>
      </c>
      <c r="Q3121" s="32"/>
      <c r="R3121" s="32"/>
      <c r="S3121" s="32"/>
    </row>
    <row r="3122" spans="1:19">
      <c r="A3122" s="47" t="s">
        <v>147</v>
      </c>
      <c r="B3122" s="48" t="s">
        <v>148</v>
      </c>
      <c r="C3122" s="32">
        <v>291</v>
      </c>
      <c r="D3122" s="32"/>
      <c r="E3122" s="48" t="s">
        <v>20</v>
      </c>
      <c r="F3122" s="48" t="s">
        <v>160</v>
      </c>
      <c r="G3122" s="48" t="s">
        <v>45</v>
      </c>
      <c r="H3122" s="11">
        <v>13.6</v>
      </c>
      <c r="I3122" s="52">
        <v>11</v>
      </c>
      <c r="J3122" s="7">
        <v>1</v>
      </c>
      <c r="K3122" s="10">
        <f t="shared" si="302"/>
        <v>0.14959999999999998</v>
      </c>
      <c r="L3122" s="32"/>
      <c r="M3122" s="32">
        <v>1</v>
      </c>
      <c r="N3122" s="18">
        <f t="shared" si="303"/>
        <v>0.14959999999999998</v>
      </c>
      <c r="O3122" s="106">
        <f t="shared" si="304"/>
        <v>0</v>
      </c>
      <c r="P3122" s="13">
        <f t="shared" si="305"/>
        <v>0</v>
      </c>
      <c r="Q3122" s="91">
        <v>11</v>
      </c>
      <c r="R3122" s="91">
        <v>1</v>
      </c>
      <c r="S3122" s="91" t="s">
        <v>509</v>
      </c>
    </row>
    <row r="3126" spans="1:19">
      <c r="A3126" s="42" t="s">
        <v>77</v>
      </c>
      <c r="B3126" s="3" t="s">
        <v>68</v>
      </c>
      <c r="C3126" s="3">
        <v>294</v>
      </c>
      <c r="D3126" s="1"/>
      <c r="E3126" s="20" t="s">
        <v>17</v>
      </c>
      <c r="F3126" s="7" t="s">
        <v>15</v>
      </c>
      <c r="G3126" s="7" t="s">
        <v>30</v>
      </c>
      <c r="H3126" s="11">
        <v>9.26</v>
      </c>
      <c r="I3126" s="184">
        <v>6.75</v>
      </c>
      <c r="J3126" s="26">
        <v>33</v>
      </c>
      <c r="K3126" s="10">
        <v>2.062665</v>
      </c>
      <c r="L3126" s="4"/>
      <c r="M3126" s="17">
        <v>33</v>
      </c>
      <c r="N3126" s="18">
        <v>2.062665</v>
      </c>
      <c r="O3126" s="87">
        <v>0</v>
      </c>
      <c r="P3126" s="13">
        <v>0</v>
      </c>
      <c r="Q3126" s="73">
        <v>6.25</v>
      </c>
      <c r="R3126" s="74">
        <v>23</v>
      </c>
      <c r="S3126" s="74" t="s">
        <v>516</v>
      </c>
    </row>
    <row r="3127" spans="1:19">
      <c r="A3127" s="42" t="s">
        <v>77</v>
      </c>
      <c r="B3127" s="3" t="s">
        <v>68</v>
      </c>
      <c r="C3127" s="3">
        <v>299</v>
      </c>
      <c r="D3127" s="1"/>
      <c r="E3127" s="20" t="s">
        <v>17</v>
      </c>
      <c r="F3127" s="7" t="s">
        <v>15</v>
      </c>
      <c r="G3127" s="7" t="s">
        <v>30</v>
      </c>
      <c r="H3127" s="11">
        <v>9.26</v>
      </c>
      <c r="I3127" s="184">
        <v>6.75</v>
      </c>
      <c r="J3127" s="26">
        <v>30</v>
      </c>
      <c r="K3127" s="10">
        <v>1.8751499999999999</v>
      </c>
      <c r="L3127" s="4"/>
      <c r="M3127" s="17">
        <v>30</v>
      </c>
      <c r="N3127" s="18">
        <v>1.8751499999999999</v>
      </c>
      <c r="O3127" s="87">
        <v>0</v>
      </c>
      <c r="P3127" s="13">
        <v>0</v>
      </c>
      <c r="Q3127" s="73">
        <v>6.25</v>
      </c>
      <c r="R3127" s="74">
        <v>24</v>
      </c>
      <c r="S3127" s="74" t="s">
        <v>516</v>
      </c>
    </row>
    <row r="3128" spans="1:19">
      <c r="A3128" s="42" t="s">
        <v>78</v>
      </c>
      <c r="B3128" s="3" t="s">
        <v>79</v>
      </c>
      <c r="C3128" s="3">
        <v>3</v>
      </c>
      <c r="D3128" s="1"/>
      <c r="E3128" s="20" t="s">
        <v>17</v>
      </c>
      <c r="F3128" s="7" t="s">
        <v>15</v>
      </c>
      <c r="G3128" s="7" t="s">
        <v>30</v>
      </c>
      <c r="H3128" s="11">
        <v>9.26</v>
      </c>
      <c r="I3128" s="184">
        <v>6.95</v>
      </c>
      <c r="J3128" s="26">
        <v>4</v>
      </c>
      <c r="K3128" s="10">
        <v>0.25742799999999999</v>
      </c>
      <c r="L3128" s="4"/>
      <c r="M3128" s="17">
        <v>4</v>
      </c>
      <c r="N3128" s="18">
        <v>0.25742799999999999</v>
      </c>
      <c r="O3128" s="87">
        <v>0</v>
      </c>
      <c r="P3128" s="13">
        <v>0</v>
      </c>
      <c r="Q3128" s="73">
        <v>6.25</v>
      </c>
      <c r="R3128" s="74">
        <v>4</v>
      </c>
      <c r="S3128" s="74" t="s">
        <v>516</v>
      </c>
    </row>
    <row r="3129" spans="1:19">
      <c r="A3129" s="42" t="s">
        <v>78</v>
      </c>
      <c r="B3129" s="3" t="s">
        <v>79</v>
      </c>
      <c r="C3129" s="3">
        <v>3</v>
      </c>
      <c r="D3129" s="1"/>
      <c r="E3129" s="20" t="s">
        <v>17</v>
      </c>
      <c r="F3129" s="7" t="s">
        <v>15</v>
      </c>
      <c r="G3129" s="7" t="s">
        <v>30</v>
      </c>
      <c r="H3129" s="11">
        <v>9.26</v>
      </c>
      <c r="I3129" s="184">
        <v>6.2</v>
      </c>
      <c r="J3129" s="26">
        <v>1</v>
      </c>
      <c r="K3129" s="10">
        <v>5.7411999999999998E-2</v>
      </c>
      <c r="L3129" s="4"/>
      <c r="M3129" s="17"/>
      <c r="N3129" s="18">
        <v>0</v>
      </c>
      <c r="O3129" s="19">
        <v>1</v>
      </c>
      <c r="P3129" s="13">
        <v>5.7411999999999998E-2</v>
      </c>
      <c r="Q3129" s="9"/>
      <c r="R3129" s="2"/>
      <c r="S3129" s="2"/>
    </row>
    <row r="3130" spans="1:19">
      <c r="A3130" s="42" t="s">
        <v>78</v>
      </c>
      <c r="B3130" s="3"/>
      <c r="C3130" s="3">
        <v>25</v>
      </c>
      <c r="D3130" s="1"/>
      <c r="E3130" s="20" t="s">
        <v>17</v>
      </c>
      <c r="F3130" s="7" t="s">
        <v>15</v>
      </c>
      <c r="G3130" s="7" t="s">
        <v>30</v>
      </c>
      <c r="H3130" s="11">
        <v>9.26</v>
      </c>
      <c r="I3130" s="184">
        <v>6.2</v>
      </c>
      <c r="J3130" s="26">
        <v>1</v>
      </c>
      <c r="K3130" s="10">
        <v>5.7411999999999998E-2</v>
      </c>
      <c r="L3130" s="4"/>
      <c r="M3130" s="17"/>
      <c r="N3130" s="18">
        <v>0</v>
      </c>
      <c r="O3130" s="19">
        <v>1</v>
      </c>
      <c r="P3130" s="13">
        <v>5.7411999999999998E-2</v>
      </c>
      <c r="Q3130" s="9"/>
      <c r="R3130" s="2"/>
      <c r="S3130" s="2"/>
    </row>
    <row r="3131" spans="1:19">
      <c r="A3131" s="42" t="s">
        <v>78</v>
      </c>
      <c r="B3131" s="3"/>
      <c r="C3131" s="3">
        <v>26</v>
      </c>
      <c r="D3131" s="1"/>
      <c r="E3131" s="20" t="s">
        <v>17</v>
      </c>
      <c r="F3131" s="7" t="s">
        <v>15</v>
      </c>
      <c r="G3131" s="7" t="s">
        <v>30</v>
      </c>
      <c r="H3131" s="11">
        <v>9.26</v>
      </c>
      <c r="I3131" s="184">
        <v>12</v>
      </c>
      <c r="J3131" s="26">
        <v>12</v>
      </c>
      <c r="K3131" s="10">
        <v>1.33344</v>
      </c>
      <c r="L3131" s="4"/>
      <c r="M3131" s="17">
        <v>11</v>
      </c>
      <c r="N3131" s="18">
        <v>1.2223199999999999</v>
      </c>
      <c r="O3131" s="19">
        <v>1</v>
      </c>
      <c r="P3131" s="13">
        <v>0.11112000000000001</v>
      </c>
      <c r="Q3131" s="9"/>
      <c r="R3131" s="2"/>
      <c r="S3131" s="2"/>
    </row>
    <row r="3132" spans="1:19">
      <c r="A3132" s="42" t="s">
        <v>84</v>
      </c>
      <c r="B3132" s="3" t="s">
        <v>124</v>
      </c>
      <c r="C3132" s="3">
        <v>1</v>
      </c>
      <c r="D3132" s="1"/>
      <c r="E3132" s="20" t="s">
        <v>17</v>
      </c>
      <c r="F3132" s="7" t="s">
        <v>15</v>
      </c>
      <c r="G3132" s="7" t="s">
        <v>30</v>
      </c>
      <c r="H3132" s="11">
        <v>9.26</v>
      </c>
      <c r="I3132" s="184">
        <v>6.8</v>
      </c>
      <c r="J3132" s="26">
        <v>3</v>
      </c>
      <c r="K3132" s="10">
        <v>0.18890399999999999</v>
      </c>
      <c r="L3132" s="4"/>
      <c r="M3132" s="17">
        <v>3</v>
      </c>
      <c r="N3132" s="18">
        <v>0.18890399999999999</v>
      </c>
      <c r="O3132" s="87">
        <v>0</v>
      </c>
      <c r="P3132" s="13">
        <v>0</v>
      </c>
      <c r="Q3132" s="73">
        <v>6.25</v>
      </c>
      <c r="R3132" s="74">
        <v>3</v>
      </c>
      <c r="S3132" s="74" t="s">
        <v>516</v>
      </c>
    </row>
    <row r="3133" spans="1:19">
      <c r="A3133" s="42" t="s">
        <v>84</v>
      </c>
      <c r="B3133" s="3" t="s">
        <v>124</v>
      </c>
      <c r="C3133" s="3">
        <v>4</v>
      </c>
      <c r="D3133" s="1"/>
      <c r="E3133" s="20" t="s">
        <v>17</v>
      </c>
      <c r="F3133" s="7" t="s">
        <v>15</v>
      </c>
      <c r="G3133" s="7" t="s">
        <v>30</v>
      </c>
      <c r="H3133" s="11">
        <v>9.26</v>
      </c>
      <c r="I3133" s="184">
        <v>5.8</v>
      </c>
      <c r="J3133" s="26">
        <v>1</v>
      </c>
      <c r="K3133" s="10">
        <v>5.3707999999999999E-2</v>
      </c>
      <c r="L3133" s="4"/>
      <c r="M3133" s="17"/>
      <c r="N3133" s="18">
        <v>0</v>
      </c>
      <c r="O3133" s="19">
        <v>1</v>
      </c>
      <c r="P3133" s="13">
        <v>5.3707999999999999E-2</v>
      </c>
      <c r="Q3133" s="9"/>
      <c r="R3133" s="2"/>
      <c r="S3133" s="2"/>
    </row>
    <row r="3134" spans="1:19">
      <c r="A3134" s="42" t="s">
        <v>84</v>
      </c>
      <c r="B3134" s="3" t="s">
        <v>124</v>
      </c>
      <c r="C3134" s="3">
        <v>4</v>
      </c>
      <c r="D3134" s="2"/>
      <c r="E3134" s="20" t="s">
        <v>17</v>
      </c>
      <c r="F3134" s="7" t="s">
        <v>15</v>
      </c>
      <c r="G3134" s="7" t="s">
        <v>30</v>
      </c>
      <c r="H3134" s="11">
        <v>9.26</v>
      </c>
      <c r="I3134" s="332">
        <v>6</v>
      </c>
      <c r="J3134" s="26">
        <v>7</v>
      </c>
      <c r="K3134" s="10">
        <v>0.38892000000000004</v>
      </c>
      <c r="L3134" s="4"/>
      <c r="M3134" s="17"/>
      <c r="N3134" s="18">
        <v>0</v>
      </c>
      <c r="O3134" s="19">
        <v>7</v>
      </c>
      <c r="P3134" s="13">
        <v>0.38892000000000004</v>
      </c>
      <c r="Q3134" s="9"/>
      <c r="R3134" s="2"/>
      <c r="S3134" s="2"/>
    </row>
    <row r="3135" spans="1:19">
      <c r="A3135" s="42" t="s">
        <v>84</v>
      </c>
      <c r="B3135" s="3" t="s">
        <v>124</v>
      </c>
      <c r="C3135" s="3">
        <v>4</v>
      </c>
      <c r="D3135" s="1"/>
      <c r="E3135" s="20" t="s">
        <v>17</v>
      </c>
      <c r="F3135" s="7" t="s">
        <v>15</v>
      </c>
      <c r="G3135" s="7" t="s">
        <v>30</v>
      </c>
      <c r="H3135" s="11">
        <v>9.26</v>
      </c>
      <c r="I3135" s="184">
        <v>6.6</v>
      </c>
      <c r="J3135" s="26">
        <v>1</v>
      </c>
      <c r="K3135" s="10">
        <v>6.111599999999999E-2</v>
      </c>
      <c r="L3135" s="4"/>
      <c r="M3135" s="17">
        <v>1</v>
      </c>
      <c r="N3135" s="18">
        <v>6.111599999999999E-2</v>
      </c>
      <c r="O3135" s="87">
        <v>0</v>
      </c>
      <c r="P3135" s="13">
        <v>0</v>
      </c>
      <c r="Q3135" s="73">
        <v>6.25</v>
      </c>
      <c r="R3135" s="74">
        <v>1</v>
      </c>
      <c r="S3135" s="74" t="s">
        <v>516</v>
      </c>
    </row>
    <row r="3136" spans="1:19">
      <c r="A3136" s="42" t="s">
        <v>84</v>
      </c>
      <c r="B3136" s="3" t="s">
        <v>124</v>
      </c>
      <c r="C3136" s="3">
        <v>4</v>
      </c>
      <c r="D3136" s="1"/>
      <c r="E3136" s="20" t="s">
        <v>17</v>
      </c>
      <c r="F3136" s="7" t="s">
        <v>15</v>
      </c>
      <c r="G3136" s="7" t="s">
        <v>30</v>
      </c>
      <c r="H3136" s="11">
        <v>9.26</v>
      </c>
      <c r="I3136" s="184">
        <v>6.5</v>
      </c>
      <c r="J3136" s="26">
        <v>7</v>
      </c>
      <c r="K3136" s="10">
        <v>0.42132999999999998</v>
      </c>
      <c r="L3136" s="4"/>
      <c r="M3136" s="17">
        <v>7</v>
      </c>
      <c r="N3136" s="18">
        <v>0.42132999999999998</v>
      </c>
      <c r="O3136" s="87">
        <v>0</v>
      </c>
      <c r="P3136" s="13">
        <v>0</v>
      </c>
      <c r="Q3136" s="73">
        <v>6.25</v>
      </c>
      <c r="R3136" s="74">
        <v>7</v>
      </c>
      <c r="S3136" s="74" t="s">
        <v>516</v>
      </c>
    </row>
    <row r="3137" spans="1:19">
      <c r="A3137" s="47" t="s">
        <v>147</v>
      </c>
      <c r="B3137" s="48" t="s">
        <v>148</v>
      </c>
      <c r="C3137" s="32">
        <v>304</v>
      </c>
      <c r="D3137" s="32"/>
      <c r="E3137" s="48" t="s">
        <v>17</v>
      </c>
      <c r="F3137" s="48" t="s">
        <v>160</v>
      </c>
      <c r="G3137" s="48" t="s">
        <v>30</v>
      </c>
      <c r="H3137" s="11">
        <v>9.26</v>
      </c>
      <c r="I3137" s="184">
        <v>6.8</v>
      </c>
      <c r="J3137" s="7">
        <v>3</v>
      </c>
      <c r="K3137" s="10">
        <v>0.18890399999999999</v>
      </c>
      <c r="L3137" s="32"/>
      <c r="M3137" s="32">
        <v>3</v>
      </c>
      <c r="N3137" s="18">
        <v>0.18890399999999999</v>
      </c>
      <c r="O3137" s="87">
        <v>0</v>
      </c>
      <c r="P3137" s="13">
        <v>0</v>
      </c>
      <c r="Q3137" s="73">
        <v>6.25</v>
      </c>
      <c r="R3137" s="72">
        <v>3</v>
      </c>
      <c r="S3137" s="74" t="s">
        <v>516</v>
      </c>
    </row>
    <row r="3138" spans="1:19">
      <c r="A3138" s="47" t="s">
        <v>147</v>
      </c>
      <c r="B3138" s="48" t="s">
        <v>148</v>
      </c>
      <c r="C3138" s="32" t="s">
        <v>162</v>
      </c>
      <c r="D3138" s="32"/>
      <c r="E3138" s="48" t="s">
        <v>17</v>
      </c>
      <c r="F3138" s="48" t="s">
        <v>160</v>
      </c>
      <c r="G3138" s="48" t="s">
        <v>30</v>
      </c>
      <c r="H3138" s="11">
        <v>9.26</v>
      </c>
      <c r="I3138" s="184">
        <v>6.95</v>
      </c>
      <c r="J3138" s="7">
        <v>3</v>
      </c>
      <c r="K3138" s="10">
        <v>0.19307099999999999</v>
      </c>
      <c r="L3138" s="32"/>
      <c r="M3138" s="32">
        <v>3</v>
      </c>
      <c r="N3138" s="18">
        <v>0.19307099999999999</v>
      </c>
      <c r="O3138" s="87">
        <v>0</v>
      </c>
      <c r="P3138" s="13">
        <v>0</v>
      </c>
      <c r="Q3138" s="73">
        <v>6.25</v>
      </c>
      <c r="R3138" s="72">
        <v>3</v>
      </c>
      <c r="S3138" s="74" t="s">
        <v>516</v>
      </c>
    </row>
    <row r="3139" spans="1:19">
      <c r="O3139" s="215">
        <f>SUM(O3126:O3138)</f>
        <v>11</v>
      </c>
      <c r="R3139" s="215">
        <f>SUM(R3126:R3138)</f>
        <v>68</v>
      </c>
    </row>
    <row r="3142" spans="1:19" ht="15.6">
      <c r="A3142" s="110" t="s">
        <v>340</v>
      </c>
      <c r="B3142" s="111" t="s">
        <v>232</v>
      </c>
      <c r="C3142" s="112" t="s">
        <v>228</v>
      </c>
      <c r="D3142" s="113" t="s">
        <v>130</v>
      </c>
      <c r="E3142" s="114" t="s">
        <v>15</v>
      </c>
      <c r="F3142" s="115" t="s">
        <v>40</v>
      </c>
      <c r="G3142" s="116">
        <v>16.5</v>
      </c>
      <c r="H3142" s="125">
        <v>7.4</v>
      </c>
      <c r="I3142" s="111">
        <f>17+17+17+17+17+17+17+25+25+25+25+25+25+25+24+21+20+20+20+20+20+20+20+20+20+20+20+20+20+20+20+20+20+15</f>
        <v>694</v>
      </c>
      <c r="J3142" s="117">
        <f t="shared" ref="J3142:J3158" si="306">H3142*G3142*I3142/1000</f>
        <v>84.737400000000008</v>
      </c>
      <c r="K3142" s="118"/>
      <c r="L3142" s="111">
        <f>480+214</f>
        <v>694</v>
      </c>
      <c r="M3142" s="117">
        <f t="shared" ref="M3142:M3158" si="307">H3142*L3142*G3142/1000</f>
        <v>84.737400000000008</v>
      </c>
      <c r="N3142" s="119">
        <f t="shared" ref="N3142:N3158" si="308">I3142-L3142</f>
        <v>0</v>
      </c>
      <c r="O3142" s="120">
        <f t="shared" ref="O3142:O3158" si="309">H3142*N3142*G3142/1000</f>
        <v>0</v>
      </c>
      <c r="P3142" s="111"/>
      <c r="Q3142" s="32"/>
      <c r="R3142" s="213"/>
    </row>
    <row r="3143" spans="1:19" ht="15.6">
      <c r="A3143" s="110" t="s">
        <v>340</v>
      </c>
      <c r="B3143" s="111" t="s">
        <v>232</v>
      </c>
      <c r="C3143" s="112" t="s">
        <v>228</v>
      </c>
      <c r="D3143" s="113" t="s">
        <v>130</v>
      </c>
      <c r="E3143" s="114" t="s">
        <v>15</v>
      </c>
      <c r="F3143" s="115" t="s">
        <v>40</v>
      </c>
      <c r="G3143" s="116">
        <v>16.5</v>
      </c>
      <c r="H3143" s="125">
        <v>11.15</v>
      </c>
      <c r="I3143" s="111">
        <f>21+17+19+17+17+18+10+17+17+17+17+17+17+14</f>
        <v>235</v>
      </c>
      <c r="J3143" s="117">
        <f t="shared" si="306"/>
        <v>43.234124999999999</v>
      </c>
      <c r="K3143" s="118"/>
      <c r="L3143" s="111">
        <v>235</v>
      </c>
      <c r="M3143" s="117">
        <f t="shared" si="307"/>
        <v>43.234124999999999</v>
      </c>
      <c r="N3143" s="119">
        <f t="shared" si="308"/>
        <v>0</v>
      </c>
      <c r="O3143" s="120">
        <f t="shared" si="309"/>
        <v>0</v>
      </c>
      <c r="P3143" s="111"/>
      <c r="Q3143" s="32"/>
      <c r="R3143" s="213"/>
    </row>
    <row r="3144" spans="1:19" ht="15.6">
      <c r="A3144" s="110" t="s">
        <v>340</v>
      </c>
      <c r="B3144" s="111" t="s">
        <v>232</v>
      </c>
      <c r="C3144" s="112" t="s">
        <v>228</v>
      </c>
      <c r="D3144" s="113" t="s">
        <v>130</v>
      </c>
      <c r="E3144" s="114" t="s">
        <v>15</v>
      </c>
      <c r="F3144" s="115" t="s">
        <v>40</v>
      </c>
      <c r="G3144" s="116">
        <v>16.5</v>
      </c>
      <c r="H3144" s="125">
        <v>7.1</v>
      </c>
      <c r="I3144" s="111">
        <v>8</v>
      </c>
      <c r="J3144" s="117">
        <f t="shared" si="306"/>
        <v>0.93719999999999992</v>
      </c>
      <c r="K3144" s="118"/>
      <c r="L3144" s="111">
        <v>8</v>
      </c>
      <c r="M3144" s="117">
        <f t="shared" si="307"/>
        <v>0.93719999999999992</v>
      </c>
      <c r="N3144" s="119">
        <f t="shared" si="308"/>
        <v>0</v>
      </c>
      <c r="O3144" s="120">
        <f t="shared" si="309"/>
        <v>0</v>
      </c>
      <c r="P3144" s="111"/>
      <c r="Q3144" s="32"/>
      <c r="R3144" s="213"/>
    </row>
    <row r="3145" spans="1:19" ht="15.6">
      <c r="A3145" s="110" t="s">
        <v>340</v>
      </c>
      <c r="B3145" s="111" t="s">
        <v>232</v>
      </c>
      <c r="C3145" s="112" t="s">
        <v>228</v>
      </c>
      <c r="D3145" s="113" t="s">
        <v>130</v>
      </c>
      <c r="E3145" s="114" t="s">
        <v>15</v>
      </c>
      <c r="F3145" s="115" t="s">
        <v>40</v>
      </c>
      <c r="G3145" s="116">
        <v>16.5</v>
      </c>
      <c r="H3145" s="125">
        <v>6.8</v>
      </c>
      <c r="I3145" s="111">
        <v>4</v>
      </c>
      <c r="J3145" s="117">
        <f t="shared" si="306"/>
        <v>0.44880000000000003</v>
      </c>
      <c r="K3145" s="118"/>
      <c r="L3145" s="111">
        <v>4</v>
      </c>
      <c r="M3145" s="117">
        <f t="shared" si="307"/>
        <v>0.44880000000000003</v>
      </c>
      <c r="N3145" s="119">
        <f t="shared" si="308"/>
        <v>0</v>
      </c>
      <c r="O3145" s="120">
        <f t="shared" si="309"/>
        <v>0</v>
      </c>
      <c r="P3145" s="72">
        <f>5515+150</f>
        <v>5665</v>
      </c>
      <c r="Q3145" s="72">
        <v>4</v>
      </c>
      <c r="R3145" s="77" t="s">
        <v>524</v>
      </c>
    </row>
    <row r="3146" spans="1:19" ht="15.6">
      <c r="A3146" s="110" t="s">
        <v>340</v>
      </c>
      <c r="B3146" s="111" t="s">
        <v>232</v>
      </c>
      <c r="C3146" s="112" t="s">
        <v>228</v>
      </c>
      <c r="D3146" s="113" t="s">
        <v>130</v>
      </c>
      <c r="E3146" s="114" t="s">
        <v>15</v>
      </c>
      <c r="F3146" s="115" t="s">
        <v>40</v>
      </c>
      <c r="G3146" s="116">
        <v>16.5</v>
      </c>
      <c r="H3146" s="125">
        <v>6.5</v>
      </c>
      <c r="I3146" s="111">
        <v>1</v>
      </c>
      <c r="J3146" s="117">
        <f t="shared" si="306"/>
        <v>0.10725</v>
      </c>
      <c r="K3146" s="118"/>
      <c r="L3146" s="111">
        <v>1</v>
      </c>
      <c r="M3146" s="117">
        <f t="shared" si="307"/>
        <v>0.10725</v>
      </c>
      <c r="N3146" s="119">
        <f t="shared" si="308"/>
        <v>0</v>
      </c>
      <c r="O3146" s="120">
        <f t="shared" si="309"/>
        <v>0</v>
      </c>
      <c r="P3146" s="72">
        <f>5515+150</f>
        <v>5665</v>
      </c>
      <c r="Q3146" s="72">
        <v>1</v>
      </c>
      <c r="R3146" s="77" t="s">
        <v>524</v>
      </c>
    </row>
    <row r="3147" spans="1:19" ht="15.6">
      <c r="A3147" s="110" t="s">
        <v>340</v>
      </c>
      <c r="B3147" s="111" t="s">
        <v>232</v>
      </c>
      <c r="C3147" s="112" t="s">
        <v>228</v>
      </c>
      <c r="D3147" s="113" t="s">
        <v>130</v>
      </c>
      <c r="E3147" s="114" t="s">
        <v>15</v>
      </c>
      <c r="F3147" s="115" t="s">
        <v>40</v>
      </c>
      <c r="G3147" s="116">
        <v>16.5</v>
      </c>
      <c r="H3147" s="125">
        <v>11</v>
      </c>
      <c r="I3147" s="111">
        <v>1</v>
      </c>
      <c r="J3147" s="117">
        <f t="shared" si="306"/>
        <v>0.18149999999999999</v>
      </c>
      <c r="K3147" s="118"/>
      <c r="L3147" s="111">
        <v>1</v>
      </c>
      <c r="M3147" s="117">
        <f t="shared" si="307"/>
        <v>0.18149999999999999</v>
      </c>
      <c r="N3147" s="119">
        <f t="shared" si="308"/>
        <v>0</v>
      </c>
      <c r="O3147" s="120">
        <f t="shared" si="309"/>
        <v>0</v>
      </c>
      <c r="P3147" s="130"/>
      <c r="Q3147" s="32"/>
      <c r="R3147" s="213"/>
    </row>
    <row r="3148" spans="1:19" ht="15.6">
      <c r="A3148" s="110" t="s">
        <v>340</v>
      </c>
      <c r="B3148" s="111" t="s">
        <v>232</v>
      </c>
      <c r="C3148" s="112" t="s">
        <v>228</v>
      </c>
      <c r="D3148" s="113" t="s">
        <v>130</v>
      </c>
      <c r="E3148" s="114" t="s">
        <v>15</v>
      </c>
      <c r="F3148" s="115" t="s">
        <v>40</v>
      </c>
      <c r="G3148" s="116">
        <v>16.5</v>
      </c>
      <c r="H3148" s="125">
        <v>10</v>
      </c>
      <c r="I3148" s="111">
        <v>1</v>
      </c>
      <c r="J3148" s="117">
        <f t="shared" si="306"/>
        <v>0.16500000000000001</v>
      </c>
      <c r="K3148" s="118"/>
      <c r="L3148" s="111">
        <v>1</v>
      </c>
      <c r="M3148" s="117">
        <f t="shared" si="307"/>
        <v>0.16500000000000001</v>
      </c>
      <c r="N3148" s="119">
        <f t="shared" si="308"/>
        <v>0</v>
      </c>
      <c r="O3148" s="120">
        <f t="shared" si="309"/>
        <v>0</v>
      </c>
      <c r="P3148" s="130"/>
      <c r="Q3148" s="32"/>
      <c r="R3148" s="213"/>
    </row>
    <row r="3149" spans="1:19" ht="15.6">
      <c r="A3149" s="110" t="s">
        <v>340</v>
      </c>
      <c r="B3149" s="111" t="s">
        <v>232</v>
      </c>
      <c r="C3149" s="112" t="s">
        <v>228</v>
      </c>
      <c r="D3149" s="113" t="s">
        <v>130</v>
      </c>
      <c r="E3149" s="114" t="s">
        <v>15</v>
      </c>
      <c r="F3149" s="115" t="s">
        <v>40</v>
      </c>
      <c r="G3149" s="116">
        <v>16.5</v>
      </c>
      <c r="H3149" s="125">
        <v>7.2</v>
      </c>
      <c r="I3149" s="111">
        <v>3</v>
      </c>
      <c r="J3149" s="117">
        <f t="shared" si="306"/>
        <v>0.35639999999999999</v>
      </c>
      <c r="K3149" s="118"/>
      <c r="L3149" s="111">
        <v>3</v>
      </c>
      <c r="M3149" s="117">
        <f t="shared" si="307"/>
        <v>0.35640000000000005</v>
      </c>
      <c r="N3149" s="119">
        <f t="shared" si="308"/>
        <v>0</v>
      </c>
      <c r="O3149" s="120">
        <f t="shared" si="309"/>
        <v>0</v>
      </c>
      <c r="P3149" s="159"/>
      <c r="Q3149" s="32"/>
      <c r="R3149" s="213"/>
    </row>
    <row r="3150" spans="1:19" ht="15.6">
      <c r="A3150" s="110" t="s">
        <v>340</v>
      </c>
      <c r="B3150" s="111" t="s">
        <v>232</v>
      </c>
      <c r="C3150" s="112" t="s">
        <v>228</v>
      </c>
      <c r="D3150" s="113" t="s">
        <v>130</v>
      </c>
      <c r="E3150" s="114" t="s">
        <v>15</v>
      </c>
      <c r="F3150" s="115" t="s">
        <v>40</v>
      </c>
      <c r="G3150" s="116">
        <v>16.5</v>
      </c>
      <c r="H3150" s="125">
        <v>10.199999999999999</v>
      </c>
      <c r="I3150" s="111">
        <v>1</v>
      </c>
      <c r="J3150" s="117">
        <f t="shared" si="306"/>
        <v>0.16829999999999998</v>
      </c>
      <c r="K3150" s="118"/>
      <c r="L3150" s="111">
        <v>1</v>
      </c>
      <c r="M3150" s="117">
        <f t="shared" si="307"/>
        <v>0.16829999999999998</v>
      </c>
      <c r="N3150" s="119">
        <f t="shared" si="308"/>
        <v>0</v>
      </c>
      <c r="O3150" s="120">
        <f t="shared" si="309"/>
        <v>0</v>
      </c>
      <c r="P3150" s="159"/>
      <c r="Q3150" s="32"/>
      <c r="R3150" s="213"/>
    </row>
    <row r="3151" spans="1:19" ht="15.6">
      <c r="A3151" s="110" t="s">
        <v>340</v>
      </c>
      <c r="B3151" s="111" t="s">
        <v>232</v>
      </c>
      <c r="C3151" s="112" t="s">
        <v>228</v>
      </c>
      <c r="D3151" s="113" t="s">
        <v>130</v>
      </c>
      <c r="E3151" s="114" t="s">
        <v>15</v>
      </c>
      <c r="F3151" s="115" t="s">
        <v>40</v>
      </c>
      <c r="G3151" s="116">
        <v>16.5</v>
      </c>
      <c r="H3151" s="125">
        <v>11</v>
      </c>
      <c r="I3151" s="111">
        <v>1</v>
      </c>
      <c r="J3151" s="117">
        <f t="shared" si="306"/>
        <v>0.18149999999999999</v>
      </c>
      <c r="K3151" s="118"/>
      <c r="L3151" s="111">
        <v>1</v>
      </c>
      <c r="M3151" s="117">
        <f t="shared" si="307"/>
        <v>0.18149999999999999</v>
      </c>
      <c r="N3151" s="119">
        <f t="shared" si="308"/>
        <v>0</v>
      </c>
      <c r="O3151" s="120">
        <f t="shared" si="309"/>
        <v>0</v>
      </c>
      <c r="P3151" s="159"/>
      <c r="Q3151" s="32"/>
      <c r="R3151" s="213"/>
    </row>
    <row r="3152" spans="1:19" ht="15.6">
      <c r="A3152" s="110" t="s">
        <v>340</v>
      </c>
      <c r="B3152" s="111" t="s">
        <v>232</v>
      </c>
      <c r="C3152" s="112" t="s">
        <v>228</v>
      </c>
      <c r="D3152" s="113" t="s">
        <v>130</v>
      </c>
      <c r="E3152" s="114" t="s">
        <v>15</v>
      </c>
      <c r="F3152" s="115" t="s">
        <v>40</v>
      </c>
      <c r="G3152" s="116">
        <v>16.5</v>
      </c>
      <c r="H3152" s="125">
        <v>11.3</v>
      </c>
      <c r="I3152" s="111">
        <v>1</v>
      </c>
      <c r="J3152" s="117">
        <f t="shared" si="306"/>
        <v>0.18645</v>
      </c>
      <c r="K3152" s="118"/>
      <c r="L3152" s="111">
        <v>1</v>
      </c>
      <c r="M3152" s="117">
        <f t="shared" si="307"/>
        <v>0.18645</v>
      </c>
      <c r="N3152" s="119">
        <f t="shared" si="308"/>
        <v>0</v>
      </c>
      <c r="O3152" s="120">
        <f t="shared" si="309"/>
        <v>0</v>
      </c>
      <c r="P3152" s="159"/>
      <c r="Q3152" s="32"/>
      <c r="R3152" s="213"/>
    </row>
    <row r="3153" spans="1:19" ht="15.6">
      <c r="A3153" s="110" t="s">
        <v>340</v>
      </c>
      <c r="B3153" s="111" t="s">
        <v>232</v>
      </c>
      <c r="C3153" s="112" t="s">
        <v>228</v>
      </c>
      <c r="D3153" s="113" t="s">
        <v>130</v>
      </c>
      <c r="E3153" s="114" t="s">
        <v>15</v>
      </c>
      <c r="F3153" s="115" t="s">
        <v>40</v>
      </c>
      <c r="G3153" s="116">
        <v>16.5</v>
      </c>
      <c r="H3153" s="125">
        <v>11</v>
      </c>
      <c r="I3153" s="111">
        <v>1</v>
      </c>
      <c r="J3153" s="117">
        <f t="shared" si="306"/>
        <v>0.18149999999999999</v>
      </c>
      <c r="K3153" s="118"/>
      <c r="L3153" s="111">
        <v>1</v>
      </c>
      <c r="M3153" s="117">
        <f t="shared" si="307"/>
        <v>0.18149999999999999</v>
      </c>
      <c r="N3153" s="119">
        <f t="shared" si="308"/>
        <v>0</v>
      </c>
      <c r="O3153" s="120">
        <f t="shared" si="309"/>
        <v>0</v>
      </c>
      <c r="P3153" s="159"/>
      <c r="Q3153" s="32"/>
      <c r="R3153" s="213"/>
    </row>
    <row r="3154" spans="1:19" ht="15.6">
      <c r="A3154" s="110" t="s">
        <v>340</v>
      </c>
      <c r="B3154" s="111" t="s">
        <v>232</v>
      </c>
      <c r="C3154" s="112" t="s">
        <v>228</v>
      </c>
      <c r="D3154" s="113" t="s">
        <v>130</v>
      </c>
      <c r="E3154" s="114" t="s">
        <v>15</v>
      </c>
      <c r="F3154" s="115" t="s">
        <v>40</v>
      </c>
      <c r="G3154" s="116">
        <v>16.5</v>
      </c>
      <c r="H3154" s="125">
        <v>7.4</v>
      </c>
      <c r="I3154" s="111">
        <v>1</v>
      </c>
      <c r="J3154" s="117">
        <f t="shared" si="306"/>
        <v>0.12210000000000001</v>
      </c>
      <c r="K3154" s="118"/>
      <c r="L3154" s="111">
        <v>1</v>
      </c>
      <c r="M3154" s="117">
        <f t="shared" si="307"/>
        <v>0.12210000000000001</v>
      </c>
      <c r="N3154" s="119">
        <f t="shared" si="308"/>
        <v>0</v>
      </c>
      <c r="O3154" s="120">
        <f t="shared" si="309"/>
        <v>0</v>
      </c>
      <c r="P3154" s="111"/>
      <c r="Q3154" s="32"/>
      <c r="R3154" s="213"/>
    </row>
    <row r="3155" spans="1:19" ht="15.6">
      <c r="A3155" s="110" t="s">
        <v>340</v>
      </c>
      <c r="B3155" s="111" t="s">
        <v>232</v>
      </c>
      <c r="C3155" s="112" t="s">
        <v>228</v>
      </c>
      <c r="D3155" s="113" t="s">
        <v>130</v>
      </c>
      <c r="E3155" s="114" t="s">
        <v>15</v>
      </c>
      <c r="F3155" s="115" t="s">
        <v>40</v>
      </c>
      <c r="G3155" s="116">
        <v>16.5</v>
      </c>
      <c r="H3155" s="125">
        <v>11.2</v>
      </c>
      <c r="I3155" s="111">
        <v>4</v>
      </c>
      <c r="J3155" s="117">
        <f t="shared" si="306"/>
        <v>0.73919999999999997</v>
      </c>
      <c r="K3155" s="118"/>
      <c r="L3155" s="111">
        <v>4</v>
      </c>
      <c r="M3155" s="117">
        <f t="shared" si="307"/>
        <v>0.73919999999999997</v>
      </c>
      <c r="N3155" s="119">
        <f t="shared" si="308"/>
        <v>0</v>
      </c>
      <c r="O3155" s="120">
        <f t="shared" si="309"/>
        <v>0</v>
      </c>
      <c r="P3155" s="111"/>
      <c r="Q3155" s="32"/>
      <c r="R3155" s="213"/>
    </row>
    <row r="3156" spans="1:19" ht="15.6">
      <c r="A3156" s="110" t="s">
        <v>340</v>
      </c>
      <c r="B3156" s="111" t="s">
        <v>232</v>
      </c>
      <c r="C3156" s="112" t="s">
        <v>228</v>
      </c>
      <c r="D3156" s="113" t="s">
        <v>130</v>
      </c>
      <c r="E3156" s="114" t="s">
        <v>15</v>
      </c>
      <c r="F3156" s="115" t="s">
        <v>40</v>
      </c>
      <c r="G3156" s="116">
        <v>16.5</v>
      </c>
      <c r="H3156" s="125">
        <v>7.1</v>
      </c>
      <c r="I3156" s="111">
        <v>8</v>
      </c>
      <c r="J3156" s="117">
        <f t="shared" si="306"/>
        <v>0.93719999999999992</v>
      </c>
      <c r="K3156" s="118"/>
      <c r="L3156" s="111">
        <v>8</v>
      </c>
      <c r="M3156" s="117">
        <f t="shared" si="307"/>
        <v>0.93719999999999992</v>
      </c>
      <c r="N3156" s="119">
        <f t="shared" si="308"/>
        <v>0</v>
      </c>
      <c r="O3156" s="120">
        <f t="shared" si="309"/>
        <v>0</v>
      </c>
      <c r="P3156" s="72">
        <f t="shared" ref="P3156:P3158" si="310">5515+150</f>
        <v>5665</v>
      </c>
      <c r="Q3156" s="72">
        <v>8</v>
      </c>
      <c r="R3156" s="77" t="s">
        <v>524</v>
      </c>
    </row>
    <row r="3157" spans="1:19" ht="15.6">
      <c r="A3157" s="110" t="s">
        <v>340</v>
      </c>
      <c r="B3157" s="111" t="s">
        <v>232</v>
      </c>
      <c r="C3157" s="112" t="s">
        <v>228</v>
      </c>
      <c r="D3157" s="113" t="s">
        <v>130</v>
      </c>
      <c r="E3157" s="114" t="s">
        <v>15</v>
      </c>
      <c r="F3157" s="115" t="s">
        <v>40</v>
      </c>
      <c r="G3157" s="116">
        <v>16.5</v>
      </c>
      <c r="H3157" s="125">
        <v>6.9</v>
      </c>
      <c r="I3157" s="111">
        <v>3</v>
      </c>
      <c r="J3157" s="117">
        <f t="shared" si="306"/>
        <v>0.34155000000000002</v>
      </c>
      <c r="K3157" s="118"/>
      <c r="L3157" s="111">
        <v>3</v>
      </c>
      <c r="M3157" s="117">
        <f t="shared" si="307"/>
        <v>0.34155000000000008</v>
      </c>
      <c r="N3157" s="119">
        <f t="shared" si="308"/>
        <v>0</v>
      </c>
      <c r="O3157" s="120">
        <f t="shared" si="309"/>
        <v>0</v>
      </c>
      <c r="P3157" s="72">
        <f t="shared" si="310"/>
        <v>5665</v>
      </c>
      <c r="Q3157" s="72">
        <v>3</v>
      </c>
      <c r="R3157" s="77" t="s">
        <v>524</v>
      </c>
    </row>
    <row r="3158" spans="1:19" ht="15.6">
      <c r="A3158" s="110" t="s">
        <v>340</v>
      </c>
      <c r="B3158" s="111" t="s">
        <v>232</v>
      </c>
      <c r="C3158" s="112" t="s">
        <v>228</v>
      </c>
      <c r="D3158" s="113" t="s">
        <v>130</v>
      </c>
      <c r="E3158" s="114" t="s">
        <v>15</v>
      </c>
      <c r="F3158" s="115" t="s">
        <v>40</v>
      </c>
      <c r="G3158" s="116">
        <v>16.5</v>
      </c>
      <c r="H3158" s="125">
        <v>6.7</v>
      </c>
      <c r="I3158" s="111">
        <v>1</v>
      </c>
      <c r="J3158" s="117">
        <f t="shared" si="306"/>
        <v>0.11055</v>
      </c>
      <c r="K3158" s="118"/>
      <c r="L3158" s="111">
        <v>1</v>
      </c>
      <c r="M3158" s="117">
        <f t="shared" si="307"/>
        <v>0.11055</v>
      </c>
      <c r="N3158" s="119">
        <f t="shared" si="308"/>
        <v>0</v>
      </c>
      <c r="O3158" s="120">
        <f t="shared" si="309"/>
        <v>0</v>
      </c>
      <c r="P3158" s="72">
        <f t="shared" si="310"/>
        <v>5665</v>
      </c>
      <c r="Q3158" s="72">
        <v>1</v>
      </c>
      <c r="R3158" s="77" t="s">
        <v>524</v>
      </c>
    </row>
    <row r="3159" spans="1:19">
      <c r="A3159" s="32"/>
      <c r="B3159" s="32"/>
      <c r="C3159" s="32"/>
      <c r="D3159" s="32"/>
      <c r="E3159" s="32"/>
      <c r="F3159" s="32"/>
      <c r="G3159" s="32"/>
      <c r="H3159" s="32"/>
      <c r="I3159" s="129">
        <f>SUM(I3142:I3158)</f>
        <v>968</v>
      </c>
      <c r="J3159" s="124">
        <f>SUM(J3142:J3158)</f>
        <v>133.13602499999999</v>
      </c>
      <c r="K3159" s="32"/>
      <c r="L3159" s="129">
        <f>SUM(L3142:L3158)</f>
        <v>968</v>
      </c>
      <c r="M3159" s="124">
        <f>SUM(M3142:M3158)</f>
        <v>133.13602499999999</v>
      </c>
      <c r="N3159" s="131">
        <f>SUM(N3142:N3158)</f>
        <v>0</v>
      </c>
      <c r="O3159" s="124">
        <f>SUM(O3142:O3158)</f>
        <v>0</v>
      </c>
      <c r="P3159" s="32"/>
      <c r="Q3159" s="171">
        <f>SUM(Q3142:Q3158)</f>
        <v>17</v>
      </c>
      <c r="R3159" s="213"/>
    </row>
    <row r="3162" spans="1:19" ht="15.6">
      <c r="B3162" s="110" t="s">
        <v>339</v>
      </c>
      <c r="C3162" s="111" t="s">
        <v>232</v>
      </c>
      <c r="D3162" s="112" t="s">
        <v>228</v>
      </c>
      <c r="E3162" s="113" t="s">
        <v>130</v>
      </c>
      <c r="F3162" s="114" t="s">
        <v>15</v>
      </c>
      <c r="G3162" s="115" t="s">
        <v>40</v>
      </c>
      <c r="H3162" s="116">
        <v>16.5</v>
      </c>
      <c r="I3162" s="125">
        <v>7.4</v>
      </c>
      <c r="J3162" s="111">
        <v>22</v>
      </c>
      <c r="K3162" s="117">
        <f t="shared" ref="K3162:K3193" si="311">I3162*H3162*J3162/1000</f>
        <v>2.6862000000000004</v>
      </c>
      <c r="L3162" s="118"/>
      <c r="M3162" s="111">
        <v>22</v>
      </c>
      <c r="N3162" s="117">
        <f t="shared" ref="N3162:N3193" si="312">I3162*M3162*H3162/1000</f>
        <v>2.6862000000000004</v>
      </c>
      <c r="O3162" s="119">
        <f t="shared" ref="O3162:O3193" si="313">J3162-M3162</f>
        <v>0</v>
      </c>
      <c r="P3162" s="120">
        <f t="shared" ref="P3162:P3193" si="314">I3162*O3162*H3162/1000</f>
        <v>0</v>
      </c>
      <c r="Q3162" s="111"/>
      <c r="R3162" s="32"/>
      <c r="S3162" s="213"/>
    </row>
    <row r="3163" spans="1:19" ht="15.6">
      <c r="B3163" s="110" t="s">
        <v>339</v>
      </c>
      <c r="C3163" s="111" t="s">
        <v>232</v>
      </c>
      <c r="D3163" s="112" t="s">
        <v>228</v>
      </c>
      <c r="E3163" s="113" t="s">
        <v>130</v>
      </c>
      <c r="F3163" s="114" t="s">
        <v>15</v>
      </c>
      <c r="G3163" s="115" t="s">
        <v>40</v>
      </c>
      <c r="H3163" s="116">
        <v>16.5</v>
      </c>
      <c r="I3163" s="125">
        <v>7.4</v>
      </c>
      <c r="J3163" s="111">
        <v>22</v>
      </c>
      <c r="K3163" s="117">
        <f t="shared" si="311"/>
        <v>2.6862000000000004</v>
      </c>
      <c r="L3163" s="118"/>
      <c r="M3163" s="111">
        <v>22</v>
      </c>
      <c r="N3163" s="117">
        <f t="shared" si="312"/>
        <v>2.6862000000000004</v>
      </c>
      <c r="O3163" s="119">
        <f t="shared" si="313"/>
        <v>0</v>
      </c>
      <c r="P3163" s="120">
        <f t="shared" si="314"/>
        <v>0</v>
      </c>
      <c r="Q3163" s="111"/>
      <c r="R3163" s="32"/>
      <c r="S3163" s="213"/>
    </row>
    <row r="3164" spans="1:19" ht="15.6">
      <c r="B3164" s="110" t="s">
        <v>339</v>
      </c>
      <c r="C3164" s="111" t="s">
        <v>232</v>
      </c>
      <c r="D3164" s="112" t="s">
        <v>228</v>
      </c>
      <c r="E3164" s="113" t="s">
        <v>130</v>
      </c>
      <c r="F3164" s="114" t="s">
        <v>15</v>
      </c>
      <c r="G3164" s="115" t="s">
        <v>40</v>
      </c>
      <c r="H3164" s="116">
        <v>16.5</v>
      </c>
      <c r="I3164" s="125">
        <v>11.15</v>
      </c>
      <c r="J3164" s="111">
        <v>17</v>
      </c>
      <c r="K3164" s="117">
        <f t="shared" si="311"/>
        <v>3.1275749999999998</v>
      </c>
      <c r="L3164" s="118"/>
      <c r="M3164" s="111">
        <f>5+12</f>
        <v>17</v>
      </c>
      <c r="N3164" s="117">
        <f t="shared" si="312"/>
        <v>3.1275750000000002</v>
      </c>
      <c r="O3164" s="119">
        <f t="shared" si="313"/>
        <v>0</v>
      </c>
      <c r="P3164" s="120">
        <f t="shared" si="314"/>
        <v>0</v>
      </c>
      <c r="Q3164" s="111"/>
      <c r="R3164" s="32"/>
      <c r="S3164" s="213"/>
    </row>
    <row r="3165" spans="1:19" ht="15.6">
      <c r="B3165" s="110" t="s">
        <v>339</v>
      </c>
      <c r="C3165" s="111" t="s">
        <v>232</v>
      </c>
      <c r="D3165" s="112" t="s">
        <v>228</v>
      </c>
      <c r="E3165" s="113" t="s">
        <v>130</v>
      </c>
      <c r="F3165" s="114" t="s">
        <v>15</v>
      </c>
      <c r="G3165" s="115" t="s">
        <v>40</v>
      </c>
      <c r="H3165" s="116">
        <v>16.5</v>
      </c>
      <c r="I3165" s="125">
        <v>11.15</v>
      </c>
      <c r="J3165" s="111">
        <v>17</v>
      </c>
      <c r="K3165" s="117">
        <f t="shared" si="311"/>
        <v>3.1275749999999998</v>
      </c>
      <c r="L3165" s="118"/>
      <c r="M3165" s="111">
        <v>17</v>
      </c>
      <c r="N3165" s="117">
        <f t="shared" si="312"/>
        <v>3.1275750000000002</v>
      </c>
      <c r="O3165" s="119">
        <f t="shared" si="313"/>
        <v>0</v>
      </c>
      <c r="P3165" s="120">
        <f t="shared" si="314"/>
        <v>0</v>
      </c>
      <c r="Q3165" s="111"/>
      <c r="R3165" s="32"/>
      <c r="S3165" s="213"/>
    </row>
    <row r="3166" spans="1:19" ht="15.6">
      <c r="B3166" s="110" t="s">
        <v>339</v>
      </c>
      <c r="C3166" s="111" t="s">
        <v>232</v>
      </c>
      <c r="D3166" s="112" t="s">
        <v>228</v>
      </c>
      <c r="E3166" s="113" t="s">
        <v>130</v>
      </c>
      <c r="F3166" s="114" t="s">
        <v>15</v>
      </c>
      <c r="G3166" s="115" t="s">
        <v>40</v>
      </c>
      <c r="H3166" s="116">
        <v>16.5</v>
      </c>
      <c r="I3166" s="125">
        <v>7.4</v>
      </c>
      <c r="J3166" s="111">
        <v>22</v>
      </c>
      <c r="K3166" s="117">
        <f t="shared" si="311"/>
        <v>2.6862000000000004</v>
      </c>
      <c r="L3166" s="118"/>
      <c r="M3166" s="111">
        <v>22</v>
      </c>
      <c r="N3166" s="117">
        <f t="shared" si="312"/>
        <v>2.6862000000000004</v>
      </c>
      <c r="O3166" s="119">
        <f t="shared" si="313"/>
        <v>0</v>
      </c>
      <c r="P3166" s="120">
        <f t="shared" si="314"/>
        <v>0</v>
      </c>
      <c r="Q3166" s="111"/>
      <c r="R3166" s="32"/>
      <c r="S3166" s="213"/>
    </row>
    <row r="3167" spans="1:19" ht="15.6">
      <c r="B3167" s="110" t="s">
        <v>339</v>
      </c>
      <c r="C3167" s="111" t="s">
        <v>232</v>
      </c>
      <c r="D3167" s="112" t="s">
        <v>228</v>
      </c>
      <c r="E3167" s="113" t="s">
        <v>130</v>
      </c>
      <c r="F3167" s="114" t="s">
        <v>15</v>
      </c>
      <c r="G3167" s="115" t="s">
        <v>40</v>
      </c>
      <c r="H3167" s="116">
        <v>16.5</v>
      </c>
      <c r="I3167" s="125">
        <v>7.4</v>
      </c>
      <c r="J3167" s="111">
        <v>22</v>
      </c>
      <c r="K3167" s="117">
        <f t="shared" si="311"/>
        <v>2.6862000000000004</v>
      </c>
      <c r="L3167" s="118"/>
      <c r="M3167" s="111">
        <v>22</v>
      </c>
      <c r="N3167" s="117">
        <f t="shared" si="312"/>
        <v>2.6862000000000004</v>
      </c>
      <c r="O3167" s="119">
        <f t="shared" si="313"/>
        <v>0</v>
      </c>
      <c r="P3167" s="120">
        <f t="shared" si="314"/>
        <v>0</v>
      </c>
      <c r="Q3167" s="111"/>
      <c r="R3167" s="32"/>
      <c r="S3167" s="213"/>
    </row>
    <row r="3168" spans="1:19" ht="15.6">
      <c r="B3168" s="110" t="s">
        <v>339</v>
      </c>
      <c r="C3168" s="111" t="s">
        <v>232</v>
      </c>
      <c r="D3168" s="112" t="s">
        <v>228</v>
      </c>
      <c r="E3168" s="113" t="s">
        <v>130</v>
      </c>
      <c r="F3168" s="114" t="s">
        <v>15</v>
      </c>
      <c r="G3168" s="115" t="s">
        <v>40</v>
      </c>
      <c r="H3168" s="116">
        <v>16.5</v>
      </c>
      <c r="I3168" s="125">
        <v>7.4</v>
      </c>
      <c r="J3168" s="111">
        <v>25</v>
      </c>
      <c r="K3168" s="117">
        <f t="shared" si="311"/>
        <v>3.0525000000000002</v>
      </c>
      <c r="L3168" s="118"/>
      <c r="M3168" s="111">
        <v>25</v>
      </c>
      <c r="N3168" s="117">
        <f t="shared" si="312"/>
        <v>3.0525000000000002</v>
      </c>
      <c r="O3168" s="119">
        <f t="shared" si="313"/>
        <v>0</v>
      </c>
      <c r="P3168" s="120">
        <f t="shared" si="314"/>
        <v>0</v>
      </c>
      <c r="Q3168" s="111"/>
      <c r="R3168" s="32"/>
      <c r="S3168" s="213"/>
    </row>
    <row r="3169" spans="2:19" ht="15.6">
      <c r="B3169" s="110" t="s">
        <v>339</v>
      </c>
      <c r="C3169" s="111" t="s">
        <v>232</v>
      </c>
      <c r="D3169" s="112" t="s">
        <v>228</v>
      </c>
      <c r="E3169" s="113" t="s">
        <v>130</v>
      </c>
      <c r="F3169" s="114" t="s">
        <v>15</v>
      </c>
      <c r="G3169" s="115" t="s">
        <v>40</v>
      </c>
      <c r="H3169" s="116">
        <v>16.5</v>
      </c>
      <c r="I3169" s="125">
        <v>7.4</v>
      </c>
      <c r="J3169" s="111">
        <v>23</v>
      </c>
      <c r="K3169" s="117">
        <f t="shared" si="311"/>
        <v>2.8083</v>
      </c>
      <c r="L3169" s="118"/>
      <c r="M3169" s="111">
        <v>23</v>
      </c>
      <c r="N3169" s="117">
        <f t="shared" si="312"/>
        <v>2.8083</v>
      </c>
      <c r="O3169" s="119">
        <f t="shared" si="313"/>
        <v>0</v>
      </c>
      <c r="P3169" s="120">
        <f t="shared" si="314"/>
        <v>0</v>
      </c>
      <c r="Q3169" s="111"/>
      <c r="R3169" s="32"/>
      <c r="S3169" s="213"/>
    </row>
    <row r="3170" spans="2:19" ht="15.6">
      <c r="B3170" s="110" t="s">
        <v>339</v>
      </c>
      <c r="C3170" s="111" t="s">
        <v>232</v>
      </c>
      <c r="D3170" s="112" t="s">
        <v>228</v>
      </c>
      <c r="E3170" s="113" t="s">
        <v>130</v>
      </c>
      <c r="F3170" s="114" t="s">
        <v>15</v>
      </c>
      <c r="G3170" s="115" t="s">
        <v>40</v>
      </c>
      <c r="H3170" s="116">
        <v>16.5</v>
      </c>
      <c r="I3170" s="125">
        <v>7.4</v>
      </c>
      <c r="J3170" s="111">
        <v>16</v>
      </c>
      <c r="K3170" s="117">
        <f t="shared" si="311"/>
        <v>1.9536000000000002</v>
      </c>
      <c r="L3170" s="118"/>
      <c r="M3170" s="111">
        <v>16</v>
      </c>
      <c r="N3170" s="117">
        <f t="shared" si="312"/>
        <v>1.9536000000000002</v>
      </c>
      <c r="O3170" s="119">
        <f t="shared" si="313"/>
        <v>0</v>
      </c>
      <c r="P3170" s="120">
        <f t="shared" si="314"/>
        <v>0</v>
      </c>
      <c r="Q3170" s="111"/>
      <c r="R3170" s="32"/>
      <c r="S3170" s="213"/>
    </row>
    <row r="3171" spans="2:19" ht="15.6">
      <c r="B3171" s="110" t="s">
        <v>339</v>
      </c>
      <c r="C3171" s="111" t="s">
        <v>232</v>
      </c>
      <c r="D3171" s="112" t="s">
        <v>228</v>
      </c>
      <c r="E3171" s="113" t="s">
        <v>130</v>
      </c>
      <c r="F3171" s="114" t="s">
        <v>15</v>
      </c>
      <c r="G3171" s="115" t="s">
        <v>40</v>
      </c>
      <c r="H3171" s="116">
        <v>16.5</v>
      </c>
      <c r="I3171" s="125">
        <v>11.15</v>
      </c>
      <c r="J3171" s="111">
        <v>12</v>
      </c>
      <c r="K3171" s="117">
        <f t="shared" si="311"/>
        <v>2.2077</v>
      </c>
      <c r="L3171" s="118"/>
      <c r="M3171" s="111">
        <v>12</v>
      </c>
      <c r="N3171" s="117">
        <f t="shared" si="312"/>
        <v>2.2077000000000004</v>
      </c>
      <c r="O3171" s="119">
        <f t="shared" si="313"/>
        <v>0</v>
      </c>
      <c r="P3171" s="120">
        <f t="shared" si="314"/>
        <v>0</v>
      </c>
      <c r="Q3171" s="111"/>
      <c r="R3171" s="32"/>
      <c r="S3171" s="213"/>
    </row>
    <row r="3172" spans="2:19" ht="15.6">
      <c r="B3172" s="110" t="s">
        <v>339</v>
      </c>
      <c r="C3172" s="111" t="s">
        <v>232</v>
      </c>
      <c r="D3172" s="112" t="s">
        <v>228</v>
      </c>
      <c r="E3172" s="113" t="s">
        <v>130</v>
      </c>
      <c r="F3172" s="114" t="s">
        <v>15</v>
      </c>
      <c r="G3172" s="115" t="s">
        <v>40</v>
      </c>
      <c r="H3172" s="116">
        <v>16.5</v>
      </c>
      <c r="I3172" s="125">
        <v>7</v>
      </c>
      <c r="J3172" s="111">
        <v>1</v>
      </c>
      <c r="K3172" s="117">
        <f t="shared" si="311"/>
        <v>0.11550000000000001</v>
      </c>
      <c r="L3172" s="118"/>
      <c r="M3172" s="111">
        <v>1</v>
      </c>
      <c r="N3172" s="117">
        <f t="shared" si="312"/>
        <v>0.11550000000000001</v>
      </c>
      <c r="O3172" s="119">
        <f t="shared" si="313"/>
        <v>0</v>
      </c>
      <c r="P3172" s="120">
        <f t="shared" si="314"/>
        <v>0</v>
      </c>
      <c r="Q3172" s="72">
        <f t="shared" ref="Q3172:Q3173" si="315">5515+150</f>
        <v>5665</v>
      </c>
      <c r="R3172" s="32">
        <v>1</v>
      </c>
      <c r="S3172" s="77" t="s">
        <v>524</v>
      </c>
    </row>
    <row r="3173" spans="2:19" ht="15.6">
      <c r="B3173" s="110" t="s">
        <v>339</v>
      </c>
      <c r="C3173" s="111" t="s">
        <v>232</v>
      </c>
      <c r="D3173" s="112" t="s">
        <v>228</v>
      </c>
      <c r="E3173" s="113" t="s">
        <v>130</v>
      </c>
      <c r="F3173" s="114" t="s">
        <v>15</v>
      </c>
      <c r="G3173" s="115" t="s">
        <v>40</v>
      </c>
      <c r="H3173" s="116">
        <v>16.5</v>
      </c>
      <c r="I3173" s="125">
        <v>7.1</v>
      </c>
      <c r="J3173" s="111">
        <v>1</v>
      </c>
      <c r="K3173" s="117">
        <f t="shared" si="311"/>
        <v>0.11714999999999999</v>
      </c>
      <c r="L3173" s="118"/>
      <c r="M3173" s="111">
        <v>1</v>
      </c>
      <c r="N3173" s="117">
        <f t="shared" si="312"/>
        <v>0.11714999999999999</v>
      </c>
      <c r="O3173" s="119">
        <f t="shared" si="313"/>
        <v>0</v>
      </c>
      <c r="P3173" s="120">
        <f t="shared" si="314"/>
        <v>0</v>
      </c>
      <c r="Q3173" s="72">
        <f t="shared" si="315"/>
        <v>5665</v>
      </c>
      <c r="R3173" s="32">
        <v>1</v>
      </c>
      <c r="S3173" s="77" t="s">
        <v>524</v>
      </c>
    </row>
    <row r="3174" spans="2:19" ht="15.6">
      <c r="B3174" s="110" t="s">
        <v>339</v>
      </c>
      <c r="C3174" s="111" t="s">
        <v>232</v>
      </c>
      <c r="D3174" s="112" t="s">
        <v>228</v>
      </c>
      <c r="E3174" s="113" t="s">
        <v>130</v>
      </c>
      <c r="F3174" s="114" t="s">
        <v>15</v>
      </c>
      <c r="G3174" s="115" t="s">
        <v>40</v>
      </c>
      <c r="H3174" s="116">
        <v>16.5</v>
      </c>
      <c r="I3174" s="125">
        <v>7.4</v>
      </c>
      <c r="J3174" s="111">
        <v>20</v>
      </c>
      <c r="K3174" s="117">
        <f t="shared" si="311"/>
        <v>2.4420000000000002</v>
      </c>
      <c r="L3174" s="118"/>
      <c r="M3174" s="111">
        <v>20</v>
      </c>
      <c r="N3174" s="117">
        <f t="shared" si="312"/>
        <v>2.4420000000000002</v>
      </c>
      <c r="O3174" s="119">
        <f t="shared" si="313"/>
        <v>0</v>
      </c>
      <c r="P3174" s="120">
        <f t="shared" si="314"/>
        <v>0</v>
      </c>
      <c r="Q3174" s="111"/>
      <c r="R3174" s="32"/>
      <c r="S3174" s="213"/>
    </row>
    <row r="3175" spans="2:19" ht="15.6">
      <c r="B3175" s="110" t="s">
        <v>339</v>
      </c>
      <c r="C3175" s="111" t="s">
        <v>232</v>
      </c>
      <c r="D3175" s="112" t="s">
        <v>228</v>
      </c>
      <c r="E3175" s="113" t="s">
        <v>130</v>
      </c>
      <c r="F3175" s="114" t="s">
        <v>15</v>
      </c>
      <c r="G3175" s="115" t="s">
        <v>40</v>
      </c>
      <c r="H3175" s="116">
        <v>16.5</v>
      </c>
      <c r="I3175" s="125">
        <v>7.4</v>
      </c>
      <c r="J3175" s="111">
        <v>20</v>
      </c>
      <c r="K3175" s="117">
        <f t="shared" si="311"/>
        <v>2.4420000000000002</v>
      </c>
      <c r="L3175" s="118"/>
      <c r="M3175" s="111">
        <v>20</v>
      </c>
      <c r="N3175" s="117">
        <f t="shared" si="312"/>
        <v>2.4420000000000002</v>
      </c>
      <c r="O3175" s="119">
        <f t="shared" si="313"/>
        <v>0</v>
      </c>
      <c r="P3175" s="120">
        <f t="shared" si="314"/>
        <v>0</v>
      </c>
      <c r="Q3175" s="111"/>
      <c r="R3175" s="32"/>
      <c r="S3175" s="213"/>
    </row>
    <row r="3176" spans="2:19" ht="15.6">
      <c r="B3176" s="110" t="s">
        <v>339</v>
      </c>
      <c r="C3176" s="111" t="s">
        <v>232</v>
      </c>
      <c r="D3176" s="112" t="s">
        <v>228</v>
      </c>
      <c r="E3176" s="113" t="s">
        <v>130</v>
      </c>
      <c r="F3176" s="114" t="s">
        <v>15</v>
      </c>
      <c r="G3176" s="115" t="s">
        <v>40</v>
      </c>
      <c r="H3176" s="116">
        <v>16.5</v>
      </c>
      <c r="I3176" s="125">
        <v>7.4</v>
      </c>
      <c r="J3176" s="111">
        <v>20</v>
      </c>
      <c r="K3176" s="117">
        <f t="shared" si="311"/>
        <v>2.4420000000000002</v>
      </c>
      <c r="L3176" s="118"/>
      <c r="M3176" s="111">
        <v>20</v>
      </c>
      <c r="N3176" s="117">
        <f t="shared" si="312"/>
        <v>2.4420000000000002</v>
      </c>
      <c r="O3176" s="119">
        <f t="shared" si="313"/>
        <v>0</v>
      </c>
      <c r="P3176" s="120">
        <f t="shared" si="314"/>
        <v>0</v>
      </c>
      <c r="Q3176" s="111"/>
      <c r="R3176" s="32"/>
      <c r="S3176" s="213"/>
    </row>
    <row r="3177" spans="2:19" ht="15.6">
      <c r="B3177" s="110" t="s">
        <v>339</v>
      </c>
      <c r="C3177" s="111" t="s">
        <v>232</v>
      </c>
      <c r="D3177" s="112" t="s">
        <v>228</v>
      </c>
      <c r="E3177" s="113" t="s">
        <v>130</v>
      </c>
      <c r="F3177" s="114" t="s">
        <v>15</v>
      </c>
      <c r="G3177" s="115" t="s">
        <v>40</v>
      </c>
      <c r="H3177" s="116">
        <v>16.5</v>
      </c>
      <c r="I3177" s="125">
        <v>7.4</v>
      </c>
      <c r="J3177" s="111">
        <v>20</v>
      </c>
      <c r="K3177" s="117">
        <f t="shared" si="311"/>
        <v>2.4420000000000002</v>
      </c>
      <c r="L3177" s="118"/>
      <c r="M3177" s="111">
        <v>20</v>
      </c>
      <c r="N3177" s="117">
        <f t="shared" si="312"/>
        <v>2.4420000000000002</v>
      </c>
      <c r="O3177" s="119">
        <f t="shared" si="313"/>
        <v>0</v>
      </c>
      <c r="P3177" s="120">
        <f t="shared" si="314"/>
        <v>0</v>
      </c>
      <c r="Q3177" s="111"/>
      <c r="R3177" s="32"/>
      <c r="S3177" s="213"/>
    </row>
    <row r="3178" spans="2:19" ht="15.6">
      <c r="B3178" s="110" t="s">
        <v>339</v>
      </c>
      <c r="C3178" s="111" t="s">
        <v>232</v>
      </c>
      <c r="D3178" s="112" t="s">
        <v>228</v>
      </c>
      <c r="E3178" s="113" t="s">
        <v>130</v>
      </c>
      <c r="F3178" s="114" t="s">
        <v>15</v>
      </c>
      <c r="G3178" s="115" t="s">
        <v>40</v>
      </c>
      <c r="H3178" s="116">
        <v>16.5</v>
      </c>
      <c r="I3178" s="125">
        <v>11.15</v>
      </c>
      <c r="J3178" s="111">
        <v>17</v>
      </c>
      <c r="K3178" s="117">
        <f t="shared" si="311"/>
        <v>3.1275749999999998</v>
      </c>
      <c r="L3178" s="118"/>
      <c r="M3178" s="111">
        <v>17</v>
      </c>
      <c r="N3178" s="117">
        <f t="shared" si="312"/>
        <v>3.1275750000000002</v>
      </c>
      <c r="O3178" s="119">
        <f t="shared" si="313"/>
        <v>0</v>
      </c>
      <c r="P3178" s="120">
        <f t="shared" si="314"/>
        <v>0</v>
      </c>
      <c r="Q3178" s="111"/>
      <c r="R3178" s="32"/>
      <c r="S3178" s="213"/>
    </row>
    <row r="3179" spans="2:19" ht="15.6">
      <c r="B3179" s="110" t="s">
        <v>339</v>
      </c>
      <c r="C3179" s="111" t="s">
        <v>232</v>
      </c>
      <c r="D3179" s="112" t="s">
        <v>228</v>
      </c>
      <c r="E3179" s="113" t="s">
        <v>130</v>
      </c>
      <c r="F3179" s="114" t="s">
        <v>15</v>
      </c>
      <c r="G3179" s="115" t="s">
        <v>40</v>
      </c>
      <c r="H3179" s="116">
        <v>16.5</v>
      </c>
      <c r="I3179" s="125">
        <v>7.4</v>
      </c>
      <c r="J3179" s="111">
        <v>20</v>
      </c>
      <c r="K3179" s="117">
        <f t="shared" si="311"/>
        <v>2.4420000000000002</v>
      </c>
      <c r="L3179" s="118"/>
      <c r="M3179" s="111">
        <v>20</v>
      </c>
      <c r="N3179" s="117">
        <f t="shared" si="312"/>
        <v>2.4420000000000002</v>
      </c>
      <c r="O3179" s="119">
        <f t="shared" si="313"/>
        <v>0</v>
      </c>
      <c r="P3179" s="120">
        <f t="shared" si="314"/>
        <v>0</v>
      </c>
      <c r="Q3179" s="111"/>
      <c r="R3179" s="32"/>
      <c r="S3179" s="213"/>
    </row>
    <row r="3180" spans="2:19" ht="15.6">
      <c r="B3180" s="110" t="s">
        <v>339</v>
      </c>
      <c r="C3180" s="111" t="s">
        <v>232</v>
      </c>
      <c r="D3180" s="112" t="s">
        <v>228</v>
      </c>
      <c r="E3180" s="113" t="s">
        <v>130</v>
      </c>
      <c r="F3180" s="114" t="s">
        <v>15</v>
      </c>
      <c r="G3180" s="115" t="s">
        <v>40</v>
      </c>
      <c r="H3180" s="116">
        <v>16.5</v>
      </c>
      <c r="I3180" s="125">
        <v>11.15</v>
      </c>
      <c r="J3180" s="111">
        <v>17</v>
      </c>
      <c r="K3180" s="117">
        <f t="shared" si="311"/>
        <v>3.1275749999999998</v>
      </c>
      <c r="L3180" s="118"/>
      <c r="M3180" s="111">
        <v>17</v>
      </c>
      <c r="N3180" s="117">
        <f t="shared" si="312"/>
        <v>3.1275750000000002</v>
      </c>
      <c r="O3180" s="119">
        <f t="shared" si="313"/>
        <v>0</v>
      </c>
      <c r="P3180" s="120">
        <f t="shared" si="314"/>
        <v>0</v>
      </c>
      <c r="Q3180" s="111"/>
      <c r="R3180" s="32"/>
      <c r="S3180" s="213"/>
    </row>
    <row r="3181" spans="2:19" ht="15.6">
      <c r="B3181" s="110" t="s">
        <v>339</v>
      </c>
      <c r="C3181" s="111" t="s">
        <v>232</v>
      </c>
      <c r="D3181" s="112" t="s">
        <v>228</v>
      </c>
      <c r="E3181" s="113" t="s">
        <v>130</v>
      </c>
      <c r="F3181" s="114" t="s">
        <v>15</v>
      </c>
      <c r="G3181" s="115" t="s">
        <v>40</v>
      </c>
      <c r="H3181" s="116">
        <v>16.5</v>
      </c>
      <c r="I3181" s="125">
        <v>11.15</v>
      </c>
      <c r="J3181" s="111">
        <v>17</v>
      </c>
      <c r="K3181" s="117">
        <f t="shared" si="311"/>
        <v>3.1275749999999998</v>
      </c>
      <c r="L3181" s="118"/>
      <c r="M3181" s="111">
        <v>17</v>
      </c>
      <c r="N3181" s="117">
        <f t="shared" si="312"/>
        <v>3.1275750000000002</v>
      </c>
      <c r="O3181" s="119">
        <f t="shared" si="313"/>
        <v>0</v>
      </c>
      <c r="P3181" s="120">
        <f t="shared" si="314"/>
        <v>0</v>
      </c>
      <c r="Q3181" s="111"/>
      <c r="R3181" s="32"/>
      <c r="S3181" s="213"/>
    </row>
    <row r="3182" spans="2:19" ht="15.6">
      <c r="B3182" s="110" t="s">
        <v>339</v>
      </c>
      <c r="C3182" s="111" t="s">
        <v>232</v>
      </c>
      <c r="D3182" s="112" t="s">
        <v>228</v>
      </c>
      <c r="E3182" s="113" t="s">
        <v>130</v>
      </c>
      <c r="F3182" s="114" t="s">
        <v>15</v>
      </c>
      <c r="G3182" s="115" t="s">
        <v>40</v>
      </c>
      <c r="H3182" s="116">
        <v>16.5</v>
      </c>
      <c r="I3182" s="125">
        <v>7.4</v>
      </c>
      <c r="J3182" s="111">
        <v>20</v>
      </c>
      <c r="K3182" s="117">
        <f t="shared" si="311"/>
        <v>2.4420000000000002</v>
      </c>
      <c r="L3182" s="118"/>
      <c r="M3182" s="111">
        <v>20</v>
      </c>
      <c r="N3182" s="117">
        <f t="shared" si="312"/>
        <v>2.4420000000000002</v>
      </c>
      <c r="O3182" s="119">
        <f t="shared" si="313"/>
        <v>0</v>
      </c>
      <c r="P3182" s="120">
        <f t="shared" si="314"/>
        <v>0</v>
      </c>
      <c r="Q3182" s="111"/>
      <c r="R3182" s="32"/>
      <c r="S3182" s="213"/>
    </row>
    <row r="3183" spans="2:19" ht="15.6">
      <c r="B3183" s="110" t="s">
        <v>339</v>
      </c>
      <c r="C3183" s="111" t="s">
        <v>232</v>
      </c>
      <c r="D3183" s="112" t="s">
        <v>228</v>
      </c>
      <c r="E3183" s="113" t="s">
        <v>130</v>
      </c>
      <c r="F3183" s="114" t="s">
        <v>15</v>
      </c>
      <c r="G3183" s="115" t="s">
        <v>40</v>
      </c>
      <c r="H3183" s="116">
        <v>16.5</v>
      </c>
      <c r="I3183" s="125">
        <v>7.4</v>
      </c>
      <c r="J3183" s="111">
        <v>20</v>
      </c>
      <c r="K3183" s="117">
        <f t="shared" si="311"/>
        <v>2.4420000000000002</v>
      </c>
      <c r="L3183" s="118"/>
      <c r="M3183" s="111">
        <v>20</v>
      </c>
      <c r="N3183" s="117">
        <f t="shared" si="312"/>
        <v>2.4420000000000002</v>
      </c>
      <c r="O3183" s="119">
        <f t="shared" si="313"/>
        <v>0</v>
      </c>
      <c r="P3183" s="120">
        <f t="shared" si="314"/>
        <v>0</v>
      </c>
      <c r="Q3183" s="111"/>
      <c r="R3183" s="32"/>
      <c r="S3183" s="213"/>
    </row>
    <row r="3184" spans="2:19" ht="15.6">
      <c r="B3184" s="110" t="s">
        <v>339</v>
      </c>
      <c r="C3184" s="111" t="s">
        <v>232</v>
      </c>
      <c r="D3184" s="112" t="s">
        <v>228</v>
      </c>
      <c r="E3184" s="113" t="s">
        <v>130</v>
      </c>
      <c r="F3184" s="114" t="s">
        <v>15</v>
      </c>
      <c r="G3184" s="115" t="s">
        <v>40</v>
      </c>
      <c r="H3184" s="116">
        <v>16.5</v>
      </c>
      <c r="I3184" s="125">
        <v>7.4</v>
      </c>
      <c r="J3184" s="111">
        <v>20</v>
      </c>
      <c r="K3184" s="117">
        <f t="shared" si="311"/>
        <v>2.4420000000000002</v>
      </c>
      <c r="L3184" s="118"/>
      <c r="M3184" s="111">
        <v>20</v>
      </c>
      <c r="N3184" s="117">
        <f t="shared" si="312"/>
        <v>2.4420000000000002</v>
      </c>
      <c r="O3184" s="119">
        <f t="shared" si="313"/>
        <v>0</v>
      </c>
      <c r="P3184" s="120">
        <f t="shared" si="314"/>
        <v>0</v>
      </c>
      <c r="Q3184" s="111"/>
      <c r="R3184" s="32"/>
      <c r="S3184" s="213"/>
    </row>
    <row r="3185" spans="2:20" ht="15.6">
      <c r="B3185" s="110" t="s">
        <v>339</v>
      </c>
      <c r="C3185" s="111" t="s">
        <v>232</v>
      </c>
      <c r="D3185" s="112" t="s">
        <v>228</v>
      </c>
      <c r="E3185" s="113" t="s">
        <v>130</v>
      </c>
      <c r="F3185" s="114" t="s">
        <v>15</v>
      </c>
      <c r="G3185" s="115" t="s">
        <v>40</v>
      </c>
      <c r="H3185" s="116">
        <v>16.5</v>
      </c>
      <c r="I3185" s="125">
        <v>7.4</v>
      </c>
      <c r="J3185" s="111">
        <v>20</v>
      </c>
      <c r="K3185" s="117">
        <f t="shared" si="311"/>
        <v>2.4420000000000002</v>
      </c>
      <c r="L3185" s="118"/>
      <c r="M3185" s="111">
        <v>20</v>
      </c>
      <c r="N3185" s="117">
        <f t="shared" si="312"/>
        <v>2.4420000000000002</v>
      </c>
      <c r="O3185" s="119">
        <f t="shared" si="313"/>
        <v>0</v>
      </c>
      <c r="P3185" s="120">
        <f t="shared" si="314"/>
        <v>0</v>
      </c>
      <c r="Q3185" s="111"/>
      <c r="R3185" s="32"/>
      <c r="S3185" s="213"/>
    </row>
    <row r="3186" spans="2:20" ht="15.6">
      <c r="B3186" s="110" t="s">
        <v>339</v>
      </c>
      <c r="C3186" s="111" t="s">
        <v>232</v>
      </c>
      <c r="D3186" s="112" t="s">
        <v>228</v>
      </c>
      <c r="E3186" s="113" t="s">
        <v>130</v>
      </c>
      <c r="F3186" s="114" t="s">
        <v>15</v>
      </c>
      <c r="G3186" s="115" t="s">
        <v>40</v>
      </c>
      <c r="H3186" s="116">
        <v>16.5</v>
      </c>
      <c r="I3186" s="125">
        <v>7.4</v>
      </c>
      <c r="J3186" s="111">
        <v>20</v>
      </c>
      <c r="K3186" s="117">
        <f t="shared" si="311"/>
        <v>2.4420000000000002</v>
      </c>
      <c r="L3186" s="118"/>
      <c r="M3186" s="111">
        <v>20</v>
      </c>
      <c r="N3186" s="117">
        <f t="shared" si="312"/>
        <v>2.4420000000000002</v>
      </c>
      <c r="O3186" s="119">
        <f t="shared" si="313"/>
        <v>0</v>
      </c>
      <c r="P3186" s="120">
        <f t="shared" si="314"/>
        <v>0</v>
      </c>
      <c r="Q3186" s="111"/>
      <c r="R3186" s="32"/>
      <c r="S3186" s="213"/>
    </row>
    <row r="3187" spans="2:20" ht="15.6">
      <c r="B3187" s="110" t="s">
        <v>339</v>
      </c>
      <c r="C3187" s="111" t="s">
        <v>232</v>
      </c>
      <c r="D3187" s="112" t="s">
        <v>228</v>
      </c>
      <c r="E3187" s="113" t="s">
        <v>130</v>
      </c>
      <c r="F3187" s="114" t="s">
        <v>15</v>
      </c>
      <c r="G3187" s="115" t="s">
        <v>40</v>
      </c>
      <c r="H3187" s="116">
        <v>16.5</v>
      </c>
      <c r="I3187" s="125">
        <v>7.4</v>
      </c>
      <c r="J3187" s="111">
        <v>20</v>
      </c>
      <c r="K3187" s="117">
        <f t="shared" si="311"/>
        <v>2.4420000000000002</v>
      </c>
      <c r="L3187" s="118"/>
      <c r="M3187" s="111">
        <v>20</v>
      </c>
      <c r="N3187" s="117">
        <f t="shared" si="312"/>
        <v>2.4420000000000002</v>
      </c>
      <c r="O3187" s="119">
        <f t="shared" si="313"/>
        <v>0</v>
      </c>
      <c r="P3187" s="120">
        <f t="shared" si="314"/>
        <v>0</v>
      </c>
      <c r="Q3187" s="111"/>
      <c r="R3187" s="32"/>
      <c r="S3187" s="213"/>
    </row>
    <row r="3188" spans="2:20" ht="15.6">
      <c r="B3188" s="110" t="s">
        <v>339</v>
      </c>
      <c r="C3188" s="111" t="s">
        <v>232</v>
      </c>
      <c r="D3188" s="112" t="s">
        <v>228</v>
      </c>
      <c r="E3188" s="113" t="s">
        <v>130</v>
      </c>
      <c r="F3188" s="114" t="s">
        <v>15</v>
      </c>
      <c r="G3188" s="115" t="s">
        <v>40</v>
      </c>
      <c r="H3188" s="116">
        <v>16.5</v>
      </c>
      <c r="I3188" s="125">
        <v>7.4</v>
      </c>
      <c r="J3188" s="111">
        <v>27</v>
      </c>
      <c r="K3188" s="117">
        <f t="shared" si="311"/>
        <v>3.2967000000000004</v>
      </c>
      <c r="L3188" s="118"/>
      <c r="M3188" s="111">
        <v>27</v>
      </c>
      <c r="N3188" s="117">
        <f t="shared" si="312"/>
        <v>3.2967000000000004</v>
      </c>
      <c r="O3188" s="119">
        <f t="shared" si="313"/>
        <v>0</v>
      </c>
      <c r="P3188" s="120">
        <f t="shared" si="314"/>
        <v>0</v>
      </c>
      <c r="Q3188" s="111"/>
      <c r="R3188" s="32"/>
      <c r="S3188" s="213"/>
    </row>
    <row r="3189" spans="2:20" ht="15.6">
      <c r="B3189" s="110" t="s">
        <v>339</v>
      </c>
      <c r="C3189" s="111" t="s">
        <v>232</v>
      </c>
      <c r="D3189" s="112" t="s">
        <v>228</v>
      </c>
      <c r="E3189" s="113" t="s">
        <v>130</v>
      </c>
      <c r="F3189" s="114" t="s">
        <v>15</v>
      </c>
      <c r="G3189" s="115" t="s">
        <v>40</v>
      </c>
      <c r="H3189" s="116">
        <v>16.5</v>
      </c>
      <c r="I3189" s="125">
        <v>11.15</v>
      </c>
      <c r="J3189" s="111">
        <v>5</v>
      </c>
      <c r="K3189" s="117">
        <f t="shared" si="311"/>
        <v>0.919875</v>
      </c>
      <c r="L3189" s="118"/>
      <c r="M3189" s="111">
        <v>5</v>
      </c>
      <c r="N3189" s="117">
        <f t="shared" si="312"/>
        <v>0.919875</v>
      </c>
      <c r="O3189" s="119">
        <f t="shared" si="313"/>
        <v>0</v>
      </c>
      <c r="P3189" s="120">
        <f t="shared" si="314"/>
        <v>0</v>
      </c>
      <c r="Q3189" s="111"/>
      <c r="R3189" s="32"/>
      <c r="S3189" s="213"/>
    </row>
    <row r="3190" spans="2:20" ht="15.6">
      <c r="B3190" s="110" t="s">
        <v>339</v>
      </c>
      <c r="C3190" s="111" t="s">
        <v>232</v>
      </c>
      <c r="D3190" s="112" t="s">
        <v>228</v>
      </c>
      <c r="E3190" s="113" t="s">
        <v>130</v>
      </c>
      <c r="F3190" s="114" t="s">
        <v>15</v>
      </c>
      <c r="G3190" s="115" t="s">
        <v>40</v>
      </c>
      <c r="H3190" s="116">
        <v>16.5</v>
      </c>
      <c r="I3190" s="125">
        <v>7.05</v>
      </c>
      <c r="J3190" s="111">
        <v>2</v>
      </c>
      <c r="K3190" s="117">
        <f t="shared" si="311"/>
        <v>0.23265</v>
      </c>
      <c r="L3190" s="118"/>
      <c r="M3190" s="111">
        <v>2</v>
      </c>
      <c r="N3190" s="117">
        <f t="shared" si="312"/>
        <v>0.23265</v>
      </c>
      <c r="O3190" s="119">
        <f t="shared" si="313"/>
        <v>0</v>
      </c>
      <c r="P3190" s="120">
        <f t="shared" si="314"/>
        <v>0</v>
      </c>
      <c r="Q3190" s="72">
        <f t="shared" ref="Q3190" si="316">5515+150</f>
        <v>5665</v>
      </c>
      <c r="R3190" s="32">
        <v>2</v>
      </c>
      <c r="S3190" s="77" t="s">
        <v>524</v>
      </c>
    </row>
    <row r="3191" spans="2:20" ht="15.6">
      <c r="B3191" s="110" t="s">
        <v>339</v>
      </c>
      <c r="C3191" s="111" t="s">
        <v>232</v>
      </c>
      <c r="D3191" s="112" t="s">
        <v>228</v>
      </c>
      <c r="E3191" s="113" t="s">
        <v>130</v>
      </c>
      <c r="F3191" s="114" t="s">
        <v>15</v>
      </c>
      <c r="G3191" s="115" t="s">
        <v>40</v>
      </c>
      <c r="H3191" s="116">
        <v>16.5</v>
      </c>
      <c r="I3191" s="125">
        <v>7.2</v>
      </c>
      <c r="J3191" s="111">
        <v>2</v>
      </c>
      <c r="K3191" s="117">
        <f t="shared" si="311"/>
        <v>0.23760000000000001</v>
      </c>
      <c r="L3191" s="118"/>
      <c r="M3191" s="111">
        <v>2</v>
      </c>
      <c r="N3191" s="117">
        <f t="shared" si="312"/>
        <v>0.23760000000000001</v>
      </c>
      <c r="O3191" s="119">
        <f t="shared" si="313"/>
        <v>0</v>
      </c>
      <c r="P3191" s="120">
        <f t="shared" si="314"/>
        <v>0</v>
      </c>
      <c r="Q3191" s="111"/>
      <c r="R3191" s="32"/>
      <c r="S3191" s="213"/>
    </row>
    <row r="3192" spans="2:20" ht="15.6">
      <c r="B3192" s="110" t="s">
        <v>339</v>
      </c>
      <c r="C3192" s="111" t="s">
        <v>232</v>
      </c>
      <c r="D3192" s="112" t="s">
        <v>228</v>
      </c>
      <c r="E3192" s="113" t="s">
        <v>130</v>
      </c>
      <c r="F3192" s="114" t="s">
        <v>15</v>
      </c>
      <c r="G3192" s="115" t="s">
        <v>40</v>
      </c>
      <c r="H3192" s="116">
        <v>16.5</v>
      </c>
      <c r="I3192" s="125">
        <v>7.3</v>
      </c>
      <c r="J3192" s="111">
        <v>1</v>
      </c>
      <c r="K3192" s="117">
        <f t="shared" si="311"/>
        <v>0.12045</v>
      </c>
      <c r="L3192" s="118"/>
      <c r="M3192" s="111">
        <v>1</v>
      </c>
      <c r="N3192" s="117">
        <f t="shared" si="312"/>
        <v>0.12045</v>
      </c>
      <c r="O3192" s="119">
        <f t="shared" si="313"/>
        <v>0</v>
      </c>
      <c r="P3192" s="120">
        <f t="shared" si="314"/>
        <v>0</v>
      </c>
      <c r="Q3192" s="111"/>
      <c r="R3192" s="32"/>
      <c r="S3192" s="213"/>
    </row>
    <row r="3193" spans="2:20" ht="15.6">
      <c r="B3193" s="110" t="s">
        <v>339</v>
      </c>
      <c r="C3193" s="111" t="s">
        <v>232</v>
      </c>
      <c r="D3193" s="112" t="s">
        <v>228</v>
      </c>
      <c r="E3193" s="113" t="s">
        <v>130</v>
      </c>
      <c r="F3193" s="114" t="s">
        <v>15</v>
      </c>
      <c r="G3193" s="115" t="s">
        <v>40</v>
      </c>
      <c r="H3193" s="116">
        <v>16.5</v>
      </c>
      <c r="I3193" s="125">
        <v>10.8</v>
      </c>
      <c r="J3193" s="111">
        <v>1</v>
      </c>
      <c r="K3193" s="117">
        <f t="shared" si="311"/>
        <v>0.17820000000000003</v>
      </c>
      <c r="L3193" s="118"/>
      <c r="M3193" s="111">
        <v>1</v>
      </c>
      <c r="N3193" s="117">
        <f t="shared" si="312"/>
        <v>0.17820000000000003</v>
      </c>
      <c r="O3193" s="119">
        <f t="shared" si="313"/>
        <v>0</v>
      </c>
      <c r="P3193" s="120">
        <f t="shared" si="314"/>
        <v>0</v>
      </c>
      <c r="Q3193" s="111"/>
      <c r="R3193" s="32"/>
      <c r="S3193" s="213"/>
    </row>
    <row r="3194" spans="2:20" ht="15.6">
      <c r="B3194" s="110"/>
      <c r="C3194" s="111"/>
      <c r="D3194" s="112"/>
      <c r="E3194" s="113"/>
      <c r="F3194" s="114"/>
      <c r="G3194" s="115"/>
      <c r="H3194" s="116"/>
      <c r="I3194" s="125"/>
      <c r="J3194" s="355">
        <f>SUM(J3162:J3193)</f>
        <v>509</v>
      </c>
      <c r="K3194" s="356">
        <f>SUM(K3162:K3193)</f>
        <v>68.484900000000025</v>
      </c>
      <c r="L3194" s="118"/>
      <c r="M3194" s="355">
        <f>SUM(M3162:M3193)</f>
        <v>509</v>
      </c>
      <c r="N3194" s="356">
        <f>SUM(N3162:N3193)</f>
        <v>68.484900000000025</v>
      </c>
      <c r="O3194" s="355">
        <f>SUM(O3162:O3193)</f>
        <v>0</v>
      </c>
      <c r="P3194" s="356">
        <f>SUM(P3162:P3193)</f>
        <v>0</v>
      </c>
      <c r="Q3194" s="111"/>
      <c r="R3194" s="355">
        <f>SUM(R3162:R3193)</f>
        <v>4</v>
      </c>
      <c r="S3194" s="213"/>
    </row>
    <row r="3197" spans="2:20" ht="15.6">
      <c r="B3197" s="110" t="s">
        <v>517</v>
      </c>
      <c r="C3197" s="111" t="s">
        <v>505</v>
      </c>
      <c r="D3197" s="112" t="s">
        <v>449</v>
      </c>
      <c r="E3197" s="113" t="s">
        <v>17</v>
      </c>
      <c r="F3197" s="114" t="s">
        <v>15</v>
      </c>
      <c r="G3197" s="115" t="s">
        <v>40</v>
      </c>
      <c r="H3197" s="116">
        <v>16.5</v>
      </c>
      <c r="I3197" s="125">
        <v>10.3</v>
      </c>
      <c r="J3197" s="111">
        <v>9</v>
      </c>
      <c r="K3197" s="117">
        <f t="shared" ref="K3197:K3210" si="317">I3197*H3197*J3197/1000</f>
        <v>1.5295500000000002</v>
      </c>
      <c r="L3197" s="118"/>
      <c r="M3197" s="111">
        <v>9</v>
      </c>
      <c r="N3197" s="117">
        <f t="shared" ref="N3197:N3210" si="318">I3197*M3197*H3197/1000</f>
        <v>1.52955</v>
      </c>
      <c r="O3197" s="119">
        <f t="shared" ref="O3197" si="319">J3197-M3197</f>
        <v>0</v>
      </c>
      <c r="P3197" s="120">
        <f t="shared" ref="P3197" si="320">I3197*O3197*H3197/1000</f>
        <v>0</v>
      </c>
      <c r="Q3197" s="130"/>
      <c r="R3197" s="320"/>
      <c r="S3197" s="32"/>
      <c r="T3197" s="32"/>
    </row>
    <row r="3198" spans="2:20" ht="15.6">
      <c r="B3198" s="110" t="s">
        <v>517</v>
      </c>
      <c r="C3198" s="111" t="s">
        <v>505</v>
      </c>
      <c r="D3198" s="112" t="s">
        <v>449</v>
      </c>
      <c r="E3198" s="113" t="s">
        <v>17</v>
      </c>
      <c r="F3198" s="114" t="s">
        <v>15</v>
      </c>
      <c r="G3198" s="115" t="s">
        <v>40</v>
      </c>
      <c r="H3198" s="116">
        <v>16.5</v>
      </c>
      <c r="I3198" s="125">
        <v>11.2</v>
      </c>
      <c r="J3198" s="111">
        <v>11</v>
      </c>
      <c r="K3198" s="117">
        <f t="shared" si="317"/>
        <v>2.0327999999999999</v>
      </c>
      <c r="L3198" s="118"/>
      <c r="M3198" s="111">
        <v>11</v>
      </c>
      <c r="N3198" s="117">
        <f t="shared" si="318"/>
        <v>2.0327999999999999</v>
      </c>
      <c r="O3198" s="119">
        <f>J3198-M3198</f>
        <v>0</v>
      </c>
      <c r="P3198" s="120">
        <f>I3198*O3198*H3198/1000</f>
        <v>0</v>
      </c>
      <c r="Q3198" s="130"/>
      <c r="R3198" s="320"/>
      <c r="S3198" s="32"/>
      <c r="T3198" s="32"/>
    </row>
    <row r="3199" spans="2:20" ht="15.6">
      <c r="B3199" s="110" t="s">
        <v>517</v>
      </c>
      <c r="C3199" s="111" t="s">
        <v>505</v>
      </c>
      <c r="D3199" s="112" t="s">
        <v>449</v>
      </c>
      <c r="E3199" s="113" t="s">
        <v>17</v>
      </c>
      <c r="F3199" s="114" t="s">
        <v>15</v>
      </c>
      <c r="G3199" s="115" t="s">
        <v>40</v>
      </c>
      <c r="H3199" s="116">
        <v>16.5</v>
      </c>
      <c r="I3199" s="125">
        <v>11.5</v>
      </c>
      <c r="J3199" s="111">
        <v>8</v>
      </c>
      <c r="K3199" s="117">
        <f t="shared" si="317"/>
        <v>1.518</v>
      </c>
      <c r="L3199" s="118"/>
      <c r="M3199" s="111">
        <v>8</v>
      </c>
      <c r="N3199" s="117">
        <f t="shared" si="318"/>
        <v>1.518</v>
      </c>
      <c r="O3199" s="119">
        <f t="shared" ref="O3199:O3210" si="321">J3199-M3199</f>
        <v>0</v>
      </c>
      <c r="P3199" s="120">
        <f t="shared" ref="P3199:P3210" si="322">I3199*O3199*H3199/1000</f>
        <v>0</v>
      </c>
      <c r="Q3199" s="130"/>
      <c r="R3199" s="320"/>
      <c r="S3199" s="32"/>
      <c r="T3199" s="32"/>
    </row>
    <row r="3200" spans="2:20" ht="15.6">
      <c r="B3200" s="110" t="s">
        <v>517</v>
      </c>
      <c r="C3200" s="111" t="s">
        <v>505</v>
      </c>
      <c r="D3200" s="112" t="s">
        <v>449</v>
      </c>
      <c r="E3200" s="113" t="s">
        <v>17</v>
      </c>
      <c r="F3200" s="114" t="s">
        <v>15</v>
      </c>
      <c r="G3200" s="115" t="s">
        <v>40</v>
      </c>
      <c r="H3200" s="116">
        <v>16.5</v>
      </c>
      <c r="I3200" s="125">
        <v>9.9</v>
      </c>
      <c r="J3200" s="111">
        <v>1</v>
      </c>
      <c r="K3200" s="117">
        <f t="shared" si="317"/>
        <v>0.16335</v>
      </c>
      <c r="L3200" s="118"/>
      <c r="M3200" s="111">
        <v>1</v>
      </c>
      <c r="N3200" s="117">
        <f t="shared" si="318"/>
        <v>0.16335</v>
      </c>
      <c r="O3200" s="119">
        <f t="shared" si="321"/>
        <v>0</v>
      </c>
      <c r="P3200" s="120">
        <f t="shared" si="322"/>
        <v>0</v>
      </c>
      <c r="Q3200" s="72">
        <f t="shared" ref="Q3200:Q3201" si="323">5515+150</f>
        <v>5665</v>
      </c>
      <c r="R3200" s="320">
        <v>1</v>
      </c>
      <c r="S3200" s="77" t="s">
        <v>524</v>
      </c>
      <c r="T3200" s="32"/>
    </row>
    <row r="3201" spans="2:20" ht="15.6">
      <c r="B3201" s="110" t="s">
        <v>517</v>
      </c>
      <c r="C3201" s="111" t="s">
        <v>505</v>
      </c>
      <c r="D3201" s="112" t="s">
        <v>449</v>
      </c>
      <c r="E3201" s="113" t="s">
        <v>17</v>
      </c>
      <c r="F3201" s="114" t="s">
        <v>15</v>
      </c>
      <c r="G3201" s="115" t="s">
        <v>40</v>
      </c>
      <c r="H3201" s="116">
        <v>16.5</v>
      </c>
      <c r="I3201" s="125">
        <v>9.3000000000000007</v>
      </c>
      <c r="J3201" s="111">
        <v>1</v>
      </c>
      <c r="K3201" s="117">
        <f t="shared" si="317"/>
        <v>0.15345000000000003</v>
      </c>
      <c r="L3201" s="118"/>
      <c r="M3201" s="111">
        <v>1</v>
      </c>
      <c r="N3201" s="117">
        <f t="shared" si="318"/>
        <v>0.15345000000000003</v>
      </c>
      <c r="O3201" s="119">
        <f t="shared" si="321"/>
        <v>0</v>
      </c>
      <c r="P3201" s="120">
        <f t="shared" si="322"/>
        <v>0</v>
      </c>
      <c r="Q3201" s="72">
        <f t="shared" si="323"/>
        <v>5665</v>
      </c>
      <c r="R3201" s="320">
        <v>1</v>
      </c>
      <c r="S3201" s="77" t="s">
        <v>524</v>
      </c>
      <c r="T3201" s="32"/>
    </row>
    <row r="3202" spans="2:20" ht="15.6">
      <c r="B3202" s="110" t="s">
        <v>517</v>
      </c>
      <c r="C3202" s="111" t="s">
        <v>505</v>
      </c>
      <c r="D3202" s="112" t="s">
        <v>449</v>
      </c>
      <c r="E3202" s="113" t="s">
        <v>17</v>
      </c>
      <c r="F3202" s="114" t="s">
        <v>15</v>
      </c>
      <c r="G3202" s="115" t="s">
        <v>40</v>
      </c>
      <c r="H3202" s="116">
        <v>16.5</v>
      </c>
      <c r="I3202" s="125">
        <v>10.3</v>
      </c>
      <c r="J3202" s="111">
        <v>4</v>
      </c>
      <c r="K3202" s="117">
        <f t="shared" si="317"/>
        <v>0.67980000000000007</v>
      </c>
      <c r="L3202" s="118"/>
      <c r="M3202" s="111">
        <v>3</v>
      </c>
      <c r="N3202" s="117">
        <f t="shared" si="318"/>
        <v>0.50985000000000003</v>
      </c>
      <c r="O3202" s="119">
        <f t="shared" si="321"/>
        <v>1</v>
      </c>
      <c r="P3202" s="120">
        <f t="shared" si="322"/>
        <v>0.16995000000000002</v>
      </c>
      <c r="Q3202" s="130"/>
      <c r="R3202" s="320"/>
      <c r="S3202" s="32"/>
      <c r="T3202" s="32"/>
    </row>
    <row r="3203" spans="2:20" ht="15.6">
      <c r="B3203" s="110" t="s">
        <v>517</v>
      </c>
      <c r="C3203" s="111" t="s">
        <v>505</v>
      </c>
      <c r="D3203" s="112" t="s">
        <v>449</v>
      </c>
      <c r="E3203" s="113" t="s">
        <v>17</v>
      </c>
      <c r="F3203" s="114" t="s">
        <v>15</v>
      </c>
      <c r="G3203" s="115" t="s">
        <v>40</v>
      </c>
      <c r="H3203" s="116">
        <v>16.5</v>
      </c>
      <c r="I3203" s="125">
        <v>11.2</v>
      </c>
      <c r="J3203" s="111">
        <v>13</v>
      </c>
      <c r="K3203" s="117">
        <f t="shared" si="317"/>
        <v>2.4023999999999996</v>
      </c>
      <c r="L3203" s="118"/>
      <c r="M3203" s="111">
        <v>13</v>
      </c>
      <c r="N3203" s="117">
        <f t="shared" si="318"/>
        <v>2.4024000000000001</v>
      </c>
      <c r="O3203" s="119">
        <f t="shared" si="321"/>
        <v>0</v>
      </c>
      <c r="P3203" s="120">
        <f t="shared" si="322"/>
        <v>0</v>
      </c>
      <c r="Q3203" s="130"/>
      <c r="R3203" s="320"/>
      <c r="S3203" s="32"/>
      <c r="T3203" s="32"/>
    </row>
    <row r="3204" spans="2:20" ht="15.6">
      <c r="B3204" s="110" t="s">
        <v>517</v>
      </c>
      <c r="C3204" s="111" t="s">
        <v>505</v>
      </c>
      <c r="D3204" s="112" t="s">
        <v>449</v>
      </c>
      <c r="E3204" s="113" t="s">
        <v>17</v>
      </c>
      <c r="F3204" s="114" t="s">
        <v>15</v>
      </c>
      <c r="G3204" s="115" t="s">
        <v>40</v>
      </c>
      <c r="H3204" s="116">
        <v>16.5</v>
      </c>
      <c r="I3204" s="125">
        <v>11.5</v>
      </c>
      <c r="J3204" s="111">
        <v>9</v>
      </c>
      <c r="K3204" s="117">
        <f t="shared" si="317"/>
        <v>1.7077500000000001</v>
      </c>
      <c r="L3204" s="118"/>
      <c r="M3204" s="111">
        <v>8</v>
      </c>
      <c r="N3204" s="117">
        <f t="shared" si="318"/>
        <v>1.518</v>
      </c>
      <c r="O3204" s="119">
        <f t="shared" si="321"/>
        <v>1</v>
      </c>
      <c r="P3204" s="120">
        <f t="shared" si="322"/>
        <v>0.18975</v>
      </c>
      <c r="Q3204" s="130"/>
      <c r="R3204" s="320"/>
      <c r="S3204" s="32"/>
      <c r="T3204" s="32"/>
    </row>
    <row r="3205" spans="2:20" ht="15.6">
      <c r="B3205" s="110" t="s">
        <v>517</v>
      </c>
      <c r="C3205" s="111" t="s">
        <v>505</v>
      </c>
      <c r="D3205" s="112" t="s">
        <v>449</v>
      </c>
      <c r="E3205" s="113" t="s">
        <v>17</v>
      </c>
      <c r="F3205" s="114" t="s">
        <v>15</v>
      </c>
      <c r="G3205" s="115" t="s">
        <v>40</v>
      </c>
      <c r="H3205" s="116">
        <v>16.5</v>
      </c>
      <c r="I3205" s="125">
        <v>10.9</v>
      </c>
      <c r="J3205" s="111">
        <v>2</v>
      </c>
      <c r="K3205" s="117">
        <f t="shared" si="317"/>
        <v>0.35969999999999996</v>
      </c>
      <c r="L3205" s="118"/>
      <c r="M3205" s="111">
        <v>2</v>
      </c>
      <c r="N3205" s="117">
        <f t="shared" si="318"/>
        <v>0.35969999999999996</v>
      </c>
      <c r="O3205" s="119">
        <f t="shared" si="321"/>
        <v>0</v>
      </c>
      <c r="P3205" s="120">
        <f t="shared" si="322"/>
        <v>0</v>
      </c>
      <c r="Q3205" s="72">
        <f t="shared" ref="Q3205:Q3210" si="324">5515+150</f>
        <v>5665</v>
      </c>
      <c r="R3205" s="320">
        <v>2</v>
      </c>
      <c r="S3205" s="77" t="s">
        <v>524</v>
      </c>
      <c r="T3205" s="32"/>
    </row>
    <row r="3206" spans="2:20" ht="15.6">
      <c r="B3206" s="110" t="s">
        <v>517</v>
      </c>
      <c r="C3206" s="111" t="s">
        <v>505</v>
      </c>
      <c r="D3206" s="112" t="s">
        <v>449</v>
      </c>
      <c r="E3206" s="113" t="s">
        <v>17</v>
      </c>
      <c r="F3206" s="114" t="s">
        <v>15</v>
      </c>
      <c r="G3206" s="115" t="s">
        <v>40</v>
      </c>
      <c r="H3206" s="116">
        <v>16.5</v>
      </c>
      <c r="I3206" s="125">
        <v>7.5</v>
      </c>
      <c r="J3206" s="111">
        <v>1</v>
      </c>
      <c r="K3206" s="117">
        <f t="shared" si="317"/>
        <v>0.12375</v>
      </c>
      <c r="L3206" s="118"/>
      <c r="M3206" s="111">
        <v>1</v>
      </c>
      <c r="N3206" s="117">
        <f t="shared" si="318"/>
        <v>0.12375</v>
      </c>
      <c r="O3206" s="119">
        <f t="shared" si="321"/>
        <v>0</v>
      </c>
      <c r="P3206" s="120">
        <f t="shared" si="322"/>
        <v>0</v>
      </c>
      <c r="Q3206" s="72">
        <f t="shared" si="324"/>
        <v>5665</v>
      </c>
      <c r="R3206" s="320">
        <v>1</v>
      </c>
      <c r="S3206" s="77" t="s">
        <v>524</v>
      </c>
      <c r="T3206" s="32"/>
    </row>
    <row r="3207" spans="2:20" ht="15.6">
      <c r="B3207" s="110" t="s">
        <v>517</v>
      </c>
      <c r="C3207" s="111" t="s">
        <v>505</v>
      </c>
      <c r="D3207" s="112" t="s">
        <v>449</v>
      </c>
      <c r="E3207" s="113" t="s">
        <v>17</v>
      </c>
      <c r="F3207" s="114" t="s">
        <v>15</v>
      </c>
      <c r="G3207" s="115" t="s">
        <v>40</v>
      </c>
      <c r="H3207" s="116">
        <v>16.5</v>
      </c>
      <c r="I3207" s="125">
        <v>7.8</v>
      </c>
      <c r="J3207" s="111">
        <v>1</v>
      </c>
      <c r="K3207" s="117">
        <f t="shared" si="317"/>
        <v>0.12869999999999998</v>
      </c>
      <c r="L3207" s="118"/>
      <c r="M3207" s="111">
        <v>1</v>
      </c>
      <c r="N3207" s="117">
        <f t="shared" si="318"/>
        <v>0.12869999999999998</v>
      </c>
      <c r="O3207" s="119">
        <f t="shared" si="321"/>
        <v>0</v>
      </c>
      <c r="P3207" s="120">
        <f t="shared" si="322"/>
        <v>0</v>
      </c>
      <c r="Q3207" s="72">
        <f t="shared" si="324"/>
        <v>5665</v>
      </c>
      <c r="R3207" s="320">
        <v>1</v>
      </c>
      <c r="S3207" s="77" t="s">
        <v>524</v>
      </c>
      <c r="T3207" s="32"/>
    </row>
    <row r="3208" spans="2:20" ht="15.6">
      <c r="B3208" s="110" t="s">
        <v>517</v>
      </c>
      <c r="C3208" s="111" t="s">
        <v>505</v>
      </c>
      <c r="D3208" s="112" t="s">
        <v>449</v>
      </c>
      <c r="E3208" s="113" t="s">
        <v>17</v>
      </c>
      <c r="F3208" s="114" t="s">
        <v>15</v>
      </c>
      <c r="G3208" s="115" t="s">
        <v>40</v>
      </c>
      <c r="H3208" s="116">
        <v>16.5</v>
      </c>
      <c r="I3208" s="125">
        <v>9</v>
      </c>
      <c r="J3208" s="111">
        <v>1</v>
      </c>
      <c r="K3208" s="117">
        <f t="shared" si="317"/>
        <v>0.14849999999999999</v>
      </c>
      <c r="L3208" s="118"/>
      <c r="M3208" s="111">
        <v>1</v>
      </c>
      <c r="N3208" s="117">
        <f t="shared" si="318"/>
        <v>0.14849999999999999</v>
      </c>
      <c r="O3208" s="119">
        <f t="shared" si="321"/>
        <v>0</v>
      </c>
      <c r="P3208" s="120">
        <f t="shared" si="322"/>
        <v>0</v>
      </c>
      <c r="Q3208" s="72">
        <f t="shared" si="324"/>
        <v>5665</v>
      </c>
      <c r="R3208" s="320">
        <v>1</v>
      </c>
      <c r="S3208" s="77" t="s">
        <v>524</v>
      </c>
      <c r="T3208" s="32"/>
    </row>
    <row r="3209" spans="2:20" ht="15.6">
      <c r="B3209" s="110" t="s">
        <v>517</v>
      </c>
      <c r="C3209" s="111" t="s">
        <v>505</v>
      </c>
      <c r="D3209" s="112" t="s">
        <v>449</v>
      </c>
      <c r="E3209" s="113" t="s">
        <v>17</v>
      </c>
      <c r="F3209" s="114" t="s">
        <v>15</v>
      </c>
      <c r="G3209" s="115" t="s">
        <v>40</v>
      </c>
      <c r="H3209" s="116">
        <v>16.5</v>
      </c>
      <c r="I3209" s="125">
        <v>9.4</v>
      </c>
      <c r="J3209" s="111">
        <v>1</v>
      </c>
      <c r="K3209" s="117">
        <f t="shared" si="317"/>
        <v>0.15509999999999999</v>
      </c>
      <c r="L3209" s="118"/>
      <c r="M3209" s="111">
        <v>1</v>
      </c>
      <c r="N3209" s="117">
        <f t="shared" si="318"/>
        <v>0.15509999999999999</v>
      </c>
      <c r="O3209" s="119">
        <f t="shared" si="321"/>
        <v>0</v>
      </c>
      <c r="P3209" s="120">
        <f t="shared" si="322"/>
        <v>0</v>
      </c>
      <c r="Q3209" s="72">
        <f t="shared" si="324"/>
        <v>5665</v>
      </c>
      <c r="R3209" s="320">
        <v>1</v>
      </c>
      <c r="S3209" s="77" t="s">
        <v>524</v>
      </c>
      <c r="T3209" s="32"/>
    </row>
    <row r="3210" spans="2:20" ht="15.6">
      <c r="B3210" s="110" t="s">
        <v>517</v>
      </c>
      <c r="C3210" s="111" t="s">
        <v>505</v>
      </c>
      <c r="D3210" s="112" t="s">
        <v>449</v>
      </c>
      <c r="E3210" s="113" t="s">
        <v>17</v>
      </c>
      <c r="F3210" s="114" t="s">
        <v>15</v>
      </c>
      <c r="G3210" s="115" t="s">
        <v>40</v>
      </c>
      <c r="H3210" s="116">
        <v>16.5</v>
      </c>
      <c r="I3210" s="125">
        <v>10</v>
      </c>
      <c r="J3210" s="111">
        <v>1</v>
      </c>
      <c r="K3210" s="117">
        <f t="shared" si="317"/>
        <v>0.16500000000000001</v>
      </c>
      <c r="L3210" s="118"/>
      <c r="M3210" s="111">
        <v>1</v>
      </c>
      <c r="N3210" s="117">
        <f t="shared" si="318"/>
        <v>0.16500000000000001</v>
      </c>
      <c r="O3210" s="119">
        <f t="shared" si="321"/>
        <v>0</v>
      </c>
      <c r="P3210" s="120">
        <f t="shared" si="322"/>
        <v>0</v>
      </c>
      <c r="Q3210" s="72">
        <f t="shared" si="324"/>
        <v>5665</v>
      </c>
      <c r="R3210" s="320">
        <v>1</v>
      </c>
      <c r="S3210" s="77" t="s">
        <v>524</v>
      </c>
      <c r="T3210" s="32"/>
    </row>
    <row r="3211" spans="2:20">
      <c r="B3211" s="32"/>
      <c r="C3211" s="32"/>
      <c r="D3211" s="32"/>
      <c r="E3211" s="32"/>
      <c r="F3211" s="32"/>
      <c r="G3211" s="32"/>
      <c r="H3211" s="32"/>
      <c r="I3211" s="32"/>
      <c r="J3211" s="129">
        <f>SUM(J3197:J3210)</f>
        <v>63</v>
      </c>
      <c r="K3211" s="124">
        <f>SUM(K3197:K3210)</f>
        <v>11.267849999999999</v>
      </c>
      <c r="L3211" s="32"/>
      <c r="M3211" s="129">
        <f>SUM(M3197:M3210)</f>
        <v>61</v>
      </c>
      <c r="N3211" s="124">
        <f>SUM(N3197:N3210)</f>
        <v>10.908149999999999</v>
      </c>
      <c r="O3211" s="129">
        <f>SUM(O3197:O3210)</f>
        <v>2</v>
      </c>
      <c r="P3211" s="124">
        <f>SUM(P3197:P3210)</f>
        <v>0.35970000000000002</v>
      </c>
      <c r="Q3211" s="32"/>
      <c r="R3211" s="129">
        <f>SUM(R3197:R3210)</f>
        <v>9</v>
      </c>
      <c r="S3211" s="32"/>
      <c r="T3211" s="32"/>
    </row>
    <row r="3214" spans="2:20" ht="15.6">
      <c r="B3214" s="110" t="s">
        <v>504</v>
      </c>
      <c r="C3214" s="111" t="s">
        <v>505</v>
      </c>
      <c r="D3214" s="112" t="s">
        <v>449</v>
      </c>
      <c r="E3214" s="113" t="s">
        <v>130</v>
      </c>
      <c r="F3214" s="114" t="s">
        <v>15</v>
      </c>
      <c r="G3214" s="115" t="s">
        <v>40</v>
      </c>
      <c r="H3214" s="116">
        <v>16.5</v>
      </c>
      <c r="I3214" s="125">
        <v>10.5</v>
      </c>
      <c r="J3214" s="111">
        <v>10</v>
      </c>
      <c r="K3214" s="117">
        <f t="shared" ref="K3214:K3227" si="325">I3214*H3214*J3214/1000</f>
        <v>1.7324999999999999</v>
      </c>
      <c r="L3214" s="118"/>
      <c r="M3214" s="111"/>
      <c r="N3214" s="117">
        <f t="shared" ref="N3214:N3227" si="326">I3214*M3214*H3214/1000</f>
        <v>0</v>
      </c>
      <c r="O3214" s="119">
        <f>J3214-M3214</f>
        <v>10</v>
      </c>
      <c r="P3214" s="120">
        <f>I3214*O3214*H3214/1000</f>
        <v>1.7324999999999999</v>
      </c>
      <c r="Q3214" s="72">
        <f t="shared" ref="Q3214:Q3227" si="327">5515+150</f>
        <v>5665</v>
      </c>
      <c r="R3214" s="320">
        <v>5</v>
      </c>
      <c r="S3214" s="77" t="s">
        <v>524</v>
      </c>
      <c r="T3214" s="32"/>
    </row>
    <row r="3215" spans="2:20" ht="15.6">
      <c r="B3215" s="110" t="s">
        <v>504</v>
      </c>
      <c r="C3215" s="111" t="s">
        <v>505</v>
      </c>
      <c r="D3215" s="112" t="s">
        <v>449</v>
      </c>
      <c r="E3215" s="113" t="s">
        <v>130</v>
      </c>
      <c r="F3215" s="114" t="s">
        <v>15</v>
      </c>
      <c r="G3215" s="115" t="s">
        <v>40</v>
      </c>
      <c r="H3215" s="116">
        <v>16.5</v>
      </c>
      <c r="I3215" s="125">
        <v>7.2</v>
      </c>
      <c r="J3215" s="111">
        <v>3</v>
      </c>
      <c r="K3215" s="117">
        <f t="shared" si="325"/>
        <v>0.35639999999999999</v>
      </c>
      <c r="L3215" s="118"/>
      <c r="M3215" s="111">
        <v>3</v>
      </c>
      <c r="N3215" s="117">
        <f t="shared" si="326"/>
        <v>0.35640000000000005</v>
      </c>
      <c r="O3215" s="119">
        <f t="shared" ref="O3215:O3227" si="328">J3215-M3215</f>
        <v>0</v>
      </c>
      <c r="P3215" s="120">
        <f t="shared" ref="P3215:P3227" si="329">I3215*O3215*H3215/1000</f>
        <v>0</v>
      </c>
      <c r="Q3215" s="72">
        <f t="shared" si="327"/>
        <v>5665</v>
      </c>
      <c r="R3215" s="410">
        <v>3</v>
      </c>
      <c r="S3215" s="77" t="s">
        <v>524</v>
      </c>
      <c r="T3215" s="32"/>
    </row>
    <row r="3216" spans="2:20" ht="15.6">
      <c r="B3216" s="110" t="s">
        <v>504</v>
      </c>
      <c r="C3216" s="111" t="s">
        <v>505</v>
      </c>
      <c r="D3216" s="112" t="s">
        <v>449</v>
      </c>
      <c r="E3216" s="113" t="s">
        <v>130</v>
      </c>
      <c r="F3216" s="114" t="s">
        <v>15</v>
      </c>
      <c r="G3216" s="115" t="s">
        <v>40</v>
      </c>
      <c r="H3216" s="116">
        <v>16.5</v>
      </c>
      <c r="I3216" s="125">
        <v>7</v>
      </c>
      <c r="J3216" s="111">
        <v>9</v>
      </c>
      <c r="K3216" s="117">
        <f t="shared" si="325"/>
        <v>1.0395000000000001</v>
      </c>
      <c r="L3216" s="118"/>
      <c r="M3216" s="111">
        <v>9</v>
      </c>
      <c r="N3216" s="117">
        <f t="shared" si="326"/>
        <v>1.0395000000000001</v>
      </c>
      <c r="O3216" s="119">
        <f t="shared" si="328"/>
        <v>0</v>
      </c>
      <c r="P3216" s="120">
        <f t="shared" si="329"/>
        <v>0</v>
      </c>
      <c r="Q3216" s="72">
        <f t="shared" si="327"/>
        <v>5665</v>
      </c>
      <c r="R3216" s="410">
        <v>9</v>
      </c>
      <c r="S3216" s="77" t="s">
        <v>524</v>
      </c>
      <c r="T3216" s="409"/>
    </row>
    <row r="3217" spans="2:20" ht="15.6">
      <c r="B3217" s="110" t="s">
        <v>504</v>
      </c>
      <c r="C3217" s="111" t="s">
        <v>505</v>
      </c>
      <c r="D3217" s="112" t="s">
        <v>449</v>
      </c>
      <c r="E3217" s="113" t="s">
        <v>130</v>
      </c>
      <c r="F3217" s="114" t="s">
        <v>15</v>
      </c>
      <c r="G3217" s="115" t="s">
        <v>40</v>
      </c>
      <c r="H3217" s="116">
        <v>16.5</v>
      </c>
      <c r="I3217" s="125">
        <v>6.9</v>
      </c>
      <c r="J3217" s="111">
        <v>1</v>
      </c>
      <c r="K3217" s="117">
        <f t="shared" si="325"/>
        <v>0.11385000000000001</v>
      </c>
      <c r="L3217" s="118"/>
      <c r="M3217" s="111">
        <v>1</v>
      </c>
      <c r="N3217" s="117">
        <f t="shared" si="326"/>
        <v>0.11385000000000001</v>
      </c>
      <c r="O3217" s="119">
        <f t="shared" si="328"/>
        <v>0</v>
      </c>
      <c r="P3217" s="120">
        <f t="shared" si="329"/>
        <v>0</v>
      </c>
      <c r="Q3217" s="72">
        <f t="shared" si="327"/>
        <v>5665</v>
      </c>
      <c r="R3217" s="410">
        <v>1</v>
      </c>
      <c r="S3217" s="77" t="s">
        <v>524</v>
      </c>
      <c r="T3217" s="32"/>
    </row>
    <row r="3218" spans="2:20" ht="15.6">
      <c r="B3218" s="110" t="s">
        <v>504</v>
      </c>
      <c r="C3218" s="111" t="s">
        <v>505</v>
      </c>
      <c r="D3218" s="112" t="s">
        <v>449</v>
      </c>
      <c r="E3218" s="113" t="s">
        <v>130</v>
      </c>
      <c r="F3218" s="114" t="s">
        <v>15</v>
      </c>
      <c r="G3218" s="115" t="s">
        <v>40</v>
      </c>
      <c r="H3218" s="116">
        <v>16.5</v>
      </c>
      <c r="I3218" s="125">
        <v>6.5</v>
      </c>
      <c r="J3218" s="111">
        <v>4</v>
      </c>
      <c r="K3218" s="117">
        <f t="shared" si="325"/>
        <v>0.42899999999999999</v>
      </c>
      <c r="L3218" s="118"/>
      <c r="M3218" s="111">
        <v>4</v>
      </c>
      <c r="N3218" s="117">
        <f t="shared" si="326"/>
        <v>0.42899999999999999</v>
      </c>
      <c r="O3218" s="119">
        <f t="shared" si="328"/>
        <v>0</v>
      </c>
      <c r="P3218" s="120">
        <f t="shared" si="329"/>
        <v>0</v>
      </c>
      <c r="Q3218" s="72">
        <f t="shared" si="327"/>
        <v>5665</v>
      </c>
      <c r="R3218" s="410">
        <v>4</v>
      </c>
      <c r="S3218" s="77" t="s">
        <v>524</v>
      </c>
      <c r="T3218" s="32"/>
    </row>
    <row r="3219" spans="2:20" ht="15.6">
      <c r="B3219" s="110" t="s">
        <v>504</v>
      </c>
      <c r="C3219" s="111" t="s">
        <v>505</v>
      </c>
      <c r="D3219" s="112" t="s">
        <v>449</v>
      </c>
      <c r="E3219" s="113" t="s">
        <v>130</v>
      </c>
      <c r="F3219" s="114" t="s">
        <v>15</v>
      </c>
      <c r="G3219" s="115" t="s">
        <v>40</v>
      </c>
      <c r="H3219" s="116">
        <v>16.5</v>
      </c>
      <c r="I3219" s="125">
        <v>6.4</v>
      </c>
      <c r="J3219" s="111">
        <v>1</v>
      </c>
      <c r="K3219" s="117">
        <f t="shared" si="325"/>
        <v>0.10560000000000001</v>
      </c>
      <c r="L3219" s="118"/>
      <c r="M3219" s="111">
        <v>1</v>
      </c>
      <c r="N3219" s="117">
        <f t="shared" si="326"/>
        <v>0.10560000000000001</v>
      </c>
      <c r="O3219" s="119">
        <f t="shared" si="328"/>
        <v>0</v>
      </c>
      <c r="P3219" s="120">
        <f t="shared" si="329"/>
        <v>0</v>
      </c>
      <c r="Q3219" s="72">
        <f t="shared" si="327"/>
        <v>5665</v>
      </c>
      <c r="R3219" s="410">
        <v>1</v>
      </c>
      <c r="S3219" s="77" t="s">
        <v>524</v>
      </c>
      <c r="T3219" s="32"/>
    </row>
    <row r="3220" spans="2:20" ht="15.6">
      <c r="B3220" s="110" t="s">
        <v>504</v>
      </c>
      <c r="C3220" s="111" t="s">
        <v>505</v>
      </c>
      <c r="D3220" s="112" t="s">
        <v>449</v>
      </c>
      <c r="E3220" s="113" t="s">
        <v>130</v>
      </c>
      <c r="F3220" s="114" t="s">
        <v>15</v>
      </c>
      <c r="G3220" s="115" t="s">
        <v>40</v>
      </c>
      <c r="H3220" s="116">
        <v>16.5</v>
      </c>
      <c r="I3220" s="125">
        <v>7.2</v>
      </c>
      <c r="J3220" s="111">
        <v>8</v>
      </c>
      <c r="K3220" s="117">
        <f t="shared" si="325"/>
        <v>0.95040000000000002</v>
      </c>
      <c r="L3220" s="118"/>
      <c r="M3220" s="111">
        <v>8</v>
      </c>
      <c r="N3220" s="117">
        <f t="shared" si="326"/>
        <v>0.95040000000000002</v>
      </c>
      <c r="O3220" s="119">
        <f t="shared" si="328"/>
        <v>0</v>
      </c>
      <c r="P3220" s="120">
        <f t="shared" si="329"/>
        <v>0</v>
      </c>
      <c r="Q3220" s="72">
        <f t="shared" si="327"/>
        <v>5665</v>
      </c>
      <c r="R3220" s="410">
        <v>8</v>
      </c>
      <c r="S3220" s="77" t="s">
        <v>524</v>
      </c>
      <c r="T3220" s="32"/>
    </row>
    <row r="3221" spans="2:20" ht="15.6">
      <c r="B3221" s="110" t="s">
        <v>504</v>
      </c>
      <c r="C3221" s="111" t="s">
        <v>505</v>
      </c>
      <c r="D3221" s="112" t="s">
        <v>449</v>
      </c>
      <c r="E3221" s="113" t="s">
        <v>130</v>
      </c>
      <c r="F3221" s="114" t="s">
        <v>15</v>
      </c>
      <c r="G3221" s="115" t="s">
        <v>40</v>
      </c>
      <c r="H3221" s="116">
        <v>16.5</v>
      </c>
      <c r="I3221" s="125">
        <v>7</v>
      </c>
      <c r="J3221" s="111">
        <v>1</v>
      </c>
      <c r="K3221" s="117">
        <f t="shared" si="325"/>
        <v>0.11550000000000001</v>
      </c>
      <c r="L3221" s="118"/>
      <c r="M3221" s="111">
        <v>1</v>
      </c>
      <c r="N3221" s="117">
        <f t="shared" si="326"/>
        <v>0.11550000000000001</v>
      </c>
      <c r="O3221" s="119">
        <f t="shared" si="328"/>
        <v>0</v>
      </c>
      <c r="P3221" s="120">
        <f t="shared" si="329"/>
        <v>0</v>
      </c>
      <c r="Q3221" s="72">
        <f t="shared" si="327"/>
        <v>5665</v>
      </c>
      <c r="R3221" s="410">
        <v>1</v>
      </c>
      <c r="S3221" s="77" t="s">
        <v>524</v>
      </c>
      <c r="T3221" s="32"/>
    </row>
    <row r="3222" spans="2:20" ht="15.6">
      <c r="B3222" s="110" t="s">
        <v>504</v>
      </c>
      <c r="C3222" s="111" t="s">
        <v>505</v>
      </c>
      <c r="D3222" s="112" t="s">
        <v>449</v>
      </c>
      <c r="E3222" s="113" t="s">
        <v>130</v>
      </c>
      <c r="F3222" s="114" t="s">
        <v>15</v>
      </c>
      <c r="G3222" s="115" t="s">
        <v>40</v>
      </c>
      <c r="H3222" s="116">
        <v>16.5</v>
      </c>
      <c r="I3222" s="125">
        <v>7.3</v>
      </c>
      <c r="J3222" s="111">
        <v>3</v>
      </c>
      <c r="K3222" s="117">
        <f t="shared" si="325"/>
        <v>0.36135</v>
      </c>
      <c r="L3222" s="118"/>
      <c r="M3222" s="111">
        <v>3</v>
      </c>
      <c r="N3222" s="117">
        <f t="shared" si="326"/>
        <v>0.36134999999999995</v>
      </c>
      <c r="O3222" s="119">
        <f t="shared" si="328"/>
        <v>0</v>
      </c>
      <c r="P3222" s="120">
        <f t="shared" si="329"/>
        <v>0</v>
      </c>
      <c r="Q3222" s="72">
        <f t="shared" si="327"/>
        <v>5665</v>
      </c>
      <c r="R3222" s="410">
        <v>3</v>
      </c>
      <c r="S3222" s="77" t="s">
        <v>524</v>
      </c>
      <c r="T3222" s="32"/>
    </row>
    <row r="3223" spans="2:20" ht="15.6">
      <c r="B3223" s="110" t="s">
        <v>504</v>
      </c>
      <c r="C3223" s="111" t="s">
        <v>505</v>
      </c>
      <c r="D3223" s="112" t="s">
        <v>449</v>
      </c>
      <c r="E3223" s="113" t="s">
        <v>130</v>
      </c>
      <c r="F3223" s="114" t="s">
        <v>15</v>
      </c>
      <c r="G3223" s="115" t="s">
        <v>40</v>
      </c>
      <c r="H3223" s="116">
        <v>16.5</v>
      </c>
      <c r="I3223" s="125">
        <v>7</v>
      </c>
      <c r="J3223" s="111">
        <v>1</v>
      </c>
      <c r="K3223" s="117">
        <f t="shared" si="325"/>
        <v>0.11550000000000001</v>
      </c>
      <c r="L3223" s="118"/>
      <c r="M3223" s="111">
        <v>1</v>
      </c>
      <c r="N3223" s="117">
        <f t="shared" si="326"/>
        <v>0.11550000000000001</v>
      </c>
      <c r="O3223" s="119">
        <f t="shared" si="328"/>
        <v>0</v>
      </c>
      <c r="P3223" s="120">
        <f t="shared" si="329"/>
        <v>0</v>
      </c>
      <c r="Q3223" s="72">
        <f t="shared" si="327"/>
        <v>5665</v>
      </c>
      <c r="R3223" s="410">
        <v>1</v>
      </c>
      <c r="S3223" s="77" t="s">
        <v>524</v>
      </c>
      <c r="T3223" s="32"/>
    </row>
    <row r="3224" spans="2:20" ht="15.6">
      <c r="B3224" s="110" t="s">
        <v>504</v>
      </c>
      <c r="C3224" s="111" t="s">
        <v>505</v>
      </c>
      <c r="D3224" s="112" t="s">
        <v>449</v>
      </c>
      <c r="E3224" s="113" t="s">
        <v>130</v>
      </c>
      <c r="F3224" s="114" t="s">
        <v>15</v>
      </c>
      <c r="G3224" s="115" t="s">
        <v>40</v>
      </c>
      <c r="H3224" s="116">
        <v>16.5</v>
      </c>
      <c r="I3224" s="125">
        <v>6.9</v>
      </c>
      <c r="J3224" s="111">
        <v>7</v>
      </c>
      <c r="K3224" s="117">
        <f t="shared" si="325"/>
        <v>0.79695000000000005</v>
      </c>
      <c r="L3224" s="118"/>
      <c r="M3224" s="111">
        <v>7</v>
      </c>
      <c r="N3224" s="117">
        <f t="shared" si="326"/>
        <v>0.79695000000000005</v>
      </c>
      <c r="O3224" s="119">
        <f t="shared" si="328"/>
        <v>0</v>
      </c>
      <c r="P3224" s="120">
        <f t="shared" si="329"/>
        <v>0</v>
      </c>
      <c r="Q3224" s="72">
        <f t="shared" si="327"/>
        <v>5665</v>
      </c>
      <c r="R3224" s="410">
        <v>7</v>
      </c>
      <c r="S3224" s="77" t="s">
        <v>524</v>
      </c>
      <c r="T3224" s="32"/>
    </row>
    <row r="3225" spans="2:20" ht="15.6">
      <c r="B3225" s="110" t="s">
        <v>504</v>
      </c>
      <c r="C3225" s="111" t="s">
        <v>505</v>
      </c>
      <c r="D3225" s="112" t="s">
        <v>449</v>
      </c>
      <c r="E3225" s="113" t="s">
        <v>130</v>
      </c>
      <c r="F3225" s="114" t="s">
        <v>15</v>
      </c>
      <c r="G3225" s="115" t="s">
        <v>40</v>
      </c>
      <c r="H3225" s="116">
        <v>16.5</v>
      </c>
      <c r="I3225" s="125">
        <v>6.7</v>
      </c>
      <c r="J3225" s="111">
        <v>1</v>
      </c>
      <c r="K3225" s="117">
        <f t="shared" si="325"/>
        <v>0.11055</v>
      </c>
      <c r="L3225" s="118"/>
      <c r="M3225" s="111">
        <v>1</v>
      </c>
      <c r="N3225" s="117">
        <f t="shared" si="326"/>
        <v>0.11055</v>
      </c>
      <c r="O3225" s="119">
        <f t="shared" si="328"/>
        <v>0</v>
      </c>
      <c r="P3225" s="120">
        <f t="shared" si="329"/>
        <v>0</v>
      </c>
      <c r="Q3225" s="72">
        <f t="shared" si="327"/>
        <v>5665</v>
      </c>
      <c r="R3225" s="410">
        <v>1</v>
      </c>
      <c r="S3225" s="77" t="s">
        <v>524</v>
      </c>
      <c r="T3225" s="32"/>
    </row>
    <row r="3226" spans="2:20" ht="15.6">
      <c r="B3226" s="110" t="s">
        <v>504</v>
      </c>
      <c r="C3226" s="111" t="s">
        <v>505</v>
      </c>
      <c r="D3226" s="112" t="s">
        <v>449</v>
      </c>
      <c r="E3226" s="113" t="s">
        <v>130</v>
      </c>
      <c r="F3226" s="114" t="s">
        <v>15</v>
      </c>
      <c r="G3226" s="115" t="s">
        <v>40</v>
      </c>
      <c r="H3226" s="116">
        <v>16.5</v>
      </c>
      <c r="I3226" s="125">
        <v>6.5</v>
      </c>
      <c r="J3226" s="111">
        <v>1</v>
      </c>
      <c r="K3226" s="117">
        <f t="shared" si="325"/>
        <v>0.10725</v>
      </c>
      <c r="L3226" s="118"/>
      <c r="M3226" s="111">
        <v>1</v>
      </c>
      <c r="N3226" s="117">
        <f t="shared" si="326"/>
        <v>0.10725</v>
      </c>
      <c r="O3226" s="119">
        <f t="shared" si="328"/>
        <v>0</v>
      </c>
      <c r="P3226" s="120">
        <f t="shared" si="329"/>
        <v>0</v>
      </c>
      <c r="Q3226" s="72">
        <f t="shared" si="327"/>
        <v>5665</v>
      </c>
      <c r="R3226" s="410">
        <v>1</v>
      </c>
      <c r="S3226" s="77" t="s">
        <v>524</v>
      </c>
      <c r="T3226" s="32"/>
    </row>
    <row r="3227" spans="2:20" ht="15.6">
      <c r="B3227" s="110" t="s">
        <v>504</v>
      </c>
      <c r="C3227" s="111" t="s">
        <v>505</v>
      </c>
      <c r="D3227" s="112" t="s">
        <v>449</v>
      </c>
      <c r="E3227" s="113" t="s">
        <v>130</v>
      </c>
      <c r="F3227" s="114" t="s">
        <v>15</v>
      </c>
      <c r="G3227" s="115" t="s">
        <v>40</v>
      </c>
      <c r="H3227" s="116">
        <v>16.5</v>
      </c>
      <c r="I3227" s="125">
        <v>6.4</v>
      </c>
      <c r="J3227" s="111">
        <v>1</v>
      </c>
      <c r="K3227" s="117">
        <f t="shared" si="325"/>
        <v>0.10560000000000001</v>
      </c>
      <c r="L3227" s="118"/>
      <c r="M3227" s="111">
        <v>1</v>
      </c>
      <c r="N3227" s="117">
        <f t="shared" si="326"/>
        <v>0.10560000000000001</v>
      </c>
      <c r="O3227" s="119">
        <f t="shared" si="328"/>
        <v>0</v>
      </c>
      <c r="P3227" s="120">
        <f t="shared" si="329"/>
        <v>0</v>
      </c>
      <c r="Q3227" s="72">
        <f t="shared" si="327"/>
        <v>5665</v>
      </c>
      <c r="R3227" s="410">
        <v>1</v>
      </c>
      <c r="S3227" s="77" t="s">
        <v>524</v>
      </c>
      <c r="T3227" s="32"/>
    </row>
    <row r="3228" spans="2:20">
      <c r="R3228" s="411">
        <f>SUM(R3214:R3227)</f>
        <v>46</v>
      </c>
    </row>
    <row r="3229" spans="2:20">
      <c r="R3229" s="412">
        <f>+R3228+R3211+R3194+Q3159</f>
        <v>76</v>
      </c>
    </row>
    <row r="3235" spans="1:19">
      <c r="A3235" s="42" t="s">
        <v>77</v>
      </c>
      <c r="B3235" s="3" t="s">
        <v>68</v>
      </c>
      <c r="C3235" s="3">
        <v>234</v>
      </c>
      <c r="D3235" s="1"/>
      <c r="E3235" s="20" t="s">
        <v>17</v>
      </c>
      <c r="F3235" s="7" t="s">
        <v>15</v>
      </c>
      <c r="G3235" s="7" t="s">
        <v>60</v>
      </c>
      <c r="H3235" s="11">
        <v>22.93</v>
      </c>
      <c r="I3235" s="8">
        <v>6</v>
      </c>
      <c r="J3235" s="26">
        <v>1</v>
      </c>
      <c r="K3235" s="10">
        <f t="shared" ref="K3235:K3242" si="330">(H3235*I3235*J3235/1000)</f>
        <v>0.13757999999999998</v>
      </c>
      <c r="L3235" s="4"/>
      <c r="M3235" s="17">
        <v>1</v>
      </c>
      <c r="N3235" s="18">
        <f t="shared" ref="N3235:N3242" si="331">I3235*M3235*H3235/1000</f>
        <v>0.13757999999999998</v>
      </c>
      <c r="O3235" s="106">
        <f t="shared" ref="O3235:O3242" si="332">J3235-M3235</f>
        <v>0</v>
      </c>
      <c r="P3235" s="13">
        <f t="shared" ref="P3235:P3242" si="333">I3235*O3235*H3235/1000</f>
        <v>0</v>
      </c>
      <c r="Q3235" s="92">
        <v>6</v>
      </c>
      <c r="R3235" s="47">
        <v>1</v>
      </c>
      <c r="S3235" s="47" t="s">
        <v>531</v>
      </c>
    </row>
    <row r="3236" spans="1:19">
      <c r="A3236" s="42" t="s">
        <v>77</v>
      </c>
      <c r="B3236" s="3" t="s">
        <v>68</v>
      </c>
      <c r="C3236" s="3">
        <v>234</v>
      </c>
      <c r="D3236" s="1"/>
      <c r="E3236" s="20" t="s">
        <v>17</v>
      </c>
      <c r="F3236" s="7" t="s">
        <v>15</v>
      </c>
      <c r="G3236" s="7" t="s">
        <v>60</v>
      </c>
      <c r="H3236" s="11">
        <v>22.93</v>
      </c>
      <c r="I3236" s="8">
        <v>6.9</v>
      </c>
      <c r="J3236" s="26">
        <v>1</v>
      </c>
      <c r="K3236" s="10">
        <f t="shared" si="330"/>
        <v>0.15821700000000002</v>
      </c>
      <c r="L3236" s="4"/>
      <c r="M3236" s="17">
        <v>1</v>
      </c>
      <c r="N3236" s="18">
        <f t="shared" si="331"/>
        <v>0.15821700000000002</v>
      </c>
      <c r="O3236" s="106">
        <f t="shared" si="332"/>
        <v>0</v>
      </c>
      <c r="P3236" s="13">
        <f t="shared" si="333"/>
        <v>0</v>
      </c>
      <c r="Q3236" s="92">
        <v>6.9</v>
      </c>
      <c r="R3236" s="47">
        <v>1</v>
      </c>
      <c r="S3236" s="47" t="s">
        <v>531</v>
      </c>
    </row>
    <row r="3237" spans="1:19">
      <c r="A3237" s="42" t="s">
        <v>77</v>
      </c>
      <c r="B3237" s="3" t="s">
        <v>68</v>
      </c>
      <c r="C3237" s="3">
        <v>234</v>
      </c>
      <c r="D3237" s="1"/>
      <c r="E3237" s="20" t="s">
        <v>17</v>
      </c>
      <c r="F3237" s="7" t="s">
        <v>15</v>
      </c>
      <c r="G3237" s="7" t="s">
        <v>60</v>
      </c>
      <c r="H3237" s="11">
        <v>22.93</v>
      </c>
      <c r="I3237" s="8">
        <v>7.6</v>
      </c>
      <c r="J3237" s="26">
        <v>1</v>
      </c>
      <c r="K3237" s="10">
        <f t="shared" si="330"/>
        <v>0.17426800000000001</v>
      </c>
      <c r="L3237" s="4"/>
      <c r="M3237" s="17">
        <v>1</v>
      </c>
      <c r="N3237" s="18">
        <f t="shared" si="331"/>
        <v>0.17426800000000001</v>
      </c>
      <c r="O3237" s="19">
        <f t="shared" si="332"/>
        <v>0</v>
      </c>
      <c r="P3237" s="13">
        <f t="shared" si="333"/>
        <v>0</v>
      </c>
      <c r="Q3237" s="9"/>
      <c r="R3237" s="2"/>
      <c r="S3237" s="2"/>
    </row>
    <row r="3238" spans="1:19">
      <c r="A3238" s="42" t="s">
        <v>77</v>
      </c>
      <c r="B3238" s="3" t="s">
        <v>68</v>
      </c>
      <c r="C3238" s="3">
        <v>234</v>
      </c>
      <c r="D3238" s="1"/>
      <c r="E3238" s="20" t="s">
        <v>17</v>
      </c>
      <c r="F3238" s="7" t="s">
        <v>15</v>
      </c>
      <c r="G3238" s="7" t="s">
        <v>60</v>
      </c>
      <c r="H3238" s="11">
        <v>22.93</v>
      </c>
      <c r="I3238" s="8">
        <v>9.5</v>
      </c>
      <c r="J3238" s="26">
        <v>1</v>
      </c>
      <c r="K3238" s="10">
        <f t="shared" si="330"/>
        <v>0.217835</v>
      </c>
      <c r="L3238" s="4"/>
      <c r="M3238" s="17"/>
      <c r="N3238" s="18">
        <f t="shared" si="331"/>
        <v>0</v>
      </c>
      <c r="O3238" s="19">
        <f t="shared" si="332"/>
        <v>1</v>
      </c>
      <c r="P3238" s="13">
        <f t="shared" si="333"/>
        <v>0.217835</v>
      </c>
      <c r="Q3238" s="9"/>
      <c r="R3238" s="2"/>
      <c r="S3238" s="2"/>
    </row>
    <row r="3239" spans="1:19">
      <c r="A3239" s="42" t="s">
        <v>77</v>
      </c>
      <c r="B3239" s="3" t="s">
        <v>68</v>
      </c>
      <c r="C3239" s="3">
        <v>234</v>
      </c>
      <c r="D3239" s="1"/>
      <c r="E3239" s="20" t="s">
        <v>17</v>
      </c>
      <c r="F3239" s="7" t="s">
        <v>15</v>
      </c>
      <c r="G3239" s="7" t="s">
        <v>60</v>
      </c>
      <c r="H3239" s="11">
        <v>22.93</v>
      </c>
      <c r="I3239" s="8">
        <v>10</v>
      </c>
      <c r="J3239" s="26">
        <v>1</v>
      </c>
      <c r="K3239" s="10">
        <f t="shared" si="330"/>
        <v>0.2293</v>
      </c>
      <c r="L3239" s="4"/>
      <c r="M3239" s="17">
        <v>1</v>
      </c>
      <c r="N3239" s="18">
        <f t="shared" si="331"/>
        <v>0.2293</v>
      </c>
      <c r="O3239" s="19">
        <f t="shared" si="332"/>
        <v>0</v>
      </c>
      <c r="P3239" s="13">
        <f t="shared" si="333"/>
        <v>0</v>
      </c>
      <c r="Q3239" s="9"/>
      <c r="R3239" s="2"/>
      <c r="S3239" s="2"/>
    </row>
    <row r="3240" spans="1:19">
      <c r="A3240" s="42" t="s">
        <v>77</v>
      </c>
      <c r="B3240" s="3" t="s">
        <v>68</v>
      </c>
      <c r="C3240" s="3">
        <v>234</v>
      </c>
      <c r="D3240" s="1"/>
      <c r="E3240" s="20" t="s">
        <v>17</v>
      </c>
      <c r="F3240" s="7" t="s">
        <v>15</v>
      </c>
      <c r="G3240" s="7" t="s">
        <v>60</v>
      </c>
      <c r="H3240" s="11">
        <v>22.93</v>
      </c>
      <c r="I3240" s="8">
        <v>10.5</v>
      </c>
      <c r="J3240" s="26">
        <v>1</v>
      </c>
      <c r="K3240" s="10">
        <f t="shared" si="330"/>
        <v>0.24076499999999998</v>
      </c>
      <c r="L3240" s="4"/>
      <c r="M3240" s="17"/>
      <c r="N3240" s="18">
        <f t="shared" si="331"/>
        <v>0</v>
      </c>
      <c r="O3240" s="19">
        <f t="shared" si="332"/>
        <v>1</v>
      </c>
      <c r="P3240" s="13">
        <f t="shared" si="333"/>
        <v>0.24076499999999998</v>
      </c>
      <c r="Q3240" s="9"/>
      <c r="R3240" s="2"/>
      <c r="S3240" s="2"/>
    </row>
    <row r="3241" spans="1:19">
      <c r="A3241" s="42" t="s">
        <v>77</v>
      </c>
      <c r="B3241" s="3" t="s">
        <v>68</v>
      </c>
      <c r="C3241" s="3">
        <v>234</v>
      </c>
      <c r="D3241" s="1"/>
      <c r="E3241" s="20" t="s">
        <v>17</v>
      </c>
      <c r="F3241" s="7" t="s">
        <v>15</v>
      </c>
      <c r="G3241" s="7" t="s">
        <v>60</v>
      </c>
      <c r="H3241" s="11">
        <v>22.93</v>
      </c>
      <c r="I3241" s="8">
        <v>11.5</v>
      </c>
      <c r="J3241" s="26">
        <v>1</v>
      </c>
      <c r="K3241" s="10">
        <f t="shared" si="330"/>
        <v>0.26369500000000001</v>
      </c>
      <c r="L3241" s="4"/>
      <c r="M3241" s="17">
        <v>1</v>
      </c>
      <c r="N3241" s="18">
        <f t="shared" si="331"/>
        <v>0.26369500000000001</v>
      </c>
      <c r="O3241" s="19">
        <f t="shared" si="332"/>
        <v>0</v>
      </c>
      <c r="P3241" s="13">
        <f t="shared" si="333"/>
        <v>0</v>
      </c>
      <c r="Q3241" s="9"/>
      <c r="R3241" s="2"/>
      <c r="S3241" s="2"/>
    </row>
    <row r="3242" spans="1:19">
      <c r="A3242" s="42" t="s">
        <v>77</v>
      </c>
      <c r="B3242" s="3" t="s">
        <v>68</v>
      </c>
      <c r="C3242" s="3">
        <v>234</v>
      </c>
      <c r="D3242" s="1"/>
      <c r="E3242" s="20" t="s">
        <v>17</v>
      </c>
      <c r="F3242" s="7" t="s">
        <v>15</v>
      </c>
      <c r="G3242" s="7" t="s">
        <v>60</v>
      </c>
      <c r="H3242" s="11">
        <v>22.93</v>
      </c>
      <c r="I3242" s="8">
        <v>11.7</v>
      </c>
      <c r="J3242" s="26">
        <v>1</v>
      </c>
      <c r="K3242" s="10">
        <f t="shared" si="330"/>
        <v>0.26828099999999999</v>
      </c>
      <c r="L3242" s="4"/>
      <c r="M3242" s="17">
        <v>1</v>
      </c>
      <c r="N3242" s="18">
        <f t="shared" si="331"/>
        <v>0.26828099999999999</v>
      </c>
      <c r="O3242" s="19">
        <f t="shared" si="332"/>
        <v>0</v>
      </c>
      <c r="P3242" s="13">
        <f t="shared" si="333"/>
        <v>0</v>
      </c>
      <c r="Q3242" s="9"/>
      <c r="R3242" s="2"/>
      <c r="S3242" s="2"/>
    </row>
    <row r="3243" spans="1:19">
      <c r="O3243" s="215">
        <f>SUM(O3235:O3242)</f>
        <v>2</v>
      </c>
      <c r="R3243" s="215">
        <f>SUM(R3235:R3242)</f>
        <v>2</v>
      </c>
    </row>
    <row r="3245" spans="1:19">
      <c r="B3245" s="110" t="s">
        <v>308</v>
      </c>
      <c r="C3245" s="111" t="s">
        <v>309</v>
      </c>
      <c r="D3245" s="112" t="s">
        <v>228</v>
      </c>
      <c r="E3245" s="118" t="s">
        <v>17</v>
      </c>
      <c r="F3245" s="175" t="s">
        <v>15</v>
      </c>
      <c r="G3245" s="175" t="s">
        <v>59</v>
      </c>
      <c r="H3245" s="176">
        <v>38</v>
      </c>
      <c r="I3245" s="177">
        <v>6</v>
      </c>
      <c r="J3245" s="178">
        <v>11</v>
      </c>
      <c r="K3245" s="174">
        <f t="shared" ref="K3245:K3249" si="334">(H3245*I3245*J3245/1000)</f>
        <v>2.508</v>
      </c>
      <c r="L3245" s="118"/>
      <c r="M3245" s="111">
        <v>11</v>
      </c>
      <c r="N3245" s="117">
        <f t="shared" ref="N3245:N3252" si="335">I3245*M3245*H3245/1000</f>
        <v>2.508</v>
      </c>
      <c r="O3245" s="119">
        <f t="shared" ref="O3245:O3252" si="336">J3245-M3245</f>
        <v>0</v>
      </c>
      <c r="P3245" s="120">
        <f t="shared" ref="P3245:P3248" si="337">I3245*O3245*H3245/1000</f>
        <v>0</v>
      </c>
      <c r="Q3245" s="111"/>
      <c r="R3245" s="111"/>
      <c r="S3245" s="111"/>
    </row>
    <row r="3246" spans="1:19">
      <c r="B3246" s="110" t="s">
        <v>308</v>
      </c>
      <c r="C3246" s="111" t="s">
        <v>309</v>
      </c>
      <c r="D3246" s="112" t="s">
        <v>228</v>
      </c>
      <c r="E3246" s="118" t="s">
        <v>17</v>
      </c>
      <c r="F3246" s="175" t="s">
        <v>15</v>
      </c>
      <c r="G3246" s="175" t="s">
        <v>59</v>
      </c>
      <c r="H3246" s="176">
        <v>38</v>
      </c>
      <c r="I3246" s="177">
        <v>7.5</v>
      </c>
      <c r="J3246" s="178">
        <v>2</v>
      </c>
      <c r="K3246" s="174">
        <f t="shared" si="334"/>
        <v>0.56999999999999995</v>
      </c>
      <c r="L3246" s="118"/>
      <c r="M3246" s="111">
        <v>2</v>
      </c>
      <c r="N3246" s="117">
        <f t="shared" si="335"/>
        <v>0.56999999999999995</v>
      </c>
      <c r="O3246" s="119">
        <f t="shared" si="336"/>
        <v>0</v>
      </c>
      <c r="P3246" s="120">
        <f t="shared" si="337"/>
        <v>0</v>
      </c>
      <c r="Q3246" s="111"/>
      <c r="R3246" s="111"/>
      <c r="S3246" s="111"/>
    </row>
    <row r="3247" spans="1:19">
      <c r="B3247" s="110" t="s">
        <v>308</v>
      </c>
      <c r="C3247" s="111" t="s">
        <v>309</v>
      </c>
      <c r="D3247" s="112" t="s">
        <v>228</v>
      </c>
      <c r="E3247" s="118" t="s">
        <v>17</v>
      </c>
      <c r="F3247" s="175" t="s">
        <v>15</v>
      </c>
      <c r="G3247" s="175" t="s">
        <v>59</v>
      </c>
      <c r="H3247" s="176">
        <v>38</v>
      </c>
      <c r="I3247" s="177">
        <v>6.6</v>
      </c>
      <c r="J3247" s="178">
        <v>1</v>
      </c>
      <c r="K3247" s="174">
        <f t="shared" si="334"/>
        <v>0.25079999999999997</v>
      </c>
      <c r="L3247" s="118"/>
      <c r="M3247" s="111">
        <v>1</v>
      </c>
      <c r="N3247" s="117">
        <f t="shared" si="335"/>
        <v>0.25079999999999997</v>
      </c>
      <c r="O3247" s="119">
        <f t="shared" si="336"/>
        <v>0</v>
      </c>
      <c r="P3247" s="120">
        <f t="shared" si="337"/>
        <v>0</v>
      </c>
      <c r="Q3247" s="111"/>
      <c r="R3247" s="111"/>
      <c r="S3247" s="111"/>
    </row>
    <row r="3248" spans="1:19">
      <c r="B3248" s="110" t="s">
        <v>308</v>
      </c>
      <c r="C3248" s="111" t="s">
        <v>309</v>
      </c>
      <c r="D3248" s="112" t="s">
        <v>228</v>
      </c>
      <c r="E3248" s="118" t="s">
        <v>17</v>
      </c>
      <c r="F3248" s="175" t="s">
        <v>15</v>
      </c>
      <c r="G3248" s="175" t="s">
        <v>59</v>
      </c>
      <c r="H3248" s="176">
        <v>38</v>
      </c>
      <c r="I3248" s="177">
        <v>7.6</v>
      </c>
      <c r="J3248" s="178">
        <v>1</v>
      </c>
      <c r="K3248" s="174">
        <f t="shared" si="334"/>
        <v>0.2888</v>
      </c>
      <c r="L3248" s="118"/>
      <c r="M3248" s="111">
        <v>1</v>
      </c>
      <c r="N3248" s="117">
        <f t="shared" si="335"/>
        <v>0.2888</v>
      </c>
      <c r="O3248" s="119">
        <f t="shared" si="336"/>
        <v>0</v>
      </c>
      <c r="P3248" s="120">
        <f t="shared" si="337"/>
        <v>0</v>
      </c>
      <c r="Q3248" s="111"/>
      <c r="R3248" s="111"/>
      <c r="S3248" s="111"/>
    </row>
    <row r="3249" spans="1:19">
      <c r="B3249" s="110" t="s">
        <v>308</v>
      </c>
      <c r="C3249" s="111" t="s">
        <v>309</v>
      </c>
      <c r="D3249" s="112" t="s">
        <v>228</v>
      </c>
      <c r="E3249" s="118" t="s">
        <v>17</v>
      </c>
      <c r="F3249" s="175" t="s">
        <v>15</v>
      </c>
      <c r="G3249" s="175" t="s">
        <v>59</v>
      </c>
      <c r="H3249" s="176">
        <v>38</v>
      </c>
      <c r="I3249" s="177">
        <v>7.2</v>
      </c>
      <c r="J3249" s="178">
        <v>2</v>
      </c>
      <c r="K3249" s="174">
        <f t="shared" si="334"/>
        <v>0.54720000000000002</v>
      </c>
      <c r="L3249" s="118"/>
      <c r="M3249" s="111">
        <v>2</v>
      </c>
      <c r="N3249" s="117">
        <f t="shared" si="335"/>
        <v>0.54720000000000002</v>
      </c>
      <c r="O3249" s="119">
        <f t="shared" si="336"/>
        <v>0</v>
      </c>
      <c r="P3249" s="120">
        <f>I3249*O3249*H3249/1000</f>
        <v>0</v>
      </c>
      <c r="Q3249" s="79">
        <v>7.2</v>
      </c>
      <c r="R3249" s="72">
        <v>2</v>
      </c>
      <c r="S3249" s="72" t="s">
        <v>532</v>
      </c>
    </row>
    <row r="3250" spans="1:19">
      <c r="B3250" s="110" t="s">
        <v>308</v>
      </c>
      <c r="C3250" s="111" t="s">
        <v>309</v>
      </c>
      <c r="D3250" s="112" t="s">
        <v>228</v>
      </c>
      <c r="E3250" s="118" t="s">
        <v>17</v>
      </c>
      <c r="F3250" s="175" t="s">
        <v>15</v>
      </c>
      <c r="G3250" s="175" t="s">
        <v>59</v>
      </c>
      <c r="H3250" s="176">
        <v>38</v>
      </c>
      <c r="I3250" s="177">
        <v>6</v>
      </c>
      <c r="J3250" s="178">
        <v>1</v>
      </c>
      <c r="K3250" s="174">
        <f>(H3250*I3250*J3250/1000)</f>
        <v>0.22800000000000001</v>
      </c>
      <c r="L3250" s="118"/>
      <c r="M3250" s="111">
        <v>1</v>
      </c>
      <c r="N3250" s="117">
        <f t="shared" si="335"/>
        <v>0.22800000000000001</v>
      </c>
      <c r="O3250" s="119">
        <f t="shared" si="336"/>
        <v>0</v>
      </c>
      <c r="P3250" s="120">
        <f>I3250*O3250*H3250/1000</f>
        <v>0</v>
      </c>
      <c r="Q3250" s="79"/>
      <c r="R3250" s="72"/>
      <c r="S3250" s="72"/>
    </row>
    <row r="3251" spans="1:19">
      <c r="B3251" s="110" t="s">
        <v>308</v>
      </c>
      <c r="C3251" s="111" t="s">
        <v>309</v>
      </c>
      <c r="D3251" s="112" t="s">
        <v>228</v>
      </c>
      <c r="E3251" s="118" t="s">
        <v>17</v>
      </c>
      <c r="F3251" s="175" t="s">
        <v>15</v>
      </c>
      <c r="G3251" s="175" t="s">
        <v>59</v>
      </c>
      <c r="H3251" s="176">
        <v>38</v>
      </c>
      <c r="I3251" s="177">
        <v>7.5</v>
      </c>
      <c r="J3251" s="178">
        <v>1</v>
      </c>
      <c r="K3251" s="174">
        <f>(H3251*I3251*J3251/1000)</f>
        <v>0.28499999999999998</v>
      </c>
      <c r="L3251" s="118"/>
      <c r="M3251" s="111">
        <v>1</v>
      </c>
      <c r="N3251" s="117">
        <f t="shared" si="335"/>
        <v>0.28499999999999998</v>
      </c>
      <c r="O3251" s="119">
        <f t="shared" si="336"/>
        <v>0</v>
      </c>
      <c r="P3251" s="120">
        <f>I3251*O3251*H3251/1000</f>
        <v>0</v>
      </c>
      <c r="Q3251" s="79">
        <v>7.5</v>
      </c>
      <c r="R3251" s="72">
        <v>1</v>
      </c>
      <c r="S3251" s="72" t="s">
        <v>532</v>
      </c>
    </row>
    <row r="3252" spans="1:19">
      <c r="B3252" s="110" t="s">
        <v>308</v>
      </c>
      <c r="C3252" s="111" t="s">
        <v>309</v>
      </c>
      <c r="D3252" s="112" t="s">
        <v>228</v>
      </c>
      <c r="E3252" s="118" t="s">
        <v>17</v>
      </c>
      <c r="F3252" s="175" t="s">
        <v>15</v>
      </c>
      <c r="G3252" s="175" t="s">
        <v>59</v>
      </c>
      <c r="H3252" s="176">
        <v>38</v>
      </c>
      <c r="I3252" s="177">
        <v>10</v>
      </c>
      <c r="J3252" s="178">
        <v>1</v>
      </c>
      <c r="K3252" s="174">
        <f>(H3252*I3252*J3252/1000)</f>
        <v>0.38</v>
      </c>
      <c r="L3252" s="118"/>
      <c r="M3252" s="111">
        <v>1</v>
      </c>
      <c r="N3252" s="117">
        <f t="shared" si="335"/>
        <v>0.38</v>
      </c>
      <c r="O3252" s="119">
        <f t="shared" si="336"/>
        <v>0</v>
      </c>
      <c r="P3252" s="120">
        <f>I3252*O3252*H3252/1000</f>
        <v>0</v>
      </c>
      <c r="Q3252" s="79">
        <v>10</v>
      </c>
      <c r="R3252" s="72">
        <v>1</v>
      </c>
      <c r="S3252" s="72" t="s">
        <v>532</v>
      </c>
    </row>
    <row r="3253" spans="1:19">
      <c r="B3253" s="32"/>
      <c r="C3253" s="32"/>
      <c r="D3253" s="32"/>
      <c r="E3253" s="32"/>
      <c r="F3253" s="32"/>
      <c r="G3253" s="32"/>
      <c r="H3253" s="32"/>
      <c r="I3253" s="32"/>
      <c r="J3253" s="131">
        <f>SUM(J3245:J3252)</f>
        <v>20</v>
      </c>
      <c r="K3253" s="124">
        <f>SUM(K3245:K3252)</f>
        <v>5.0577999999999994</v>
      </c>
      <c r="L3253" s="32"/>
      <c r="M3253" s="171">
        <f>SUM(M3245:M3252)</f>
        <v>20</v>
      </c>
      <c r="N3253" s="132">
        <f>SUM(N3245:N3252)</f>
        <v>5.0577999999999994</v>
      </c>
      <c r="O3253" s="131">
        <f>SUM(O3245:O3252)</f>
        <v>0</v>
      </c>
      <c r="P3253" s="132">
        <f>SUM(P3245:P3252)</f>
        <v>0</v>
      </c>
      <c r="Q3253" s="32"/>
      <c r="R3253" s="171">
        <f>SUM(R3245:R3252)</f>
        <v>4</v>
      </c>
      <c r="S3253" s="32"/>
    </row>
    <row r="3256" spans="1:19">
      <c r="A3256" s="45" t="s">
        <v>136</v>
      </c>
      <c r="B3256" s="32" t="s">
        <v>137</v>
      </c>
      <c r="C3256" s="3">
        <v>1</v>
      </c>
      <c r="D3256" s="32"/>
      <c r="E3256" s="20" t="s">
        <v>96</v>
      </c>
      <c r="F3256" s="7" t="s">
        <v>15</v>
      </c>
      <c r="G3256" s="7" t="s">
        <v>64</v>
      </c>
      <c r="H3256" s="11">
        <v>40.1</v>
      </c>
      <c r="I3256" s="33">
        <v>6</v>
      </c>
      <c r="J3256" s="40">
        <v>1</v>
      </c>
      <c r="K3256" s="10">
        <v>0.24060000000000004</v>
      </c>
      <c r="L3256" s="4"/>
      <c r="M3256" s="17"/>
      <c r="N3256" s="18">
        <v>0</v>
      </c>
      <c r="O3256" s="19">
        <v>1</v>
      </c>
      <c r="P3256" s="13">
        <v>0.24060000000000004</v>
      </c>
      <c r="Q3256" s="32"/>
      <c r="R3256" s="32"/>
      <c r="S3256" s="32"/>
    </row>
    <row r="3257" spans="1:19">
      <c r="A3257" s="45" t="s">
        <v>136</v>
      </c>
      <c r="B3257" s="32" t="s">
        <v>137</v>
      </c>
      <c r="C3257" s="3">
        <v>1</v>
      </c>
      <c r="D3257" s="32"/>
      <c r="E3257" s="20" t="s">
        <v>96</v>
      </c>
      <c r="F3257" s="7" t="s">
        <v>15</v>
      </c>
      <c r="G3257" s="7" t="s">
        <v>64</v>
      </c>
      <c r="H3257" s="11">
        <v>40.1</v>
      </c>
      <c r="I3257" s="33">
        <v>6.6</v>
      </c>
      <c r="J3257" s="40">
        <v>2</v>
      </c>
      <c r="K3257" s="10">
        <v>0.5293199999999999</v>
      </c>
      <c r="L3257" s="4"/>
      <c r="M3257" s="17"/>
      <c r="N3257" s="18">
        <v>0</v>
      </c>
      <c r="O3257" s="19">
        <v>2</v>
      </c>
      <c r="P3257" s="13">
        <v>0.5293199999999999</v>
      </c>
      <c r="Q3257" s="32"/>
      <c r="R3257" s="32"/>
      <c r="S3257" s="32"/>
    </row>
    <row r="3258" spans="1:19">
      <c r="A3258" s="45" t="s">
        <v>136</v>
      </c>
      <c r="B3258" s="32" t="s">
        <v>137</v>
      </c>
      <c r="C3258" s="3">
        <v>2</v>
      </c>
      <c r="D3258" s="32"/>
      <c r="E3258" s="20" t="s">
        <v>89</v>
      </c>
      <c r="F3258" s="7" t="s">
        <v>15</v>
      </c>
      <c r="G3258" s="7" t="s">
        <v>64</v>
      </c>
      <c r="H3258" s="11">
        <v>40.1</v>
      </c>
      <c r="I3258" s="33">
        <v>9.1</v>
      </c>
      <c r="J3258" s="40">
        <v>3</v>
      </c>
      <c r="K3258" s="10">
        <v>1.09473</v>
      </c>
      <c r="L3258" s="4" t="s">
        <v>140</v>
      </c>
      <c r="M3258" s="17">
        <v>3</v>
      </c>
      <c r="N3258" s="18">
        <v>1.09473</v>
      </c>
      <c r="O3258" s="19">
        <v>0</v>
      </c>
      <c r="P3258" s="13">
        <v>0</v>
      </c>
      <c r="Q3258" s="32"/>
      <c r="R3258" s="32"/>
      <c r="S3258" s="32"/>
    </row>
    <row r="3259" spans="1:19">
      <c r="A3259" s="45" t="s">
        <v>136</v>
      </c>
      <c r="B3259" s="32" t="s">
        <v>137</v>
      </c>
      <c r="C3259" s="3">
        <v>2</v>
      </c>
      <c r="D3259" s="32"/>
      <c r="E3259" s="20" t="s">
        <v>89</v>
      </c>
      <c r="F3259" s="7" t="s">
        <v>15</v>
      </c>
      <c r="G3259" s="7" t="s">
        <v>64</v>
      </c>
      <c r="H3259" s="11">
        <v>40.1</v>
      </c>
      <c r="I3259" s="33">
        <v>9.8000000000000007</v>
      </c>
      <c r="J3259" s="40">
        <v>1</v>
      </c>
      <c r="K3259" s="10">
        <v>0.39298</v>
      </c>
      <c r="L3259" s="4" t="s">
        <v>140</v>
      </c>
      <c r="M3259" s="17"/>
      <c r="N3259" s="18">
        <v>0</v>
      </c>
      <c r="O3259" s="19">
        <v>1</v>
      </c>
      <c r="P3259" s="13">
        <v>0.39298</v>
      </c>
      <c r="Q3259" s="32"/>
      <c r="R3259" s="32"/>
      <c r="S3259" s="32"/>
    </row>
    <row r="3260" spans="1:19">
      <c r="A3260" s="45" t="s">
        <v>136</v>
      </c>
      <c r="B3260" s="32" t="s">
        <v>137</v>
      </c>
      <c r="C3260" s="3">
        <v>3</v>
      </c>
      <c r="D3260" s="32"/>
      <c r="E3260" s="20" t="s">
        <v>20</v>
      </c>
      <c r="F3260" s="7" t="s">
        <v>15</v>
      </c>
      <c r="G3260" s="7" t="s">
        <v>64</v>
      </c>
      <c r="H3260" s="11">
        <v>40.1</v>
      </c>
      <c r="I3260" s="33">
        <v>9</v>
      </c>
      <c r="J3260" s="40">
        <v>1</v>
      </c>
      <c r="K3260" s="10">
        <v>0.36090000000000005</v>
      </c>
      <c r="L3260" s="4"/>
      <c r="M3260" s="17">
        <v>1</v>
      </c>
      <c r="N3260" s="18">
        <v>0.36090000000000005</v>
      </c>
      <c r="O3260" s="106">
        <v>0</v>
      </c>
      <c r="P3260" s="13">
        <v>0</v>
      </c>
      <c r="Q3260" s="79">
        <v>9</v>
      </c>
      <c r="R3260" s="72">
        <v>1</v>
      </c>
      <c r="S3260" s="72" t="s">
        <v>533</v>
      </c>
    </row>
    <row r="3261" spans="1:19">
      <c r="A3261" s="45" t="s">
        <v>136</v>
      </c>
      <c r="B3261" s="32" t="s">
        <v>137</v>
      </c>
      <c r="C3261" s="3">
        <v>1</v>
      </c>
      <c r="D3261" s="32"/>
      <c r="E3261" s="20" t="s">
        <v>20</v>
      </c>
      <c r="F3261" s="7" t="s">
        <v>15</v>
      </c>
      <c r="G3261" s="7" t="s">
        <v>64</v>
      </c>
      <c r="H3261" s="11">
        <v>40.1</v>
      </c>
      <c r="I3261" s="33">
        <v>5</v>
      </c>
      <c r="J3261" s="40">
        <v>1</v>
      </c>
      <c r="K3261" s="10">
        <v>0.20050000000000001</v>
      </c>
      <c r="L3261" s="4"/>
      <c r="M3261" s="17"/>
      <c r="N3261" s="18">
        <v>0</v>
      </c>
      <c r="O3261" s="19">
        <v>1</v>
      </c>
      <c r="P3261" s="13">
        <v>0.20050000000000001</v>
      </c>
      <c r="Q3261" s="79"/>
      <c r="R3261" s="72"/>
      <c r="S3261" s="72"/>
    </row>
    <row r="3262" spans="1:19">
      <c r="A3262" s="45" t="s">
        <v>136</v>
      </c>
      <c r="B3262" s="32" t="s">
        <v>137</v>
      </c>
      <c r="C3262" s="3">
        <v>59</v>
      </c>
      <c r="D3262" s="32"/>
      <c r="E3262" s="20" t="s">
        <v>20</v>
      </c>
      <c r="F3262" s="7" t="s">
        <v>15</v>
      </c>
      <c r="G3262" s="7" t="s">
        <v>64</v>
      </c>
      <c r="H3262" s="11">
        <v>40.1</v>
      </c>
      <c r="I3262" s="33">
        <v>8</v>
      </c>
      <c r="J3262" s="40">
        <v>1</v>
      </c>
      <c r="K3262" s="10">
        <v>0.32080000000000003</v>
      </c>
      <c r="L3262" s="4"/>
      <c r="M3262" s="17">
        <v>1</v>
      </c>
      <c r="N3262" s="18">
        <v>0.32080000000000003</v>
      </c>
      <c r="O3262" s="106">
        <v>0</v>
      </c>
      <c r="P3262" s="13">
        <v>0</v>
      </c>
      <c r="Q3262" s="79">
        <v>8</v>
      </c>
      <c r="R3262" s="72">
        <v>1</v>
      </c>
      <c r="S3262" s="72" t="s">
        <v>533</v>
      </c>
    </row>
    <row r="3263" spans="1:19">
      <c r="A3263" s="45" t="s">
        <v>136</v>
      </c>
      <c r="B3263" s="32" t="s">
        <v>137</v>
      </c>
      <c r="C3263" s="3">
        <v>59</v>
      </c>
      <c r="D3263" s="32"/>
      <c r="E3263" s="20" t="s">
        <v>20</v>
      </c>
      <c r="F3263" s="7" t="s">
        <v>15</v>
      </c>
      <c r="G3263" s="7" t="s">
        <v>64</v>
      </c>
      <c r="H3263" s="11">
        <v>40.1</v>
      </c>
      <c r="I3263" s="33">
        <v>8.3000000000000007</v>
      </c>
      <c r="J3263" s="40">
        <v>1</v>
      </c>
      <c r="K3263" s="10">
        <v>0.33283000000000001</v>
      </c>
      <c r="L3263" s="4"/>
      <c r="M3263" s="17">
        <v>1</v>
      </c>
      <c r="N3263" s="18">
        <v>0.33283000000000001</v>
      </c>
      <c r="O3263" s="106">
        <v>0</v>
      </c>
      <c r="P3263" s="13">
        <v>0</v>
      </c>
      <c r="Q3263" s="79">
        <v>8.3000000000000007</v>
      </c>
      <c r="R3263" s="72">
        <v>1</v>
      </c>
      <c r="S3263" s="72" t="s">
        <v>533</v>
      </c>
    </row>
    <row r="3264" spans="1:19">
      <c r="A3264" s="45" t="s">
        <v>136</v>
      </c>
      <c r="B3264" s="32" t="s">
        <v>137</v>
      </c>
      <c r="C3264" s="3">
        <v>61</v>
      </c>
      <c r="D3264" s="32"/>
      <c r="E3264" s="20" t="s">
        <v>20</v>
      </c>
      <c r="F3264" s="7" t="s">
        <v>15</v>
      </c>
      <c r="G3264" s="7" t="s">
        <v>64</v>
      </c>
      <c r="H3264" s="11">
        <v>40.1</v>
      </c>
      <c r="I3264" s="33">
        <v>9.5</v>
      </c>
      <c r="J3264" s="40">
        <v>1</v>
      </c>
      <c r="K3264" s="10">
        <v>0.38095000000000001</v>
      </c>
      <c r="L3264" s="4"/>
      <c r="M3264" s="17">
        <v>1</v>
      </c>
      <c r="N3264" s="18">
        <v>0.38095000000000001</v>
      </c>
      <c r="O3264" s="106">
        <v>0</v>
      </c>
      <c r="P3264" s="13">
        <v>0</v>
      </c>
      <c r="Q3264" s="79">
        <v>9.5</v>
      </c>
      <c r="R3264" s="72">
        <v>1</v>
      </c>
      <c r="S3264" s="72" t="s">
        <v>533</v>
      </c>
    </row>
    <row r="3265" spans="1:20">
      <c r="A3265" s="45" t="s">
        <v>136</v>
      </c>
      <c r="B3265" s="32" t="s">
        <v>137</v>
      </c>
      <c r="C3265" s="3">
        <v>77</v>
      </c>
      <c r="D3265" s="32"/>
      <c r="E3265" s="20" t="s">
        <v>20</v>
      </c>
      <c r="F3265" s="7" t="s">
        <v>15</v>
      </c>
      <c r="G3265" s="7" t="s">
        <v>64</v>
      </c>
      <c r="H3265" s="11">
        <v>40.1</v>
      </c>
      <c r="I3265" s="33">
        <v>8.6999999999999993</v>
      </c>
      <c r="J3265" s="40">
        <v>1</v>
      </c>
      <c r="K3265" s="10">
        <v>0.34887000000000001</v>
      </c>
      <c r="L3265" s="4"/>
      <c r="M3265" s="17">
        <v>1</v>
      </c>
      <c r="N3265" s="18">
        <v>0.34887000000000001</v>
      </c>
      <c r="O3265" s="106">
        <v>0</v>
      </c>
      <c r="P3265" s="13">
        <v>0</v>
      </c>
      <c r="Q3265" s="79">
        <v>8.6999999999999993</v>
      </c>
      <c r="R3265" s="72">
        <v>1</v>
      </c>
      <c r="S3265" s="72" t="s">
        <v>533</v>
      </c>
    </row>
    <row r="3266" spans="1:20">
      <c r="O3266" s="78">
        <f>SUM(O3256:O3265)</f>
        <v>5</v>
      </c>
      <c r="R3266" s="215">
        <f>SUM(R3256:R3265)</f>
        <v>5</v>
      </c>
    </row>
    <row r="3268" spans="1:20">
      <c r="A3268" s="42" t="s">
        <v>90</v>
      </c>
      <c r="B3268" s="48" t="s">
        <v>148</v>
      </c>
      <c r="C3268" s="32">
        <v>1</v>
      </c>
      <c r="D3268" s="32"/>
      <c r="E3268" s="48" t="s">
        <v>19</v>
      </c>
      <c r="F3268" s="48" t="s">
        <v>14</v>
      </c>
      <c r="G3268" s="48" t="s">
        <v>149</v>
      </c>
      <c r="H3268" s="49">
        <v>6.39</v>
      </c>
      <c r="I3268" s="50">
        <v>12</v>
      </c>
      <c r="J3268" s="2">
        <v>1</v>
      </c>
      <c r="K3268" s="10">
        <f t="shared" ref="K3268:K3273" si="338">(H3268*I3268*J3268/1000)</f>
        <v>7.6679999999999998E-2</v>
      </c>
      <c r="L3268" s="32"/>
      <c r="M3268" s="32"/>
      <c r="N3268" s="18">
        <f t="shared" ref="N3268:N3273" si="339">I3268*M3268*H3268/1000</f>
        <v>0</v>
      </c>
      <c r="O3268" s="19">
        <f t="shared" ref="O3268:O3273" si="340">J3268-M3268</f>
        <v>1</v>
      </c>
      <c r="P3268" s="13">
        <f t="shared" ref="P3268:P3273" si="341">I3268*O3268*H3268/1000</f>
        <v>7.6679999999999998E-2</v>
      </c>
      <c r="Q3268" s="32"/>
      <c r="R3268" s="32"/>
      <c r="S3268" s="32"/>
    </row>
    <row r="3269" spans="1:20">
      <c r="A3269" s="42" t="s">
        <v>90</v>
      </c>
      <c r="B3269" s="48" t="s">
        <v>148</v>
      </c>
      <c r="C3269" s="32">
        <v>1</v>
      </c>
      <c r="D3269" s="32"/>
      <c r="E3269" s="48" t="s">
        <v>19</v>
      </c>
      <c r="F3269" s="48" t="s">
        <v>14</v>
      </c>
      <c r="G3269" s="48" t="s">
        <v>149</v>
      </c>
      <c r="H3269" s="49">
        <v>6.39</v>
      </c>
      <c r="I3269" s="51">
        <v>11</v>
      </c>
      <c r="J3269" s="2">
        <v>1</v>
      </c>
      <c r="K3269" s="10">
        <f t="shared" si="338"/>
        <v>7.0289999999999991E-2</v>
      </c>
      <c r="L3269" s="32"/>
      <c r="M3269" s="32"/>
      <c r="N3269" s="18">
        <f t="shared" si="339"/>
        <v>0</v>
      </c>
      <c r="O3269" s="19">
        <f t="shared" si="340"/>
        <v>1</v>
      </c>
      <c r="P3269" s="13">
        <f t="shared" si="341"/>
        <v>7.0289999999999991E-2</v>
      </c>
      <c r="Q3269" s="32"/>
      <c r="R3269" s="32"/>
      <c r="S3269" s="32"/>
    </row>
    <row r="3270" spans="1:20">
      <c r="A3270" s="42" t="s">
        <v>90</v>
      </c>
      <c r="B3270" s="48" t="s">
        <v>148</v>
      </c>
      <c r="C3270" s="32">
        <v>1</v>
      </c>
      <c r="D3270" s="32"/>
      <c r="E3270" s="48" t="s">
        <v>19</v>
      </c>
      <c r="F3270" s="48" t="s">
        <v>14</v>
      </c>
      <c r="G3270" s="48" t="s">
        <v>149</v>
      </c>
      <c r="H3270" s="49">
        <v>6.39</v>
      </c>
      <c r="I3270" s="50">
        <v>10</v>
      </c>
      <c r="J3270" s="2">
        <v>1</v>
      </c>
      <c r="K3270" s="10">
        <f t="shared" si="338"/>
        <v>6.3899999999999998E-2</v>
      </c>
      <c r="L3270" s="32"/>
      <c r="M3270" s="32"/>
      <c r="N3270" s="18">
        <f t="shared" si="339"/>
        <v>0</v>
      </c>
      <c r="O3270" s="19">
        <f t="shared" si="340"/>
        <v>1</v>
      </c>
      <c r="P3270" s="13">
        <f t="shared" si="341"/>
        <v>6.3899999999999998E-2</v>
      </c>
      <c r="Q3270" s="32"/>
      <c r="R3270" s="32"/>
      <c r="S3270" s="32"/>
    </row>
    <row r="3271" spans="1:20">
      <c r="A3271" s="42" t="s">
        <v>90</v>
      </c>
      <c r="B3271" s="48" t="s">
        <v>148</v>
      </c>
      <c r="C3271" s="32">
        <v>1</v>
      </c>
      <c r="D3271" s="32"/>
      <c r="E3271" s="48" t="s">
        <v>19</v>
      </c>
      <c r="F3271" s="48" t="s">
        <v>14</v>
      </c>
      <c r="G3271" s="48" t="s">
        <v>149</v>
      </c>
      <c r="H3271" s="49">
        <v>6.39</v>
      </c>
      <c r="I3271" s="51">
        <v>8.1999999999999993</v>
      </c>
      <c r="J3271" s="2">
        <v>4</v>
      </c>
      <c r="K3271" s="10">
        <f t="shared" si="338"/>
        <v>0.20959199999999997</v>
      </c>
      <c r="L3271" s="32"/>
      <c r="M3271" s="32">
        <v>4</v>
      </c>
      <c r="N3271" s="18">
        <f t="shared" si="339"/>
        <v>0.20959199999999997</v>
      </c>
      <c r="O3271" s="106">
        <f t="shared" si="340"/>
        <v>0</v>
      </c>
      <c r="P3271" s="13">
        <f t="shared" si="341"/>
        <v>0</v>
      </c>
      <c r="Q3271" s="79">
        <v>8.1999999999999993</v>
      </c>
      <c r="R3271" s="72">
        <v>4</v>
      </c>
      <c r="S3271" s="72" t="s">
        <v>534</v>
      </c>
    </row>
    <row r="3272" spans="1:20">
      <c r="A3272" s="42" t="s">
        <v>90</v>
      </c>
      <c r="B3272" s="48" t="s">
        <v>148</v>
      </c>
      <c r="C3272" s="32">
        <v>1</v>
      </c>
      <c r="D3272" s="32"/>
      <c r="E3272" s="48" t="s">
        <v>19</v>
      </c>
      <c r="F3272" s="48" t="s">
        <v>14</v>
      </c>
      <c r="G3272" s="48" t="s">
        <v>149</v>
      </c>
      <c r="H3272" s="49">
        <v>6.39</v>
      </c>
      <c r="I3272" s="51">
        <v>9.6999999999999993</v>
      </c>
      <c r="J3272" s="2">
        <v>1</v>
      </c>
      <c r="K3272" s="10">
        <f t="shared" si="338"/>
        <v>6.1982999999999989E-2</v>
      </c>
      <c r="L3272" s="32"/>
      <c r="M3272" s="32"/>
      <c r="N3272" s="18">
        <f t="shared" si="339"/>
        <v>0</v>
      </c>
      <c r="O3272" s="19">
        <f t="shared" si="340"/>
        <v>1</v>
      </c>
      <c r="P3272" s="13">
        <f t="shared" si="341"/>
        <v>6.1982999999999989E-2</v>
      </c>
      <c r="Q3272" s="32"/>
      <c r="R3272" s="32"/>
      <c r="S3272" s="32"/>
    </row>
    <row r="3273" spans="1:20">
      <c r="A3273" s="42" t="s">
        <v>90</v>
      </c>
      <c r="B3273" s="48" t="s">
        <v>148</v>
      </c>
      <c r="C3273" s="32">
        <v>1</v>
      </c>
      <c r="D3273" s="32"/>
      <c r="E3273" s="48" t="s">
        <v>19</v>
      </c>
      <c r="F3273" s="48" t="s">
        <v>14</v>
      </c>
      <c r="G3273" s="48" t="s">
        <v>149</v>
      </c>
      <c r="H3273" s="49">
        <v>6.39</v>
      </c>
      <c r="I3273" s="51">
        <v>9.8000000000000007</v>
      </c>
      <c r="J3273" s="3">
        <v>1</v>
      </c>
      <c r="K3273" s="10">
        <f t="shared" si="338"/>
        <v>6.2621999999999997E-2</v>
      </c>
      <c r="L3273" s="32"/>
      <c r="M3273" s="32"/>
      <c r="N3273" s="18">
        <f t="shared" si="339"/>
        <v>0</v>
      </c>
      <c r="O3273" s="19">
        <f t="shared" si="340"/>
        <v>1</v>
      </c>
      <c r="P3273" s="13">
        <f t="shared" si="341"/>
        <v>6.2621999999999997E-2</v>
      </c>
      <c r="Q3273" s="32"/>
      <c r="R3273" s="32"/>
      <c r="S3273" s="32"/>
    </row>
    <row r="3274" spans="1:20">
      <c r="R3274" s="76">
        <f>SUM(R3271:R3273)</f>
        <v>4</v>
      </c>
    </row>
    <row r="3277" spans="1:20" ht="15.6">
      <c r="B3277" s="110" t="s">
        <v>503</v>
      </c>
      <c r="C3277" s="111" t="s">
        <v>227</v>
      </c>
      <c r="D3277" s="112" t="s">
        <v>449</v>
      </c>
      <c r="E3277" s="113" t="s">
        <v>131</v>
      </c>
      <c r="F3277" s="114" t="s">
        <v>15</v>
      </c>
      <c r="G3277" s="115" t="s">
        <v>16</v>
      </c>
      <c r="H3277" s="116">
        <v>5.77</v>
      </c>
      <c r="I3277" s="125">
        <v>11</v>
      </c>
      <c r="J3277" s="111">
        <v>50</v>
      </c>
      <c r="K3277" s="117">
        <f t="shared" ref="K3277:K3283" si="342">I3277*H3277*J3277/1000</f>
        <v>3.1735000000000002</v>
      </c>
      <c r="L3277" s="118"/>
      <c r="M3277" s="111">
        <v>50</v>
      </c>
      <c r="N3277" s="117">
        <f t="shared" ref="N3277:N3283" si="343">I3277*M3277*H3277/1000</f>
        <v>3.1734999999999998</v>
      </c>
      <c r="O3277" s="119">
        <f t="shared" ref="O3277:O3283" si="344">J3277-M3277</f>
        <v>0</v>
      </c>
      <c r="P3277" s="120">
        <f t="shared" ref="P3277:P3283" si="345">I3277*O3277*H3277/1000</f>
        <v>0</v>
      </c>
      <c r="Q3277" s="32"/>
      <c r="R3277" s="32"/>
      <c r="S3277" s="32"/>
      <c r="T3277" s="32"/>
    </row>
    <row r="3278" spans="1:20" ht="15.6">
      <c r="B3278" s="110" t="s">
        <v>503</v>
      </c>
      <c r="C3278" s="111" t="s">
        <v>227</v>
      </c>
      <c r="D3278" s="112" t="s">
        <v>449</v>
      </c>
      <c r="E3278" s="113" t="s">
        <v>131</v>
      </c>
      <c r="F3278" s="114" t="s">
        <v>15</v>
      </c>
      <c r="G3278" s="115" t="s">
        <v>16</v>
      </c>
      <c r="H3278" s="116">
        <v>5.77</v>
      </c>
      <c r="I3278" s="125">
        <v>11</v>
      </c>
      <c r="J3278" s="111">
        <v>23</v>
      </c>
      <c r="K3278" s="117">
        <f t="shared" si="342"/>
        <v>1.4598100000000001</v>
      </c>
      <c r="L3278" s="118"/>
      <c r="M3278" s="111">
        <v>23</v>
      </c>
      <c r="N3278" s="117">
        <f t="shared" si="343"/>
        <v>1.4598100000000001</v>
      </c>
      <c r="O3278" s="119">
        <f t="shared" si="344"/>
        <v>0</v>
      </c>
      <c r="P3278" s="120">
        <f t="shared" si="345"/>
        <v>0</v>
      </c>
      <c r="Q3278" s="32"/>
      <c r="R3278" s="32"/>
      <c r="S3278" s="32"/>
      <c r="T3278" s="32"/>
    </row>
    <row r="3279" spans="1:20" ht="15.6">
      <c r="B3279" s="110" t="s">
        <v>503</v>
      </c>
      <c r="C3279" s="111" t="s">
        <v>227</v>
      </c>
      <c r="D3279" s="112" t="s">
        <v>449</v>
      </c>
      <c r="E3279" s="113" t="s">
        <v>131</v>
      </c>
      <c r="F3279" s="114" t="s">
        <v>15</v>
      </c>
      <c r="G3279" s="115" t="s">
        <v>16</v>
      </c>
      <c r="H3279" s="116">
        <v>5.77</v>
      </c>
      <c r="I3279" s="125">
        <v>8</v>
      </c>
      <c r="J3279" s="111">
        <v>1</v>
      </c>
      <c r="K3279" s="117">
        <f t="shared" si="342"/>
        <v>4.616E-2</v>
      </c>
      <c r="L3279" s="118"/>
      <c r="M3279" s="111">
        <v>1</v>
      </c>
      <c r="N3279" s="117">
        <f t="shared" si="343"/>
        <v>4.616E-2</v>
      </c>
      <c r="O3279" s="145">
        <f t="shared" si="344"/>
        <v>0</v>
      </c>
      <c r="P3279" s="120">
        <f t="shared" si="345"/>
        <v>0</v>
      </c>
      <c r="Q3279" s="75">
        <v>8</v>
      </c>
      <c r="R3279" s="72">
        <v>1</v>
      </c>
      <c r="S3279" s="72" t="s">
        <v>535</v>
      </c>
      <c r="T3279" s="32"/>
    </row>
    <row r="3280" spans="1:20" ht="15.6">
      <c r="B3280" s="110" t="s">
        <v>503</v>
      </c>
      <c r="C3280" s="111" t="s">
        <v>227</v>
      </c>
      <c r="D3280" s="112" t="s">
        <v>449</v>
      </c>
      <c r="E3280" s="113" t="s">
        <v>131</v>
      </c>
      <c r="F3280" s="114" t="s">
        <v>15</v>
      </c>
      <c r="G3280" s="115" t="s">
        <v>16</v>
      </c>
      <c r="H3280" s="116">
        <v>5.77</v>
      </c>
      <c r="I3280" s="125">
        <v>9</v>
      </c>
      <c r="J3280" s="111">
        <v>1</v>
      </c>
      <c r="K3280" s="117">
        <f t="shared" si="342"/>
        <v>5.192999999999999E-2</v>
      </c>
      <c r="L3280" s="118"/>
      <c r="M3280" s="111"/>
      <c r="N3280" s="117">
        <f t="shared" si="343"/>
        <v>0</v>
      </c>
      <c r="O3280" s="119">
        <f t="shared" si="344"/>
        <v>1</v>
      </c>
      <c r="P3280" s="120">
        <f t="shared" si="345"/>
        <v>5.192999999999999E-2</v>
      </c>
      <c r="Q3280" s="32"/>
      <c r="R3280" s="32"/>
      <c r="S3280" s="32"/>
      <c r="T3280" s="32"/>
    </row>
    <row r="3281" spans="1:20" ht="15.6">
      <c r="B3281" s="110" t="s">
        <v>503</v>
      </c>
      <c r="C3281" s="111" t="s">
        <v>227</v>
      </c>
      <c r="D3281" s="112" t="s">
        <v>449</v>
      </c>
      <c r="E3281" s="113" t="s">
        <v>131</v>
      </c>
      <c r="F3281" s="114" t="s">
        <v>15</v>
      </c>
      <c r="G3281" s="115" t="s">
        <v>16</v>
      </c>
      <c r="H3281" s="116">
        <v>5.77</v>
      </c>
      <c r="I3281" s="125">
        <v>9.5</v>
      </c>
      <c r="J3281" s="111">
        <v>1</v>
      </c>
      <c r="K3281" s="117">
        <f t="shared" si="342"/>
        <v>5.4814999999999996E-2</v>
      </c>
      <c r="L3281" s="118"/>
      <c r="M3281" s="111"/>
      <c r="N3281" s="117">
        <f t="shared" si="343"/>
        <v>0</v>
      </c>
      <c r="O3281" s="119">
        <f t="shared" si="344"/>
        <v>1</v>
      </c>
      <c r="P3281" s="120">
        <f t="shared" si="345"/>
        <v>5.4814999999999996E-2</v>
      </c>
      <c r="Q3281" s="32"/>
      <c r="R3281" s="32"/>
      <c r="S3281" s="32"/>
      <c r="T3281" s="32"/>
    </row>
    <row r="3282" spans="1:20" ht="15.6">
      <c r="B3282" s="110" t="s">
        <v>503</v>
      </c>
      <c r="C3282" s="111" t="s">
        <v>227</v>
      </c>
      <c r="D3282" s="112" t="s">
        <v>449</v>
      </c>
      <c r="E3282" s="113" t="s">
        <v>131</v>
      </c>
      <c r="F3282" s="114" t="s">
        <v>15</v>
      </c>
      <c r="G3282" s="115" t="s">
        <v>16</v>
      </c>
      <c r="H3282" s="116">
        <v>5.77</v>
      </c>
      <c r="I3282" s="125">
        <v>9.6999999999999993</v>
      </c>
      <c r="J3282" s="111">
        <v>1</v>
      </c>
      <c r="K3282" s="117">
        <f t="shared" si="342"/>
        <v>5.5968999999999991E-2</v>
      </c>
      <c r="L3282" s="118"/>
      <c r="M3282" s="111"/>
      <c r="N3282" s="117">
        <f t="shared" si="343"/>
        <v>0</v>
      </c>
      <c r="O3282" s="119">
        <f t="shared" si="344"/>
        <v>1</v>
      </c>
      <c r="P3282" s="120">
        <f t="shared" si="345"/>
        <v>5.5968999999999991E-2</v>
      </c>
      <c r="Q3282" s="32"/>
      <c r="R3282" s="32"/>
      <c r="S3282" s="32"/>
      <c r="T3282" s="32"/>
    </row>
    <row r="3283" spans="1:20" ht="15.6">
      <c r="B3283" s="110" t="s">
        <v>503</v>
      </c>
      <c r="C3283" s="111" t="s">
        <v>227</v>
      </c>
      <c r="D3283" s="112" t="s">
        <v>449</v>
      </c>
      <c r="E3283" s="113" t="s">
        <v>131</v>
      </c>
      <c r="F3283" s="114" t="s">
        <v>15</v>
      </c>
      <c r="G3283" s="115" t="s">
        <v>16</v>
      </c>
      <c r="H3283" s="116">
        <v>5.77</v>
      </c>
      <c r="I3283" s="125">
        <v>10.5</v>
      </c>
      <c r="J3283" s="111">
        <v>2</v>
      </c>
      <c r="K3283" s="117">
        <f t="shared" si="342"/>
        <v>0.12116999999999999</v>
      </c>
      <c r="L3283" s="118"/>
      <c r="M3283" s="111"/>
      <c r="N3283" s="117">
        <f t="shared" si="343"/>
        <v>0</v>
      </c>
      <c r="O3283" s="119">
        <f t="shared" si="344"/>
        <v>2</v>
      </c>
      <c r="P3283" s="120">
        <f t="shared" si="345"/>
        <v>0.12116999999999999</v>
      </c>
      <c r="Q3283" s="32"/>
      <c r="R3283" s="32"/>
      <c r="S3283" s="32"/>
      <c r="T3283" s="32"/>
    </row>
    <row r="3284" spans="1:20">
      <c r="R3284" s="76">
        <f>SUM(R3279:R3283)</f>
        <v>1</v>
      </c>
    </row>
    <row r="3286" spans="1:20">
      <c r="A3286" s="42" t="s">
        <v>78</v>
      </c>
      <c r="B3286" s="3"/>
      <c r="C3286" s="3">
        <v>24</v>
      </c>
      <c r="D3286" s="1"/>
      <c r="E3286" s="20" t="s">
        <v>86</v>
      </c>
      <c r="F3286" s="7" t="s">
        <v>14</v>
      </c>
      <c r="G3286" s="7" t="s">
        <v>18</v>
      </c>
      <c r="H3286" s="11">
        <v>6.86</v>
      </c>
      <c r="I3286" s="8">
        <v>11.5</v>
      </c>
      <c r="J3286" s="26">
        <v>12</v>
      </c>
      <c r="K3286" s="10">
        <v>0.94668000000000008</v>
      </c>
      <c r="L3286" s="4"/>
      <c r="M3286" s="17">
        <v>10</v>
      </c>
      <c r="N3286" s="18">
        <v>0.78890000000000005</v>
      </c>
      <c r="O3286" s="19">
        <v>2</v>
      </c>
      <c r="P3286" s="13">
        <v>0.15778</v>
      </c>
      <c r="Q3286" s="9"/>
      <c r="R3286" s="2"/>
      <c r="S3286" s="2"/>
    </row>
    <row r="3287" spans="1:20">
      <c r="A3287" s="42" t="s">
        <v>78</v>
      </c>
      <c r="B3287" s="3"/>
      <c r="C3287" s="3">
        <v>28</v>
      </c>
      <c r="D3287" s="1" t="s">
        <v>93</v>
      </c>
      <c r="E3287" s="20" t="s">
        <v>86</v>
      </c>
      <c r="F3287" s="7" t="s">
        <v>14</v>
      </c>
      <c r="G3287" s="7" t="s">
        <v>18</v>
      </c>
      <c r="H3287" s="11">
        <v>6.86</v>
      </c>
      <c r="I3287" s="8">
        <v>10.5</v>
      </c>
      <c r="J3287" s="26">
        <v>7</v>
      </c>
      <c r="K3287" s="10">
        <v>0.50421000000000005</v>
      </c>
      <c r="L3287" s="4"/>
      <c r="M3287" s="17">
        <v>6</v>
      </c>
      <c r="N3287" s="18">
        <v>0.43218000000000001</v>
      </c>
      <c r="O3287" s="19">
        <v>1</v>
      </c>
      <c r="P3287" s="13">
        <v>7.2029999999999997E-2</v>
      </c>
      <c r="Q3287" s="89">
        <v>10.5</v>
      </c>
      <c r="R3287" s="90">
        <v>3</v>
      </c>
      <c r="S3287" s="90" t="s">
        <v>536</v>
      </c>
    </row>
    <row r="3288" spans="1:20">
      <c r="A3288" s="42" t="s">
        <v>78</v>
      </c>
      <c r="B3288" s="3"/>
      <c r="C3288" s="3">
        <v>28</v>
      </c>
      <c r="D3288" s="1"/>
      <c r="E3288" s="20" t="s">
        <v>86</v>
      </c>
      <c r="F3288" s="7" t="s">
        <v>14</v>
      </c>
      <c r="G3288" s="7" t="s">
        <v>18</v>
      </c>
      <c r="H3288" s="11">
        <v>6.86</v>
      </c>
      <c r="I3288" s="8">
        <v>11</v>
      </c>
      <c r="J3288" s="26">
        <v>3</v>
      </c>
      <c r="K3288" s="10">
        <v>0.22638000000000003</v>
      </c>
      <c r="L3288" s="4"/>
      <c r="M3288" s="17">
        <v>3</v>
      </c>
      <c r="N3288" s="18">
        <v>0.22638000000000003</v>
      </c>
      <c r="O3288" s="19">
        <v>0</v>
      </c>
      <c r="P3288" s="13">
        <v>0</v>
      </c>
      <c r="Q3288" s="9"/>
      <c r="R3288" s="398">
        <f>SUM(R3287)</f>
        <v>3</v>
      </c>
      <c r="S3288" s="2"/>
    </row>
    <row r="3292" spans="1:20" ht="15.6">
      <c r="B3292" s="110" t="s">
        <v>366</v>
      </c>
      <c r="C3292" s="111" t="s">
        <v>232</v>
      </c>
      <c r="D3292" s="112" t="s">
        <v>364</v>
      </c>
      <c r="E3292" s="113" t="s">
        <v>24</v>
      </c>
      <c r="F3292" s="114" t="s">
        <v>14</v>
      </c>
      <c r="G3292" s="115" t="s">
        <v>25</v>
      </c>
      <c r="H3292" s="116">
        <v>7.34</v>
      </c>
      <c r="I3292" s="125">
        <v>8</v>
      </c>
      <c r="J3292" s="111">
        <v>6</v>
      </c>
      <c r="K3292" s="117">
        <f t="shared" ref="K3292:K3302" si="346">I3292*H3292*J3292/1000</f>
        <v>0.35231999999999997</v>
      </c>
      <c r="L3292" s="118"/>
      <c r="M3292" s="111">
        <v>6</v>
      </c>
      <c r="N3292" s="117">
        <f t="shared" ref="N3292:N3302" si="347">I3292*M3292*H3292/1000</f>
        <v>0.35231999999999997</v>
      </c>
      <c r="O3292" s="119">
        <f t="shared" ref="O3292:O3302" si="348">J3292-M3292</f>
        <v>0</v>
      </c>
      <c r="P3292" s="120">
        <f t="shared" ref="P3292:P3302" si="349">I3292*O3292*H3292/1000</f>
        <v>0</v>
      </c>
      <c r="Q3292" s="111"/>
      <c r="R3292" s="32"/>
      <c r="S3292" s="213"/>
    </row>
    <row r="3293" spans="1:20" ht="15.6">
      <c r="B3293" s="110" t="s">
        <v>366</v>
      </c>
      <c r="C3293" s="111" t="s">
        <v>232</v>
      </c>
      <c r="D3293" s="112" t="s">
        <v>364</v>
      </c>
      <c r="E3293" s="113" t="s">
        <v>24</v>
      </c>
      <c r="F3293" s="114" t="s">
        <v>14</v>
      </c>
      <c r="G3293" s="115" t="s">
        <v>25</v>
      </c>
      <c r="H3293" s="116">
        <v>7.34</v>
      </c>
      <c r="I3293" s="125">
        <v>9</v>
      </c>
      <c r="J3293" s="111">
        <v>16</v>
      </c>
      <c r="K3293" s="117">
        <f t="shared" si="346"/>
        <v>1.0569600000000001</v>
      </c>
      <c r="L3293" s="118"/>
      <c r="M3293" s="111">
        <v>16</v>
      </c>
      <c r="N3293" s="117">
        <f t="shared" si="347"/>
        <v>1.0569600000000001</v>
      </c>
      <c r="O3293" s="119">
        <f t="shared" si="348"/>
        <v>0</v>
      </c>
      <c r="P3293" s="120">
        <f t="shared" si="349"/>
        <v>0</v>
      </c>
      <c r="Q3293" s="111"/>
      <c r="R3293" s="32"/>
      <c r="S3293" s="213"/>
    </row>
    <row r="3294" spans="1:20" ht="15.6">
      <c r="B3294" s="110" t="s">
        <v>366</v>
      </c>
      <c r="C3294" s="111" t="s">
        <v>232</v>
      </c>
      <c r="D3294" s="112" t="s">
        <v>364</v>
      </c>
      <c r="E3294" s="113" t="s">
        <v>24</v>
      </c>
      <c r="F3294" s="114" t="s">
        <v>14</v>
      </c>
      <c r="G3294" s="115" t="s">
        <v>25</v>
      </c>
      <c r="H3294" s="116">
        <v>7.34</v>
      </c>
      <c r="I3294" s="125">
        <v>8</v>
      </c>
      <c r="J3294" s="111">
        <v>6</v>
      </c>
      <c r="K3294" s="117">
        <f t="shared" si="346"/>
        <v>0.35231999999999997</v>
      </c>
      <c r="L3294" s="118"/>
      <c r="M3294" s="111">
        <v>6</v>
      </c>
      <c r="N3294" s="117">
        <f t="shared" si="347"/>
        <v>0.35231999999999997</v>
      </c>
      <c r="O3294" s="119">
        <f t="shared" si="348"/>
        <v>0</v>
      </c>
      <c r="P3294" s="120">
        <f t="shared" si="349"/>
        <v>0</v>
      </c>
      <c r="Q3294" s="111"/>
      <c r="R3294" s="32"/>
      <c r="S3294" s="213"/>
    </row>
    <row r="3295" spans="1:20" ht="15.6">
      <c r="B3295" s="110" t="s">
        <v>366</v>
      </c>
      <c r="C3295" s="111" t="s">
        <v>232</v>
      </c>
      <c r="D3295" s="112" t="s">
        <v>364</v>
      </c>
      <c r="E3295" s="113" t="s">
        <v>24</v>
      </c>
      <c r="F3295" s="114" t="s">
        <v>14</v>
      </c>
      <c r="G3295" s="115" t="s">
        <v>25</v>
      </c>
      <c r="H3295" s="116">
        <v>7.34</v>
      </c>
      <c r="I3295" s="125">
        <v>12</v>
      </c>
      <c r="J3295" s="111">
        <v>6</v>
      </c>
      <c r="K3295" s="117">
        <f t="shared" si="346"/>
        <v>0.52848000000000006</v>
      </c>
      <c r="L3295" s="118"/>
      <c r="M3295" s="111">
        <v>6</v>
      </c>
      <c r="N3295" s="117">
        <f t="shared" si="347"/>
        <v>0.52848000000000006</v>
      </c>
      <c r="O3295" s="119">
        <f t="shared" si="348"/>
        <v>0</v>
      </c>
      <c r="P3295" s="120">
        <f t="shared" si="349"/>
        <v>0</v>
      </c>
      <c r="Q3295" s="111"/>
      <c r="R3295" s="32"/>
      <c r="S3295" s="213"/>
    </row>
    <row r="3296" spans="1:20" ht="15.6">
      <c r="B3296" s="110" t="s">
        <v>366</v>
      </c>
      <c r="C3296" s="111" t="s">
        <v>232</v>
      </c>
      <c r="D3296" s="112" t="s">
        <v>364</v>
      </c>
      <c r="E3296" s="113" t="s">
        <v>24</v>
      </c>
      <c r="F3296" s="114" t="s">
        <v>14</v>
      </c>
      <c r="G3296" s="115" t="s">
        <v>25</v>
      </c>
      <c r="H3296" s="116">
        <v>7.34</v>
      </c>
      <c r="I3296" s="125">
        <v>9</v>
      </c>
      <c r="J3296" s="111">
        <v>4</v>
      </c>
      <c r="K3296" s="117">
        <f t="shared" si="346"/>
        <v>0.26424000000000003</v>
      </c>
      <c r="L3296" s="118"/>
      <c r="M3296" s="111">
        <v>4</v>
      </c>
      <c r="N3296" s="117">
        <f t="shared" si="347"/>
        <v>0.26424000000000003</v>
      </c>
      <c r="O3296" s="119">
        <f t="shared" si="348"/>
        <v>0</v>
      </c>
      <c r="P3296" s="120">
        <f t="shared" si="349"/>
        <v>0</v>
      </c>
      <c r="Q3296" s="111"/>
      <c r="R3296" s="32"/>
      <c r="S3296" s="213"/>
    </row>
    <row r="3297" spans="1:19" ht="15.6">
      <c r="B3297" s="110" t="s">
        <v>366</v>
      </c>
      <c r="C3297" s="111" t="s">
        <v>232</v>
      </c>
      <c r="D3297" s="112" t="s">
        <v>364</v>
      </c>
      <c r="E3297" s="113" t="s">
        <v>24</v>
      </c>
      <c r="F3297" s="114" t="s">
        <v>14</v>
      </c>
      <c r="G3297" s="115" t="s">
        <v>25</v>
      </c>
      <c r="H3297" s="116">
        <v>7.34</v>
      </c>
      <c r="I3297" s="125">
        <v>10</v>
      </c>
      <c r="J3297" s="111">
        <v>13</v>
      </c>
      <c r="K3297" s="117">
        <f t="shared" si="346"/>
        <v>0.95420000000000005</v>
      </c>
      <c r="L3297" s="118"/>
      <c r="M3297" s="111">
        <v>13</v>
      </c>
      <c r="N3297" s="117">
        <f t="shared" si="347"/>
        <v>0.95419999999999994</v>
      </c>
      <c r="O3297" s="119">
        <f t="shared" si="348"/>
        <v>0</v>
      </c>
      <c r="P3297" s="120">
        <f t="shared" si="349"/>
        <v>0</v>
      </c>
      <c r="Q3297" s="111"/>
      <c r="R3297" s="32"/>
      <c r="S3297" s="213"/>
    </row>
    <row r="3298" spans="1:19" ht="15.6">
      <c r="B3298" s="110" t="s">
        <v>366</v>
      </c>
      <c r="C3298" s="111" t="s">
        <v>232</v>
      </c>
      <c r="D3298" s="112" t="s">
        <v>364</v>
      </c>
      <c r="E3298" s="113" t="s">
        <v>24</v>
      </c>
      <c r="F3298" s="114" t="s">
        <v>14</v>
      </c>
      <c r="G3298" s="115" t="s">
        <v>25</v>
      </c>
      <c r="H3298" s="116">
        <v>7.34</v>
      </c>
      <c r="I3298" s="125">
        <v>11.4</v>
      </c>
      <c r="J3298" s="111">
        <v>1</v>
      </c>
      <c r="K3298" s="117">
        <f t="shared" si="346"/>
        <v>8.3676E-2</v>
      </c>
      <c r="L3298" s="118"/>
      <c r="M3298" s="111"/>
      <c r="N3298" s="117">
        <f t="shared" si="347"/>
        <v>0</v>
      </c>
      <c r="O3298" s="119">
        <f t="shared" si="348"/>
        <v>1</v>
      </c>
      <c r="P3298" s="120">
        <f t="shared" si="349"/>
        <v>8.3676E-2</v>
      </c>
      <c r="Q3298" s="111"/>
      <c r="R3298" s="32"/>
      <c r="S3298" s="213"/>
    </row>
    <row r="3299" spans="1:19" ht="15.6">
      <c r="B3299" s="110" t="s">
        <v>366</v>
      </c>
      <c r="C3299" s="111" t="s">
        <v>232</v>
      </c>
      <c r="D3299" s="112" t="s">
        <v>364</v>
      </c>
      <c r="E3299" s="113" t="s">
        <v>24</v>
      </c>
      <c r="F3299" s="114" t="s">
        <v>14</v>
      </c>
      <c r="G3299" s="115" t="s">
        <v>25</v>
      </c>
      <c r="H3299" s="116">
        <v>7.34</v>
      </c>
      <c r="I3299" s="125">
        <v>6.2</v>
      </c>
      <c r="J3299" s="111">
        <v>1</v>
      </c>
      <c r="K3299" s="117">
        <f t="shared" si="346"/>
        <v>4.5508E-2</v>
      </c>
      <c r="L3299" s="118"/>
      <c r="M3299" s="111"/>
      <c r="N3299" s="117">
        <f t="shared" si="347"/>
        <v>0</v>
      </c>
      <c r="O3299" s="119">
        <f t="shared" si="348"/>
        <v>1</v>
      </c>
      <c r="P3299" s="120">
        <f t="shared" si="349"/>
        <v>4.5508E-2</v>
      </c>
      <c r="Q3299" s="111"/>
      <c r="R3299" s="32"/>
      <c r="S3299" s="213"/>
    </row>
    <row r="3300" spans="1:19" ht="15.6">
      <c r="B3300" s="110" t="s">
        <v>366</v>
      </c>
      <c r="C3300" s="111" t="s">
        <v>232</v>
      </c>
      <c r="D3300" s="112" t="s">
        <v>364</v>
      </c>
      <c r="E3300" s="113" t="s">
        <v>24</v>
      </c>
      <c r="F3300" s="114" t="s">
        <v>14</v>
      </c>
      <c r="G3300" s="115" t="s">
        <v>25</v>
      </c>
      <c r="H3300" s="116">
        <v>7.34</v>
      </c>
      <c r="I3300" s="125">
        <v>7.5</v>
      </c>
      <c r="J3300" s="111">
        <v>3</v>
      </c>
      <c r="K3300" s="117">
        <f t="shared" si="346"/>
        <v>0.16514999999999996</v>
      </c>
      <c r="L3300" s="118"/>
      <c r="M3300" s="111">
        <v>3</v>
      </c>
      <c r="N3300" s="117">
        <f t="shared" si="347"/>
        <v>0.16515000000000002</v>
      </c>
      <c r="O3300" s="119">
        <f t="shared" si="348"/>
        <v>0</v>
      </c>
      <c r="P3300" s="120">
        <f t="shared" si="349"/>
        <v>0</v>
      </c>
      <c r="Q3300" s="102">
        <v>7.5</v>
      </c>
      <c r="R3300" s="91">
        <v>3</v>
      </c>
      <c r="S3300" s="156" t="s">
        <v>537</v>
      </c>
    </row>
    <row r="3301" spans="1:19" ht="15.6">
      <c r="B3301" s="110" t="s">
        <v>366</v>
      </c>
      <c r="C3301" s="111" t="s">
        <v>232</v>
      </c>
      <c r="D3301" s="112" t="s">
        <v>364</v>
      </c>
      <c r="E3301" s="113" t="s">
        <v>24</v>
      </c>
      <c r="F3301" s="114" t="s">
        <v>14</v>
      </c>
      <c r="G3301" s="115" t="s">
        <v>25</v>
      </c>
      <c r="H3301" s="116">
        <v>7.34</v>
      </c>
      <c r="I3301" s="125">
        <v>7.6</v>
      </c>
      <c r="J3301" s="111">
        <v>1</v>
      </c>
      <c r="K3301" s="117">
        <f t="shared" si="346"/>
        <v>5.5784E-2</v>
      </c>
      <c r="L3301" s="118"/>
      <c r="M3301" s="111">
        <v>1</v>
      </c>
      <c r="N3301" s="117">
        <f t="shared" si="347"/>
        <v>5.5784E-2</v>
      </c>
      <c r="O3301" s="119">
        <f t="shared" si="348"/>
        <v>0</v>
      </c>
      <c r="P3301" s="120">
        <f t="shared" si="349"/>
        <v>0</v>
      </c>
      <c r="Q3301" s="102">
        <v>7.6</v>
      </c>
      <c r="R3301" s="91">
        <v>1</v>
      </c>
      <c r="S3301" s="156" t="s">
        <v>537</v>
      </c>
    </row>
    <row r="3302" spans="1:19" ht="15.6">
      <c r="B3302" s="110" t="s">
        <v>366</v>
      </c>
      <c r="C3302" s="111" t="s">
        <v>232</v>
      </c>
      <c r="D3302" s="112" t="s">
        <v>364</v>
      </c>
      <c r="E3302" s="113" t="s">
        <v>24</v>
      </c>
      <c r="F3302" s="114" t="s">
        <v>14</v>
      </c>
      <c r="G3302" s="115" t="s">
        <v>25</v>
      </c>
      <c r="H3302" s="116">
        <v>7.34</v>
      </c>
      <c r="I3302" s="125">
        <v>8.1</v>
      </c>
      <c r="J3302" s="111">
        <v>1</v>
      </c>
      <c r="K3302" s="117">
        <f t="shared" si="346"/>
        <v>5.9453999999999993E-2</v>
      </c>
      <c r="L3302" s="118"/>
      <c r="M3302" s="111">
        <v>1</v>
      </c>
      <c r="N3302" s="117">
        <f t="shared" si="347"/>
        <v>5.9453999999999993E-2</v>
      </c>
      <c r="O3302" s="119">
        <f t="shared" si="348"/>
        <v>0</v>
      </c>
      <c r="P3302" s="120">
        <f t="shared" si="349"/>
        <v>0</v>
      </c>
      <c r="Q3302" s="111"/>
      <c r="R3302" s="123">
        <f>SUM(R3300:R3301)</f>
        <v>4</v>
      </c>
      <c r="S3302" s="213"/>
    </row>
    <row r="3306" spans="1:19">
      <c r="A3306" s="42" t="s">
        <v>84</v>
      </c>
      <c r="B3306" s="3" t="s">
        <v>122</v>
      </c>
      <c r="C3306" s="3">
        <v>2</v>
      </c>
      <c r="D3306" s="1"/>
      <c r="E3306" s="24" t="s">
        <v>81</v>
      </c>
      <c r="F3306" s="7" t="s">
        <v>14</v>
      </c>
      <c r="G3306" s="7" t="s">
        <v>32</v>
      </c>
      <c r="H3306" s="11">
        <v>8.3000000000000007</v>
      </c>
      <c r="I3306" s="8">
        <v>10.1</v>
      </c>
      <c r="J3306" s="26">
        <v>1</v>
      </c>
      <c r="K3306" s="10">
        <f t="shared" ref="K3306:K3314" si="350">(H3306*I3306*J3306/1000)</f>
        <v>8.3830000000000002E-2</v>
      </c>
      <c r="L3306" s="4"/>
      <c r="M3306" s="17"/>
      <c r="N3306" s="18">
        <f t="shared" ref="N3306:N3314" si="351">I3306*M3306*H3306/1000</f>
        <v>0</v>
      </c>
      <c r="O3306" s="19">
        <f t="shared" ref="O3306:O3314" si="352">J3306-M3306</f>
        <v>1</v>
      </c>
      <c r="P3306" s="13">
        <f t="shared" ref="P3306:P3314" si="353">I3306*O3306*H3306/1000</f>
        <v>8.3830000000000002E-2</v>
      </c>
      <c r="Q3306" s="9"/>
      <c r="R3306" s="2"/>
      <c r="S3306" s="2"/>
    </row>
    <row r="3307" spans="1:19">
      <c r="A3307" s="42" t="s">
        <v>84</v>
      </c>
      <c r="B3307" s="3" t="s">
        <v>122</v>
      </c>
      <c r="C3307" s="3">
        <v>2</v>
      </c>
      <c r="D3307" s="1"/>
      <c r="E3307" s="24" t="s">
        <v>81</v>
      </c>
      <c r="F3307" s="7" t="s">
        <v>14</v>
      </c>
      <c r="G3307" s="7" t="s">
        <v>32</v>
      </c>
      <c r="H3307" s="11">
        <v>8.3000000000000007</v>
      </c>
      <c r="I3307" s="8">
        <v>10.3</v>
      </c>
      <c r="J3307" s="26">
        <v>1</v>
      </c>
      <c r="K3307" s="10">
        <f t="shared" si="350"/>
        <v>8.549000000000001E-2</v>
      </c>
      <c r="L3307" s="4"/>
      <c r="M3307" s="17"/>
      <c r="N3307" s="18">
        <f t="shared" si="351"/>
        <v>0</v>
      </c>
      <c r="O3307" s="19">
        <f t="shared" si="352"/>
        <v>1</v>
      </c>
      <c r="P3307" s="13">
        <f t="shared" si="353"/>
        <v>8.549000000000001E-2</v>
      </c>
      <c r="Q3307" s="9"/>
      <c r="R3307" s="2"/>
      <c r="S3307" s="2"/>
    </row>
    <row r="3308" spans="1:19">
      <c r="A3308" s="42" t="s">
        <v>84</v>
      </c>
      <c r="B3308" s="3" t="s">
        <v>122</v>
      </c>
      <c r="C3308" s="3">
        <v>2</v>
      </c>
      <c r="D3308" s="1"/>
      <c r="E3308" s="24" t="s">
        <v>81</v>
      </c>
      <c r="F3308" s="7" t="s">
        <v>14</v>
      </c>
      <c r="G3308" s="7" t="s">
        <v>32</v>
      </c>
      <c r="H3308" s="11">
        <v>8.3000000000000007</v>
      </c>
      <c r="I3308" s="8">
        <v>11.25</v>
      </c>
      <c r="J3308" s="26">
        <v>1</v>
      </c>
      <c r="K3308" s="10">
        <f t="shared" si="350"/>
        <v>9.3375000000000014E-2</v>
      </c>
      <c r="L3308" s="4"/>
      <c r="M3308" s="17">
        <v>1</v>
      </c>
      <c r="N3308" s="18">
        <f t="shared" si="351"/>
        <v>9.3375000000000014E-2</v>
      </c>
      <c r="O3308" s="19">
        <f t="shared" si="352"/>
        <v>0</v>
      </c>
      <c r="P3308" s="13">
        <f t="shared" si="353"/>
        <v>0</v>
      </c>
      <c r="Q3308" s="9"/>
      <c r="R3308" s="2"/>
      <c r="S3308" s="2"/>
    </row>
    <row r="3309" spans="1:19">
      <c r="A3309" s="42" t="s">
        <v>84</v>
      </c>
      <c r="B3309" s="3" t="s">
        <v>122</v>
      </c>
      <c r="C3309" s="3">
        <v>2</v>
      </c>
      <c r="D3309" s="1"/>
      <c r="E3309" s="24" t="s">
        <v>81</v>
      </c>
      <c r="F3309" s="7" t="s">
        <v>14</v>
      </c>
      <c r="G3309" s="7" t="s">
        <v>32</v>
      </c>
      <c r="H3309" s="11">
        <v>8.3000000000000007</v>
      </c>
      <c r="I3309" s="8">
        <v>11.5</v>
      </c>
      <c r="J3309" s="26">
        <v>1</v>
      </c>
      <c r="K3309" s="10">
        <f t="shared" si="350"/>
        <v>9.5450000000000007E-2</v>
      </c>
      <c r="L3309" s="4"/>
      <c r="M3309" s="17">
        <v>1</v>
      </c>
      <c r="N3309" s="18">
        <f t="shared" si="351"/>
        <v>9.5450000000000007E-2</v>
      </c>
      <c r="O3309" s="19">
        <f t="shared" si="352"/>
        <v>0</v>
      </c>
      <c r="P3309" s="13">
        <f t="shared" si="353"/>
        <v>0</v>
      </c>
      <c r="Q3309" s="9"/>
      <c r="R3309" s="2"/>
      <c r="S3309" s="2"/>
    </row>
    <row r="3310" spans="1:19">
      <c r="A3310" s="42" t="s">
        <v>84</v>
      </c>
      <c r="B3310" s="3" t="s">
        <v>122</v>
      </c>
      <c r="C3310" s="3">
        <v>2</v>
      </c>
      <c r="D3310" s="1"/>
      <c r="E3310" s="24" t="s">
        <v>81</v>
      </c>
      <c r="F3310" s="7" t="s">
        <v>14</v>
      </c>
      <c r="G3310" s="7" t="s">
        <v>32</v>
      </c>
      <c r="H3310" s="11">
        <v>8.3000000000000007</v>
      </c>
      <c r="I3310" s="8">
        <v>11.7</v>
      </c>
      <c r="J3310" s="26">
        <v>1</v>
      </c>
      <c r="K3310" s="10">
        <f t="shared" si="350"/>
        <v>9.7110000000000002E-2</v>
      </c>
      <c r="L3310" s="4"/>
      <c r="M3310" s="17">
        <v>1</v>
      </c>
      <c r="N3310" s="18">
        <f t="shared" si="351"/>
        <v>9.7110000000000002E-2</v>
      </c>
      <c r="O3310" s="19">
        <f t="shared" si="352"/>
        <v>0</v>
      </c>
      <c r="P3310" s="13">
        <f t="shared" si="353"/>
        <v>0</v>
      </c>
      <c r="Q3310" s="9"/>
      <c r="R3310" s="2"/>
      <c r="S3310" s="2"/>
    </row>
    <row r="3311" spans="1:19">
      <c r="A3311" s="42" t="s">
        <v>84</v>
      </c>
      <c r="B3311" s="3" t="s">
        <v>122</v>
      </c>
      <c r="C3311" s="3">
        <v>2</v>
      </c>
      <c r="D3311" s="1"/>
      <c r="E3311" s="24" t="s">
        <v>81</v>
      </c>
      <c r="F3311" s="7" t="s">
        <v>14</v>
      </c>
      <c r="G3311" s="7" t="s">
        <v>32</v>
      </c>
      <c r="H3311" s="11">
        <v>8.3000000000000007</v>
      </c>
      <c r="I3311" s="8">
        <v>9.5</v>
      </c>
      <c r="J3311" s="26">
        <v>1</v>
      </c>
      <c r="K3311" s="10">
        <f t="shared" si="350"/>
        <v>7.8850000000000003E-2</v>
      </c>
      <c r="L3311" s="4"/>
      <c r="M3311" s="17">
        <v>1</v>
      </c>
      <c r="N3311" s="18">
        <f t="shared" si="351"/>
        <v>7.8850000000000003E-2</v>
      </c>
      <c r="O3311" s="19">
        <f t="shared" si="352"/>
        <v>0</v>
      </c>
      <c r="P3311" s="13">
        <f t="shared" si="353"/>
        <v>0</v>
      </c>
      <c r="Q3311" s="9"/>
      <c r="R3311" s="2"/>
      <c r="S3311" s="2"/>
    </row>
    <row r="3312" spans="1:19">
      <c r="A3312" s="42" t="s">
        <v>84</v>
      </c>
      <c r="B3312" s="3" t="s">
        <v>122</v>
      </c>
      <c r="C3312" s="3">
        <v>2</v>
      </c>
      <c r="D3312" s="1"/>
      <c r="E3312" s="24" t="s">
        <v>81</v>
      </c>
      <c r="F3312" s="7" t="s">
        <v>14</v>
      </c>
      <c r="G3312" s="7" t="s">
        <v>32</v>
      </c>
      <c r="H3312" s="11">
        <v>8.3000000000000007</v>
      </c>
      <c r="I3312" s="8">
        <v>9.8000000000000007</v>
      </c>
      <c r="J3312" s="26">
        <v>1</v>
      </c>
      <c r="K3312" s="10">
        <f t="shared" si="350"/>
        <v>8.1340000000000023E-2</v>
      </c>
      <c r="L3312" s="4"/>
      <c r="M3312" s="17">
        <v>1</v>
      </c>
      <c r="N3312" s="18">
        <f t="shared" si="351"/>
        <v>8.1340000000000023E-2</v>
      </c>
      <c r="O3312" s="19">
        <f t="shared" si="352"/>
        <v>0</v>
      </c>
      <c r="P3312" s="13">
        <f t="shared" si="353"/>
        <v>0</v>
      </c>
      <c r="Q3312" s="9"/>
      <c r="R3312" s="2"/>
      <c r="S3312" s="2"/>
    </row>
    <row r="3313" spans="1:19">
      <c r="A3313" s="42" t="s">
        <v>84</v>
      </c>
      <c r="B3313" s="3" t="s">
        <v>122</v>
      </c>
      <c r="C3313" s="3">
        <v>2</v>
      </c>
      <c r="D3313" s="1"/>
      <c r="E3313" s="24" t="s">
        <v>81</v>
      </c>
      <c r="F3313" s="7" t="s">
        <v>14</v>
      </c>
      <c r="G3313" s="7" t="s">
        <v>32</v>
      </c>
      <c r="H3313" s="11">
        <v>8.3000000000000007</v>
      </c>
      <c r="I3313" s="8">
        <v>10</v>
      </c>
      <c r="J3313" s="26">
        <v>2</v>
      </c>
      <c r="K3313" s="10">
        <f t="shared" si="350"/>
        <v>0.16600000000000001</v>
      </c>
      <c r="L3313" s="4"/>
      <c r="M3313" s="17"/>
      <c r="N3313" s="18">
        <f t="shared" si="351"/>
        <v>0</v>
      </c>
      <c r="O3313" s="19">
        <f t="shared" si="352"/>
        <v>2</v>
      </c>
      <c r="P3313" s="13">
        <f t="shared" si="353"/>
        <v>0.16600000000000001</v>
      </c>
      <c r="Q3313" s="9"/>
      <c r="R3313" s="2"/>
      <c r="S3313" s="2"/>
    </row>
    <row r="3314" spans="1:19">
      <c r="A3314" s="42" t="s">
        <v>84</v>
      </c>
      <c r="B3314" s="3" t="s">
        <v>122</v>
      </c>
      <c r="C3314" s="3">
        <v>3</v>
      </c>
      <c r="D3314" s="1"/>
      <c r="E3314" s="24" t="s">
        <v>81</v>
      </c>
      <c r="F3314" s="7" t="s">
        <v>14</v>
      </c>
      <c r="G3314" s="7" t="s">
        <v>32</v>
      </c>
      <c r="H3314" s="11">
        <v>8.3000000000000007</v>
      </c>
      <c r="I3314" s="8">
        <v>12</v>
      </c>
      <c r="J3314" s="26">
        <v>15</v>
      </c>
      <c r="K3314" s="10">
        <f t="shared" si="350"/>
        <v>1.4940000000000002</v>
      </c>
      <c r="L3314" s="4"/>
      <c r="M3314" s="17">
        <f>2+4</f>
        <v>6</v>
      </c>
      <c r="N3314" s="18">
        <f t="shared" si="351"/>
        <v>0.59760000000000002</v>
      </c>
      <c r="O3314" s="19">
        <f t="shared" si="352"/>
        <v>9</v>
      </c>
      <c r="P3314" s="13">
        <f t="shared" si="353"/>
        <v>0.89640000000000009</v>
      </c>
      <c r="Q3314" s="89">
        <v>12</v>
      </c>
      <c r="R3314" s="90">
        <v>4</v>
      </c>
      <c r="S3314" s="90" t="s">
        <v>538</v>
      </c>
    </row>
    <row r="3315" spans="1:19">
      <c r="R3315" s="76">
        <f>SUM(R3314)</f>
        <v>4</v>
      </c>
    </row>
    <row r="3318" spans="1:19">
      <c r="A3318" s="48" t="s">
        <v>179</v>
      </c>
      <c r="B3318" s="48" t="s">
        <v>180</v>
      </c>
      <c r="C3318" s="32"/>
      <c r="D3318" s="32"/>
      <c r="E3318" s="48" t="s">
        <v>152</v>
      </c>
      <c r="F3318" s="48" t="s">
        <v>15</v>
      </c>
      <c r="G3318" s="48" t="s">
        <v>64</v>
      </c>
      <c r="H3318" s="11">
        <v>40.1</v>
      </c>
      <c r="I3318" s="9">
        <v>8.1999999999999993</v>
      </c>
      <c r="J3318" s="7">
        <v>1</v>
      </c>
      <c r="K3318" s="10">
        <v>0.32882</v>
      </c>
      <c r="L3318" s="32"/>
      <c r="M3318" s="32">
        <v>1</v>
      </c>
      <c r="N3318" s="18">
        <v>0.32882</v>
      </c>
      <c r="O3318" s="19">
        <v>0</v>
      </c>
      <c r="P3318" s="13">
        <v>0</v>
      </c>
      <c r="Q3318" s="102">
        <v>8.1999999999999993</v>
      </c>
      <c r="R3318" s="91">
        <v>1</v>
      </c>
      <c r="S3318" s="91" t="s">
        <v>543</v>
      </c>
    </row>
    <row r="3319" spans="1:19">
      <c r="A3319" s="44" t="s">
        <v>78</v>
      </c>
      <c r="B3319" s="32" t="s">
        <v>111</v>
      </c>
      <c r="C3319" s="3">
        <v>7</v>
      </c>
      <c r="D3319" s="1"/>
      <c r="E3319" s="20" t="s">
        <v>20</v>
      </c>
      <c r="F3319" s="7" t="s">
        <v>15</v>
      </c>
      <c r="G3319" s="7" t="s">
        <v>64</v>
      </c>
      <c r="H3319" s="11">
        <v>40.1</v>
      </c>
      <c r="I3319" s="33">
        <v>8.5</v>
      </c>
      <c r="J3319" s="40">
        <v>1</v>
      </c>
      <c r="K3319" s="10">
        <v>0.34085000000000004</v>
      </c>
      <c r="L3319" s="4"/>
      <c r="M3319" s="17">
        <v>1</v>
      </c>
      <c r="N3319" s="18">
        <v>0.34085000000000004</v>
      </c>
      <c r="O3319" s="19">
        <v>0</v>
      </c>
      <c r="P3319" s="13">
        <v>0</v>
      </c>
      <c r="Q3319" s="102">
        <v>8.5</v>
      </c>
      <c r="R3319" s="91">
        <v>1</v>
      </c>
      <c r="S3319" s="91" t="s">
        <v>543</v>
      </c>
    </row>
    <row r="3320" spans="1:19">
      <c r="R3320" s="76">
        <f>SUM(R3318:R3319)</f>
        <v>2</v>
      </c>
    </row>
    <row r="3323" spans="1:19">
      <c r="A3323" s="110" t="s">
        <v>426</v>
      </c>
      <c r="B3323" s="111" t="s">
        <v>297</v>
      </c>
      <c r="C3323" s="112" t="s">
        <v>228</v>
      </c>
      <c r="D3323" s="113" t="s">
        <v>20</v>
      </c>
      <c r="E3323" s="175" t="s">
        <v>15</v>
      </c>
      <c r="F3323" s="175" t="s">
        <v>54</v>
      </c>
      <c r="G3323" s="176">
        <v>31.6</v>
      </c>
      <c r="H3323" s="177">
        <v>9.6999999999999993</v>
      </c>
      <c r="I3323" s="178">
        <v>3</v>
      </c>
      <c r="J3323" s="174">
        <f t="shared" ref="J3323:J3325" si="354">(G3323*H3323*I3323/1000)</f>
        <v>0.91955999999999993</v>
      </c>
      <c r="K3323" s="118"/>
      <c r="L3323" s="111">
        <v>3</v>
      </c>
      <c r="M3323" s="117">
        <f t="shared" ref="M3323:M3325" si="355">H3323*L3323*G3323/1000</f>
        <v>0.91955999999999993</v>
      </c>
      <c r="N3323" s="119">
        <f t="shared" ref="N3323:N3325" si="356">I3323-L3323</f>
        <v>0</v>
      </c>
      <c r="O3323" s="120">
        <f t="shared" ref="O3323:O3325" si="357">H3323*N3323*G3323/1000</f>
        <v>0</v>
      </c>
      <c r="P3323" s="32"/>
      <c r="Q3323" s="91">
        <v>3</v>
      </c>
      <c r="R3323" s="91" t="s">
        <v>540</v>
      </c>
    </row>
    <row r="3324" spans="1:19">
      <c r="A3324" s="110" t="s">
        <v>426</v>
      </c>
      <c r="B3324" s="111" t="s">
        <v>297</v>
      </c>
      <c r="C3324" s="112" t="s">
        <v>228</v>
      </c>
      <c r="D3324" s="113" t="s">
        <v>20</v>
      </c>
      <c r="E3324" s="175" t="s">
        <v>15</v>
      </c>
      <c r="F3324" s="175" t="s">
        <v>54</v>
      </c>
      <c r="G3324" s="176">
        <v>31.6</v>
      </c>
      <c r="H3324" s="177">
        <v>9.5</v>
      </c>
      <c r="I3324" s="178">
        <v>3</v>
      </c>
      <c r="J3324" s="174">
        <f t="shared" si="354"/>
        <v>0.90059999999999996</v>
      </c>
      <c r="K3324" s="118"/>
      <c r="L3324" s="111">
        <v>3</v>
      </c>
      <c r="M3324" s="117">
        <f t="shared" si="355"/>
        <v>0.90060000000000007</v>
      </c>
      <c r="N3324" s="119">
        <f t="shared" si="356"/>
        <v>0</v>
      </c>
      <c r="O3324" s="120">
        <f t="shared" si="357"/>
        <v>0</v>
      </c>
      <c r="P3324" s="32"/>
      <c r="Q3324" s="91">
        <v>3</v>
      </c>
      <c r="R3324" s="91" t="s">
        <v>540</v>
      </c>
    </row>
    <row r="3325" spans="1:19">
      <c r="A3325" s="110" t="s">
        <v>426</v>
      </c>
      <c r="B3325" s="111" t="s">
        <v>297</v>
      </c>
      <c r="C3325" s="112" t="s">
        <v>228</v>
      </c>
      <c r="D3325" s="113" t="s">
        <v>20</v>
      </c>
      <c r="E3325" s="175" t="s">
        <v>15</v>
      </c>
      <c r="F3325" s="175" t="s">
        <v>54</v>
      </c>
      <c r="G3325" s="176">
        <v>31.6</v>
      </c>
      <c r="H3325" s="177">
        <v>9.6999999999999993</v>
      </c>
      <c r="I3325" s="178">
        <v>1</v>
      </c>
      <c r="J3325" s="174">
        <f t="shared" si="354"/>
        <v>0.30651999999999996</v>
      </c>
      <c r="K3325" s="118"/>
      <c r="L3325" s="111">
        <v>1</v>
      </c>
      <c r="M3325" s="117">
        <f t="shared" si="355"/>
        <v>0.30651999999999996</v>
      </c>
      <c r="N3325" s="119">
        <f t="shared" si="356"/>
        <v>0</v>
      </c>
      <c r="O3325" s="120">
        <f t="shared" si="357"/>
        <v>0</v>
      </c>
      <c r="P3325" s="32"/>
      <c r="Q3325" s="91">
        <v>1</v>
      </c>
      <c r="R3325" s="91" t="s">
        <v>540</v>
      </c>
    </row>
    <row r="3326" spans="1:19">
      <c r="Q3326" s="76">
        <f>SUM(Q3323:Q3325)</f>
        <v>7</v>
      </c>
    </row>
    <row r="3328" spans="1:19">
      <c r="A3328" s="110" t="s">
        <v>308</v>
      </c>
      <c r="B3328" s="111" t="s">
        <v>297</v>
      </c>
      <c r="C3328" s="112" t="s">
        <v>228</v>
      </c>
      <c r="D3328" s="113" t="s">
        <v>20</v>
      </c>
      <c r="E3328" s="175" t="s">
        <v>15</v>
      </c>
      <c r="F3328" s="175" t="s">
        <v>54</v>
      </c>
      <c r="G3328" s="176">
        <v>31.6</v>
      </c>
      <c r="H3328" s="177">
        <v>11.9</v>
      </c>
      <c r="I3328" s="178">
        <f>9+5</f>
        <v>14</v>
      </c>
      <c r="J3328" s="174">
        <f t="shared" ref="J3328:J3336" si="358">(G3328*H3328*I3328/1000)</f>
        <v>5.2645600000000004</v>
      </c>
      <c r="K3328" s="118"/>
      <c r="L3328" s="111">
        <v>14</v>
      </c>
      <c r="M3328" s="117">
        <f t="shared" ref="M3328:M3336" si="359">H3328*L3328*G3328/1000</f>
        <v>5.2645600000000004</v>
      </c>
      <c r="N3328" s="119">
        <f t="shared" ref="N3328:N3336" si="360">I3328-L3328</f>
        <v>0</v>
      </c>
      <c r="O3328" s="120">
        <f t="shared" ref="O3328:O3332" si="361">H3328*N3328*G3328/1000</f>
        <v>0</v>
      </c>
      <c r="P3328" s="111"/>
      <c r="Q3328" s="111"/>
      <c r="R3328" s="111"/>
    </row>
    <row r="3329" spans="1:18">
      <c r="A3329" s="110" t="s">
        <v>308</v>
      </c>
      <c r="B3329" s="111" t="s">
        <v>297</v>
      </c>
      <c r="C3329" s="112" t="s">
        <v>228</v>
      </c>
      <c r="D3329" s="113" t="s">
        <v>20</v>
      </c>
      <c r="E3329" s="175" t="s">
        <v>15</v>
      </c>
      <c r="F3329" s="175" t="s">
        <v>54</v>
      </c>
      <c r="G3329" s="176">
        <v>31.6</v>
      </c>
      <c r="H3329" s="177">
        <v>10.1</v>
      </c>
      <c r="I3329" s="178">
        <f>10+10+11+10+10+10+9+9+9+9+9+9+9+10+11+11+4+10</f>
        <v>170</v>
      </c>
      <c r="J3329" s="174">
        <f t="shared" si="358"/>
        <v>54.257200000000005</v>
      </c>
      <c r="K3329" s="118"/>
      <c r="L3329" s="111">
        <f>160+3+7</f>
        <v>170</v>
      </c>
      <c r="M3329" s="117">
        <f t="shared" si="359"/>
        <v>54.257200000000005</v>
      </c>
      <c r="N3329" s="119">
        <f t="shared" si="360"/>
        <v>0</v>
      </c>
      <c r="O3329" s="120">
        <f t="shared" si="361"/>
        <v>0</v>
      </c>
      <c r="P3329" s="159"/>
      <c r="Q3329" s="111"/>
      <c r="R3329" s="111"/>
    </row>
    <row r="3330" spans="1:18">
      <c r="A3330" s="110" t="s">
        <v>308</v>
      </c>
      <c r="B3330" s="111" t="s">
        <v>297</v>
      </c>
      <c r="C3330" s="112" t="s">
        <v>228</v>
      </c>
      <c r="D3330" s="113" t="s">
        <v>20</v>
      </c>
      <c r="E3330" s="175" t="s">
        <v>15</v>
      </c>
      <c r="F3330" s="175" t="s">
        <v>54</v>
      </c>
      <c r="G3330" s="176">
        <v>31.6</v>
      </c>
      <c r="H3330" s="177">
        <v>11.6</v>
      </c>
      <c r="I3330" s="178">
        <v>4</v>
      </c>
      <c r="J3330" s="174">
        <f t="shared" si="358"/>
        <v>1.46624</v>
      </c>
      <c r="K3330" s="118"/>
      <c r="L3330" s="111">
        <v>4</v>
      </c>
      <c r="M3330" s="117">
        <f t="shared" si="359"/>
        <v>1.46624</v>
      </c>
      <c r="N3330" s="119">
        <f t="shared" si="360"/>
        <v>0</v>
      </c>
      <c r="O3330" s="120">
        <f t="shared" si="361"/>
        <v>0</v>
      </c>
      <c r="P3330" s="159"/>
      <c r="Q3330" s="111"/>
      <c r="R3330" s="111"/>
    </row>
    <row r="3331" spans="1:18">
      <c r="A3331" s="110" t="s">
        <v>308</v>
      </c>
      <c r="B3331" s="111" t="s">
        <v>297</v>
      </c>
      <c r="C3331" s="112" t="s">
        <v>228</v>
      </c>
      <c r="D3331" s="113" t="s">
        <v>20</v>
      </c>
      <c r="E3331" s="175" t="s">
        <v>15</v>
      </c>
      <c r="F3331" s="175" t="s">
        <v>54</v>
      </c>
      <c r="G3331" s="176">
        <v>31.6</v>
      </c>
      <c r="H3331" s="177">
        <v>11.8</v>
      </c>
      <c r="I3331" s="178">
        <v>1</v>
      </c>
      <c r="J3331" s="174">
        <f t="shared" si="358"/>
        <v>0.37288000000000004</v>
      </c>
      <c r="K3331" s="118"/>
      <c r="L3331" s="111">
        <v>1</v>
      </c>
      <c r="M3331" s="117">
        <f t="shared" si="359"/>
        <v>0.37288000000000004</v>
      </c>
      <c r="N3331" s="119">
        <f t="shared" si="360"/>
        <v>0</v>
      </c>
      <c r="O3331" s="120">
        <f t="shared" si="361"/>
        <v>0</v>
      </c>
      <c r="P3331" s="159"/>
      <c r="Q3331" s="111"/>
      <c r="R3331" s="111"/>
    </row>
    <row r="3332" spans="1:18">
      <c r="A3332" s="110" t="s">
        <v>308</v>
      </c>
      <c r="B3332" s="111" t="s">
        <v>297</v>
      </c>
      <c r="C3332" s="112" t="s">
        <v>228</v>
      </c>
      <c r="D3332" s="113" t="s">
        <v>20</v>
      </c>
      <c r="E3332" s="175" t="s">
        <v>15</v>
      </c>
      <c r="F3332" s="175" t="s">
        <v>54</v>
      </c>
      <c r="G3332" s="176">
        <v>31.6</v>
      </c>
      <c r="H3332" s="177">
        <v>11.7</v>
      </c>
      <c r="I3332" s="178">
        <v>1</v>
      </c>
      <c r="J3332" s="174">
        <f t="shared" si="358"/>
        <v>0.36971999999999999</v>
      </c>
      <c r="K3332" s="118"/>
      <c r="L3332" s="111">
        <v>1</v>
      </c>
      <c r="M3332" s="117">
        <f t="shared" si="359"/>
        <v>0.36971999999999999</v>
      </c>
      <c r="N3332" s="119">
        <f t="shared" si="360"/>
        <v>0</v>
      </c>
      <c r="O3332" s="120">
        <f t="shared" si="361"/>
        <v>0</v>
      </c>
      <c r="P3332" s="159"/>
      <c r="Q3332" s="111"/>
      <c r="R3332" s="111"/>
    </row>
    <row r="3333" spans="1:18">
      <c r="A3333" s="110" t="s">
        <v>308</v>
      </c>
      <c r="B3333" s="111" t="s">
        <v>297</v>
      </c>
      <c r="C3333" s="112" t="s">
        <v>228</v>
      </c>
      <c r="D3333" s="113" t="s">
        <v>20</v>
      </c>
      <c r="E3333" s="175" t="s">
        <v>15</v>
      </c>
      <c r="F3333" s="175" t="s">
        <v>54</v>
      </c>
      <c r="G3333" s="176">
        <v>31.6</v>
      </c>
      <c r="H3333" s="177">
        <v>9.3000000000000007</v>
      </c>
      <c r="I3333" s="178">
        <v>1</v>
      </c>
      <c r="J3333" s="174">
        <f t="shared" si="358"/>
        <v>0.29388000000000003</v>
      </c>
      <c r="K3333" s="118"/>
      <c r="L3333" s="111">
        <v>1</v>
      </c>
      <c r="M3333" s="117">
        <f t="shared" si="359"/>
        <v>0.29388000000000003</v>
      </c>
      <c r="N3333" s="119">
        <f t="shared" si="360"/>
        <v>0</v>
      </c>
      <c r="O3333" s="120">
        <f>H3333*N3333*G3333/1000</f>
        <v>0</v>
      </c>
      <c r="P3333" s="111"/>
      <c r="Q3333" s="91">
        <v>1</v>
      </c>
      <c r="R3333" s="91" t="s">
        <v>543</v>
      </c>
    </row>
    <row r="3334" spans="1:18">
      <c r="A3334" s="110" t="s">
        <v>308</v>
      </c>
      <c r="B3334" s="111" t="s">
        <v>297</v>
      </c>
      <c r="C3334" s="112" t="s">
        <v>228</v>
      </c>
      <c r="D3334" s="113" t="s">
        <v>20</v>
      </c>
      <c r="E3334" s="175" t="s">
        <v>15</v>
      </c>
      <c r="F3334" s="175" t="s">
        <v>54</v>
      </c>
      <c r="G3334" s="176">
        <v>31.6</v>
      </c>
      <c r="H3334" s="177">
        <v>9.5</v>
      </c>
      <c r="I3334" s="178">
        <v>1</v>
      </c>
      <c r="J3334" s="174">
        <f t="shared" si="358"/>
        <v>0.30019999999999997</v>
      </c>
      <c r="K3334" s="118"/>
      <c r="L3334" s="111">
        <v>1</v>
      </c>
      <c r="M3334" s="117">
        <f t="shared" si="359"/>
        <v>0.30019999999999997</v>
      </c>
      <c r="N3334" s="119">
        <f t="shared" si="360"/>
        <v>0</v>
      </c>
      <c r="O3334" s="120">
        <f>H3334*N3334*G3334/1000</f>
        <v>0</v>
      </c>
      <c r="P3334" s="111"/>
      <c r="Q3334" s="91">
        <v>1</v>
      </c>
      <c r="R3334" s="91" t="s">
        <v>543</v>
      </c>
    </row>
    <row r="3335" spans="1:18">
      <c r="A3335" s="110" t="s">
        <v>308</v>
      </c>
      <c r="B3335" s="111" t="s">
        <v>297</v>
      </c>
      <c r="C3335" s="112" t="s">
        <v>228</v>
      </c>
      <c r="D3335" s="113" t="s">
        <v>20</v>
      </c>
      <c r="E3335" s="175" t="s">
        <v>15</v>
      </c>
      <c r="F3335" s="175" t="s">
        <v>54</v>
      </c>
      <c r="G3335" s="176">
        <v>31.6</v>
      </c>
      <c r="H3335" s="177">
        <v>9.6999999999999993</v>
      </c>
      <c r="I3335" s="178">
        <v>1</v>
      </c>
      <c r="J3335" s="174">
        <f t="shared" si="358"/>
        <v>0.30651999999999996</v>
      </c>
      <c r="K3335" s="118"/>
      <c r="L3335" s="111">
        <v>1</v>
      </c>
      <c r="M3335" s="117">
        <f t="shared" si="359"/>
        <v>0.30651999999999996</v>
      </c>
      <c r="N3335" s="119">
        <f t="shared" si="360"/>
        <v>0</v>
      </c>
      <c r="O3335" s="120">
        <f>H3335*N3335*G3335/1000</f>
        <v>0</v>
      </c>
      <c r="P3335" s="159"/>
      <c r="Q3335" s="111"/>
      <c r="R3335" s="111"/>
    </row>
    <row r="3336" spans="1:18">
      <c r="A3336" s="110" t="s">
        <v>308</v>
      </c>
      <c r="B3336" s="111" t="s">
        <v>297</v>
      </c>
      <c r="C3336" s="112" t="s">
        <v>228</v>
      </c>
      <c r="D3336" s="113" t="s">
        <v>20</v>
      </c>
      <c r="E3336" s="175" t="s">
        <v>15</v>
      </c>
      <c r="F3336" s="175" t="s">
        <v>54</v>
      </c>
      <c r="G3336" s="176">
        <v>31.6</v>
      </c>
      <c r="H3336" s="177">
        <v>9.9</v>
      </c>
      <c r="I3336" s="178">
        <v>2</v>
      </c>
      <c r="J3336" s="174">
        <f t="shared" si="358"/>
        <v>0.62568000000000001</v>
      </c>
      <c r="K3336" s="118"/>
      <c r="L3336" s="111">
        <v>2</v>
      </c>
      <c r="M3336" s="117">
        <f t="shared" si="359"/>
        <v>0.62568000000000001</v>
      </c>
      <c r="N3336" s="119">
        <f t="shared" si="360"/>
        <v>0</v>
      </c>
      <c r="O3336" s="120">
        <f>H3336*N3336*G3336/1000</f>
        <v>0</v>
      </c>
      <c r="P3336" s="159"/>
      <c r="Q3336" s="111"/>
      <c r="R3336" s="111"/>
    </row>
    <row r="3337" spans="1:18">
      <c r="A3337" s="213"/>
      <c r="B3337" s="213"/>
      <c r="C3337" s="213"/>
      <c r="D3337" s="213"/>
      <c r="E3337" s="213"/>
      <c r="F3337" s="213"/>
      <c r="G3337" s="213"/>
      <c r="H3337" s="213"/>
      <c r="I3337" s="78">
        <f>SUM(I3328:I3336)</f>
        <v>195</v>
      </c>
      <c r="J3337" s="214">
        <f>SUM(J3328:J3336)</f>
        <v>63.25688000000001</v>
      </c>
      <c r="K3337" s="213"/>
      <c r="L3337" s="80">
        <f>SUM(L3328:L3336)</f>
        <v>195</v>
      </c>
      <c r="M3337" s="128">
        <f>SUM(M3328:M3336)</f>
        <v>63.25688000000001</v>
      </c>
      <c r="N3337" s="78">
        <f>SUM(N3328:N3336)</f>
        <v>0</v>
      </c>
      <c r="O3337" s="128">
        <f>SUM(O3328:O3336)</f>
        <v>0</v>
      </c>
      <c r="P3337" s="213"/>
      <c r="Q3337" s="80">
        <f>SUM(Q3328:Q3336)</f>
        <v>2</v>
      </c>
      <c r="R3337" s="213"/>
    </row>
    <row r="3339" spans="1:18">
      <c r="A3339" s="110" t="s">
        <v>308</v>
      </c>
      <c r="B3339" s="111" t="s">
        <v>309</v>
      </c>
      <c r="C3339" s="112" t="s">
        <v>228</v>
      </c>
      <c r="D3339" s="118" t="s">
        <v>17</v>
      </c>
      <c r="E3339" s="175" t="s">
        <v>15</v>
      </c>
      <c r="F3339" s="175" t="s">
        <v>54</v>
      </c>
      <c r="G3339" s="176">
        <v>31.6</v>
      </c>
      <c r="H3339" s="177">
        <v>10</v>
      </c>
      <c r="I3339" s="178">
        <v>6</v>
      </c>
      <c r="J3339" s="174">
        <f t="shared" ref="J3339:J3343" si="362">(G3339*H3339*I3339/1000)</f>
        <v>1.8959999999999999</v>
      </c>
      <c r="K3339" s="118"/>
      <c r="L3339" s="111">
        <v>6</v>
      </c>
      <c r="M3339" s="117">
        <f t="shared" ref="M3339:M3343" si="363">H3339*L3339*G3339/1000</f>
        <v>1.8959999999999999</v>
      </c>
      <c r="N3339" s="119">
        <f t="shared" ref="N3339:N3343" si="364">I3339-L3339</f>
        <v>0</v>
      </c>
      <c r="O3339" s="120">
        <f t="shared" ref="O3339:O3343" si="365">H3339*N3339*G3339/1000</f>
        <v>0</v>
      </c>
      <c r="P3339" s="111"/>
      <c r="Q3339" s="111"/>
      <c r="R3339" s="111"/>
    </row>
    <row r="3340" spans="1:18">
      <c r="A3340" s="110" t="s">
        <v>308</v>
      </c>
      <c r="B3340" s="111" t="s">
        <v>309</v>
      </c>
      <c r="C3340" s="112" t="s">
        <v>228</v>
      </c>
      <c r="D3340" s="118" t="s">
        <v>17</v>
      </c>
      <c r="E3340" s="175" t="s">
        <v>15</v>
      </c>
      <c r="F3340" s="175" t="s">
        <v>54</v>
      </c>
      <c r="G3340" s="176">
        <v>31.6</v>
      </c>
      <c r="H3340" s="177">
        <v>10.5</v>
      </c>
      <c r="I3340" s="178">
        <v>8</v>
      </c>
      <c r="J3340" s="174">
        <f t="shared" si="362"/>
        <v>2.6543999999999999</v>
      </c>
      <c r="K3340" s="118"/>
      <c r="L3340" s="111">
        <v>8</v>
      </c>
      <c r="M3340" s="117">
        <f t="shared" si="363"/>
        <v>2.6543999999999999</v>
      </c>
      <c r="N3340" s="119">
        <f t="shared" si="364"/>
        <v>0</v>
      </c>
      <c r="O3340" s="120">
        <f t="shared" si="365"/>
        <v>0</v>
      </c>
      <c r="P3340" s="111"/>
      <c r="Q3340" s="111"/>
      <c r="R3340" s="111"/>
    </row>
    <row r="3341" spans="1:18">
      <c r="A3341" s="110" t="s">
        <v>308</v>
      </c>
      <c r="B3341" s="111" t="s">
        <v>309</v>
      </c>
      <c r="C3341" s="112" t="s">
        <v>228</v>
      </c>
      <c r="D3341" s="118" t="s">
        <v>17</v>
      </c>
      <c r="E3341" s="175" t="s">
        <v>15</v>
      </c>
      <c r="F3341" s="175" t="s">
        <v>54</v>
      </c>
      <c r="G3341" s="176">
        <v>31.6</v>
      </c>
      <c r="H3341" s="177">
        <v>9.6</v>
      </c>
      <c r="I3341" s="178">
        <v>1</v>
      </c>
      <c r="J3341" s="174">
        <f t="shared" si="362"/>
        <v>0.30336000000000002</v>
      </c>
      <c r="K3341" s="118"/>
      <c r="L3341" s="111">
        <v>1</v>
      </c>
      <c r="M3341" s="117">
        <f t="shared" si="363"/>
        <v>0.30336000000000002</v>
      </c>
      <c r="N3341" s="119">
        <f t="shared" si="364"/>
        <v>0</v>
      </c>
      <c r="O3341" s="120">
        <f t="shared" si="365"/>
        <v>0</v>
      </c>
      <c r="P3341" s="111"/>
      <c r="Q3341" s="72">
        <v>1</v>
      </c>
      <c r="R3341" s="72" t="s">
        <v>542</v>
      </c>
    </row>
    <row r="3342" spans="1:18">
      <c r="A3342" s="110" t="s">
        <v>308</v>
      </c>
      <c r="B3342" s="111" t="s">
        <v>309</v>
      </c>
      <c r="C3342" s="112" t="s">
        <v>228</v>
      </c>
      <c r="D3342" s="118" t="s">
        <v>17</v>
      </c>
      <c r="E3342" s="175" t="s">
        <v>15</v>
      </c>
      <c r="F3342" s="175" t="s">
        <v>54</v>
      </c>
      <c r="G3342" s="176">
        <v>31.6</v>
      </c>
      <c r="H3342" s="177">
        <v>10.5</v>
      </c>
      <c r="I3342" s="178">
        <v>2</v>
      </c>
      <c r="J3342" s="174">
        <f t="shared" si="362"/>
        <v>0.66359999999999997</v>
      </c>
      <c r="K3342" s="118"/>
      <c r="L3342" s="111">
        <v>2</v>
      </c>
      <c r="M3342" s="117">
        <f t="shared" si="363"/>
        <v>0.66359999999999997</v>
      </c>
      <c r="N3342" s="119">
        <f t="shared" si="364"/>
        <v>0</v>
      </c>
      <c r="O3342" s="120">
        <f t="shared" si="365"/>
        <v>0</v>
      </c>
      <c r="P3342" s="111"/>
      <c r="Q3342" s="111"/>
      <c r="R3342" s="111"/>
    </row>
    <row r="3343" spans="1:18">
      <c r="A3343" s="110" t="s">
        <v>308</v>
      </c>
      <c r="B3343" s="111" t="s">
        <v>309</v>
      </c>
      <c r="C3343" s="112" t="s">
        <v>228</v>
      </c>
      <c r="D3343" s="118" t="s">
        <v>17</v>
      </c>
      <c r="E3343" s="175" t="s">
        <v>15</v>
      </c>
      <c r="F3343" s="175" t="s">
        <v>54</v>
      </c>
      <c r="G3343" s="176">
        <v>31.6</v>
      </c>
      <c r="H3343" s="177">
        <v>10</v>
      </c>
      <c r="I3343" s="178">
        <v>1</v>
      </c>
      <c r="J3343" s="174">
        <f t="shared" si="362"/>
        <v>0.316</v>
      </c>
      <c r="K3343" s="118"/>
      <c r="L3343" s="111"/>
      <c r="M3343" s="117">
        <f t="shared" si="363"/>
        <v>0</v>
      </c>
      <c r="N3343" s="119">
        <f t="shared" si="364"/>
        <v>1</v>
      </c>
      <c r="O3343" s="120">
        <f t="shared" si="365"/>
        <v>0.316</v>
      </c>
      <c r="P3343" s="111"/>
      <c r="Q3343" s="111"/>
      <c r="R3343" s="111"/>
    </row>
    <row r="3344" spans="1:18">
      <c r="A3344" s="213"/>
      <c r="B3344" s="213"/>
      <c r="C3344" s="213"/>
      <c r="D3344" s="213"/>
      <c r="E3344" s="213"/>
      <c r="F3344" s="213"/>
      <c r="G3344" s="213"/>
      <c r="H3344" s="213"/>
      <c r="I3344" s="78">
        <f>SUM(I3339:I3343)</f>
        <v>18</v>
      </c>
      <c r="J3344" s="214">
        <f>SUM(J3339:J3343)</f>
        <v>5.833359999999999</v>
      </c>
      <c r="K3344" s="213"/>
      <c r="L3344" s="80">
        <f>SUM(L3339:L3343)</f>
        <v>17</v>
      </c>
      <c r="M3344" s="214">
        <f>SUM(M3339:M3343)</f>
        <v>5.5173599999999992</v>
      </c>
      <c r="N3344" s="78">
        <f>SUM(N3339:N3343)</f>
        <v>1</v>
      </c>
      <c r="O3344" s="128">
        <f>SUM(O3339:O3343)</f>
        <v>0.316</v>
      </c>
      <c r="P3344" s="213"/>
      <c r="Q3344" s="80">
        <f>SUM(Q3339:Q3343)</f>
        <v>1</v>
      </c>
      <c r="R3344" s="213"/>
    </row>
    <row r="3345" spans="1:18">
      <c r="Q3345" s="80">
        <f>+Q3344+Q3337+Q3326</f>
        <v>10</v>
      </c>
    </row>
    <row r="3346" spans="1:18">
      <c r="A3346" s="110" t="s">
        <v>426</v>
      </c>
      <c r="B3346" s="111" t="s">
        <v>428</v>
      </c>
      <c r="C3346" s="112" t="s">
        <v>228</v>
      </c>
      <c r="D3346" s="113" t="s">
        <v>20</v>
      </c>
      <c r="E3346" s="175" t="s">
        <v>15</v>
      </c>
      <c r="F3346" s="175" t="s">
        <v>53</v>
      </c>
      <c r="G3346" s="176">
        <v>35.9</v>
      </c>
      <c r="H3346" s="177">
        <v>11.3</v>
      </c>
      <c r="I3346" s="178">
        <v>7</v>
      </c>
      <c r="J3346" s="174">
        <f t="shared" ref="J3346:J3352" si="366">(G3346*H3346*I3346/1000)</f>
        <v>2.83969</v>
      </c>
      <c r="K3346" s="118"/>
      <c r="L3346" s="111">
        <v>7</v>
      </c>
      <c r="M3346" s="117">
        <f t="shared" ref="M3346:M3352" si="367">H3346*L3346*G3346/1000</f>
        <v>2.83969</v>
      </c>
      <c r="N3346" s="119">
        <f t="shared" ref="N3346:N3352" si="368">I3346-L3346</f>
        <v>0</v>
      </c>
      <c r="O3346" s="120">
        <f t="shared" ref="O3346:O3352" si="369">H3346*N3346*G3346/1000</f>
        <v>0</v>
      </c>
      <c r="P3346" s="32"/>
      <c r="Q3346" s="32"/>
      <c r="R3346" s="32"/>
    </row>
    <row r="3347" spans="1:18">
      <c r="A3347" s="110" t="s">
        <v>426</v>
      </c>
      <c r="B3347" s="111" t="s">
        <v>428</v>
      </c>
      <c r="C3347" s="112" t="s">
        <v>228</v>
      </c>
      <c r="D3347" s="113" t="s">
        <v>20</v>
      </c>
      <c r="E3347" s="175" t="s">
        <v>15</v>
      </c>
      <c r="F3347" s="175" t="s">
        <v>53</v>
      </c>
      <c r="G3347" s="176">
        <v>35.9</v>
      </c>
      <c r="H3347" s="177">
        <v>11.7</v>
      </c>
      <c r="I3347" s="178">
        <f>7+7+7+105</f>
        <v>126</v>
      </c>
      <c r="J3347" s="174">
        <f t="shared" si="366"/>
        <v>52.923780000000001</v>
      </c>
      <c r="K3347" s="118"/>
      <c r="L3347" s="111">
        <f>119+7</f>
        <v>126</v>
      </c>
      <c r="M3347" s="117">
        <f t="shared" si="367"/>
        <v>52.923779999999994</v>
      </c>
      <c r="N3347" s="119">
        <f t="shared" si="368"/>
        <v>0</v>
      </c>
      <c r="O3347" s="120">
        <f t="shared" si="369"/>
        <v>0</v>
      </c>
      <c r="P3347" s="32"/>
      <c r="Q3347" s="32"/>
      <c r="R3347" s="32"/>
    </row>
    <row r="3348" spans="1:18">
      <c r="A3348" s="110" t="s">
        <v>426</v>
      </c>
      <c r="B3348" s="111" t="s">
        <v>428</v>
      </c>
      <c r="C3348" s="112" t="s">
        <v>228</v>
      </c>
      <c r="D3348" s="113" t="s">
        <v>20</v>
      </c>
      <c r="E3348" s="175" t="s">
        <v>15</v>
      </c>
      <c r="F3348" s="175" t="s">
        <v>53</v>
      </c>
      <c r="G3348" s="176">
        <v>35.9</v>
      </c>
      <c r="H3348" s="177">
        <v>12</v>
      </c>
      <c r="I3348" s="178">
        <f>7+7+7+8+63</f>
        <v>92</v>
      </c>
      <c r="J3348" s="174">
        <f t="shared" si="366"/>
        <v>39.633600000000001</v>
      </c>
      <c r="K3348" s="118"/>
      <c r="L3348" s="111">
        <f>82+2</f>
        <v>84</v>
      </c>
      <c r="M3348" s="117">
        <f t="shared" si="367"/>
        <v>36.187199999999997</v>
      </c>
      <c r="N3348" s="119">
        <f t="shared" si="368"/>
        <v>8</v>
      </c>
      <c r="O3348" s="120">
        <f t="shared" si="369"/>
        <v>3.4463999999999997</v>
      </c>
      <c r="P3348" s="91">
        <v>12</v>
      </c>
      <c r="Q3348" s="91">
        <v>2</v>
      </c>
      <c r="R3348" s="91" t="s">
        <v>543</v>
      </c>
    </row>
    <row r="3349" spans="1:18">
      <c r="A3349" s="110" t="s">
        <v>426</v>
      </c>
      <c r="B3349" s="111" t="s">
        <v>428</v>
      </c>
      <c r="C3349" s="112" t="s">
        <v>228</v>
      </c>
      <c r="D3349" s="113" t="s">
        <v>20</v>
      </c>
      <c r="E3349" s="175" t="s">
        <v>15</v>
      </c>
      <c r="F3349" s="175" t="s">
        <v>53</v>
      </c>
      <c r="G3349" s="176">
        <v>35.9</v>
      </c>
      <c r="H3349" s="177">
        <v>12</v>
      </c>
      <c r="I3349" s="178">
        <v>1</v>
      </c>
      <c r="J3349" s="174">
        <f t="shared" si="366"/>
        <v>0.43079999999999996</v>
      </c>
      <c r="K3349" s="118" t="s">
        <v>429</v>
      </c>
      <c r="L3349" s="111"/>
      <c r="M3349" s="117">
        <f t="shared" si="367"/>
        <v>0</v>
      </c>
      <c r="N3349" s="119">
        <f t="shared" si="368"/>
        <v>1</v>
      </c>
      <c r="O3349" s="120">
        <f t="shared" si="369"/>
        <v>0.43079999999999996</v>
      </c>
      <c r="P3349" s="32"/>
      <c r="Q3349" s="32"/>
      <c r="R3349" s="32"/>
    </row>
    <row r="3350" spans="1:18">
      <c r="A3350" s="110" t="s">
        <v>426</v>
      </c>
      <c r="B3350" s="111" t="s">
        <v>428</v>
      </c>
      <c r="C3350" s="112" t="s">
        <v>228</v>
      </c>
      <c r="D3350" s="113" t="s">
        <v>20</v>
      </c>
      <c r="E3350" s="175" t="s">
        <v>15</v>
      </c>
      <c r="F3350" s="175" t="s">
        <v>53</v>
      </c>
      <c r="G3350" s="176">
        <v>35.9</v>
      </c>
      <c r="H3350" s="177">
        <v>10.8</v>
      </c>
      <c r="I3350" s="178">
        <v>1</v>
      </c>
      <c r="J3350" s="174">
        <f t="shared" si="366"/>
        <v>0.38772000000000001</v>
      </c>
      <c r="K3350" s="118" t="s">
        <v>252</v>
      </c>
      <c r="L3350" s="111"/>
      <c r="M3350" s="117">
        <f t="shared" si="367"/>
        <v>0</v>
      </c>
      <c r="N3350" s="119">
        <f t="shared" si="368"/>
        <v>1</v>
      </c>
      <c r="O3350" s="120">
        <f t="shared" si="369"/>
        <v>0.38772000000000001</v>
      </c>
      <c r="P3350" s="32"/>
      <c r="Q3350" s="32"/>
      <c r="R3350" s="32"/>
    </row>
    <row r="3351" spans="1:18">
      <c r="A3351" s="110" t="s">
        <v>426</v>
      </c>
      <c r="B3351" s="111" t="s">
        <v>428</v>
      </c>
      <c r="C3351" s="112" t="s">
        <v>228</v>
      </c>
      <c r="D3351" s="113" t="s">
        <v>20</v>
      </c>
      <c r="E3351" s="175" t="s">
        <v>15</v>
      </c>
      <c r="F3351" s="175" t="s">
        <v>53</v>
      </c>
      <c r="G3351" s="176">
        <v>35.9</v>
      </c>
      <c r="H3351" s="177">
        <v>11.7</v>
      </c>
      <c r="I3351" s="178">
        <v>2</v>
      </c>
      <c r="J3351" s="174">
        <f t="shared" si="366"/>
        <v>0.84005999999999992</v>
      </c>
      <c r="K3351" s="118" t="s">
        <v>252</v>
      </c>
      <c r="L3351" s="111">
        <v>2</v>
      </c>
      <c r="M3351" s="117">
        <f t="shared" si="367"/>
        <v>0.84005999999999992</v>
      </c>
      <c r="N3351" s="119">
        <f t="shared" si="368"/>
        <v>0</v>
      </c>
      <c r="O3351" s="120">
        <f t="shared" si="369"/>
        <v>0</v>
      </c>
      <c r="P3351" s="32"/>
      <c r="Q3351" s="32"/>
      <c r="R3351" s="32"/>
    </row>
    <row r="3352" spans="1:18">
      <c r="A3352" s="110" t="s">
        <v>426</v>
      </c>
      <c r="B3352" s="111" t="s">
        <v>428</v>
      </c>
      <c r="C3352" s="112" t="s">
        <v>228</v>
      </c>
      <c r="D3352" s="113" t="s">
        <v>20</v>
      </c>
      <c r="E3352" s="175" t="s">
        <v>15</v>
      </c>
      <c r="F3352" s="175" t="s">
        <v>53</v>
      </c>
      <c r="G3352" s="176">
        <v>35.9</v>
      </c>
      <c r="H3352" s="177">
        <v>12</v>
      </c>
      <c r="I3352" s="178">
        <v>3</v>
      </c>
      <c r="J3352" s="174">
        <f t="shared" si="366"/>
        <v>1.2923999999999998</v>
      </c>
      <c r="K3352" s="118" t="s">
        <v>252</v>
      </c>
      <c r="L3352" s="111">
        <v>2</v>
      </c>
      <c r="M3352" s="117">
        <f t="shared" si="367"/>
        <v>0.86159999999999992</v>
      </c>
      <c r="N3352" s="119">
        <f t="shared" si="368"/>
        <v>1</v>
      </c>
      <c r="O3352" s="120">
        <f t="shared" si="369"/>
        <v>0.43079999999999996</v>
      </c>
      <c r="P3352" s="32"/>
      <c r="Q3352" s="32"/>
      <c r="R3352" s="32"/>
    </row>
    <row r="3353" spans="1:18">
      <c r="A3353" s="213"/>
      <c r="B3353" s="213"/>
      <c r="C3353" s="213"/>
      <c r="D3353" s="213"/>
      <c r="E3353" s="213"/>
      <c r="F3353" s="213"/>
      <c r="G3353" s="213"/>
      <c r="H3353" s="213"/>
      <c r="I3353" s="78">
        <f>SUM(I3346:I3352)</f>
        <v>232</v>
      </c>
      <c r="J3353" s="214">
        <f>SUM(J3346:J3352)</f>
        <v>98.348050000000001</v>
      </c>
      <c r="K3353" s="213"/>
      <c r="L3353" s="78">
        <f>SUM(L3346:L3352)</f>
        <v>221</v>
      </c>
      <c r="M3353" s="214">
        <f>SUM(M3346:M3352)</f>
        <v>93.652329999999978</v>
      </c>
      <c r="N3353" s="78">
        <f>SUM(N3346:N3352)</f>
        <v>11</v>
      </c>
      <c r="O3353" s="214">
        <f>SUM(O3346:O3352)</f>
        <v>4.6957199999999997</v>
      </c>
      <c r="P3353" s="213"/>
      <c r="Q3353" s="78">
        <f>SUM(Q3346:Q3352)</f>
        <v>2</v>
      </c>
      <c r="R3353" s="213"/>
    </row>
    <row r="3355" spans="1:18">
      <c r="A3355" s="110" t="s">
        <v>308</v>
      </c>
      <c r="B3355" s="111" t="s">
        <v>309</v>
      </c>
      <c r="C3355" s="112" t="s">
        <v>228</v>
      </c>
      <c r="D3355" s="118" t="s">
        <v>17</v>
      </c>
      <c r="E3355" s="175" t="s">
        <v>15</v>
      </c>
      <c r="F3355" s="175" t="s">
        <v>65</v>
      </c>
      <c r="G3355" s="176">
        <v>44.12</v>
      </c>
      <c r="H3355" s="177">
        <v>7.8</v>
      </c>
      <c r="I3355" s="178">
        <v>1</v>
      </c>
      <c r="J3355" s="174">
        <f t="shared" ref="J3355:J3366" si="370">(G3355*H3355*I3355/1000)</f>
        <v>0.34413599999999994</v>
      </c>
      <c r="K3355" s="118"/>
      <c r="L3355" s="111">
        <v>1</v>
      </c>
      <c r="M3355" s="117">
        <f t="shared" ref="M3355:M3366" si="371">H3355*L3355*G3355/1000</f>
        <v>0.34413599999999994</v>
      </c>
      <c r="N3355" s="119">
        <f t="shared" ref="N3355:N3366" si="372">I3355-L3355</f>
        <v>0</v>
      </c>
      <c r="O3355" s="120">
        <f t="shared" ref="O3355:O3366" si="373">H3355*N3355*G3355/1000</f>
        <v>0</v>
      </c>
      <c r="P3355" s="111"/>
      <c r="Q3355" s="111"/>
      <c r="R3355" s="111"/>
    </row>
    <row r="3356" spans="1:18">
      <c r="A3356" s="110" t="s">
        <v>308</v>
      </c>
      <c r="B3356" s="111" t="s">
        <v>309</v>
      </c>
      <c r="C3356" s="112" t="s">
        <v>228</v>
      </c>
      <c r="D3356" s="118" t="s">
        <v>17</v>
      </c>
      <c r="E3356" s="175" t="s">
        <v>15</v>
      </c>
      <c r="F3356" s="175" t="s">
        <v>65</v>
      </c>
      <c r="G3356" s="176">
        <v>44.12</v>
      </c>
      <c r="H3356" s="177">
        <v>7.7</v>
      </c>
      <c r="I3356" s="178">
        <f>9+9+6+8+10+9+9+10+3+1</f>
        <v>74</v>
      </c>
      <c r="J3356" s="174">
        <f t="shared" si="370"/>
        <v>25.139576000000002</v>
      </c>
      <c r="K3356" s="118"/>
      <c r="L3356" s="111">
        <v>70</v>
      </c>
      <c r="M3356" s="117">
        <f t="shared" si="371"/>
        <v>23.78068</v>
      </c>
      <c r="N3356" s="119">
        <f t="shared" si="372"/>
        <v>4</v>
      </c>
      <c r="O3356" s="120">
        <f t="shared" si="373"/>
        <v>1.3588959999999999</v>
      </c>
      <c r="P3356" s="111"/>
      <c r="Q3356" s="111"/>
      <c r="R3356" s="111"/>
    </row>
    <row r="3357" spans="1:18">
      <c r="A3357" s="110" t="s">
        <v>308</v>
      </c>
      <c r="B3357" s="111" t="s">
        <v>309</v>
      </c>
      <c r="C3357" s="112" t="s">
        <v>228</v>
      </c>
      <c r="D3357" s="118" t="s">
        <v>17</v>
      </c>
      <c r="E3357" s="175" t="s">
        <v>15</v>
      </c>
      <c r="F3357" s="175" t="s">
        <v>65</v>
      </c>
      <c r="G3357" s="176">
        <v>44.12</v>
      </c>
      <c r="H3357" s="177">
        <v>10</v>
      </c>
      <c r="I3357" s="178">
        <f>7+4+4</f>
        <v>15</v>
      </c>
      <c r="J3357" s="174">
        <f t="shared" si="370"/>
        <v>6.6180000000000003</v>
      </c>
      <c r="K3357" s="118"/>
      <c r="L3357" s="111">
        <v>15</v>
      </c>
      <c r="M3357" s="117">
        <f t="shared" si="371"/>
        <v>6.6180000000000003</v>
      </c>
      <c r="N3357" s="119">
        <f t="shared" si="372"/>
        <v>0</v>
      </c>
      <c r="O3357" s="120">
        <f t="shared" si="373"/>
        <v>0</v>
      </c>
      <c r="P3357" s="111"/>
      <c r="Q3357" s="111"/>
      <c r="R3357" s="111"/>
    </row>
    <row r="3358" spans="1:18">
      <c r="A3358" s="110" t="s">
        <v>308</v>
      </c>
      <c r="B3358" s="111" t="s">
        <v>309</v>
      </c>
      <c r="C3358" s="112" t="s">
        <v>228</v>
      </c>
      <c r="D3358" s="118" t="s">
        <v>17</v>
      </c>
      <c r="E3358" s="175" t="s">
        <v>15</v>
      </c>
      <c r="F3358" s="175" t="s">
        <v>65</v>
      </c>
      <c r="G3358" s="176">
        <v>44.12</v>
      </c>
      <c r="H3358" s="177">
        <v>9.5</v>
      </c>
      <c r="I3358" s="178">
        <f>8+6+1+7+5+4+1</f>
        <v>32</v>
      </c>
      <c r="J3358" s="174">
        <f t="shared" si="370"/>
        <v>13.41248</v>
      </c>
      <c r="K3358" s="118"/>
      <c r="L3358" s="111">
        <v>32</v>
      </c>
      <c r="M3358" s="117">
        <f t="shared" si="371"/>
        <v>13.41248</v>
      </c>
      <c r="N3358" s="119">
        <f t="shared" si="372"/>
        <v>0</v>
      </c>
      <c r="O3358" s="120">
        <f t="shared" si="373"/>
        <v>0</v>
      </c>
      <c r="P3358" s="111"/>
      <c r="Q3358" s="111"/>
      <c r="R3358" s="111"/>
    </row>
    <row r="3359" spans="1:18">
      <c r="A3359" s="110" t="s">
        <v>308</v>
      </c>
      <c r="B3359" s="111" t="s">
        <v>309</v>
      </c>
      <c r="C3359" s="112" t="s">
        <v>228</v>
      </c>
      <c r="D3359" s="118" t="s">
        <v>17</v>
      </c>
      <c r="E3359" s="175" t="s">
        <v>15</v>
      </c>
      <c r="F3359" s="175" t="s">
        <v>65</v>
      </c>
      <c r="G3359" s="176">
        <v>44.12</v>
      </c>
      <c r="H3359" s="177">
        <v>6.6</v>
      </c>
      <c r="I3359" s="178">
        <v>2</v>
      </c>
      <c r="J3359" s="174">
        <f t="shared" si="370"/>
        <v>0.5823839999999999</v>
      </c>
      <c r="K3359" s="118"/>
      <c r="L3359" s="111">
        <v>2</v>
      </c>
      <c r="M3359" s="117">
        <f t="shared" si="371"/>
        <v>0.5823839999999999</v>
      </c>
      <c r="N3359" s="119">
        <f t="shared" si="372"/>
        <v>0</v>
      </c>
      <c r="O3359" s="120">
        <f t="shared" si="373"/>
        <v>0</v>
      </c>
      <c r="P3359" s="111"/>
      <c r="Q3359" s="111"/>
      <c r="R3359" s="111"/>
    </row>
    <row r="3360" spans="1:18">
      <c r="A3360" s="110" t="s">
        <v>308</v>
      </c>
      <c r="B3360" s="111" t="s">
        <v>309</v>
      </c>
      <c r="C3360" s="112" t="s">
        <v>228</v>
      </c>
      <c r="D3360" s="118" t="s">
        <v>17</v>
      </c>
      <c r="E3360" s="175" t="s">
        <v>15</v>
      </c>
      <c r="F3360" s="175" t="s">
        <v>65</v>
      </c>
      <c r="G3360" s="176">
        <v>44.12</v>
      </c>
      <c r="H3360" s="177">
        <v>7.8</v>
      </c>
      <c r="I3360" s="178">
        <v>1</v>
      </c>
      <c r="J3360" s="174">
        <f t="shared" si="370"/>
        <v>0.34413599999999994</v>
      </c>
      <c r="K3360" s="118"/>
      <c r="L3360" s="111">
        <v>1</v>
      </c>
      <c r="M3360" s="117">
        <f t="shared" si="371"/>
        <v>0.34413599999999994</v>
      </c>
      <c r="N3360" s="119">
        <f t="shared" si="372"/>
        <v>0</v>
      </c>
      <c r="O3360" s="120">
        <f t="shared" si="373"/>
        <v>0</v>
      </c>
      <c r="P3360" s="111"/>
      <c r="Q3360" s="111"/>
      <c r="R3360" s="111"/>
    </row>
    <row r="3361" spans="1:18">
      <c r="A3361" s="110" t="s">
        <v>308</v>
      </c>
      <c r="B3361" s="111" t="s">
        <v>309</v>
      </c>
      <c r="C3361" s="112" t="s">
        <v>228</v>
      </c>
      <c r="D3361" s="118" t="s">
        <v>17</v>
      </c>
      <c r="E3361" s="175" t="s">
        <v>15</v>
      </c>
      <c r="F3361" s="175" t="s">
        <v>65</v>
      </c>
      <c r="G3361" s="176">
        <v>44.12</v>
      </c>
      <c r="H3361" s="177">
        <v>9.3000000000000007</v>
      </c>
      <c r="I3361" s="178">
        <v>1</v>
      </c>
      <c r="J3361" s="174">
        <f t="shared" si="370"/>
        <v>0.41031600000000001</v>
      </c>
      <c r="K3361" s="118"/>
      <c r="L3361" s="111">
        <v>1</v>
      </c>
      <c r="M3361" s="117">
        <f t="shared" si="371"/>
        <v>0.41031600000000001</v>
      </c>
      <c r="N3361" s="119">
        <f t="shared" si="372"/>
        <v>0</v>
      </c>
      <c r="O3361" s="120">
        <f t="shared" si="373"/>
        <v>0</v>
      </c>
      <c r="P3361" s="111"/>
      <c r="Q3361" s="111"/>
      <c r="R3361" s="111"/>
    </row>
    <row r="3362" spans="1:18">
      <c r="A3362" s="110" t="s">
        <v>308</v>
      </c>
      <c r="B3362" s="111" t="s">
        <v>309</v>
      </c>
      <c r="C3362" s="112" t="s">
        <v>228</v>
      </c>
      <c r="D3362" s="118" t="s">
        <v>17</v>
      </c>
      <c r="E3362" s="175" t="s">
        <v>15</v>
      </c>
      <c r="F3362" s="175" t="s">
        <v>65</v>
      </c>
      <c r="G3362" s="176">
        <v>44.12</v>
      </c>
      <c r="H3362" s="177">
        <v>11.5</v>
      </c>
      <c r="I3362" s="178">
        <v>3</v>
      </c>
      <c r="J3362" s="174">
        <f t="shared" si="370"/>
        <v>1.5221399999999998</v>
      </c>
      <c r="K3362" s="118"/>
      <c r="L3362" s="111">
        <f>1+2</f>
        <v>3</v>
      </c>
      <c r="M3362" s="117">
        <f t="shared" si="371"/>
        <v>1.5221399999999998</v>
      </c>
      <c r="N3362" s="145">
        <f t="shared" si="372"/>
        <v>0</v>
      </c>
      <c r="O3362" s="120">
        <f t="shared" si="373"/>
        <v>0</v>
      </c>
      <c r="P3362" s="111"/>
      <c r="Q3362" s="72">
        <v>2</v>
      </c>
      <c r="R3362" s="72" t="s">
        <v>540</v>
      </c>
    </row>
    <row r="3363" spans="1:18">
      <c r="A3363" s="110" t="s">
        <v>308</v>
      </c>
      <c r="B3363" s="111" t="s">
        <v>309</v>
      </c>
      <c r="C3363" s="112" t="s">
        <v>228</v>
      </c>
      <c r="D3363" s="118" t="s">
        <v>17</v>
      </c>
      <c r="E3363" s="175" t="s">
        <v>15</v>
      </c>
      <c r="F3363" s="175" t="s">
        <v>65</v>
      </c>
      <c r="G3363" s="176">
        <v>44.12</v>
      </c>
      <c r="H3363" s="177">
        <v>12</v>
      </c>
      <c r="I3363" s="178">
        <v>3</v>
      </c>
      <c r="J3363" s="174">
        <f t="shared" si="370"/>
        <v>1.5883199999999997</v>
      </c>
      <c r="K3363" s="118"/>
      <c r="L3363" s="111">
        <v>3</v>
      </c>
      <c r="M3363" s="117">
        <f t="shared" si="371"/>
        <v>1.58832</v>
      </c>
      <c r="N3363" s="145">
        <f t="shared" si="372"/>
        <v>0</v>
      </c>
      <c r="O3363" s="120">
        <f t="shared" si="373"/>
        <v>0</v>
      </c>
      <c r="P3363" s="111"/>
      <c r="Q3363" s="72">
        <v>3</v>
      </c>
      <c r="R3363" s="72" t="s">
        <v>540</v>
      </c>
    </row>
    <row r="3364" spans="1:18">
      <c r="A3364" s="110" t="s">
        <v>308</v>
      </c>
      <c r="B3364" s="111" t="s">
        <v>309</v>
      </c>
      <c r="C3364" s="112" t="s">
        <v>228</v>
      </c>
      <c r="D3364" s="118" t="s">
        <v>17</v>
      </c>
      <c r="E3364" s="175" t="s">
        <v>15</v>
      </c>
      <c r="F3364" s="175" t="s">
        <v>65</v>
      </c>
      <c r="G3364" s="176">
        <v>44.12</v>
      </c>
      <c r="H3364" s="177">
        <v>6.7</v>
      </c>
      <c r="I3364" s="178">
        <v>3</v>
      </c>
      <c r="J3364" s="174">
        <f t="shared" si="370"/>
        <v>0.88681199999999993</v>
      </c>
      <c r="K3364" s="118"/>
      <c r="L3364" s="111">
        <v>2</v>
      </c>
      <c r="M3364" s="117">
        <f t="shared" si="371"/>
        <v>0.59120799999999996</v>
      </c>
      <c r="N3364" s="119">
        <f t="shared" si="372"/>
        <v>1</v>
      </c>
      <c r="O3364" s="120">
        <f t="shared" si="373"/>
        <v>0.29560399999999998</v>
      </c>
      <c r="P3364" s="111"/>
      <c r="Q3364" s="111"/>
      <c r="R3364" s="111"/>
    </row>
    <row r="3365" spans="1:18">
      <c r="A3365" s="110" t="s">
        <v>308</v>
      </c>
      <c r="B3365" s="111" t="s">
        <v>309</v>
      </c>
      <c r="C3365" s="112" t="s">
        <v>228</v>
      </c>
      <c r="D3365" s="118" t="s">
        <v>17</v>
      </c>
      <c r="E3365" s="175" t="s">
        <v>15</v>
      </c>
      <c r="F3365" s="175" t="s">
        <v>65</v>
      </c>
      <c r="G3365" s="176">
        <v>44.12</v>
      </c>
      <c r="H3365" s="177">
        <v>6</v>
      </c>
      <c r="I3365" s="178">
        <v>2</v>
      </c>
      <c r="J3365" s="174">
        <f t="shared" si="370"/>
        <v>0.52943999999999991</v>
      </c>
      <c r="K3365" s="118"/>
      <c r="L3365" s="111"/>
      <c r="M3365" s="117">
        <f t="shared" si="371"/>
        <v>0</v>
      </c>
      <c r="N3365" s="119">
        <f t="shared" si="372"/>
        <v>2</v>
      </c>
      <c r="O3365" s="120">
        <f t="shared" si="373"/>
        <v>0.52943999999999991</v>
      </c>
      <c r="P3365" s="111"/>
      <c r="Q3365" s="111"/>
      <c r="R3365" s="111"/>
    </row>
    <row r="3366" spans="1:18">
      <c r="A3366" s="110" t="s">
        <v>308</v>
      </c>
      <c r="B3366" s="111" t="s">
        <v>309</v>
      </c>
      <c r="C3366" s="112" t="s">
        <v>228</v>
      </c>
      <c r="D3366" s="118" t="s">
        <v>17</v>
      </c>
      <c r="E3366" s="175" t="s">
        <v>15</v>
      </c>
      <c r="F3366" s="175" t="s">
        <v>65</v>
      </c>
      <c r="G3366" s="176">
        <v>44.12</v>
      </c>
      <c r="H3366" s="177">
        <v>5.8</v>
      </c>
      <c r="I3366" s="178">
        <v>1</v>
      </c>
      <c r="J3366" s="174">
        <f t="shared" si="370"/>
        <v>0.25589600000000001</v>
      </c>
      <c r="K3366" s="118"/>
      <c r="L3366" s="111"/>
      <c r="M3366" s="117">
        <f t="shared" si="371"/>
        <v>0</v>
      </c>
      <c r="N3366" s="119">
        <f t="shared" si="372"/>
        <v>1</v>
      </c>
      <c r="O3366" s="120">
        <f t="shared" si="373"/>
        <v>0.25589600000000001</v>
      </c>
      <c r="P3366" s="111"/>
      <c r="Q3366" s="111"/>
      <c r="R3366" s="111"/>
    </row>
    <row r="3367" spans="1:18">
      <c r="A3367" s="213"/>
      <c r="B3367" s="213"/>
      <c r="C3367" s="213"/>
      <c r="D3367" s="213"/>
      <c r="E3367" s="213"/>
      <c r="F3367" s="213"/>
      <c r="G3367" s="213"/>
      <c r="H3367" s="213"/>
      <c r="I3367" s="78">
        <f>SUM(I3355:I3366)</f>
        <v>138</v>
      </c>
      <c r="J3367" s="214">
        <f>SUM(J3355:J3366)</f>
        <v>51.633636000000003</v>
      </c>
      <c r="K3367" s="213"/>
      <c r="L3367" s="78">
        <f>SUM(L3355:L3366)</f>
        <v>130</v>
      </c>
      <c r="M3367" s="214">
        <f>SUM(M3355:M3366)</f>
        <v>49.193800000000003</v>
      </c>
      <c r="N3367" s="78">
        <f>SUM(N3355:N3366)</f>
        <v>8</v>
      </c>
      <c r="O3367" s="128">
        <f>SUM(O3355:O3366)</f>
        <v>2.4398359999999997</v>
      </c>
      <c r="P3367" s="213"/>
      <c r="Q3367" s="78">
        <f>SUM(Q3355:Q3366)</f>
        <v>5</v>
      </c>
      <c r="R3367" s="213"/>
    </row>
    <row r="3371" spans="1:18" ht="15.6">
      <c r="A3371" s="110" t="s">
        <v>502</v>
      </c>
      <c r="B3371" s="111" t="s">
        <v>501</v>
      </c>
      <c r="C3371" s="112" t="s">
        <v>468</v>
      </c>
      <c r="D3371" s="113" t="s">
        <v>131</v>
      </c>
      <c r="E3371" s="114" t="s">
        <v>15</v>
      </c>
      <c r="F3371" s="115" t="s">
        <v>18</v>
      </c>
      <c r="G3371" s="116">
        <v>6.86</v>
      </c>
      <c r="H3371" s="125">
        <v>8</v>
      </c>
      <c r="I3371" s="111">
        <v>24</v>
      </c>
      <c r="J3371" s="117">
        <f t="shared" ref="J3371:J3382" si="374">H3371*G3371*I3371/1000</f>
        <v>1.3171200000000001</v>
      </c>
      <c r="K3371" s="118"/>
      <c r="L3371" s="111">
        <v>12</v>
      </c>
      <c r="M3371" s="117">
        <f t="shared" ref="M3371:M3382" si="375">H3371*L3371*G3371/1000</f>
        <v>0.65856000000000003</v>
      </c>
      <c r="N3371" s="119">
        <f t="shared" ref="N3371:N3382" si="376">I3371-L3371</f>
        <v>12</v>
      </c>
      <c r="O3371" s="120">
        <f t="shared" ref="O3371:O3382" si="377">H3371*N3371*G3371/1000</f>
        <v>0.65856000000000003</v>
      </c>
      <c r="P3371" s="32"/>
      <c r="Q3371" s="72">
        <v>12</v>
      </c>
      <c r="R3371" s="72" t="s">
        <v>542</v>
      </c>
    </row>
    <row r="3372" spans="1:18" ht="15.6">
      <c r="A3372" s="110" t="s">
        <v>502</v>
      </c>
      <c r="B3372" s="111" t="s">
        <v>501</v>
      </c>
      <c r="C3372" s="112" t="s">
        <v>468</v>
      </c>
      <c r="D3372" s="113" t="s">
        <v>131</v>
      </c>
      <c r="E3372" s="114" t="s">
        <v>15</v>
      </c>
      <c r="F3372" s="115" t="s">
        <v>18</v>
      </c>
      <c r="G3372" s="116">
        <v>6.86</v>
      </c>
      <c r="H3372" s="125">
        <v>7.2</v>
      </c>
      <c r="I3372" s="111">
        <v>2</v>
      </c>
      <c r="J3372" s="117">
        <f t="shared" si="374"/>
        <v>9.8784000000000011E-2</v>
      </c>
      <c r="K3372" s="118"/>
      <c r="L3372" s="111"/>
      <c r="M3372" s="117">
        <f t="shared" si="375"/>
        <v>0</v>
      </c>
      <c r="N3372" s="119">
        <f t="shared" si="376"/>
        <v>2</v>
      </c>
      <c r="O3372" s="120">
        <f t="shared" si="377"/>
        <v>9.8784000000000011E-2</v>
      </c>
      <c r="P3372" s="32"/>
      <c r="Q3372" s="32"/>
      <c r="R3372" s="32"/>
    </row>
    <row r="3373" spans="1:18" ht="15.6">
      <c r="A3373" s="110" t="s">
        <v>502</v>
      </c>
      <c r="B3373" s="111" t="s">
        <v>501</v>
      </c>
      <c r="C3373" s="112" t="s">
        <v>468</v>
      </c>
      <c r="D3373" s="113" t="s">
        <v>131</v>
      </c>
      <c r="E3373" s="114" t="s">
        <v>15</v>
      </c>
      <c r="F3373" s="115" t="s">
        <v>18</v>
      </c>
      <c r="G3373" s="116">
        <v>6.86</v>
      </c>
      <c r="H3373" s="125">
        <v>7.5</v>
      </c>
      <c r="I3373" s="111">
        <v>7</v>
      </c>
      <c r="J3373" s="117">
        <f t="shared" si="374"/>
        <v>0.36015000000000003</v>
      </c>
      <c r="K3373" s="118"/>
      <c r="L3373" s="111"/>
      <c r="M3373" s="117">
        <f t="shared" si="375"/>
        <v>0</v>
      </c>
      <c r="N3373" s="119">
        <f t="shared" si="376"/>
        <v>7</v>
      </c>
      <c r="O3373" s="120">
        <f t="shared" si="377"/>
        <v>0.36015000000000003</v>
      </c>
      <c r="P3373" s="32"/>
      <c r="Q3373" s="32"/>
      <c r="R3373" s="32"/>
    </row>
    <row r="3374" spans="1:18" ht="15.6">
      <c r="A3374" s="110" t="s">
        <v>502</v>
      </c>
      <c r="B3374" s="111" t="s">
        <v>501</v>
      </c>
      <c r="C3374" s="112" t="s">
        <v>468</v>
      </c>
      <c r="D3374" s="113" t="s">
        <v>131</v>
      </c>
      <c r="E3374" s="114" t="s">
        <v>15</v>
      </c>
      <c r="F3374" s="115" t="s">
        <v>18</v>
      </c>
      <c r="G3374" s="116">
        <v>6.86</v>
      </c>
      <c r="H3374" s="125">
        <v>6.9</v>
      </c>
      <c r="I3374" s="111">
        <v>1</v>
      </c>
      <c r="J3374" s="117">
        <f t="shared" si="374"/>
        <v>4.7334000000000001E-2</v>
      </c>
      <c r="K3374" s="118"/>
      <c r="L3374" s="111"/>
      <c r="M3374" s="117">
        <f t="shared" si="375"/>
        <v>0</v>
      </c>
      <c r="N3374" s="119">
        <f t="shared" si="376"/>
        <v>1</v>
      </c>
      <c r="O3374" s="120">
        <f t="shared" si="377"/>
        <v>4.7334000000000001E-2</v>
      </c>
      <c r="P3374" s="32"/>
      <c r="Q3374" s="32"/>
      <c r="R3374" s="32"/>
    </row>
    <row r="3375" spans="1:18" ht="15.6">
      <c r="A3375" s="110" t="s">
        <v>502</v>
      </c>
      <c r="B3375" s="111" t="s">
        <v>501</v>
      </c>
      <c r="C3375" s="112" t="s">
        <v>468</v>
      </c>
      <c r="D3375" s="113" t="s">
        <v>131</v>
      </c>
      <c r="E3375" s="114" t="s">
        <v>15</v>
      </c>
      <c r="F3375" s="115" t="s">
        <v>18</v>
      </c>
      <c r="G3375" s="116">
        <v>6.86</v>
      </c>
      <c r="H3375" s="125">
        <v>10.5</v>
      </c>
      <c r="I3375" s="111">
        <v>1</v>
      </c>
      <c r="J3375" s="117">
        <f t="shared" si="374"/>
        <v>7.2029999999999997E-2</v>
      </c>
      <c r="K3375" s="118"/>
      <c r="L3375" s="111"/>
      <c r="M3375" s="117">
        <f t="shared" si="375"/>
        <v>0</v>
      </c>
      <c r="N3375" s="119">
        <f t="shared" si="376"/>
        <v>1</v>
      </c>
      <c r="O3375" s="120">
        <f t="shared" si="377"/>
        <v>7.2029999999999997E-2</v>
      </c>
      <c r="P3375" s="32"/>
      <c r="Q3375" s="32"/>
      <c r="R3375" s="32"/>
    </row>
    <row r="3376" spans="1:18" ht="15.6">
      <c r="A3376" s="110" t="s">
        <v>502</v>
      </c>
      <c r="B3376" s="111" t="s">
        <v>501</v>
      </c>
      <c r="C3376" s="112" t="s">
        <v>468</v>
      </c>
      <c r="D3376" s="113" t="s">
        <v>131</v>
      </c>
      <c r="E3376" s="114" t="s">
        <v>15</v>
      </c>
      <c r="F3376" s="115" t="s">
        <v>18</v>
      </c>
      <c r="G3376" s="116">
        <v>6.86</v>
      </c>
      <c r="H3376" s="125">
        <v>10</v>
      </c>
      <c r="I3376" s="111">
        <v>45</v>
      </c>
      <c r="J3376" s="117">
        <f t="shared" si="374"/>
        <v>3.0870000000000006</v>
      </c>
      <c r="K3376" s="118"/>
      <c r="L3376" s="111">
        <v>27</v>
      </c>
      <c r="M3376" s="117">
        <f t="shared" si="375"/>
        <v>1.8522000000000001</v>
      </c>
      <c r="N3376" s="119">
        <f t="shared" si="376"/>
        <v>18</v>
      </c>
      <c r="O3376" s="120">
        <f t="shared" si="377"/>
        <v>1.2347999999999999</v>
      </c>
      <c r="P3376" s="32"/>
      <c r="Q3376" s="72">
        <v>27</v>
      </c>
      <c r="R3376" s="72" t="s">
        <v>542</v>
      </c>
    </row>
    <row r="3377" spans="1:18" ht="15.6">
      <c r="A3377" s="110" t="s">
        <v>502</v>
      </c>
      <c r="B3377" s="111" t="s">
        <v>501</v>
      </c>
      <c r="C3377" s="112" t="s">
        <v>468</v>
      </c>
      <c r="D3377" s="113" t="s">
        <v>131</v>
      </c>
      <c r="E3377" s="114" t="s">
        <v>15</v>
      </c>
      <c r="F3377" s="115" t="s">
        <v>18</v>
      </c>
      <c r="G3377" s="116">
        <v>6.86</v>
      </c>
      <c r="H3377" s="125">
        <v>11</v>
      </c>
      <c r="I3377" s="111">
        <v>7</v>
      </c>
      <c r="J3377" s="117">
        <f t="shared" si="374"/>
        <v>0.52822000000000002</v>
      </c>
      <c r="K3377" s="118"/>
      <c r="L3377" s="111"/>
      <c r="M3377" s="117">
        <f t="shared" si="375"/>
        <v>0</v>
      </c>
      <c r="N3377" s="119">
        <f t="shared" si="376"/>
        <v>7</v>
      </c>
      <c r="O3377" s="120">
        <f t="shared" si="377"/>
        <v>0.52822000000000002</v>
      </c>
      <c r="P3377" s="32"/>
      <c r="Q3377" s="32"/>
      <c r="R3377" s="32"/>
    </row>
    <row r="3378" spans="1:18" ht="15.6">
      <c r="A3378" s="110" t="s">
        <v>502</v>
      </c>
      <c r="B3378" s="111" t="s">
        <v>501</v>
      </c>
      <c r="C3378" s="112" t="s">
        <v>468</v>
      </c>
      <c r="D3378" s="113" t="s">
        <v>131</v>
      </c>
      <c r="E3378" s="114" t="s">
        <v>15</v>
      </c>
      <c r="F3378" s="115" t="s">
        <v>18</v>
      </c>
      <c r="G3378" s="116">
        <v>6.86</v>
      </c>
      <c r="H3378" s="125">
        <v>11.5</v>
      </c>
      <c r="I3378" s="111">
        <v>2</v>
      </c>
      <c r="J3378" s="117">
        <f t="shared" si="374"/>
        <v>0.15778</v>
      </c>
      <c r="K3378" s="118"/>
      <c r="L3378" s="111"/>
      <c r="M3378" s="117">
        <f t="shared" si="375"/>
        <v>0</v>
      </c>
      <c r="N3378" s="119">
        <f t="shared" si="376"/>
        <v>2</v>
      </c>
      <c r="O3378" s="120">
        <f t="shared" si="377"/>
        <v>0.15778</v>
      </c>
      <c r="P3378" s="32"/>
      <c r="Q3378" s="32"/>
      <c r="R3378" s="32"/>
    </row>
    <row r="3379" spans="1:18" ht="15.6">
      <c r="A3379" s="110" t="s">
        <v>502</v>
      </c>
      <c r="B3379" s="111" t="s">
        <v>501</v>
      </c>
      <c r="C3379" s="112" t="s">
        <v>468</v>
      </c>
      <c r="D3379" s="113" t="s">
        <v>131</v>
      </c>
      <c r="E3379" s="114" t="s">
        <v>15</v>
      </c>
      <c r="F3379" s="115" t="s">
        <v>18</v>
      </c>
      <c r="G3379" s="116">
        <v>6.86</v>
      </c>
      <c r="H3379" s="125">
        <v>6.9</v>
      </c>
      <c r="I3379" s="111">
        <v>1</v>
      </c>
      <c r="J3379" s="117">
        <f t="shared" si="374"/>
        <v>4.7334000000000001E-2</v>
      </c>
      <c r="K3379" s="118"/>
      <c r="L3379" s="111"/>
      <c r="M3379" s="117">
        <f t="shared" si="375"/>
        <v>0</v>
      </c>
      <c r="N3379" s="119">
        <f t="shared" si="376"/>
        <v>1</v>
      </c>
      <c r="O3379" s="120">
        <f t="shared" si="377"/>
        <v>4.7334000000000001E-2</v>
      </c>
      <c r="P3379" s="32"/>
      <c r="Q3379" s="32"/>
      <c r="R3379" s="32"/>
    </row>
    <row r="3380" spans="1:18" ht="15.6">
      <c r="A3380" s="110" t="s">
        <v>502</v>
      </c>
      <c r="B3380" s="111" t="s">
        <v>501</v>
      </c>
      <c r="C3380" s="112" t="s">
        <v>468</v>
      </c>
      <c r="D3380" s="113" t="s">
        <v>131</v>
      </c>
      <c r="E3380" s="114" t="s">
        <v>15</v>
      </c>
      <c r="F3380" s="115" t="s">
        <v>18</v>
      </c>
      <c r="G3380" s="116">
        <v>6.86</v>
      </c>
      <c r="H3380" s="126">
        <v>7.3</v>
      </c>
      <c r="I3380" s="111">
        <v>1</v>
      </c>
      <c r="J3380" s="117">
        <f t="shared" si="374"/>
        <v>5.0078000000000004E-2</v>
      </c>
      <c r="K3380" s="118"/>
      <c r="L3380" s="111"/>
      <c r="M3380" s="117">
        <f t="shared" si="375"/>
        <v>0</v>
      </c>
      <c r="N3380" s="119">
        <f t="shared" si="376"/>
        <v>1</v>
      </c>
      <c r="O3380" s="120">
        <f t="shared" si="377"/>
        <v>5.0078000000000004E-2</v>
      </c>
      <c r="P3380" s="32"/>
      <c r="Q3380" s="32"/>
      <c r="R3380" s="32"/>
    </row>
    <row r="3381" spans="1:18" ht="15.6">
      <c r="A3381" s="110" t="s">
        <v>502</v>
      </c>
      <c r="B3381" s="111" t="s">
        <v>501</v>
      </c>
      <c r="C3381" s="112" t="s">
        <v>468</v>
      </c>
      <c r="D3381" s="113" t="s">
        <v>131</v>
      </c>
      <c r="E3381" s="114" t="s">
        <v>15</v>
      </c>
      <c r="F3381" s="115" t="s">
        <v>18</v>
      </c>
      <c r="G3381" s="116">
        <v>6.86</v>
      </c>
      <c r="H3381" s="126">
        <v>7.5</v>
      </c>
      <c r="I3381" s="111">
        <v>7</v>
      </c>
      <c r="J3381" s="117">
        <f t="shared" si="374"/>
        <v>0.36015000000000003</v>
      </c>
      <c r="K3381" s="118"/>
      <c r="L3381" s="111"/>
      <c r="M3381" s="117">
        <f t="shared" si="375"/>
        <v>0</v>
      </c>
      <c r="N3381" s="119">
        <f t="shared" si="376"/>
        <v>7</v>
      </c>
      <c r="O3381" s="120">
        <f t="shared" si="377"/>
        <v>0.36015000000000003</v>
      </c>
      <c r="P3381" s="32"/>
      <c r="Q3381" s="32"/>
      <c r="R3381" s="32"/>
    </row>
    <row r="3382" spans="1:18" ht="15.6">
      <c r="A3382" s="110" t="s">
        <v>502</v>
      </c>
      <c r="B3382" s="111" t="s">
        <v>501</v>
      </c>
      <c r="C3382" s="112" t="s">
        <v>468</v>
      </c>
      <c r="D3382" s="113" t="s">
        <v>131</v>
      </c>
      <c r="E3382" s="114" t="s">
        <v>15</v>
      </c>
      <c r="F3382" s="115" t="s">
        <v>18</v>
      </c>
      <c r="G3382" s="116">
        <v>6.86</v>
      </c>
      <c r="H3382" s="126">
        <v>8</v>
      </c>
      <c r="I3382" s="111">
        <v>9</v>
      </c>
      <c r="J3382" s="117">
        <f t="shared" si="374"/>
        <v>0.49392000000000003</v>
      </c>
      <c r="K3382" s="118"/>
      <c r="L3382" s="111"/>
      <c r="M3382" s="117">
        <f t="shared" si="375"/>
        <v>0</v>
      </c>
      <c r="N3382" s="119">
        <f t="shared" si="376"/>
        <v>9</v>
      </c>
      <c r="O3382" s="120">
        <f t="shared" si="377"/>
        <v>0.49392000000000003</v>
      </c>
      <c r="P3382" s="32"/>
      <c r="Q3382" s="32"/>
      <c r="R3382" s="32"/>
    </row>
    <row r="3386" spans="1:18" ht="15.6">
      <c r="A3386" s="110" t="s">
        <v>448</v>
      </c>
      <c r="B3386" s="111" t="s">
        <v>232</v>
      </c>
      <c r="C3386" s="112" t="s">
        <v>449</v>
      </c>
      <c r="D3386" s="113" t="s">
        <v>326</v>
      </c>
      <c r="E3386" s="216" t="s">
        <v>14</v>
      </c>
      <c r="F3386" s="216" t="s">
        <v>28</v>
      </c>
      <c r="G3386" s="217">
        <v>12.2</v>
      </c>
      <c r="H3386" s="218">
        <v>11.9</v>
      </c>
      <c r="I3386" s="219">
        <v>20</v>
      </c>
      <c r="J3386" s="220">
        <f t="shared" ref="J3386:J3397" si="378">(G3386*H3386*I3386/1000)</f>
        <v>2.9036000000000004</v>
      </c>
      <c r="K3386" s="118"/>
      <c r="L3386" s="219">
        <v>20</v>
      </c>
      <c r="M3386" s="117">
        <f t="shared" ref="M3386:M3397" si="379">H3386*L3386*G3386/1000</f>
        <v>2.9036</v>
      </c>
      <c r="N3386" s="119">
        <f t="shared" ref="N3386:N3395" si="380">I3386-L3386</f>
        <v>0</v>
      </c>
      <c r="O3386" s="120">
        <f t="shared" ref="O3386:O3395" si="381">H3386*N3386*G3386/1000</f>
        <v>0</v>
      </c>
      <c r="P3386" s="111"/>
      <c r="Q3386" s="111"/>
      <c r="R3386" s="111"/>
    </row>
    <row r="3387" spans="1:18" ht="15.6">
      <c r="A3387" s="110" t="s">
        <v>448</v>
      </c>
      <c r="B3387" s="111" t="s">
        <v>232</v>
      </c>
      <c r="C3387" s="112" t="s">
        <v>449</v>
      </c>
      <c r="D3387" s="113" t="s">
        <v>326</v>
      </c>
      <c r="E3387" s="216" t="s">
        <v>14</v>
      </c>
      <c r="F3387" s="216" t="s">
        <v>28</v>
      </c>
      <c r="G3387" s="217">
        <v>12.2</v>
      </c>
      <c r="H3387" s="218">
        <v>8</v>
      </c>
      <c r="I3387" s="219">
        <v>26</v>
      </c>
      <c r="J3387" s="220">
        <f t="shared" si="378"/>
        <v>2.5375999999999999</v>
      </c>
      <c r="K3387" s="118"/>
      <c r="L3387" s="219">
        <v>26</v>
      </c>
      <c r="M3387" s="117">
        <f t="shared" si="379"/>
        <v>2.5375999999999999</v>
      </c>
      <c r="N3387" s="119">
        <f t="shared" si="380"/>
        <v>0</v>
      </c>
      <c r="O3387" s="120">
        <f t="shared" si="381"/>
        <v>0</v>
      </c>
      <c r="P3387" s="111"/>
      <c r="Q3387" s="111"/>
      <c r="R3387" s="111"/>
    </row>
    <row r="3388" spans="1:18" ht="15.6">
      <c r="A3388" s="110" t="s">
        <v>448</v>
      </c>
      <c r="B3388" s="111" t="s">
        <v>232</v>
      </c>
      <c r="C3388" s="112" t="s">
        <v>449</v>
      </c>
      <c r="D3388" s="113" t="s">
        <v>326</v>
      </c>
      <c r="E3388" s="216" t="s">
        <v>14</v>
      </c>
      <c r="F3388" s="216" t="s">
        <v>28</v>
      </c>
      <c r="G3388" s="217">
        <v>12.2</v>
      </c>
      <c r="H3388" s="218">
        <v>8</v>
      </c>
      <c r="I3388" s="219">
        <v>23</v>
      </c>
      <c r="J3388" s="220">
        <f t="shared" si="378"/>
        <v>2.2447999999999997</v>
      </c>
      <c r="K3388" s="118"/>
      <c r="L3388" s="219">
        <v>23</v>
      </c>
      <c r="M3388" s="117">
        <f t="shared" si="379"/>
        <v>2.2447999999999997</v>
      </c>
      <c r="N3388" s="119">
        <f t="shared" si="380"/>
        <v>0</v>
      </c>
      <c r="O3388" s="120">
        <f t="shared" si="381"/>
        <v>0</v>
      </c>
      <c r="P3388" s="111"/>
      <c r="Q3388" s="111"/>
      <c r="R3388" s="111"/>
    </row>
    <row r="3389" spans="1:18" ht="15.6">
      <c r="A3389" s="110" t="s">
        <v>448</v>
      </c>
      <c r="B3389" s="111" t="s">
        <v>232</v>
      </c>
      <c r="C3389" s="112" t="s">
        <v>449</v>
      </c>
      <c r="D3389" s="113" t="s">
        <v>326</v>
      </c>
      <c r="E3389" s="216" t="s">
        <v>14</v>
      </c>
      <c r="F3389" s="216" t="s">
        <v>28</v>
      </c>
      <c r="G3389" s="217">
        <v>12.2</v>
      </c>
      <c r="H3389" s="218">
        <v>11.9</v>
      </c>
      <c r="I3389" s="219">
        <v>21</v>
      </c>
      <c r="J3389" s="220">
        <f t="shared" si="378"/>
        <v>3.0487800000000003</v>
      </c>
      <c r="K3389" s="118"/>
      <c r="L3389" s="219">
        <v>21</v>
      </c>
      <c r="M3389" s="117">
        <f t="shared" si="379"/>
        <v>3.0487799999999998</v>
      </c>
      <c r="N3389" s="119">
        <f t="shared" si="380"/>
        <v>0</v>
      </c>
      <c r="O3389" s="120">
        <f t="shared" si="381"/>
        <v>0</v>
      </c>
      <c r="P3389" s="111"/>
      <c r="Q3389" s="111"/>
      <c r="R3389" s="111"/>
    </row>
    <row r="3390" spans="1:18" ht="15.6">
      <c r="A3390" s="110" t="s">
        <v>448</v>
      </c>
      <c r="B3390" s="111" t="s">
        <v>232</v>
      </c>
      <c r="C3390" s="112" t="s">
        <v>449</v>
      </c>
      <c r="D3390" s="113" t="s">
        <v>326</v>
      </c>
      <c r="E3390" s="216" t="s">
        <v>14</v>
      </c>
      <c r="F3390" s="216" t="s">
        <v>28</v>
      </c>
      <c r="G3390" s="217">
        <v>12.2</v>
      </c>
      <c r="H3390" s="218">
        <v>7.5</v>
      </c>
      <c r="I3390" s="219">
        <v>2</v>
      </c>
      <c r="J3390" s="220">
        <f t="shared" si="378"/>
        <v>0.183</v>
      </c>
      <c r="K3390" s="118"/>
      <c r="L3390" s="219">
        <v>2</v>
      </c>
      <c r="M3390" s="117">
        <f t="shared" si="379"/>
        <v>0.183</v>
      </c>
      <c r="N3390" s="119">
        <f t="shared" si="380"/>
        <v>0</v>
      </c>
      <c r="O3390" s="120">
        <f t="shared" si="381"/>
        <v>0</v>
      </c>
      <c r="P3390" s="111"/>
      <c r="Q3390" s="91">
        <v>2</v>
      </c>
      <c r="R3390" s="91" t="s">
        <v>542</v>
      </c>
    </row>
    <row r="3391" spans="1:18" ht="15.6">
      <c r="A3391" s="110" t="s">
        <v>448</v>
      </c>
      <c r="B3391" s="111" t="s">
        <v>232</v>
      </c>
      <c r="C3391" s="112" t="s">
        <v>449</v>
      </c>
      <c r="D3391" s="113" t="s">
        <v>326</v>
      </c>
      <c r="E3391" s="216" t="s">
        <v>14</v>
      </c>
      <c r="F3391" s="216" t="s">
        <v>28</v>
      </c>
      <c r="G3391" s="217">
        <v>12.2</v>
      </c>
      <c r="H3391" s="218">
        <v>8.75</v>
      </c>
      <c r="I3391" s="219">
        <v>3</v>
      </c>
      <c r="J3391" s="220">
        <f t="shared" si="378"/>
        <v>0.32024999999999998</v>
      </c>
      <c r="K3391" s="118"/>
      <c r="L3391" s="219">
        <f>2+1</f>
        <v>3</v>
      </c>
      <c r="M3391" s="117">
        <f t="shared" si="379"/>
        <v>0.32024999999999998</v>
      </c>
      <c r="N3391" s="119">
        <f t="shared" si="380"/>
        <v>0</v>
      </c>
      <c r="O3391" s="120">
        <f t="shared" si="381"/>
        <v>0</v>
      </c>
      <c r="P3391" s="111"/>
      <c r="Q3391" s="91">
        <v>1</v>
      </c>
      <c r="R3391" s="91" t="s">
        <v>542</v>
      </c>
    </row>
    <row r="3392" spans="1:18" ht="15.6">
      <c r="A3392" s="110" t="s">
        <v>448</v>
      </c>
      <c r="B3392" s="111" t="s">
        <v>232</v>
      </c>
      <c r="C3392" s="112" t="s">
        <v>449</v>
      </c>
      <c r="D3392" s="113" t="s">
        <v>326</v>
      </c>
      <c r="E3392" s="216" t="s">
        <v>14</v>
      </c>
      <c r="F3392" s="216" t="s">
        <v>28</v>
      </c>
      <c r="G3392" s="217">
        <v>12.2</v>
      </c>
      <c r="H3392" s="218">
        <v>11.5</v>
      </c>
      <c r="I3392" s="219">
        <v>1</v>
      </c>
      <c r="J3392" s="220">
        <f t="shared" si="378"/>
        <v>0.14029999999999998</v>
      </c>
      <c r="K3392" s="118"/>
      <c r="L3392" s="219">
        <v>1</v>
      </c>
      <c r="M3392" s="117">
        <f t="shared" si="379"/>
        <v>0.14029999999999998</v>
      </c>
      <c r="N3392" s="119">
        <f t="shared" si="380"/>
        <v>0</v>
      </c>
      <c r="O3392" s="120">
        <f t="shared" si="381"/>
        <v>0</v>
      </c>
      <c r="P3392" s="111"/>
      <c r="Q3392" s="91">
        <v>1</v>
      </c>
      <c r="R3392" s="91" t="s">
        <v>542</v>
      </c>
    </row>
    <row r="3393" spans="1:18" ht="15.6">
      <c r="A3393" s="110" t="s">
        <v>448</v>
      </c>
      <c r="B3393" s="111" t="s">
        <v>232</v>
      </c>
      <c r="C3393" s="112" t="s">
        <v>449</v>
      </c>
      <c r="D3393" s="113" t="s">
        <v>326</v>
      </c>
      <c r="E3393" s="216" t="s">
        <v>14</v>
      </c>
      <c r="F3393" s="216" t="s">
        <v>28</v>
      </c>
      <c r="G3393" s="217">
        <v>12.2</v>
      </c>
      <c r="H3393" s="218">
        <v>8</v>
      </c>
      <c r="I3393" s="219">
        <v>23</v>
      </c>
      <c r="J3393" s="220">
        <f t="shared" si="378"/>
        <v>2.2447999999999997</v>
      </c>
      <c r="K3393" s="118"/>
      <c r="L3393" s="219">
        <v>23</v>
      </c>
      <c r="M3393" s="117">
        <f t="shared" si="379"/>
        <v>2.2447999999999997</v>
      </c>
      <c r="N3393" s="119">
        <f t="shared" si="380"/>
        <v>0</v>
      </c>
      <c r="O3393" s="120">
        <f t="shared" si="381"/>
        <v>0</v>
      </c>
      <c r="P3393" s="111"/>
      <c r="Q3393" s="111"/>
      <c r="R3393" s="111"/>
    </row>
    <row r="3394" spans="1:18" ht="15.6">
      <c r="A3394" s="110" t="s">
        <v>448</v>
      </c>
      <c r="B3394" s="111" t="s">
        <v>232</v>
      </c>
      <c r="C3394" s="112" t="s">
        <v>449</v>
      </c>
      <c r="D3394" s="113" t="s">
        <v>326</v>
      </c>
      <c r="E3394" s="216" t="s">
        <v>14</v>
      </c>
      <c r="F3394" s="216" t="s">
        <v>28</v>
      </c>
      <c r="G3394" s="217">
        <v>12.2</v>
      </c>
      <c r="H3394" s="218">
        <v>11.9</v>
      </c>
      <c r="I3394" s="219">
        <v>6</v>
      </c>
      <c r="J3394" s="220">
        <f t="shared" si="378"/>
        <v>0.87108000000000008</v>
      </c>
      <c r="K3394" s="118"/>
      <c r="L3394" s="219">
        <v>6</v>
      </c>
      <c r="M3394" s="117">
        <f t="shared" si="379"/>
        <v>0.87108000000000008</v>
      </c>
      <c r="N3394" s="119">
        <f t="shared" si="380"/>
        <v>0</v>
      </c>
      <c r="O3394" s="120">
        <f t="shared" si="381"/>
        <v>0</v>
      </c>
      <c r="P3394" s="111"/>
      <c r="Q3394" s="111"/>
      <c r="R3394" s="111"/>
    </row>
    <row r="3395" spans="1:18" ht="15.6">
      <c r="A3395" s="110" t="s">
        <v>448</v>
      </c>
      <c r="B3395" s="111" t="s">
        <v>232</v>
      </c>
      <c r="C3395" s="112" t="s">
        <v>449</v>
      </c>
      <c r="D3395" s="113" t="s">
        <v>326</v>
      </c>
      <c r="E3395" s="216" t="s">
        <v>14</v>
      </c>
      <c r="F3395" s="216" t="s">
        <v>28</v>
      </c>
      <c r="G3395" s="217">
        <v>12.2</v>
      </c>
      <c r="H3395" s="218">
        <v>11.9</v>
      </c>
      <c r="I3395" s="219">
        <v>25</v>
      </c>
      <c r="J3395" s="220">
        <f t="shared" si="378"/>
        <v>3.6295000000000002</v>
      </c>
      <c r="K3395" s="118"/>
      <c r="L3395" s="219">
        <v>25</v>
      </c>
      <c r="M3395" s="117">
        <f t="shared" si="379"/>
        <v>3.6295000000000002</v>
      </c>
      <c r="N3395" s="119">
        <f t="shared" si="380"/>
        <v>0</v>
      </c>
      <c r="O3395" s="120">
        <f t="shared" si="381"/>
        <v>0</v>
      </c>
      <c r="P3395" s="111"/>
      <c r="Q3395" s="111"/>
      <c r="R3395" s="111"/>
    </row>
    <row r="3396" spans="1:18" ht="15.6">
      <c r="A3396" s="110" t="s">
        <v>448</v>
      </c>
      <c r="B3396" s="111" t="s">
        <v>232</v>
      </c>
      <c r="C3396" s="112" t="s">
        <v>449</v>
      </c>
      <c r="D3396" s="113" t="s">
        <v>326</v>
      </c>
      <c r="E3396" s="216" t="s">
        <v>14</v>
      </c>
      <c r="F3396" s="216" t="s">
        <v>28</v>
      </c>
      <c r="G3396" s="217">
        <v>12.2</v>
      </c>
      <c r="H3396" s="218">
        <v>8</v>
      </c>
      <c r="I3396" s="219">
        <v>9</v>
      </c>
      <c r="J3396" s="220">
        <f t="shared" si="378"/>
        <v>0.87839999999999996</v>
      </c>
      <c r="K3396" s="118"/>
      <c r="L3396" s="219">
        <v>9</v>
      </c>
      <c r="M3396" s="117">
        <f t="shared" si="379"/>
        <v>0.87839999999999996</v>
      </c>
      <c r="N3396" s="119">
        <f>I3396-L3396</f>
        <v>0</v>
      </c>
      <c r="O3396" s="120">
        <f>H3396*N3396*G3396/1000</f>
        <v>0</v>
      </c>
      <c r="P3396" s="111"/>
      <c r="Q3396" s="111"/>
      <c r="R3396" s="111"/>
    </row>
    <row r="3397" spans="1:18" ht="15.6">
      <c r="A3397" s="110" t="s">
        <v>448</v>
      </c>
      <c r="B3397" s="111" t="s">
        <v>232</v>
      </c>
      <c r="C3397" s="112" t="s">
        <v>449</v>
      </c>
      <c r="D3397" s="113" t="s">
        <v>326</v>
      </c>
      <c r="E3397" s="216" t="s">
        <v>14</v>
      </c>
      <c r="F3397" s="216" t="s">
        <v>28</v>
      </c>
      <c r="G3397" s="217">
        <v>12.2</v>
      </c>
      <c r="H3397" s="218">
        <v>11.7</v>
      </c>
      <c r="I3397" s="219">
        <v>1</v>
      </c>
      <c r="J3397" s="220">
        <f t="shared" si="378"/>
        <v>0.14273999999999998</v>
      </c>
      <c r="K3397" s="118"/>
      <c r="L3397" s="219">
        <v>1</v>
      </c>
      <c r="M3397" s="117">
        <f t="shared" si="379"/>
        <v>0.14273999999999998</v>
      </c>
      <c r="N3397" s="119">
        <f>I3397-L3397</f>
        <v>0</v>
      </c>
      <c r="O3397" s="120">
        <f>H3397*N3397*G3397/1000</f>
        <v>0</v>
      </c>
      <c r="P3397" s="111"/>
      <c r="Q3397" s="91">
        <v>1</v>
      </c>
      <c r="R3397" s="91" t="s">
        <v>542</v>
      </c>
    </row>
    <row r="3398" spans="1:18">
      <c r="A3398" s="213"/>
      <c r="B3398" s="213"/>
      <c r="C3398" s="213"/>
      <c r="D3398" s="213"/>
      <c r="E3398" s="213"/>
      <c r="F3398" s="213"/>
      <c r="G3398" s="213"/>
      <c r="H3398" s="213"/>
      <c r="I3398" s="215">
        <f>SUM(I3386:I3397)</f>
        <v>160</v>
      </c>
      <c r="J3398" s="214">
        <f>SUM(J3386:J3397)</f>
        <v>19.144849999999998</v>
      </c>
      <c r="K3398" s="213"/>
      <c r="L3398" s="215">
        <f>SUM(L3386:L3397)</f>
        <v>160</v>
      </c>
      <c r="M3398" s="214">
        <f>SUM(M3386:M3397)</f>
        <v>19.144849999999998</v>
      </c>
      <c r="N3398" s="78">
        <f>SUM(N3386:N3397)</f>
        <v>0</v>
      </c>
      <c r="O3398" s="128">
        <f>SUM(O3386:O3397)</f>
        <v>0</v>
      </c>
      <c r="P3398" s="213"/>
      <c r="Q3398" s="78">
        <f>SUM(Q3386:Q3397)</f>
        <v>5</v>
      </c>
      <c r="R3398" s="213"/>
    </row>
    <row r="3400" spans="1:18" ht="15.6">
      <c r="A3400" s="110" t="s">
        <v>324</v>
      </c>
      <c r="B3400" s="111" t="s">
        <v>232</v>
      </c>
      <c r="C3400" s="112" t="s">
        <v>228</v>
      </c>
      <c r="D3400" s="113" t="s">
        <v>326</v>
      </c>
      <c r="E3400" s="216" t="s">
        <v>14</v>
      </c>
      <c r="F3400" s="216" t="s">
        <v>28</v>
      </c>
      <c r="G3400" s="217">
        <v>12.2</v>
      </c>
      <c r="H3400" s="218">
        <v>11.9</v>
      </c>
      <c r="I3400" s="219">
        <f>19+16</f>
        <v>35</v>
      </c>
      <c r="J3400" s="220">
        <f t="shared" ref="J3400:J3405" si="382">(G3400*H3400*I3400/1000)</f>
        <v>5.0813000000000006</v>
      </c>
      <c r="K3400" s="118"/>
      <c r="L3400" s="111">
        <v>35</v>
      </c>
      <c r="M3400" s="117">
        <f t="shared" ref="M3400:M3405" si="383">H3400*L3400*G3400/1000</f>
        <v>5.0812999999999997</v>
      </c>
      <c r="N3400" s="119">
        <f t="shared" ref="N3400:N3405" si="384">I3400-L3400</f>
        <v>0</v>
      </c>
      <c r="O3400" s="120">
        <f t="shared" ref="O3400:O3405" si="385">H3400*N3400*G3400/1000</f>
        <v>0</v>
      </c>
      <c r="P3400" s="111"/>
      <c r="Q3400" s="111"/>
      <c r="R3400" s="111"/>
    </row>
    <row r="3401" spans="1:18" ht="15.6">
      <c r="A3401" s="110" t="s">
        <v>324</v>
      </c>
      <c r="B3401" s="111" t="s">
        <v>232</v>
      </c>
      <c r="C3401" s="112" t="s">
        <v>228</v>
      </c>
      <c r="D3401" s="113" t="s">
        <v>326</v>
      </c>
      <c r="E3401" s="216" t="s">
        <v>14</v>
      </c>
      <c r="F3401" s="216" t="s">
        <v>28</v>
      </c>
      <c r="G3401" s="217">
        <v>12.2</v>
      </c>
      <c r="H3401" s="218">
        <v>8</v>
      </c>
      <c r="I3401" s="219">
        <v>14</v>
      </c>
      <c r="J3401" s="220">
        <f t="shared" si="382"/>
        <v>1.3663999999999998</v>
      </c>
      <c r="K3401" s="118"/>
      <c r="L3401" s="111">
        <f>13+1</f>
        <v>14</v>
      </c>
      <c r="M3401" s="117">
        <f t="shared" si="383"/>
        <v>1.3663999999999998</v>
      </c>
      <c r="N3401" s="119">
        <f t="shared" si="384"/>
        <v>0</v>
      </c>
      <c r="O3401" s="120">
        <f t="shared" si="385"/>
        <v>0</v>
      </c>
      <c r="P3401" s="111"/>
      <c r="Q3401" s="93">
        <v>1</v>
      </c>
      <c r="R3401" s="93" t="s">
        <v>540</v>
      </c>
    </row>
    <row r="3402" spans="1:18" ht="15.6">
      <c r="A3402" s="110" t="s">
        <v>324</v>
      </c>
      <c r="B3402" s="111" t="s">
        <v>232</v>
      </c>
      <c r="C3402" s="112" t="s">
        <v>228</v>
      </c>
      <c r="D3402" s="113" t="s">
        <v>326</v>
      </c>
      <c r="E3402" s="216" t="s">
        <v>14</v>
      </c>
      <c r="F3402" s="216" t="s">
        <v>28</v>
      </c>
      <c r="G3402" s="217">
        <v>12.2</v>
      </c>
      <c r="H3402" s="218">
        <v>10.5</v>
      </c>
      <c r="I3402" s="219">
        <v>1</v>
      </c>
      <c r="J3402" s="220">
        <f t="shared" si="382"/>
        <v>0.12809999999999999</v>
      </c>
      <c r="K3402" s="118"/>
      <c r="L3402" s="111">
        <v>1</v>
      </c>
      <c r="M3402" s="117">
        <f t="shared" si="383"/>
        <v>0.12809999999999999</v>
      </c>
      <c r="N3402" s="119">
        <f t="shared" si="384"/>
        <v>0</v>
      </c>
      <c r="O3402" s="120">
        <f t="shared" si="385"/>
        <v>0</v>
      </c>
      <c r="P3402" s="111"/>
      <c r="Q3402" s="93">
        <v>1</v>
      </c>
      <c r="R3402" s="93" t="s">
        <v>540</v>
      </c>
    </row>
    <row r="3403" spans="1:18" ht="15.6">
      <c r="A3403" s="110" t="s">
        <v>324</v>
      </c>
      <c r="B3403" s="111" t="s">
        <v>232</v>
      </c>
      <c r="C3403" s="112" t="s">
        <v>228</v>
      </c>
      <c r="D3403" s="113" t="s">
        <v>326</v>
      </c>
      <c r="E3403" s="216" t="s">
        <v>14</v>
      </c>
      <c r="F3403" s="216" t="s">
        <v>28</v>
      </c>
      <c r="G3403" s="217">
        <v>12.2</v>
      </c>
      <c r="H3403" s="218">
        <v>11.5</v>
      </c>
      <c r="I3403" s="219">
        <v>1</v>
      </c>
      <c r="J3403" s="220">
        <f t="shared" si="382"/>
        <v>0.14029999999999998</v>
      </c>
      <c r="K3403" s="118"/>
      <c r="L3403" s="111">
        <v>1</v>
      </c>
      <c r="M3403" s="117">
        <f t="shared" si="383"/>
        <v>0.14029999999999998</v>
      </c>
      <c r="N3403" s="119">
        <f t="shared" si="384"/>
        <v>0</v>
      </c>
      <c r="O3403" s="120">
        <f t="shared" si="385"/>
        <v>0</v>
      </c>
      <c r="P3403" s="111"/>
      <c r="Q3403" s="93">
        <v>1</v>
      </c>
      <c r="R3403" s="93" t="s">
        <v>540</v>
      </c>
    </row>
    <row r="3404" spans="1:18" ht="15.6">
      <c r="A3404" s="110" t="s">
        <v>324</v>
      </c>
      <c r="B3404" s="111" t="s">
        <v>232</v>
      </c>
      <c r="C3404" s="112" t="s">
        <v>228</v>
      </c>
      <c r="D3404" s="113" t="s">
        <v>326</v>
      </c>
      <c r="E3404" s="216" t="s">
        <v>14</v>
      </c>
      <c r="F3404" s="216" t="s">
        <v>28</v>
      </c>
      <c r="G3404" s="217">
        <v>12.2</v>
      </c>
      <c r="H3404" s="218">
        <v>8</v>
      </c>
      <c r="I3404" s="219">
        <v>2</v>
      </c>
      <c r="J3404" s="220">
        <f t="shared" si="382"/>
        <v>0.19519999999999998</v>
      </c>
      <c r="K3404" s="118"/>
      <c r="L3404" s="111">
        <v>2</v>
      </c>
      <c r="M3404" s="117">
        <f t="shared" si="383"/>
        <v>0.19519999999999998</v>
      </c>
      <c r="N3404" s="119">
        <f t="shared" si="384"/>
        <v>0</v>
      </c>
      <c r="O3404" s="120">
        <f t="shared" si="385"/>
        <v>0</v>
      </c>
      <c r="P3404" s="111"/>
      <c r="Q3404" s="111"/>
      <c r="R3404" s="111"/>
    </row>
    <row r="3405" spans="1:18" ht="15.6">
      <c r="A3405" s="110" t="s">
        <v>324</v>
      </c>
      <c r="B3405" s="111" t="s">
        <v>232</v>
      </c>
      <c r="C3405" s="112" t="s">
        <v>228</v>
      </c>
      <c r="D3405" s="113" t="s">
        <v>326</v>
      </c>
      <c r="E3405" s="216" t="s">
        <v>14</v>
      </c>
      <c r="F3405" s="216" t="s">
        <v>28</v>
      </c>
      <c r="G3405" s="217">
        <v>12.2</v>
      </c>
      <c r="H3405" s="218">
        <v>12</v>
      </c>
      <c r="I3405" s="219">
        <v>4</v>
      </c>
      <c r="J3405" s="220">
        <f t="shared" si="382"/>
        <v>0.5855999999999999</v>
      </c>
      <c r="K3405" s="118"/>
      <c r="L3405" s="111">
        <v>4</v>
      </c>
      <c r="M3405" s="117">
        <f t="shared" si="383"/>
        <v>0.5855999999999999</v>
      </c>
      <c r="N3405" s="119">
        <f t="shared" si="384"/>
        <v>0</v>
      </c>
      <c r="O3405" s="120">
        <f t="shared" si="385"/>
        <v>0</v>
      </c>
      <c r="P3405" s="159"/>
      <c r="Q3405" s="111"/>
      <c r="R3405" s="111"/>
    </row>
    <row r="3406" spans="1:18">
      <c r="A3406" s="213"/>
      <c r="B3406" s="213"/>
      <c r="C3406" s="213"/>
      <c r="D3406" s="213"/>
      <c r="E3406" s="213"/>
      <c r="F3406" s="213"/>
      <c r="G3406" s="213"/>
      <c r="H3406" s="213"/>
      <c r="I3406" s="215">
        <f>SUM(I3400:I3405)</f>
        <v>57</v>
      </c>
      <c r="J3406" s="214">
        <f>SUM(J3400:J3405)</f>
        <v>7.4969000000000001</v>
      </c>
      <c r="K3406" s="213"/>
      <c r="L3406" s="215">
        <f>SUM(L3400:L3405)</f>
        <v>57</v>
      </c>
      <c r="M3406" s="128">
        <f>SUM(M3400:M3405)</f>
        <v>7.4968999999999983</v>
      </c>
      <c r="N3406" s="78">
        <f>SUM(N3400:N3405)</f>
        <v>0</v>
      </c>
      <c r="O3406" s="128">
        <f>SUM(O3400:O3405)</f>
        <v>0</v>
      </c>
      <c r="P3406" s="213"/>
      <c r="Q3406" s="80">
        <f>SUM(Q3400:Q3405)</f>
        <v>3</v>
      </c>
      <c r="R3406" s="213"/>
    </row>
    <row r="3408" spans="1:18" ht="15.6">
      <c r="A3408" s="110" t="s">
        <v>324</v>
      </c>
      <c r="B3408" s="111" t="s">
        <v>232</v>
      </c>
      <c r="C3408" s="112" t="s">
        <v>228</v>
      </c>
      <c r="D3408" s="113" t="s">
        <v>24</v>
      </c>
      <c r="E3408" s="216" t="s">
        <v>14</v>
      </c>
      <c r="F3408" s="216" t="s">
        <v>28</v>
      </c>
      <c r="G3408" s="217">
        <v>12.18</v>
      </c>
      <c r="H3408" s="218">
        <v>8</v>
      </c>
      <c r="I3408" s="219">
        <v>18</v>
      </c>
      <c r="J3408" s="220">
        <f t="shared" ref="J3408:J3413" si="386">(G3408*H3408*I3408/1000)</f>
        <v>1.7539200000000001</v>
      </c>
      <c r="K3408" s="118"/>
      <c r="L3408" s="111">
        <v>18</v>
      </c>
      <c r="M3408" s="117">
        <f t="shared" ref="M3408:M3413" si="387">H3408*L3408*G3408/1000</f>
        <v>1.7539200000000001</v>
      </c>
      <c r="N3408" s="119">
        <f t="shared" ref="N3408:N3413" si="388">I3408-L3408</f>
        <v>0</v>
      </c>
      <c r="O3408" s="120">
        <f t="shared" ref="O3408:O3413" si="389">H3408*N3408*G3408/1000</f>
        <v>0</v>
      </c>
      <c r="P3408" s="111"/>
      <c r="Q3408" s="111"/>
      <c r="R3408" s="111"/>
    </row>
    <row r="3409" spans="1:19" ht="15.6">
      <c r="A3409" s="110" t="s">
        <v>324</v>
      </c>
      <c r="B3409" s="111" t="s">
        <v>232</v>
      </c>
      <c r="C3409" s="112" t="s">
        <v>228</v>
      </c>
      <c r="D3409" s="113" t="s">
        <v>24</v>
      </c>
      <c r="E3409" s="216" t="s">
        <v>14</v>
      </c>
      <c r="F3409" s="216" t="s">
        <v>28</v>
      </c>
      <c r="G3409" s="217">
        <v>12.18</v>
      </c>
      <c r="H3409" s="218">
        <v>9.5</v>
      </c>
      <c r="I3409" s="219">
        <v>8</v>
      </c>
      <c r="J3409" s="220">
        <f t="shared" si="386"/>
        <v>0.92567999999999995</v>
      </c>
      <c r="K3409" s="118"/>
      <c r="L3409" s="111">
        <v>8</v>
      </c>
      <c r="M3409" s="117">
        <f t="shared" si="387"/>
        <v>0.92567999999999995</v>
      </c>
      <c r="N3409" s="119">
        <f t="shared" si="388"/>
        <v>0</v>
      </c>
      <c r="O3409" s="120">
        <f t="shared" si="389"/>
        <v>0</v>
      </c>
      <c r="P3409" s="111"/>
      <c r="Q3409" s="111"/>
      <c r="R3409" s="111"/>
    </row>
    <row r="3410" spans="1:19" ht="15.6">
      <c r="A3410" s="110" t="s">
        <v>324</v>
      </c>
      <c r="B3410" s="111" t="s">
        <v>232</v>
      </c>
      <c r="C3410" s="112" t="s">
        <v>228</v>
      </c>
      <c r="D3410" s="113" t="s">
        <v>24</v>
      </c>
      <c r="E3410" s="216" t="s">
        <v>14</v>
      </c>
      <c r="F3410" s="216" t="s">
        <v>28</v>
      </c>
      <c r="G3410" s="217">
        <v>12.18</v>
      </c>
      <c r="H3410" s="218">
        <v>10.75</v>
      </c>
      <c r="I3410" s="219">
        <v>4</v>
      </c>
      <c r="J3410" s="220">
        <f t="shared" si="386"/>
        <v>0.52373999999999998</v>
      </c>
      <c r="K3410" s="118"/>
      <c r="L3410" s="111">
        <v>4</v>
      </c>
      <c r="M3410" s="117">
        <f t="shared" si="387"/>
        <v>0.52373999999999998</v>
      </c>
      <c r="N3410" s="119">
        <f t="shared" si="388"/>
        <v>0</v>
      </c>
      <c r="O3410" s="120">
        <f t="shared" si="389"/>
        <v>0</v>
      </c>
      <c r="P3410" s="111"/>
      <c r="Q3410" s="111"/>
      <c r="R3410" s="111"/>
    </row>
    <row r="3411" spans="1:19" ht="15.6">
      <c r="A3411" s="110" t="s">
        <v>324</v>
      </c>
      <c r="B3411" s="111" t="s">
        <v>232</v>
      </c>
      <c r="C3411" s="112" t="s">
        <v>228</v>
      </c>
      <c r="D3411" s="113" t="s">
        <v>24</v>
      </c>
      <c r="E3411" s="216" t="s">
        <v>14</v>
      </c>
      <c r="F3411" s="216" t="s">
        <v>28</v>
      </c>
      <c r="G3411" s="217">
        <v>12.18</v>
      </c>
      <c r="H3411" s="218">
        <v>11.5</v>
      </c>
      <c r="I3411" s="219">
        <v>4</v>
      </c>
      <c r="J3411" s="220">
        <f t="shared" si="386"/>
        <v>0.56028</v>
      </c>
      <c r="K3411" s="118"/>
      <c r="L3411" s="111">
        <v>4</v>
      </c>
      <c r="M3411" s="117">
        <f t="shared" si="387"/>
        <v>0.56028</v>
      </c>
      <c r="N3411" s="119">
        <f t="shared" si="388"/>
        <v>0</v>
      </c>
      <c r="O3411" s="120">
        <f t="shared" si="389"/>
        <v>0</v>
      </c>
      <c r="P3411" s="111"/>
      <c r="Q3411" s="111"/>
      <c r="R3411" s="111"/>
    </row>
    <row r="3412" spans="1:19" ht="15.6">
      <c r="A3412" s="110" t="s">
        <v>324</v>
      </c>
      <c r="B3412" s="111" t="s">
        <v>232</v>
      </c>
      <c r="C3412" s="112" t="s">
        <v>228</v>
      </c>
      <c r="D3412" s="113" t="s">
        <v>24</v>
      </c>
      <c r="E3412" s="216" t="s">
        <v>14</v>
      </c>
      <c r="F3412" s="216" t="s">
        <v>28</v>
      </c>
      <c r="G3412" s="217">
        <v>12.18</v>
      </c>
      <c r="H3412" s="218">
        <v>8</v>
      </c>
      <c r="I3412" s="219">
        <v>2</v>
      </c>
      <c r="J3412" s="220">
        <f t="shared" si="386"/>
        <v>0.19488</v>
      </c>
      <c r="K3412" s="118"/>
      <c r="L3412" s="111">
        <f>1+1</f>
        <v>2</v>
      </c>
      <c r="M3412" s="117">
        <f>H3412*L3412*G3412/1000</f>
        <v>0.19488</v>
      </c>
      <c r="N3412" s="119">
        <f t="shared" si="388"/>
        <v>0</v>
      </c>
      <c r="O3412" s="120">
        <f t="shared" si="389"/>
        <v>0</v>
      </c>
      <c r="P3412" s="111"/>
      <c r="Q3412" s="93">
        <v>1</v>
      </c>
      <c r="R3412" s="93" t="s">
        <v>543</v>
      </c>
    </row>
    <row r="3413" spans="1:19" ht="15.6">
      <c r="A3413" s="110" t="s">
        <v>324</v>
      </c>
      <c r="B3413" s="111" t="s">
        <v>232</v>
      </c>
      <c r="C3413" s="112" t="s">
        <v>228</v>
      </c>
      <c r="D3413" s="113" t="s">
        <v>24</v>
      </c>
      <c r="E3413" s="216" t="s">
        <v>14</v>
      </c>
      <c r="F3413" s="216" t="s">
        <v>28</v>
      </c>
      <c r="G3413" s="217">
        <v>12.18</v>
      </c>
      <c r="H3413" s="218">
        <v>12</v>
      </c>
      <c r="I3413" s="219">
        <v>12</v>
      </c>
      <c r="J3413" s="220">
        <f t="shared" si="386"/>
        <v>1.7539200000000001</v>
      </c>
      <c r="K3413" s="118"/>
      <c r="L3413" s="111">
        <f>1+8+3</f>
        <v>12</v>
      </c>
      <c r="M3413" s="117">
        <f t="shared" si="387"/>
        <v>1.7539200000000001</v>
      </c>
      <c r="N3413" s="119">
        <f t="shared" si="388"/>
        <v>0</v>
      </c>
      <c r="O3413" s="120">
        <f t="shared" si="389"/>
        <v>0</v>
      </c>
      <c r="P3413" s="111"/>
      <c r="Q3413" s="93">
        <v>3</v>
      </c>
      <c r="R3413" s="93" t="s">
        <v>543</v>
      </c>
    </row>
    <row r="3414" spans="1:19">
      <c r="A3414" s="213"/>
      <c r="B3414" s="213"/>
      <c r="C3414" s="213"/>
      <c r="D3414" s="213"/>
      <c r="E3414" s="213"/>
      <c r="F3414" s="213"/>
      <c r="G3414" s="213"/>
      <c r="H3414" s="213"/>
      <c r="I3414" s="215">
        <f>SUM(I3408:I3413)</f>
        <v>48</v>
      </c>
      <c r="J3414" s="214">
        <f>SUM(J3408:J3413)</f>
        <v>5.7124200000000007</v>
      </c>
      <c r="K3414" s="213"/>
      <c r="L3414" s="215">
        <f>SUM(L3408:L3413)</f>
        <v>48</v>
      </c>
      <c r="M3414" s="214">
        <f>SUM(M3408:M3413)</f>
        <v>5.7124200000000007</v>
      </c>
      <c r="N3414" s="215">
        <f>SUM(N3408:N3413)</f>
        <v>0</v>
      </c>
      <c r="O3414" s="128">
        <f>SUM(O3408:O3413)</f>
        <v>0</v>
      </c>
      <c r="P3414" s="213"/>
      <c r="Q3414" s="215">
        <f>SUM(Q3408:Q3413)</f>
        <v>4</v>
      </c>
      <c r="R3414" s="213"/>
    </row>
    <row r="3416" spans="1:19">
      <c r="A3416" s="42" t="s">
        <v>77</v>
      </c>
      <c r="B3416" s="3" t="s">
        <v>68</v>
      </c>
      <c r="C3416" s="3">
        <v>11</v>
      </c>
      <c r="D3416" s="1"/>
      <c r="E3416" s="20" t="s">
        <v>24</v>
      </c>
      <c r="F3416" s="7" t="s">
        <v>14</v>
      </c>
      <c r="G3416" s="7" t="s">
        <v>28</v>
      </c>
      <c r="H3416" s="11">
        <v>12.18</v>
      </c>
      <c r="I3416" s="8">
        <v>5.5</v>
      </c>
      <c r="J3416" s="26">
        <v>1</v>
      </c>
      <c r="K3416" s="10">
        <v>6.6989999999999994E-2</v>
      </c>
      <c r="L3416" s="4"/>
      <c r="M3416" s="17">
        <v>1</v>
      </c>
      <c r="N3416" s="18">
        <v>6.6989999999999994E-2</v>
      </c>
      <c r="O3416" s="19">
        <v>0</v>
      </c>
      <c r="P3416" s="13">
        <v>0</v>
      </c>
      <c r="Q3416" s="9"/>
      <c r="R3416" s="74">
        <v>1</v>
      </c>
      <c r="S3416" s="74" t="s">
        <v>540</v>
      </c>
    </row>
    <row r="3417" spans="1:19">
      <c r="A3417" s="42" t="s">
        <v>77</v>
      </c>
      <c r="B3417" s="3" t="s">
        <v>68</v>
      </c>
      <c r="C3417" s="3">
        <v>11</v>
      </c>
      <c r="D3417" s="1"/>
      <c r="E3417" s="20" t="s">
        <v>24</v>
      </c>
      <c r="F3417" s="7" t="s">
        <v>14</v>
      </c>
      <c r="G3417" s="7" t="s">
        <v>28</v>
      </c>
      <c r="H3417" s="11">
        <v>12.18</v>
      </c>
      <c r="I3417" s="8">
        <v>6</v>
      </c>
      <c r="J3417" s="26">
        <v>1</v>
      </c>
      <c r="K3417" s="10">
        <v>7.3079999999999992E-2</v>
      </c>
      <c r="L3417" s="4"/>
      <c r="M3417" s="17">
        <v>1</v>
      </c>
      <c r="N3417" s="18">
        <v>7.3079999999999992E-2</v>
      </c>
      <c r="O3417" s="19">
        <v>0</v>
      </c>
      <c r="P3417" s="13">
        <v>0</v>
      </c>
      <c r="Q3417" s="9"/>
      <c r="R3417" s="74">
        <v>1</v>
      </c>
      <c r="S3417" s="74" t="s">
        <v>540</v>
      </c>
    </row>
    <row r="3418" spans="1:19">
      <c r="A3418" s="42" t="s">
        <v>77</v>
      </c>
      <c r="B3418" s="3" t="s">
        <v>68</v>
      </c>
      <c r="C3418" s="3">
        <v>11</v>
      </c>
      <c r="D3418" s="1"/>
      <c r="E3418" s="20" t="s">
        <v>24</v>
      </c>
      <c r="F3418" s="7" t="s">
        <v>14</v>
      </c>
      <c r="G3418" s="7" t="s">
        <v>28</v>
      </c>
      <c r="H3418" s="11">
        <v>12.18</v>
      </c>
      <c r="I3418" s="8">
        <v>6.3</v>
      </c>
      <c r="J3418" s="26">
        <v>2</v>
      </c>
      <c r="K3418" s="10">
        <v>0.15346799999999999</v>
      </c>
      <c r="L3418" s="4"/>
      <c r="M3418" s="17">
        <v>2</v>
      </c>
      <c r="N3418" s="18">
        <v>0.15346799999999999</v>
      </c>
      <c r="O3418" s="19">
        <v>0</v>
      </c>
      <c r="P3418" s="13">
        <v>0</v>
      </c>
      <c r="Q3418" s="9"/>
      <c r="R3418" s="74">
        <v>2</v>
      </c>
      <c r="S3418" s="74" t="s">
        <v>540</v>
      </c>
    </row>
    <row r="3419" spans="1:19">
      <c r="A3419" s="42" t="s">
        <v>77</v>
      </c>
      <c r="B3419" s="3" t="s">
        <v>68</v>
      </c>
      <c r="C3419" s="3">
        <v>11</v>
      </c>
      <c r="D3419" s="1"/>
      <c r="E3419" s="20" t="s">
        <v>24</v>
      </c>
      <c r="F3419" s="7" t="s">
        <v>14</v>
      </c>
      <c r="G3419" s="7" t="s">
        <v>28</v>
      </c>
      <c r="H3419" s="11">
        <v>12.18</v>
      </c>
      <c r="I3419" s="8">
        <v>6.4</v>
      </c>
      <c r="J3419" s="26">
        <v>1</v>
      </c>
      <c r="K3419" s="10">
        <v>7.7951999999999994E-2</v>
      </c>
      <c r="L3419" s="4"/>
      <c r="M3419" s="17">
        <v>1</v>
      </c>
      <c r="N3419" s="18">
        <v>7.7951999999999994E-2</v>
      </c>
      <c r="O3419" s="19">
        <v>0</v>
      </c>
      <c r="P3419" s="13">
        <v>0</v>
      </c>
      <c r="Q3419" s="9"/>
      <c r="R3419" s="74">
        <v>1</v>
      </c>
      <c r="S3419" s="74" t="s">
        <v>540</v>
      </c>
    </row>
    <row r="3420" spans="1:19">
      <c r="A3420" s="42" t="s">
        <v>78</v>
      </c>
      <c r="B3420" s="3" t="s">
        <v>79</v>
      </c>
      <c r="C3420" s="3">
        <v>10</v>
      </c>
      <c r="D3420" s="1"/>
      <c r="E3420" s="20" t="s">
        <v>19</v>
      </c>
      <c r="F3420" s="7" t="s">
        <v>14</v>
      </c>
      <c r="G3420" s="7" t="s">
        <v>28</v>
      </c>
      <c r="H3420" s="11">
        <v>12.18</v>
      </c>
      <c r="I3420" s="8">
        <v>12</v>
      </c>
      <c r="J3420" s="26">
        <v>2</v>
      </c>
      <c r="K3420" s="10">
        <v>0.29231999999999997</v>
      </c>
      <c r="L3420" s="4"/>
      <c r="M3420" s="17">
        <v>2</v>
      </c>
      <c r="N3420" s="18">
        <v>0.29231999999999997</v>
      </c>
      <c r="O3420" s="19">
        <v>0</v>
      </c>
      <c r="P3420" s="13">
        <v>0</v>
      </c>
      <c r="Q3420" s="9"/>
      <c r="R3420" s="74">
        <v>2</v>
      </c>
      <c r="S3420" s="74" t="s">
        <v>540</v>
      </c>
    </row>
    <row r="3421" spans="1:19">
      <c r="A3421" s="42" t="s">
        <v>78</v>
      </c>
      <c r="B3421" s="3"/>
      <c r="C3421" s="3">
        <v>8</v>
      </c>
      <c r="D3421" s="1"/>
      <c r="E3421" s="20" t="s">
        <v>19</v>
      </c>
      <c r="F3421" s="7" t="s">
        <v>14</v>
      </c>
      <c r="G3421" s="7" t="s">
        <v>28</v>
      </c>
      <c r="H3421" s="11">
        <v>12.18</v>
      </c>
      <c r="I3421" s="8">
        <v>7.1</v>
      </c>
      <c r="J3421" s="26">
        <v>1</v>
      </c>
      <c r="K3421" s="10">
        <v>8.6477999999999999E-2</v>
      </c>
      <c r="L3421" s="4"/>
      <c r="M3421" s="17">
        <v>1</v>
      </c>
      <c r="N3421" s="18">
        <v>8.6477999999999999E-2</v>
      </c>
      <c r="O3421" s="19">
        <v>0</v>
      </c>
      <c r="P3421" s="13">
        <v>0</v>
      </c>
      <c r="Q3421" s="9"/>
      <c r="R3421" s="74">
        <v>1</v>
      </c>
      <c r="S3421" s="74" t="s">
        <v>540</v>
      </c>
    </row>
    <row r="3422" spans="1:19">
      <c r="A3422" s="42" t="s">
        <v>78</v>
      </c>
      <c r="B3422" s="3"/>
      <c r="C3422" s="3">
        <v>8</v>
      </c>
      <c r="D3422" s="1"/>
      <c r="E3422" s="20" t="s">
        <v>19</v>
      </c>
      <c r="F3422" s="7" t="s">
        <v>14</v>
      </c>
      <c r="G3422" s="7" t="s">
        <v>28</v>
      </c>
      <c r="H3422" s="11">
        <v>12.18</v>
      </c>
      <c r="I3422" s="8">
        <v>7.9</v>
      </c>
      <c r="J3422" s="26">
        <v>1</v>
      </c>
      <c r="K3422" s="10">
        <v>9.6222000000000002E-2</v>
      </c>
      <c r="L3422" s="4"/>
      <c r="M3422" s="17">
        <v>1</v>
      </c>
      <c r="N3422" s="18">
        <v>9.6222000000000002E-2</v>
      </c>
      <c r="O3422" s="19">
        <v>0</v>
      </c>
      <c r="P3422" s="13">
        <v>0</v>
      </c>
      <c r="Q3422" s="9"/>
      <c r="R3422" s="74">
        <v>1</v>
      </c>
      <c r="S3422" s="74" t="s">
        <v>540</v>
      </c>
    </row>
    <row r="3423" spans="1:19">
      <c r="A3423" s="42" t="s">
        <v>78</v>
      </c>
      <c r="B3423" s="3"/>
      <c r="C3423" s="3">
        <v>8</v>
      </c>
      <c r="D3423" s="1"/>
      <c r="E3423" s="20" t="s">
        <v>24</v>
      </c>
      <c r="F3423" s="7" t="s">
        <v>14</v>
      </c>
      <c r="G3423" s="7" t="s">
        <v>28</v>
      </c>
      <c r="H3423" s="11">
        <v>12.18</v>
      </c>
      <c r="I3423" s="8">
        <v>11.5</v>
      </c>
      <c r="J3423" s="26">
        <v>1</v>
      </c>
      <c r="K3423" s="10">
        <v>0.14007</v>
      </c>
      <c r="L3423" s="4"/>
      <c r="M3423" s="17">
        <v>1</v>
      </c>
      <c r="N3423" s="18">
        <v>0.14007</v>
      </c>
      <c r="O3423" s="19">
        <v>0</v>
      </c>
      <c r="P3423" s="13">
        <v>0</v>
      </c>
      <c r="Q3423" s="9"/>
      <c r="R3423" s="74">
        <v>1</v>
      </c>
      <c r="S3423" s="74" t="s">
        <v>540</v>
      </c>
    </row>
    <row r="3424" spans="1:19">
      <c r="A3424" s="42" t="s">
        <v>78</v>
      </c>
      <c r="B3424" s="3"/>
      <c r="C3424" s="3">
        <v>8</v>
      </c>
      <c r="D3424" s="1"/>
      <c r="E3424" s="20" t="s">
        <v>24</v>
      </c>
      <c r="F3424" s="7" t="s">
        <v>14</v>
      </c>
      <c r="G3424" s="7" t="s">
        <v>28</v>
      </c>
      <c r="H3424" s="11">
        <v>12.18</v>
      </c>
      <c r="I3424" s="8">
        <v>11</v>
      </c>
      <c r="J3424" s="26">
        <v>1</v>
      </c>
      <c r="K3424" s="10">
        <v>0.13397999999999999</v>
      </c>
      <c r="L3424" s="4"/>
      <c r="M3424" s="17">
        <v>1</v>
      </c>
      <c r="N3424" s="18">
        <v>0.13397999999999999</v>
      </c>
      <c r="O3424" s="19">
        <v>0</v>
      </c>
      <c r="P3424" s="13">
        <v>0</v>
      </c>
      <c r="Q3424" s="9"/>
      <c r="R3424" s="74">
        <v>1</v>
      </c>
      <c r="S3424" s="74" t="s">
        <v>540</v>
      </c>
    </row>
    <row r="3425" spans="1:19">
      <c r="A3425" s="42" t="s">
        <v>78</v>
      </c>
      <c r="B3425" s="3"/>
      <c r="C3425" s="3">
        <v>8</v>
      </c>
      <c r="D3425" s="1"/>
      <c r="E3425" s="20" t="s">
        <v>24</v>
      </c>
      <c r="F3425" s="7" t="s">
        <v>14</v>
      </c>
      <c r="G3425" s="7" t="s">
        <v>28</v>
      </c>
      <c r="H3425" s="11">
        <v>12.18</v>
      </c>
      <c r="I3425" s="8">
        <v>6.6</v>
      </c>
      <c r="J3425" s="26">
        <v>6</v>
      </c>
      <c r="K3425" s="10">
        <v>0.48232799999999998</v>
      </c>
      <c r="L3425" s="4"/>
      <c r="M3425" s="17">
        <v>6</v>
      </c>
      <c r="N3425" s="18">
        <v>0.48232799999999992</v>
      </c>
      <c r="O3425" s="19">
        <v>0</v>
      </c>
      <c r="P3425" s="13">
        <v>0</v>
      </c>
      <c r="Q3425" s="9"/>
      <c r="R3425" s="74"/>
      <c r="S3425" s="74"/>
    </row>
    <row r="3426" spans="1:19">
      <c r="A3426" s="42" t="s">
        <v>84</v>
      </c>
      <c r="B3426" s="3" t="s">
        <v>122</v>
      </c>
      <c r="C3426" s="3">
        <v>1</v>
      </c>
      <c r="D3426" s="1"/>
      <c r="E3426" s="20" t="s">
        <v>19</v>
      </c>
      <c r="F3426" s="7" t="s">
        <v>14</v>
      </c>
      <c r="G3426" s="7" t="s">
        <v>28</v>
      </c>
      <c r="H3426" s="11">
        <v>12.18</v>
      </c>
      <c r="I3426" s="8">
        <v>10.1</v>
      </c>
      <c r="J3426" s="26">
        <v>1</v>
      </c>
      <c r="K3426" s="10">
        <v>0.12301799999999999</v>
      </c>
      <c r="L3426" s="4" t="s">
        <v>123</v>
      </c>
      <c r="M3426" s="17">
        <v>1</v>
      </c>
      <c r="N3426" s="18">
        <v>0.12301799999999999</v>
      </c>
      <c r="O3426" s="19">
        <v>0</v>
      </c>
      <c r="P3426" s="13">
        <v>0</v>
      </c>
      <c r="Q3426" s="9"/>
      <c r="R3426" s="74">
        <v>1</v>
      </c>
      <c r="S3426" s="74" t="s">
        <v>540</v>
      </c>
    </row>
    <row r="3427" spans="1:19">
      <c r="A3427" s="42" t="s">
        <v>84</v>
      </c>
      <c r="B3427" s="3" t="s">
        <v>122</v>
      </c>
      <c r="C3427" s="3">
        <v>1</v>
      </c>
      <c r="D3427" s="1"/>
      <c r="E3427" s="20" t="s">
        <v>19</v>
      </c>
      <c r="F3427" s="7" t="s">
        <v>14</v>
      </c>
      <c r="G3427" s="7" t="s">
        <v>28</v>
      </c>
      <c r="H3427" s="11">
        <v>12.18</v>
      </c>
      <c r="I3427" s="8">
        <v>11.1</v>
      </c>
      <c r="J3427" s="26">
        <v>1</v>
      </c>
      <c r="K3427" s="10">
        <v>0.13519799999999998</v>
      </c>
      <c r="L3427" s="4" t="s">
        <v>123</v>
      </c>
      <c r="M3427" s="17">
        <v>1</v>
      </c>
      <c r="N3427" s="18">
        <v>0.13519799999999998</v>
      </c>
      <c r="O3427" s="19">
        <v>0</v>
      </c>
      <c r="P3427" s="13">
        <v>0</v>
      </c>
      <c r="Q3427" s="9"/>
      <c r="R3427" s="74">
        <v>1</v>
      </c>
      <c r="S3427" s="74" t="s">
        <v>540</v>
      </c>
    </row>
    <row r="3428" spans="1:19">
      <c r="A3428" s="42" t="s">
        <v>90</v>
      </c>
      <c r="B3428" s="48" t="s">
        <v>148</v>
      </c>
      <c r="C3428" s="32">
        <v>33</v>
      </c>
      <c r="D3428" s="32"/>
      <c r="E3428" s="48" t="s">
        <v>19</v>
      </c>
      <c r="F3428" s="48" t="s">
        <v>14</v>
      </c>
      <c r="G3428" s="48" t="s">
        <v>28</v>
      </c>
      <c r="H3428" s="11">
        <v>12.18</v>
      </c>
      <c r="I3428" s="52">
        <v>6.75</v>
      </c>
      <c r="J3428" s="7">
        <v>2</v>
      </c>
      <c r="K3428" s="10">
        <v>0.16443000000000002</v>
      </c>
      <c r="L3428" s="32"/>
      <c r="M3428" s="32">
        <v>2</v>
      </c>
      <c r="N3428" s="18">
        <v>0.16443000000000002</v>
      </c>
      <c r="O3428" s="19">
        <v>0</v>
      </c>
      <c r="P3428" s="13">
        <v>0</v>
      </c>
      <c r="Q3428" s="32"/>
      <c r="R3428" s="72">
        <v>2</v>
      </c>
      <c r="S3428" s="74" t="s">
        <v>540</v>
      </c>
    </row>
    <row r="3429" spans="1:19">
      <c r="A3429" s="42" t="s">
        <v>90</v>
      </c>
      <c r="B3429" s="48" t="s">
        <v>148</v>
      </c>
      <c r="C3429" s="32">
        <v>33</v>
      </c>
      <c r="D3429" s="32"/>
      <c r="E3429" s="48" t="s">
        <v>19</v>
      </c>
      <c r="F3429" s="48" t="s">
        <v>14</v>
      </c>
      <c r="G3429" s="48" t="s">
        <v>28</v>
      </c>
      <c r="H3429" s="11">
        <v>12.18</v>
      </c>
      <c r="I3429" s="52">
        <v>9</v>
      </c>
      <c r="J3429" s="7">
        <v>4</v>
      </c>
      <c r="K3429" s="10">
        <v>0.43848000000000004</v>
      </c>
      <c r="L3429" s="32"/>
      <c r="M3429" s="32">
        <v>4</v>
      </c>
      <c r="N3429" s="18">
        <v>0.43848000000000004</v>
      </c>
      <c r="O3429" s="19">
        <v>0</v>
      </c>
      <c r="P3429" s="13">
        <v>0</v>
      </c>
      <c r="Q3429" s="9"/>
      <c r="R3429" s="72"/>
      <c r="S3429" s="74"/>
    </row>
    <row r="3430" spans="1:19">
      <c r="A3430" s="42" t="s">
        <v>90</v>
      </c>
      <c r="B3430" s="48" t="s">
        <v>148</v>
      </c>
      <c r="C3430" s="32">
        <v>33</v>
      </c>
      <c r="D3430" s="32"/>
      <c r="E3430" s="48" t="s">
        <v>19</v>
      </c>
      <c r="F3430" s="48" t="s">
        <v>14</v>
      </c>
      <c r="G3430" s="48" t="s">
        <v>28</v>
      </c>
      <c r="H3430" s="11">
        <v>12.18</v>
      </c>
      <c r="I3430" s="52">
        <v>10.5</v>
      </c>
      <c r="J3430" s="7">
        <v>1</v>
      </c>
      <c r="K3430" s="10">
        <v>0.12789</v>
      </c>
      <c r="L3430" s="32"/>
      <c r="M3430" s="32">
        <v>1</v>
      </c>
      <c r="N3430" s="18">
        <v>0.12789</v>
      </c>
      <c r="O3430" s="19">
        <v>0</v>
      </c>
      <c r="P3430" s="13">
        <v>0</v>
      </c>
      <c r="Q3430" s="9"/>
      <c r="R3430" s="72"/>
      <c r="S3430" s="74"/>
    </row>
    <row r="3431" spans="1:19">
      <c r="A3431" s="44" t="s">
        <v>78</v>
      </c>
      <c r="B3431" s="3" t="s">
        <v>80</v>
      </c>
      <c r="C3431" s="3">
        <v>6</v>
      </c>
      <c r="D3431" s="1"/>
      <c r="E3431" s="20" t="s">
        <v>19</v>
      </c>
      <c r="F3431" s="7" t="s">
        <v>14</v>
      </c>
      <c r="G3431" s="7" t="s">
        <v>28</v>
      </c>
      <c r="H3431" s="11">
        <v>12.18</v>
      </c>
      <c r="I3431" s="8">
        <v>5.4</v>
      </c>
      <c r="J3431" s="26">
        <v>1</v>
      </c>
      <c r="K3431" s="10">
        <v>6.5772000000000011E-2</v>
      </c>
      <c r="L3431" s="4"/>
      <c r="M3431" s="17"/>
      <c r="N3431" s="18">
        <v>0</v>
      </c>
      <c r="O3431" s="19">
        <v>1</v>
      </c>
      <c r="P3431" s="13">
        <v>6.5772000000000011E-2</v>
      </c>
      <c r="Q3431" s="9"/>
      <c r="R3431" s="72"/>
      <c r="S3431" s="72"/>
    </row>
    <row r="3432" spans="1:19">
      <c r="A3432" s="44" t="s">
        <v>78</v>
      </c>
      <c r="B3432" s="3" t="s">
        <v>80</v>
      </c>
      <c r="C3432" s="3"/>
      <c r="D3432" s="1"/>
      <c r="E3432" s="20"/>
      <c r="F3432" s="7" t="s">
        <v>14</v>
      </c>
      <c r="G3432" s="7" t="s">
        <v>28</v>
      </c>
      <c r="H3432" s="11">
        <v>12.18</v>
      </c>
      <c r="I3432" s="8">
        <v>6.75</v>
      </c>
      <c r="J3432" s="26">
        <v>1</v>
      </c>
      <c r="K3432" s="10">
        <v>8.221500000000001E-2</v>
      </c>
      <c r="L3432" s="4"/>
      <c r="M3432" s="17"/>
      <c r="N3432" s="18">
        <v>0</v>
      </c>
      <c r="O3432" s="19">
        <v>1</v>
      </c>
      <c r="P3432" s="13">
        <v>8.221500000000001E-2</v>
      </c>
      <c r="Q3432" s="9"/>
      <c r="R3432" s="72"/>
      <c r="S3432" s="72"/>
    </row>
    <row r="3433" spans="1:19">
      <c r="A3433" s="45" t="s">
        <v>136</v>
      </c>
      <c r="B3433" s="32" t="s">
        <v>137</v>
      </c>
      <c r="C3433" s="3">
        <v>53</v>
      </c>
      <c r="D3433" s="32"/>
      <c r="E3433" s="39" t="s">
        <v>24</v>
      </c>
      <c r="F3433" s="7" t="s">
        <v>14</v>
      </c>
      <c r="G3433" s="7" t="s">
        <v>28</v>
      </c>
      <c r="H3433" s="11">
        <v>12.18</v>
      </c>
      <c r="I3433" s="33">
        <v>12</v>
      </c>
      <c r="J3433" s="40">
        <v>3</v>
      </c>
      <c r="K3433" s="10">
        <v>0.43848000000000004</v>
      </c>
      <c r="L3433" s="4"/>
      <c r="M3433" s="17">
        <v>3</v>
      </c>
      <c r="N3433" s="18">
        <v>0.43848000000000004</v>
      </c>
      <c r="O3433" s="19">
        <v>0</v>
      </c>
      <c r="P3433" s="13">
        <v>0</v>
      </c>
      <c r="Q3433" s="32"/>
      <c r="R3433" s="72">
        <v>3</v>
      </c>
      <c r="S3433" s="74" t="s">
        <v>540</v>
      </c>
    </row>
    <row r="3434" spans="1:19">
      <c r="O3434" s="215">
        <f>SUM(O3416:O3433)</f>
        <v>2</v>
      </c>
      <c r="R3434" s="215">
        <f>SUM(R3416:R3433)</f>
        <v>18</v>
      </c>
    </row>
    <row r="3439" spans="1:19">
      <c r="A3439" s="45" t="s">
        <v>136</v>
      </c>
      <c r="B3439" s="32" t="s">
        <v>137</v>
      </c>
      <c r="C3439" s="3">
        <v>7</v>
      </c>
      <c r="D3439" s="32"/>
      <c r="E3439" s="20" t="s">
        <v>20</v>
      </c>
      <c r="F3439" s="7" t="s">
        <v>15</v>
      </c>
      <c r="G3439" s="7" t="s">
        <v>42</v>
      </c>
      <c r="H3439" s="11">
        <v>19.72</v>
      </c>
      <c r="I3439" s="55">
        <v>6.2</v>
      </c>
      <c r="J3439" s="40">
        <v>2</v>
      </c>
      <c r="K3439" s="10">
        <v>0.244528</v>
      </c>
      <c r="L3439" s="4"/>
      <c r="M3439" s="17">
        <v>2</v>
      </c>
      <c r="N3439" s="18">
        <v>0.244528</v>
      </c>
      <c r="O3439" s="19">
        <v>0</v>
      </c>
      <c r="P3439" s="13">
        <v>0</v>
      </c>
      <c r="Q3439" s="32"/>
      <c r="R3439" s="91">
        <v>2</v>
      </c>
      <c r="S3439" s="91" t="s">
        <v>542</v>
      </c>
    </row>
    <row r="3440" spans="1:19">
      <c r="A3440" s="45" t="s">
        <v>136</v>
      </c>
      <c r="B3440" s="32" t="s">
        <v>137</v>
      </c>
      <c r="C3440" s="3">
        <v>56</v>
      </c>
      <c r="D3440" s="32"/>
      <c r="E3440" s="20" t="s">
        <v>20</v>
      </c>
      <c r="F3440" s="7" t="s">
        <v>15</v>
      </c>
      <c r="G3440" s="7" t="s">
        <v>42</v>
      </c>
      <c r="H3440" s="11">
        <v>19.72</v>
      </c>
      <c r="I3440" s="55">
        <v>6.9</v>
      </c>
      <c r="J3440" s="40">
        <v>1</v>
      </c>
      <c r="K3440" s="10">
        <v>0.13606800000000002</v>
      </c>
      <c r="L3440" s="4"/>
      <c r="M3440" s="17">
        <v>1</v>
      </c>
      <c r="N3440" s="18">
        <v>0.13606800000000002</v>
      </c>
      <c r="O3440" s="19">
        <v>0</v>
      </c>
      <c r="P3440" s="13">
        <v>0</v>
      </c>
      <c r="Q3440" s="55"/>
      <c r="R3440" s="91">
        <v>1</v>
      </c>
      <c r="S3440" s="91" t="s">
        <v>542</v>
      </c>
    </row>
    <row r="3441" spans="1:19">
      <c r="A3441" s="45" t="s">
        <v>136</v>
      </c>
      <c r="B3441" s="32" t="s">
        <v>137</v>
      </c>
      <c r="C3441" s="3">
        <v>99</v>
      </c>
      <c r="D3441" s="32"/>
      <c r="E3441" s="20" t="s">
        <v>20</v>
      </c>
      <c r="F3441" s="7" t="s">
        <v>15</v>
      </c>
      <c r="G3441" s="7" t="s">
        <v>42</v>
      </c>
      <c r="H3441" s="11">
        <v>19.72</v>
      </c>
      <c r="I3441" s="55">
        <v>5.4</v>
      </c>
      <c r="J3441" s="41">
        <v>1</v>
      </c>
      <c r="K3441" s="10">
        <v>0.106488</v>
      </c>
      <c r="L3441" s="4"/>
      <c r="M3441" s="17">
        <v>1</v>
      </c>
      <c r="N3441" s="18">
        <v>0.106488</v>
      </c>
      <c r="O3441" s="19">
        <v>0</v>
      </c>
      <c r="P3441" s="13">
        <v>0</v>
      </c>
      <c r="Q3441" s="33"/>
      <c r="R3441" s="91">
        <v>1</v>
      </c>
      <c r="S3441" s="91" t="s">
        <v>542</v>
      </c>
    </row>
    <row r="3442" spans="1:19">
      <c r="A3442" s="45" t="s">
        <v>136</v>
      </c>
      <c r="B3442" s="32" t="s">
        <v>137</v>
      </c>
      <c r="C3442" s="32">
        <v>105</v>
      </c>
      <c r="D3442" s="32"/>
      <c r="E3442" s="39" t="s">
        <v>94</v>
      </c>
      <c r="F3442" s="46" t="s">
        <v>15</v>
      </c>
      <c r="G3442" s="7" t="s">
        <v>42</v>
      </c>
      <c r="H3442" s="11">
        <v>19.72</v>
      </c>
      <c r="I3442" s="55">
        <v>11</v>
      </c>
      <c r="J3442" s="41">
        <v>1</v>
      </c>
      <c r="K3442" s="10">
        <v>0.21691999999999997</v>
      </c>
      <c r="L3442" s="4"/>
      <c r="M3442" s="17">
        <v>1</v>
      </c>
      <c r="N3442" s="18">
        <v>0.21691999999999997</v>
      </c>
      <c r="O3442" s="19">
        <v>0</v>
      </c>
      <c r="P3442" s="13">
        <v>0</v>
      </c>
      <c r="Q3442" s="33"/>
      <c r="R3442" s="91">
        <v>1</v>
      </c>
      <c r="S3442" s="91" t="s">
        <v>542</v>
      </c>
    </row>
    <row r="3443" spans="1:19">
      <c r="A3443" s="45" t="s">
        <v>136</v>
      </c>
      <c r="B3443" s="32" t="s">
        <v>137</v>
      </c>
      <c r="C3443" s="32">
        <v>105</v>
      </c>
      <c r="D3443" s="32"/>
      <c r="E3443" s="39" t="s">
        <v>94</v>
      </c>
      <c r="F3443" s="46" t="s">
        <v>15</v>
      </c>
      <c r="G3443" s="7" t="s">
        <v>42</v>
      </c>
      <c r="H3443" s="11">
        <v>19.72</v>
      </c>
      <c r="I3443" s="55">
        <v>11.3</v>
      </c>
      <c r="J3443" s="41">
        <v>5</v>
      </c>
      <c r="K3443" s="10">
        <v>1.1141800000000002</v>
      </c>
      <c r="L3443" s="4"/>
      <c r="M3443" s="17">
        <v>5</v>
      </c>
      <c r="N3443" s="18">
        <v>1.1141799999999997</v>
      </c>
      <c r="O3443" s="19">
        <v>0</v>
      </c>
      <c r="P3443" s="13">
        <v>0</v>
      </c>
      <c r="Q3443" s="33"/>
      <c r="R3443" s="91">
        <v>5</v>
      </c>
      <c r="S3443" s="91" t="s">
        <v>542</v>
      </c>
    </row>
    <row r="3444" spans="1:19">
      <c r="A3444" s="45" t="s">
        <v>136</v>
      </c>
      <c r="B3444" s="48" t="s">
        <v>171</v>
      </c>
      <c r="C3444" s="32">
        <v>116</v>
      </c>
      <c r="D3444" s="32"/>
      <c r="E3444" s="48" t="s">
        <v>96</v>
      </c>
      <c r="F3444" s="48" t="s">
        <v>15</v>
      </c>
      <c r="G3444" s="48" t="s">
        <v>42</v>
      </c>
      <c r="H3444" s="11">
        <v>19.72</v>
      </c>
      <c r="I3444" s="8">
        <v>11</v>
      </c>
      <c r="J3444" s="7">
        <v>1</v>
      </c>
      <c r="K3444" s="10">
        <v>0.21691999999999997</v>
      </c>
      <c r="L3444" s="32"/>
      <c r="M3444" s="32">
        <v>1</v>
      </c>
      <c r="N3444" s="18">
        <v>0.21691999999999997</v>
      </c>
      <c r="O3444" s="19">
        <v>0</v>
      </c>
      <c r="P3444" s="13">
        <v>0</v>
      </c>
      <c r="Q3444" s="33"/>
      <c r="R3444" s="91">
        <v>1</v>
      </c>
      <c r="S3444" s="91" t="s">
        <v>542</v>
      </c>
    </row>
    <row r="3445" spans="1:19">
      <c r="A3445" s="45" t="s">
        <v>136</v>
      </c>
      <c r="B3445" s="48" t="s">
        <v>171</v>
      </c>
      <c r="C3445" s="32">
        <v>123</v>
      </c>
      <c r="D3445" s="32"/>
      <c r="E3445" s="48" t="s">
        <v>175</v>
      </c>
      <c r="F3445" s="48" t="s">
        <v>15</v>
      </c>
      <c r="G3445" s="48" t="s">
        <v>42</v>
      </c>
      <c r="H3445" s="11">
        <v>19.72</v>
      </c>
      <c r="I3445" s="8">
        <v>11</v>
      </c>
      <c r="J3445" s="7">
        <v>4</v>
      </c>
      <c r="K3445" s="10">
        <v>0.8676799999999999</v>
      </c>
      <c r="L3445" s="32"/>
      <c r="M3445" s="32">
        <v>4</v>
      </c>
      <c r="N3445" s="18">
        <v>0.8676799999999999</v>
      </c>
      <c r="O3445" s="19">
        <v>0</v>
      </c>
      <c r="P3445" s="13">
        <v>0</v>
      </c>
      <c r="Q3445" s="32"/>
      <c r="R3445" s="91">
        <v>4</v>
      </c>
      <c r="S3445" s="91" t="s">
        <v>542</v>
      </c>
    </row>
    <row r="3446" spans="1:19">
      <c r="A3446" s="45" t="s">
        <v>136</v>
      </c>
      <c r="B3446" s="48" t="s">
        <v>171</v>
      </c>
      <c r="C3446" s="32">
        <v>148</v>
      </c>
      <c r="D3446" s="32"/>
      <c r="E3446" s="48" t="s">
        <v>89</v>
      </c>
      <c r="F3446" s="48" t="s">
        <v>15</v>
      </c>
      <c r="G3446" s="48" t="s">
        <v>42</v>
      </c>
      <c r="H3446" s="11">
        <v>19.72</v>
      </c>
      <c r="I3446" s="9">
        <v>11.2</v>
      </c>
      <c r="J3446" s="7">
        <v>1</v>
      </c>
      <c r="K3446" s="10">
        <v>0.22086399999999998</v>
      </c>
      <c r="L3446" s="32"/>
      <c r="M3446" s="32">
        <v>1</v>
      </c>
      <c r="N3446" s="18">
        <v>0.22086399999999998</v>
      </c>
      <c r="O3446" s="19">
        <v>0</v>
      </c>
      <c r="P3446" s="13">
        <v>0</v>
      </c>
      <c r="Q3446" s="32"/>
      <c r="R3446" s="91">
        <v>1</v>
      </c>
      <c r="S3446" s="91" t="s">
        <v>542</v>
      </c>
    </row>
    <row r="3447" spans="1:19">
      <c r="A3447" s="45" t="s">
        <v>136</v>
      </c>
      <c r="B3447" s="48" t="s">
        <v>171</v>
      </c>
      <c r="C3447" s="32">
        <v>159</v>
      </c>
      <c r="D3447" s="32"/>
      <c r="E3447" s="48" t="s">
        <v>89</v>
      </c>
      <c r="F3447" s="48" t="s">
        <v>15</v>
      </c>
      <c r="G3447" s="48" t="s">
        <v>42</v>
      </c>
      <c r="H3447" s="11">
        <v>19.72</v>
      </c>
      <c r="I3447" s="8">
        <v>9.5</v>
      </c>
      <c r="J3447" s="7">
        <v>1</v>
      </c>
      <c r="K3447" s="10">
        <v>0.18733999999999998</v>
      </c>
      <c r="L3447" s="32"/>
      <c r="M3447" s="32">
        <v>1</v>
      </c>
      <c r="N3447" s="18">
        <v>0.18733999999999998</v>
      </c>
      <c r="O3447" s="19">
        <v>0</v>
      </c>
      <c r="P3447" s="13">
        <v>0</v>
      </c>
      <c r="Q3447" s="32"/>
      <c r="R3447" s="91">
        <v>1</v>
      </c>
      <c r="S3447" s="91" t="s">
        <v>542</v>
      </c>
    </row>
    <row r="3448" spans="1:19">
      <c r="A3448" s="45" t="s">
        <v>136</v>
      </c>
      <c r="B3448" s="48" t="s">
        <v>171</v>
      </c>
      <c r="C3448" s="32">
        <v>159</v>
      </c>
      <c r="D3448" s="32"/>
      <c r="E3448" s="48" t="s">
        <v>89</v>
      </c>
      <c r="F3448" s="48" t="s">
        <v>15</v>
      </c>
      <c r="G3448" s="48" t="s">
        <v>42</v>
      </c>
      <c r="H3448" s="11">
        <v>19.72</v>
      </c>
      <c r="I3448" s="8">
        <v>10.5</v>
      </c>
      <c r="J3448" s="7">
        <v>1</v>
      </c>
      <c r="K3448" s="10">
        <v>0.20705999999999999</v>
      </c>
      <c r="L3448" s="32"/>
      <c r="M3448" s="32">
        <v>1</v>
      </c>
      <c r="N3448" s="18">
        <v>0.20705999999999999</v>
      </c>
      <c r="O3448" s="19">
        <v>0</v>
      </c>
      <c r="P3448" s="13">
        <v>0</v>
      </c>
      <c r="Q3448" s="32"/>
      <c r="R3448" s="91">
        <v>1</v>
      </c>
      <c r="S3448" s="91" t="s">
        <v>542</v>
      </c>
    </row>
    <row r="3449" spans="1:19">
      <c r="A3449" s="45" t="s">
        <v>136</v>
      </c>
      <c r="B3449" s="48" t="s">
        <v>171</v>
      </c>
      <c r="C3449" s="32">
        <v>159</v>
      </c>
      <c r="D3449" s="32"/>
      <c r="E3449" s="48" t="s">
        <v>89</v>
      </c>
      <c r="F3449" s="48" t="s">
        <v>15</v>
      </c>
      <c r="G3449" s="48" t="s">
        <v>42</v>
      </c>
      <c r="H3449" s="11">
        <v>19.72</v>
      </c>
      <c r="I3449" s="8">
        <v>11.3</v>
      </c>
      <c r="J3449" s="7">
        <v>1</v>
      </c>
      <c r="K3449" s="10">
        <v>0.22283600000000001</v>
      </c>
      <c r="L3449" s="32"/>
      <c r="M3449" s="32">
        <v>1</v>
      </c>
      <c r="N3449" s="18">
        <v>0.22283600000000001</v>
      </c>
      <c r="O3449" s="19">
        <v>0</v>
      </c>
      <c r="P3449" s="13">
        <v>0</v>
      </c>
      <c r="Q3449" s="32"/>
      <c r="R3449" s="91">
        <v>1</v>
      </c>
      <c r="S3449" s="91" t="s">
        <v>542</v>
      </c>
    </row>
    <row r="3452" spans="1:19" ht="15.6">
      <c r="B3452" s="110" t="s">
        <v>365</v>
      </c>
      <c r="C3452" s="111" t="s">
        <v>232</v>
      </c>
      <c r="D3452" s="112" t="s">
        <v>228</v>
      </c>
      <c r="E3452" s="113" t="s">
        <v>17</v>
      </c>
      <c r="F3452" s="114" t="s">
        <v>15</v>
      </c>
      <c r="G3452" s="115" t="s">
        <v>50</v>
      </c>
      <c r="H3452" s="116">
        <v>21.7</v>
      </c>
      <c r="I3452" s="125">
        <v>6.8</v>
      </c>
      <c r="J3452" s="111">
        <v>6</v>
      </c>
      <c r="K3452" s="117">
        <f t="shared" ref="K3452:K3462" si="390">I3452*H3452*J3452/1000</f>
        <v>0.88536000000000004</v>
      </c>
      <c r="L3452" s="118"/>
      <c r="M3452" s="111">
        <v>6</v>
      </c>
      <c r="N3452" s="117">
        <f t="shared" ref="N3452:N3462" si="391">I3452*M3452*H3452/1000</f>
        <v>0.88535999999999992</v>
      </c>
      <c r="O3452" s="119">
        <f t="shared" ref="O3452:O3462" si="392">J3452-M3452</f>
        <v>0</v>
      </c>
      <c r="P3452" s="120">
        <f t="shared" ref="P3452:P3462" si="393">I3452*O3452*H3452/1000</f>
        <v>0</v>
      </c>
      <c r="Q3452" s="111"/>
      <c r="R3452" s="32"/>
      <c r="S3452" s="213"/>
    </row>
    <row r="3453" spans="1:19" ht="15.6">
      <c r="B3453" s="110" t="s">
        <v>365</v>
      </c>
      <c r="C3453" s="111" t="s">
        <v>232</v>
      </c>
      <c r="D3453" s="112" t="s">
        <v>228</v>
      </c>
      <c r="E3453" s="113" t="s">
        <v>17</v>
      </c>
      <c r="F3453" s="114" t="s">
        <v>15</v>
      </c>
      <c r="G3453" s="115" t="s">
        <v>50</v>
      </c>
      <c r="H3453" s="116">
        <v>21.7</v>
      </c>
      <c r="I3453" s="125">
        <v>8.3000000000000007</v>
      </c>
      <c r="J3453" s="111">
        <v>16</v>
      </c>
      <c r="K3453" s="117">
        <f t="shared" si="390"/>
        <v>2.8817600000000003</v>
      </c>
      <c r="L3453" s="118"/>
      <c r="M3453" s="111">
        <v>16</v>
      </c>
      <c r="N3453" s="117">
        <f t="shared" si="391"/>
        <v>2.8817600000000003</v>
      </c>
      <c r="O3453" s="119">
        <f t="shared" si="392"/>
        <v>0</v>
      </c>
      <c r="P3453" s="120">
        <f t="shared" si="393"/>
        <v>0</v>
      </c>
      <c r="Q3453" s="111"/>
      <c r="R3453" s="32"/>
      <c r="S3453" s="213"/>
    </row>
    <row r="3454" spans="1:19" ht="15.6">
      <c r="B3454" s="110" t="s">
        <v>365</v>
      </c>
      <c r="C3454" s="111" t="s">
        <v>232</v>
      </c>
      <c r="D3454" s="112" t="s">
        <v>228</v>
      </c>
      <c r="E3454" s="113" t="s">
        <v>17</v>
      </c>
      <c r="F3454" s="114" t="s">
        <v>15</v>
      </c>
      <c r="G3454" s="115" t="s">
        <v>50</v>
      </c>
      <c r="H3454" s="116">
        <v>21.7</v>
      </c>
      <c r="I3454" s="125">
        <v>9.1999999999999993</v>
      </c>
      <c r="J3454" s="111">
        <f>13+4</f>
        <v>17</v>
      </c>
      <c r="K3454" s="117">
        <f t="shared" si="390"/>
        <v>3.3938799999999998</v>
      </c>
      <c r="L3454" s="118"/>
      <c r="M3454" s="111">
        <f>16+1</f>
        <v>17</v>
      </c>
      <c r="N3454" s="117">
        <f t="shared" si="391"/>
        <v>3.3938799999999993</v>
      </c>
      <c r="O3454" s="119">
        <f t="shared" si="392"/>
        <v>0</v>
      </c>
      <c r="P3454" s="120">
        <f t="shared" si="393"/>
        <v>0</v>
      </c>
      <c r="Q3454" s="111"/>
      <c r="R3454" s="32"/>
      <c r="S3454" s="213"/>
    </row>
    <row r="3455" spans="1:19" ht="15.6">
      <c r="B3455" s="110" t="s">
        <v>365</v>
      </c>
      <c r="C3455" s="111" t="s">
        <v>232</v>
      </c>
      <c r="D3455" s="112" t="s">
        <v>228</v>
      </c>
      <c r="E3455" s="113" t="s">
        <v>17</v>
      </c>
      <c r="F3455" s="114" t="s">
        <v>15</v>
      </c>
      <c r="G3455" s="115" t="s">
        <v>50</v>
      </c>
      <c r="H3455" s="116">
        <v>21.7</v>
      </c>
      <c r="I3455" s="125">
        <v>10.8</v>
      </c>
      <c r="J3455" s="111">
        <f>8+3</f>
        <v>11</v>
      </c>
      <c r="K3455" s="117">
        <f t="shared" si="390"/>
        <v>2.57796</v>
      </c>
      <c r="L3455" s="118"/>
      <c r="M3455" s="111">
        <v>11</v>
      </c>
      <c r="N3455" s="117">
        <f t="shared" si="391"/>
        <v>2.57796</v>
      </c>
      <c r="O3455" s="119">
        <f t="shared" si="392"/>
        <v>0</v>
      </c>
      <c r="P3455" s="120">
        <f t="shared" si="393"/>
        <v>0</v>
      </c>
      <c r="Q3455" s="111"/>
      <c r="R3455" s="32"/>
      <c r="S3455" s="213"/>
    </row>
    <row r="3456" spans="1:19" ht="15.6">
      <c r="B3456" s="110" t="s">
        <v>365</v>
      </c>
      <c r="C3456" s="111" t="s">
        <v>232</v>
      </c>
      <c r="D3456" s="112" t="s">
        <v>228</v>
      </c>
      <c r="E3456" s="113" t="s">
        <v>17</v>
      </c>
      <c r="F3456" s="114" t="s">
        <v>15</v>
      </c>
      <c r="G3456" s="115" t="s">
        <v>50</v>
      </c>
      <c r="H3456" s="116">
        <v>21.7</v>
      </c>
      <c r="I3456" s="125">
        <v>11.8</v>
      </c>
      <c r="J3456" s="111">
        <f>12+12+13+12</f>
        <v>49</v>
      </c>
      <c r="K3456" s="117">
        <f t="shared" si="390"/>
        <v>12.546940000000001</v>
      </c>
      <c r="L3456" s="118"/>
      <c r="M3456" s="111">
        <v>49</v>
      </c>
      <c r="N3456" s="117">
        <f t="shared" si="391"/>
        <v>12.546940000000001</v>
      </c>
      <c r="O3456" s="119">
        <f t="shared" si="392"/>
        <v>0</v>
      </c>
      <c r="P3456" s="120">
        <f t="shared" si="393"/>
        <v>0</v>
      </c>
      <c r="Q3456" s="111"/>
      <c r="R3456" s="32"/>
      <c r="S3456" s="213"/>
    </row>
    <row r="3457" spans="1:19" ht="15.6">
      <c r="B3457" s="110" t="s">
        <v>365</v>
      </c>
      <c r="C3457" s="111" t="s">
        <v>232</v>
      </c>
      <c r="D3457" s="112" t="s">
        <v>228</v>
      </c>
      <c r="E3457" s="113" t="s">
        <v>17</v>
      </c>
      <c r="F3457" s="114" t="s">
        <v>15</v>
      </c>
      <c r="G3457" s="115" t="s">
        <v>50</v>
      </c>
      <c r="H3457" s="116">
        <v>21.7</v>
      </c>
      <c r="I3457" s="125">
        <v>6.2</v>
      </c>
      <c r="J3457" s="111">
        <v>1</v>
      </c>
      <c r="K3457" s="117">
        <f t="shared" si="390"/>
        <v>0.13453999999999999</v>
      </c>
      <c r="L3457" s="118"/>
      <c r="M3457" s="111">
        <v>1</v>
      </c>
      <c r="N3457" s="117">
        <f t="shared" si="391"/>
        <v>0.13453999999999999</v>
      </c>
      <c r="O3457" s="119">
        <f t="shared" si="392"/>
        <v>0</v>
      </c>
      <c r="P3457" s="120">
        <f t="shared" si="393"/>
        <v>0</v>
      </c>
      <c r="Q3457" s="102">
        <v>6.2</v>
      </c>
      <c r="R3457" s="91">
        <v>1</v>
      </c>
      <c r="S3457" s="156" t="s">
        <v>544</v>
      </c>
    </row>
    <row r="3458" spans="1:19" ht="15.6">
      <c r="B3458" s="110" t="s">
        <v>365</v>
      </c>
      <c r="C3458" s="111" t="s">
        <v>232</v>
      </c>
      <c r="D3458" s="112" t="s">
        <v>228</v>
      </c>
      <c r="E3458" s="113" t="s">
        <v>17</v>
      </c>
      <c r="F3458" s="114" t="s">
        <v>15</v>
      </c>
      <c r="G3458" s="115" t="s">
        <v>50</v>
      </c>
      <c r="H3458" s="116">
        <v>21.7</v>
      </c>
      <c r="I3458" s="125">
        <v>10.6</v>
      </c>
      <c r="J3458" s="111">
        <v>1</v>
      </c>
      <c r="K3458" s="117">
        <f t="shared" si="390"/>
        <v>0.23001999999999997</v>
      </c>
      <c r="L3458" s="118"/>
      <c r="M3458" s="111">
        <v>1</v>
      </c>
      <c r="N3458" s="117">
        <f t="shared" si="391"/>
        <v>0.23001999999999997</v>
      </c>
      <c r="O3458" s="119">
        <f t="shared" si="392"/>
        <v>0</v>
      </c>
      <c r="P3458" s="120">
        <f t="shared" si="393"/>
        <v>0</v>
      </c>
      <c r="Q3458" s="102">
        <v>10.3</v>
      </c>
      <c r="R3458" s="91">
        <v>1</v>
      </c>
      <c r="S3458" s="156" t="s">
        <v>545</v>
      </c>
    </row>
    <row r="3459" spans="1:19" ht="15.6">
      <c r="B3459" s="110" t="s">
        <v>365</v>
      </c>
      <c r="C3459" s="111" t="s">
        <v>232</v>
      </c>
      <c r="D3459" s="112" t="s">
        <v>228</v>
      </c>
      <c r="E3459" s="113" t="s">
        <v>17</v>
      </c>
      <c r="F3459" s="114" t="s">
        <v>15</v>
      </c>
      <c r="G3459" s="115" t="s">
        <v>50</v>
      </c>
      <c r="H3459" s="116">
        <v>21.7</v>
      </c>
      <c r="I3459" s="125">
        <v>8.3000000000000007</v>
      </c>
      <c r="J3459" s="111">
        <v>1</v>
      </c>
      <c r="K3459" s="117">
        <f t="shared" si="390"/>
        <v>0.18011000000000002</v>
      </c>
      <c r="L3459" s="118"/>
      <c r="M3459" s="111">
        <v>1</v>
      </c>
      <c r="N3459" s="117">
        <f t="shared" si="391"/>
        <v>0.18011000000000002</v>
      </c>
      <c r="O3459" s="119">
        <f t="shared" si="392"/>
        <v>0</v>
      </c>
      <c r="P3459" s="120">
        <f t="shared" si="393"/>
        <v>0</v>
      </c>
      <c r="Q3459" s="102">
        <v>6.2</v>
      </c>
      <c r="R3459" s="91">
        <v>1</v>
      </c>
      <c r="S3459" s="156" t="s">
        <v>544</v>
      </c>
    </row>
    <row r="3460" spans="1:19" ht="15.6">
      <c r="B3460" s="110" t="s">
        <v>365</v>
      </c>
      <c r="C3460" s="111" t="s">
        <v>232</v>
      </c>
      <c r="D3460" s="112" t="s">
        <v>228</v>
      </c>
      <c r="E3460" s="113" t="s">
        <v>17</v>
      </c>
      <c r="F3460" s="114" t="s">
        <v>15</v>
      </c>
      <c r="G3460" s="115" t="s">
        <v>50</v>
      </c>
      <c r="H3460" s="116">
        <v>21.7</v>
      </c>
      <c r="I3460" s="125">
        <v>9.1999999999999993</v>
      </c>
      <c r="J3460" s="111">
        <v>3</v>
      </c>
      <c r="K3460" s="117">
        <f t="shared" si="390"/>
        <v>0.59892000000000001</v>
      </c>
      <c r="L3460" s="118"/>
      <c r="M3460" s="111">
        <v>3</v>
      </c>
      <c r="N3460" s="117">
        <f t="shared" si="391"/>
        <v>0.59892000000000001</v>
      </c>
      <c r="O3460" s="119">
        <f t="shared" si="392"/>
        <v>0</v>
      </c>
      <c r="P3460" s="120">
        <f t="shared" si="393"/>
        <v>0</v>
      </c>
      <c r="Q3460" s="102">
        <v>8.9</v>
      </c>
      <c r="R3460" s="413">
        <v>3</v>
      </c>
      <c r="S3460" s="156" t="s">
        <v>545</v>
      </c>
    </row>
    <row r="3461" spans="1:19" ht="15.6">
      <c r="B3461" s="110" t="s">
        <v>365</v>
      </c>
      <c r="C3461" s="111" t="s">
        <v>232</v>
      </c>
      <c r="D3461" s="112" t="s">
        <v>228</v>
      </c>
      <c r="E3461" s="113" t="s">
        <v>17</v>
      </c>
      <c r="F3461" s="114" t="s">
        <v>15</v>
      </c>
      <c r="G3461" s="115" t="s">
        <v>50</v>
      </c>
      <c r="H3461" s="116">
        <v>21.7</v>
      </c>
      <c r="I3461" s="125">
        <v>10.6</v>
      </c>
      <c r="J3461" s="111">
        <v>1</v>
      </c>
      <c r="K3461" s="117">
        <f t="shared" si="390"/>
        <v>0.23001999999999997</v>
      </c>
      <c r="L3461" s="118"/>
      <c r="M3461" s="111">
        <v>1</v>
      </c>
      <c r="N3461" s="117">
        <f t="shared" si="391"/>
        <v>0.23001999999999997</v>
      </c>
      <c r="O3461" s="119">
        <f t="shared" si="392"/>
        <v>0</v>
      </c>
      <c r="P3461" s="120">
        <f t="shared" si="393"/>
        <v>0</v>
      </c>
      <c r="Q3461" s="102">
        <v>10.3</v>
      </c>
      <c r="R3461" s="91">
        <v>1</v>
      </c>
      <c r="S3461" s="156" t="s">
        <v>545</v>
      </c>
    </row>
    <row r="3462" spans="1:19" ht="15.6">
      <c r="B3462" s="110" t="s">
        <v>365</v>
      </c>
      <c r="C3462" s="111" t="s">
        <v>232</v>
      </c>
      <c r="D3462" s="112" t="s">
        <v>228</v>
      </c>
      <c r="E3462" s="113" t="s">
        <v>17</v>
      </c>
      <c r="F3462" s="114" t="s">
        <v>15</v>
      </c>
      <c r="G3462" s="115" t="s">
        <v>50</v>
      </c>
      <c r="H3462" s="116">
        <v>21.7</v>
      </c>
      <c r="I3462" s="125">
        <v>11.6</v>
      </c>
      <c r="J3462" s="111">
        <v>1</v>
      </c>
      <c r="K3462" s="117">
        <f t="shared" si="390"/>
        <v>0.25171999999999994</v>
      </c>
      <c r="L3462" s="118"/>
      <c r="M3462" s="111">
        <v>1</v>
      </c>
      <c r="N3462" s="117">
        <f t="shared" si="391"/>
        <v>0.25171999999999994</v>
      </c>
      <c r="O3462" s="119">
        <f t="shared" si="392"/>
        <v>0</v>
      </c>
      <c r="P3462" s="120">
        <f t="shared" si="393"/>
        <v>0</v>
      </c>
      <c r="Q3462" s="102">
        <v>10.3</v>
      </c>
      <c r="R3462" s="91">
        <v>1</v>
      </c>
      <c r="S3462" s="156" t="s">
        <v>545</v>
      </c>
    </row>
    <row r="3463" spans="1:19">
      <c r="B3463" s="213"/>
      <c r="C3463" s="213"/>
      <c r="D3463" s="213"/>
      <c r="E3463" s="213"/>
      <c r="F3463" s="213"/>
      <c r="G3463" s="213"/>
      <c r="H3463" s="213"/>
      <c r="I3463" s="213"/>
      <c r="J3463" s="215">
        <f>SUM(J3452:J3462)</f>
        <v>107</v>
      </c>
      <c r="K3463" s="214">
        <f>SUM(K3452:K3462)</f>
        <v>23.911229999999996</v>
      </c>
      <c r="L3463" s="213"/>
      <c r="M3463" s="215">
        <f>SUM(M3452:M3462)</f>
        <v>107</v>
      </c>
      <c r="N3463" s="214">
        <f>SUM(N3452:N3462)</f>
        <v>23.911229999999996</v>
      </c>
      <c r="O3463" s="215">
        <f>SUM(O3452:O3462)</f>
        <v>0</v>
      </c>
      <c r="P3463" s="214">
        <f>SUM(P3452:P3462)</f>
        <v>0</v>
      </c>
      <c r="Q3463" s="213"/>
      <c r="R3463" s="215">
        <f>SUM(R3452:R3462)</f>
        <v>8</v>
      </c>
      <c r="S3463" s="213"/>
    </row>
    <row r="3467" spans="1:19">
      <c r="A3467" s="42" t="s">
        <v>77</v>
      </c>
      <c r="B3467" s="3" t="s">
        <v>68</v>
      </c>
      <c r="C3467" s="3">
        <v>206</v>
      </c>
      <c r="D3467" s="1"/>
      <c r="E3467" s="20" t="s">
        <v>63</v>
      </c>
      <c r="F3467" s="7" t="s">
        <v>15</v>
      </c>
      <c r="G3467" s="7" t="s">
        <v>48</v>
      </c>
      <c r="H3467" s="11">
        <v>23.6</v>
      </c>
      <c r="I3467" s="8">
        <v>7.8</v>
      </c>
      <c r="J3467" s="26">
        <v>1</v>
      </c>
      <c r="K3467" s="10">
        <v>0.18408000000000002</v>
      </c>
      <c r="L3467" s="4"/>
      <c r="M3467" s="17">
        <v>1</v>
      </c>
      <c r="N3467" s="18">
        <v>0.18408000000000002</v>
      </c>
      <c r="O3467" s="106">
        <v>0</v>
      </c>
      <c r="P3467" s="13">
        <v>0</v>
      </c>
      <c r="Q3467" s="89">
        <v>7.8</v>
      </c>
      <c r="R3467" s="90">
        <v>1</v>
      </c>
      <c r="S3467" s="90" t="s">
        <v>529</v>
      </c>
    </row>
    <row r="3468" spans="1:19">
      <c r="A3468" s="42" t="s">
        <v>77</v>
      </c>
      <c r="B3468" s="3" t="s">
        <v>68</v>
      </c>
      <c r="C3468" s="3">
        <v>206</v>
      </c>
      <c r="D3468" s="1"/>
      <c r="E3468" s="20" t="s">
        <v>63</v>
      </c>
      <c r="F3468" s="7" t="s">
        <v>15</v>
      </c>
      <c r="G3468" s="7" t="s">
        <v>48</v>
      </c>
      <c r="H3468" s="11">
        <v>23.6</v>
      </c>
      <c r="I3468" s="8">
        <v>8.3000000000000007</v>
      </c>
      <c r="J3468" s="26">
        <v>1</v>
      </c>
      <c r="K3468" s="10">
        <v>0.19588000000000003</v>
      </c>
      <c r="L3468" s="4"/>
      <c r="M3468" s="17"/>
      <c r="N3468" s="18">
        <v>0</v>
      </c>
      <c r="O3468" s="19">
        <v>1</v>
      </c>
      <c r="P3468" s="13">
        <v>0.19588000000000003</v>
      </c>
      <c r="Q3468" s="9"/>
      <c r="R3468" s="2"/>
      <c r="S3468" s="2"/>
    </row>
    <row r="3469" spans="1:19">
      <c r="A3469" s="42" t="s">
        <v>77</v>
      </c>
      <c r="B3469" s="3" t="s">
        <v>68</v>
      </c>
      <c r="C3469" s="3">
        <v>206</v>
      </c>
      <c r="D3469" s="1"/>
      <c r="E3469" s="20" t="s">
        <v>63</v>
      </c>
      <c r="F3469" s="7" t="s">
        <v>15</v>
      </c>
      <c r="G3469" s="7" t="s">
        <v>48</v>
      </c>
      <c r="H3469" s="11">
        <v>23.6</v>
      </c>
      <c r="I3469" s="8">
        <v>11</v>
      </c>
      <c r="J3469" s="26">
        <v>1</v>
      </c>
      <c r="K3469" s="10">
        <v>0.2596</v>
      </c>
      <c r="L3469" s="4"/>
      <c r="M3469" s="17"/>
      <c r="N3469" s="18">
        <v>0</v>
      </c>
      <c r="O3469" s="19">
        <v>1</v>
      </c>
      <c r="P3469" s="13">
        <v>0.2596</v>
      </c>
      <c r="Q3469" s="9"/>
      <c r="R3469" s="2"/>
      <c r="S3469" s="2"/>
    </row>
    <row r="3470" spans="1:19">
      <c r="A3470" s="45" t="s">
        <v>136</v>
      </c>
      <c r="B3470" s="32" t="s">
        <v>137</v>
      </c>
      <c r="C3470" s="3">
        <v>22</v>
      </c>
      <c r="D3470" s="32"/>
      <c r="E3470" s="20" t="s">
        <v>106</v>
      </c>
      <c r="F3470" s="7" t="s">
        <v>15</v>
      </c>
      <c r="G3470" s="7" t="s">
        <v>48</v>
      </c>
      <c r="H3470" s="11">
        <v>23.6</v>
      </c>
      <c r="I3470" s="33">
        <v>10.7</v>
      </c>
      <c r="J3470" s="40">
        <v>1</v>
      </c>
      <c r="K3470" s="10">
        <v>0.25252000000000002</v>
      </c>
      <c r="L3470" s="4"/>
      <c r="M3470" s="17"/>
      <c r="N3470" s="18">
        <v>0</v>
      </c>
      <c r="O3470" s="19">
        <v>1</v>
      </c>
      <c r="P3470" s="13">
        <v>0.25252000000000002</v>
      </c>
      <c r="Q3470" s="32"/>
      <c r="R3470" s="32"/>
      <c r="S3470" s="32"/>
    </row>
    <row r="3471" spans="1:19">
      <c r="R3471" s="76">
        <f>SUM(R3467:R3470)</f>
        <v>1</v>
      </c>
    </row>
    <row r="3473" spans="1:19" ht="15.6">
      <c r="B3473" s="110" t="s">
        <v>365</v>
      </c>
      <c r="C3473" s="111" t="s">
        <v>232</v>
      </c>
      <c r="D3473" s="112" t="s">
        <v>228</v>
      </c>
      <c r="E3473" s="113" t="s">
        <v>17</v>
      </c>
      <c r="F3473" s="114" t="s">
        <v>15</v>
      </c>
      <c r="G3473" s="115" t="s">
        <v>48</v>
      </c>
      <c r="H3473" s="116">
        <v>23.45</v>
      </c>
      <c r="I3473" s="125">
        <v>7.5</v>
      </c>
      <c r="J3473" s="111">
        <f>9+9</f>
        <v>18</v>
      </c>
      <c r="K3473" s="117">
        <f t="shared" ref="K3473:K3480" si="394">I3473*H3473*J3473/1000</f>
        <v>3.1657500000000001</v>
      </c>
      <c r="L3473" s="118"/>
      <c r="M3473" s="111">
        <v>18</v>
      </c>
      <c r="N3473" s="117">
        <f t="shared" ref="N3473:N3480" si="395">I3473*M3473*H3473/1000</f>
        <v>3.1657500000000001</v>
      </c>
      <c r="O3473" s="119">
        <f t="shared" ref="O3473:O3480" si="396">J3473-M3473</f>
        <v>0</v>
      </c>
      <c r="P3473" s="120">
        <f t="shared" ref="P3473:P3480" si="397">I3473*O3473*H3473/1000</f>
        <v>0</v>
      </c>
      <c r="Q3473" s="111"/>
      <c r="R3473" s="32"/>
      <c r="S3473" s="213"/>
    </row>
    <row r="3474" spans="1:19" ht="15.6">
      <c r="B3474" s="110" t="s">
        <v>365</v>
      </c>
      <c r="C3474" s="111" t="s">
        <v>232</v>
      </c>
      <c r="D3474" s="112" t="s">
        <v>228</v>
      </c>
      <c r="E3474" s="113" t="s">
        <v>17</v>
      </c>
      <c r="F3474" s="114" t="s">
        <v>15</v>
      </c>
      <c r="G3474" s="115" t="s">
        <v>48</v>
      </c>
      <c r="H3474" s="116">
        <v>23.45</v>
      </c>
      <c r="I3474" s="125">
        <v>10</v>
      </c>
      <c r="J3474" s="111">
        <v>4</v>
      </c>
      <c r="K3474" s="117">
        <f t="shared" si="394"/>
        <v>0.93799999999999994</v>
      </c>
      <c r="L3474" s="118"/>
      <c r="M3474" s="111">
        <v>4</v>
      </c>
      <c r="N3474" s="117">
        <f t="shared" si="395"/>
        <v>0.93799999999999994</v>
      </c>
      <c r="O3474" s="119">
        <f t="shared" si="396"/>
        <v>0</v>
      </c>
      <c r="P3474" s="120">
        <f t="shared" si="397"/>
        <v>0</v>
      </c>
      <c r="Q3474" s="111"/>
      <c r="R3474" s="32"/>
      <c r="S3474" s="213"/>
    </row>
    <row r="3475" spans="1:19" ht="15.6">
      <c r="B3475" s="110" t="s">
        <v>365</v>
      </c>
      <c r="C3475" s="111" t="s">
        <v>232</v>
      </c>
      <c r="D3475" s="112" t="s">
        <v>228</v>
      </c>
      <c r="E3475" s="113" t="s">
        <v>17</v>
      </c>
      <c r="F3475" s="114" t="s">
        <v>15</v>
      </c>
      <c r="G3475" s="115" t="s">
        <v>48</v>
      </c>
      <c r="H3475" s="116">
        <v>23.45</v>
      </c>
      <c r="I3475" s="125">
        <v>11</v>
      </c>
      <c r="J3475" s="111">
        <f>11+5</f>
        <v>16</v>
      </c>
      <c r="K3475" s="117">
        <f t="shared" si="394"/>
        <v>4.1272000000000002</v>
      </c>
      <c r="L3475" s="118"/>
      <c r="M3475" s="111">
        <v>16</v>
      </c>
      <c r="N3475" s="117">
        <f t="shared" si="395"/>
        <v>4.1272000000000002</v>
      </c>
      <c r="O3475" s="119">
        <f t="shared" si="396"/>
        <v>0</v>
      </c>
      <c r="P3475" s="120">
        <f t="shared" si="397"/>
        <v>0</v>
      </c>
      <c r="Q3475" s="111"/>
      <c r="R3475" s="32"/>
      <c r="S3475" s="213"/>
    </row>
    <row r="3476" spans="1:19" ht="15.6">
      <c r="B3476" s="110" t="s">
        <v>365</v>
      </c>
      <c r="C3476" s="111" t="s">
        <v>232</v>
      </c>
      <c r="D3476" s="112" t="s">
        <v>228</v>
      </c>
      <c r="E3476" s="113" t="s">
        <v>17</v>
      </c>
      <c r="F3476" s="114" t="s">
        <v>15</v>
      </c>
      <c r="G3476" s="115" t="s">
        <v>48</v>
      </c>
      <c r="H3476" s="116">
        <v>23.45</v>
      </c>
      <c r="I3476" s="125">
        <v>11</v>
      </c>
      <c r="J3476" s="111">
        <v>2</v>
      </c>
      <c r="K3476" s="117">
        <f t="shared" si="394"/>
        <v>0.51590000000000003</v>
      </c>
      <c r="L3476" s="118"/>
      <c r="M3476" s="111">
        <v>2</v>
      </c>
      <c r="N3476" s="117">
        <f t="shared" si="395"/>
        <v>0.51590000000000003</v>
      </c>
      <c r="O3476" s="119">
        <f t="shared" si="396"/>
        <v>0</v>
      </c>
      <c r="P3476" s="120">
        <f t="shared" si="397"/>
        <v>0</v>
      </c>
      <c r="Q3476" s="111"/>
      <c r="R3476" s="32"/>
      <c r="S3476" s="213"/>
    </row>
    <row r="3477" spans="1:19" ht="15.6">
      <c r="B3477" s="110" t="s">
        <v>365</v>
      </c>
      <c r="C3477" s="111" t="s">
        <v>232</v>
      </c>
      <c r="D3477" s="112" t="s">
        <v>228</v>
      </c>
      <c r="E3477" s="113" t="s">
        <v>17</v>
      </c>
      <c r="F3477" s="114" t="s">
        <v>15</v>
      </c>
      <c r="G3477" s="115" t="s">
        <v>48</v>
      </c>
      <c r="H3477" s="116">
        <v>23.45</v>
      </c>
      <c r="I3477" s="125">
        <v>12</v>
      </c>
      <c r="J3477" s="111">
        <f>2+3</f>
        <v>5</v>
      </c>
      <c r="K3477" s="117">
        <f t="shared" si="394"/>
        <v>1.407</v>
      </c>
      <c r="L3477" s="118"/>
      <c r="M3477" s="111">
        <v>5</v>
      </c>
      <c r="N3477" s="117">
        <f t="shared" si="395"/>
        <v>1.407</v>
      </c>
      <c r="O3477" s="119">
        <f t="shared" si="396"/>
        <v>0</v>
      </c>
      <c r="P3477" s="120">
        <f t="shared" si="397"/>
        <v>0</v>
      </c>
      <c r="Q3477" s="111"/>
      <c r="R3477" s="32"/>
      <c r="S3477" s="213"/>
    </row>
    <row r="3478" spans="1:19" ht="15.6">
      <c r="B3478" s="110" t="s">
        <v>365</v>
      </c>
      <c r="C3478" s="111" t="s">
        <v>232</v>
      </c>
      <c r="D3478" s="112" t="s">
        <v>228</v>
      </c>
      <c r="E3478" s="113" t="s">
        <v>17</v>
      </c>
      <c r="F3478" s="114" t="s">
        <v>15</v>
      </c>
      <c r="G3478" s="115" t="s">
        <v>48</v>
      </c>
      <c r="H3478" s="116">
        <v>23.45</v>
      </c>
      <c r="I3478" s="125">
        <v>7.1</v>
      </c>
      <c r="J3478" s="111">
        <v>1</v>
      </c>
      <c r="K3478" s="117">
        <f t="shared" si="394"/>
        <v>0.16649499999999998</v>
      </c>
      <c r="L3478" s="118"/>
      <c r="M3478" s="111"/>
      <c r="N3478" s="117">
        <f t="shared" si="395"/>
        <v>0</v>
      </c>
      <c r="O3478" s="119">
        <f t="shared" si="396"/>
        <v>1</v>
      </c>
      <c r="P3478" s="120">
        <f t="shared" si="397"/>
        <v>0.16649499999999998</v>
      </c>
      <c r="Q3478" s="111"/>
      <c r="R3478" s="32"/>
      <c r="S3478" s="213"/>
    </row>
    <row r="3479" spans="1:19" ht="15.6">
      <c r="B3479" s="110" t="s">
        <v>365</v>
      </c>
      <c r="C3479" s="111" t="s">
        <v>232</v>
      </c>
      <c r="D3479" s="112" t="s">
        <v>228</v>
      </c>
      <c r="E3479" s="113" t="s">
        <v>17</v>
      </c>
      <c r="F3479" s="114" t="s">
        <v>15</v>
      </c>
      <c r="G3479" s="115" t="s">
        <v>48</v>
      </c>
      <c r="H3479" s="116">
        <v>23.45</v>
      </c>
      <c r="I3479" s="125">
        <v>10</v>
      </c>
      <c r="J3479" s="111">
        <v>1</v>
      </c>
      <c r="K3479" s="117">
        <f t="shared" si="394"/>
        <v>0.23449999999999999</v>
      </c>
      <c r="L3479" s="118"/>
      <c r="M3479" s="111"/>
      <c r="N3479" s="117">
        <f t="shared" si="395"/>
        <v>0</v>
      </c>
      <c r="O3479" s="119">
        <f t="shared" si="396"/>
        <v>1</v>
      </c>
      <c r="P3479" s="120">
        <f t="shared" si="397"/>
        <v>0.23449999999999999</v>
      </c>
      <c r="Q3479" s="111"/>
      <c r="R3479" s="32"/>
      <c r="S3479" s="213"/>
    </row>
    <row r="3480" spans="1:19" ht="15.6">
      <c r="B3480" s="110" t="s">
        <v>365</v>
      </c>
      <c r="C3480" s="111" t="s">
        <v>232</v>
      </c>
      <c r="D3480" s="112" t="s">
        <v>228</v>
      </c>
      <c r="E3480" s="113" t="s">
        <v>17</v>
      </c>
      <c r="F3480" s="114" t="s">
        <v>15</v>
      </c>
      <c r="G3480" s="115" t="s">
        <v>48</v>
      </c>
      <c r="H3480" s="116">
        <v>23.45</v>
      </c>
      <c r="I3480" s="125">
        <v>12</v>
      </c>
      <c r="J3480" s="111">
        <v>2</v>
      </c>
      <c r="K3480" s="117">
        <f t="shared" si="394"/>
        <v>0.56279999999999997</v>
      </c>
      <c r="L3480" s="118"/>
      <c r="M3480" s="111">
        <v>2</v>
      </c>
      <c r="N3480" s="117">
        <f t="shared" si="395"/>
        <v>0.56279999999999997</v>
      </c>
      <c r="O3480" s="119">
        <f t="shared" si="396"/>
        <v>0</v>
      </c>
      <c r="P3480" s="120">
        <f t="shared" si="397"/>
        <v>0</v>
      </c>
      <c r="Q3480" s="94">
        <v>12</v>
      </c>
      <c r="R3480" s="93">
        <v>2</v>
      </c>
      <c r="S3480" s="170" t="s">
        <v>530</v>
      </c>
    </row>
    <row r="3481" spans="1:19">
      <c r="B3481" s="213"/>
      <c r="C3481" s="213"/>
      <c r="D3481" s="213"/>
      <c r="E3481" s="213"/>
      <c r="F3481" s="213"/>
      <c r="G3481" s="213"/>
      <c r="H3481" s="213"/>
      <c r="I3481" s="213"/>
      <c r="J3481" s="215">
        <f>SUM(J3473:J3480)</f>
        <v>49</v>
      </c>
      <c r="K3481" s="214">
        <f>SUM(K3473:K3480)</f>
        <v>11.117645</v>
      </c>
      <c r="L3481" s="213"/>
      <c r="M3481" s="215">
        <f>SUM(M3473:M3480)</f>
        <v>47</v>
      </c>
      <c r="N3481" s="214">
        <f>SUM(N3473:N3480)</f>
        <v>10.71665</v>
      </c>
      <c r="O3481" s="215">
        <f>SUM(O3473:O3480)</f>
        <v>2</v>
      </c>
      <c r="P3481" s="214">
        <f>SUM(P3473:P3480)</f>
        <v>0.40099499999999999</v>
      </c>
      <c r="Q3481" s="213"/>
      <c r="R3481" s="215">
        <f>SUM(R3473:R3480)</f>
        <v>2</v>
      </c>
      <c r="S3481" s="213"/>
    </row>
    <row r="3483" spans="1:19">
      <c r="A3483" s="42" t="s">
        <v>90</v>
      </c>
      <c r="B3483" s="3"/>
      <c r="C3483" s="3">
        <v>146</v>
      </c>
      <c r="D3483" s="1"/>
      <c r="E3483" s="20" t="s">
        <v>24</v>
      </c>
      <c r="F3483" s="7" t="s">
        <v>14</v>
      </c>
      <c r="G3483" s="7" t="s">
        <v>33</v>
      </c>
      <c r="H3483" s="11">
        <v>15.92</v>
      </c>
      <c r="I3483" s="8">
        <v>6.25</v>
      </c>
      <c r="J3483" s="26">
        <v>5</v>
      </c>
      <c r="K3483" s="10">
        <f t="shared" ref="K3483:K3487" si="398">(H3483*I3483*J3483/1000)</f>
        <v>0.4975</v>
      </c>
      <c r="L3483" s="4"/>
      <c r="M3483" s="17">
        <v>5</v>
      </c>
      <c r="N3483" s="18">
        <f t="shared" ref="N3483:N3487" si="399">I3483*M3483*H3483/1000</f>
        <v>0.4975</v>
      </c>
      <c r="O3483" s="19">
        <f t="shared" ref="O3483:O3487" si="400">J3483-M3483</f>
        <v>0</v>
      </c>
      <c r="P3483" s="13">
        <f t="shared" ref="P3483:P3487" si="401">I3483*O3483*H3483/1000</f>
        <v>0</v>
      </c>
      <c r="Q3483" s="89">
        <v>6.15</v>
      </c>
      <c r="R3483" s="90">
        <v>5</v>
      </c>
      <c r="S3483" s="90" t="s">
        <v>546</v>
      </c>
    </row>
    <row r="3484" spans="1:19">
      <c r="A3484" s="42" t="s">
        <v>90</v>
      </c>
      <c r="B3484" s="3"/>
      <c r="C3484" s="3">
        <v>146</v>
      </c>
      <c r="D3484" s="1"/>
      <c r="E3484" s="20" t="s">
        <v>24</v>
      </c>
      <c r="F3484" s="7" t="s">
        <v>14</v>
      </c>
      <c r="G3484" s="7" t="s">
        <v>33</v>
      </c>
      <c r="H3484" s="11">
        <v>15.92</v>
      </c>
      <c r="I3484" s="8">
        <v>6.5</v>
      </c>
      <c r="J3484" s="26">
        <v>1</v>
      </c>
      <c r="K3484" s="10">
        <f t="shared" si="398"/>
        <v>0.10348</v>
      </c>
      <c r="L3484" s="4"/>
      <c r="M3484" s="17">
        <v>1</v>
      </c>
      <c r="N3484" s="18">
        <f t="shared" si="399"/>
        <v>0.10348</v>
      </c>
      <c r="O3484" s="19">
        <f t="shared" si="400"/>
        <v>0</v>
      </c>
      <c r="P3484" s="13">
        <f t="shared" si="401"/>
        <v>0</v>
      </c>
      <c r="Q3484" s="89">
        <v>6.15</v>
      </c>
      <c r="R3484" s="90">
        <v>1</v>
      </c>
      <c r="S3484" s="90" t="s">
        <v>546</v>
      </c>
    </row>
    <row r="3485" spans="1:19">
      <c r="A3485" s="42" t="s">
        <v>90</v>
      </c>
      <c r="B3485" s="3"/>
      <c r="C3485" s="3">
        <v>146</v>
      </c>
      <c r="D3485" s="1"/>
      <c r="E3485" s="20" t="s">
        <v>24</v>
      </c>
      <c r="F3485" s="7" t="s">
        <v>14</v>
      </c>
      <c r="G3485" s="7" t="s">
        <v>33</v>
      </c>
      <c r="H3485" s="11">
        <v>15.92</v>
      </c>
      <c r="I3485" s="8">
        <v>8</v>
      </c>
      <c r="J3485" s="26">
        <v>1</v>
      </c>
      <c r="K3485" s="10">
        <f t="shared" si="398"/>
        <v>0.12736</v>
      </c>
      <c r="L3485" s="4"/>
      <c r="M3485" s="17">
        <v>1</v>
      </c>
      <c r="N3485" s="18">
        <f t="shared" si="399"/>
        <v>0.12736</v>
      </c>
      <c r="O3485" s="19">
        <f t="shared" si="400"/>
        <v>0</v>
      </c>
      <c r="P3485" s="13">
        <f t="shared" si="401"/>
        <v>0</v>
      </c>
      <c r="Q3485" s="89">
        <v>6.15</v>
      </c>
      <c r="R3485" s="90">
        <v>1</v>
      </c>
      <c r="S3485" s="90" t="s">
        <v>546</v>
      </c>
    </row>
    <row r="3486" spans="1:19">
      <c r="A3486" s="42" t="s">
        <v>90</v>
      </c>
      <c r="B3486" s="3"/>
      <c r="C3486" s="3">
        <v>146</v>
      </c>
      <c r="D3486" s="1"/>
      <c r="E3486" s="20" t="s">
        <v>24</v>
      </c>
      <c r="F3486" s="7" t="s">
        <v>14</v>
      </c>
      <c r="G3486" s="7" t="s">
        <v>33</v>
      </c>
      <c r="H3486" s="11">
        <v>15.92</v>
      </c>
      <c r="I3486" s="8">
        <v>11.1</v>
      </c>
      <c r="J3486" s="26">
        <v>1</v>
      </c>
      <c r="K3486" s="10">
        <f t="shared" si="398"/>
        <v>0.17671199999999998</v>
      </c>
      <c r="L3486" s="4"/>
      <c r="M3486" s="17">
        <v>1</v>
      </c>
      <c r="N3486" s="18">
        <f t="shared" si="399"/>
        <v>0.17671199999999998</v>
      </c>
      <c r="O3486" s="19">
        <f t="shared" si="400"/>
        <v>0</v>
      </c>
      <c r="P3486" s="13">
        <f t="shared" si="401"/>
        <v>0</v>
      </c>
      <c r="Q3486" s="89">
        <v>8.85</v>
      </c>
      <c r="R3486" s="90">
        <v>1</v>
      </c>
      <c r="S3486" s="90" t="s">
        <v>539</v>
      </c>
    </row>
    <row r="3487" spans="1:19">
      <c r="A3487" s="42" t="s">
        <v>90</v>
      </c>
      <c r="B3487" s="3"/>
      <c r="C3487" s="3">
        <v>146</v>
      </c>
      <c r="D3487" s="1"/>
      <c r="E3487" s="20" t="s">
        <v>24</v>
      </c>
      <c r="F3487" s="7" t="s">
        <v>14</v>
      </c>
      <c r="G3487" s="7" t="s">
        <v>33</v>
      </c>
      <c r="H3487" s="11">
        <v>15.92</v>
      </c>
      <c r="I3487" s="8">
        <v>11.5</v>
      </c>
      <c r="J3487" s="26">
        <v>2</v>
      </c>
      <c r="K3487" s="10">
        <f t="shared" si="398"/>
        <v>0.36616000000000004</v>
      </c>
      <c r="L3487" s="4"/>
      <c r="M3487" s="17">
        <v>2</v>
      </c>
      <c r="N3487" s="18">
        <f t="shared" si="399"/>
        <v>0.36616000000000004</v>
      </c>
      <c r="O3487" s="19">
        <f t="shared" si="400"/>
        <v>0</v>
      </c>
      <c r="P3487" s="13">
        <f t="shared" si="401"/>
        <v>0</v>
      </c>
      <c r="Q3487" s="89">
        <v>8.85</v>
      </c>
      <c r="R3487" s="90">
        <v>2</v>
      </c>
      <c r="S3487" s="90" t="s">
        <v>539</v>
      </c>
    </row>
    <row r="3488" spans="1:19">
      <c r="R3488" s="76">
        <f>SUM(R3483:R3487)</f>
        <v>10</v>
      </c>
    </row>
    <row r="3491" spans="2:19" ht="15.6">
      <c r="B3491" s="110" t="s">
        <v>547</v>
      </c>
      <c r="C3491" s="111" t="s">
        <v>505</v>
      </c>
      <c r="D3491" s="112" t="s">
        <v>449</v>
      </c>
      <c r="E3491" s="113" t="s">
        <v>130</v>
      </c>
      <c r="F3491" s="114" t="s">
        <v>15</v>
      </c>
      <c r="G3491" s="115" t="s">
        <v>42</v>
      </c>
      <c r="H3491" s="116">
        <v>19.8</v>
      </c>
      <c r="I3491" s="125">
        <v>12</v>
      </c>
      <c r="J3491" s="111">
        <v>12</v>
      </c>
      <c r="K3491" s="117">
        <f>I3491*H3491*J3491/1000</f>
        <v>2.8512000000000004</v>
      </c>
      <c r="L3491" s="32"/>
      <c r="M3491" s="111">
        <v>12</v>
      </c>
      <c r="N3491" s="117">
        <f t="shared" ref="N3491:N3508" si="402">I3491*M3491*H3491/1000</f>
        <v>2.8512000000000004</v>
      </c>
      <c r="O3491" s="119">
        <f t="shared" ref="O3491:O3508" si="403">J3491-M3491</f>
        <v>0</v>
      </c>
      <c r="P3491" s="120">
        <f t="shared" ref="P3491:P3507" si="404">I3491*O3491*H3491/1000</f>
        <v>0</v>
      </c>
      <c r="Q3491" s="111"/>
      <c r="R3491" s="32"/>
      <c r="S3491" s="213"/>
    </row>
    <row r="3492" spans="2:19" ht="15.6">
      <c r="B3492" s="110" t="s">
        <v>547</v>
      </c>
      <c r="C3492" s="111" t="s">
        <v>505</v>
      </c>
      <c r="D3492" s="112" t="s">
        <v>449</v>
      </c>
      <c r="E3492" s="113" t="s">
        <v>130</v>
      </c>
      <c r="F3492" s="114" t="s">
        <v>15</v>
      </c>
      <c r="G3492" s="115" t="s">
        <v>42</v>
      </c>
      <c r="H3492" s="116">
        <v>19.8</v>
      </c>
      <c r="I3492" s="125">
        <v>12</v>
      </c>
      <c r="J3492" s="111">
        <v>12</v>
      </c>
      <c r="K3492" s="117">
        <f>I3492*H3492*J3492/1000</f>
        <v>2.8512000000000004</v>
      </c>
      <c r="L3492" s="32"/>
      <c r="M3492" s="111">
        <v>12</v>
      </c>
      <c r="N3492" s="117">
        <f t="shared" si="402"/>
        <v>2.8512000000000004</v>
      </c>
      <c r="O3492" s="119">
        <f t="shared" si="403"/>
        <v>0</v>
      </c>
      <c r="P3492" s="120">
        <f t="shared" si="404"/>
        <v>0</v>
      </c>
      <c r="Q3492" s="111"/>
      <c r="R3492" s="32"/>
      <c r="S3492" s="213"/>
    </row>
    <row r="3493" spans="2:19" ht="15.6">
      <c r="B3493" s="110" t="s">
        <v>547</v>
      </c>
      <c r="C3493" s="111" t="s">
        <v>505</v>
      </c>
      <c r="D3493" s="112" t="s">
        <v>449</v>
      </c>
      <c r="E3493" s="113" t="s">
        <v>130</v>
      </c>
      <c r="F3493" s="114" t="s">
        <v>15</v>
      </c>
      <c r="G3493" s="115" t="s">
        <v>42</v>
      </c>
      <c r="H3493" s="116">
        <v>19.8</v>
      </c>
      <c r="I3493" s="125">
        <v>12</v>
      </c>
      <c r="J3493" s="111">
        <v>13</v>
      </c>
      <c r="K3493" s="117">
        <f>I3493*H3493*J3493/1000</f>
        <v>3.0888</v>
      </c>
      <c r="L3493" s="32"/>
      <c r="M3493" s="111">
        <v>13</v>
      </c>
      <c r="N3493" s="117">
        <f t="shared" si="402"/>
        <v>3.0888</v>
      </c>
      <c r="O3493" s="119">
        <f t="shared" si="403"/>
        <v>0</v>
      </c>
      <c r="P3493" s="120">
        <f t="shared" si="404"/>
        <v>0</v>
      </c>
      <c r="Q3493" s="111"/>
      <c r="R3493" s="32"/>
      <c r="S3493" s="213"/>
    </row>
    <row r="3494" spans="2:19" ht="15.6">
      <c r="B3494" s="110" t="s">
        <v>547</v>
      </c>
      <c r="C3494" s="111" t="s">
        <v>505</v>
      </c>
      <c r="D3494" s="112" t="s">
        <v>449</v>
      </c>
      <c r="E3494" s="113" t="s">
        <v>130</v>
      </c>
      <c r="F3494" s="114" t="s">
        <v>15</v>
      </c>
      <c r="G3494" s="115" t="s">
        <v>42</v>
      </c>
      <c r="H3494" s="116">
        <v>19.8</v>
      </c>
      <c r="I3494" s="125">
        <v>11.8</v>
      </c>
      <c r="J3494" s="111">
        <v>2</v>
      </c>
      <c r="K3494" s="117">
        <f t="shared" ref="K3494:K3506" si="405">I3494*H3494*J3494/1000</f>
        <v>0.46728000000000003</v>
      </c>
      <c r="L3494" s="32"/>
      <c r="M3494" s="32">
        <f>1+1</f>
        <v>2</v>
      </c>
      <c r="N3494" s="117">
        <f t="shared" si="402"/>
        <v>0.46728000000000003</v>
      </c>
      <c r="O3494" s="145">
        <f t="shared" si="403"/>
        <v>0</v>
      </c>
      <c r="P3494" s="120">
        <f t="shared" si="404"/>
        <v>0</v>
      </c>
      <c r="Q3494" s="75">
        <v>9.5</v>
      </c>
      <c r="R3494" s="72">
        <v>1</v>
      </c>
      <c r="S3494" s="77" t="s">
        <v>598</v>
      </c>
    </row>
    <row r="3495" spans="2:19" ht="15.6">
      <c r="B3495" s="110" t="s">
        <v>547</v>
      </c>
      <c r="C3495" s="111" t="s">
        <v>505</v>
      </c>
      <c r="D3495" s="112" t="s">
        <v>449</v>
      </c>
      <c r="E3495" s="113" t="s">
        <v>130</v>
      </c>
      <c r="F3495" s="114" t="s">
        <v>15</v>
      </c>
      <c r="G3495" s="115" t="s">
        <v>42</v>
      </c>
      <c r="H3495" s="116">
        <v>19.8</v>
      </c>
      <c r="I3495" s="125">
        <v>11.7</v>
      </c>
      <c r="J3495" s="111">
        <v>2</v>
      </c>
      <c r="K3495" s="117">
        <f t="shared" si="405"/>
        <v>0.46332000000000001</v>
      </c>
      <c r="L3495" s="32"/>
      <c r="M3495" s="32">
        <v>2</v>
      </c>
      <c r="N3495" s="117">
        <f t="shared" si="402"/>
        <v>0.46332000000000001</v>
      </c>
      <c r="O3495" s="145">
        <f t="shared" si="403"/>
        <v>0</v>
      </c>
      <c r="P3495" s="120">
        <f t="shared" si="404"/>
        <v>0</v>
      </c>
      <c r="Q3495" s="75">
        <v>9.5</v>
      </c>
      <c r="R3495" s="72">
        <v>2</v>
      </c>
      <c r="S3495" s="77" t="s">
        <v>598</v>
      </c>
    </row>
    <row r="3496" spans="2:19" ht="15.6">
      <c r="B3496" s="110" t="s">
        <v>547</v>
      </c>
      <c r="C3496" s="111" t="s">
        <v>505</v>
      </c>
      <c r="D3496" s="112" t="s">
        <v>449</v>
      </c>
      <c r="E3496" s="113" t="s">
        <v>130</v>
      </c>
      <c r="F3496" s="114" t="s">
        <v>15</v>
      </c>
      <c r="G3496" s="115" t="s">
        <v>42</v>
      </c>
      <c r="H3496" s="116">
        <v>19.8</v>
      </c>
      <c r="I3496" s="125">
        <v>12</v>
      </c>
      <c r="J3496" s="111">
        <v>12</v>
      </c>
      <c r="K3496" s="117">
        <f t="shared" si="405"/>
        <v>2.8512000000000004</v>
      </c>
      <c r="L3496" s="32"/>
      <c r="M3496" s="111">
        <v>12</v>
      </c>
      <c r="N3496" s="117">
        <f t="shared" si="402"/>
        <v>2.8512000000000004</v>
      </c>
      <c r="O3496" s="119">
        <f t="shared" si="403"/>
        <v>0</v>
      </c>
      <c r="P3496" s="120">
        <f t="shared" si="404"/>
        <v>0</v>
      </c>
      <c r="Q3496" s="159"/>
      <c r="R3496" s="32"/>
      <c r="S3496" s="213"/>
    </row>
    <row r="3497" spans="2:19" ht="15.6">
      <c r="B3497" s="110" t="s">
        <v>547</v>
      </c>
      <c r="C3497" s="111" t="s">
        <v>505</v>
      </c>
      <c r="D3497" s="112" t="s">
        <v>449</v>
      </c>
      <c r="E3497" s="113" t="s">
        <v>130</v>
      </c>
      <c r="F3497" s="114" t="s">
        <v>15</v>
      </c>
      <c r="G3497" s="115" t="s">
        <v>42</v>
      </c>
      <c r="H3497" s="116">
        <v>19.8</v>
      </c>
      <c r="I3497" s="125">
        <v>12</v>
      </c>
      <c r="J3497" s="111">
        <v>12</v>
      </c>
      <c r="K3497" s="117">
        <f t="shared" si="405"/>
        <v>2.8512000000000004</v>
      </c>
      <c r="L3497" s="32"/>
      <c r="M3497" s="111">
        <v>12</v>
      </c>
      <c r="N3497" s="117">
        <f t="shared" si="402"/>
        <v>2.8512000000000004</v>
      </c>
      <c r="O3497" s="119">
        <f t="shared" si="403"/>
        <v>0</v>
      </c>
      <c r="P3497" s="120">
        <f t="shared" si="404"/>
        <v>0</v>
      </c>
      <c r="Q3497" s="159"/>
      <c r="R3497" s="32"/>
      <c r="S3497" s="213"/>
    </row>
    <row r="3498" spans="2:19" ht="15.6">
      <c r="B3498" s="110" t="s">
        <v>547</v>
      </c>
      <c r="C3498" s="111" t="s">
        <v>505</v>
      </c>
      <c r="D3498" s="112" t="s">
        <v>449</v>
      </c>
      <c r="E3498" s="113" t="s">
        <v>130</v>
      </c>
      <c r="F3498" s="114" t="s">
        <v>15</v>
      </c>
      <c r="G3498" s="115" t="s">
        <v>42</v>
      </c>
      <c r="H3498" s="116">
        <v>19.8</v>
      </c>
      <c r="I3498" s="125">
        <v>12</v>
      </c>
      <c r="J3498" s="111">
        <v>14</v>
      </c>
      <c r="K3498" s="117">
        <f t="shared" si="405"/>
        <v>3.3264000000000005</v>
      </c>
      <c r="L3498" s="32"/>
      <c r="M3498" s="111">
        <v>14</v>
      </c>
      <c r="N3498" s="117">
        <f t="shared" si="402"/>
        <v>3.3264</v>
      </c>
      <c r="O3498" s="119">
        <f t="shared" si="403"/>
        <v>0</v>
      </c>
      <c r="P3498" s="120">
        <f t="shared" si="404"/>
        <v>0</v>
      </c>
      <c r="Q3498" s="159"/>
      <c r="R3498" s="32"/>
      <c r="S3498" s="213"/>
    </row>
    <row r="3499" spans="2:19" ht="15.6">
      <c r="B3499" s="110" t="s">
        <v>547</v>
      </c>
      <c r="C3499" s="111" t="s">
        <v>505</v>
      </c>
      <c r="D3499" s="112" t="s">
        <v>449</v>
      </c>
      <c r="E3499" s="113" t="s">
        <v>130</v>
      </c>
      <c r="F3499" s="114" t="s">
        <v>15</v>
      </c>
      <c r="G3499" s="115" t="s">
        <v>42</v>
      </c>
      <c r="H3499" s="116">
        <v>19.8</v>
      </c>
      <c r="I3499" s="125">
        <v>12</v>
      </c>
      <c r="J3499" s="111">
        <v>8</v>
      </c>
      <c r="K3499" s="117">
        <f t="shared" si="405"/>
        <v>1.9008000000000003</v>
      </c>
      <c r="L3499" s="32"/>
      <c r="M3499" s="111">
        <v>8</v>
      </c>
      <c r="N3499" s="117">
        <f t="shared" si="402"/>
        <v>1.9008000000000003</v>
      </c>
      <c r="O3499" s="119">
        <f t="shared" si="403"/>
        <v>0</v>
      </c>
      <c r="P3499" s="120">
        <f t="shared" si="404"/>
        <v>0</v>
      </c>
      <c r="Q3499" s="159"/>
      <c r="R3499" s="32"/>
      <c r="S3499" s="213"/>
    </row>
    <row r="3500" spans="2:19" ht="15.6">
      <c r="B3500" s="110" t="s">
        <v>547</v>
      </c>
      <c r="C3500" s="111" t="s">
        <v>505</v>
      </c>
      <c r="D3500" s="112" t="s">
        <v>449</v>
      </c>
      <c r="E3500" s="113" t="s">
        <v>130</v>
      </c>
      <c r="F3500" s="114" t="s">
        <v>15</v>
      </c>
      <c r="G3500" s="115" t="s">
        <v>42</v>
      </c>
      <c r="H3500" s="116">
        <v>19.8</v>
      </c>
      <c r="I3500" s="125">
        <v>11.8</v>
      </c>
      <c r="J3500" s="111">
        <v>1</v>
      </c>
      <c r="K3500" s="117">
        <f t="shared" si="405"/>
        <v>0.23364000000000001</v>
      </c>
      <c r="L3500" s="32"/>
      <c r="M3500" s="32">
        <v>1</v>
      </c>
      <c r="N3500" s="117">
        <f t="shared" si="402"/>
        <v>0.23364000000000001</v>
      </c>
      <c r="O3500" s="145">
        <f t="shared" si="403"/>
        <v>0</v>
      </c>
      <c r="P3500" s="120">
        <f t="shared" si="404"/>
        <v>0</v>
      </c>
      <c r="Q3500" s="75">
        <v>9.5</v>
      </c>
      <c r="R3500" s="72">
        <v>1</v>
      </c>
      <c r="S3500" s="77" t="s">
        <v>598</v>
      </c>
    </row>
    <row r="3501" spans="2:19" ht="15.6">
      <c r="B3501" s="110" t="s">
        <v>547</v>
      </c>
      <c r="C3501" s="111" t="s">
        <v>505</v>
      </c>
      <c r="D3501" s="112" t="s">
        <v>449</v>
      </c>
      <c r="E3501" s="113" t="s">
        <v>130</v>
      </c>
      <c r="F3501" s="114" t="s">
        <v>15</v>
      </c>
      <c r="G3501" s="115" t="s">
        <v>42</v>
      </c>
      <c r="H3501" s="116">
        <v>19.8</v>
      </c>
      <c r="I3501" s="125">
        <v>11.5</v>
      </c>
      <c r="J3501" s="111">
        <v>1</v>
      </c>
      <c r="K3501" s="117">
        <f t="shared" si="405"/>
        <v>0.22770000000000001</v>
      </c>
      <c r="L3501" s="32"/>
      <c r="M3501" s="32">
        <v>1</v>
      </c>
      <c r="N3501" s="117">
        <f t="shared" si="402"/>
        <v>0.22770000000000001</v>
      </c>
      <c r="O3501" s="145">
        <f t="shared" si="403"/>
        <v>0</v>
      </c>
      <c r="P3501" s="120">
        <f t="shared" si="404"/>
        <v>0</v>
      </c>
      <c r="Q3501" s="75">
        <v>9.5</v>
      </c>
      <c r="R3501" s="72">
        <v>1</v>
      </c>
      <c r="S3501" s="77" t="s">
        <v>598</v>
      </c>
    </row>
    <row r="3502" spans="2:19" ht="15.6">
      <c r="B3502" s="110" t="s">
        <v>547</v>
      </c>
      <c r="C3502" s="111" t="s">
        <v>505</v>
      </c>
      <c r="D3502" s="112" t="s">
        <v>449</v>
      </c>
      <c r="E3502" s="113" t="s">
        <v>130</v>
      </c>
      <c r="F3502" s="114" t="s">
        <v>15</v>
      </c>
      <c r="G3502" s="115" t="s">
        <v>42</v>
      </c>
      <c r="H3502" s="116">
        <v>19.8</v>
      </c>
      <c r="I3502" s="125">
        <v>10.95</v>
      </c>
      <c r="J3502" s="111">
        <v>1</v>
      </c>
      <c r="K3502" s="117">
        <f t="shared" si="405"/>
        <v>0.21681</v>
      </c>
      <c r="L3502" s="32"/>
      <c r="M3502" s="32">
        <v>1</v>
      </c>
      <c r="N3502" s="117">
        <f t="shared" si="402"/>
        <v>0.21681</v>
      </c>
      <c r="O3502" s="145">
        <f t="shared" si="403"/>
        <v>0</v>
      </c>
      <c r="P3502" s="120">
        <f t="shared" si="404"/>
        <v>0</v>
      </c>
      <c r="Q3502" s="75">
        <v>9.5</v>
      </c>
      <c r="R3502" s="72">
        <v>1</v>
      </c>
      <c r="S3502" s="77" t="s">
        <v>598</v>
      </c>
    </row>
    <row r="3503" spans="2:19" ht="15.6">
      <c r="B3503" s="110" t="s">
        <v>547</v>
      </c>
      <c r="C3503" s="111" t="s">
        <v>505</v>
      </c>
      <c r="D3503" s="112" t="s">
        <v>449</v>
      </c>
      <c r="E3503" s="113" t="s">
        <v>130</v>
      </c>
      <c r="F3503" s="114" t="s">
        <v>15</v>
      </c>
      <c r="G3503" s="115" t="s">
        <v>42</v>
      </c>
      <c r="H3503" s="116">
        <v>19.8</v>
      </c>
      <c r="I3503" s="125">
        <v>12</v>
      </c>
      <c r="J3503" s="111">
        <v>14</v>
      </c>
      <c r="K3503" s="117">
        <f t="shared" si="405"/>
        <v>3.3264000000000005</v>
      </c>
      <c r="L3503" s="32"/>
      <c r="M3503" s="111">
        <v>14</v>
      </c>
      <c r="N3503" s="117">
        <f t="shared" si="402"/>
        <v>3.3264</v>
      </c>
      <c r="O3503" s="119">
        <f t="shared" si="403"/>
        <v>0</v>
      </c>
      <c r="P3503" s="120">
        <f t="shared" si="404"/>
        <v>0</v>
      </c>
      <c r="Q3503" s="159"/>
      <c r="R3503" s="32"/>
      <c r="S3503" s="213"/>
    </row>
    <row r="3504" spans="2:19" ht="15.6">
      <c r="B3504" s="110" t="s">
        <v>547</v>
      </c>
      <c r="C3504" s="111" t="s">
        <v>505</v>
      </c>
      <c r="D3504" s="112" t="s">
        <v>449</v>
      </c>
      <c r="E3504" s="113" t="s">
        <v>130</v>
      </c>
      <c r="F3504" s="114" t="s">
        <v>15</v>
      </c>
      <c r="G3504" s="115" t="s">
        <v>42</v>
      </c>
      <c r="H3504" s="116">
        <v>19.8</v>
      </c>
      <c r="I3504" s="125">
        <v>12</v>
      </c>
      <c r="J3504" s="111">
        <v>14</v>
      </c>
      <c r="K3504" s="117">
        <f t="shared" si="405"/>
        <v>3.3264000000000005</v>
      </c>
      <c r="L3504" s="32"/>
      <c r="M3504" s="111">
        <v>14</v>
      </c>
      <c r="N3504" s="117">
        <f t="shared" si="402"/>
        <v>3.3264</v>
      </c>
      <c r="O3504" s="119">
        <f t="shared" si="403"/>
        <v>0</v>
      </c>
      <c r="P3504" s="120">
        <f t="shared" si="404"/>
        <v>0</v>
      </c>
      <c r="Q3504" s="159"/>
      <c r="R3504" s="32"/>
      <c r="S3504" s="213"/>
    </row>
    <row r="3505" spans="2:19" ht="15.6">
      <c r="B3505" s="110" t="s">
        <v>547</v>
      </c>
      <c r="C3505" s="111" t="s">
        <v>505</v>
      </c>
      <c r="D3505" s="112" t="s">
        <v>449</v>
      </c>
      <c r="E3505" s="113" t="s">
        <v>130</v>
      </c>
      <c r="F3505" s="114" t="s">
        <v>15</v>
      </c>
      <c r="G3505" s="115" t="s">
        <v>42</v>
      </c>
      <c r="H3505" s="116">
        <v>19.8</v>
      </c>
      <c r="I3505" s="125">
        <v>12</v>
      </c>
      <c r="J3505" s="111">
        <v>14</v>
      </c>
      <c r="K3505" s="117">
        <f t="shared" si="405"/>
        <v>3.3264000000000005</v>
      </c>
      <c r="L3505" s="32"/>
      <c r="M3505" s="111">
        <v>14</v>
      </c>
      <c r="N3505" s="117">
        <f t="shared" si="402"/>
        <v>3.3264</v>
      </c>
      <c r="O3505" s="119">
        <f t="shared" si="403"/>
        <v>0</v>
      </c>
      <c r="P3505" s="120">
        <f t="shared" si="404"/>
        <v>0</v>
      </c>
      <c r="Q3505" s="159"/>
      <c r="R3505" s="32"/>
      <c r="S3505" s="213"/>
    </row>
    <row r="3506" spans="2:19" ht="15.6">
      <c r="B3506" s="110" t="s">
        <v>547</v>
      </c>
      <c r="C3506" s="111" t="s">
        <v>505</v>
      </c>
      <c r="D3506" s="112" t="s">
        <v>449</v>
      </c>
      <c r="E3506" s="113" t="s">
        <v>130</v>
      </c>
      <c r="F3506" s="114" t="s">
        <v>15</v>
      </c>
      <c r="G3506" s="115" t="s">
        <v>42</v>
      </c>
      <c r="H3506" s="116">
        <v>19.8</v>
      </c>
      <c r="I3506" s="125">
        <v>12</v>
      </c>
      <c r="J3506" s="111">
        <v>14</v>
      </c>
      <c r="K3506" s="117">
        <f t="shared" si="405"/>
        <v>3.3264000000000005</v>
      </c>
      <c r="L3506" s="32"/>
      <c r="M3506" s="111">
        <v>14</v>
      </c>
      <c r="N3506" s="117">
        <f t="shared" si="402"/>
        <v>3.3264</v>
      </c>
      <c r="O3506" s="119">
        <f t="shared" si="403"/>
        <v>0</v>
      </c>
      <c r="P3506" s="120">
        <f t="shared" si="404"/>
        <v>0</v>
      </c>
      <c r="Q3506" s="159"/>
      <c r="R3506" s="32"/>
      <c r="S3506" s="213"/>
    </row>
    <row r="3507" spans="2:19" ht="15.6">
      <c r="B3507" s="110" t="s">
        <v>547</v>
      </c>
      <c r="C3507" s="111" t="s">
        <v>505</v>
      </c>
      <c r="D3507" s="112" t="s">
        <v>449</v>
      </c>
      <c r="E3507" s="113" t="s">
        <v>130</v>
      </c>
      <c r="F3507" s="114" t="s">
        <v>15</v>
      </c>
      <c r="G3507" s="115" t="s">
        <v>42</v>
      </c>
      <c r="H3507" s="116">
        <v>19.8</v>
      </c>
      <c r="I3507" s="125">
        <v>12</v>
      </c>
      <c r="J3507" s="111">
        <v>14</v>
      </c>
      <c r="K3507" s="117">
        <f>I3507*H3507*J3507/1000</f>
        <v>3.3264000000000005</v>
      </c>
      <c r="L3507" s="32"/>
      <c r="M3507" s="111">
        <v>14</v>
      </c>
      <c r="N3507" s="117">
        <f t="shared" si="402"/>
        <v>3.3264</v>
      </c>
      <c r="O3507" s="119">
        <f t="shared" si="403"/>
        <v>0</v>
      </c>
      <c r="P3507" s="120">
        <f t="shared" si="404"/>
        <v>0</v>
      </c>
      <c r="Q3507" s="159"/>
      <c r="R3507" s="32"/>
      <c r="S3507" s="213"/>
    </row>
    <row r="3508" spans="2:19" ht="15.6">
      <c r="B3508" s="110" t="s">
        <v>547</v>
      </c>
      <c r="C3508" s="111" t="s">
        <v>505</v>
      </c>
      <c r="D3508" s="112" t="s">
        <v>449</v>
      </c>
      <c r="E3508" s="113" t="s">
        <v>130</v>
      </c>
      <c r="F3508" s="114" t="s">
        <v>15</v>
      </c>
      <c r="G3508" s="115" t="s">
        <v>42</v>
      </c>
      <c r="H3508" s="116">
        <v>19.8</v>
      </c>
      <c r="I3508" s="125">
        <v>12</v>
      </c>
      <c r="J3508" s="111">
        <v>6</v>
      </c>
      <c r="K3508" s="117">
        <f>I3508*H3508*J3508/1000</f>
        <v>1.4256000000000002</v>
      </c>
      <c r="L3508" s="32"/>
      <c r="M3508" s="111">
        <v>6</v>
      </c>
      <c r="N3508" s="117">
        <f t="shared" si="402"/>
        <v>1.4256000000000002</v>
      </c>
      <c r="O3508" s="119">
        <f t="shared" si="403"/>
        <v>0</v>
      </c>
      <c r="P3508" s="120">
        <f>I3508*O3508*H3508/1000</f>
        <v>0</v>
      </c>
      <c r="Q3508" s="159"/>
      <c r="R3508" s="32"/>
      <c r="S3508" s="213"/>
    </row>
    <row r="3509" spans="2:19">
      <c r="B3509" s="32"/>
      <c r="C3509" s="32"/>
      <c r="D3509" s="32"/>
      <c r="E3509" s="32"/>
      <c r="F3509" s="32"/>
      <c r="G3509" s="32"/>
      <c r="H3509" s="32"/>
      <c r="I3509" s="32"/>
      <c r="J3509" s="129">
        <f>SUM(J3491:J3508)</f>
        <v>166</v>
      </c>
      <c r="K3509" s="124">
        <f>SUM(K3491:K3508)</f>
        <v>39.387150000000005</v>
      </c>
      <c r="L3509" s="32"/>
      <c r="M3509" s="129">
        <f>SUM(M3491:M3508)</f>
        <v>166</v>
      </c>
      <c r="N3509" s="124">
        <f>SUM(N3491:N3508)</f>
        <v>39.387150000000005</v>
      </c>
      <c r="O3509" s="129">
        <f>SUM(O3491:O3508)</f>
        <v>0</v>
      </c>
      <c r="P3509" s="124">
        <f>SUM(P3491:P3508)</f>
        <v>0</v>
      </c>
      <c r="Q3509" s="33"/>
      <c r="R3509" s="129">
        <f>SUM(R3491:R3508)</f>
        <v>6</v>
      </c>
      <c r="S3509" s="213"/>
    </row>
    <row r="3510" spans="2:19">
      <c r="Q3510" s="158"/>
    </row>
    <row r="3511" spans="2:19" ht="15.6">
      <c r="B3511" s="110" t="s">
        <v>365</v>
      </c>
      <c r="C3511" s="111" t="s">
        <v>232</v>
      </c>
      <c r="D3511" s="112" t="s">
        <v>228</v>
      </c>
      <c r="E3511" s="113" t="s">
        <v>130</v>
      </c>
      <c r="F3511" s="114" t="s">
        <v>15</v>
      </c>
      <c r="G3511" s="115" t="s">
        <v>42</v>
      </c>
      <c r="H3511" s="116">
        <v>19.8</v>
      </c>
      <c r="I3511" s="125">
        <v>12</v>
      </c>
      <c r="J3511" s="111">
        <v>13</v>
      </c>
      <c r="K3511" s="117">
        <f t="shared" ref="K3511:K3516" si="406">I3511*H3511*J3511/1000</f>
        <v>3.0888</v>
      </c>
      <c r="L3511" s="118"/>
      <c r="M3511" s="111">
        <v>13</v>
      </c>
      <c r="N3511" s="117">
        <f t="shared" ref="N3511:N3516" si="407">I3511*M3511*H3511/1000</f>
        <v>3.0888</v>
      </c>
      <c r="O3511" s="119">
        <f t="shared" ref="O3511:O3516" si="408">J3511-M3511</f>
        <v>0</v>
      </c>
      <c r="P3511" s="120">
        <f t="shared" ref="P3511:P3513" si="409">I3511*O3511*H3511/1000</f>
        <v>0</v>
      </c>
      <c r="Q3511" s="159"/>
      <c r="R3511" s="32"/>
      <c r="S3511" s="213"/>
    </row>
    <row r="3512" spans="2:19" ht="15.6">
      <c r="B3512" s="110" t="s">
        <v>365</v>
      </c>
      <c r="C3512" s="111" t="s">
        <v>232</v>
      </c>
      <c r="D3512" s="112" t="s">
        <v>228</v>
      </c>
      <c r="E3512" s="113" t="s">
        <v>130</v>
      </c>
      <c r="F3512" s="114" t="s">
        <v>15</v>
      </c>
      <c r="G3512" s="115" t="s">
        <v>42</v>
      </c>
      <c r="H3512" s="116">
        <v>19.8</v>
      </c>
      <c r="I3512" s="125">
        <v>12</v>
      </c>
      <c r="J3512" s="111">
        <v>13</v>
      </c>
      <c r="K3512" s="117">
        <f t="shared" si="406"/>
        <v>3.0888</v>
      </c>
      <c r="L3512" s="118"/>
      <c r="M3512" s="111">
        <v>13</v>
      </c>
      <c r="N3512" s="117">
        <f t="shared" si="407"/>
        <v>3.0888</v>
      </c>
      <c r="O3512" s="119">
        <f t="shared" si="408"/>
        <v>0</v>
      </c>
      <c r="P3512" s="120">
        <f t="shared" si="409"/>
        <v>0</v>
      </c>
      <c r="Q3512" s="159"/>
      <c r="R3512" s="32"/>
      <c r="S3512" s="213"/>
    </row>
    <row r="3513" spans="2:19" ht="15.6">
      <c r="B3513" s="110" t="s">
        <v>365</v>
      </c>
      <c r="C3513" s="111" t="s">
        <v>232</v>
      </c>
      <c r="D3513" s="112" t="s">
        <v>228</v>
      </c>
      <c r="E3513" s="113" t="s">
        <v>130</v>
      </c>
      <c r="F3513" s="114" t="s">
        <v>15</v>
      </c>
      <c r="G3513" s="115" t="s">
        <v>42</v>
      </c>
      <c r="H3513" s="116">
        <v>19.8</v>
      </c>
      <c r="I3513" s="125">
        <v>11.9</v>
      </c>
      <c r="J3513" s="111">
        <v>12</v>
      </c>
      <c r="K3513" s="117">
        <f t="shared" si="406"/>
        <v>2.8274400000000002</v>
      </c>
      <c r="L3513" s="118"/>
      <c r="M3513" s="111">
        <v>12</v>
      </c>
      <c r="N3513" s="117">
        <f t="shared" si="407"/>
        <v>2.8274400000000006</v>
      </c>
      <c r="O3513" s="119">
        <f t="shared" si="408"/>
        <v>0</v>
      </c>
      <c r="P3513" s="120">
        <f t="shared" si="409"/>
        <v>0</v>
      </c>
      <c r="Q3513" s="159"/>
      <c r="R3513" s="32"/>
      <c r="S3513" s="213"/>
    </row>
    <row r="3514" spans="2:19" ht="15.6">
      <c r="B3514" s="110" t="s">
        <v>365</v>
      </c>
      <c r="C3514" s="111" t="s">
        <v>232</v>
      </c>
      <c r="D3514" s="112" t="s">
        <v>228</v>
      </c>
      <c r="E3514" s="113" t="s">
        <v>130</v>
      </c>
      <c r="F3514" s="114" t="s">
        <v>15</v>
      </c>
      <c r="G3514" s="115" t="s">
        <v>42</v>
      </c>
      <c r="H3514" s="116">
        <v>19.8</v>
      </c>
      <c r="I3514" s="125">
        <v>11.3</v>
      </c>
      <c r="J3514" s="111">
        <v>1</v>
      </c>
      <c r="K3514" s="117">
        <f t="shared" si="406"/>
        <v>0.22374000000000002</v>
      </c>
      <c r="L3514" s="118"/>
      <c r="M3514" s="111">
        <v>1</v>
      </c>
      <c r="N3514" s="117">
        <f t="shared" si="407"/>
        <v>0.22374000000000002</v>
      </c>
      <c r="O3514" s="119">
        <f t="shared" si="408"/>
        <v>0</v>
      </c>
      <c r="P3514" s="120">
        <f>I3514*O3514*H3514/1000</f>
        <v>0</v>
      </c>
      <c r="Q3514" s="75">
        <v>9.5</v>
      </c>
      <c r="R3514" s="72">
        <v>1</v>
      </c>
      <c r="S3514" s="77" t="s">
        <v>598</v>
      </c>
    </row>
    <row r="3515" spans="2:19" ht="15.6">
      <c r="B3515" s="110" t="s">
        <v>365</v>
      </c>
      <c r="C3515" s="111" t="s">
        <v>232</v>
      </c>
      <c r="D3515" s="112" t="s">
        <v>228</v>
      </c>
      <c r="E3515" s="113" t="s">
        <v>130</v>
      </c>
      <c r="F3515" s="114" t="s">
        <v>15</v>
      </c>
      <c r="G3515" s="115" t="s">
        <v>42</v>
      </c>
      <c r="H3515" s="116">
        <v>19.8</v>
      </c>
      <c r="I3515" s="125">
        <v>11.4</v>
      </c>
      <c r="J3515" s="111">
        <v>1</v>
      </c>
      <c r="K3515" s="117">
        <f t="shared" si="406"/>
        <v>0.22572000000000003</v>
      </c>
      <c r="L3515" s="118"/>
      <c r="M3515" s="111">
        <v>1</v>
      </c>
      <c r="N3515" s="117">
        <f t="shared" si="407"/>
        <v>0.22572000000000003</v>
      </c>
      <c r="O3515" s="119">
        <f t="shared" si="408"/>
        <v>0</v>
      </c>
      <c r="P3515" s="120">
        <f>I3515*O3515*H3515/1000</f>
        <v>0</v>
      </c>
      <c r="Q3515" s="75">
        <v>9.5</v>
      </c>
      <c r="R3515" s="72">
        <v>1</v>
      </c>
      <c r="S3515" s="77" t="s">
        <v>598</v>
      </c>
    </row>
    <row r="3516" spans="2:19" ht="15.6">
      <c r="B3516" s="110" t="s">
        <v>365</v>
      </c>
      <c r="C3516" s="111" t="s">
        <v>232</v>
      </c>
      <c r="D3516" s="112" t="s">
        <v>228</v>
      </c>
      <c r="E3516" s="113" t="s">
        <v>130</v>
      </c>
      <c r="F3516" s="114" t="s">
        <v>15</v>
      </c>
      <c r="G3516" s="115" t="s">
        <v>42</v>
      </c>
      <c r="H3516" s="116">
        <v>19.8</v>
      </c>
      <c r="I3516" s="125">
        <v>11.8</v>
      </c>
      <c r="J3516" s="111">
        <v>1</v>
      </c>
      <c r="K3516" s="117">
        <f t="shared" si="406"/>
        <v>0.23364000000000001</v>
      </c>
      <c r="L3516" s="118"/>
      <c r="M3516" s="111">
        <v>1</v>
      </c>
      <c r="N3516" s="117">
        <f t="shared" si="407"/>
        <v>0.23364000000000001</v>
      </c>
      <c r="O3516" s="119">
        <f t="shared" si="408"/>
        <v>0</v>
      </c>
      <c r="P3516" s="120">
        <f>I3516*O3516*H3516/1000</f>
        <v>0</v>
      </c>
      <c r="Q3516" s="130"/>
      <c r="R3516" s="123">
        <f>SUM(R3514:R3515)</f>
        <v>2</v>
      </c>
      <c r="S3516" s="213"/>
    </row>
    <row r="3521" spans="2:19" ht="15.6">
      <c r="B3521" s="110" t="s">
        <v>547</v>
      </c>
      <c r="C3521" s="111" t="s">
        <v>505</v>
      </c>
      <c r="D3521" s="112" t="s">
        <v>449</v>
      </c>
      <c r="E3521" s="113" t="s">
        <v>130</v>
      </c>
      <c r="F3521" s="114" t="s">
        <v>15</v>
      </c>
      <c r="G3521" s="115" t="s">
        <v>49</v>
      </c>
      <c r="H3521" s="116">
        <v>17.82</v>
      </c>
      <c r="I3521" s="125">
        <v>11.6</v>
      </c>
      <c r="J3521" s="111">
        <v>15</v>
      </c>
      <c r="K3521" s="117">
        <f t="shared" ref="K3521:K3576" si="410">I3521*H3521*J3521/1000</f>
        <v>3.1006799999999997</v>
      </c>
      <c r="L3521" s="32"/>
      <c r="M3521" s="32">
        <v>15</v>
      </c>
      <c r="N3521" s="117">
        <f t="shared" ref="N3521:N3576" si="411">I3521*M3521*H3521/1000</f>
        <v>3.1006799999999997</v>
      </c>
      <c r="O3521" s="119">
        <f t="shared" ref="O3521:O3576" si="412">J3521-M3521</f>
        <v>0</v>
      </c>
      <c r="P3521" s="120">
        <f t="shared" ref="P3521:P3576" si="413">I3521*O3521*H3521/1000</f>
        <v>0</v>
      </c>
      <c r="Q3521" s="111"/>
      <c r="R3521" s="32"/>
      <c r="S3521" s="213"/>
    </row>
    <row r="3522" spans="2:19" ht="15.6">
      <c r="B3522" s="110" t="s">
        <v>547</v>
      </c>
      <c r="C3522" s="111" t="s">
        <v>505</v>
      </c>
      <c r="D3522" s="112" t="s">
        <v>449</v>
      </c>
      <c r="E3522" s="113" t="s">
        <v>130</v>
      </c>
      <c r="F3522" s="114" t="s">
        <v>15</v>
      </c>
      <c r="G3522" s="115" t="s">
        <v>49</v>
      </c>
      <c r="H3522" s="116">
        <v>17.82</v>
      </c>
      <c r="I3522" s="125">
        <v>11.6</v>
      </c>
      <c r="J3522" s="111">
        <v>15</v>
      </c>
      <c r="K3522" s="117">
        <f t="shared" si="410"/>
        <v>3.1006799999999997</v>
      </c>
      <c r="L3522" s="32"/>
      <c r="M3522" s="32">
        <v>15</v>
      </c>
      <c r="N3522" s="117">
        <f t="shared" si="411"/>
        <v>3.1006799999999997</v>
      </c>
      <c r="O3522" s="119">
        <f t="shared" si="412"/>
        <v>0</v>
      </c>
      <c r="P3522" s="120">
        <f t="shared" si="413"/>
        <v>0</v>
      </c>
      <c r="Q3522" s="111"/>
      <c r="R3522" s="32"/>
      <c r="S3522" s="213"/>
    </row>
    <row r="3523" spans="2:19" ht="15.6">
      <c r="B3523" s="110" t="s">
        <v>547</v>
      </c>
      <c r="C3523" s="111" t="s">
        <v>505</v>
      </c>
      <c r="D3523" s="112" t="s">
        <v>449</v>
      </c>
      <c r="E3523" s="113" t="s">
        <v>130</v>
      </c>
      <c r="F3523" s="114" t="s">
        <v>15</v>
      </c>
      <c r="G3523" s="115" t="s">
        <v>49</v>
      </c>
      <c r="H3523" s="116">
        <v>17.82</v>
      </c>
      <c r="I3523" s="125">
        <v>9.5</v>
      </c>
      <c r="J3523" s="111">
        <v>19</v>
      </c>
      <c r="K3523" s="117">
        <f t="shared" si="410"/>
        <v>3.21651</v>
      </c>
      <c r="L3523" s="32"/>
      <c r="M3523" s="32">
        <v>19</v>
      </c>
      <c r="N3523" s="117">
        <f t="shared" si="411"/>
        <v>3.2165100000000004</v>
      </c>
      <c r="O3523" s="119">
        <f t="shared" si="412"/>
        <v>0</v>
      </c>
      <c r="P3523" s="120">
        <f t="shared" si="413"/>
        <v>0</v>
      </c>
      <c r="Q3523" s="111"/>
      <c r="R3523" s="32"/>
      <c r="S3523" s="213"/>
    </row>
    <row r="3524" spans="2:19" ht="15.6">
      <c r="B3524" s="110" t="s">
        <v>547</v>
      </c>
      <c r="C3524" s="111" t="s">
        <v>505</v>
      </c>
      <c r="D3524" s="112" t="s">
        <v>449</v>
      </c>
      <c r="E3524" s="113" t="s">
        <v>130</v>
      </c>
      <c r="F3524" s="114" t="s">
        <v>15</v>
      </c>
      <c r="G3524" s="115" t="s">
        <v>49</v>
      </c>
      <c r="H3524" s="116">
        <v>17.82</v>
      </c>
      <c r="I3524" s="125">
        <v>11.6</v>
      </c>
      <c r="J3524" s="111">
        <v>15</v>
      </c>
      <c r="K3524" s="117">
        <f t="shared" si="410"/>
        <v>3.1006799999999997</v>
      </c>
      <c r="L3524" s="32"/>
      <c r="M3524" s="32">
        <v>15</v>
      </c>
      <c r="N3524" s="117">
        <f t="shared" si="411"/>
        <v>3.1006799999999997</v>
      </c>
      <c r="O3524" s="119">
        <f t="shared" si="412"/>
        <v>0</v>
      </c>
      <c r="P3524" s="120">
        <f t="shared" si="413"/>
        <v>0</v>
      </c>
      <c r="Q3524" s="111"/>
      <c r="R3524" s="32"/>
      <c r="S3524" s="213"/>
    </row>
    <row r="3525" spans="2:19" ht="15.6">
      <c r="B3525" s="110" t="s">
        <v>547</v>
      </c>
      <c r="C3525" s="111" t="s">
        <v>505</v>
      </c>
      <c r="D3525" s="112" t="s">
        <v>449</v>
      </c>
      <c r="E3525" s="113" t="s">
        <v>130</v>
      </c>
      <c r="F3525" s="114" t="s">
        <v>15</v>
      </c>
      <c r="G3525" s="115" t="s">
        <v>49</v>
      </c>
      <c r="H3525" s="116">
        <v>17.82</v>
      </c>
      <c r="I3525" s="125">
        <v>11.6</v>
      </c>
      <c r="J3525" s="111">
        <v>15</v>
      </c>
      <c r="K3525" s="117">
        <f t="shared" si="410"/>
        <v>3.1006799999999997</v>
      </c>
      <c r="L3525" s="32"/>
      <c r="M3525" s="32">
        <v>15</v>
      </c>
      <c r="N3525" s="117">
        <f t="shared" si="411"/>
        <v>3.1006799999999997</v>
      </c>
      <c r="O3525" s="119">
        <f t="shared" si="412"/>
        <v>0</v>
      </c>
      <c r="P3525" s="120">
        <f t="shared" si="413"/>
        <v>0</v>
      </c>
      <c r="Q3525" s="111"/>
      <c r="R3525" s="32"/>
      <c r="S3525" s="213"/>
    </row>
    <row r="3526" spans="2:19" ht="15.6">
      <c r="B3526" s="110" t="s">
        <v>547</v>
      </c>
      <c r="C3526" s="111" t="s">
        <v>505</v>
      </c>
      <c r="D3526" s="112" t="s">
        <v>449</v>
      </c>
      <c r="E3526" s="113" t="s">
        <v>130</v>
      </c>
      <c r="F3526" s="114" t="s">
        <v>15</v>
      </c>
      <c r="G3526" s="115" t="s">
        <v>49</v>
      </c>
      <c r="H3526" s="116">
        <v>17.82</v>
      </c>
      <c r="I3526" s="125">
        <v>11.6</v>
      </c>
      <c r="J3526" s="111">
        <v>15</v>
      </c>
      <c r="K3526" s="117">
        <f t="shared" si="410"/>
        <v>3.1006799999999997</v>
      </c>
      <c r="L3526" s="32"/>
      <c r="M3526" s="32">
        <v>15</v>
      </c>
      <c r="N3526" s="117">
        <f t="shared" si="411"/>
        <v>3.1006799999999997</v>
      </c>
      <c r="O3526" s="119">
        <f t="shared" si="412"/>
        <v>0</v>
      </c>
      <c r="P3526" s="120">
        <f t="shared" si="413"/>
        <v>0</v>
      </c>
      <c r="Q3526" s="111"/>
      <c r="R3526" s="32"/>
      <c r="S3526" s="213"/>
    </row>
    <row r="3527" spans="2:19" ht="15.6">
      <c r="B3527" s="110" t="s">
        <v>547</v>
      </c>
      <c r="C3527" s="111" t="s">
        <v>505</v>
      </c>
      <c r="D3527" s="112" t="s">
        <v>449</v>
      </c>
      <c r="E3527" s="113" t="s">
        <v>130</v>
      </c>
      <c r="F3527" s="114" t="s">
        <v>15</v>
      </c>
      <c r="G3527" s="115" t="s">
        <v>49</v>
      </c>
      <c r="H3527" s="116">
        <v>17.82</v>
      </c>
      <c r="I3527" s="125">
        <v>11.6</v>
      </c>
      <c r="J3527" s="111">
        <v>8</v>
      </c>
      <c r="K3527" s="117">
        <f t="shared" si="410"/>
        <v>1.6536959999999998</v>
      </c>
      <c r="L3527" s="32"/>
      <c r="M3527" s="32">
        <v>8</v>
      </c>
      <c r="N3527" s="117">
        <f t="shared" si="411"/>
        <v>1.6536959999999998</v>
      </c>
      <c r="O3527" s="119">
        <f t="shared" si="412"/>
        <v>0</v>
      </c>
      <c r="P3527" s="120">
        <f t="shared" si="413"/>
        <v>0</v>
      </c>
      <c r="Q3527" s="111"/>
      <c r="R3527" s="32"/>
      <c r="S3527" s="213"/>
    </row>
    <row r="3528" spans="2:19" ht="15.6">
      <c r="B3528" s="110" t="s">
        <v>547</v>
      </c>
      <c r="C3528" s="111" t="s">
        <v>505</v>
      </c>
      <c r="D3528" s="112" t="s">
        <v>449</v>
      </c>
      <c r="E3528" s="113" t="s">
        <v>130</v>
      </c>
      <c r="F3528" s="114" t="s">
        <v>15</v>
      </c>
      <c r="G3528" s="115" t="s">
        <v>49</v>
      </c>
      <c r="H3528" s="116">
        <v>17.82</v>
      </c>
      <c r="I3528" s="125">
        <v>9.5</v>
      </c>
      <c r="J3528" s="111">
        <v>15</v>
      </c>
      <c r="K3528" s="117">
        <f t="shared" si="410"/>
        <v>2.5393499999999998</v>
      </c>
      <c r="L3528" s="32"/>
      <c r="M3528" s="32">
        <v>15</v>
      </c>
      <c r="N3528" s="117">
        <f t="shared" si="411"/>
        <v>2.5393499999999998</v>
      </c>
      <c r="O3528" s="119">
        <f t="shared" si="412"/>
        <v>0</v>
      </c>
      <c r="P3528" s="120">
        <f t="shared" si="413"/>
        <v>0</v>
      </c>
      <c r="Q3528" s="111"/>
      <c r="R3528" s="32"/>
      <c r="S3528" s="213"/>
    </row>
    <row r="3529" spans="2:19" ht="15.6">
      <c r="B3529" s="110" t="s">
        <v>547</v>
      </c>
      <c r="C3529" s="111" t="s">
        <v>505</v>
      </c>
      <c r="D3529" s="112" t="s">
        <v>449</v>
      </c>
      <c r="E3529" s="113" t="s">
        <v>130</v>
      </c>
      <c r="F3529" s="114" t="s">
        <v>15</v>
      </c>
      <c r="G3529" s="115" t="s">
        <v>49</v>
      </c>
      <c r="H3529" s="116">
        <v>17.82</v>
      </c>
      <c r="I3529" s="125">
        <v>9.3000000000000007</v>
      </c>
      <c r="J3529" s="111">
        <v>1</v>
      </c>
      <c r="K3529" s="117">
        <f t="shared" si="410"/>
        <v>0.16572600000000004</v>
      </c>
      <c r="L3529" s="32"/>
      <c r="M3529" s="32">
        <v>1</v>
      </c>
      <c r="N3529" s="117">
        <f t="shared" si="411"/>
        <v>0.16572600000000004</v>
      </c>
      <c r="O3529" s="119">
        <f t="shared" si="412"/>
        <v>0</v>
      </c>
      <c r="P3529" s="120">
        <f t="shared" si="413"/>
        <v>0</v>
      </c>
      <c r="Q3529" s="75">
        <v>7.1</v>
      </c>
      <c r="R3529" s="72">
        <v>1</v>
      </c>
      <c r="S3529" s="170" t="s">
        <v>601</v>
      </c>
    </row>
    <row r="3530" spans="2:19" ht="15.6">
      <c r="B3530" s="110" t="s">
        <v>547</v>
      </c>
      <c r="C3530" s="111" t="s">
        <v>505</v>
      </c>
      <c r="D3530" s="112" t="s">
        <v>449</v>
      </c>
      <c r="E3530" s="113" t="s">
        <v>130</v>
      </c>
      <c r="F3530" s="114" t="s">
        <v>15</v>
      </c>
      <c r="G3530" s="115" t="s">
        <v>49</v>
      </c>
      <c r="H3530" s="116">
        <v>17.82</v>
      </c>
      <c r="I3530" s="125">
        <v>9.4</v>
      </c>
      <c r="J3530" s="111">
        <v>2</v>
      </c>
      <c r="K3530" s="117">
        <f t="shared" si="410"/>
        <v>0.33501600000000004</v>
      </c>
      <c r="L3530" s="32"/>
      <c r="M3530" s="32">
        <v>2</v>
      </c>
      <c r="N3530" s="117">
        <f t="shared" si="411"/>
        <v>0.33501600000000004</v>
      </c>
      <c r="O3530" s="119">
        <f t="shared" si="412"/>
        <v>0</v>
      </c>
      <c r="P3530" s="120">
        <f t="shared" si="413"/>
        <v>0</v>
      </c>
      <c r="Q3530" s="75">
        <v>7.1</v>
      </c>
      <c r="R3530" s="72">
        <v>2</v>
      </c>
      <c r="S3530" s="170" t="s">
        <v>601</v>
      </c>
    </row>
    <row r="3531" spans="2:19" ht="15.6">
      <c r="B3531" s="110" t="s">
        <v>547</v>
      </c>
      <c r="C3531" s="111" t="s">
        <v>505</v>
      </c>
      <c r="D3531" s="112" t="s">
        <v>449</v>
      </c>
      <c r="E3531" s="113" t="s">
        <v>130</v>
      </c>
      <c r="F3531" s="114" t="s">
        <v>15</v>
      </c>
      <c r="G3531" s="115" t="s">
        <v>49</v>
      </c>
      <c r="H3531" s="116">
        <v>17.82</v>
      </c>
      <c r="I3531" s="125">
        <v>9.5</v>
      </c>
      <c r="J3531" s="111">
        <v>1</v>
      </c>
      <c r="K3531" s="117">
        <f t="shared" si="410"/>
        <v>0.16929</v>
      </c>
      <c r="L3531" s="32"/>
      <c r="M3531" s="32">
        <v>1</v>
      </c>
      <c r="N3531" s="117">
        <f t="shared" si="411"/>
        <v>0.16929</v>
      </c>
      <c r="O3531" s="119">
        <f t="shared" si="412"/>
        <v>0</v>
      </c>
      <c r="P3531" s="120">
        <f t="shared" si="413"/>
        <v>0</v>
      </c>
      <c r="Q3531" s="111"/>
      <c r="R3531" s="32"/>
      <c r="S3531" s="213"/>
    </row>
    <row r="3532" spans="2:19" ht="15.6">
      <c r="B3532" s="110" t="s">
        <v>547</v>
      </c>
      <c r="C3532" s="111" t="s">
        <v>505</v>
      </c>
      <c r="D3532" s="112" t="s">
        <v>449</v>
      </c>
      <c r="E3532" s="113" t="s">
        <v>130</v>
      </c>
      <c r="F3532" s="114" t="s">
        <v>15</v>
      </c>
      <c r="G3532" s="115" t="s">
        <v>49</v>
      </c>
      <c r="H3532" s="116">
        <v>17.82</v>
      </c>
      <c r="I3532" s="125">
        <v>11.2</v>
      </c>
      <c r="J3532" s="111">
        <v>1</v>
      </c>
      <c r="K3532" s="117">
        <f t="shared" si="410"/>
        <v>0.19958400000000001</v>
      </c>
      <c r="L3532" s="32"/>
      <c r="M3532" s="32"/>
      <c r="N3532" s="117">
        <f t="shared" si="411"/>
        <v>0</v>
      </c>
      <c r="O3532" s="119">
        <f t="shared" si="412"/>
        <v>1</v>
      </c>
      <c r="P3532" s="120">
        <f t="shared" si="413"/>
        <v>0.19958400000000001</v>
      </c>
      <c r="Q3532" s="111"/>
      <c r="R3532" s="32"/>
      <c r="S3532" s="213"/>
    </row>
    <row r="3533" spans="2:19" ht="15.6">
      <c r="B3533" s="110" t="s">
        <v>547</v>
      </c>
      <c r="C3533" s="111" t="s">
        <v>505</v>
      </c>
      <c r="D3533" s="112" t="s">
        <v>449</v>
      </c>
      <c r="E3533" s="113" t="s">
        <v>130</v>
      </c>
      <c r="F3533" s="114" t="s">
        <v>15</v>
      </c>
      <c r="G3533" s="115" t="s">
        <v>49</v>
      </c>
      <c r="H3533" s="116">
        <v>17.82</v>
      </c>
      <c r="I3533" s="125">
        <v>11.3</v>
      </c>
      <c r="J3533" s="111">
        <v>1</v>
      </c>
      <c r="K3533" s="117">
        <f t="shared" si="410"/>
        <v>0.20136600000000002</v>
      </c>
      <c r="L3533" s="32"/>
      <c r="M3533" s="32"/>
      <c r="N3533" s="117">
        <f t="shared" si="411"/>
        <v>0</v>
      </c>
      <c r="O3533" s="119">
        <f t="shared" si="412"/>
        <v>1</v>
      </c>
      <c r="P3533" s="120">
        <f t="shared" si="413"/>
        <v>0.20136600000000002</v>
      </c>
      <c r="Q3533" s="111"/>
      <c r="R3533" s="32"/>
      <c r="S3533" s="213"/>
    </row>
    <row r="3534" spans="2:19" ht="15.6">
      <c r="B3534" s="110" t="s">
        <v>547</v>
      </c>
      <c r="C3534" s="111" t="s">
        <v>505</v>
      </c>
      <c r="D3534" s="112" t="s">
        <v>449</v>
      </c>
      <c r="E3534" s="113" t="s">
        <v>130</v>
      </c>
      <c r="F3534" s="114" t="s">
        <v>15</v>
      </c>
      <c r="G3534" s="115" t="s">
        <v>49</v>
      </c>
      <c r="H3534" s="116">
        <v>17.82</v>
      </c>
      <c r="I3534" s="125">
        <v>11.5</v>
      </c>
      <c r="J3534" s="111">
        <v>1</v>
      </c>
      <c r="K3534" s="117">
        <f t="shared" si="410"/>
        <v>0.20493</v>
      </c>
      <c r="L3534" s="32"/>
      <c r="M3534" s="32"/>
      <c r="N3534" s="117">
        <f t="shared" si="411"/>
        <v>0</v>
      </c>
      <c r="O3534" s="119">
        <f t="shared" si="412"/>
        <v>1</v>
      </c>
      <c r="P3534" s="120">
        <f t="shared" si="413"/>
        <v>0.20493</v>
      </c>
      <c r="Q3534" s="111"/>
      <c r="R3534" s="32"/>
      <c r="S3534" s="213"/>
    </row>
    <row r="3535" spans="2:19" ht="15.6">
      <c r="B3535" s="110" t="s">
        <v>547</v>
      </c>
      <c r="C3535" s="111" t="s">
        <v>505</v>
      </c>
      <c r="D3535" s="112" t="s">
        <v>449</v>
      </c>
      <c r="E3535" s="113" t="s">
        <v>130</v>
      </c>
      <c r="F3535" s="114" t="s">
        <v>15</v>
      </c>
      <c r="G3535" s="115" t="s">
        <v>49</v>
      </c>
      <c r="H3535" s="116">
        <v>17.82</v>
      </c>
      <c r="I3535" s="125">
        <v>9.5</v>
      </c>
      <c r="J3535" s="111">
        <v>18</v>
      </c>
      <c r="K3535" s="117">
        <f t="shared" si="410"/>
        <v>3.0472199999999998</v>
      </c>
      <c r="L3535" s="32"/>
      <c r="M3535" s="32">
        <v>18</v>
      </c>
      <c r="N3535" s="117">
        <f t="shared" si="411"/>
        <v>3.0472200000000003</v>
      </c>
      <c r="O3535" s="119">
        <f t="shared" si="412"/>
        <v>0</v>
      </c>
      <c r="P3535" s="120">
        <f t="shared" si="413"/>
        <v>0</v>
      </c>
      <c r="Q3535" s="111"/>
      <c r="R3535" s="32"/>
      <c r="S3535" s="213"/>
    </row>
    <row r="3536" spans="2:19" ht="15.6">
      <c r="B3536" s="110" t="s">
        <v>547</v>
      </c>
      <c r="C3536" s="111" t="s">
        <v>505</v>
      </c>
      <c r="D3536" s="112" t="s">
        <v>449</v>
      </c>
      <c r="E3536" s="113" t="s">
        <v>130</v>
      </c>
      <c r="F3536" s="114" t="s">
        <v>15</v>
      </c>
      <c r="G3536" s="115" t="s">
        <v>49</v>
      </c>
      <c r="H3536" s="116">
        <v>17.82</v>
      </c>
      <c r="I3536" s="125">
        <v>9.5</v>
      </c>
      <c r="J3536" s="111">
        <v>18</v>
      </c>
      <c r="K3536" s="117">
        <f t="shared" si="410"/>
        <v>3.0472199999999998</v>
      </c>
      <c r="L3536" s="32"/>
      <c r="M3536" s="32">
        <v>18</v>
      </c>
      <c r="N3536" s="117">
        <f t="shared" si="411"/>
        <v>3.0472200000000003</v>
      </c>
      <c r="O3536" s="119">
        <f t="shared" si="412"/>
        <v>0</v>
      </c>
      <c r="P3536" s="120">
        <f t="shared" si="413"/>
        <v>0</v>
      </c>
      <c r="Q3536" s="111"/>
      <c r="R3536" s="32"/>
      <c r="S3536" s="213"/>
    </row>
    <row r="3537" spans="2:19" ht="15.6">
      <c r="B3537" s="110" t="s">
        <v>547</v>
      </c>
      <c r="C3537" s="111" t="s">
        <v>505</v>
      </c>
      <c r="D3537" s="112" t="s">
        <v>449</v>
      </c>
      <c r="E3537" s="113" t="s">
        <v>130</v>
      </c>
      <c r="F3537" s="114" t="s">
        <v>15</v>
      </c>
      <c r="G3537" s="115" t="s">
        <v>49</v>
      </c>
      <c r="H3537" s="116">
        <v>17.82</v>
      </c>
      <c r="I3537" s="125">
        <v>9.5</v>
      </c>
      <c r="J3537" s="111">
        <v>6</v>
      </c>
      <c r="K3537" s="117">
        <f t="shared" si="410"/>
        <v>1.0157400000000001</v>
      </c>
      <c r="L3537" s="32"/>
      <c r="M3537" s="32">
        <v>6</v>
      </c>
      <c r="N3537" s="117">
        <f t="shared" si="411"/>
        <v>1.0157400000000001</v>
      </c>
      <c r="O3537" s="119">
        <f t="shared" si="412"/>
        <v>0</v>
      </c>
      <c r="P3537" s="120">
        <f t="shared" si="413"/>
        <v>0</v>
      </c>
      <c r="Q3537" s="111"/>
      <c r="R3537" s="32"/>
      <c r="S3537" s="213"/>
    </row>
    <row r="3538" spans="2:19" ht="15.6">
      <c r="B3538" s="110" t="s">
        <v>547</v>
      </c>
      <c r="C3538" s="111" t="s">
        <v>505</v>
      </c>
      <c r="D3538" s="112" t="s">
        <v>449</v>
      </c>
      <c r="E3538" s="113" t="s">
        <v>130</v>
      </c>
      <c r="F3538" s="114" t="s">
        <v>15</v>
      </c>
      <c r="G3538" s="115" t="s">
        <v>49</v>
      </c>
      <c r="H3538" s="116">
        <v>17.82</v>
      </c>
      <c r="I3538" s="125">
        <v>11.6</v>
      </c>
      <c r="J3538" s="111">
        <v>7</v>
      </c>
      <c r="K3538" s="117">
        <f t="shared" si="410"/>
        <v>1.4469839999999998</v>
      </c>
      <c r="L3538" s="32"/>
      <c r="M3538" s="32">
        <v>7</v>
      </c>
      <c r="N3538" s="117">
        <f t="shared" si="411"/>
        <v>1.446984</v>
      </c>
      <c r="O3538" s="119">
        <f t="shared" si="412"/>
        <v>0</v>
      </c>
      <c r="P3538" s="120">
        <f t="shared" si="413"/>
        <v>0</v>
      </c>
      <c r="Q3538" s="111"/>
      <c r="R3538" s="32"/>
      <c r="S3538" s="213"/>
    </row>
    <row r="3539" spans="2:19" ht="15.6">
      <c r="B3539" s="110" t="s">
        <v>547</v>
      </c>
      <c r="C3539" s="111" t="s">
        <v>505</v>
      </c>
      <c r="D3539" s="112" t="s">
        <v>449</v>
      </c>
      <c r="E3539" s="113" t="s">
        <v>130</v>
      </c>
      <c r="F3539" s="114" t="s">
        <v>15</v>
      </c>
      <c r="G3539" s="115" t="s">
        <v>49</v>
      </c>
      <c r="H3539" s="116">
        <v>17.82</v>
      </c>
      <c r="I3539" s="125">
        <v>11.6</v>
      </c>
      <c r="J3539" s="111">
        <v>15</v>
      </c>
      <c r="K3539" s="117">
        <f t="shared" si="410"/>
        <v>3.1006799999999997</v>
      </c>
      <c r="L3539" s="32"/>
      <c r="M3539" s="32">
        <v>15</v>
      </c>
      <c r="N3539" s="117">
        <f t="shared" si="411"/>
        <v>3.1006799999999997</v>
      </c>
      <c r="O3539" s="119">
        <f t="shared" si="412"/>
        <v>0</v>
      </c>
      <c r="P3539" s="120">
        <f t="shared" si="413"/>
        <v>0</v>
      </c>
      <c r="Q3539" s="111"/>
      <c r="R3539" s="32"/>
      <c r="S3539" s="213"/>
    </row>
    <row r="3540" spans="2:19" ht="15.6">
      <c r="B3540" s="110" t="s">
        <v>547</v>
      </c>
      <c r="C3540" s="111" t="s">
        <v>505</v>
      </c>
      <c r="D3540" s="112" t="s">
        <v>449</v>
      </c>
      <c r="E3540" s="113" t="s">
        <v>130</v>
      </c>
      <c r="F3540" s="114" t="s">
        <v>15</v>
      </c>
      <c r="G3540" s="115" t="s">
        <v>49</v>
      </c>
      <c r="H3540" s="116">
        <v>17.82</v>
      </c>
      <c r="I3540" s="125">
        <v>11.6</v>
      </c>
      <c r="J3540" s="111">
        <v>15</v>
      </c>
      <c r="K3540" s="117">
        <f t="shared" si="410"/>
        <v>3.1006799999999997</v>
      </c>
      <c r="L3540" s="32"/>
      <c r="M3540" s="32">
        <v>15</v>
      </c>
      <c r="N3540" s="117">
        <f t="shared" si="411"/>
        <v>3.1006799999999997</v>
      </c>
      <c r="O3540" s="119">
        <f t="shared" si="412"/>
        <v>0</v>
      </c>
      <c r="P3540" s="120">
        <f t="shared" si="413"/>
        <v>0</v>
      </c>
      <c r="Q3540" s="111"/>
      <c r="R3540" s="32"/>
      <c r="S3540" s="213"/>
    </row>
    <row r="3541" spans="2:19" ht="15.6">
      <c r="B3541" s="110" t="s">
        <v>547</v>
      </c>
      <c r="C3541" s="111" t="s">
        <v>505</v>
      </c>
      <c r="D3541" s="112" t="s">
        <v>449</v>
      </c>
      <c r="E3541" s="113" t="s">
        <v>130</v>
      </c>
      <c r="F3541" s="114" t="s">
        <v>15</v>
      </c>
      <c r="G3541" s="115" t="s">
        <v>49</v>
      </c>
      <c r="H3541" s="116">
        <v>17.82</v>
      </c>
      <c r="I3541" s="126">
        <v>9.5</v>
      </c>
      <c r="J3541" s="321">
        <v>10</v>
      </c>
      <c r="K3541" s="117">
        <f t="shared" si="410"/>
        <v>1.6928999999999998</v>
      </c>
      <c r="L3541" s="32"/>
      <c r="M3541" s="32">
        <v>10</v>
      </c>
      <c r="N3541" s="117">
        <f t="shared" si="411"/>
        <v>1.6929000000000001</v>
      </c>
      <c r="O3541" s="119">
        <f t="shared" si="412"/>
        <v>0</v>
      </c>
      <c r="P3541" s="120">
        <f t="shared" si="413"/>
        <v>0</v>
      </c>
      <c r="Q3541" s="111"/>
      <c r="R3541" s="32"/>
      <c r="S3541" s="213"/>
    </row>
    <row r="3542" spans="2:19" ht="15.6">
      <c r="B3542" s="110" t="s">
        <v>547</v>
      </c>
      <c r="C3542" s="111" t="s">
        <v>505</v>
      </c>
      <c r="D3542" s="112" t="s">
        <v>449</v>
      </c>
      <c r="E3542" s="113" t="s">
        <v>130</v>
      </c>
      <c r="F3542" s="114" t="s">
        <v>15</v>
      </c>
      <c r="G3542" s="115" t="s">
        <v>49</v>
      </c>
      <c r="H3542" s="116">
        <v>17.82</v>
      </c>
      <c r="I3542" s="126">
        <v>11.6</v>
      </c>
      <c r="J3542" s="321">
        <v>11</v>
      </c>
      <c r="K3542" s="117">
        <f t="shared" si="410"/>
        <v>2.2738320000000001</v>
      </c>
      <c r="L3542" s="32"/>
      <c r="M3542" s="32">
        <v>11</v>
      </c>
      <c r="N3542" s="117">
        <f t="shared" si="411"/>
        <v>2.2738320000000001</v>
      </c>
      <c r="O3542" s="119">
        <f t="shared" si="412"/>
        <v>0</v>
      </c>
      <c r="P3542" s="120">
        <f t="shared" si="413"/>
        <v>0</v>
      </c>
      <c r="Q3542" s="111"/>
      <c r="R3542" s="32"/>
      <c r="S3542" s="213"/>
    </row>
    <row r="3543" spans="2:19" ht="15.6">
      <c r="B3543" s="110" t="s">
        <v>547</v>
      </c>
      <c r="C3543" s="111" t="s">
        <v>505</v>
      </c>
      <c r="D3543" s="112" t="s">
        <v>449</v>
      </c>
      <c r="E3543" s="113" t="s">
        <v>130</v>
      </c>
      <c r="F3543" s="114" t="s">
        <v>15</v>
      </c>
      <c r="G3543" s="115" t="s">
        <v>49</v>
      </c>
      <c r="H3543" s="116">
        <v>17.82</v>
      </c>
      <c r="I3543" s="126">
        <v>12</v>
      </c>
      <c r="J3543" s="321">
        <v>4</v>
      </c>
      <c r="K3543" s="117">
        <f t="shared" si="410"/>
        <v>0.85536000000000001</v>
      </c>
      <c r="L3543" s="32"/>
      <c r="M3543" s="32">
        <v>4</v>
      </c>
      <c r="N3543" s="117">
        <f t="shared" si="411"/>
        <v>0.85536000000000001</v>
      </c>
      <c r="O3543" s="119">
        <f t="shared" si="412"/>
        <v>0</v>
      </c>
      <c r="P3543" s="120">
        <f t="shared" si="413"/>
        <v>0</v>
      </c>
      <c r="Q3543" s="111"/>
      <c r="R3543" s="32"/>
      <c r="S3543" s="213"/>
    </row>
    <row r="3544" spans="2:19" ht="15.6">
      <c r="B3544" s="110" t="s">
        <v>547</v>
      </c>
      <c r="C3544" s="111" t="s">
        <v>505</v>
      </c>
      <c r="D3544" s="112" t="s">
        <v>449</v>
      </c>
      <c r="E3544" s="113" t="s">
        <v>130</v>
      </c>
      <c r="F3544" s="114" t="s">
        <v>15</v>
      </c>
      <c r="G3544" s="115" t="s">
        <v>49</v>
      </c>
      <c r="H3544" s="116">
        <v>17.82</v>
      </c>
      <c r="I3544" s="126">
        <v>9.5</v>
      </c>
      <c r="J3544" s="321">
        <v>10</v>
      </c>
      <c r="K3544" s="117">
        <f t="shared" si="410"/>
        <v>1.6928999999999998</v>
      </c>
      <c r="L3544" s="32"/>
      <c r="M3544" s="32">
        <v>10</v>
      </c>
      <c r="N3544" s="117">
        <f t="shared" si="411"/>
        <v>1.6929000000000001</v>
      </c>
      <c r="O3544" s="119">
        <f t="shared" si="412"/>
        <v>0</v>
      </c>
      <c r="P3544" s="120">
        <f t="shared" si="413"/>
        <v>0</v>
      </c>
      <c r="Q3544" s="111"/>
      <c r="R3544" s="32"/>
      <c r="S3544" s="213"/>
    </row>
    <row r="3545" spans="2:19" ht="15.6">
      <c r="B3545" s="110" t="s">
        <v>547</v>
      </c>
      <c r="C3545" s="111" t="s">
        <v>505</v>
      </c>
      <c r="D3545" s="112" t="s">
        <v>449</v>
      </c>
      <c r="E3545" s="113" t="s">
        <v>130</v>
      </c>
      <c r="F3545" s="114" t="s">
        <v>15</v>
      </c>
      <c r="G3545" s="115" t="s">
        <v>49</v>
      </c>
      <c r="H3545" s="116">
        <v>17.82</v>
      </c>
      <c r="I3545" s="126">
        <v>9</v>
      </c>
      <c r="J3545" s="321">
        <v>1</v>
      </c>
      <c r="K3545" s="117">
        <f t="shared" si="410"/>
        <v>0.16037999999999999</v>
      </c>
      <c r="L3545" s="32"/>
      <c r="M3545" s="32">
        <v>1</v>
      </c>
      <c r="N3545" s="117">
        <f t="shared" si="411"/>
        <v>0.16037999999999999</v>
      </c>
      <c r="O3545" s="119">
        <f t="shared" si="412"/>
        <v>0</v>
      </c>
      <c r="P3545" s="120">
        <f t="shared" si="413"/>
        <v>0</v>
      </c>
      <c r="Q3545" s="79">
        <v>7.1</v>
      </c>
      <c r="R3545" s="72">
        <v>1</v>
      </c>
      <c r="S3545" s="170" t="s">
        <v>601</v>
      </c>
    </row>
    <row r="3546" spans="2:19" ht="15.6">
      <c r="B3546" s="110" t="s">
        <v>547</v>
      </c>
      <c r="C3546" s="111" t="s">
        <v>505</v>
      </c>
      <c r="D3546" s="112" t="s">
        <v>449</v>
      </c>
      <c r="E3546" s="113" t="s">
        <v>130</v>
      </c>
      <c r="F3546" s="114" t="s">
        <v>15</v>
      </c>
      <c r="G3546" s="115" t="s">
        <v>49</v>
      </c>
      <c r="H3546" s="116">
        <v>17.82</v>
      </c>
      <c r="I3546" s="126">
        <v>9.1999999999999993</v>
      </c>
      <c r="J3546" s="321">
        <v>2</v>
      </c>
      <c r="K3546" s="117">
        <f t="shared" si="410"/>
        <v>0.32788799999999996</v>
      </c>
      <c r="L3546" s="32"/>
      <c r="M3546" s="32">
        <v>2</v>
      </c>
      <c r="N3546" s="117">
        <f t="shared" si="411"/>
        <v>0.32788799999999996</v>
      </c>
      <c r="O3546" s="119">
        <f t="shared" si="412"/>
        <v>0</v>
      </c>
      <c r="P3546" s="120">
        <f t="shared" si="413"/>
        <v>0</v>
      </c>
      <c r="Q3546" s="79">
        <v>7.1</v>
      </c>
      <c r="R3546" s="72">
        <v>2</v>
      </c>
      <c r="S3546" s="170" t="s">
        <v>601</v>
      </c>
    </row>
    <row r="3547" spans="2:19" ht="15.6">
      <c r="B3547" s="110" t="s">
        <v>547</v>
      </c>
      <c r="C3547" s="111" t="s">
        <v>505</v>
      </c>
      <c r="D3547" s="112" t="s">
        <v>449</v>
      </c>
      <c r="E3547" s="113" t="s">
        <v>130</v>
      </c>
      <c r="F3547" s="114" t="s">
        <v>15</v>
      </c>
      <c r="G3547" s="115" t="s">
        <v>49</v>
      </c>
      <c r="H3547" s="116">
        <v>17.82</v>
      </c>
      <c r="I3547" s="126">
        <v>11</v>
      </c>
      <c r="J3547" s="321">
        <v>1</v>
      </c>
      <c r="K3547" s="117">
        <f t="shared" si="410"/>
        <v>0.19602</v>
      </c>
      <c r="L3547" s="32"/>
      <c r="M3547" s="32"/>
      <c r="N3547" s="117">
        <f t="shared" si="411"/>
        <v>0</v>
      </c>
      <c r="O3547" s="119">
        <f t="shared" si="412"/>
        <v>1</v>
      </c>
      <c r="P3547" s="120">
        <f t="shared" si="413"/>
        <v>0.19602</v>
      </c>
      <c r="Q3547" s="111"/>
      <c r="R3547" s="32"/>
      <c r="S3547" s="213"/>
    </row>
    <row r="3548" spans="2:19" ht="15.6">
      <c r="B3548" s="110" t="s">
        <v>547</v>
      </c>
      <c r="C3548" s="111" t="s">
        <v>505</v>
      </c>
      <c r="D3548" s="112" t="s">
        <v>449</v>
      </c>
      <c r="E3548" s="113" t="s">
        <v>130</v>
      </c>
      <c r="F3548" s="114" t="s">
        <v>15</v>
      </c>
      <c r="G3548" s="115" t="s">
        <v>49</v>
      </c>
      <c r="H3548" s="116">
        <v>17.82</v>
      </c>
      <c r="I3548" s="126">
        <v>11.3</v>
      </c>
      <c r="J3548" s="321">
        <v>6</v>
      </c>
      <c r="K3548" s="117">
        <f t="shared" si="410"/>
        <v>1.208196</v>
      </c>
      <c r="L3548" s="32"/>
      <c r="M3548" s="32"/>
      <c r="N3548" s="117">
        <f t="shared" si="411"/>
        <v>0</v>
      </c>
      <c r="O3548" s="119">
        <f t="shared" si="412"/>
        <v>6</v>
      </c>
      <c r="P3548" s="120">
        <f t="shared" si="413"/>
        <v>1.208196</v>
      </c>
      <c r="Q3548" s="111"/>
      <c r="R3548" s="32"/>
      <c r="S3548" s="213"/>
    </row>
    <row r="3549" spans="2:19" ht="15.6">
      <c r="B3549" s="110" t="s">
        <v>547</v>
      </c>
      <c r="C3549" s="111" t="s">
        <v>505</v>
      </c>
      <c r="D3549" s="112" t="s">
        <v>449</v>
      </c>
      <c r="E3549" s="113" t="s">
        <v>130</v>
      </c>
      <c r="F3549" s="114" t="s">
        <v>15</v>
      </c>
      <c r="G3549" s="115" t="s">
        <v>49</v>
      </c>
      <c r="H3549" s="116">
        <v>17.82</v>
      </c>
      <c r="I3549" s="126">
        <v>9.5</v>
      </c>
      <c r="J3549" s="321">
        <v>3</v>
      </c>
      <c r="K3549" s="117">
        <f t="shared" si="410"/>
        <v>0.50787000000000004</v>
      </c>
      <c r="L3549" s="32"/>
      <c r="M3549" s="32">
        <v>3</v>
      </c>
      <c r="N3549" s="117">
        <f t="shared" si="411"/>
        <v>0.50787000000000004</v>
      </c>
      <c r="O3549" s="119">
        <f t="shared" si="412"/>
        <v>0</v>
      </c>
      <c r="P3549" s="120">
        <f t="shared" si="413"/>
        <v>0</v>
      </c>
      <c r="Q3549" s="111"/>
      <c r="R3549" s="32"/>
      <c r="S3549" s="213"/>
    </row>
    <row r="3550" spans="2:19" ht="15.6">
      <c r="B3550" s="110" t="s">
        <v>547</v>
      </c>
      <c r="C3550" s="111" t="s">
        <v>505</v>
      </c>
      <c r="D3550" s="112" t="s">
        <v>449</v>
      </c>
      <c r="E3550" s="113" t="s">
        <v>130</v>
      </c>
      <c r="F3550" s="114" t="s">
        <v>15</v>
      </c>
      <c r="G3550" s="115" t="s">
        <v>49</v>
      </c>
      <c r="H3550" s="116">
        <v>17.82</v>
      </c>
      <c r="I3550" s="126">
        <v>9.5</v>
      </c>
      <c r="J3550" s="321">
        <v>18</v>
      </c>
      <c r="K3550" s="117">
        <f t="shared" si="410"/>
        <v>3.0472199999999998</v>
      </c>
      <c r="L3550" s="32"/>
      <c r="M3550" s="32">
        <v>18</v>
      </c>
      <c r="N3550" s="117">
        <f t="shared" si="411"/>
        <v>3.0472200000000003</v>
      </c>
      <c r="O3550" s="119">
        <f t="shared" si="412"/>
        <v>0</v>
      </c>
      <c r="P3550" s="120">
        <f t="shared" si="413"/>
        <v>0</v>
      </c>
      <c r="Q3550" s="111"/>
      <c r="R3550" s="32"/>
      <c r="S3550" s="213"/>
    </row>
    <row r="3551" spans="2:19" ht="15.6">
      <c r="B3551" s="110" t="s">
        <v>547</v>
      </c>
      <c r="C3551" s="111" t="s">
        <v>505</v>
      </c>
      <c r="D3551" s="112" t="s">
        <v>449</v>
      </c>
      <c r="E3551" s="113" t="s">
        <v>130</v>
      </c>
      <c r="F3551" s="114" t="s">
        <v>15</v>
      </c>
      <c r="G3551" s="115" t="s">
        <v>49</v>
      </c>
      <c r="H3551" s="116">
        <v>17.82</v>
      </c>
      <c r="I3551" s="126">
        <v>9.5</v>
      </c>
      <c r="J3551" s="321">
        <v>18</v>
      </c>
      <c r="K3551" s="117">
        <f t="shared" si="410"/>
        <v>3.0472199999999998</v>
      </c>
      <c r="L3551" s="32"/>
      <c r="M3551" s="32">
        <v>18</v>
      </c>
      <c r="N3551" s="117">
        <f t="shared" si="411"/>
        <v>3.0472200000000003</v>
      </c>
      <c r="O3551" s="119">
        <f t="shared" si="412"/>
        <v>0</v>
      </c>
      <c r="P3551" s="120">
        <f t="shared" si="413"/>
        <v>0</v>
      </c>
      <c r="Q3551" s="111"/>
      <c r="R3551" s="32"/>
      <c r="S3551" s="213"/>
    </row>
    <row r="3552" spans="2:19" ht="15.6">
      <c r="B3552" s="110" t="s">
        <v>547</v>
      </c>
      <c r="C3552" s="111" t="s">
        <v>505</v>
      </c>
      <c r="D3552" s="112" t="s">
        <v>449</v>
      </c>
      <c r="E3552" s="113" t="s">
        <v>130</v>
      </c>
      <c r="F3552" s="114" t="s">
        <v>15</v>
      </c>
      <c r="G3552" s="115" t="s">
        <v>49</v>
      </c>
      <c r="H3552" s="116">
        <v>17.82</v>
      </c>
      <c r="I3552" s="126">
        <v>9.5</v>
      </c>
      <c r="J3552" s="321">
        <v>9</v>
      </c>
      <c r="K3552" s="117">
        <f t="shared" si="410"/>
        <v>1.5236099999999999</v>
      </c>
      <c r="L3552" s="32"/>
      <c r="M3552" s="32">
        <v>9</v>
      </c>
      <c r="N3552" s="117">
        <f t="shared" si="411"/>
        <v>1.5236100000000001</v>
      </c>
      <c r="O3552" s="119">
        <f t="shared" si="412"/>
        <v>0</v>
      </c>
      <c r="P3552" s="120">
        <f t="shared" si="413"/>
        <v>0</v>
      </c>
      <c r="Q3552" s="111"/>
      <c r="R3552" s="32"/>
      <c r="S3552" s="213"/>
    </row>
    <row r="3553" spans="2:19" ht="15.6">
      <c r="B3553" s="110" t="s">
        <v>547</v>
      </c>
      <c r="C3553" s="111" t="s">
        <v>505</v>
      </c>
      <c r="D3553" s="112" t="s">
        <v>449</v>
      </c>
      <c r="E3553" s="113" t="s">
        <v>130</v>
      </c>
      <c r="F3553" s="114" t="s">
        <v>15</v>
      </c>
      <c r="G3553" s="115" t="s">
        <v>49</v>
      </c>
      <c r="H3553" s="116">
        <v>17.82</v>
      </c>
      <c r="I3553" s="126">
        <v>9.6999999999999993</v>
      </c>
      <c r="J3553" s="321">
        <v>1</v>
      </c>
      <c r="K3553" s="117">
        <f t="shared" si="410"/>
        <v>0.17285399999999998</v>
      </c>
      <c r="L3553" s="32"/>
      <c r="M3553" s="32">
        <v>1</v>
      </c>
      <c r="N3553" s="117">
        <f t="shared" si="411"/>
        <v>0.17285399999999998</v>
      </c>
      <c r="O3553" s="119">
        <f t="shared" si="412"/>
        <v>0</v>
      </c>
      <c r="P3553" s="120">
        <f t="shared" si="413"/>
        <v>0</v>
      </c>
      <c r="Q3553" s="72">
        <v>7.1</v>
      </c>
      <c r="R3553" s="72">
        <v>1</v>
      </c>
      <c r="S3553" s="170" t="s">
        <v>601</v>
      </c>
    </row>
    <row r="3554" spans="2:19" ht="15.6">
      <c r="B3554" s="110" t="s">
        <v>547</v>
      </c>
      <c r="C3554" s="111" t="s">
        <v>505</v>
      </c>
      <c r="D3554" s="112" t="s">
        <v>449</v>
      </c>
      <c r="E3554" s="113" t="s">
        <v>130</v>
      </c>
      <c r="F3554" s="114" t="s">
        <v>15</v>
      </c>
      <c r="G3554" s="115" t="s">
        <v>49</v>
      </c>
      <c r="H3554" s="116">
        <v>17.82</v>
      </c>
      <c r="I3554" s="126">
        <v>12</v>
      </c>
      <c r="J3554" s="321">
        <v>11</v>
      </c>
      <c r="K3554" s="117">
        <f t="shared" si="410"/>
        <v>2.3522400000000001</v>
      </c>
      <c r="L3554" s="32"/>
      <c r="M3554" s="32">
        <f>8+3</f>
        <v>11</v>
      </c>
      <c r="N3554" s="117">
        <f t="shared" si="411"/>
        <v>2.3522400000000001</v>
      </c>
      <c r="O3554" s="119">
        <f t="shared" si="412"/>
        <v>0</v>
      </c>
      <c r="P3554" s="120">
        <f t="shared" si="413"/>
        <v>0</v>
      </c>
      <c r="Q3554" s="111"/>
      <c r="R3554" s="32"/>
      <c r="S3554" s="213"/>
    </row>
    <row r="3555" spans="2:19" ht="15.6">
      <c r="B3555" s="110" t="s">
        <v>547</v>
      </c>
      <c r="C3555" s="111" t="s">
        <v>505</v>
      </c>
      <c r="D3555" s="112" t="s">
        <v>449</v>
      </c>
      <c r="E3555" s="113" t="s">
        <v>130</v>
      </c>
      <c r="F3555" s="114" t="s">
        <v>15</v>
      </c>
      <c r="G3555" s="115" t="s">
        <v>49</v>
      </c>
      <c r="H3555" s="116">
        <v>17.82</v>
      </c>
      <c r="I3555" s="126">
        <v>11.6</v>
      </c>
      <c r="J3555" s="321">
        <v>15</v>
      </c>
      <c r="K3555" s="117">
        <f t="shared" si="410"/>
        <v>3.1006799999999997</v>
      </c>
      <c r="L3555" s="32"/>
      <c r="M3555" s="32">
        <v>15</v>
      </c>
      <c r="N3555" s="117">
        <f t="shared" si="411"/>
        <v>3.1006799999999997</v>
      </c>
      <c r="O3555" s="119">
        <f t="shared" si="412"/>
        <v>0</v>
      </c>
      <c r="P3555" s="120">
        <f t="shared" si="413"/>
        <v>0</v>
      </c>
      <c r="Q3555" s="111"/>
      <c r="R3555" s="32"/>
      <c r="S3555" s="213"/>
    </row>
    <row r="3556" spans="2:19" ht="15.6">
      <c r="B3556" s="110" t="s">
        <v>547</v>
      </c>
      <c r="C3556" s="111" t="s">
        <v>505</v>
      </c>
      <c r="D3556" s="112" t="s">
        <v>449</v>
      </c>
      <c r="E3556" s="113" t="s">
        <v>130</v>
      </c>
      <c r="F3556" s="114" t="s">
        <v>15</v>
      </c>
      <c r="G3556" s="115" t="s">
        <v>49</v>
      </c>
      <c r="H3556" s="116">
        <v>17.82</v>
      </c>
      <c r="I3556" s="126">
        <v>11.6</v>
      </c>
      <c r="J3556" s="321">
        <v>15</v>
      </c>
      <c r="K3556" s="117">
        <f t="shared" si="410"/>
        <v>3.1006799999999997</v>
      </c>
      <c r="L3556" s="32"/>
      <c r="M3556" s="32">
        <v>15</v>
      </c>
      <c r="N3556" s="117">
        <f t="shared" si="411"/>
        <v>3.1006799999999997</v>
      </c>
      <c r="O3556" s="119">
        <f t="shared" si="412"/>
        <v>0</v>
      </c>
      <c r="P3556" s="120">
        <f t="shared" si="413"/>
        <v>0</v>
      </c>
      <c r="Q3556" s="111"/>
      <c r="R3556" s="32"/>
      <c r="S3556" s="213"/>
    </row>
    <row r="3557" spans="2:19" ht="15.6">
      <c r="B3557" s="110" t="s">
        <v>547</v>
      </c>
      <c r="C3557" s="111" t="s">
        <v>505</v>
      </c>
      <c r="D3557" s="112" t="s">
        <v>449</v>
      </c>
      <c r="E3557" s="113" t="s">
        <v>130</v>
      </c>
      <c r="F3557" s="114" t="s">
        <v>15</v>
      </c>
      <c r="G3557" s="115" t="s">
        <v>49</v>
      </c>
      <c r="H3557" s="116">
        <v>17.82</v>
      </c>
      <c r="I3557" s="126">
        <v>11.6</v>
      </c>
      <c r="J3557" s="321">
        <v>15</v>
      </c>
      <c r="K3557" s="117">
        <f t="shared" si="410"/>
        <v>3.1006799999999997</v>
      </c>
      <c r="L3557" s="32"/>
      <c r="M3557" s="32">
        <v>15</v>
      </c>
      <c r="N3557" s="117">
        <f t="shared" si="411"/>
        <v>3.1006799999999997</v>
      </c>
      <c r="O3557" s="119">
        <f t="shared" si="412"/>
        <v>0</v>
      </c>
      <c r="P3557" s="120">
        <f t="shared" si="413"/>
        <v>0</v>
      </c>
      <c r="Q3557" s="111"/>
      <c r="R3557" s="32"/>
      <c r="S3557" s="213"/>
    </row>
    <row r="3558" spans="2:19" ht="15.6">
      <c r="B3558" s="110" t="s">
        <v>547</v>
      </c>
      <c r="C3558" s="111" t="s">
        <v>505</v>
      </c>
      <c r="D3558" s="112" t="s">
        <v>449</v>
      </c>
      <c r="E3558" s="113" t="s">
        <v>130</v>
      </c>
      <c r="F3558" s="114" t="s">
        <v>15</v>
      </c>
      <c r="G3558" s="115" t="s">
        <v>49</v>
      </c>
      <c r="H3558" s="116">
        <v>17.82</v>
      </c>
      <c r="I3558" s="126">
        <v>11.6</v>
      </c>
      <c r="J3558" s="321">
        <v>15</v>
      </c>
      <c r="K3558" s="117">
        <f t="shared" si="410"/>
        <v>3.1006799999999997</v>
      </c>
      <c r="L3558" s="32"/>
      <c r="M3558" s="32">
        <v>15</v>
      </c>
      <c r="N3558" s="117">
        <f t="shared" si="411"/>
        <v>3.1006799999999997</v>
      </c>
      <c r="O3558" s="119">
        <f t="shared" si="412"/>
        <v>0</v>
      </c>
      <c r="P3558" s="120">
        <f t="shared" si="413"/>
        <v>0</v>
      </c>
      <c r="Q3558" s="111"/>
      <c r="R3558" s="32"/>
      <c r="S3558" s="213"/>
    </row>
    <row r="3559" spans="2:19" ht="15.6">
      <c r="B3559" s="110" t="s">
        <v>547</v>
      </c>
      <c r="C3559" s="111" t="s">
        <v>505</v>
      </c>
      <c r="D3559" s="112" t="s">
        <v>449</v>
      </c>
      <c r="E3559" s="113" t="s">
        <v>130</v>
      </c>
      <c r="F3559" s="114" t="s">
        <v>15</v>
      </c>
      <c r="G3559" s="115" t="s">
        <v>49</v>
      </c>
      <c r="H3559" s="116">
        <v>17.82</v>
      </c>
      <c r="I3559" s="126">
        <v>11.6</v>
      </c>
      <c r="J3559" s="321">
        <v>15</v>
      </c>
      <c r="K3559" s="117">
        <f t="shared" si="410"/>
        <v>3.1006799999999997</v>
      </c>
      <c r="L3559" s="32"/>
      <c r="M3559" s="32">
        <v>15</v>
      </c>
      <c r="N3559" s="117">
        <f t="shared" si="411"/>
        <v>3.1006799999999997</v>
      </c>
      <c r="O3559" s="119">
        <f t="shared" si="412"/>
        <v>0</v>
      </c>
      <c r="P3559" s="120">
        <f t="shared" si="413"/>
        <v>0</v>
      </c>
      <c r="Q3559" s="111"/>
      <c r="R3559" s="32"/>
      <c r="S3559" s="213"/>
    </row>
    <row r="3560" spans="2:19" ht="15.6">
      <c r="B3560" s="110" t="s">
        <v>547</v>
      </c>
      <c r="C3560" s="111" t="s">
        <v>505</v>
      </c>
      <c r="D3560" s="112" t="s">
        <v>449</v>
      </c>
      <c r="E3560" s="113" t="s">
        <v>130</v>
      </c>
      <c r="F3560" s="114" t="s">
        <v>15</v>
      </c>
      <c r="G3560" s="115" t="s">
        <v>49</v>
      </c>
      <c r="H3560" s="116">
        <v>17.82</v>
      </c>
      <c r="I3560" s="126">
        <v>11.6</v>
      </c>
      <c r="J3560" s="321">
        <v>15</v>
      </c>
      <c r="K3560" s="117">
        <f t="shared" si="410"/>
        <v>3.1006799999999997</v>
      </c>
      <c r="L3560" s="32"/>
      <c r="M3560" s="32">
        <v>15</v>
      </c>
      <c r="N3560" s="117">
        <f t="shared" si="411"/>
        <v>3.1006799999999997</v>
      </c>
      <c r="O3560" s="119">
        <f t="shared" si="412"/>
        <v>0</v>
      </c>
      <c r="P3560" s="120">
        <f t="shared" si="413"/>
        <v>0</v>
      </c>
      <c r="Q3560" s="111"/>
      <c r="R3560" s="32"/>
      <c r="S3560" s="213"/>
    </row>
    <row r="3561" spans="2:19" ht="15.6">
      <c r="B3561" s="110" t="s">
        <v>547</v>
      </c>
      <c r="C3561" s="111" t="s">
        <v>505</v>
      </c>
      <c r="D3561" s="112" t="s">
        <v>449</v>
      </c>
      <c r="E3561" s="113" t="s">
        <v>130</v>
      </c>
      <c r="F3561" s="114" t="s">
        <v>15</v>
      </c>
      <c r="G3561" s="115" t="s">
        <v>49</v>
      </c>
      <c r="H3561" s="116">
        <v>17.82</v>
      </c>
      <c r="I3561" s="126">
        <v>11.6</v>
      </c>
      <c r="J3561" s="321">
        <v>15</v>
      </c>
      <c r="K3561" s="117">
        <f t="shared" si="410"/>
        <v>3.1006799999999997</v>
      </c>
      <c r="L3561" s="32"/>
      <c r="M3561" s="32">
        <v>15</v>
      </c>
      <c r="N3561" s="117">
        <f t="shared" si="411"/>
        <v>3.1006799999999997</v>
      </c>
      <c r="O3561" s="119">
        <f t="shared" si="412"/>
        <v>0</v>
      </c>
      <c r="P3561" s="120">
        <f t="shared" si="413"/>
        <v>0</v>
      </c>
      <c r="Q3561" s="111"/>
      <c r="R3561" s="32"/>
      <c r="S3561" s="213"/>
    </row>
    <row r="3562" spans="2:19" ht="15.6">
      <c r="B3562" s="110" t="s">
        <v>547</v>
      </c>
      <c r="C3562" s="111" t="s">
        <v>505</v>
      </c>
      <c r="D3562" s="112" t="s">
        <v>449</v>
      </c>
      <c r="E3562" s="113" t="s">
        <v>130</v>
      </c>
      <c r="F3562" s="114" t="s">
        <v>15</v>
      </c>
      <c r="G3562" s="115" t="s">
        <v>49</v>
      </c>
      <c r="H3562" s="116">
        <v>17.82</v>
      </c>
      <c r="I3562" s="126">
        <v>11.6</v>
      </c>
      <c r="J3562" s="321">
        <v>15</v>
      </c>
      <c r="K3562" s="117">
        <f t="shared" si="410"/>
        <v>3.1006799999999997</v>
      </c>
      <c r="L3562" s="32"/>
      <c r="M3562" s="32">
        <v>15</v>
      </c>
      <c r="N3562" s="117">
        <f t="shared" si="411"/>
        <v>3.1006799999999997</v>
      </c>
      <c r="O3562" s="119">
        <f t="shared" si="412"/>
        <v>0</v>
      </c>
      <c r="P3562" s="120">
        <f t="shared" si="413"/>
        <v>0</v>
      </c>
      <c r="Q3562" s="111"/>
      <c r="R3562" s="32"/>
      <c r="S3562" s="213"/>
    </row>
    <row r="3563" spans="2:19" ht="15.6">
      <c r="B3563" s="110" t="s">
        <v>547</v>
      </c>
      <c r="C3563" s="111" t="s">
        <v>505</v>
      </c>
      <c r="D3563" s="112" t="s">
        <v>449</v>
      </c>
      <c r="E3563" s="113" t="s">
        <v>130</v>
      </c>
      <c r="F3563" s="114" t="s">
        <v>15</v>
      </c>
      <c r="G3563" s="115" t="s">
        <v>49</v>
      </c>
      <c r="H3563" s="116">
        <v>17.82</v>
      </c>
      <c r="I3563" s="126">
        <v>11.6</v>
      </c>
      <c r="J3563" s="321">
        <v>15</v>
      </c>
      <c r="K3563" s="117">
        <f t="shared" si="410"/>
        <v>3.1006799999999997</v>
      </c>
      <c r="L3563" s="32"/>
      <c r="M3563" s="32">
        <v>15</v>
      </c>
      <c r="N3563" s="117">
        <f t="shared" si="411"/>
        <v>3.1006799999999997</v>
      </c>
      <c r="O3563" s="119">
        <f t="shared" si="412"/>
        <v>0</v>
      </c>
      <c r="P3563" s="120">
        <f t="shared" si="413"/>
        <v>0</v>
      </c>
      <c r="Q3563" s="111"/>
      <c r="R3563" s="32"/>
      <c r="S3563" s="213"/>
    </row>
    <row r="3564" spans="2:19" ht="15.6">
      <c r="B3564" s="110" t="s">
        <v>547</v>
      </c>
      <c r="C3564" s="111" t="s">
        <v>505</v>
      </c>
      <c r="D3564" s="112" t="s">
        <v>449</v>
      </c>
      <c r="E3564" s="113" t="s">
        <v>130</v>
      </c>
      <c r="F3564" s="114" t="s">
        <v>15</v>
      </c>
      <c r="G3564" s="115" t="s">
        <v>49</v>
      </c>
      <c r="H3564" s="116">
        <v>17.82</v>
      </c>
      <c r="I3564" s="126">
        <v>9.5</v>
      </c>
      <c r="J3564" s="321">
        <v>18</v>
      </c>
      <c r="K3564" s="117">
        <f t="shared" si="410"/>
        <v>3.0472199999999998</v>
      </c>
      <c r="L3564" s="32"/>
      <c r="M3564" s="32">
        <v>18</v>
      </c>
      <c r="N3564" s="117">
        <f t="shared" si="411"/>
        <v>3.0472200000000003</v>
      </c>
      <c r="O3564" s="119">
        <f t="shared" si="412"/>
        <v>0</v>
      </c>
      <c r="P3564" s="120">
        <f t="shared" si="413"/>
        <v>0</v>
      </c>
      <c r="Q3564" s="111"/>
      <c r="R3564" s="32"/>
      <c r="S3564" s="213"/>
    </row>
    <row r="3565" spans="2:19" ht="15.6">
      <c r="B3565" s="110" t="s">
        <v>547</v>
      </c>
      <c r="C3565" s="111" t="s">
        <v>505</v>
      </c>
      <c r="D3565" s="112" t="s">
        <v>449</v>
      </c>
      <c r="E3565" s="113" t="s">
        <v>130</v>
      </c>
      <c r="F3565" s="114" t="s">
        <v>15</v>
      </c>
      <c r="G3565" s="115" t="s">
        <v>49</v>
      </c>
      <c r="H3565" s="116">
        <v>17.82</v>
      </c>
      <c r="I3565" s="126">
        <v>11.6</v>
      </c>
      <c r="J3565" s="321">
        <v>15</v>
      </c>
      <c r="K3565" s="117">
        <f t="shared" si="410"/>
        <v>3.1006799999999997</v>
      </c>
      <c r="L3565" s="32"/>
      <c r="M3565" s="32">
        <v>15</v>
      </c>
      <c r="N3565" s="117">
        <f t="shared" si="411"/>
        <v>3.1006799999999997</v>
      </c>
      <c r="O3565" s="119">
        <f t="shared" si="412"/>
        <v>0</v>
      </c>
      <c r="P3565" s="120">
        <f t="shared" si="413"/>
        <v>0</v>
      </c>
      <c r="Q3565" s="111"/>
      <c r="R3565" s="32"/>
      <c r="S3565" s="213"/>
    </row>
    <row r="3566" spans="2:19" ht="15.6">
      <c r="B3566" s="110" t="s">
        <v>547</v>
      </c>
      <c r="C3566" s="111" t="s">
        <v>505</v>
      </c>
      <c r="D3566" s="112" t="s">
        <v>449</v>
      </c>
      <c r="E3566" s="113" t="s">
        <v>130</v>
      </c>
      <c r="F3566" s="114" t="s">
        <v>15</v>
      </c>
      <c r="G3566" s="115" t="s">
        <v>49</v>
      </c>
      <c r="H3566" s="116">
        <v>17.82</v>
      </c>
      <c r="I3566" s="126">
        <v>9.5</v>
      </c>
      <c r="J3566" s="321">
        <v>24</v>
      </c>
      <c r="K3566" s="117">
        <f t="shared" si="410"/>
        <v>4.0629600000000003</v>
      </c>
      <c r="L3566" s="32"/>
      <c r="M3566" s="32">
        <v>24</v>
      </c>
      <c r="N3566" s="117">
        <f t="shared" si="411"/>
        <v>4.0629600000000003</v>
      </c>
      <c r="O3566" s="119">
        <f t="shared" si="412"/>
        <v>0</v>
      </c>
      <c r="P3566" s="120">
        <f t="shared" si="413"/>
        <v>0</v>
      </c>
      <c r="Q3566" s="111"/>
      <c r="R3566" s="32"/>
      <c r="S3566" s="213"/>
    </row>
    <row r="3567" spans="2:19" ht="15.6">
      <c r="B3567" s="110" t="s">
        <v>547</v>
      </c>
      <c r="C3567" s="111" t="s">
        <v>505</v>
      </c>
      <c r="D3567" s="112" t="s">
        <v>449</v>
      </c>
      <c r="E3567" s="113" t="s">
        <v>130</v>
      </c>
      <c r="F3567" s="114" t="s">
        <v>15</v>
      </c>
      <c r="G3567" s="115" t="s">
        <v>49</v>
      </c>
      <c r="H3567" s="116">
        <v>17.82</v>
      </c>
      <c r="I3567" s="126">
        <v>9.5</v>
      </c>
      <c r="J3567" s="321">
        <v>21</v>
      </c>
      <c r="K3567" s="117">
        <f t="shared" si="410"/>
        <v>3.5550899999999999</v>
      </c>
      <c r="L3567" s="32"/>
      <c r="M3567" s="32">
        <v>21</v>
      </c>
      <c r="N3567" s="117">
        <f t="shared" si="411"/>
        <v>3.5550900000000003</v>
      </c>
      <c r="O3567" s="119">
        <f t="shared" si="412"/>
        <v>0</v>
      </c>
      <c r="P3567" s="120">
        <f t="shared" si="413"/>
        <v>0</v>
      </c>
      <c r="Q3567" s="111"/>
      <c r="R3567" s="32"/>
      <c r="S3567" s="213"/>
    </row>
    <row r="3568" spans="2:19" ht="15.6">
      <c r="B3568" s="110" t="s">
        <v>547</v>
      </c>
      <c r="C3568" s="111" t="s">
        <v>505</v>
      </c>
      <c r="D3568" s="112" t="s">
        <v>449</v>
      </c>
      <c r="E3568" s="113" t="s">
        <v>130</v>
      </c>
      <c r="F3568" s="114" t="s">
        <v>15</v>
      </c>
      <c r="G3568" s="115" t="s">
        <v>49</v>
      </c>
      <c r="H3568" s="116">
        <v>17.82</v>
      </c>
      <c r="I3568" s="126">
        <v>11.6</v>
      </c>
      <c r="J3568" s="321">
        <v>15</v>
      </c>
      <c r="K3568" s="117">
        <f t="shared" si="410"/>
        <v>3.1006799999999997</v>
      </c>
      <c r="L3568" s="32"/>
      <c r="M3568" s="32">
        <v>15</v>
      </c>
      <c r="N3568" s="117">
        <f t="shared" si="411"/>
        <v>3.1006799999999997</v>
      </c>
      <c r="O3568" s="119">
        <f t="shared" si="412"/>
        <v>0</v>
      </c>
      <c r="P3568" s="120">
        <f t="shared" si="413"/>
        <v>0</v>
      </c>
      <c r="Q3568" s="111"/>
      <c r="R3568" s="32"/>
      <c r="S3568" s="213"/>
    </row>
    <row r="3569" spans="1:19" ht="15.6">
      <c r="B3569" s="110" t="s">
        <v>547</v>
      </c>
      <c r="C3569" s="111" t="s">
        <v>505</v>
      </c>
      <c r="D3569" s="112" t="s">
        <v>449</v>
      </c>
      <c r="E3569" s="113" t="s">
        <v>130</v>
      </c>
      <c r="F3569" s="114" t="s">
        <v>15</v>
      </c>
      <c r="G3569" s="115" t="s">
        <v>49</v>
      </c>
      <c r="H3569" s="116">
        <v>17.82</v>
      </c>
      <c r="I3569" s="126">
        <v>11.6</v>
      </c>
      <c r="J3569" s="321">
        <v>15</v>
      </c>
      <c r="K3569" s="117">
        <f t="shared" si="410"/>
        <v>3.1006799999999997</v>
      </c>
      <c r="L3569" s="32"/>
      <c r="M3569" s="32">
        <v>15</v>
      </c>
      <c r="N3569" s="117">
        <f t="shared" si="411"/>
        <v>3.1006799999999997</v>
      </c>
      <c r="O3569" s="119">
        <f t="shared" si="412"/>
        <v>0</v>
      </c>
      <c r="P3569" s="120">
        <f t="shared" si="413"/>
        <v>0</v>
      </c>
      <c r="Q3569" s="111"/>
      <c r="R3569" s="32"/>
      <c r="S3569" s="213"/>
    </row>
    <row r="3570" spans="1:19" ht="15.6">
      <c r="B3570" s="110" t="s">
        <v>547</v>
      </c>
      <c r="C3570" s="111" t="s">
        <v>505</v>
      </c>
      <c r="D3570" s="112" t="s">
        <v>449</v>
      </c>
      <c r="E3570" s="113" t="s">
        <v>130</v>
      </c>
      <c r="F3570" s="114" t="s">
        <v>15</v>
      </c>
      <c r="G3570" s="115" t="s">
        <v>49</v>
      </c>
      <c r="H3570" s="116">
        <v>17.82</v>
      </c>
      <c r="I3570" s="126">
        <v>11.6</v>
      </c>
      <c r="J3570" s="321">
        <v>14</v>
      </c>
      <c r="K3570" s="117">
        <f t="shared" si="410"/>
        <v>2.8939679999999997</v>
      </c>
      <c r="L3570" s="32"/>
      <c r="M3570" s="32">
        <v>14</v>
      </c>
      <c r="N3570" s="117">
        <f t="shared" si="411"/>
        <v>2.8939680000000001</v>
      </c>
      <c r="O3570" s="119">
        <f t="shared" si="412"/>
        <v>0</v>
      </c>
      <c r="P3570" s="120">
        <f t="shared" si="413"/>
        <v>0</v>
      </c>
      <c r="Q3570" s="111"/>
      <c r="R3570" s="32"/>
      <c r="S3570" s="213"/>
    </row>
    <row r="3571" spans="1:19" ht="15.6">
      <c r="B3571" s="110" t="s">
        <v>547</v>
      </c>
      <c r="C3571" s="111" t="s">
        <v>505</v>
      </c>
      <c r="D3571" s="112" t="s">
        <v>449</v>
      </c>
      <c r="E3571" s="113" t="s">
        <v>130</v>
      </c>
      <c r="F3571" s="114" t="s">
        <v>15</v>
      </c>
      <c r="G3571" s="115" t="s">
        <v>49</v>
      </c>
      <c r="H3571" s="116">
        <v>17.82</v>
      </c>
      <c r="I3571" s="126">
        <v>11.6</v>
      </c>
      <c r="J3571" s="321">
        <v>17</v>
      </c>
      <c r="K3571" s="117">
        <f t="shared" si="410"/>
        <v>3.5141039999999997</v>
      </c>
      <c r="L3571" s="32"/>
      <c r="M3571" s="32">
        <v>17</v>
      </c>
      <c r="N3571" s="117">
        <f t="shared" si="411"/>
        <v>3.5141039999999997</v>
      </c>
      <c r="O3571" s="119">
        <f t="shared" si="412"/>
        <v>0</v>
      </c>
      <c r="P3571" s="120">
        <f t="shared" si="413"/>
        <v>0</v>
      </c>
      <c r="Q3571" s="111"/>
      <c r="R3571" s="32"/>
      <c r="S3571" s="213"/>
    </row>
    <row r="3572" spans="1:19" ht="15.6">
      <c r="B3572" s="110" t="s">
        <v>547</v>
      </c>
      <c r="C3572" s="111" t="s">
        <v>505</v>
      </c>
      <c r="D3572" s="112" t="s">
        <v>449</v>
      </c>
      <c r="E3572" s="113" t="s">
        <v>130</v>
      </c>
      <c r="F3572" s="114" t="s">
        <v>15</v>
      </c>
      <c r="G3572" s="115" t="s">
        <v>49</v>
      </c>
      <c r="H3572" s="116">
        <v>17.82</v>
      </c>
      <c r="I3572" s="126">
        <v>11.6</v>
      </c>
      <c r="J3572" s="321">
        <v>14</v>
      </c>
      <c r="K3572" s="117">
        <f t="shared" si="410"/>
        <v>2.8939679999999997</v>
      </c>
      <c r="L3572" s="32"/>
      <c r="M3572" s="32">
        <v>14</v>
      </c>
      <c r="N3572" s="117">
        <f t="shared" si="411"/>
        <v>2.8939680000000001</v>
      </c>
      <c r="O3572" s="119">
        <f t="shared" si="412"/>
        <v>0</v>
      </c>
      <c r="P3572" s="120">
        <f t="shared" si="413"/>
        <v>0</v>
      </c>
      <c r="Q3572" s="111"/>
      <c r="R3572" s="32"/>
      <c r="S3572" s="213"/>
    </row>
    <row r="3573" spans="1:19" ht="15.6">
      <c r="B3573" s="110" t="s">
        <v>547</v>
      </c>
      <c r="C3573" s="111" t="s">
        <v>505</v>
      </c>
      <c r="D3573" s="112" t="s">
        <v>449</v>
      </c>
      <c r="E3573" s="113" t="s">
        <v>130</v>
      </c>
      <c r="F3573" s="114" t="s">
        <v>15</v>
      </c>
      <c r="G3573" s="115" t="s">
        <v>49</v>
      </c>
      <c r="H3573" s="116">
        <v>17.82</v>
      </c>
      <c r="I3573" s="126">
        <v>11.6</v>
      </c>
      <c r="J3573" s="321">
        <v>14</v>
      </c>
      <c r="K3573" s="117">
        <f t="shared" si="410"/>
        <v>2.8939679999999997</v>
      </c>
      <c r="L3573" s="32"/>
      <c r="M3573" s="32">
        <v>14</v>
      </c>
      <c r="N3573" s="117">
        <f t="shared" si="411"/>
        <v>2.8939680000000001</v>
      </c>
      <c r="O3573" s="119">
        <f t="shared" si="412"/>
        <v>0</v>
      </c>
      <c r="P3573" s="120">
        <f t="shared" si="413"/>
        <v>0</v>
      </c>
      <c r="Q3573" s="111"/>
      <c r="R3573" s="32"/>
      <c r="S3573" s="213"/>
    </row>
    <row r="3574" spans="1:19" ht="15.6">
      <c r="B3574" s="110" t="s">
        <v>547</v>
      </c>
      <c r="C3574" s="111" t="s">
        <v>505</v>
      </c>
      <c r="D3574" s="112" t="s">
        <v>449</v>
      </c>
      <c r="E3574" s="113" t="s">
        <v>130</v>
      </c>
      <c r="F3574" s="114" t="s">
        <v>15</v>
      </c>
      <c r="G3574" s="115" t="s">
        <v>49</v>
      </c>
      <c r="H3574" s="116">
        <v>17.82</v>
      </c>
      <c r="I3574" s="126">
        <v>11.6</v>
      </c>
      <c r="J3574" s="321">
        <v>14</v>
      </c>
      <c r="K3574" s="117">
        <f t="shared" si="410"/>
        <v>2.8939679999999997</v>
      </c>
      <c r="L3574" s="32"/>
      <c r="M3574" s="32">
        <v>14</v>
      </c>
      <c r="N3574" s="117">
        <f t="shared" si="411"/>
        <v>2.8939680000000001</v>
      </c>
      <c r="O3574" s="119">
        <f t="shared" si="412"/>
        <v>0</v>
      </c>
      <c r="P3574" s="120">
        <f t="shared" si="413"/>
        <v>0</v>
      </c>
      <c r="Q3574" s="111"/>
      <c r="R3574" s="32"/>
      <c r="S3574" s="213"/>
    </row>
    <row r="3575" spans="1:19" ht="15.6">
      <c r="B3575" s="110" t="s">
        <v>547</v>
      </c>
      <c r="C3575" s="111" t="s">
        <v>505</v>
      </c>
      <c r="D3575" s="112" t="s">
        <v>449</v>
      </c>
      <c r="E3575" s="113" t="s">
        <v>130</v>
      </c>
      <c r="F3575" s="114" t="s">
        <v>15</v>
      </c>
      <c r="G3575" s="115" t="s">
        <v>49</v>
      </c>
      <c r="H3575" s="116">
        <v>17.82</v>
      </c>
      <c r="I3575" s="126">
        <v>11.6</v>
      </c>
      <c r="J3575" s="321">
        <v>14</v>
      </c>
      <c r="K3575" s="117">
        <f t="shared" si="410"/>
        <v>2.8939679999999997</v>
      </c>
      <c r="L3575" s="32"/>
      <c r="M3575" s="32">
        <v>14</v>
      </c>
      <c r="N3575" s="117">
        <f t="shared" si="411"/>
        <v>2.8939680000000001</v>
      </c>
      <c r="O3575" s="119">
        <f t="shared" si="412"/>
        <v>0</v>
      </c>
      <c r="P3575" s="120">
        <f t="shared" si="413"/>
        <v>0</v>
      </c>
      <c r="Q3575" s="111"/>
      <c r="R3575" s="32"/>
      <c r="S3575" s="213"/>
    </row>
    <row r="3576" spans="1:19" ht="15.6">
      <c r="B3576" s="110" t="s">
        <v>547</v>
      </c>
      <c r="C3576" s="111" t="s">
        <v>505</v>
      </c>
      <c r="D3576" s="112" t="s">
        <v>449</v>
      </c>
      <c r="E3576" s="113" t="s">
        <v>130</v>
      </c>
      <c r="F3576" s="114" t="s">
        <v>15</v>
      </c>
      <c r="G3576" s="115" t="s">
        <v>49</v>
      </c>
      <c r="H3576" s="116">
        <v>17.82</v>
      </c>
      <c r="I3576" s="126">
        <v>9.5</v>
      </c>
      <c r="J3576" s="321">
        <v>15</v>
      </c>
      <c r="K3576" s="117">
        <f t="shared" si="410"/>
        <v>2.5393499999999998</v>
      </c>
      <c r="L3576" s="32"/>
      <c r="M3576" s="32">
        <f>15-12+12</f>
        <v>15</v>
      </c>
      <c r="N3576" s="117">
        <f t="shared" si="411"/>
        <v>2.5393499999999998</v>
      </c>
      <c r="O3576" s="119">
        <f t="shared" si="412"/>
        <v>0</v>
      </c>
      <c r="P3576" s="120">
        <f t="shared" si="413"/>
        <v>0</v>
      </c>
      <c r="Q3576" s="130"/>
      <c r="R3576" s="111"/>
      <c r="S3576" s="29"/>
    </row>
    <row r="3577" spans="1:19">
      <c r="B3577" s="213"/>
      <c r="C3577" s="213"/>
      <c r="D3577" s="213"/>
      <c r="E3577" s="213"/>
      <c r="F3577" s="213"/>
      <c r="G3577" s="213"/>
      <c r="H3577" s="213"/>
      <c r="I3577" s="213"/>
      <c r="J3577" s="215">
        <f>SUM(J3521:J3576)</f>
        <v>653</v>
      </c>
      <c r="K3577" s="214">
        <f>SUM(K3521:K3576)</f>
        <v>126.40260599999998</v>
      </c>
      <c r="L3577" s="213"/>
      <c r="M3577" s="215">
        <f>SUM(M3521:M3576)</f>
        <v>643</v>
      </c>
      <c r="N3577" s="214">
        <f>SUM(N3521:N3576)</f>
        <v>124.39250999999999</v>
      </c>
      <c r="O3577" s="78">
        <f>SUM(O3521:O3576)</f>
        <v>10</v>
      </c>
      <c r="P3577" s="214">
        <f>SUM(P3521:P3576)</f>
        <v>2.0100959999999999</v>
      </c>
      <c r="Q3577" s="213"/>
      <c r="R3577" s="215">
        <f>SUM(R3521:R3576)</f>
        <v>7</v>
      </c>
      <c r="S3577" s="213"/>
    </row>
    <row r="3579" spans="1:19">
      <c r="A3579" s="42" t="s">
        <v>77</v>
      </c>
      <c r="B3579" s="3" t="s">
        <v>68</v>
      </c>
      <c r="C3579" s="3">
        <v>171</v>
      </c>
      <c r="D3579" s="1"/>
      <c r="E3579" s="20" t="s">
        <v>70</v>
      </c>
      <c r="F3579" s="7" t="s">
        <v>15</v>
      </c>
      <c r="G3579" s="7" t="s">
        <v>49</v>
      </c>
      <c r="H3579" s="11">
        <v>17.82</v>
      </c>
      <c r="I3579" s="8">
        <v>9.5</v>
      </c>
      <c r="J3579" s="26">
        <v>1</v>
      </c>
      <c r="K3579" s="10">
        <v>0.16929</v>
      </c>
      <c r="L3579" s="4"/>
      <c r="M3579" s="17"/>
      <c r="N3579" s="18">
        <v>0</v>
      </c>
      <c r="O3579" s="19">
        <v>1</v>
      </c>
      <c r="P3579" s="13">
        <v>0.16929</v>
      </c>
      <c r="Q3579" s="9"/>
      <c r="R3579" s="2"/>
      <c r="S3579" s="2"/>
    </row>
    <row r="3580" spans="1:19">
      <c r="A3580" s="42" t="s">
        <v>90</v>
      </c>
      <c r="B3580" s="3"/>
      <c r="C3580" s="3">
        <v>198</v>
      </c>
      <c r="D3580" s="1"/>
      <c r="E3580" s="20" t="s">
        <v>17</v>
      </c>
      <c r="F3580" s="7" t="s">
        <v>15</v>
      </c>
      <c r="G3580" s="7" t="s">
        <v>49</v>
      </c>
      <c r="H3580" s="11">
        <v>17.82</v>
      </c>
      <c r="I3580" s="8">
        <v>5.4</v>
      </c>
      <c r="J3580" s="17">
        <v>1</v>
      </c>
      <c r="K3580" s="10">
        <v>9.6228000000000008E-2</v>
      </c>
      <c r="L3580" s="4"/>
      <c r="M3580" s="17"/>
      <c r="N3580" s="18">
        <v>0</v>
      </c>
      <c r="O3580" s="19">
        <v>1</v>
      </c>
      <c r="P3580" s="13">
        <v>9.6228000000000008E-2</v>
      </c>
      <c r="Q3580" s="50"/>
      <c r="R3580" s="2"/>
      <c r="S3580" s="2"/>
    </row>
    <row r="3581" spans="1:19">
      <c r="A3581" s="42" t="s">
        <v>90</v>
      </c>
      <c r="B3581" s="3"/>
      <c r="C3581" s="3">
        <v>198</v>
      </c>
      <c r="D3581" s="1"/>
      <c r="E3581" s="20" t="s">
        <v>17</v>
      </c>
      <c r="F3581" s="7" t="s">
        <v>15</v>
      </c>
      <c r="G3581" s="7" t="s">
        <v>49</v>
      </c>
      <c r="H3581" s="11">
        <v>17.82</v>
      </c>
      <c r="I3581" s="8">
        <v>5.5</v>
      </c>
      <c r="J3581" s="17">
        <v>1</v>
      </c>
      <c r="K3581" s="10">
        <v>9.801E-2</v>
      </c>
      <c r="L3581" s="4"/>
      <c r="M3581" s="17"/>
      <c r="N3581" s="18">
        <v>0</v>
      </c>
      <c r="O3581" s="19">
        <v>1</v>
      </c>
      <c r="P3581" s="13">
        <v>9.801E-2</v>
      </c>
      <c r="Q3581" s="50"/>
      <c r="R3581" s="2"/>
      <c r="S3581" s="2"/>
    </row>
    <row r="3582" spans="1:19">
      <c r="A3582" s="42" t="s">
        <v>90</v>
      </c>
      <c r="B3582" s="3"/>
      <c r="C3582" s="3">
        <v>198</v>
      </c>
      <c r="D3582" s="1"/>
      <c r="E3582" s="20" t="s">
        <v>17</v>
      </c>
      <c r="F3582" s="7" t="s">
        <v>15</v>
      </c>
      <c r="G3582" s="7" t="s">
        <v>49</v>
      </c>
      <c r="H3582" s="11">
        <v>17.82</v>
      </c>
      <c r="I3582" s="8">
        <v>5.7</v>
      </c>
      <c r="J3582" s="17">
        <v>1</v>
      </c>
      <c r="K3582" s="10">
        <v>0.101574</v>
      </c>
      <c r="L3582" s="4"/>
      <c r="M3582" s="17"/>
      <c r="N3582" s="18">
        <v>0</v>
      </c>
      <c r="O3582" s="19">
        <v>1</v>
      </c>
      <c r="P3582" s="13">
        <v>0.101574</v>
      </c>
      <c r="Q3582" s="50"/>
      <c r="R3582" s="2"/>
      <c r="S3582" s="2"/>
    </row>
    <row r="3583" spans="1:19">
      <c r="A3583" s="42" t="s">
        <v>90</v>
      </c>
      <c r="B3583" s="3"/>
      <c r="C3583" s="3">
        <v>198</v>
      </c>
      <c r="D3583" s="1"/>
      <c r="E3583" s="20" t="s">
        <v>17</v>
      </c>
      <c r="F3583" s="7" t="s">
        <v>15</v>
      </c>
      <c r="G3583" s="7" t="s">
        <v>49</v>
      </c>
      <c r="H3583" s="11">
        <v>17.82</v>
      </c>
      <c r="I3583" s="8">
        <v>5.8</v>
      </c>
      <c r="J3583" s="17">
        <v>1</v>
      </c>
      <c r="K3583" s="10">
        <v>0.10335599999999999</v>
      </c>
      <c r="L3583" s="4"/>
      <c r="M3583" s="17"/>
      <c r="N3583" s="18">
        <v>0</v>
      </c>
      <c r="O3583" s="19">
        <v>1</v>
      </c>
      <c r="P3583" s="13">
        <v>0.10335599999999999</v>
      </c>
      <c r="Q3583" s="50"/>
      <c r="R3583" s="2"/>
      <c r="S3583" s="2"/>
    </row>
    <row r="3584" spans="1:19">
      <c r="A3584" s="42" t="s">
        <v>90</v>
      </c>
      <c r="B3584" s="3"/>
      <c r="C3584" s="3">
        <v>198</v>
      </c>
      <c r="D3584" s="1"/>
      <c r="E3584" s="20" t="s">
        <v>17</v>
      </c>
      <c r="F3584" s="7" t="s">
        <v>15</v>
      </c>
      <c r="G3584" s="7" t="s">
        <v>49</v>
      </c>
      <c r="H3584" s="11">
        <v>17.82</v>
      </c>
      <c r="I3584" s="8">
        <v>6.1</v>
      </c>
      <c r="J3584" s="17">
        <v>1</v>
      </c>
      <c r="K3584" s="10">
        <v>0.10870199999999999</v>
      </c>
      <c r="L3584" s="4"/>
      <c r="M3584" s="17"/>
      <c r="N3584" s="18">
        <v>0</v>
      </c>
      <c r="O3584" s="19">
        <v>1</v>
      </c>
      <c r="P3584" s="13">
        <v>0.10870199999999999</v>
      </c>
      <c r="Q3584" s="50"/>
      <c r="R3584" s="2"/>
      <c r="S3584" s="2"/>
    </row>
    <row r="3585" spans="1:19">
      <c r="A3585" s="47" t="s">
        <v>147</v>
      </c>
      <c r="B3585" s="48" t="s">
        <v>148</v>
      </c>
      <c r="C3585" s="32">
        <v>280</v>
      </c>
      <c r="D3585" s="32"/>
      <c r="E3585" s="69" t="s">
        <v>20</v>
      </c>
      <c r="F3585" s="69" t="s">
        <v>160</v>
      </c>
      <c r="G3585" s="69" t="s">
        <v>49</v>
      </c>
      <c r="H3585" s="61">
        <v>17.82</v>
      </c>
      <c r="I3585" s="21">
        <v>6.4</v>
      </c>
      <c r="J3585" s="60">
        <v>1</v>
      </c>
      <c r="K3585" s="62">
        <v>0.114048</v>
      </c>
      <c r="L3585" s="256" t="s">
        <v>46</v>
      </c>
      <c r="M3585" s="67"/>
      <c r="N3585" s="63">
        <v>0</v>
      </c>
      <c r="O3585" s="64">
        <v>1</v>
      </c>
      <c r="P3585" s="65">
        <v>0.114048</v>
      </c>
      <c r="Q3585" s="32"/>
      <c r="R3585" s="32"/>
      <c r="S3585" s="32"/>
    </row>
    <row r="3586" spans="1:19">
      <c r="A3586" s="47" t="s">
        <v>147</v>
      </c>
      <c r="B3586" s="48" t="s">
        <v>148</v>
      </c>
      <c r="C3586" s="32">
        <v>289</v>
      </c>
      <c r="D3586" s="32" t="s">
        <v>102</v>
      </c>
      <c r="E3586" s="48" t="s">
        <v>20</v>
      </c>
      <c r="F3586" s="48" t="s">
        <v>160</v>
      </c>
      <c r="G3586" s="48" t="s">
        <v>49</v>
      </c>
      <c r="H3586" s="11">
        <v>17.82</v>
      </c>
      <c r="I3586" s="8">
        <v>9.5</v>
      </c>
      <c r="J3586" s="7">
        <v>1</v>
      </c>
      <c r="K3586" s="10">
        <v>0.16929</v>
      </c>
      <c r="L3586" s="32"/>
      <c r="M3586" s="32"/>
      <c r="N3586" s="18">
        <v>0</v>
      </c>
      <c r="O3586" s="19">
        <v>1</v>
      </c>
      <c r="P3586" s="13">
        <v>0.16929</v>
      </c>
      <c r="Q3586" s="32"/>
      <c r="R3586" s="32"/>
      <c r="S3586" s="32"/>
    </row>
    <row r="3587" spans="1:19">
      <c r="A3587" s="44" t="s">
        <v>78</v>
      </c>
      <c r="B3587" s="3" t="s">
        <v>80</v>
      </c>
      <c r="C3587" s="3">
        <v>1</v>
      </c>
      <c r="D3587" s="1"/>
      <c r="E3587" s="20" t="s">
        <v>20</v>
      </c>
      <c r="F3587" s="7" t="s">
        <v>15</v>
      </c>
      <c r="G3587" s="7" t="s">
        <v>49</v>
      </c>
      <c r="H3587" s="11">
        <v>17.82</v>
      </c>
      <c r="I3587" s="8">
        <v>11</v>
      </c>
      <c r="J3587" s="26">
        <v>1</v>
      </c>
      <c r="K3587" s="10">
        <v>0.19602</v>
      </c>
      <c r="L3587" s="4"/>
      <c r="M3587" s="17"/>
      <c r="N3587" s="18">
        <v>0</v>
      </c>
      <c r="O3587" s="19">
        <v>1</v>
      </c>
      <c r="P3587" s="13">
        <v>0.19602</v>
      </c>
      <c r="Q3587" s="2"/>
      <c r="R3587" s="2"/>
      <c r="S3587" s="2"/>
    </row>
    <row r="3588" spans="1:19">
      <c r="A3588" s="45" t="s">
        <v>136</v>
      </c>
      <c r="B3588" s="32" t="s">
        <v>137</v>
      </c>
      <c r="C3588" s="3">
        <v>4</v>
      </c>
      <c r="D3588" s="32"/>
      <c r="E3588" s="20" t="s">
        <v>139</v>
      </c>
      <c r="F3588" s="7" t="s">
        <v>15</v>
      </c>
      <c r="G3588" s="7" t="s">
        <v>49</v>
      </c>
      <c r="H3588" s="11">
        <v>17.82</v>
      </c>
      <c r="I3588" s="55">
        <v>6.2</v>
      </c>
      <c r="J3588" s="40">
        <v>6</v>
      </c>
      <c r="K3588" s="10">
        <v>0.66290400000000005</v>
      </c>
      <c r="L3588" s="4"/>
      <c r="M3588" s="17">
        <v>6</v>
      </c>
      <c r="N3588" s="18">
        <v>0.66290400000000016</v>
      </c>
      <c r="O3588" s="19">
        <v>0</v>
      </c>
      <c r="P3588" s="13">
        <v>0</v>
      </c>
      <c r="Q3588" s="98">
        <v>6.1</v>
      </c>
      <c r="R3588" s="91">
        <v>6</v>
      </c>
      <c r="S3588" s="91" t="s">
        <v>603</v>
      </c>
    </row>
    <row r="3589" spans="1:19">
      <c r="A3589" s="45" t="s">
        <v>136</v>
      </c>
      <c r="B3589" s="32" t="s">
        <v>137</v>
      </c>
      <c r="C3589" s="3">
        <v>4</v>
      </c>
      <c r="D3589" s="32"/>
      <c r="E3589" s="20" t="s">
        <v>139</v>
      </c>
      <c r="F3589" s="7" t="s">
        <v>15</v>
      </c>
      <c r="G3589" s="7" t="s">
        <v>49</v>
      </c>
      <c r="H3589" s="11">
        <v>17.82</v>
      </c>
      <c r="I3589" s="55">
        <v>6.8</v>
      </c>
      <c r="J3589" s="40">
        <v>2</v>
      </c>
      <c r="K3589" s="10">
        <v>0.24235200000000001</v>
      </c>
      <c r="L3589" s="4"/>
      <c r="M3589" s="17">
        <v>2</v>
      </c>
      <c r="N3589" s="18">
        <v>0.24235200000000001</v>
      </c>
      <c r="O3589" s="19">
        <v>0</v>
      </c>
      <c r="P3589" s="13">
        <v>0</v>
      </c>
      <c r="Q3589" s="98">
        <v>6.1</v>
      </c>
      <c r="R3589" s="91">
        <v>2</v>
      </c>
      <c r="S3589" s="91" t="s">
        <v>603</v>
      </c>
    </row>
    <row r="3590" spans="1:19">
      <c r="A3590" s="45" t="s">
        <v>136</v>
      </c>
      <c r="B3590" s="32" t="s">
        <v>137</v>
      </c>
      <c r="C3590" s="3">
        <v>4</v>
      </c>
      <c r="D3590" s="32"/>
      <c r="E3590" s="24" t="s">
        <v>139</v>
      </c>
      <c r="F3590" s="60" t="s">
        <v>15</v>
      </c>
      <c r="G3590" s="60" t="s">
        <v>49</v>
      </c>
      <c r="H3590" s="61">
        <v>17.82</v>
      </c>
      <c r="I3590" s="446">
        <v>7.2</v>
      </c>
      <c r="J3590" s="67">
        <v>1</v>
      </c>
      <c r="K3590" s="62">
        <v>0.128304</v>
      </c>
      <c r="L3590" s="253" t="s">
        <v>135</v>
      </c>
      <c r="M3590" s="22"/>
      <c r="N3590" s="63">
        <v>0</v>
      </c>
      <c r="O3590" s="64">
        <v>1</v>
      </c>
      <c r="P3590" s="65">
        <v>0.128304</v>
      </c>
      <c r="Q3590" s="33"/>
      <c r="R3590" s="32"/>
      <c r="S3590" s="32"/>
    </row>
    <row r="3591" spans="1:19">
      <c r="A3591" s="45" t="s">
        <v>136</v>
      </c>
      <c r="B3591" s="32" t="s">
        <v>137</v>
      </c>
      <c r="C3591" s="3">
        <v>4</v>
      </c>
      <c r="D3591" s="32"/>
      <c r="E3591" s="20" t="s">
        <v>139</v>
      </c>
      <c r="F3591" s="7" t="s">
        <v>15</v>
      </c>
      <c r="G3591" s="7" t="s">
        <v>49</v>
      </c>
      <c r="H3591" s="11">
        <v>17.82</v>
      </c>
      <c r="I3591" s="55">
        <v>7.4</v>
      </c>
      <c r="J3591" s="40">
        <v>1</v>
      </c>
      <c r="K3591" s="10">
        <v>0.13186799999999999</v>
      </c>
      <c r="L3591" s="4"/>
      <c r="M3591" s="17">
        <v>1</v>
      </c>
      <c r="N3591" s="18">
        <v>0.13186799999999999</v>
      </c>
      <c r="O3591" s="19">
        <v>0</v>
      </c>
      <c r="P3591" s="13">
        <v>0</v>
      </c>
      <c r="Q3591" s="98">
        <v>7.1</v>
      </c>
      <c r="R3591" s="91">
        <v>1</v>
      </c>
      <c r="S3591" s="91" t="s">
        <v>603</v>
      </c>
    </row>
    <row r="3592" spans="1:19">
      <c r="A3592" s="45" t="s">
        <v>136</v>
      </c>
      <c r="B3592" s="32" t="s">
        <v>137</v>
      </c>
      <c r="C3592" s="3">
        <v>5</v>
      </c>
      <c r="D3592" s="32"/>
      <c r="E3592" s="20" t="s">
        <v>20</v>
      </c>
      <c r="F3592" s="7" t="s">
        <v>15</v>
      </c>
      <c r="G3592" s="7" t="s">
        <v>49</v>
      </c>
      <c r="H3592" s="11">
        <v>17.82</v>
      </c>
      <c r="I3592" s="55">
        <v>6.2</v>
      </c>
      <c r="J3592" s="40">
        <v>1</v>
      </c>
      <c r="K3592" s="10">
        <v>0.11048400000000001</v>
      </c>
      <c r="L3592" s="4"/>
      <c r="M3592" s="17">
        <v>1</v>
      </c>
      <c r="N3592" s="18">
        <v>0.11048400000000001</v>
      </c>
      <c r="O3592" s="19">
        <v>0</v>
      </c>
      <c r="P3592" s="13">
        <v>0</v>
      </c>
      <c r="Q3592" s="98">
        <v>6.1</v>
      </c>
      <c r="R3592" s="91">
        <v>1</v>
      </c>
      <c r="S3592" s="91" t="s">
        <v>603</v>
      </c>
    </row>
    <row r="3593" spans="1:19">
      <c r="A3593" s="45" t="s">
        <v>136</v>
      </c>
      <c r="B3593" s="32" t="s">
        <v>137</v>
      </c>
      <c r="C3593" s="3">
        <v>44</v>
      </c>
      <c r="D3593" s="32"/>
      <c r="E3593" s="20" t="s">
        <v>17</v>
      </c>
      <c r="F3593" s="7" t="s">
        <v>15</v>
      </c>
      <c r="G3593" s="7" t="s">
        <v>49</v>
      </c>
      <c r="H3593" s="11">
        <v>17.82</v>
      </c>
      <c r="I3593" s="55">
        <v>8.3000000000000007</v>
      </c>
      <c r="J3593" s="40">
        <v>1</v>
      </c>
      <c r="K3593" s="10">
        <v>0.14790600000000001</v>
      </c>
      <c r="L3593" s="4"/>
      <c r="M3593" s="17"/>
      <c r="N3593" s="18">
        <v>0</v>
      </c>
      <c r="O3593" s="19">
        <v>1</v>
      </c>
      <c r="P3593" s="13">
        <v>0.14790600000000001</v>
      </c>
      <c r="Q3593" s="33"/>
      <c r="R3593" s="32"/>
      <c r="S3593" s="2"/>
    </row>
    <row r="3594" spans="1:19">
      <c r="A3594" s="45" t="s">
        <v>136</v>
      </c>
      <c r="B3594" s="32" t="s">
        <v>137</v>
      </c>
      <c r="C3594" s="3">
        <v>44</v>
      </c>
      <c r="D3594" s="32"/>
      <c r="E3594" s="20" t="s">
        <v>17</v>
      </c>
      <c r="F3594" s="7" t="s">
        <v>15</v>
      </c>
      <c r="G3594" s="7" t="s">
        <v>49</v>
      </c>
      <c r="H3594" s="11">
        <v>17.82</v>
      </c>
      <c r="I3594" s="55">
        <v>11.1</v>
      </c>
      <c r="J3594" s="40">
        <v>2</v>
      </c>
      <c r="K3594" s="10">
        <v>0.39560400000000001</v>
      </c>
      <c r="L3594" s="4"/>
      <c r="M3594" s="17"/>
      <c r="N3594" s="18">
        <v>0</v>
      </c>
      <c r="O3594" s="19">
        <v>2</v>
      </c>
      <c r="P3594" s="13">
        <v>0.39560400000000001</v>
      </c>
      <c r="Q3594" s="33"/>
      <c r="R3594" s="32"/>
      <c r="S3594" s="32"/>
    </row>
    <row r="3595" spans="1:19">
      <c r="A3595" s="45" t="s">
        <v>136</v>
      </c>
      <c r="B3595" s="32" t="s">
        <v>137</v>
      </c>
      <c r="C3595" s="3">
        <v>66</v>
      </c>
      <c r="D3595" s="32"/>
      <c r="E3595" s="20" t="s">
        <v>20</v>
      </c>
      <c r="F3595" s="7" t="s">
        <v>15</v>
      </c>
      <c r="G3595" s="7" t="s">
        <v>49</v>
      </c>
      <c r="H3595" s="11">
        <v>17.82</v>
      </c>
      <c r="I3595" s="55">
        <v>9.5</v>
      </c>
      <c r="J3595" s="40">
        <v>1</v>
      </c>
      <c r="K3595" s="10">
        <v>0.16929</v>
      </c>
      <c r="L3595" s="4"/>
      <c r="M3595" s="17">
        <v>1</v>
      </c>
      <c r="N3595" s="18">
        <v>0.16929</v>
      </c>
      <c r="O3595" s="19">
        <v>0</v>
      </c>
      <c r="P3595" s="13">
        <v>0</v>
      </c>
      <c r="Q3595" s="98">
        <v>7.1</v>
      </c>
      <c r="R3595" s="91">
        <v>1</v>
      </c>
      <c r="S3595" s="91" t="s">
        <v>603</v>
      </c>
    </row>
    <row r="3596" spans="1:19">
      <c r="A3596" s="45" t="s">
        <v>136</v>
      </c>
      <c r="B3596" s="32" t="s">
        <v>137</v>
      </c>
      <c r="C3596" s="3">
        <v>90</v>
      </c>
      <c r="D3596" s="32"/>
      <c r="E3596" s="20" t="s">
        <v>20</v>
      </c>
      <c r="F3596" s="7" t="s">
        <v>15</v>
      </c>
      <c r="G3596" s="7" t="s">
        <v>49</v>
      </c>
      <c r="H3596" s="11">
        <v>17.82</v>
      </c>
      <c r="I3596" s="55">
        <v>7</v>
      </c>
      <c r="J3596" s="40">
        <v>1</v>
      </c>
      <c r="K3596" s="10">
        <v>0.12474</v>
      </c>
      <c r="L3596" s="4"/>
      <c r="M3596" s="17">
        <v>1</v>
      </c>
      <c r="N3596" s="18">
        <v>0.12474</v>
      </c>
      <c r="O3596" s="19">
        <v>0</v>
      </c>
      <c r="P3596" s="13">
        <v>0</v>
      </c>
      <c r="Q3596" s="98">
        <v>6.1</v>
      </c>
      <c r="R3596" s="91">
        <v>1</v>
      </c>
      <c r="S3596" s="91" t="s">
        <v>603</v>
      </c>
    </row>
    <row r="3597" spans="1:19">
      <c r="A3597" s="45" t="s">
        <v>136</v>
      </c>
      <c r="B3597" s="32" t="s">
        <v>137</v>
      </c>
      <c r="C3597" s="3">
        <v>98</v>
      </c>
      <c r="D3597" s="32"/>
      <c r="E3597" s="20" t="s">
        <v>113</v>
      </c>
      <c r="F3597" s="7" t="s">
        <v>15</v>
      </c>
      <c r="G3597" s="7" t="s">
        <v>49</v>
      </c>
      <c r="H3597" s="11">
        <v>17.82</v>
      </c>
      <c r="I3597" s="55">
        <v>12</v>
      </c>
      <c r="J3597" s="41">
        <v>1</v>
      </c>
      <c r="K3597" s="10">
        <v>0.21384</v>
      </c>
      <c r="L3597" s="4"/>
      <c r="M3597" s="17"/>
      <c r="N3597" s="18">
        <v>0</v>
      </c>
      <c r="O3597" s="19">
        <v>1</v>
      </c>
      <c r="P3597" s="13">
        <v>0.21384</v>
      </c>
      <c r="Q3597" s="32"/>
      <c r="R3597" s="32"/>
      <c r="S3597" s="32"/>
    </row>
    <row r="3598" spans="1:19">
      <c r="O3598" s="215">
        <f>SUM(O3579:O3597)</f>
        <v>14</v>
      </c>
      <c r="R3598" s="215">
        <f>SUM(R3579:R3597)</f>
        <v>12</v>
      </c>
    </row>
    <row r="3599" spans="1:19" s="213" customFormat="1">
      <c r="O3599" s="215"/>
      <c r="R3599" s="215"/>
    </row>
    <row r="3600" spans="1:19" s="213" customFormat="1">
      <c r="O3600" s="215"/>
      <c r="R3600" s="215"/>
    </row>
    <row r="3601" spans="1:19" s="213" customFormat="1">
      <c r="A3601" s="42" t="s">
        <v>77</v>
      </c>
      <c r="B3601" s="3" t="s">
        <v>68</v>
      </c>
      <c r="C3601" s="3">
        <v>171</v>
      </c>
      <c r="D3601" s="1"/>
      <c r="E3601" s="20" t="s">
        <v>70</v>
      </c>
      <c r="F3601" s="7" t="s">
        <v>15</v>
      </c>
      <c r="G3601" s="7" t="s">
        <v>49</v>
      </c>
      <c r="H3601" s="11">
        <v>17.82</v>
      </c>
      <c r="I3601" s="8">
        <v>9.5</v>
      </c>
      <c r="J3601" s="26">
        <v>1</v>
      </c>
      <c r="K3601" s="10">
        <v>0.16929</v>
      </c>
      <c r="L3601" s="4"/>
      <c r="M3601" s="17">
        <v>1</v>
      </c>
      <c r="N3601" s="18">
        <v>0.16929</v>
      </c>
      <c r="O3601" s="19">
        <v>0</v>
      </c>
      <c r="P3601" s="13">
        <v>0</v>
      </c>
      <c r="Q3601" s="73">
        <v>7.1</v>
      </c>
      <c r="R3601" s="74">
        <v>1</v>
      </c>
      <c r="S3601" s="74" t="s">
        <v>602</v>
      </c>
    </row>
    <row r="3602" spans="1:19" s="213" customFormat="1">
      <c r="A3602" s="42" t="s">
        <v>77</v>
      </c>
      <c r="B3602" s="3" t="s">
        <v>68</v>
      </c>
      <c r="C3602" s="3">
        <v>173</v>
      </c>
      <c r="D3602" s="1"/>
      <c r="E3602" s="20" t="s">
        <v>72</v>
      </c>
      <c r="F3602" s="7" t="s">
        <v>15</v>
      </c>
      <c r="G3602" s="7" t="s">
        <v>49</v>
      </c>
      <c r="H3602" s="11">
        <v>17.82</v>
      </c>
      <c r="I3602" s="8">
        <v>5.5</v>
      </c>
      <c r="J3602" s="26">
        <v>1</v>
      </c>
      <c r="K3602" s="10">
        <v>9.801E-2</v>
      </c>
      <c r="L3602" s="4"/>
      <c r="M3602" s="17"/>
      <c r="N3602" s="18">
        <v>0</v>
      </c>
      <c r="O3602" s="19">
        <v>1</v>
      </c>
      <c r="P3602" s="13">
        <v>9.801E-2</v>
      </c>
      <c r="Q3602" s="73"/>
      <c r="R3602" s="74"/>
      <c r="S3602" s="74"/>
    </row>
    <row r="3603" spans="1:19" s="213" customFormat="1">
      <c r="A3603" s="42" t="s">
        <v>77</v>
      </c>
      <c r="B3603" s="3" t="s">
        <v>68</v>
      </c>
      <c r="C3603" s="3">
        <v>173</v>
      </c>
      <c r="D3603" s="1"/>
      <c r="E3603" s="20" t="s">
        <v>72</v>
      </c>
      <c r="F3603" s="7" t="s">
        <v>15</v>
      </c>
      <c r="G3603" s="7" t="s">
        <v>49</v>
      </c>
      <c r="H3603" s="11">
        <v>17.82</v>
      </c>
      <c r="I3603" s="8">
        <v>6.1</v>
      </c>
      <c r="J3603" s="26">
        <v>2</v>
      </c>
      <c r="K3603" s="10">
        <v>0.21740399999999999</v>
      </c>
      <c r="L3603" s="4"/>
      <c r="M3603" s="17">
        <v>2</v>
      </c>
      <c r="N3603" s="18">
        <v>0.21740399999999999</v>
      </c>
      <c r="O3603" s="19">
        <v>0</v>
      </c>
      <c r="P3603" s="13">
        <v>0</v>
      </c>
      <c r="Q3603" s="73">
        <v>6.1</v>
      </c>
      <c r="R3603" s="74">
        <v>2</v>
      </c>
      <c r="S3603" s="74" t="s">
        <v>602</v>
      </c>
    </row>
    <row r="3604" spans="1:19" s="213" customFormat="1">
      <c r="A3604" s="42" t="s">
        <v>77</v>
      </c>
      <c r="B3604" s="3" t="s">
        <v>68</v>
      </c>
      <c r="C3604" s="3">
        <v>176</v>
      </c>
      <c r="D3604" s="1"/>
      <c r="E3604" s="12" t="s">
        <v>91</v>
      </c>
      <c r="F3604" s="7" t="s">
        <v>15</v>
      </c>
      <c r="G3604" s="7" t="s">
        <v>49</v>
      </c>
      <c r="H3604" s="11">
        <v>17.82</v>
      </c>
      <c r="I3604" s="8">
        <v>6.2</v>
      </c>
      <c r="J3604" s="26">
        <v>1</v>
      </c>
      <c r="K3604" s="10">
        <v>0.11048400000000001</v>
      </c>
      <c r="L3604" s="4"/>
      <c r="M3604" s="17">
        <v>1</v>
      </c>
      <c r="N3604" s="18">
        <v>0.11048400000000001</v>
      </c>
      <c r="O3604" s="19">
        <v>0</v>
      </c>
      <c r="P3604" s="13">
        <v>0</v>
      </c>
      <c r="Q3604" s="73">
        <v>6.1</v>
      </c>
      <c r="R3604" s="74">
        <v>1</v>
      </c>
      <c r="S3604" s="74" t="s">
        <v>602</v>
      </c>
    </row>
    <row r="3605" spans="1:19" s="213" customFormat="1">
      <c r="A3605" s="42" t="s">
        <v>78</v>
      </c>
      <c r="B3605" s="3"/>
      <c r="C3605" s="3">
        <v>6</v>
      </c>
      <c r="D3605" s="1"/>
      <c r="E3605" s="20" t="s">
        <v>63</v>
      </c>
      <c r="F3605" s="7" t="s">
        <v>15</v>
      </c>
      <c r="G3605" s="7" t="s">
        <v>49</v>
      </c>
      <c r="H3605" s="11">
        <v>17.82</v>
      </c>
      <c r="I3605" s="8">
        <v>11</v>
      </c>
      <c r="J3605" s="26">
        <v>3</v>
      </c>
      <c r="K3605" s="10">
        <v>0.58806000000000003</v>
      </c>
      <c r="L3605" s="4"/>
      <c r="M3605" s="17">
        <v>2</v>
      </c>
      <c r="N3605" s="18">
        <v>0</v>
      </c>
      <c r="O3605" s="19">
        <v>1</v>
      </c>
      <c r="P3605" s="13">
        <v>0.58806000000000003</v>
      </c>
      <c r="Q3605" s="73">
        <v>7.1</v>
      </c>
      <c r="R3605" s="74">
        <v>2</v>
      </c>
      <c r="S3605" s="74" t="s">
        <v>602</v>
      </c>
    </row>
    <row r="3606" spans="1:19" s="213" customFormat="1">
      <c r="A3606" s="42" t="s">
        <v>78</v>
      </c>
      <c r="B3606" s="3"/>
      <c r="C3606" s="3">
        <v>7</v>
      </c>
      <c r="D3606" s="1"/>
      <c r="E3606" s="20" t="s">
        <v>63</v>
      </c>
      <c r="F3606" s="7" t="s">
        <v>15</v>
      </c>
      <c r="G3606" s="7" t="s">
        <v>49</v>
      </c>
      <c r="H3606" s="11">
        <v>17.82</v>
      </c>
      <c r="I3606" s="8">
        <v>6.8</v>
      </c>
      <c r="J3606" s="26">
        <v>1</v>
      </c>
      <c r="K3606" s="10">
        <v>0.12117600000000001</v>
      </c>
      <c r="L3606" s="4"/>
      <c r="M3606" s="17">
        <v>1</v>
      </c>
      <c r="N3606" s="18">
        <v>0.12117600000000001</v>
      </c>
      <c r="O3606" s="19">
        <v>0</v>
      </c>
      <c r="P3606" s="13">
        <v>0</v>
      </c>
      <c r="Q3606" s="73">
        <v>6.1</v>
      </c>
      <c r="R3606" s="74">
        <v>1</v>
      </c>
      <c r="S3606" s="74" t="s">
        <v>602</v>
      </c>
    </row>
    <row r="3607" spans="1:19" s="213" customFormat="1">
      <c r="A3607" s="42" t="s">
        <v>78</v>
      </c>
      <c r="B3607" s="3"/>
      <c r="C3607" s="3">
        <v>7</v>
      </c>
      <c r="D3607" s="1"/>
      <c r="E3607" s="20" t="s">
        <v>63</v>
      </c>
      <c r="F3607" s="7" t="s">
        <v>15</v>
      </c>
      <c r="G3607" s="7" t="s">
        <v>49</v>
      </c>
      <c r="H3607" s="11">
        <v>17.82</v>
      </c>
      <c r="I3607" s="8">
        <v>7.6</v>
      </c>
      <c r="J3607" s="26">
        <v>1</v>
      </c>
      <c r="K3607" s="10">
        <v>0.135432</v>
      </c>
      <c r="L3607" s="4"/>
      <c r="M3607" s="17">
        <v>1</v>
      </c>
      <c r="N3607" s="18">
        <v>0.135432</v>
      </c>
      <c r="O3607" s="19">
        <v>0</v>
      </c>
      <c r="P3607" s="13">
        <v>0</v>
      </c>
      <c r="Q3607" s="73">
        <v>7.1</v>
      </c>
      <c r="R3607" s="74">
        <v>1</v>
      </c>
      <c r="S3607" s="74" t="s">
        <v>602</v>
      </c>
    </row>
    <row r="3608" spans="1:19" s="213" customFormat="1">
      <c r="A3608" s="42" t="s">
        <v>78</v>
      </c>
      <c r="B3608" s="3"/>
      <c r="C3608" s="3">
        <v>7</v>
      </c>
      <c r="D3608" s="1"/>
      <c r="E3608" s="20" t="s">
        <v>63</v>
      </c>
      <c r="F3608" s="7" t="s">
        <v>15</v>
      </c>
      <c r="G3608" s="7" t="s">
        <v>49</v>
      </c>
      <c r="H3608" s="11">
        <v>17.82</v>
      </c>
      <c r="I3608" s="8">
        <v>8</v>
      </c>
      <c r="J3608" s="26">
        <v>3</v>
      </c>
      <c r="K3608" s="10">
        <v>0.42768</v>
      </c>
      <c r="L3608" s="4"/>
      <c r="M3608" s="17">
        <v>3</v>
      </c>
      <c r="N3608" s="18">
        <v>0.42768</v>
      </c>
      <c r="O3608" s="19">
        <v>0</v>
      </c>
      <c r="P3608" s="13">
        <v>0</v>
      </c>
      <c r="Q3608" s="73">
        <v>7.1</v>
      </c>
      <c r="R3608" s="74">
        <v>1</v>
      </c>
      <c r="S3608" s="74" t="s">
        <v>602</v>
      </c>
    </row>
    <row r="3609" spans="1:19" s="213" customFormat="1">
      <c r="A3609" s="42" t="s">
        <v>90</v>
      </c>
      <c r="B3609" s="3"/>
      <c r="C3609" s="3">
        <v>244</v>
      </c>
      <c r="D3609" s="1"/>
      <c r="E3609" s="20" t="s">
        <v>88</v>
      </c>
      <c r="F3609" s="7" t="s">
        <v>15</v>
      </c>
      <c r="G3609" s="7" t="s">
        <v>49</v>
      </c>
      <c r="H3609" s="11">
        <v>17.82</v>
      </c>
      <c r="I3609" s="8">
        <v>6.6</v>
      </c>
      <c r="J3609" s="26">
        <v>15</v>
      </c>
      <c r="K3609" s="10">
        <v>1.7641799999999999</v>
      </c>
      <c r="L3609" s="4"/>
      <c r="M3609" s="17">
        <v>6</v>
      </c>
      <c r="N3609" s="18">
        <v>0.70567199999999997</v>
      </c>
      <c r="O3609" s="19">
        <v>9</v>
      </c>
      <c r="P3609" s="13">
        <v>1.058508</v>
      </c>
      <c r="Q3609" s="73">
        <v>6.1</v>
      </c>
      <c r="R3609" s="72">
        <v>6</v>
      </c>
      <c r="S3609" s="74" t="s">
        <v>602</v>
      </c>
    </row>
    <row r="3610" spans="1:19" s="213" customFormat="1">
      <c r="A3610" s="47" t="s">
        <v>147</v>
      </c>
      <c r="B3610" s="48" t="s">
        <v>148</v>
      </c>
      <c r="C3610" s="32">
        <v>280</v>
      </c>
      <c r="D3610" s="32"/>
      <c r="E3610" s="69" t="s">
        <v>20</v>
      </c>
      <c r="F3610" s="69" t="s">
        <v>160</v>
      </c>
      <c r="G3610" s="69" t="s">
        <v>49</v>
      </c>
      <c r="H3610" s="61">
        <v>17.82</v>
      </c>
      <c r="I3610" s="21">
        <v>6.4</v>
      </c>
      <c r="J3610" s="60">
        <v>1</v>
      </c>
      <c r="K3610" s="62">
        <v>0.114048</v>
      </c>
      <c r="L3610" s="256" t="s">
        <v>46</v>
      </c>
      <c r="M3610" s="67"/>
      <c r="N3610" s="63">
        <v>0</v>
      </c>
      <c r="O3610" s="64">
        <v>1</v>
      </c>
      <c r="P3610" s="65">
        <v>0.114048</v>
      </c>
      <c r="Q3610" s="32"/>
      <c r="R3610" s="32"/>
      <c r="S3610" s="32"/>
    </row>
    <row r="3611" spans="1:19" s="213" customFormat="1">
      <c r="A3611" s="47" t="s">
        <v>147</v>
      </c>
      <c r="B3611" s="48" t="s">
        <v>148</v>
      </c>
      <c r="C3611" s="32">
        <v>289</v>
      </c>
      <c r="D3611" s="32" t="s">
        <v>102</v>
      </c>
      <c r="E3611" s="48" t="s">
        <v>20</v>
      </c>
      <c r="F3611" s="48" t="s">
        <v>160</v>
      </c>
      <c r="G3611" s="48" t="s">
        <v>49</v>
      </c>
      <c r="H3611" s="11">
        <v>17.82</v>
      </c>
      <c r="I3611" s="8">
        <v>9.5</v>
      </c>
      <c r="J3611" s="7">
        <v>1</v>
      </c>
      <c r="K3611" s="10">
        <v>0.16929</v>
      </c>
      <c r="L3611" s="32"/>
      <c r="M3611" s="32"/>
      <c r="N3611" s="18">
        <v>0</v>
      </c>
      <c r="O3611" s="19">
        <v>1</v>
      </c>
      <c r="P3611" s="13">
        <v>0.16929</v>
      </c>
      <c r="Q3611" s="32"/>
      <c r="R3611" s="32"/>
      <c r="S3611" s="32"/>
    </row>
    <row r="3612" spans="1:19" s="213" customFormat="1">
      <c r="A3612" s="44" t="s">
        <v>78</v>
      </c>
      <c r="B3612" s="3" t="s">
        <v>80</v>
      </c>
      <c r="C3612" s="3">
        <v>1</v>
      </c>
      <c r="D3612" s="1"/>
      <c r="E3612" s="20" t="s">
        <v>20</v>
      </c>
      <c r="F3612" s="7" t="s">
        <v>15</v>
      </c>
      <c r="G3612" s="7" t="s">
        <v>49</v>
      </c>
      <c r="H3612" s="11">
        <v>17.82</v>
      </c>
      <c r="I3612" s="8">
        <v>11</v>
      </c>
      <c r="J3612" s="26">
        <v>1</v>
      </c>
      <c r="K3612" s="10">
        <v>0.19602</v>
      </c>
      <c r="L3612" s="4"/>
      <c r="M3612" s="17"/>
      <c r="N3612" s="18">
        <v>0</v>
      </c>
      <c r="O3612" s="19">
        <v>1</v>
      </c>
      <c r="P3612" s="13">
        <v>0.19602</v>
      </c>
      <c r="Q3612" s="2"/>
      <c r="R3612" s="2"/>
      <c r="S3612" s="2"/>
    </row>
    <row r="3613" spans="1:19" s="213" customFormat="1">
      <c r="A3613" s="45" t="s">
        <v>136</v>
      </c>
      <c r="B3613" s="32" t="s">
        <v>137</v>
      </c>
      <c r="C3613" s="3">
        <v>4</v>
      </c>
      <c r="D3613" s="32"/>
      <c r="E3613" s="24" t="s">
        <v>139</v>
      </c>
      <c r="F3613" s="60" t="s">
        <v>15</v>
      </c>
      <c r="G3613" s="60" t="s">
        <v>49</v>
      </c>
      <c r="H3613" s="61">
        <v>17.82</v>
      </c>
      <c r="I3613" s="446">
        <v>7.2</v>
      </c>
      <c r="J3613" s="67">
        <v>1</v>
      </c>
      <c r="K3613" s="62">
        <v>0.128304</v>
      </c>
      <c r="L3613" s="253" t="s">
        <v>135</v>
      </c>
      <c r="M3613" s="22"/>
      <c r="N3613" s="63">
        <v>0</v>
      </c>
      <c r="O3613" s="64">
        <v>1</v>
      </c>
      <c r="P3613" s="65">
        <v>0.128304</v>
      </c>
      <c r="Q3613" s="33"/>
      <c r="R3613" s="32"/>
      <c r="S3613" s="32"/>
    </row>
    <row r="3614" spans="1:19" s="213" customFormat="1">
      <c r="A3614" s="45" t="s">
        <v>136</v>
      </c>
      <c r="B3614" s="32" t="s">
        <v>137</v>
      </c>
      <c r="C3614" s="3">
        <v>98</v>
      </c>
      <c r="D3614" s="32"/>
      <c r="E3614" s="20" t="s">
        <v>113</v>
      </c>
      <c r="F3614" s="7" t="s">
        <v>15</v>
      </c>
      <c r="G3614" s="7" t="s">
        <v>49</v>
      </c>
      <c r="H3614" s="11">
        <v>17.82</v>
      </c>
      <c r="I3614" s="55">
        <v>12</v>
      </c>
      <c r="J3614" s="41">
        <v>1</v>
      </c>
      <c r="K3614" s="10">
        <v>0.21384</v>
      </c>
      <c r="L3614" s="4"/>
      <c r="M3614" s="17"/>
      <c r="N3614" s="18">
        <v>0</v>
      </c>
      <c r="O3614" s="19">
        <v>1</v>
      </c>
      <c r="P3614" s="13">
        <v>0.21384</v>
      </c>
      <c r="Q3614" s="32"/>
      <c r="R3614" s="32"/>
      <c r="S3614" s="32"/>
    </row>
    <row r="3615" spans="1:19" s="213" customFormat="1">
      <c r="O3615" s="215">
        <f>SUM(O3601:O3614)</f>
        <v>16</v>
      </c>
      <c r="R3615" s="215">
        <f>SUM(R3601:R3614)</f>
        <v>15</v>
      </c>
    </row>
    <row r="3616" spans="1:19" s="213" customFormat="1">
      <c r="O3616" s="215"/>
      <c r="R3616" s="215"/>
    </row>
    <row r="3617" spans="1:18" s="213" customFormat="1">
      <c r="O3617" s="215"/>
      <c r="R3617" s="215"/>
    </row>
    <row r="3618" spans="1:18" s="213" customFormat="1" ht="15.6">
      <c r="A3618" s="110" t="s">
        <v>365</v>
      </c>
      <c r="B3618" s="111" t="s">
        <v>232</v>
      </c>
      <c r="C3618" s="112" t="s">
        <v>228</v>
      </c>
      <c r="D3618" s="113" t="s">
        <v>382</v>
      </c>
      <c r="E3618" s="114" t="s">
        <v>15</v>
      </c>
      <c r="F3618" s="115" t="s">
        <v>49</v>
      </c>
      <c r="G3618" s="116">
        <v>17.899999999999999</v>
      </c>
      <c r="H3618" s="125">
        <v>9.1</v>
      </c>
      <c r="I3618" s="111">
        <v>19</v>
      </c>
      <c r="J3618" s="117">
        <f t="shared" ref="J3618:J3637" si="414">H3618*G3618*I3618/1000</f>
        <v>3.09491</v>
      </c>
      <c r="K3618" s="118"/>
      <c r="L3618" s="111">
        <v>19</v>
      </c>
      <c r="M3618" s="117">
        <f t="shared" ref="M3618:M3640" si="415">H3618*L3618*G3618/1000</f>
        <v>3.09491</v>
      </c>
      <c r="N3618" s="119">
        <f t="shared" ref="N3618:N3640" si="416">I3618-L3618</f>
        <v>0</v>
      </c>
      <c r="O3618" s="120">
        <f t="shared" ref="O3618:O3640" si="417">H3618*N3618*G3618/1000</f>
        <v>0</v>
      </c>
      <c r="P3618" s="111"/>
      <c r="Q3618" s="32"/>
    </row>
    <row r="3619" spans="1:18" s="213" customFormat="1" ht="15.6">
      <c r="A3619" s="110" t="s">
        <v>365</v>
      </c>
      <c r="B3619" s="111" t="s">
        <v>232</v>
      </c>
      <c r="C3619" s="112" t="s">
        <v>228</v>
      </c>
      <c r="D3619" s="113" t="s">
        <v>382</v>
      </c>
      <c r="E3619" s="114" t="s">
        <v>15</v>
      </c>
      <c r="F3619" s="115" t="s">
        <v>49</v>
      </c>
      <c r="G3619" s="116">
        <v>17.899999999999999</v>
      </c>
      <c r="H3619" s="125">
        <v>9.6999999999999993</v>
      </c>
      <c r="I3619" s="111">
        <v>18</v>
      </c>
      <c r="J3619" s="117">
        <f t="shared" si="414"/>
        <v>3.1253399999999991</v>
      </c>
      <c r="K3619" s="118"/>
      <c r="L3619" s="111">
        <v>18</v>
      </c>
      <c r="M3619" s="117">
        <f t="shared" si="415"/>
        <v>3.1253399999999996</v>
      </c>
      <c r="N3619" s="119">
        <f t="shared" si="416"/>
        <v>0</v>
      </c>
      <c r="O3619" s="120">
        <f t="shared" si="417"/>
        <v>0</v>
      </c>
      <c r="P3619" s="111"/>
      <c r="Q3619" s="32"/>
    </row>
    <row r="3620" spans="1:18" s="213" customFormat="1" ht="15.6">
      <c r="A3620" s="110" t="s">
        <v>365</v>
      </c>
      <c r="B3620" s="111" t="s">
        <v>232</v>
      </c>
      <c r="C3620" s="112" t="s">
        <v>228</v>
      </c>
      <c r="D3620" s="113" t="s">
        <v>382</v>
      </c>
      <c r="E3620" s="114" t="s">
        <v>15</v>
      </c>
      <c r="F3620" s="115" t="s">
        <v>49</v>
      </c>
      <c r="G3620" s="116">
        <v>17.899999999999999</v>
      </c>
      <c r="H3620" s="125">
        <v>11.7</v>
      </c>
      <c r="I3620" s="111">
        <v>15</v>
      </c>
      <c r="J3620" s="117">
        <f t="shared" si="414"/>
        <v>3.1414499999999999</v>
      </c>
      <c r="K3620" s="118"/>
      <c r="L3620" s="111">
        <v>15</v>
      </c>
      <c r="M3620" s="117">
        <f t="shared" si="415"/>
        <v>3.1414499999999999</v>
      </c>
      <c r="N3620" s="119">
        <f t="shared" si="416"/>
        <v>0</v>
      </c>
      <c r="O3620" s="120">
        <f t="shared" si="417"/>
        <v>0</v>
      </c>
      <c r="P3620" s="111"/>
      <c r="Q3620" s="32"/>
    </row>
    <row r="3621" spans="1:18" s="213" customFormat="1" ht="15.6">
      <c r="A3621" s="110" t="s">
        <v>365</v>
      </c>
      <c r="B3621" s="111" t="s">
        <v>232</v>
      </c>
      <c r="C3621" s="112" t="s">
        <v>228</v>
      </c>
      <c r="D3621" s="113" t="s">
        <v>382</v>
      </c>
      <c r="E3621" s="114" t="s">
        <v>15</v>
      </c>
      <c r="F3621" s="115" t="s">
        <v>49</v>
      </c>
      <c r="G3621" s="116">
        <v>17.899999999999999</v>
      </c>
      <c r="H3621" s="125">
        <v>9.6999999999999993</v>
      </c>
      <c r="I3621" s="111">
        <v>18</v>
      </c>
      <c r="J3621" s="117">
        <f t="shared" si="414"/>
        <v>3.1253399999999991</v>
      </c>
      <c r="K3621" s="118"/>
      <c r="L3621" s="111">
        <v>18</v>
      </c>
      <c r="M3621" s="117">
        <f t="shared" si="415"/>
        <v>3.1253399999999996</v>
      </c>
      <c r="N3621" s="119">
        <f t="shared" si="416"/>
        <v>0</v>
      </c>
      <c r="O3621" s="120">
        <f t="shared" si="417"/>
        <v>0</v>
      </c>
      <c r="P3621" s="111"/>
      <c r="Q3621" s="32"/>
    </row>
    <row r="3622" spans="1:18" s="213" customFormat="1" ht="15.6">
      <c r="A3622" s="110" t="s">
        <v>365</v>
      </c>
      <c r="B3622" s="111" t="s">
        <v>232</v>
      </c>
      <c r="C3622" s="112" t="s">
        <v>228</v>
      </c>
      <c r="D3622" s="113" t="s">
        <v>382</v>
      </c>
      <c r="E3622" s="114" t="s">
        <v>15</v>
      </c>
      <c r="F3622" s="115" t="s">
        <v>49</v>
      </c>
      <c r="G3622" s="116">
        <v>17.899999999999999</v>
      </c>
      <c r="H3622" s="125">
        <v>9.3000000000000007</v>
      </c>
      <c r="I3622" s="111">
        <v>18</v>
      </c>
      <c r="J3622" s="117">
        <f t="shared" si="414"/>
        <v>2.9964599999999999</v>
      </c>
      <c r="K3622" s="118"/>
      <c r="L3622" s="111">
        <v>18</v>
      </c>
      <c r="M3622" s="117">
        <f t="shared" si="415"/>
        <v>2.9964599999999999</v>
      </c>
      <c r="N3622" s="119">
        <f t="shared" si="416"/>
        <v>0</v>
      </c>
      <c r="O3622" s="120">
        <f t="shared" si="417"/>
        <v>0</v>
      </c>
      <c r="P3622" s="111"/>
      <c r="Q3622" s="32"/>
    </row>
    <row r="3623" spans="1:18" s="213" customFormat="1" ht="15.6">
      <c r="A3623" s="110" t="s">
        <v>365</v>
      </c>
      <c r="B3623" s="111" t="s">
        <v>232</v>
      </c>
      <c r="C3623" s="112" t="s">
        <v>228</v>
      </c>
      <c r="D3623" s="113" t="s">
        <v>382</v>
      </c>
      <c r="E3623" s="114" t="s">
        <v>15</v>
      </c>
      <c r="F3623" s="115" t="s">
        <v>49</v>
      </c>
      <c r="G3623" s="116">
        <v>17.899999999999999</v>
      </c>
      <c r="H3623" s="125">
        <v>7.7</v>
      </c>
      <c r="I3623" s="111">
        <v>1</v>
      </c>
      <c r="J3623" s="117">
        <f t="shared" si="414"/>
        <v>0.13782999999999998</v>
      </c>
      <c r="K3623" s="118"/>
      <c r="L3623" s="111">
        <v>1</v>
      </c>
      <c r="M3623" s="117">
        <f t="shared" si="415"/>
        <v>0.13782999999999998</v>
      </c>
      <c r="N3623" s="119">
        <f t="shared" si="416"/>
        <v>0</v>
      </c>
      <c r="O3623" s="120">
        <f t="shared" si="417"/>
        <v>0</v>
      </c>
      <c r="P3623" s="111"/>
      <c r="Q3623" s="32"/>
    </row>
    <row r="3624" spans="1:18" s="213" customFormat="1" ht="15.6">
      <c r="A3624" s="110" t="s">
        <v>365</v>
      </c>
      <c r="B3624" s="111" t="s">
        <v>232</v>
      </c>
      <c r="C3624" s="112" t="s">
        <v>228</v>
      </c>
      <c r="D3624" s="113" t="s">
        <v>382</v>
      </c>
      <c r="E3624" s="114" t="s">
        <v>15</v>
      </c>
      <c r="F3624" s="115" t="s">
        <v>49</v>
      </c>
      <c r="G3624" s="116">
        <v>17.899999999999999</v>
      </c>
      <c r="H3624" s="125">
        <v>9.1</v>
      </c>
      <c r="I3624" s="111">
        <v>16</v>
      </c>
      <c r="J3624" s="117">
        <f t="shared" si="414"/>
        <v>2.6062399999999997</v>
      </c>
      <c r="K3624" s="118"/>
      <c r="L3624" s="111">
        <v>16</v>
      </c>
      <c r="M3624" s="117">
        <f t="shared" si="415"/>
        <v>2.6062399999999997</v>
      </c>
      <c r="N3624" s="119">
        <f t="shared" si="416"/>
        <v>0</v>
      </c>
      <c r="O3624" s="120">
        <f t="shared" si="417"/>
        <v>0</v>
      </c>
      <c r="P3624" s="111"/>
      <c r="Q3624" s="32"/>
    </row>
    <row r="3625" spans="1:18" s="213" customFormat="1" ht="15.6">
      <c r="A3625" s="110" t="s">
        <v>365</v>
      </c>
      <c r="B3625" s="111" t="s">
        <v>232</v>
      </c>
      <c r="C3625" s="112" t="s">
        <v>228</v>
      </c>
      <c r="D3625" s="113" t="s">
        <v>382</v>
      </c>
      <c r="E3625" s="114" t="s">
        <v>15</v>
      </c>
      <c r="F3625" s="115" t="s">
        <v>49</v>
      </c>
      <c r="G3625" s="116">
        <v>17.899999999999999</v>
      </c>
      <c r="H3625" s="125">
        <v>7.25</v>
      </c>
      <c r="I3625" s="111">
        <v>1</v>
      </c>
      <c r="J3625" s="117">
        <f t="shared" si="414"/>
        <v>0.12977499999999997</v>
      </c>
      <c r="K3625" s="118"/>
      <c r="L3625" s="111">
        <v>1</v>
      </c>
      <c r="M3625" s="117">
        <f t="shared" si="415"/>
        <v>0.12977499999999997</v>
      </c>
      <c r="N3625" s="119">
        <f t="shared" si="416"/>
        <v>0</v>
      </c>
      <c r="O3625" s="120">
        <f t="shared" si="417"/>
        <v>0</v>
      </c>
      <c r="P3625" s="450">
        <v>7.1</v>
      </c>
      <c r="Q3625" s="451">
        <v>1</v>
      </c>
      <c r="R3625" s="170" t="s">
        <v>604</v>
      </c>
    </row>
    <row r="3626" spans="1:18" s="213" customFormat="1" ht="15.6">
      <c r="A3626" s="110" t="s">
        <v>365</v>
      </c>
      <c r="B3626" s="111" t="s">
        <v>232</v>
      </c>
      <c r="C3626" s="112" t="s">
        <v>228</v>
      </c>
      <c r="D3626" s="113" t="s">
        <v>382</v>
      </c>
      <c r="E3626" s="114" t="s">
        <v>15</v>
      </c>
      <c r="F3626" s="115" t="s">
        <v>49</v>
      </c>
      <c r="G3626" s="116">
        <v>17.899999999999999</v>
      </c>
      <c r="H3626" s="125">
        <v>10.7</v>
      </c>
      <c r="I3626" s="111">
        <v>1</v>
      </c>
      <c r="J3626" s="117">
        <f t="shared" si="414"/>
        <v>0.19152999999999998</v>
      </c>
      <c r="K3626" s="118"/>
      <c r="L3626" s="111">
        <v>1</v>
      </c>
      <c r="M3626" s="117">
        <f t="shared" si="415"/>
        <v>0.19152999999999998</v>
      </c>
      <c r="N3626" s="119">
        <f t="shared" si="416"/>
        <v>0</v>
      </c>
      <c r="O3626" s="120">
        <f t="shared" si="417"/>
        <v>0</v>
      </c>
      <c r="P3626" s="450">
        <v>7.1</v>
      </c>
      <c r="Q3626" s="451">
        <v>1</v>
      </c>
      <c r="R3626" s="170" t="s">
        <v>604</v>
      </c>
    </row>
    <row r="3627" spans="1:18" s="213" customFormat="1" ht="15.6">
      <c r="A3627" s="110" t="s">
        <v>365</v>
      </c>
      <c r="B3627" s="111" t="s">
        <v>232</v>
      </c>
      <c r="C3627" s="112" t="s">
        <v>228</v>
      </c>
      <c r="D3627" s="113" t="s">
        <v>382</v>
      </c>
      <c r="E3627" s="114" t="s">
        <v>15</v>
      </c>
      <c r="F3627" s="115" t="s">
        <v>49</v>
      </c>
      <c r="G3627" s="116">
        <v>17.899999999999999</v>
      </c>
      <c r="H3627" s="125">
        <v>7.7</v>
      </c>
      <c r="I3627" s="111">
        <v>2</v>
      </c>
      <c r="J3627" s="117">
        <f t="shared" si="414"/>
        <v>0.27565999999999996</v>
      </c>
      <c r="K3627" s="118"/>
      <c r="L3627" s="111">
        <v>2</v>
      </c>
      <c r="M3627" s="117">
        <f t="shared" si="415"/>
        <v>0.27565999999999996</v>
      </c>
      <c r="N3627" s="119">
        <f t="shared" si="416"/>
        <v>0</v>
      </c>
      <c r="O3627" s="120">
        <f t="shared" si="417"/>
        <v>0</v>
      </c>
      <c r="P3627" s="94"/>
      <c r="Q3627" s="93"/>
      <c r="R3627" s="170"/>
    </row>
    <row r="3628" spans="1:18" s="213" customFormat="1" ht="15.6">
      <c r="A3628" s="110" t="s">
        <v>365</v>
      </c>
      <c r="B3628" s="111" t="s">
        <v>232</v>
      </c>
      <c r="C3628" s="112" t="s">
        <v>228</v>
      </c>
      <c r="D3628" s="113" t="s">
        <v>382</v>
      </c>
      <c r="E3628" s="114" t="s">
        <v>15</v>
      </c>
      <c r="F3628" s="115" t="s">
        <v>49</v>
      </c>
      <c r="G3628" s="116">
        <v>17.899999999999999</v>
      </c>
      <c r="H3628" s="125">
        <v>9.1</v>
      </c>
      <c r="I3628" s="111">
        <v>18</v>
      </c>
      <c r="J3628" s="117">
        <f t="shared" si="414"/>
        <v>2.9320199999999996</v>
      </c>
      <c r="K3628" s="118"/>
      <c r="L3628" s="111">
        <v>18</v>
      </c>
      <c r="M3628" s="117">
        <f t="shared" si="415"/>
        <v>2.9320199999999996</v>
      </c>
      <c r="N3628" s="119">
        <f t="shared" si="416"/>
        <v>0</v>
      </c>
      <c r="O3628" s="120">
        <f t="shared" si="417"/>
        <v>0</v>
      </c>
      <c r="P3628" s="159"/>
      <c r="Q3628" s="32"/>
    </row>
    <row r="3629" spans="1:18" s="213" customFormat="1" ht="15.6">
      <c r="A3629" s="110" t="s">
        <v>365</v>
      </c>
      <c r="B3629" s="111" t="s">
        <v>232</v>
      </c>
      <c r="C3629" s="112" t="s">
        <v>228</v>
      </c>
      <c r="D3629" s="113" t="s">
        <v>382</v>
      </c>
      <c r="E3629" s="114" t="s">
        <v>15</v>
      </c>
      <c r="F3629" s="115" t="s">
        <v>49</v>
      </c>
      <c r="G3629" s="116">
        <v>17.899999999999999</v>
      </c>
      <c r="H3629" s="125">
        <v>9.3000000000000007</v>
      </c>
      <c r="I3629" s="111">
        <v>5</v>
      </c>
      <c r="J3629" s="117">
        <f t="shared" si="414"/>
        <v>0.83235000000000003</v>
      </c>
      <c r="K3629" s="118"/>
      <c r="L3629" s="111">
        <v>5</v>
      </c>
      <c r="M3629" s="117">
        <f t="shared" si="415"/>
        <v>0.83234999999999992</v>
      </c>
      <c r="N3629" s="119">
        <f t="shared" si="416"/>
        <v>0</v>
      </c>
      <c r="O3629" s="120">
        <f t="shared" si="417"/>
        <v>0</v>
      </c>
      <c r="P3629" s="159"/>
      <c r="Q3629" s="32"/>
    </row>
    <row r="3630" spans="1:18" s="213" customFormat="1" ht="15.6">
      <c r="A3630" s="110" t="s">
        <v>365</v>
      </c>
      <c r="B3630" s="111" t="s">
        <v>232</v>
      </c>
      <c r="C3630" s="112" t="s">
        <v>228</v>
      </c>
      <c r="D3630" s="113" t="s">
        <v>382</v>
      </c>
      <c r="E3630" s="114" t="s">
        <v>15</v>
      </c>
      <c r="F3630" s="115" t="s">
        <v>49</v>
      </c>
      <c r="G3630" s="116">
        <v>17.899999999999999</v>
      </c>
      <c r="H3630" s="125">
        <v>9.6999999999999993</v>
      </c>
      <c r="I3630" s="111">
        <v>4</v>
      </c>
      <c r="J3630" s="117">
        <f t="shared" si="414"/>
        <v>0.69451999999999992</v>
      </c>
      <c r="K3630" s="118"/>
      <c r="L3630" s="111">
        <f>3+1</f>
        <v>4</v>
      </c>
      <c r="M3630" s="117">
        <f t="shared" si="415"/>
        <v>0.69451999999999992</v>
      </c>
      <c r="N3630" s="119">
        <f t="shared" si="416"/>
        <v>0</v>
      </c>
      <c r="O3630" s="120">
        <f t="shared" si="417"/>
        <v>0</v>
      </c>
      <c r="P3630" s="94">
        <v>7.1</v>
      </c>
      <c r="Q3630" s="93">
        <v>1</v>
      </c>
      <c r="R3630" s="170" t="s">
        <v>604</v>
      </c>
    </row>
    <row r="3631" spans="1:18" s="213" customFormat="1" ht="15.6">
      <c r="A3631" s="110" t="s">
        <v>365</v>
      </c>
      <c r="B3631" s="111" t="s">
        <v>232</v>
      </c>
      <c r="C3631" s="112" t="s">
        <v>228</v>
      </c>
      <c r="D3631" s="113" t="s">
        <v>382</v>
      </c>
      <c r="E3631" s="114" t="s">
        <v>15</v>
      </c>
      <c r="F3631" s="115" t="s">
        <v>49</v>
      </c>
      <c r="G3631" s="116">
        <v>17.899999999999999</v>
      </c>
      <c r="H3631" s="125">
        <v>11.7</v>
      </c>
      <c r="I3631" s="111">
        <v>3</v>
      </c>
      <c r="J3631" s="117">
        <f t="shared" si="414"/>
        <v>0.62829000000000002</v>
      </c>
      <c r="K3631" s="118"/>
      <c r="L3631" s="111">
        <v>3</v>
      </c>
      <c r="M3631" s="117">
        <f t="shared" si="415"/>
        <v>0.6282899999999999</v>
      </c>
      <c r="N3631" s="119">
        <f t="shared" si="416"/>
        <v>0</v>
      </c>
      <c r="O3631" s="120">
        <f t="shared" si="417"/>
        <v>0</v>
      </c>
      <c r="P3631" s="159"/>
      <c r="Q3631" s="32"/>
    </row>
    <row r="3632" spans="1:18" s="213" customFormat="1" ht="15.6">
      <c r="A3632" s="110" t="s">
        <v>365</v>
      </c>
      <c r="B3632" s="111" t="s">
        <v>232</v>
      </c>
      <c r="C3632" s="112" t="s">
        <v>228</v>
      </c>
      <c r="D3632" s="113" t="s">
        <v>382</v>
      </c>
      <c r="E3632" s="114" t="s">
        <v>15</v>
      </c>
      <c r="F3632" s="115" t="s">
        <v>49</v>
      </c>
      <c r="G3632" s="116">
        <v>17.899999999999999</v>
      </c>
      <c r="H3632" s="125">
        <v>11.5</v>
      </c>
      <c r="I3632" s="111">
        <v>1</v>
      </c>
      <c r="J3632" s="117">
        <f t="shared" si="414"/>
        <v>0.20585000000000001</v>
      </c>
      <c r="K3632" s="118"/>
      <c r="L3632" s="111">
        <v>1</v>
      </c>
      <c r="M3632" s="117">
        <f t="shared" si="415"/>
        <v>0.20585000000000001</v>
      </c>
      <c r="N3632" s="119">
        <f t="shared" si="416"/>
        <v>0</v>
      </c>
      <c r="O3632" s="120">
        <f t="shared" si="417"/>
        <v>0</v>
      </c>
      <c r="P3632" s="94">
        <v>7.1</v>
      </c>
      <c r="Q3632" s="93">
        <v>1</v>
      </c>
      <c r="R3632" s="170" t="s">
        <v>604</v>
      </c>
    </row>
    <row r="3633" spans="1:19" s="213" customFormat="1" ht="15.6">
      <c r="A3633" s="110" t="s">
        <v>365</v>
      </c>
      <c r="B3633" s="111" t="s">
        <v>232</v>
      </c>
      <c r="C3633" s="112" t="s">
        <v>228</v>
      </c>
      <c r="D3633" s="113" t="s">
        <v>382</v>
      </c>
      <c r="E3633" s="114" t="s">
        <v>15</v>
      </c>
      <c r="F3633" s="115" t="s">
        <v>49</v>
      </c>
      <c r="G3633" s="116">
        <v>17.899999999999999</v>
      </c>
      <c r="H3633" s="125">
        <v>11.1</v>
      </c>
      <c r="I3633" s="111">
        <v>1</v>
      </c>
      <c r="J3633" s="117">
        <f t="shared" si="414"/>
        <v>0.19868999999999998</v>
      </c>
      <c r="K3633" s="118"/>
      <c r="L3633" s="111">
        <v>1</v>
      </c>
      <c r="M3633" s="117">
        <f t="shared" si="415"/>
        <v>0.19868999999999998</v>
      </c>
      <c r="N3633" s="119">
        <f t="shared" si="416"/>
        <v>0</v>
      </c>
      <c r="O3633" s="120">
        <f t="shared" si="417"/>
        <v>0</v>
      </c>
      <c r="P3633" s="94">
        <v>7.1</v>
      </c>
      <c r="Q3633" s="93">
        <v>1</v>
      </c>
      <c r="R3633" s="170" t="s">
        <v>604</v>
      </c>
    </row>
    <row r="3634" spans="1:19" s="213" customFormat="1" ht="15.6">
      <c r="A3634" s="110" t="s">
        <v>365</v>
      </c>
      <c r="B3634" s="111" t="s">
        <v>232</v>
      </c>
      <c r="C3634" s="112" t="s">
        <v>228</v>
      </c>
      <c r="D3634" s="113" t="s">
        <v>382</v>
      </c>
      <c r="E3634" s="114" t="s">
        <v>15</v>
      </c>
      <c r="F3634" s="115" t="s">
        <v>49</v>
      </c>
      <c r="G3634" s="116">
        <v>17.899999999999999</v>
      </c>
      <c r="H3634" s="125">
        <v>8.9</v>
      </c>
      <c r="I3634" s="111">
        <v>1</v>
      </c>
      <c r="J3634" s="117">
        <f t="shared" si="414"/>
        <v>0.15931000000000001</v>
      </c>
      <c r="K3634" s="118"/>
      <c r="L3634" s="111">
        <v>1</v>
      </c>
      <c r="M3634" s="117">
        <f t="shared" si="415"/>
        <v>0.15931000000000001</v>
      </c>
      <c r="N3634" s="119">
        <f t="shared" si="416"/>
        <v>0</v>
      </c>
      <c r="O3634" s="120">
        <f t="shared" si="417"/>
        <v>0</v>
      </c>
      <c r="P3634" s="94">
        <v>7.1</v>
      </c>
      <c r="Q3634" s="93">
        <v>1</v>
      </c>
      <c r="R3634" s="170" t="s">
        <v>604</v>
      </c>
    </row>
    <row r="3635" spans="1:19" s="213" customFormat="1" ht="15.6">
      <c r="A3635" s="110" t="s">
        <v>365</v>
      </c>
      <c r="B3635" s="111" t="s">
        <v>232</v>
      </c>
      <c r="C3635" s="112" t="s">
        <v>228</v>
      </c>
      <c r="D3635" s="113" t="s">
        <v>382</v>
      </c>
      <c r="E3635" s="114" t="s">
        <v>15</v>
      </c>
      <c r="F3635" s="115" t="s">
        <v>49</v>
      </c>
      <c r="G3635" s="116">
        <v>17.899999999999999</v>
      </c>
      <c r="H3635" s="125">
        <v>7</v>
      </c>
      <c r="I3635" s="111">
        <v>1</v>
      </c>
      <c r="J3635" s="117">
        <f t="shared" si="414"/>
        <v>0.12529999999999999</v>
      </c>
      <c r="K3635" s="118"/>
      <c r="L3635" s="111">
        <v>1</v>
      </c>
      <c r="M3635" s="117">
        <f t="shared" si="415"/>
        <v>0.12529999999999999</v>
      </c>
      <c r="N3635" s="119">
        <f t="shared" si="416"/>
        <v>0</v>
      </c>
      <c r="O3635" s="120">
        <f t="shared" si="417"/>
        <v>0</v>
      </c>
      <c r="P3635" s="94">
        <v>7.1</v>
      </c>
      <c r="Q3635" s="93">
        <v>1</v>
      </c>
      <c r="R3635" s="170" t="s">
        <v>604</v>
      </c>
    </row>
    <row r="3636" spans="1:19" s="213" customFormat="1" ht="15.6">
      <c r="A3636" s="110" t="s">
        <v>365</v>
      </c>
      <c r="B3636" s="111" t="s">
        <v>232</v>
      </c>
      <c r="C3636" s="112" t="s">
        <v>228</v>
      </c>
      <c r="D3636" s="113" t="s">
        <v>382</v>
      </c>
      <c r="E3636" s="114" t="s">
        <v>15</v>
      </c>
      <c r="F3636" s="115" t="s">
        <v>49</v>
      </c>
      <c r="G3636" s="116">
        <v>17.899999999999999</v>
      </c>
      <c r="H3636" s="125">
        <v>9.1</v>
      </c>
      <c r="I3636" s="111">
        <v>9</v>
      </c>
      <c r="J3636" s="117">
        <f t="shared" si="414"/>
        <v>1.4660099999999998</v>
      </c>
      <c r="K3636" s="118"/>
      <c r="L3636" s="111">
        <v>9</v>
      </c>
      <c r="M3636" s="117">
        <f t="shared" si="415"/>
        <v>1.4660099999999998</v>
      </c>
      <c r="N3636" s="119">
        <f t="shared" si="416"/>
        <v>0</v>
      </c>
      <c r="O3636" s="120">
        <f t="shared" si="417"/>
        <v>0</v>
      </c>
      <c r="P3636" s="159"/>
      <c r="Q3636" s="32"/>
    </row>
    <row r="3637" spans="1:19" s="213" customFormat="1" ht="15.6">
      <c r="A3637" s="110" t="s">
        <v>365</v>
      </c>
      <c r="B3637" s="111" t="s">
        <v>232</v>
      </c>
      <c r="C3637" s="112" t="s">
        <v>228</v>
      </c>
      <c r="D3637" s="113" t="s">
        <v>382</v>
      </c>
      <c r="E3637" s="114" t="s">
        <v>15</v>
      </c>
      <c r="F3637" s="115" t="s">
        <v>49</v>
      </c>
      <c r="G3637" s="116">
        <v>17.899999999999999</v>
      </c>
      <c r="H3637" s="125">
        <v>9.1</v>
      </c>
      <c r="I3637" s="111">
        <v>17</v>
      </c>
      <c r="J3637" s="117">
        <f t="shared" si="414"/>
        <v>2.7691299999999996</v>
      </c>
      <c r="K3637" s="118"/>
      <c r="L3637" s="111">
        <v>17</v>
      </c>
      <c r="M3637" s="117">
        <f t="shared" si="415"/>
        <v>2.7691299999999996</v>
      </c>
      <c r="N3637" s="119">
        <f t="shared" si="416"/>
        <v>0</v>
      </c>
      <c r="O3637" s="120">
        <f t="shared" si="417"/>
        <v>0</v>
      </c>
      <c r="P3637" s="159"/>
      <c r="Q3637" s="32"/>
    </row>
    <row r="3638" spans="1:19" s="213" customFormat="1" ht="15.6">
      <c r="A3638" s="110" t="s">
        <v>365</v>
      </c>
      <c r="B3638" s="111" t="s">
        <v>232</v>
      </c>
      <c r="C3638" s="112" t="s">
        <v>228</v>
      </c>
      <c r="D3638" s="113" t="s">
        <v>382</v>
      </c>
      <c r="E3638" s="114" t="s">
        <v>15</v>
      </c>
      <c r="F3638" s="115" t="s">
        <v>49</v>
      </c>
      <c r="G3638" s="116">
        <v>17.899999999999999</v>
      </c>
      <c r="H3638" s="125">
        <v>9.3000000000000007</v>
      </c>
      <c r="I3638" s="111">
        <v>13</v>
      </c>
      <c r="J3638" s="117">
        <f>H3638*G3638*I3638/1000</f>
        <v>2.16411</v>
      </c>
      <c r="K3638" s="118"/>
      <c r="L3638" s="111">
        <v>13</v>
      </c>
      <c r="M3638" s="117">
        <f t="shared" si="415"/>
        <v>2.16411</v>
      </c>
      <c r="N3638" s="119">
        <f t="shared" si="416"/>
        <v>0</v>
      </c>
      <c r="O3638" s="120">
        <f t="shared" si="417"/>
        <v>0</v>
      </c>
      <c r="P3638" s="159"/>
      <c r="Q3638" s="32"/>
    </row>
    <row r="3639" spans="1:19" s="213" customFormat="1" ht="15.6">
      <c r="A3639" s="110" t="s">
        <v>365</v>
      </c>
      <c r="B3639" s="111" t="s">
        <v>232</v>
      </c>
      <c r="C3639" s="112" t="s">
        <v>228</v>
      </c>
      <c r="D3639" s="113" t="s">
        <v>382</v>
      </c>
      <c r="E3639" s="114" t="s">
        <v>15</v>
      </c>
      <c r="F3639" s="115" t="s">
        <v>49</v>
      </c>
      <c r="G3639" s="116">
        <v>17.899999999999999</v>
      </c>
      <c r="H3639" s="125">
        <v>9.6999999999999993</v>
      </c>
      <c r="I3639" s="111">
        <v>19</v>
      </c>
      <c r="J3639" s="117">
        <f>H3639*G3639*I3639/1000</f>
        <v>3.2989699999999993</v>
      </c>
      <c r="K3639" s="118"/>
      <c r="L3639" s="111">
        <f>16+2+1</f>
        <v>19</v>
      </c>
      <c r="M3639" s="117">
        <f t="shared" si="415"/>
        <v>3.2989699999999993</v>
      </c>
      <c r="N3639" s="119">
        <f t="shared" si="416"/>
        <v>0</v>
      </c>
      <c r="O3639" s="120">
        <f t="shared" si="417"/>
        <v>0</v>
      </c>
      <c r="P3639" s="94">
        <v>7.1</v>
      </c>
      <c r="Q3639" s="93">
        <v>1</v>
      </c>
      <c r="R3639" s="170" t="s">
        <v>604</v>
      </c>
    </row>
    <row r="3640" spans="1:19" s="213" customFormat="1" ht="15.6">
      <c r="A3640" s="110" t="s">
        <v>365</v>
      </c>
      <c r="B3640" s="111" t="s">
        <v>232</v>
      </c>
      <c r="C3640" s="112" t="s">
        <v>228</v>
      </c>
      <c r="D3640" s="113" t="s">
        <v>382</v>
      </c>
      <c r="E3640" s="114" t="s">
        <v>15</v>
      </c>
      <c r="F3640" s="115" t="s">
        <v>49</v>
      </c>
      <c r="G3640" s="116">
        <v>17.899999999999999</v>
      </c>
      <c r="H3640" s="125">
        <v>11.7</v>
      </c>
      <c r="I3640" s="111">
        <v>5</v>
      </c>
      <c r="J3640" s="117">
        <f>H3640*G3640*I3640/1000</f>
        <v>1.0471499999999998</v>
      </c>
      <c r="K3640" s="118"/>
      <c r="L3640" s="111">
        <v>5</v>
      </c>
      <c r="M3640" s="117">
        <f t="shared" si="415"/>
        <v>1.0471499999999998</v>
      </c>
      <c r="N3640" s="119">
        <f t="shared" si="416"/>
        <v>0</v>
      </c>
      <c r="O3640" s="120">
        <f t="shared" si="417"/>
        <v>0</v>
      </c>
      <c r="P3640" s="111"/>
      <c r="Q3640" s="32"/>
    </row>
    <row r="3641" spans="1:19" s="213" customFormat="1">
      <c r="I3641" s="215">
        <f>SUM(I3618:I3640)</f>
        <v>206</v>
      </c>
      <c r="J3641" s="214">
        <f>SUM(J3618:J3640)</f>
        <v>35.346235000000007</v>
      </c>
      <c r="L3641" s="215">
        <f>SUM(L3618:L3640)</f>
        <v>206</v>
      </c>
      <c r="M3641" s="214">
        <f>SUM(M3618:M3640)</f>
        <v>35.346235</v>
      </c>
      <c r="N3641" s="215">
        <f>SUM(N3618:N3640)</f>
        <v>0</v>
      </c>
      <c r="O3641" s="214">
        <f>SUM(O3618:O3640)</f>
        <v>0</v>
      </c>
      <c r="Q3641" s="215">
        <f>SUM(Q3618:Q3640)</f>
        <v>8</v>
      </c>
    </row>
    <row r="3642" spans="1:19" s="213" customFormat="1">
      <c r="O3642" s="215"/>
      <c r="Q3642" s="215">
        <f>+Q3641+R3615+R3598+R3577</f>
        <v>42</v>
      </c>
      <c r="R3642" s="215"/>
    </row>
    <row r="3643" spans="1:19" s="213" customFormat="1">
      <c r="O3643" s="215"/>
      <c r="R3643" s="215"/>
    </row>
    <row r="3645" spans="1:19" ht="15.6">
      <c r="B3645" s="110" t="s">
        <v>547</v>
      </c>
      <c r="C3645" s="111" t="s">
        <v>232</v>
      </c>
      <c r="D3645" s="112" t="s">
        <v>449</v>
      </c>
      <c r="E3645" s="113" t="s">
        <v>506</v>
      </c>
      <c r="F3645" s="114" t="s">
        <v>15</v>
      </c>
      <c r="G3645" s="115" t="s">
        <v>48</v>
      </c>
      <c r="H3645" s="116">
        <v>23.45</v>
      </c>
      <c r="I3645" s="125">
        <v>10</v>
      </c>
      <c r="J3645" s="111">
        <v>3</v>
      </c>
      <c r="K3645" s="117">
        <f>I3645*H3645*J3645/1000</f>
        <v>0.70350000000000001</v>
      </c>
      <c r="L3645" s="32"/>
      <c r="M3645" s="111">
        <v>3</v>
      </c>
      <c r="N3645" s="117">
        <f t="shared" ref="N3645:N3650" si="418">I3645*M3645*H3645/1000</f>
        <v>0.70350000000000001</v>
      </c>
      <c r="O3645" s="119">
        <f t="shared" ref="O3645:O3650" si="419">J3645-M3645</f>
        <v>0</v>
      </c>
      <c r="P3645" s="120">
        <f t="shared" ref="P3645:P3649" si="420">I3645*O3645*H3645/1000</f>
        <v>0</v>
      </c>
      <c r="Q3645" s="111"/>
      <c r="R3645" s="32"/>
      <c r="S3645" s="213"/>
    </row>
    <row r="3646" spans="1:19" ht="15.6">
      <c r="B3646" s="110" t="s">
        <v>547</v>
      </c>
      <c r="C3646" s="111" t="s">
        <v>232</v>
      </c>
      <c r="D3646" s="112" t="s">
        <v>449</v>
      </c>
      <c r="E3646" s="113" t="s">
        <v>506</v>
      </c>
      <c r="F3646" s="114" t="s">
        <v>15</v>
      </c>
      <c r="G3646" s="115" t="s">
        <v>48</v>
      </c>
      <c r="H3646" s="116">
        <v>23.45</v>
      </c>
      <c r="I3646" s="125">
        <v>10</v>
      </c>
      <c r="J3646" s="111">
        <v>6</v>
      </c>
      <c r="K3646" s="117">
        <f t="shared" ref="K3646:K3650" si="421">I3646*H3646*J3646/1000</f>
        <v>1.407</v>
      </c>
      <c r="L3646" s="32"/>
      <c r="M3646" s="111">
        <v>6</v>
      </c>
      <c r="N3646" s="117">
        <f t="shared" si="418"/>
        <v>1.407</v>
      </c>
      <c r="O3646" s="119">
        <f t="shared" si="419"/>
        <v>0</v>
      </c>
      <c r="P3646" s="120">
        <f t="shared" si="420"/>
        <v>0</v>
      </c>
      <c r="Q3646" s="111"/>
      <c r="R3646" s="32"/>
      <c r="S3646" s="213"/>
    </row>
    <row r="3647" spans="1:19" ht="15.6">
      <c r="B3647" s="110" t="s">
        <v>547</v>
      </c>
      <c r="C3647" s="111" t="s">
        <v>232</v>
      </c>
      <c r="D3647" s="112" t="s">
        <v>449</v>
      </c>
      <c r="E3647" s="113" t="s">
        <v>506</v>
      </c>
      <c r="F3647" s="114" t="s">
        <v>15</v>
      </c>
      <c r="G3647" s="115" t="s">
        <v>48</v>
      </c>
      <c r="H3647" s="116">
        <v>23.45</v>
      </c>
      <c r="I3647" s="125">
        <v>12</v>
      </c>
      <c r="J3647" s="111">
        <v>7</v>
      </c>
      <c r="K3647" s="117">
        <f t="shared" si="421"/>
        <v>1.9697999999999998</v>
      </c>
      <c r="L3647" s="32"/>
      <c r="M3647" s="111">
        <v>7</v>
      </c>
      <c r="N3647" s="117">
        <f t="shared" si="418"/>
        <v>1.9698</v>
      </c>
      <c r="O3647" s="119">
        <f t="shared" si="419"/>
        <v>0</v>
      </c>
      <c r="P3647" s="120">
        <f t="shared" si="420"/>
        <v>0</v>
      </c>
      <c r="Q3647" s="111"/>
      <c r="R3647" s="32"/>
      <c r="S3647" s="213"/>
    </row>
    <row r="3648" spans="1:19" ht="15.6">
      <c r="B3648" s="110" t="s">
        <v>547</v>
      </c>
      <c r="C3648" s="111" t="s">
        <v>232</v>
      </c>
      <c r="D3648" s="112" t="s">
        <v>449</v>
      </c>
      <c r="E3648" s="113" t="s">
        <v>506</v>
      </c>
      <c r="F3648" s="114" t="s">
        <v>15</v>
      </c>
      <c r="G3648" s="115" t="s">
        <v>48</v>
      </c>
      <c r="H3648" s="116">
        <v>23.45</v>
      </c>
      <c r="I3648" s="125">
        <v>12</v>
      </c>
      <c r="J3648" s="111">
        <v>7</v>
      </c>
      <c r="K3648" s="117">
        <f t="shared" si="421"/>
        <v>1.9697999999999998</v>
      </c>
      <c r="L3648" s="32"/>
      <c r="M3648" s="111">
        <f>2+5</f>
        <v>7</v>
      </c>
      <c r="N3648" s="117">
        <f t="shared" si="418"/>
        <v>1.9698</v>
      </c>
      <c r="O3648" s="119">
        <f t="shared" si="419"/>
        <v>0</v>
      </c>
      <c r="P3648" s="120">
        <f t="shared" si="420"/>
        <v>0</v>
      </c>
      <c r="Q3648" s="111"/>
      <c r="R3648" s="32"/>
      <c r="S3648" s="213"/>
    </row>
    <row r="3649" spans="1:19" ht="15.6">
      <c r="B3649" s="110" t="s">
        <v>547</v>
      </c>
      <c r="C3649" s="111" t="s">
        <v>232</v>
      </c>
      <c r="D3649" s="112" t="s">
        <v>449</v>
      </c>
      <c r="E3649" s="113" t="s">
        <v>506</v>
      </c>
      <c r="F3649" s="114" t="s">
        <v>15</v>
      </c>
      <c r="G3649" s="115" t="s">
        <v>48</v>
      </c>
      <c r="H3649" s="116">
        <v>23.45</v>
      </c>
      <c r="I3649" s="125">
        <v>12</v>
      </c>
      <c r="J3649" s="111">
        <v>4</v>
      </c>
      <c r="K3649" s="117">
        <f t="shared" si="421"/>
        <v>1.1255999999999999</v>
      </c>
      <c r="L3649" s="32"/>
      <c r="M3649" s="111">
        <v>2</v>
      </c>
      <c r="N3649" s="117">
        <f t="shared" si="418"/>
        <v>0.56279999999999997</v>
      </c>
      <c r="O3649" s="119">
        <f t="shared" si="419"/>
        <v>2</v>
      </c>
      <c r="P3649" s="120">
        <f t="shared" si="420"/>
        <v>0.56279999999999997</v>
      </c>
      <c r="Q3649" s="93">
        <v>10.3</v>
      </c>
      <c r="R3649" s="93">
        <v>2</v>
      </c>
      <c r="S3649" s="170" t="s">
        <v>600</v>
      </c>
    </row>
    <row r="3650" spans="1:19" ht="15.6">
      <c r="B3650" s="110" t="s">
        <v>547</v>
      </c>
      <c r="C3650" s="111" t="s">
        <v>232</v>
      </c>
      <c r="D3650" s="112" t="s">
        <v>449</v>
      </c>
      <c r="E3650" s="113" t="s">
        <v>506</v>
      </c>
      <c r="F3650" s="114" t="s">
        <v>15</v>
      </c>
      <c r="G3650" s="115" t="s">
        <v>48</v>
      </c>
      <c r="H3650" s="116">
        <v>23.45</v>
      </c>
      <c r="I3650" s="125">
        <v>10</v>
      </c>
      <c r="J3650" s="111">
        <v>1</v>
      </c>
      <c r="K3650" s="117">
        <f t="shared" si="421"/>
        <v>0.23449999999999999</v>
      </c>
      <c r="L3650" s="32"/>
      <c r="M3650" s="111">
        <v>1</v>
      </c>
      <c r="N3650" s="117">
        <f t="shared" si="418"/>
        <v>0.23449999999999999</v>
      </c>
      <c r="O3650" s="119">
        <f t="shared" si="419"/>
        <v>0</v>
      </c>
      <c r="P3650" s="120">
        <f>I3650*O3650*H3650/1000</f>
        <v>0</v>
      </c>
      <c r="Q3650" s="111"/>
      <c r="R3650" s="215">
        <f>SUM(R3644:R3649)</f>
        <v>2</v>
      </c>
      <c r="S3650" s="213"/>
    </row>
    <row r="3651" spans="1:19">
      <c r="B3651" s="213"/>
      <c r="C3651" s="213"/>
      <c r="D3651" s="213"/>
      <c r="E3651" s="213"/>
      <c r="F3651" s="213"/>
      <c r="G3651" s="213"/>
      <c r="H3651" s="213"/>
      <c r="I3651" s="213"/>
      <c r="J3651" s="215">
        <f>SUM(J3645:J3650)</f>
        <v>28</v>
      </c>
      <c r="K3651" s="214">
        <f>SUM(K3645:K3650)</f>
        <v>7.4101999999999988</v>
      </c>
      <c r="L3651" s="213"/>
      <c r="M3651" s="215">
        <f>SUM(M3645:M3650)</f>
        <v>26</v>
      </c>
      <c r="N3651" s="214">
        <f>SUM(N3645:N3650)</f>
        <v>6.8474000000000004</v>
      </c>
      <c r="O3651" s="215">
        <f>SUM(O3645:O3650)</f>
        <v>2</v>
      </c>
      <c r="P3651" s="214">
        <f>SUM(P3645:P3650)</f>
        <v>0.56279999999999997</v>
      </c>
      <c r="Q3651" s="213"/>
      <c r="R3651" s="213"/>
      <c r="S3651" s="213"/>
    </row>
    <row r="3654" spans="1:19">
      <c r="A3654" s="42" t="s">
        <v>77</v>
      </c>
      <c r="B3654" s="3" t="s">
        <v>68</v>
      </c>
      <c r="C3654" s="3">
        <v>108</v>
      </c>
      <c r="D3654" s="1"/>
      <c r="E3654" s="20" t="s">
        <v>20</v>
      </c>
      <c r="F3654" s="7" t="s">
        <v>15</v>
      </c>
      <c r="G3654" s="7" t="s">
        <v>50</v>
      </c>
      <c r="H3654" s="11">
        <v>21.7</v>
      </c>
      <c r="I3654" s="8">
        <v>9.6999999999999993</v>
      </c>
      <c r="J3654" s="26">
        <v>1</v>
      </c>
      <c r="K3654" s="10">
        <v>0.21048999999999998</v>
      </c>
      <c r="L3654" s="4"/>
      <c r="M3654" s="17">
        <v>1</v>
      </c>
      <c r="N3654" s="18">
        <v>0.21048999999999998</v>
      </c>
      <c r="O3654" s="19">
        <v>0</v>
      </c>
      <c r="P3654" s="13">
        <v>0</v>
      </c>
      <c r="Q3654" s="89">
        <v>8.5500000000000007</v>
      </c>
      <c r="R3654" s="90">
        <v>1</v>
      </c>
      <c r="S3654" s="91" t="s">
        <v>602</v>
      </c>
    </row>
    <row r="3655" spans="1:19">
      <c r="A3655" s="42" t="s">
        <v>77</v>
      </c>
      <c r="B3655" s="3" t="s">
        <v>68</v>
      </c>
      <c r="C3655" s="3">
        <v>108</v>
      </c>
      <c r="D3655" s="1"/>
      <c r="E3655" s="20" t="s">
        <v>20</v>
      </c>
      <c r="F3655" s="7" t="s">
        <v>15</v>
      </c>
      <c r="G3655" s="7" t="s">
        <v>50</v>
      </c>
      <c r="H3655" s="11">
        <v>21.7</v>
      </c>
      <c r="I3655" s="8">
        <v>11.2</v>
      </c>
      <c r="J3655" s="26">
        <v>2</v>
      </c>
      <c r="K3655" s="10">
        <v>0.4860799999999999</v>
      </c>
      <c r="L3655" s="4"/>
      <c r="M3655" s="17">
        <v>2</v>
      </c>
      <c r="N3655" s="18">
        <v>0.4860799999999999</v>
      </c>
      <c r="O3655" s="19">
        <v>0</v>
      </c>
      <c r="P3655" s="13">
        <v>0</v>
      </c>
      <c r="Q3655" s="89">
        <v>8.5500000000000007</v>
      </c>
      <c r="R3655" s="90">
        <v>2</v>
      </c>
      <c r="S3655" s="91" t="s">
        <v>602</v>
      </c>
    </row>
    <row r="3656" spans="1:19">
      <c r="A3656" s="42" t="s">
        <v>77</v>
      </c>
      <c r="B3656" s="3" t="s">
        <v>68</v>
      </c>
      <c r="C3656" s="3">
        <v>175</v>
      </c>
      <c r="D3656" s="1"/>
      <c r="E3656" s="12" t="s">
        <v>20</v>
      </c>
      <c r="F3656" s="7" t="s">
        <v>15</v>
      </c>
      <c r="G3656" s="7" t="s">
        <v>50</v>
      </c>
      <c r="H3656" s="11">
        <v>21.7</v>
      </c>
      <c r="I3656" s="8">
        <v>11.4</v>
      </c>
      <c r="J3656" s="26">
        <v>2</v>
      </c>
      <c r="K3656" s="10">
        <v>0.49475999999999998</v>
      </c>
      <c r="L3656" s="4"/>
      <c r="M3656" s="17"/>
      <c r="N3656" s="18">
        <v>0</v>
      </c>
      <c r="O3656" s="19">
        <v>2</v>
      </c>
      <c r="P3656" s="13">
        <v>0.49475999999999998</v>
      </c>
      <c r="Q3656" s="9"/>
      <c r="R3656" s="2"/>
      <c r="S3656" s="2"/>
    </row>
    <row r="3657" spans="1:19">
      <c r="A3657" s="42" t="s">
        <v>77</v>
      </c>
      <c r="B3657" s="3" t="s">
        <v>68</v>
      </c>
      <c r="C3657" s="3">
        <v>175</v>
      </c>
      <c r="D3657" s="1"/>
      <c r="E3657" s="12" t="s">
        <v>20</v>
      </c>
      <c r="F3657" s="7" t="s">
        <v>15</v>
      </c>
      <c r="G3657" s="7" t="s">
        <v>50</v>
      </c>
      <c r="H3657" s="11">
        <v>21.7</v>
      </c>
      <c r="I3657" s="8">
        <v>12</v>
      </c>
      <c r="J3657" s="26">
        <v>2</v>
      </c>
      <c r="K3657" s="10">
        <v>0.52079999999999993</v>
      </c>
      <c r="L3657" s="4"/>
      <c r="M3657" s="17"/>
      <c r="N3657" s="18">
        <v>0</v>
      </c>
      <c r="O3657" s="19">
        <v>2</v>
      </c>
      <c r="P3657" s="13">
        <v>0.52079999999999993</v>
      </c>
      <c r="Q3657" s="9"/>
      <c r="R3657" s="2"/>
      <c r="S3657" s="2"/>
    </row>
    <row r="3658" spans="1:19">
      <c r="A3658" s="42" t="s">
        <v>77</v>
      </c>
      <c r="B3658" s="3" t="s">
        <v>68</v>
      </c>
      <c r="C3658" s="3">
        <v>196</v>
      </c>
      <c r="D3658" s="1"/>
      <c r="E3658" s="12" t="s">
        <v>20</v>
      </c>
      <c r="F3658" s="7" t="s">
        <v>15</v>
      </c>
      <c r="G3658" s="7" t="s">
        <v>50</v>
      </c>
      <c r="H3658" s="11">
        <v>21.7</v>
      </c>
      <c r="I3658" s="8">
        <v>11.6</v>
      </c>
      <c r="J3658" s="26">
        <v>1</v>
      </c>
      <c r="K3658" s="10">
        <v>0.25171999999999994</v>
      </c>
      <c r="L3658" s="4"/>
      <c r="M3658" s="17"/>
      <c r="N3658" s="18">
        <v>0</v>
      </c>
      <c r="O3658" s="19">
        <v>1</v>
      </c>
      <c r="P3658" s="13">
        <v>0.25171999999999994</v>
      </c>
      <c r="Q3658" s="9"/>
      <c r="R3658" s="2"/>
      <c r="S3658" s="2"/>
    </row>
    <row r="3659" spans="1:19">
      <c r="A3659" s="42" t="s">
        <v>77</v>
      </c>
      <c r="B3659" s="3" t="s">
        <v>68</v>
      </c>
      <c r="C3659" s="3">
        <v>198</v>
      </c>
      <c r="D3659" s="1"/>
      <c r="E3659" s="12" t="s">
        <v>20</v>
      </c>
      <c r="F3659" s="7" t="s">
        <v>15</v>
      </c>
      <c r="G3659" s="7" t="s">
        <v>50</v>
      </c>
      <c r="H3659" s="11">
        <v>21.7</v>
      </c>
      <c r="I3659" s="8">
        <v>4.9000000000000004</v>
      </c>
      <c r="J3659" s="26">
        <v>14</v>
      </c>
      <c r="K3659" s="10">
        <v>1.4886199999999998</v>
      </c>
      <c r="L3659" s="4"/>
      <c r="M3659" s="17"/>
      <c r="N3659" s="18">
        <v>0</v>
      </c>
      <c r="O3659" s="19">
        <v>14</v>
      </c>
      <c r="P3659" s="13">
        <v>1.4886200000000001</v>
      </c>
      <c r="Q3659" s="9"/>
      <c r="R3659" s="2"/>
      <c r="S3659" s="2"/>
    </row>
    <row r="3660" spans="1:19">
      <c r="A3660" s="48" t="s">
        <v>179</v>
      </c>
      <c r="B3660" s="48" t="s">
        <v>180</v>
      </c>
      <c r="C3660" s="32"/>
      <c r="D3660" s="32"/>
      <c r="E3660" s="48" t="s">
        <v>152</v>
      </c>
      <c r="F3660" s="48" t="s">
        <v>15</v>
      </c>
      <c r="G3660" s="48" t="s">
        <v>50</v>
      </c>
      <c r="H3660" s="11">
        <v>21.7</v>
      </c>
      <c r="I3660" s="52">
        <v>11.3</v>
      </c>
      <c r="J3660" s="7">
        <v>2</v>
      </c>
      <c r="K3660" s="10">
        <v>0.49042000000000002</v>
      </c>
      <c r="L3660" s="32"/>
      <c r="M3660" s="32"/>
      <c r="N3660" s="18">
        <v>0</v>
      </c>
      <c r="O3660" s="19">
        <v>2</v>
      </c>
      <c r="P3660" s="13">
        <v>0.49042000000000002</v>
      </c>
      <c r="Q3660" s="32"/>
      <c r="R3660" s="32"/>
      <c r="S3660" s="32"/>
    </row>
    <row r="3661" spans="1:19">
      <c r="A3661" s="42" t="s">
        <v>90</v>
      </c>
      <c r="B3661" s="3"/>
      <c r="C3661" s="3">
        <v>200</v>
      </c>
      <c r="D3661" s="1"/>
      <c r="E3661" s="30" t="s">
        <v>20</v>
      </c>
      <c r="F3661" s="7" t="s">
        <v>15</v>
      </c>
      <c r="G3661" s="7" t="s">
        <v>50</v>
      </c>
      <c r="H3661" s="11">
        <v>21.7</v>
      </c>
      <c r="I3661" s="8">
        <v>6.9</v>
      </c>
      <c r="J3661" s="17">
        <v>1</v>
      </c>
      <c r="K3661" s="10">
        <v>0.14973</v>
      </c>
      <c r="L3661" s="253" t="s">
        <v>97</v>
      </c>
      <c r="M3661" s="22"/>
      <c r="N3661" s="63">
        <v>0</v>
      </c>
      <c r="O3661" s="64">
        <v>1</v>
      </c>
      <c r="P3661" s="65">
        <v>0.14973</v>
      </c>
      <c r="Q3661" s="2"/>
      <c r="R3661" s="2"/>
      <c r="S3661" s="2"/>
    </row>
    <row r="3662" spans="1:19">
      <c r="A3662" s="42" t="s">
        <v>90</v>
      </c>
      <c r="B3662" s="3"/>
      <c r="C3662" s="3">
        <v>200</v>
      </c>
      <c r="D3662" s="1"/>
      <c r="E3662" s="30" t="s">
        <v>20</v>
      </c>
      <c r="F3662" s="7" t="s">
        <v>15</v>
      </c>
      <c r="G3662" s="7" t="s">
        <v>50</v>
      </c>
      <c r="H3662" s="11">
        <v>21.7</v>
      </c>
      <c r="I3662" s="8">
        <v>7</v>
      </c>
      <c r="J3662" s="17">
        <v>1</v>
      </c>
      <c r="K3662" s="10">
        <v>0.15190000000000001</v>
      </c>
      <c r="L3662" s="253" t="s">
        <v>97</v>
      </c>
      <c r="M3662" s="22"/>
      <c r="N3662" s="63">
        <v>0</v>
      </c>
      <c r="O3662" s="64">
        <v>1</v>
      </c>
      <c r="P3662" s="65">
        <v>0.15190000000000001</v>
      </c>
      <c r="Q3662" s="2"/>
      <c r="R3662" s="2"/>
      <c r="S3662" s="2"/>
    </row>
    <row r="3663" spans="1:19">
      <c r="A3663" s="44" t="s">
        <v>78</v>
      </c>
      <c r="B3663" s="32" t="s">
        <v>111</v>
      </c>
      <c r="C3663" s="3">
        <v>6</v>
      </c>
      <c r="D3663" s="1"/>
      <c r="E3663" s="20" t="s">
        <v>20</v>
      </c>
      <c r="F3663" s="7" t="s">
        <v>15</v>
      </c>
      <c r="G3663" s="7" t="s">
        <v>50</v>
      </c>
      <c r="H3663" s="11">
        <v>21.7</v>
      </c>
      <c r="I3663" s="55">
        <v>8.9</v>
      </c>
      <c r="J3663" s="40">
        <v>1</v>
      </c>
      <c r="K3663" s="10">
        <v>0.19313</v>
      </c>
      <c r="L3663" s="4"/>
      <c r="M3663" s="17">
        <v>1</v>
      </c>
      <c r="N3663" s="18">
        <v>0.19313</v>
      </c>
      <c r="O3663" s="19">
        <v>0</v>
      </c>
      <c r="P3663" s="13">
        <v>0</v>
      </c>
      <c r="Q3663" s="91">
        <v>8.5500000000000007</v>
      </c>
      <c r="R3663" s="91">
        <v>1</v>
      </c>
      <c r="S3663" s="91" t="s">
        <v>602</v>
      </c>
    </row>
    <row r="3664" spans="1:19">
      <c r="A3664" s="44" t="s">
        <v>78</v>
      </c>
      <c r="B3664" s="32" t="s">
        <v>111</v>
      </c>
      <c r="C3664" s="3">
        <v>6</v>
      </c>
      <c r="D3664" s="1"/>
      <c r="E3664" s="20" t="s">
        <v>20</v>
      </c>
      <c r="F3664" s="7" t="s">
        <v>15</v>
      </c>
      <c r="G3664" s="7" t="s">
        <v>50</v>
      </c>
      <c r="H3664" s="11">
        <v>21.7</v>
      </c>
      <c r="I3664" s="55">
        <v>9.5</v>
      </c>
      <c r="J3664" s="40">
        <v>1</v>
      </c>
      <c r="K3664" s="10">
        <v>0.20615</v>
      </c>
      <c r="L3664" s="4"/>
      <c r="M3664" s="17">
        <v>1</v>
      </c>
      <c r="N3664" s="18">
        <v>0.20615</v>
      </c>
      <c r="O3664" s="19">
        <v>0</v>
      </c>
      <c r="P3664" s="13">
        <v>0</v>
      </c>
      <c r="Q3664" s="91">
        <v>8.5500000000000007</v>
      </c>
      <c r="R3664" s="91">
        <v>1</v>
      </c>
      <c r="S3664" s="91" t="s">
        <v>602</v>
      </c>
    </row>
    <row r="3665" spans="1:19">
      <c r="A3665" s="44" t="s">
        <v>78</v>
      </c>
      <c r="B3665" s="32" t="s">
        <v>111</v>
      </c>
      <c r="C3665" s="3">
        <v>6</v>
      </c>
      <c r="D3665" s="1"/>
      <c r="E3665" s="20" t="s">
        <v>20</v>
      </c>
      <c r="F3665" s="7" t="s">
        <v>15</v>
      </c>
      <c r="G3665" s="7" t="s">
        <v>50</v>
      </c>
      <c r="H3665" s="11">
        <v>21.7</v>
      </c>
      <c r="I3665" s="55">
        <v>11.1</v>
      </c>
      <c r="J3665" s="40">
        <v>1</v>
      </c>
      <c r="K3665" s="10">
        <v>0.24086999999999997</v>
      </c>
      <c r="L3665" s="4"/>
      <c r="M3665" s="17">
        <v>1</v>
      </c>
      <c r="N3665" s="18">
        <v>0.24086999999999997</v>
      </c>
      <c r="O3665" s="19">
        <v>0</v>
      </c>
      <c r="P3665" s="13">
        <v>0</v>
      </c>
      <c r="Q3665" s="91">
        <v>8.5500000000000007</v>
      </c>
      <c r="R3665" s="91">
        <v>1</v>
      </c>
      <c r="S3665" s="91" t="s">
        <v>602</v>
      </c>
    </row>
    <row r="3666" spans="1:19">
      <c r="A3666" s="44" t="s">
        <v>78</v>
      </c>
      <c r="B3666" s="32" t="s">
        <v>111</v>
      </c>
      <c r="C3666" s="3">
        <v>6</v>
      </c>
      <c r="D3666" s="1"/>
      <c r="E3666" s="20" t="s">
        <v>20</v>
      </c>
      <c r="F3666" s="7" t="s">
        <v>15</v>
      </c>
      <c r="G3666" s="7" t="s">
        <v>50</v>
      </c>
      <c r="H3666" s="11">
        <v>21.7</v>
      </c>
      <c r="I3666" s="55">
        <v>11.3</v>
      </c>
      <c r="J3666" s="40">
        <v>1</v>
      </c>
      <c r="K3666" s="10">
        <v>0.24521000000000001</v>
      </c>
      <c r="L3666" s="4"/>
      <c r="M3666" s="17">
        <v>1</v>
      </c>
      <c r="N3666" s="18">
        <v>0.24521000000000001</v>
      </c>
      <c r="O3666" s="19">
        <v>0</v>
      </c>
      <c r="P3666" s="13">
        <v>0</v>
      </c>
      <c r="Q3666" s="91">
        <v>8.5500000000000007</v>
      </c>
      <c r="R3666" s="91">
        <v>1</v>
      </c>
      <c r="S3666" s="91" t="s">
        <v>602</v>
      </c>
    </row>
    <row r="3667" spans="1:19">
      <c r="A3667" s="45" t="s">
        <v>136</v>
      </c>
      <c r="B3667" s="32" t="s">
        <v>137</v>
      </c>
      <c r="C3667" s="3">
        <v>5</v>
      </c>
      <c r="D3667" s="32"/>
      <c r="E3667" s="20" t="s">
        <v>20</v>
      </c>
      <c r="F3667" s="7" t="s">
        <v>15</v>
      </c>
      <c r="G3667" s="7" t="s">
        <v>50</v>
      </c>
      <c r="H3667" s="11">
        <v>21.7</v>
      </c>
      <c r="I3667" s="55">
        <v>6.5</v>
      </c>
      <c r="J3667" s="40">
        <v>1</v>
      </c>
      <c r="K3667" s="10">
        <v>0.14104999999999998</v>
      </c>
      <c r="L3667" s="4"/>
      <c r="M3667" s="17"/>
      <c r="N3667" s="18">
        <v>0</v>
      </c>
      <c r="O3667" s="19">
        <v>1</v>
      </c>
      <c r="P3667" s="13">
        <v>0.14104999999999998</v>
      </c>
      <c r="Q3667" s="32"/>
      <c r="R3667" s="32"/>
      <c r="S3667" s="32"/>
    </row>
    <row r="3668" spans="1:19">
      <c r="A3668" s="45" t="s">
        <v>136</v>
      </c>
      <c r="B3668" s="32" t="s">
        <v>137</v>
      </c>
      <c r="C3668" s="3">
        <v>16</v>
      </c>
      <c r="D3668" s="32"/>
      <c r="E3668" s="20" t="s">
        <v>139</v>
      </c>
      <c r="F3668" s="7" t="s">
        <v>15</v>
      </c>
      <c r="G3668" s="7" t="s">
        <v>50</v>
      </c>
      <c r="H3668" s="11">
        <v>21.7</v>
      </c>
      <c r="I3668" s="55">
        <v>5.7</v>
      </c>
      <c r="J3668" s="40">
        <v>1</v>
      </c>
      <c r="K3668" s="10">
        <v>0.12368999999999999</v>
      </c>
      <c r="L3668" s="4"/>
      <c r="M3668" s="17"/>
      <c r="N3668" s="18">
        <v>0</v>
      </c>
      <c r="O3668" s="19">
        <v>1</v>
      </c>
      <c r="P3668" s="13">
        <v>0.12368999999999999</v>
      </c>
      <c r="Q3668" s="32"/>
      <c r="R3668" s="32"/>
      <c r="S3668" s="32"/>
    </row>
    <row r="3669" spans="1:19">
      <c r="A3669" s="45" t="s">
        <v>136</v>
      </c>
      <c r="B3669" s="32" t="s">
        <v>137</v>
      </c>
      <c r="C3669" s="3">
        <v>16</v>
      </c>
      <c r="D3669" s="32"/>
      <c r="E3669" s="20" t="s">
        <v>139</v>
      </c>
      <c r="F3669" s="7" t="s">
        <v>15</v>
      </c>
      <c r="G3669" s="7" t="s">
        <v>50</v>
      </c>
      <c r="H3669" s="11">
        <v>21.7</v>
      </c>
      <c r="I3669" s="55">
        <v>6.5</v>
      </c>
      <c r="J3669" s="40">
        <v>3</v>
      </c>
      <c r="K3669" s="10">
        <v>0.42314999999999997</v>
      </c>
      <c r="L3669" s="4"/>
      <c r="M3669" s="17"/>
      <c r="N3669" s="18">
        <v>0</v>
      </c>
      <c r="O3669" s="19">
        <v>3</v>
      </c>
      <c r="P3669" s="13">
        <v>0.42314999999999997</v>
      </c>
      <c r="Q3669" s="32"/>
      <c r="R3669" s="32"/>
      <c r="S3669" s="32"/>
    </row>
    <row r="3670" spans="1:19">
      <c r="A3670" s="45" t="s">
        <v>136</v>
      </c>
      <c r="B3670" s="32" t="s">
        <v>137</v>
      </c>
      <c r="C3670" s="3">
        <v>66</v>
      </c>
      <c r="D3670" s="32"/>
      <c r="E3670" s="20" t="s">
        <v>20</v>
      </c>
      <c r="F3670" s="7" t="s">
        <v>15</v>
      </c>
      <c r="G3670" s="7" t="s">
        <v>50</v>
      </c>
      <c r="H3670" s="11">
        <v>21.7</v>
      </c>
      <c r="I3670" s="55">
        <v>12</v>
      </c>
      <c r="J3670" s="40">
        <v>1</v>
      </c>
      <c r="K3670" s="10">
        <v>0.26039999999999996</v>
      </c>
      <c r="L3670" s="4"/>
      <c r="M3670" s="17"/>
      <c r="N3670" s="18">
        <v>0</v>
      </c>
      <c r="O3670" s="19">
        <v>1</v>
      </c>
      <c r="P3670" s="13">
        <v>0.26039999999999996</v>
      </c>
      <c r="Q3670" s="32"/>
      <c r="R3670" s="32"/>
      <c r="S3670" s="32"/>
    </row>
    <row r="3671" spans="1:19">
      <c r="A3671" s="45" t="s">
        <v>136</v>
      </c>
      <c r="B3671" s="32" t="s">
        <v>137</v>
      </c>
      <c r="C3671" s="3">
        <v>78</v>
      </c>
      <c r="D3671" s="32"/>
      <c r="E3671" s="20" t="s">
        <v>113</v>
      </c>
      <c r="F3671" s="7" t="s">
        <v>15</v>
      </c>
      <c r="G3671" s="7" t="s">
        <v>50</v>
      </c>
      <c r="H3671" s="11">
        <v>21.7</v>
      </c>
      <c r="I3671" s="55">
        <v>11.2</v>
      </c>
      <c r="J3671" s="40">
        <v>1</v>
      </c>
      <c r="K3671" s="10">
        <v>0.24303999999999995</v>
      </c>
      <c r="L3671" s="4"/>
      <c r="M3671" s="17"/>
      <c r="N3671" s="18">
        <v>0</v>
      </c>
      <c r="O3671" s="19">
        <v>1</v>
      </c>
      <c r="P3671" s="13">
        <v>0.24303999999999995</v>
      </c>
      <c r="Q3671" s="32"/>
      <c r="R3671" s="32"/>
      <c r="S3671" s="32"/>
    </row>
    <row r="3672" spans="1:19">
      <c r="A3672" s="45" t="s">
        <v>136</v>
      </c>
      <c r="B3672" s="32" t="s">
        <v>137</v>
      </c>
      <c r="C3672" s="3">
        <v>78</v>
      </c>
      <c r="D3672" s="32"/>
      <c r="E3672" s="20" t="s">
        <v>113</v>
      </c>
      <c r="F3672" s="7" t="s">
        <v>15</v>
      </c>
      <c r="G3672" s="7" t="s">
        <v>50</v>
      </c>
      <c r="H3672" s="11">
        <v>21.7</v>
      </c>
      <c r="I3672" s="55">
        <v>11.3</v>
      </c>
      <c r="J3672" s="40">
        <v>1</v>
      </c>
      <c r="K3672" s="10">
        <v>0.24521000000000001</v>
      </c>
      <c r="L3672" s="4"/>
      <c r="M3672" s="17"/>
      <c r="N3672" s="18">
        <v>0</v>
      </c>
      <c r="O3672" s="19">
        <v>1</v>
      </c>
      <c r="P3672" s="13">
        <v>0.24521000000000001</v>
      </c>
      <c r="Q3672" s="32"/>
      <c r="R3672" s="32"/>
      <c r="S3672" s="32"/>
    </row>
    <row r="3673" spans="1:19">
      <c r="A3673" s="45" t="s">
        <v>136</v>
      </c>
      <c r="B3673" s="32" t="s">
        <v>137</v>
      </c>
      <c r="C3673" s="3">
        <v>85</v>
      </c>
      <c r="D3673" s="32"/>
      <c r="E3673" s="20" t="s">
        <v>20</v>
      </c>
      <c r="F3673" s="7" t="s">
        <v>15</v>
      </c>
      <c r="G3673" s="7" t="s">
        <v>50</v>
      </c>
      <c r="H3673" s="11">
        <v>21.7</v>
      </c>
      <c r="I3673" s="55">
        <v>6.4</v>
      </c>
      <c r="J3673" s="40">
        <v>1</v>
      </c>
      <c r="K3673" s="10">
        <v>0.13888</v>
      </c>
      <c r="L3673" s="4"/>
      <c r="M3673" s="17"/>
      <c r="N3673" s="18">
        <v>0</v>
      </c>
      <c r="O3673" s="19">
        <v>1</v>
      </c>
      <c r="P3673" s="13">
        <v>0.13888</v>
      </c>
      <c r="Q3673" s="32"/>
      <c r="R3673" s="32"/>
      <c r="S3673" s="32"/>
    </row>
    <row r="3674" spans="1:19">
      <c r="A3674" s="45" t="s">
        <v>136</v>
      </c>
      <c r="B3674" s="32" t="s">
        <v>137</v>
      </c>
      <c r="C3674" s="3">
        <v>85</v>
      </c>
      <c r="D3674" s="32"/>
      <c r="E3674" s="20" t="s">
        <v>20</v>
      </c>
      <c r="F3674" s="7" t="s">
        <v>15</v>
      </c>
      <c r="G3674" s="7" t="s">
        <v>50</v>
      </c>
      <c r="H3674" s="11">
        <v>21.7</v>
      </c>
      <c r="I3674" s="55">
        <v>6.7</v>
      </c>
      <c r="J3674" s="40">
        <v>1</v>
      </c>
      <c r="K3674" s="10">
        <v>0.14538999999999999</v>
      </c>
      <c r="L3674" s="4"/>
      <c r="M3674" s="17"/>
      <c r="N3674" s="18">
        <v>0</v>
      </c>
      <c r="O3674" s="19">
        <v>1</v>
      </c>
      <c r="P3674" s="13">
        <v>0.14538999999999999</v>
      </c>
      <c r="Q3674" s="32"/>
      <c r="R3674" s="32"/>
      <c r="S3674" s="32"/>
    </row>
    <row r="3675" spans="1:19">
      <c r="A3675" s="45" t="s">
        <v>136</v>
      </c>
      <c r="B3675" s="32" t="s">
        <v>137</v>
      </c>
      <c r="C3675" s="3">
        <v>85</v>
      </c>
      <c r="D3675" s="32"/>
      <c r="E3675" s="20" t="s">
        <v>20</v>
      </c>
      <c r="F3675" s="7" t="s">
        <v>15</v>
      </c>
      <c r="G3675" s="7" t="s">
        <v>50</v>
      </c>
      <c r="H3675" s="11">
        <v>21.7</v>
      </c>
      <c r="I3675" s="55">
        <v>7.5</v>
      </c>
      <c r="J3675" s="40">
        <v>1</v>
      </c>
      <c r="K3675" s="10">
        <v>0.16275000000000001</v>
      </c>
      <c r="L3675" s="4"/>
      <c r="M3675" s="17">
        <v>1</v>
      </c>
      <c r="N3675" s="18">
        <v>0.16275000000000001</v>
      </c>
      <c r="O3675" s="19">
        <v>0</v>
      </c>
      <c r="P3675" s="13">
        <v>0</v>
      </c>
      <c r="Q3675" s="98">
        <v>7</v>
      </c>
      <c r="R3675" s="91">
        <v>1</v>
      </c>
      <c r="S3675" s="91" t="s">
        <v>602</v>
      </c>
    </row>
    <row r="3676" spans="1:19">
      <c r="A3676" s="45" t="s">
        <v>136</v>
      </c>
      <c r="B3676" s="32" t="s">
        <v>137</v>
      </c>
      <c r="C3676" s="3">
        <v>85</v>
      </c>
      <c r="D3676" s="32"/>
      <c r="E3676" s="20" t="s">
        <v>20</v>
      </c>
      <c r="F3676" s="7" t="s">
        <v>15</v>
      </c>
      <c r="G3676" s="7" t="s">
        <v>50</v>
      </c>
      <c r="H3676" s="11">
        <v>21.7</v>
      </c>
      <c r="I3676" s="55">
        <v>10.1</v>
      </c>
      <c r="J3676" s="40">
        <v>1</v>
      </c>
      <c r="K3676" s="10">
        <v>0.21916999999999998</v>
      </c>
      <c r="L3676" s="4"/>
      <c r="M3676" s="17">
        <v>1</v>
      </c>
      <c r="N3676" s="18">
        <v>0.21916999999999998</v>
      </c>
      <c r="O3676" s="19">
        <v>0</v>
      </c>
      <c r="P3676" s="13">
        <v>0</v>
      </c>
      <c r="Q3676" s="98">
        <v>8.5500000000000007</v>
      </c>
      <c r="R3676" s="91">
        <v>1</v>
      </c>
      <c r="S3676" s="91" t="s">
        <v>602</v>
      </c>
    </row>
    <row r="3677" spans="1:19">
      <c r="A3677" s="45" t="s">
        <v>136</v>
      </c>
      <c r="B3677" s="32" t="s">
        <v>137</v>
      </c>
      <c r="C3677" s="3">
        <v>90</v>
      </c>
      <c r="D3677" s="32"/>
      <c r="E3677" s="20" t="s">
        <v>139</v>
      </c>
      <c r="F3677" s="7" t="s">
        <v>15</v>
      </c>
      <c r="G3677" s="7" t="s">
        <v>50</v>
      </c>
      <c r="H3677" s="11">
        <v>21.7</v>
      </c>
      <c r="I3677" s="55">
        <v>7.2</v>
      </c>
      <c r="J3677" s="40">
        <v>1</v>
      </c>
      <c r="K3677" s="10">
        <v>0.15624000000000002</v>
      </c>
      <c r="L3677" s="4"/>
      <c r="M3677" s="17">
        <v>1</v>
      </c>
      <c r="N3677" s="18">
        <v>0.15624000000000002</v>
      </c>
      <c r="O3677" s="19">
        <v>0</v>
      </c>
      <c r="P3677" s="13">
        <v>0</v>
      </c>
      <c r="Q3677" s="98">
        <v>7</v>
      </c>
      <c r="R3677" s="91">
        <v>1</v>
      </c>
      <c r="S3677" s="91" t="s">
        <v>602</v>
      </c>
    </row>
    <row r="3678" spans="1:19">
      <c r="A3678" s="45" t="s">
        <v>136</v>
      </c>
      <c r="B3678" s="32" t="s">
        <v>137</v>
      </c>
      <c r="C3678" s="3">
        <v>90</v>
      </c>
      <c r="D3678" s="32"/>
      <c r="E3678" s="20" t="s">
        <v>139</v>
      </c>
      <c r="F3678" s="7" t="s">
        <v>15</v>
      </c>
      <c r="G3678" s="7" t="s">
        <v>50</v>
      </c>
      <c r="H3678" s="11">
        <v>21.7</v>
      </c>
      <c r="I3678" s="55">
        <v>12</v>
      </c>
      <c r="J3678" s="40">
        <v>1</v>
      </c>
      <c r="K3678" s="10">
        <v>0.26039999999999996</v>
      </c>
      <c r="L3678" s="4"/>
      <c r="M3678" s="17">
        <v>1</v>
      </c>
      <c r="N3678" s="18">
        <v>0.26039999999999996</v>
      </c>
      <c r="O3678" s="19">
        <v>0</v>
      </c>
      <c r="P3678" s="13">
        <v>0</v>
      </c>
      <c r="Q3678" s="98">
        <v>8.5500000000000007</v>
      </c>
      <c r="R3678" s="91">
        <v>1</v>
      </c>
      <c r="S3678" s="91" t="s">
        <v>602</v>
      </c>
    </row>
    <row r="3679" spans="1:19">
      <c r="A3679" s="45" t="s">
        <v>136</v>
      </c>
      <c r="B3679" s="32" t="s">
        <v>137</v>
      </c>
      <c r="C3679" s="3">
        <v>93</v>
      </c>
      <c r="D3679" s="32"/>
      <c r="E3679" s="20" t="s">
        <v>20</v>
      </c>
      <c r="F3679" s="7" t="s">
        <v>15</v>
      </c>
      <c r="G3679" s="7" t="s">
        <v>50</v>
      </c>
      <c r="H3679" s="11">
        <v>21.7</v>
      </c>
      <c r="I3679" s="55">
        <v>7</v>
      </c>
      <c r="J3679" s="40">
        <v>1</v>
      </c>
      <c r="K3679" s="10">
        <v>0.15190000000000001</v>
      </c>
      <c r="L3679" s="4"/>
      <c r="M3679" s="17">
        <v>1</v>
      </c>
      <c r="N3679" s="18">
        <v>0.15190000000000001</v>
      </c>
      <c r="O3679" s="19">
        <v>0</v>
      </c>
      <c r="P3679" s="13">
        <v>0</v>
      </c>
      <c r="Q3679" s="98">
        <v>7</v>
      </c>
      <c r="R3679" s="91">
        <v>1</v>
      </c>
      <c r="S3679" s="91" t="s">
        <v>602</v>
      </c>
    </row>
    <row r="3680" spans="1:19">
      <c r="A3680" s="45" t="s">
        <v>136</v>
      </c>
      <c r="B3680" s="32" t="s">
        <v>137</v>
      </c>
      <c r="C3680" s="3">
        <v>93</v>
      </c>
      <c r="D3680" s="32"/>
      <c r="E3680" s="20" t="s">
        <v>20</v>
      </c>
      <c r="F3680" s="7" t="s">
        <v>15</v>
      </c>
      <c r="G3680" s="7" t="s">
        <v>50</v>
      </c>
      <c r="H3680" s="11">
        <v>21.7</v>
      </c>
      <c r="I3680" s="55">
        <v>6.2</v>
      </c>
      <c r="J3680" s="40">
        <v>1</v>
      </c>
      <c r="K3680" s="10">
        <v>0.13453999999999999</v>
      </c>
      <c r="L3680" s="4"/>
      <c r="M3680" s="17"/>
      <c r="N3680" s="18">
        <v>0</v>
      </c>
      <c r="O3680" s="19">
        <v>1</v>
      </c>
      <c r="P3680" s="13">
        <v>0.13453999999999999</v>
      </c>
      <c r="Q3680" s="33"/>
      <c r="R3680" s="32"/>
      <c r="S3680" s="32"/>
    </row>
    <row r="3681" spans="1:19">
      <c r="A3681" s="45" t="s">
        <v>136</v>
      </c>
      <c r="B3681" s="32" t="s">
        <v>137</v>
      </c>
      <c r="C3681" s="3">
        <v>93</v>
      </c>
      <c r="D3681" s="32"/>
      <c r="E3681" s="20" t="s">
        <v>20</v>
      </c>
      <c r="F3681" s="7" t="s">
        <v>15</v>
      </c>
      <c r="G3681" s="7" t="s">
        <v>50</v>
      </c>
      <c r="H3681" s="11">
        <v>21.7</v>
      </c>
      <c r="I3681" s="55">
        <v>6.7</v>
      </c>
      <c r="J3681" s="40">
        <v>1</v>
      </c>
      <c r="K3681" s="10">
        <v>0.14538999999999999</v>
      </c>
      <c r="L3681" s="4"/>
      <c r="M3681" s="17"/>
      <c r="N3681" s="18">
        <v>0</v>
      </c>
      <c r="O3681" s="19">
        <v>1</v>
      </c>
      <c r="P3681" s="13">
        <v>0.14538999999999999</v>
      </c>
      <c r="Q3681" s="33"/>
      <c r="R3681" s="32"/>
      <c r="S3681" s="32"/>
    </row>
    <row r="3682" spans="1:19">
      <c r="A3682" s="45" t="s">
        <v>136</v>
      </c>
      <c r="B3682" s="32" t="s">
        <v>137</v>
      </c>
      <c r="C3682" s="3">
        <v>93</v>
      </c>
      <c r="D3682" s="32"/>
      <c r="E3682" s="20" t="s">
        <v>20</v>
      </c>
      <c r="F3682" s="7" t="s">
        <v>15</v>
      </c>
      <c r="G3682" s="7" t="s">
        <v>50</v>
      </c>
      <c r="H3682" s="11">
        <v>21.7</v>
      </c>
      <c r="I3682" s="55">
        <v>7.1</v>
      </c>
      <c r="J3682" s="40">
        <v>1</v>
      </c>
      <c r="K3682" s="10">
        <v>0.15406999999999998</v>
      </c>
      <c r="L3682" s="4"/>
      <c r="M3682" s="17">
        <v>1</v>
      </c>
      <c r="N3682" s="18">
        <v>0.15406999999999998</v>
      </c>
      <c r="O3682" s="19">
        <v>0</v>
      </c>
      <c r="P3682" s="13">
        <v>0</v>
      </c>
      <c r="Q3682" s="98">
        <v>7</v>
      </c>
      <c r="R3682" s="91">
        <v>1</v>
      </c>
      <c r="S3682" s="91" t="s">
        <v>602</v>
      </c>
    </row>
    <row r="3683" spans="1:19">
      <c r="A3683" s="45" t="s">
        <v>136</v>
      </c>
      <c r="B3683" s="32" t="s">
        <v>137</v>
      </c>
      <c r="C3683" s="3">
        <v>93</v>
      </c>
      <c r="D3683" s="32"/>
      <c r="E3683" s="20" t="s">
        <v>20</v>
      </c>
      <c r="F3683" s="7" t="s">
        <v>15</v>
      </c>
      <c r="G3683" s="7" t="s">
        <v>50</v>
      </c>
      <c r="H3683" s="11">
        <v>21.7</v>
      </c>
      <c r="I3683" s="55">
        <v>7.2</v>
      </c>
      <c r="J3683" s="41">
        <v>2</v>
      </c>
      <c r="K3683" s="10">
        <v>0.31248000000000004</v>
      </c>
      <c r="L3683" s="4"/>
      <c r="M3683" s="17">
        <v>2</v>
      </c>
      <c r="N3683" s="18">
        <v>0.31248000000000004</v>
      </c>
      <c r="O3683" s="19">
        <v>0</v>
      </c>
      <c r="P3683" s="13">
        <v>0</v>
      </c>
      <c r="Q3683" s="98">
        <v>7</v>
      </c>
      <c r="R3683" s="91">
        <v>2</v>
      </c>
      <c r="S3683" s="91" t="s">
        <v>602</v>
      </c>
    </row>
    <row r="3684" spans="1:19">
      <c r="O3684" s="215">
        <f>SUM(O3654:O3683)</f>
        <v>35</v>
      </c>
      <c r="R3684" s="215">
        <f>SUM(R3654:R3683)</f>
        <v>15</v>
      </c>
    </row>
    <row r="3686" spans="1:19" ht="15.6">
      <c r="A3686" s="110"/>
      <c r="B3686" s="110" t="s">
        <v>365</v>
      </c>
      <c r="C3686" s="111" t="s">
        <v>232</v>
      </c>
      <c r="D3686" s="112" t="s">
        <v>228</v>
      </c>
      <c r="E3686" s="113" t="s">
        <v>382</v>
      </c>
      <c r="F3686" s="114" t="s">
        <v>15</v>
      </c>
      <c r="G3686" s="115" t="s">
        <v>50</v>
      </c>
      <c r="H3686" s="116">
        <v>21.7</v>
      </c>
      <c r="I3686" s="125">
        <v>6.1</v>
      </c>
      <c r="J3686" s="111">
        <f>18+2+20+6</f>
        <v>46</v>
      </c>
      <c r="K3686" s="117">
        <f>I3686*H3686*J3686/1000</f>
        <v>6.0890199999999988</v>
      </c>
      <c r="L3686" s="118"/>
      <c r="M3686" s="111">
        <v>46</v>
      </c>
      <c r="N3686" s="117">
        <f t="shared" ref="N3686:N3703" si="422">I3686*M3686*H3686/1000</f>
        <v>6.0890199999999988</v>
      </c>
      <c r="O3686" s="119">
        <f t="shared" ref="O3686:O3703" si="423">J3686-M3686</f>
        <v>0</v>
      </c>
      <c r="P3686" s="120">
        <f t="shared" ref="P3686:P3694" si="424">I3686*O3686*H3686/1000</f>
        <v>0</v>
      </c>
      <c r="Q3686" s="111"/>
      <c r="R3686" s="32"/>
      <c r="S3686" s="213"/>
    </row>
    <row r="3687" spans="1:19" ht="15.6">
      <c r="A3687" s="110"/>
      <c r="B3687" s="110" t="s">
        <v>365</v>
      </c>
      <c r="C3687" s="111" t="s">
        <v>232</v>
      </c>
      <c r="D3687" s="112" t="s">
        <v>228</v>
      </c>
      <c r="E3687" s="113" t="s">
        <v>382</v>
      </c>
      <c r="F3687" s="114" t="s">
        <v>15</v>
      </c>
      <c r="G3687" s="115" t="s">
        <v>50</v>
      </c>
      <c r="H3687" s="116">
        <v>21.7</v>
      </c>
      <c r="I3687" s="125">
        <v>6.3</v>
      </c>
      <c r="J3687" s="111">
        <f>17+11+19</f>
        <v>47</v>
      </c>
      <c r="K3687" s="117">
        <f t="shared" ref="K3687:K3701" si="425">I3687*H3687*J3687/1000</f>
        <v>6.4253699999999991</v>
      </c>
      <c r="L3687" s="118"/>
      <c r="M3687" s="111">
        <f>25+4</f>
        <v>29</v>
      </c>
      <c r="N3687" s="117">
        <f t="shared" si="422"/>
        <v>3.9645899999999998</v>
      </c>
      <c r="O3687" s="119">
        <f t="shared" si="423"/>
        <v>18</v>
      </c>
      <c r="P3687" s="120">
        <f t="shared" si="424"/>
        <v>2.4607799999999997</v>
      </c>
      <c r="Q3687" s="111"/>
      <c r="R3687" s="32"/>
      <c r="S3687" s="213"/>
    </row>
    <row r="3688" spans="1:19" ht="15.6">
      <c r="A3688" s="110"/>
      <c r="B3688" s="110" t="s">
        <v>365</v>
      </c>
      <c r="C3688" s="111" t="s">
        <v>232</v>
      </c>
      <c r="D3688" s="112" t="s">
        <v>228</v>
      </c>
      <c r="E3688" s="113" t="s">
        <v>382</v>
      </c>
      <c r="F3688" s="114" t="s">
        <v>15</v>
      </c>
      <c r="G3688" s="115" t="s">
        <v>50</v>
      </c>
      <c r="H3688" s="116">
        <v>21.7</v>
      </c>
      <c r="I3688" s="125">
        <v>8.4</v>
      </c>
      <c r="J3688" s="111">
        <f>15+9</f>
        <v>24</v>
      </c>
      <c r="K3688" s="117">
        <f t="shared" si="425"/>
        <v>4.3747199999999999</v>
      </c>
      <c r="L3688" s="118"/>
      <c r="M3688" s="111">
        <v>11</v>
      </c>
      <c r="N3688" s="117">
        <f t="shared" si="422"/>
        <v>2.00508</v>
      </c>
      <c r="O3688" s="119">
        <f t="shared" si="423"/>
        <v>13</v>
      </c>
      <c r="P3688" s="120">
        <f t="shared" si="424"/>
        <v>2.36964</v>
      </c>
      <c r="Q3688" s="75">
        <v>7</v>
      </c>
      <c r="R3688" s="72">
        <v>11</v>
      </c>
      <c r="S3688" s="77" t="s">
        <v>605</v>
      </c>
    </row>
    <row r="3689" spans="1:19" ht="15.6">
      <c r="A3689" s="110"/>
      <c r="B3689" s="110" t="s">
        <v>365</v>
      </c>
      <c r="C3689" s="111" t="s">
        <v>232</v>
      </c>
      <c r="D3689" s="112" t="s">
        <v>228</v>
      </c>
      <c r="E3689" s="113" t="s">
        <v>382</v>
      </c>
      <c r="F3689" s="114" t="s">
        <v>15</v>
      </c>
      <c r="G3689" s="115" t="s">
        <v>50</v>
      </c>
      <c r="H3689" s="116">
        <v>21.7</v>
      </c>
      <c r="I3689" s="125">
        <v>8.6</v>
      </c>
      <c r="J3689" s="111">
        <f>15+15+11+16+13+2</f>
        <v>72</v>
      </c>
      <c r="K3689" s="117">
        <f t="shared" si="425"/>
        <v>13.436639999999997</v>
      </c>
      <c r="L3689" s="118"/>
      <c r="M3689" s="111">
        <v>72</v>
      </c>
      <c r="N3689" s="117">
        <f t="shared" si="422"/>
        <v>13.436639999999997</v>
      </c>
      <c r="O3689" s="119">
        <f t="shared" si="423"/>
        <v>0</v>
      </c>
      <c r="P3689" s="120">
        <f t="shared" si="424"/>
        <v>0</v>
      </c>
      <c r="Q3689" s="72"/>
      <c r="R3689" s="72"/>
      <c r="S3689" s="77"/>
    </row>
    <row r="3690" spans="1:19" ht="15.6">
      <c r="A3690" s="110"/>
      <c r="B3690" s="110" t="s">
        <v>365</v>
      </c>
      <c r="C3690" s="111" t="s">
        <v>232</v>
      </c>
      <c r="D3690" s="112" t="s">
        <v>228</v>
      </c>
      <c r="E3690" s="113" t="s">
        <v>382</v>
      </c>
      <c r="F3690" s="114" t="s">
        <v>15</v>
      </c>
      <c r="G3690" s="115" t="s">
        <v>50</v>
      </c>
      <c r="H3690" s="116">
        <v>21.7</v>
      </c>
      <c r="I3690" s="125">
        <v>9.1</v>
      </c>
      <c r="J3690" s="111">
        <f>13+15+15+15+15+4+1+16+13+13+8</f>
        <v>128</v>
      </c>
      <c r="K3690" s="117">
        <f t="shared" si="425"/>
        <v>25.276160000000001</v>
      </c>
      <c r="L3690" s="118"/>
      <c r="M3690" s="111">
        <f>126+2</f>
        <v>128</v>
      </c>
      <c r="N3690" s="117">
        <f t="shared" si="422"/>
        <v>25.276160000000001</v>
      </c>
      <c r="O3690" s="119">
        <f t="shared" si="423"/>
        <v>0</v>
      </c>
      <c r="P3690" s="120">
        <f t="shared" si="424"/>
        <v>0</v>
      </c>
      <c r="Q3690" s="72">
        <v>8.5500000000000007</v>
      </c>
      <c r="R3690" s="72">
        <v>2</v>
      </c>
      <c r="S3690" s="77" t="s">
        <v>605</v>
      </c>
    </row>
    <row r="3691" spans="1:19" ht="15.6">
      <c r="A3691" s="110"/>
      <c r="B3691" s="110" t="s">
        <v>365</v>
      </c>
      <c r="C3691" s="111" t="s">
        <v>232</v>
      </c>
      <c r="D3691" s="112" t="s">
        <v>228</v>
      </c>
      <c r="E3691" s="113" t="s">
        <v>382</v>
      </c>
      <c r="F3691" s="114" t="s">
        <v>15</v>
      </c>
      <c r="G3691" s="115" t="s">
        <v>50</v>
      </c>
      <c r="H3691" s="116">
        <v>21.7</v>
      </c>
      <c r="I3691" s="125">
        <v>9.6999999999999993</v>
      </c>
      <c r="J3691" s="111">
        <f>15+12+15+10</f>
        <v>52</v>
      </c>
      <c r="K3691" s="117">
        <f t="shared" si="425"/>
        <v>10.94548</v>
      </c>
      <c r="L3691" s="118"/>
      <c r="M3691" s="111">
        <v>52</v>
      </c>
      <c r="N3691" s="117">
        <f t="shared" si="422"/>
        <v>10.94548</v>
      </c>
      <c r="O3691" s="119">
        <f t="shared" si="423"/>
        <v>0</v>
      </c>
      <c r="P3691" s="120">
        <f t="shared" si="424"/>
        <v>0</v>
      </c>
      <c r="Q3691" s="72"/>
      <c r="R3691" s="72"/>
      <c r="S3691" s="77"/>
    </row>
    <row r="3692" spans="1:19" ht="15.6">
      <c r="A3692" s="110"/>
      <c r="B3692" s="110" t="s">
        <v>365</v>
      </c>
      <c r="C3692" s="111" t="s">
        <v>232</v>
      </c>
      <c r="D3692" s="112" t="s">
        <v>228</v>
      </c>
      <c r="E3692" s="113" t="s">
        <v>382</v>
      </c>
      <c r="F3692" s="114" t="s">
        <v>15</v>
      </c>
      <c r="G3692" s="115" t="s">
        <v>50</v>
      </c>
      <c r="H3692" s="116">
        <v>21.7</v>
      </c>
      <c r="I3692" s="125">
        <v>10.1</v>
      </c>
      <c r="J3692" s="111">
        <f>15+10+1+10</f>
        <v>36</v>
      </c>
      <c r="K3692" s="117">
        <f t="shared" si="425"/>
        <v>7.8901199999999996</v>
      </c>
      <c r="L3692" s="118"/>
      <c r="M3692" s="111">
        <f>26+9</f>
        <v>35</v>
      </c>
      <c r="N3692" s="117">
        <f t="shared" si="422"/>
        <v>7.6709499999999995</v>
      </c>
      <c r="O3692" s="119">
        <f t="shared" si="423"/>
        <v>1</v>
      </c>
      <c r="P3692" s="120">
        <f t="shared" si="424"/>
        <v>0.21916999999999998</v>
      </c>
      <c r="Q3692" s="72">
        <v>8.5500000000000007</v>
      </c>
      <c r="R3692" s="72">
        <v>9</v>
      </c>
      <c r="S3692" s="77" t="s">
        <v>605</v>
      </c>
    </row>
    <row r="3693" spans="1:19" ht="15.6">
      <c r="A3693" s="110"/>
      <c r="B3693" s="110" t="s">
        <v>365</v>
      </c>
      <c r="C3693" s="111" t="s">
        <v>232</v>
      </c>
      <c r="D3693" s="112" t="s">
        <v>228</v>
      </c>
      <c r="E3693" s="113" t="s">
        <v>382</v>
      </c>
      <c r="F3693" s="114" t="s">
        <v>15</v>
      </c>
      <c r="G3693" s="115" t="s">
        <v>50</v>
      </c>
      <c r="H3693" s="116">
        <v>21.7</v>
      </c>
      <c r="I3693" s="125">
        <v>6</v>
      </c>
      <c r="J3693" s="111">
        <v>1</v>
      </c>
      <c r="K3693" s="117">
        <f t="shared" si="425"/>
        <v>0.13019999999999998</v>
      </c>
      <c r="L3693" s="118"/>
      <c r="M3693" s="111"/>
      <c r="N3693" s="117">
        <f t="shared" si="422"/>
        <v>0</v>
      </c>
      <c r="O3693" s="119">
        <f t="shared" si="423"/>
        <v>1</v>
      </c>
      <c r="P3693" s="120">
        <f t="shared" si="424"/>
        <v>0.13019999999999998</v>
      </c>
      <c r="Q3693" s="72"/>
      <c r="R3693" s="72"/>
      <c r="S3693" s="77"/>
    </row>
    <row r="3694" spans="1:19" ht="15.6">
      <c r="A3694" s="110"/>
      <c r="B3694" s="110" t="s">
        <v>365</v>
      </c>
      <c r="C3694" s="111" t="s">
        <v>232</v>
      </c>
      <c r="D3694" s="112" t="s">
        <v>228</v>
      </c>
      <c r="E3694" s="113" t="s">
        <v>382</v>
      </c>
      <c r="F3694" s="114" t="s">
        <v>15</v>
      </c>
      <c r="G3694" s="115" t="s">
        <v>50</v>
      </c>
      <c r="H3694" s="116">
        <v>21.7</v>
      </c>
      <c r="I3694" s="125">
        <v>7.5</v>
      </c>
      <c r="J3694" s="111">
        <v>1</v>
      </c>
      <c r="K3694" s="117">
        <f t="shared" si="425"/>
        <v>0.16275000000000001</v>
      </c>
      <c r="L3694" s="118"/>
      <c r="M3694" s="111">
        <v>1</v>
      </c>
      <c r="N3694" s="117">
        <f t="shared" si="422"/>
        <v>0.16275000000000001</v>
      </c>
      <c r="O3694" s="119">
        <f t="shared" si="423"/>
        <v>0</v>
      </c>
      <c r="P3694" s="120">
        <f t="shared" si="424"/>
        <v>0</v>
      </c>
      <c r="Q3694" s="79">
        <v>7</v>
      </c>
      <c r="R3694" s="72">
        <v>1</v>
      </c>
      <c r="S3694" s="77" t="s">
        <v>605</v>
      </c>
    </row>
    <row r="3695" spans="1:19" ht="15.6">
      <c r="A3695" s="110"/>
      <c r="B3695" s="110" t="s">
        <v>365</v>
      </c>
      <c r="C3695" s="111" t="s">
        <v>232</v>
      </c>
      <c r="D3695" s="112" t="s">
        <v>228</v>
      </c>
      <c r="E3695" s="113" t="s">
        <v>382</v>
      </c>
      <c r="F3695" s="114" t="s">
        <v>15</v>
      </c>
      <c r="G3695" s="115" t="s">
        <v>50</v>
      </c>
      <c r="H3695" s="116">
        <v>21.7</v>
      </c>
      <c r="I3695" s="125">
        <v>7.9</v>
      </c>
      <c r="J3695" s="111">
        <v>2</v>
      </c>
      <c r="K3695" s="117">
        <f t="shared" si="425"/>
        <v>0.34286</v>
      </c>
      <c r="L3695" s="118"/>
      <c r="M3695" s="111">
        <v>2</v>
      </c>
      <c r="N3695" s="117">
        <f t="shared" si="422"/>
        <v>0.34286</v>
      </c>
      <c r="O3695" s="119">
        <f t="shared" si="423"/>
        <v>0</v>
      </c>
      <c r="P3695" s="120">
        <f>I3695*O3695*H3695/1000</f>
        <v>0</v>
      </c>
      <c r="Q3695" s="79">
        <v>7</v>
      </c>
      <c r="R3695" s="72">
        <v>2</v>
      </c>
      <c r="S3695" s="77" t="s">
        <v>605</v>
      </c>
    </row>
    <row r="3696" spans="1:19" ht="15.6">
      <c r="A3696" s="110"/>
      <c r="B3696" s="110" t="s">
        <v>365</v>
      </c>
      <c r="C3696" s="111" t="s">
        <v>232</v>
      </c>
      <c r="D3696" s="112" t="s">
        <v>228</v>
      </c>
      <c r="E3696" s="113" t="s">
        <v>382</v>
      </c>
      <c r="F3696" s="114" t="s">
        <v>15</v>
      </c>
      <c r="G3696" s="115" t="s">
        <v>50</v>
      </c>
      <c r="H3696" s="116">
        <v>21.7</v>
      </c>
      <c r="I3696" s="125">
        <v>8.4</v>
      </c>
      <c r="J3696" s="111">
        <v>1</v>
      </c>
      <c r="K3696" s="117">
        <f t="shared" si="425"/>
        <v>0.18228</v>
      </c>
      <c r="L3696" s="118"/>
      <c r="M3696" s="111">
        <v>1</v>
      </c>
      <c r="N3696" s="117">
        <f t="shared" si="422"/>
        <v>0.18228</v>
      </c>
      <c r="O3696" s="119">
        <f t="shared" si="423"/>
        <v>0</v>
      </c>
      <c r="P3696" s="120">
        <f>I3696*O3696*H3696/1000</f>
        <v>0</v>
      </c>
      <c r="Q3696" s="79">
        <v>7</v>
      </c>
      <c r="R3696" s="72">
        <v>1</v>
      </c>
      <c r="S3696" s="77" t="s">
        <v>605</v>
      </c>
    </row>
    <row r="3697" spans="1:20" ht="15.6">
      <c r="A3697" s="110"/>
      <c r="B3697" s="110" t="s">
        <v>365</v>
      </c>
      <c r="C3697" s="111" t="s">
        <v>232</v>
      </c>
      <c r="D3697" s="112" t="s">
        <v>228</v>
      </c>
      <c r="E3697" s="113" t="s">
        <v>382</v>
      </c>
      <c r="F3697" s="114" t="s">
        <v>15</v>
      </c>
      <c r="G3697" s="115" t="s">
        <v>50</v>
      </c>
      <c r="H3697" s="116">
        <v>21.7</v>
      </c>
      <c r="I3697" s="125">
        <v>11.5</v>
      </c>
      <c r="J3697" s="111">
        <v>1</v>
      </c>
      <c r="K3697" s="117">
        <f t="shared" si="425"/>
        <v>0.24954999999999999</v>
      </c>
      <c r="L3697" s="118"/>
      <c r="M3697" s="111"/>
      <c r="N3697" s="117">
        <f t="shared" si="422"/>
        <v>0</v>
      </c>
      <c r="O3697" s="119">
        <f t="shared" si="423"/>
        <v>1</v>
      </c>
      <c r="P3697" s="120">
        <f t="shared" ref="P3697:P3699" si="426">I3697*O3697*H3697/1000</f>
        <v>0.24954999999999999</v>
      </c>
      <c r="Q3697" s="72"/>
      <c r="R3697" s="72"/>
      <c r="S3697" s="77"/>
    </row>
    <row r="3698" spans="1:20" ht="15.6">
      <c r="A3698" s="110"/>
      <c r="B3698" s="110" t="s">
        <v>365</v>
      </c>
      <c r="C3698" s="111" t="s">
        <v>232</v>
      </c>
      <c r="D3698" s="112" t="s">
        <v>228</v>
      </c>
      <c r="E3698" s="113" t="s">
        <v>382</v>
      </c>
      <c r="F3698" s="114" t="s">
        <v>15</v>
      </c>
      <c r="G3698" s="115" t="s">
        <v>50</v>
      </c>
      <c r="H3698" s="116">
        <v>21.7</v>
      </c>
      <c r="I3698" s="125">
        <v>11</v>
      </c>
      <c r="J3698" s="111">
        <v>3</v>
      </c>
      <c r="K3698" s="117">
        <f t="shared" si="425"/>
        <v>0.71609999999999996</v>
      </c>
      <c r="L3698" s="118"/>
      <c r="M3698" s="111"/>
      <c r="N3698" s="117">
        <f t="shared" si="422"/>
        <v>0</v>
      </c>
      <c r="O3698" s="119">
        <f t="shared" si="423"/>
        <v>3</v>
      </c>
      <c r="P3698" s="120">
        <f t="shared" si="426"/>
        <v>0.71610000000000007</v>
      </c>
      <c r="Q3698" s="72"/>
      <c r="R3698" s="72"/>
      <c r="S3698" s="77"/>
    </row>
    <row r="3699" spans="1:20" ht="15.6">
      <c r="A3699" s="110"/>
      <c r="B3699" s="110" t="s">
        <v>365</v>
      </c>
      <c r="C3699" s="111" t="s">
        <v>232</v>
      </c>
      <c r="D3699" s="112" t="s">
        <v>228</v>
      </c>
      <c r="E3699" s="113" t="s">
        <v>382</v>
      </c>
      <c r="F3699" s="114" t="s">
        <v>15</v>
      </c>
      <c r="G3699" s="115" t="s">
        <v>50</v>
      </c>
      <c r="H3699" s="116">
        <v>21.7</v>
      </c>
      <c r="I3699" s="125">
        <v>9.6999999999999993</v>
      </c>
      <c r="J3699" s="111">
        <v>3</v>
      </c>
      <c r="K3699" s="117">
        <f t="shared" si="425"/>
        <v>0.63146999999999986</v>
      </c>
      <c r="L3699" s="118"/>
      <c r="M3699" s="111">
        <v>3</v>
      </c>
      <c r="N3699" s="117">
        <f t="shared" si="422"/>
        <v>0.63146999999999986</v>
      </c>
      <c r="O3699" s="119">
        <f t="shared" si="423"/>
        <v>0</v>
      </c>
      <c r="P3699" s="120">
        <f t="shared" si="426"/>
        <v>0</v>
      </c>
      <c r="Q3699" s="79">
        <v>8.5500000000000007</v>
      </c>
      <c r="R3699" s="72">
        <v>3</v>
      </c>
      <c r="S3699" s="77" t="s">
        <v>605</v>
      </c>
    </row>
    <row r="3700" spans="1:20" ht="15.6">
      <c r="A3700" s="110"/>
      <c r="B3700" s="110" t="s">
        <v>365</v>
      </c>
      <c r="C3700" s="111" t="s">
        <v>232</v>
      </c>
      <c r="D3700" s="112" t="s">
        <v>228</v>
      </c>
      <c r="E3700" s="113" t="s">
        <v>382</v>
      </c>
      <c r="F3700" s="114" t="s">
        <v>15</v>
      </c>
      <c r="G3700" s="115" t="s">
        <v>50</v>
      </c>
      <c r="H3700" s="116">
        <v>21.7</v>
      </c>
      <c r="I3700" s="125">
        <v>8.6</v>
      </c>
      <c r="J3700" s="111">
        <v>1</v>
      </c>
      <c r="K3700" s="117">
        <f t="shared" si="425"/>
        <v>0.18661999999999998</v>
      </c>
      <c r="L3700" s="118"/>
      <c r="M3700" s="111">
        <v>1</v>
      </c>
      <c r="N3700" s="117">
        <f t="shared" si="422"/>
        <v>0.18661999999999998</v>
      </c>
      <c r="O3700" s="119">
        <f t="shared" si="423"/>
        <v>0</v>
      </c>
      <c r="P3700" s="120">
        <f>I3700*O3700*H3700/1000</f>
        <v>0</v>
      </c>
      <c r="Q3700" s="79">
        <v>8.5500000000000007</v>
      </c>
      <c r="R3700" s="72">
        <v>1</v>
      </c>
      <c r="S3700" s="77" t="s">
        <v>605</v>
      </c>
    </row>
    <row r="3701" spans="1:20" ht="15.6">
      <c r="A3701" s="110"/>
      <c r="B3701" s="110" t="s">
        <v>365</v>
      </c>
      <c r="C3701" s="111" t="s">
        <v>232</v>
      </c>
      <c r="D3701" s="112" t="s">
        <v>228</v>
      </c>
      <c r="E3701" s="113" t="s">
        <v>382</v>
      </c>
      <c r="F3701" s="114" t="s">
        <v>15</v>
      </c>
      <c r="G3701" s="115" t="s">
        <v>50</v>
      </c>
      <c r="H3701" s="116">
        <v>21.7</v>
      </c>
      <c r="I3701" s="125">
        <v>7.7</v>
      </c>
      <c r="J3701" s="111">
        <v>2</v>
      </c>
      <c r="K3701" s="117">
        <f t="shared" si="425"/>
        <v>0.33418000000000003</v>
      </c>
      <c r="L3701" s="118"/>
      <c r="M3701" s="111">
        <v>2</v>
      </c>
      <c r="N3701" s="117">
        <f t="shared" si="422"/>
        <v>0.33418000000000003</v>
      </c>
      <c r="O3701" s="119">
        <f t="shared" si="423"/>
        <v>0</v>
      </c>
      <c r="P3701" s="120">
        <f>I3701*O3701*H3701/1000</f>
        <v>0</v>
      </c>
      <c r="Q3701" s="79">
        <v>7</v>
      </c>
      <c r="R3701" s="72">
        <v>2</v>
      </c>
      <c r="S3701" s="77" t="s">
        <v>605</v>
      </c>
    </row>
    <row r="3702" spans="1:20" ht="15.6">
      <c r="A3702" s="110"/>
      <c r="B3702" s="110" t="s">
        <v>365</v>
      </c>
      <c r="C3702" s="111" t="s">
        <v>232</v>
      </c>
      <c r="D3702" s="112" t="s">
        <v>228</v>
      </c>
      <c r="E3702" s="113" t="s">
        <v>382</v>
      </c>
      <c r="F3702" s="114" t="s">
        <v>15</v>
      </c>
      <c r="G3702" s="115" t="s">
        <v>50</v>
      </c>
      <c r="H3702" s="116">
        <v>21.7</v>
      </c>
      <c r="I3702" s="125">
        <v>7.8</v>
      </c>
      <c r="J3702" s="111">
        <v>1</v>
      </c>
      <c r="K3702" s="117">
        <f>I3702*H3702*J3702/1000</f>
        <v>0.16925999999999999</v>
      </c>
      <c r="L3702" s="118"/>
      <c r="M3702" s="111">
        <v>1</v>
      </c>
      <c r="N3702" s="117">
        <f t="shared" si="422"/>
        <v>0.16925999999999999</v>
      </c>
      <c r="O3702" s="119">
        <f t="shared" si="423"/>
        <v>0</v>
      </c>
      <c r="P3702" s="120">
        <f>I3702*O3702*H3702/1000</f>
        <v>0</v>
      </c>
      <c r="Q3702" s="79">
        <v>7</v>
      </c>
      <c r="R3702" s="72">
        <v>1</v>
      </c>
      <c r="S3702" s="77" t="s">
        <v>605</v>
      </c>
    </row>
    <row r="3703" spans="1:20" ht="15.6">
      <c r="A3703" s="110"/>
      <c r="B3703" s="110" t="s">
        <v>365</v>
      </c>
      <c r="C3703" s="111" t="s">
        <v>232</v>
      </c>
      <c r="D3703" s="112" t="s">
        <v>228</v>
      </c>
      <c r="E3703" s="113" t="s">
        <v>382</v>
      </c>
      <c r="F3703" s="114" t="s">
        <v>15</v>
      </c>
      <c r="G3703" s="115" t="s">
        <v>50</v>
      </c>
      <c r="H3703" s="116">
        <v>21.7</v>
      </c>
      <c r="I3703" s="125">
        <v>6.3</v>
      </c>
      <c r="J3703" s="111">
        <v>2</v>
      </c>
      <c r="K3703" s="117">
        <f>I3703*H3703*J3703/1000</f>
        <v>0.27341999999999994</v>
      </c>
      <c r="L3703" s="118"/>
      <c r="M3703" s="111"/>
      <c r="N3703" s="117">
        <f t="shared" si="422"/>
        <v>0</v>
      </c>
      <c r="O3703" s="119">
        <f t="shared" si="423"/>
        <v>2</v>
      </c>
      <c r="P3703" s="120">
        <f>I3703*O3703*H3703/1000</f>
        <v>0.27341999999999994</v>
      </c>
      <c r="Q3703" s="111"/>
      <c r="R3703" s="32"/>
      <c r="S3703" s="213"/>
    </row>
    <row r="3704" spans="1:20">
      <c r="A3704" s="213"/>
      <c r="B3704" s="213"/>
      <c r="C3704" s="213"/>
      <c r="D3704" s="213"/>
      <c r="E3704" s="213"/>
      <c r="F3704" s="213"/>
      <c r="G3704" s="213"/>
      <c r="H3704" s="213"/>
      <c r="I3704" s="213"/>
      <c r="J3704" s="215">
        <f>SUM(J3686:J3703)</f>
        <v>423</v>
      </c>
      <c r="K3704" s="214">
        <f>SUM(K3686:K3703)</f>
        <v>77.816199999999995</v>
      </c>
      <c r="L3704" s="213"/>
      <c r="M3704" s="215">
        <f>SUM(M3686:M3703)</f>
        <v>384</v>
      </c>
      <c r="N3704" s="214">
        <f>SUM(N3686:N3703)</f>
        <v>71.397340000000014</v>
      </c>
      <c r="O3704" s="215">
        <f>SUM(O3686:O3703)</f>
        <v>39</v>
      </c>
      <c r="P3704" s="214">
        <f>SUM(P3686:P3703)</f>
        <v>6.4188600000000005</v>
      </c>
      <c r="Q3704" s="213"/>
      <c r="R3704" s="215">
        <f>SUM(R3686:R3703)</f>
        <v>33</v>
      </c>
      <c r="S3704" s="213"/>
    </row>
    <row r="3705" spans="1:20">
      <c r="R3705" s="215">
        <f>+R3704+R3684</f>
        <v>48</v>
      </c>
    </row>
    <row r="3711" spans="1:20" ht="15.6">
      <c r="B3711" s="110" t="s">
        <v>518</v>
      </c>
      <c r="C3711" s="111" t="s">
        <v>505</v>
      </c>
      <c r="D3711" s="112" t="s">
        <v>449</v>
      </c>
      <c r="E3711" s="113" t="s">
        <v>130</v>
      </c>
      <c r="F3711" s="114" t="s">
        <v>15</v>
      </c>
      <c r="G3711" s="115" t="s">
        <v>39</v>
      </c>
      <c r="H3711" s="116">
        <v>14.7</v>
      </c>
      <c r="I3711" s="126">
        <v>11.7</v>
      </c>
      <c r="J3711" s="321">
        <v>12</v>
      </c>
      <c r="K3711" s="117">
        <f t="shared" ref="K3711:K3713" si="427">I3711*H3711*J3711/1000</f>
        <v>2.0638799999999997</v>
      </c>
      <c r="L3711" s="118"/>
      <c r="M3711" s="111">
        <v>10</v>
      </c>
      <c r="N3711" s="117">
        <f t="shared" ref="N3711:N3713" si="428">I3711*M3711*H3711/1000</f>
        <v>1.7198999999999998</v>
      </c>
      <c r="O3711" s="119">
        <f t="shared" ref="O3711:O3713" si="429">J3711-M3711</f>
        <v>2</v>
      </c>
      <c r="P3711" s="120">
        <f t="shared" ref="P3711:P3713" si="430">I3711*O3711*H3711/1000</f>
        <v>0.34397999999999995</v>
      </c>
      <c r="Q3711" s="102">
        <v>11.7</v>
      </c>
      <c r="R3711" s="414">
        <v>10</v>
      </c>
      <c r="S3711" s="91" t="s">
        <v>540</v>
      </c>
      <c r="T3711" s="32"/>
    </row>
    <row r="3712" spans="1:20" ht="15.6">
      <c r="B3712" s="110" t="s">
        <v>518</v>
      </c>
      <c r="C3712" s="111" t="s">
        <v>505</v>
      </c>
      <c r="D3712" s="112" t="s">
        <v>449</v>
      </c>
      <c r="E3712" s="113" t="s">
        <v>130</v>
      </c>
      <c r="F3712" s="114" t="s">
        <v>15</v>
      </c>
      <c r="G3712" s="115" t="s">
        <v>39</v>
      </c>
      <c r="H3712" s="116">
        <v>14.7</v>
      </c>
      <c r="I3712" s="126">
        <v>11.5</v>
      </c>
      <c r="J3712" s="321">
        <v>1</v>
      </c>
      <c r="K3712" s="117">
        <f t="shared" si="427"/>
        <v>0.16904999999999998</v>
      </c>
      <c r="L3712" s="118"/>
      <c r="M3712" s="111"/>
      <c r="N3712" s="117">
        <f t="shared" si="428"/>
        <v>0</v>
      </c>
      <c r="O3712" s="119">
        <f t="shared" si="429"/>
        <v>1</v>
      </c>
      <c r="P3712" s="120">
        <f t="shared" si="430"/>
        <v>0.16904999999999998</v>
      </c>
      <c r="Q3712" s="130"/>
      <c r="R3712" s="320"/>
      <c r="S3712" s="32"/>
      <c r="T3712" s="32"/>
    </row>
    <row r="3713" spans="2:20" ht="15.6">
      <c r="B3713" s="110" t="s">
        <v>518</v>
      </c>
      <c r="C3713" s="111" t="s">
        <v>505</v>
      </c>
      <c r="D3713" s="112" t="s">
        <v>449</v>
      </c>
      <c r="E3713" s="113" t="s">
        <v>130</v>
      </c>
      <c r="F3713" s="114" t="s">
        <v>15</v>
      </c>
      <c r="G3713" s="115" t="s">
        <v>39</v>
      </c>
      <c r="H3713" s="116">
        <v>14.7</v>
      </c>
      <c r="I3713" s="126">
        <v>8.6</v>
      </c>
      <c r="J3713" s="321">
        <v>6</v>
      </c>
      <c r="K3713" s="117">
        <f t="shared" si="427"/>
        <v>0.75851999999999997</v>
      </c>
      <c r="L3713" s="118"/>
      <c r="M3713" s="111">
        <v>6</v>
      </c>
      <c r="N3713" s="117">
        <f t="shared" si="428"/>
        <v>0.75851999999999986</v>
      </c>
      <c r="O3713" s="119">
        <f t="shared" si="429"/>
        <v>0</v>
      </c>
      <c r="P3713" s="120">
        <f t="shared" si="430"/>
        <v>0</v>
      </c>
      <c r="Q3713" s="130"/>
      <c r="R3713" s="320"/>
      <c r="S3713" s="32"/>
      <c r="T3713" s="32"/>
    </row>
    <row r="3716" spans="2:20" ht="15.6">
      <c r="B3716" s="110" t="s">
        <v>518</v>
      </c>
      <c r="C3716" s="111" t="s">
        <v>232</v>
      </c>
      <c r="D3716" s="112" t="s">
        <v>449</v>
      </c>
      <c r="E3716" s="113" t="s">
        <v>506</v>
      </c>
      <c r="F3716" s="114" t="s">
        <v>15</v>
      </c>
      <c r="G3716" s="115" t="s">
        <v>39</v>
      </c>
      <c r="H3716" s="116">
        <v>14.7</v>
      </c>
      <c r="I3716" s="125">
        <v>10.3</v>
      </c>
      <c r="J3716" s="111">
        <v>1</v>
      </c>
      <c r="K3716" s="117">
        <f t="shared" ref="K3716:K3741" si="431">I3716*H3716*J3716/1000</f>
        <v>0.15140999999999999</v>
      </c>
      <c r="L3716" s="118"/>
      <c r="M3716" s="111">
        <v>1</v>
      </c>
      <c r="N3716" s="117">
        <f t="shared" ref="N3716:N3746" si="432">I3716*M3716*H3716/1000</f>
        <v>0.15140999999999999</v>
      </c>
      <c r="O3716" s="119">
        <f t="shared" ref="O3716:O3746" si="433">J3716-M3716</f>
        <v>0</v>
      </c>
      <c r="P3716" s="120">
        <f t="shared" ref="P3716:P3746" si="434">I3716*O3716*H3716/1000</f>
        <v>0</v>
      </c>
      <c r="Q3716" s="130"/>
      <c r="R3716" s="410">
        <v>1</v>
      </c>
      <c r="S3716" s="72" t="s">
        <v>608</v>
      </c>
      <c r="T3716" s="32"/>
    </row>
    <row r="3717" spans="2:20" ht="15.6">
      <c r="B3717" s="110" t="s">
        <v>518</v>
      </c>
      <c r="C3717" s="111" t="s">
        <v>232</v>
      </c>
      <c r="D3717" s="112" t="s">
        <v>449</v>
      </c>
      <c r="E3717" s="113" t="s">
        <v>506</v>
      </c>
      <c r="F3717" s="114" t="s">
        <v>15</v>
      </c>
      <c r="G3717" s="115" t="s">
        <v>39</v>
      </c>
      <c r="H3717" s="116">
        <v>14.7</v>
      </c>
      <c r="I3717" s="125">
        <v>11</v>
      </c>
      <c r="J3717" s="111">
        <v>8</v>
      </c>
      <c r="K3717" s="117">
        <f t="shared" si="431"/>
        <v>1.2935999999999999</v>
      </c>
      <c r="L3717" s="118"/>
      <c r="M3717" s="111">
        <f>8+6</f>
        <v>14</v>
      </c>
      <c r="N3717" s="117">
        <f t="shared" si="432"/>
        <v>2.2637999999999998</v>
      </c>
      <c r="O3717" s="230">
        <f t="shared" si="433"/>
        <v>-6</v>
      </c>
      <c r="P3717" s="231">
        <f t="shared" si="434"/>
        <v>-0.97019999999999995</v>
      </c>
      <c r="Q3717" s="405" t="s">
        <v>520</v>
      </c>
      <c r="R3717" s="406"/>
      <c r="S3717" s="44"/>
      <c r="T3717" s="44"/>
    </row>
    <row r="3718" spans="2:20" ht="15.6">
      <c r="B3718" s="110" t="s">
        <v>518</v>
      </c>
      <c r="C3718" s="111" t="s">
        <v>232</v>
      </c>
      <c r="D3718" s="112" t="s">
        <v>449</v>
      </c>
      <c r="E3718" s="113" t="s">
        <v>506</v>
      </c>
      <c r="F3718" s="114" t="s">
        <v>15</v>
      </c>
      <c r="G3718" s="115" t="s">
        <v>39</v>
      </c>
      <c r="H3718" s="116">
        <v>14.7</v>
      </c>
      <c r="I3718" s="125">
        <v>11.7</v>
      </c>
      <c r="J3718" s="111">
        <v>20</v>
      </c>
      <c r="K3718" s="117">
        <f t="shared" si="431"/>
        <v>3.4397999999999995</v>
      </c>
      <c r="L3718" s="118"/>
      <c r="M3718" s="111">
        <v>20</v>
      </c>
      <c r="N3718" s="117">
        <f t="shared" si="432"/>
        <v>3.4397999999999995</v>
      </c>
      <c r="O3718" s="119">
        <f t="shared" si="433"/>
        <v>0</v>
      </c>
      <c r="P3718" s="120">
        <f t="shared" si="434"/>
        <v>0</v>
      </c>
      <c r="Q3718" s="130"/>
      <c r="R3718" s="320"/>
      <c r="S3718" s="32"/>
      <c r="T3718" s="32"/>
    </row>
    <row r="3719" spans="2:20" ht="15.6">
      <c r="B3719" s="110" t="s">
        <v>518</v>
      </c>
      <c r="C3719" s="111" t="s">
        <v>232</v>
      </c>
      <c r="D3719" s="112" t="s">
        <v>449</v>
      </c>
      <c r="E3719" s="113" t="s">
        <v>506</v>
      </c>
      <c r="F3719" s="114" t="s">
        <v>15</v>
      </c>
      <c r="G3719" s="115" t="s">
        <v>39</v>
      </c>
      <c r="H3719" s="116">
        <v>14.7</v>
      </c>
      <c r="I3719" s="125">
        <v>11.7</v>
      </c>
      <c r="J3719" s="111">
        <v>14</v>
      </c>
      <c r="K3719" s="117">
        <f t="shared" si="431"/>
        <v>2.4078599999999999</v>
      </c>
      <c r="L3719" s="118"/>
      <c r="M3719" s="111">
        <v>14</v>
      </c>
      <c r="N3719" s="117">
        <f t="shared" si="432"/>
        <v>2.4078599999999999</v>
      </c>
      <c r="O3719" s="119">
        <f t="shared" si="433"/>
        <v>0</v>
      </c>
      <c r="P3719" s="120">
        <f t="shared" si="434"/>
        <v>0</v>
      </c>
      <c r="Q3719" s="130"/>
      <c r="R3719" s="320"/>
      <c r="S3719" s="32"/>
      <c r="T3719" s="32"/>
    </row>
    <row r="3720" spans="2:20" ht="15.6">
      <c r="B3720" s="110" t="s">
        <v>518</v>
      </c>
      <c r="C3720" s="111" t="s">
        <v>232</v>
      </c>
      <c r="D3720" s="112" t="s">
        <v>449</v>
      </c>
      <c r="E3720" s="113" t="s">
        <v>506</v>
      </c>
      <c r="F3720" s="114" t="s">
        <v>15</v>
      </c>
      <c r="G3720" s="115" t="s">
        <v>39</v>
      </c>
      <c r="H3720" s="116">
        <v>14.7</v>
      </c>
      <c r="I3720" s="125">
        <v>10.1</v>
      </c>
      <c r="J3720" s="111">
        <v>2</v>
      </c>
      <c r="K3720" s="117">
        <f t="shared" si="431"/>
        <v>0.29693999999999998</v>
      </c>
      <c r="L3720" s="118"/>
      <c r="M3720" s="111">
        <v>2</v>
      </c>
      <c r="N3720" s="117">
        <f t="shared" si="432"/>
        <v>0.29693999999999998</v>
      </c>
      <c r="O3720" s="119">
        <f t="shared" si="433"/>
        <v>0</v>
      </c>
      <c r="P3720" s="120">
        <f t="shared" si="434"/>
        <v>0</v>
      </c>
      <c r="Q3720" s="130"/>
      <c r="R3720" s="320"/>
      <c r="S3720" s="32"/>
      <c r="T3720" s="32"/>
    </row>
    <row r="3721" spans="2:20" ht="15.6">
      <c r="B3721" s="110" t="s">
        <v>518</v>
      </c>
      <c r="C3721" s="111" t="s">
        <v>232</v>
      </c>
      <c r="D3721" s="112" t="s">
        <v>449</v>
      </c>
      <c r="E3721" s="113" t="s">
        <v>506</v>
      </c>
      <c r="F3721" s="114" t="s">
        <v>15</v>
      </c>
      <c r="G3721" s="115" t="s">
        <v>39</v>
      </c>
      <c r="H3721" s="116">
        <v>14.7</v>
      </c>
      <c r="I3721" s="125">
        <v>12</v>
      </c>
      <c r="J3721" s="111">
        <v>7</v>
      </c>
      <c r="K3721" s="117">
        <f t="shared" si="431"/>
        <v>1.2347999999999997</v>
      </c>
      <c r="L3721" s="118"/>
      <c r="M3721" s="111">
        <v>7</v>
      </c>
      <c r="N3721" s="117">
        <f t="shared" si="432"/>
        <v>1.2347999999999999</v>
      </c>
      <c r="O3721" s="119">
        <f t="shared" si="433"/>
        <v>0</v>
      </c>
      <c r="P3721" s="120">
        <f t="shared" si="434"/>
        <v>0</v>
      </c>
      <c r="Q3721" s="130"/>
      <c r="R3721" s="320"/>
      <c r="S3721" s="32"/>
      <c r="T3721" s="32"/>
    </row>
    <row r="3722" spans="2:20" ht="15.6">
      <c r="B3722" s="110" t="s">
        <v>518</v>
      </c>
      <c r="C3722" s="111" t="s">
        <v>232</v>
      </c>
      <c r="D3722" s="112" t="s">
        <v>449</v>
      </c>
      <c r="E3722" s="113" t="s">
        <v>506</v>
      </c>
      <c r="F3722" s="114" t="s">
        <v>15</v>
      </c>
      <c r="G3722" s="115" t="s">
        <v>39</v>
      </c>
      <c r="H3722" s="116">
        <v>14.7</v>
      </c>
      <c r="I3722" s="125">
        <v>9.3000000000000007</v>
      </c>
      <c r="J3722" s="111">
        <v>15</v>
      </c>
      <c r="K3722" s="117">
        <f t="shared" si="431"/>
        <v>2.0506500000000001</v>
      </c>
      <c r="L3722" s="118"/>
      <c r="M3722" s="111">
        <v>15</v>
      </c>
      <c r="N3722" s="117">
        <f t="shared" si="432"/>
        <v>2.0506500000000001</v>
      </c>
      <c r="O3722" s="119">
        <f t="shared" si="433"/>
        <v>0</v>
      </c>
      <c r="P3722" s="120">
        <f t="shared" si="434"/>
        <v>0</v>
      </c>
      <c r="Q3722" s="130"/>
      <c r="R3722" s="320"/>
      <c r="S3722" s="32"/>
      <c r="T3722" s="32"/>
    </row>
    <row r="3723" spans="2:20" ht="15.6">
      <c r="B3723" s="110" t="s">
        <v>518</v>
      </c>
      <c r="C3723" s="111" t="s">
        <v>232</v>
      </c>
      <c r="D3723" s="112" t="s">
        <v>449</v>
      </c>
      <c r="E3723" s="113" t="s">
        <v>506</v>
      </c>
      <c r="F3723" s="114" t="s">
        <v>15</v>
      </c>
      <c r="G3723" s="115" t="s">
        <v>39</v>
      </c>
      <c r="H3723" s="116">
        <v>14.7</v>
      </c>
      <c r="I3723" s="125">
        <v>9</v>
      </c>
      <c r="J3723" s="111">
        <v>12</v>
      </c>
      <c r="K3723" s="117">
        <f t="shared" si="431"/>
        <v>1.5875999999999999</v>
      </c>
      <c r="L3723" s="118"/>
      <c r="M3723" s="111">
        <v>12</v>
      </c>
      <c r="N3723" s="117">
        <f t="shared" si="432"/>
        <v>1.5875999999999999</v>
      </c>
      <c r="O3723" s="119">
        <f t="shared" si="433"/>
        <v>0</v>
      </c>
      <c r="P3723" s="120">
        <f t="shared" si="434"/>
        <v>0</v>
      </c>
      <c r="Q3723" s="130"/>
      <c r="R3723" s="320"/>
      <c r="S3723" s="32"/>
      <c r="T3723" s="32"/>
    </row>
    <row r="3724" spans="2:20" ht="15.6">
      <c r="B3724" s="110" t="s">
        <v>518</v>
      </c>
      <c r="C3724" s="111" t="s">
        <v>232</v>
      </c>
      <c r="D3724" s="112" t="s">
        <v>449</v>
      </c>
      <c r="E3724" s="113" t="s">
        <v>506</v>
      </c>
      <c r="F3724" s="114" t="s">
        <v>15</v>
      </c>
      <c r="G3724" s="115" t="s">
        <v>39</v>
      </c>
      <c r="H3724" s="116">
        <v>14.7</v>
      </c>
      <c r="I3724" s="125">
        <v>10.1</v>
      </c>
      <c r="J3724" s="111">
        <v>6</v>
      </c>
      <c r="K3724" s="117">
        <f t="shared" si="431"/>
        <v>0.89081999999999995</v>
      </c>
      <c r="L3724" s="118"/>
      <c r="M3724" s="111">
        <v>6</v>
      </c>
      <c r="N3724" s="117">
        <f t="shared" si="432"/>
        <v>0.89081999999999983</v>
      </c>
      <c r="O3724" s="119">
        <f t="shared" si="433"/>
        <v>0</v>
      </c>
      <c r="P3724" s="120">
        <f t="shared" si="434"/>
        <v>0</v>
      </c>
      <c r="Q3724" s="130"/>
      <c r="R3724" s="320"/>
      <c r="S3724" s="32"/>
      <c r="T3724" s="32"/>
    </row>
    <row r="3725" spans="2:20" ht="15.6">
      <c r="B3725" s="110" t="s">
        <v>518</v>
      </c>
      <c r="C3725" s="111" t="s">
        <v>232</v>
      </c>
      <c r="D3725" s="112" t="s">
        <v>449</v>
      </c>
      <c r="E3725" s="113" t="s">
        <v>506</v>
      </c>
      <c r="F3725" s="114" t="s">
        <v>15</v>
      </c>
      <c r="G3725" s="115" t="s">
        <v>39</v>
      </c>
      <c r="H3725" s="116">
        <v>14.7</v>
      </c>
      <c r="I3725" s="125">
        <v>10.3</v>
      </c>
      <c r="J3725" s="111">
        <v>8</v>
      </c>
      <c r="K3725" s="117">
        <f t="shared" si="431"/>
        <v>1.2112799999999999</v>
      </c>
      <c r="L3725" s="118"/>
      <c r="M3725" s="111">
        <v>8</v>
      </c>
      <c r="N3725" s="117">
        <f t="shared" si="432"/>
        <v>1.2112799999999999</v>
      </c>
      <c r="O3725" s="119">
        <f t="shared" si="433"/>
        <v>0</v>
      </c>
      <c r="P3725" s="120">
        <f t="shared" si="434"/>
        <v>0</v>
      </c>
      <c r="Q3725" s="130"/>
      <c r="R3725" s="320"/>
      <c r="S3725" s="32"/>
      <c r="T3725" s="32"/>
    </row>
    <row r="3726" spans="2:20" ht="15.6">
      <c r="B3726" s="110" t="s">
        <v>518</v>
      </c>
      <c r="C3726" s="111" t="s">
        <v>232</v>
      </c>
      <c r="D3726" s="112" t="s">
        <v>449</v>
      </c>
      <c r="E3726" s="113" t="s">
        <v>506</v>
      </c>
      <c r="F3726" s="114" t="s">
        <v>15</v>
      </c>
      <c r="G3726" s="115" t="s">
        <v>39</v>
      </c>
      <c r="H3726" s="116">
        <v>14.7</v>
      </c>
      <c r="I3726" s="125">
        <v>11</v>
      </c>
      <c r="J3726" s="111">
        <v>5</v>
      </c>
      <c r="K3726" s="117">
        <f t="shared" si="431"/>
        <v>0.8085</v>
      </c>
      <c r="L3726" s="118"/>
      <c r="M3726" s="111">
        <v>5</v>
      </c>
      <c r="N3726" s="117">
        <f t="shared" si="432"/>
        <v>0.8085</v>
      </c>
      <c r="O3726" s="119">
        <f t="shared" si="433"/>
        <v>0</v>
      </c>
      <c r="P3726" s="120">
        <f t="shared" si="434"/>
        <v>0</v>
      </c>
      <c r="Q3726" s="130"/>
      <c r="R3726" s="320"/>
      <c r="S3726" s="32"/>
      <c r="T3726" s="32"/>
    </row>
    <row r="3727" spans="2:20" ht="15.6">
      <c r="B3727" s="110" t="s">
        <v>518</v>
      </c>
      <c r="C3727" s="111" t="s">
        <v>232</v>
      </c>
      <c r="D3727" s="112" t="s">
        <v>449</v>
      </c>
      <c r="E3727" s="113" t="s">
        <v>506</v>
      </c>
      <c r="F3727" s="114" t="s">
        <v>15</v>
      </c>
      <c r="G3727" s="115" t="s">
        <v>39</v>
      </c>
      <c r="H3727" s="116">
        <v>14.7</v>
      </c>
      <c r="I3727" s="125">
        <v>11.7</v>
      </c>
      <c r="J3727" s="111">
        <v>2</v>
      </c>
      <c r="K3727" s="117">
        <f t="shared" si="431"/>
        <v>0.34397999999999995</v>
      </c>
      <c r="L3727" s="118"/>
      <c r="M3727" s="111">
        <f>1+1</f>
        <v>2</v>
      </c>
      <c r="N3727" s="117">
        <f t="shared" si="432"/>
        <v>0.34397999999999995</v>
      </c>
      <c r="O3727" s="119">
        <f t="shared" si="433"/>
        <v>0</v>
      </c>
      <c r="P3727" s="120">
        <f t="shared" si="434"/>
        <v>0</v>
      </c>
      <c r="Q3727" s="130"/>
      <c r="R3727" s="320"/>
      <c r="S3727" s="32"/>
      <c r="T3727" s="32"/>
    </row>
    <row r="3728" spans="2:20" ht="15.6">
      <c r="B3728" s="110" t="s">
        <v>518</v>
      </c>
      <c r="C3728" s="111" t="s">
        <v>232</v>
      </c>
      <c r="D3728" s="112" t="s">
        <v>449</v>
      </c>
      <c r="E3728" s="113" t="s">
        <v>506</v>
      </c>
      <c r="F3728" s="114" t="s">
        <v>15</v>
      </c>
      <c r="G3728" s="115" t="s">
        <v>39</v>
      </c>
      <c r="H3728" s="116">
        <v>14.7</v>
      </c>
      <c r="I3728" s="125">
        <v>12</v>
      </c>
      <c r="J3728" s="111">
        <v>8</v>
      </c>
      <c r="K3728" s="117">
        <f t="shared" si="431"/>
        <v>1.4111999999999998</v>
      </c>
      <c r="L3728" s="118"/>
      <c r="M3728" s="111">
        <v>8</v>
      </c>
      <c r="N3728" s="117">
        <f t="shared" si="432"/>
        <v>1.4111999999999998</v>
      </c>
      <c r="O3728" s="119">
        <f t="shared" si="433"/>
        <v>0</v>
      </c>
      <c r="P3728" s="120">
        <f t="shared" si="434"/>
        <v>0</v>
      </c>
      <c r="Q3728" s="130"/>
      <c r="R3728" s="320"/>
      <c r="S3728" s="32"/>
      <c r="T3728" s="32"/>
    </row>
    <row r="3729" spans="2:20" ht="15.6">
      <c r="B3729" s="110" t="s">
        <v>518</v>
      </c>
      <c r="C3729" s="111" t="s">
        <v>232</v>
      </c>
      <c r="D3729" s="112" t="s">
        <v>449</v>
      </c>
      <c r="E3729" s="113" t="s">
        <v>506</v>
      </c>
      <c r="F3729" s="114" t="s">
        <v>15</v>
      </c>
      <c r="G3729" s="115" t="s">
        <v>39</v>
      </c>
      <c r="H3729" s="116">
        <v>14.7</v>
      </c>
      <c r="I3729" s="125">
        <v>9</v>
      </c>
      <c r="J3729" s="111">
        <v>4</v>
      </c>
      <c r="K3729" s="117">
        <f t="shared" si="431"/>
        <v>0.52919999999999989</v>
      </c>
      <c r="L3729" s="118"/>
      <c r="M3729" s="111">
        <v>4</v>
      </c>
      <c r="N3729" s="117">
        <f t="shared" si="432"/>
        <v>0.52919999999999989</v>
      </c>
      <c r="O3729" s="119">
        <f t="shared" si="433"/>
        <v>0</v>
      </c>
      <c r="P3729" s="120">
        <f t="shared" si="434"/>
        <v>0</v>
      </c>
      <c r="Q3729" s="130"/>
      <c r="R3729" s="320"/>
      <c r="S3729" s="32"/>
      <c r="T3729" s="32"/>
    </row>
    <row r="3730" spans="2:20" ht="15.6">
      <c r="B3730" s="110" t="s">
        <v>518</v>
      </c>
      <c r="C3730" s="111" t="s">
        <v>232</v>
      </c>
      <c r="D3730" s="112" t="s">
        <v>449</v>
      </c>
      <c r="E3730" s="113" t="s">
        <v>506</v>
      </c>
      <c r="F3730" s="114" t="s">
        <v>15</v>
      </c>
      <c r="G3730" s="115" t="s">
        <v>39</v>
      </c>
      <c r="H3730" s="116">
        <v>14.7</v>
      </c>
      <c r="I3730" s="125">
        <v>9.3000000000000007</v>
      </c>
      <c r="J3730" s="111">
        <v>8</v>
      </c>
      <c r="K3730" s="117">
        <f t="shared" si="431"/>
        <v>1.09368</v>
      </c>
      <c r="L3730" s="118"/>
      <c r="M3730" s="111">
        <v>8</v>
      </c>
      <c r="N3730" s="117">
        <f t="shared" si="432"/>
        <v>1.09368</v>
      </c>
      <c r="O3730" s="119">
        <f t="shared" si="433"/>
        <v>0</v>
      </c>
      <c r="P3730" s="120">
        <f t="shared" si="434"/>
        <v>0</v>
      </c>
      <c r="Q3730" s="130"/>
      <c r="R3730" s="410">
        <v>1</v>
      </c>
      <c r="S3730" s="72" t="s">
        <v>608</v>
      </c>
      <c r="T3730" s="32"/>
    </row>
    <row r="3731" spans="2:20" ht="15.6">
      <c r="B3731" s="110" t="s">
        <v>518</v>
      </c>
      <c r="C3731" s="111" t="s">
        <v>232</v>
      </c>
      <c r="D3731" s="112" t="s">
        <v>449</v>
      </c>
      <c r="E3731" s="113" t="s">
        <v>506</v>
      </c>
      <c r="F3731" s="114" t="s">
        <v>15</v>
      </c>
      <c r="G3731" s="115" t="s">
        <v>39</v>
      </c>
      <c r="H3731" s="116">
        <v>14.7</v>
      </c>
      <c r="I3731" s="125">
        <v>10.3</v>
      </c>
      <c r="J3731" s="111">
        <v>5</v>
      </c>
      <c r="K3731" s="117">
        <f t="shared" si="431"/>
        <v>0.75705</v>
      </c>
      <c r="L3731" s="118"/>
      <c r="M3731" s="111">
        <v>5</v>
      </c>
      <c r="N3731" s="117">
        <f t="shared" si="432"/>
        <v>0.75705</v>
      </c>
      <c r="O3731" s="119">
        <f t="shared" si="433"/>
        <v>0</v>
      </c>
      <c r="P3731" s="120">
        <f t="shared" si="434"/>
        <v>0</v>
      </c>
      <c r="Q3731" s="130"/>
      <c r="R3731" s="320"/>
      <c r="S3731" s="32"/>
      <c r="T3731" s="32"/>
    </row>
    <row r="3732" spans="2:20" ht="15.6">
      <c r="B3732" s="110" t="s">
        <v>518</v>
      </c>
      <c r="C3732" s="111" t="s">
        <v>232</v>
      </c>
      <c r="D3732" s="112" t="s">
        <v>449</v>
      </c>
      <c r="E3732" s="113" t="s">
        <v>506</v>
      </c>
      <c r="F3732" s="114" t="s">
        <v>15</v>
      </c>
      <c r="G3732" s="115" t="s">
        <v>39</v>
      </c>
      <c r="H3732" s="116">
        <v>14.7</v>
      </c>
      <c r="I3732" s="125">
        <v>11</v>
      </c>
      <c r="J3732" s="111">
        <v>20</v>
      </c>
      <c r="K3732" s="117">
        <f t="shared" si="431"/>
        <v>3.234</v>
      </c>
      <c r="L3732" s="118"/>
      <c r="M3732" s="111">
        <v>20</v>
      </c>
      <c r="N3732" s="117">
        <f t="shared" si="432"/>
        <v>3.234</v>
      </c>
      <c r="O3732" s="119">
        <f t="shared" si="433"/>
        <v>0</v>
      </c>
      <c r="P3732" s="120">
        <f t="shared" si="434"/>
        <v>0</v>
      </c>
      <c r="Q3732" s="130"/>
      <c r="R3732" s="320"/>
      <c r="S3732" s="32"/>
      <c r="T3732" s="32"/>
    </row>
    <row r="3733" spans="2:20" ht="15.6">
      <c r="B3733" s="110" t="s">
        <v>518</v>
      </c>
      <c r="C3733" s="111" t="s">
        <v>232</v>
      </c>
      <c r="D3733" s="112" t="s">
        <v>449</v>
      </c>
      <c r="E3733" s="113" t="s">
        <v>506</v>
      </c>
      <c r="F3733" s="114" t="s">
        <v>15</v>
      </c>
      <c r="G3733" s="115" t="s">
        <v>39</v>
      </c>
      <c r="H3733" s="116">
        <v>14.7</v>
      </c>
      <c r="I3733" s="125">
        <v>11.7</v>
      </c>
      <c r="J3733" s="111">
        <v>20</v>
      </c>
      <c r="K3733" s="117">
        <f t="shared" si="431"/>
        <v>3.4397999999999995</v>
      </c>
      <c r="L3733" s="118"/>
      <c r="M3733" s="111">
        <v>20</v>
      </c>
      <c r="N3733" s="117">
        <f t="shared" si="432"/>
        <v>3.4397999999999995</v>
      </c>
      <c r="O3733" s="119">
        <f t="shared" si="433"/>
        <v>0</v>
      </c>
      <c r="P3733" s="120">
        <f t="shared" si="434"/>
        <v>0</v>
      </c>
      <c r="Q3733" s="130"/>
      <c r="R3733" s="320"/>
      <c r="S3733" s="32"/>
      <c r="T3733" s="32"/>
    </row>
    <row r="3734" spans="2:20" ht="15.6">
      <c r="B3734" s="110" t="s">
        <v>518</v>
      </c>
      <c r="C3734" s="111" t="s">
        <v>232</v>
      </c>
      <c r="D3734" s="112" t="s">
        <v>449</v>
      </c>
      <c r="E3734" s="113" t="s">
        <v>506</v>
      </c>
      <c r="F3734" s="114" t="s">
        <v>15</v>
      </c>
      <c r="G3734" s="115" t="s">
        <v>39</v>
      </c>
      <c r="H3734" s="116">
        <v>14.7</v>
      </c>
      <c r="I3734" s="125">
        <v>11.7</v>
      </c>
      <c r="J3734" s="111">
        <v>20</v>
      </c>
      <c r="K3734" s="117">
        <f t="shared" si="431"/>
        <v>3.4397999999999995</v>
      </c>
      <c r="L3734" s="118"/>
      <c r="M3734" s="111">
        <v>20</v>
      </c>
      <c r="N3734" s="117">
        <f t="shared" si="432"/>
        <v>3.4397999999999995</v>
      </c>
      <c r="O3734" s="119">
        <f t="shared" si="433"/>
        <v>0</v>
      </c>
      <c r="P3734" s="120">
        <f t="shared" si="434"/>
        <v>0</v>
      </c>
      <c r="Q3734" s="130"/>
      <c r="R3734" s="320"/>
      <c r="S3734" s="32"/>
      <c r="T3734" s="32"/>
    </row>
    <row r="3735" spans="2:20" ht="15.6">
      <c r="B3735" s="110" t="s">
        <v>518</v>
      </c>
      <c r="C3735" s="111" t="s">
        <v>232</v>
      </c>
      <c r="D3735" s="112" t="s">
        <v>449</v>
      </c>
      <c r="E3735" s="113" t="s">
        <v>506</v>
      </c>
      <c r="F3735" s="114" t="s">
        <v>15</v>
      </c>
      <c r="G3735" s="115" t="s">
        <v>39</v>
      </c>
      <c r="H3735" s="116">
        <v>14.7</v>
      </c>
      <c r="I3735" s="125">
        <v>11.7</v>
      </c>
      <c r="J3735" s="111">
        <v>20</v>
      </c>
      <c r="K3735" s="117">
        <f t="shared" si="431"/>
        <v>3.4397999999999995</v>
      </c>
      <c r="L3735" s="118"/>
      <c r="M3735" s="111">
        <v>20</v>
      </c>
      <c r="N3735" s="117">
        <f t="shared" si="432"/>
        <v>3.4397999999999995</v>
      </c>
      <c r="O3735" s="119">
        <f t="shared" si="433"/>
        <v>0</v>
      </c>
      <c r="P3735" s="120">
        <f t="shared" si="434"/>
        <v>0</v>
      </c>
      <c r="Q3735" s="130"/>
      <c r="R3735" s="320"/>
      <c r="S3735" s="32"/>
      <c r="T3735" s="32"/>
    </row>
    <row r="3736" spans="2:20" ht="15.6">
      <c r="B3736" s="110" t="s">
        <v>518</v>
      </c>
      <c r="C3736" s="111" t="s">
        <v>232</v>
      </c>
      <c r="D3736" s="112" t="s">
        <v>449</v>
      </c>
      <c r="E3736" s="113" t="s">
        <v>506</v>
      </c>
      <c r="F3736" s="114" t="s">
        <v>15</v>
      </c>
      <c r="G3736" s="115" t="s">
        <v>39</v>
      </c>
      <c r="H3736" s="116">
        <v>14.7</v>
      </c>
      <c r="I3736" s="125">
        <v>11.7</v>
      </c>
      <c r="J3736" s="111">
        <v>11</v>
      </c>
      <c r="K3736" s="117">
        <f t="shared" si="431"/>
        <v>1.8918899999999998</v>
      </c>
      <c r="L3736" s="118"/>
      <c r="M3736" s="111">
        <v>11</v>
      </c>
      <c r="N3736" s="117">
        <f t="shared" si="432"/>
        <v>1.8918899999999996</v>
      </c>
      <c r="O3736" s="119">
        <f t="shared" si="433"/>
        <v>0</v>
      </c>
      <c r="P3736" s="120">
        <f t="shared" si="434"/>
        <v>0</v>
      </c>
      <c r="Q3736" s="130"/>
      <c r="R3736" s="320"/>
      <c r="S3736" s="32"/>
      <c r="T3736" s="32"/>
    </row>
    <row r="3737" spans="2:20" ht="15.6">
      <c r="B3737" s="110" t="s">
        <v>518</v>
      </c>
      <c r="C3737" s="111" t="s">
        <v>232</v>
      </c>
      <c r="D3737" s="112" t="s">
        <v>449</v>
      </c>
      <c r="E3737" s="113" t="s">
        <v>506</v>
      </c>
      <c r="F3737" s="114" t="s">
        <v>15</v>
      </c>
      <c r="G3737" s="115" t="s">
        <v>39</v>
      </c>
      <c r="H3737" s="116">
        <v>14.7</v>
      </c>
      <c r="I3737" s="125">
        <v>10.1</v>
      </c>
      <c r="J3737" s="111">
        <v>1</v>
      </c>
      <c r="K3737" s="117">
        <f t="shared" si="431"/>
        <v>0.14846999999999999</v>
      </c>
      <c r="L3737" s="118"/>
      <c r="M3737" s="111">
        <v>1</v>
      </c>
      <c r="N3737" s="117">
        <f t="shared" si="432"/>
        <v>0.14846999999999999</v>
      </c>
      <c r="O3737" s="119">
        <f t="shared" si="433"/>
        <v>0</v>
      </c>
      <c r="P3737" s="120">
        <f t="shared" si="434"/>
        <v>0</v>
      </c>
      <c r="Q3737" s="130"/>
      <c r="R3737" s="320"/>
      <c r="S3737" s="32"/>
      <c r="T3737" s="32"/>
    </row>
    <row r="3738" spans="2:20" ht="15.6">
      <c r="B3738" s="110" t="s">
        <v>518</v>
      </c>
      <c r="C3738" s="111" t="s">
        <v>232</v>
      </c>
      <c r="D3738" s="112" t="s">
        <v>449</v>
      </c>
      <c r="E3738" s="113" t="s">
        <v>506</v>
      </c>
      <c r="F3738" s="114" t="s">
        <v>15</v>
      </c>
      <c r="G3738" s="115" t="s">
        <v>39</v>
      </c>
      <c r="H3738" s="116">
        <v>14.7</v>
      </c>
      <c r="I3738" s="125">
        <v>11.7</v>
      </c>
      <c r="J3738" s="111">
        <v>4</v>
      </c>
      <c r="K3738" s="117">
        <f t="shared" si="431"/>
        <v>0.6879599999999999</v>
      </c>
      <c r="L3738" s="118"/>
      <c r="M3738" s="111">
        <v>4</v>
      </c>
      <c r="N3738" s="117">
        <f t="shared" si="432"/>
        <v>0.6879599999999999</v>
      </c>
      <c r="O3738" s="119">
        <f t="shared" si="433"/>
        <v>0</v>
      </c>
      <c r="P3738" s="120">
        <f t="shared" si="434"/>
        <v>0</v>
      </c>
      <c r="Q3738" s="130"/>
      <c r="R3738" s="320"/>
      <c r="S3738" s="32"/>
      <c r="T3738" s="32"/>
    </row>
    <row r="3739" spans="2:20" ht="15.6">
      <c r="B3739" s="110" t="s">
        <v>518</v>
      </c>
      <c r="C3739" s="111" t="s">
        <v>232</v>
      </c>
      <c r="D3739" s="112" t="s">
        <v>449</v>
      </c>
      <c r="E3739" s="113" t="s">
        <v>506</v>
      </c>
      <c r="F3739" s="114" t="s">
        <v>15</v>
      </c>
      <c r="G3739" s="115" t="s">
        <v>39</v>
      </c>
      <c r="H3739" s="116">
        <v>14.7</v>
      </c>
      <c r="I3739" s="125">
        <v>11</v>
      </c>
      <c r="J3739" s="111">
        <v>8</v>
      </c>
      <c r="K3739" s="117">
        <f t="shared" si="431"/>
        <v>1.2935999999999999</v>
      </c>
      <c r="L3739" s="118"/>
      <c r="M3739" s="111">
        <v>8</v>
      </c>
      <c r="N3739" s="117">
        <f t="shared" si="432"/>
        <v>1.2935999999999999</v>
      </c>
      <c r="O3739" s="119">
        <f t="shared" si="433"/>
        <v>0</v>
      </c>
      <c r="P3739" s="120">
        <f t="shared" si="434"/>
        <v>0</v>
      </c>
      <c r="Q3739" s="130"/>
      <c r="R3739" s="320"/>
      <c r="S3739" s="32"/>
      <c r="T3739" s="32"/>
    </row>
    <row r="3740" spans="2:20" ht="15.6">
      <c r="B3740" s="110" t="s">
        <v>518</v>
      </c>
      <c r="C3740" s="111" t="s">
        <v>232</v>
      </c>
      <c r="D3740" s="112" t="s">
        <v>449</v>
      </c>
      <c r="E3740" s="113" t="s">
        <v>506</v>
      </c>
      <c r="F3740" s="114" t="s">
        <v>15</v>
      </c>
      <c r="G3740" s="115" t="s">
        <v>39</v>
      </c>
      <c r="H3740" s="116">
        <v>14.7</v>
      </c>
      <c r="I3740" s="125">
        <v>10.3</v>
      </c>
      <c r="J3740" s="111">
        <v>7</v>
      </c>
      <c r="K3740" s="117">
        <f t="shared" si="431"/>
        <v>1.0598699999999999</v>
      </c>
      <c r="L3740" s="118"/>
      <c r="M3740" s="111">
        <v>7</v>
      </c>
      <c r="N3740" s="117">
        <f t="shared" si="432"/>
        <v>1.0598700000000001</v>
      </c>
      <c r="O3740" s="119">
        <f t="shared" si="433"/>
        <v>0</v>
      </c>
      <c r="P3740" s="120">
        <f t="shared" si="434"/>
        <v>0</v>
      </c>
      <c r="Q3740" s="130"/>
      <c r="R3740" s="320"/>
      <c r="S3740" s="32"/>
      <c r="T3740" s="32"/>
    </row>
    <row r="3741" spans="2:20" ht="15.6">
      <c r="B3741" s="110" t="s">
        <v>518</v>
      </c>
      <c r="C3741" s="111" t="s">
        <v>232</v>
      </c>
      <c r="D3741" s="112" t="s">
        <v>449</v>
      </c>
      <c r="E3741" s="113" t="s">
        <v>506</v>
      </c>
      <c r="F3741" s="114" t="s">
        <v>15</v>
      </c>
      <c r="G3741" s="115" t="s">
        <v>39</v>
      </c>
      <c r="H3741" s="116">
        <v>14.7</v>
      </c>
      <c r="I3741" s="125">
        <v>12</v>
      </c>
      <c r="J3741" s="111">
        <v>2</v>
      </c>
      <c r="K3741" s="117">
        <f t="shared" si="431"/>
        <v>0.35279999999999995</v>
      </c>
      <c r="L3741" s="118"/>
      <c r="M3741" s="111">
        <v>2</v>
      </c>
      <c r="N3741" s="117">
        <f t="shared" si="432"/>
        <v>0.35279999999999995</v>
      </c>
      <c r="O3741" s="119">
        <f t="shared" si="433"/>
        <v>0</v>
      </c>
      <c r="P3741" s="120">
        <f t="shared" si="434"/>
        <v>0</v>
      </c>
      <c r="Q3741" s="130"/>
      <c r="R3741" s="320"/>
      <c r="S3741" s="32"/>
      <c r="T3741" s="32"/>
    </row>
    <row r="3742" spans="2:20" ht="15.6">
      <c r="B3742" s="110" t="s">
        <v>518</v>
      </c>
      <c r="C3742" s="111" t="s">
        <v>232</v>
      </c>
      <c r="D3742" s="112" t="s">
        <v>449</v>
      </c>
      <c r="E3742" s="113" t="s">
        <v>506</v>
      </c>
      <c r="F3742" s="114" t="s">
        <v>15</v>
      </c>
      <c r="G3742" s="115" t="s">
        <v>39</v>
      </c>
      <c r="H3742" s="116">
        <v>14.7</v>
      </c>
      <c r="I3742" s="319">
        <v>10.3</v>
      </c>
      <c r="J3742" s="313">
        <v>12</v>
      </c>
      <c r="K3742" s="117">
        <f>I3742*H3742*J3742/1000</f>
        <v>1.8169200000000001</v>
      </c>
      <c r="L3742" s="118"/>
      <c r="M3742" s="111">
        <v>12</v>
      </c>
      <c r="N3742" s="117">
        <f t="shared" si="432"/>
        <v>1.8169200000000001</v>
      </c>
      <c r="O3742" s="119">
        <f t="shared" si="433"/>
        <v>0</v>
      </c>
      <c r="P3742" s="120">
        <f t="shared" si="434"/>
        <v>0</v>
      </c>
      <c r="Q3742" s="130"/>
      <c r="R3742" s="320"/>
      <c r="S3742" s="32"/>
      <c r="T3742" s="32"/>
    </row>
    <row r="3743" spans="2:20" ht="15.6">
      <c r="B3743" s="110" t="s">
        <v>518</v>
      </c>
      <c r="C3743" s="111" t="s">
        <v>232</v>
      </c>
      <c r="D3743" s="112" t="s">
        <v>449</v>
      </c>
      <c r="E3743" s="113" t="s">
        <v>506</v>
      </c>
      <c r="F3743" s="114" t="s">
        <v>15</v>
      </c>
      <c r="G3743" s="115" t="s">
        <v>39</v>
      </c>
      <c r="H3743" s="116">
        <v>14.7</v>
      </c>
      <c r="I3743" s="125">
        <v>9.3000000000000007</v>
      </c>
      <c r="J3743" s="111">
        <v>18</v>
      </c>
      <c r="K3743" s="117">
        <f>I3743*H3743*J3743/1000</f>
        <v>2.4607800000000002</v>
      </c>
      <c r="L3743" s="118"/>
      <c r="M3743" s="111">
        <v>18</v>
      </c>
      <c r="N3743" s="117">
        <f t="shared" si="432"/>
        <v>2.4607799999999997</v>
      </c>
      <c r="O3743" s="119">
        <f t="shared" si="433"/>
        <v>0</v>
      </c>
      <c r="P3743" s="120">
        <f t="shared" si="434"/>
        <v>0</v>
      </c>
      <c r="Q3743" s="130"/>
      <c r="R3743" s="320"/>
      <c r="S3743" s="32"/>
      <c r="T3743" s="32"/>
    </row>
    <row r="3744" spans="2:20" ht="15.6">
      <c r="B3744" s="110" t="s">
        <v>518</v>
      </c>
      <c r="C3744" s="111" t="s">
        <v>232</v>
      </c>
      <c r="D3744" s="112" t="s">
        <v>449</v>
      </c>
      <c r="E3744" s="113" t="s">
        <v>506</v>
      </c>
      <c r="F3744" s="114" t="s">
        <v>15</v>
      </c>
      <c r="G3744" s="115" t="s">
        <v>39</v>
      </c>
      <c r="H3744" s="116">
        <v>14.7</v>
      </c>
      <c r="I3744" s="125">
        <v>9</v>
      </c>
      <c r="J3744" s="111">
        <v>20</v>
      </c>
      <c r="K3744" s="117">
        <f>I3744*H3744*J3744/1000</f>
        <v>2.6459999999999995</v>
      </c>
      <c r="L3744" s="118"/>
      <c r="M3744" s="111">
        <v>20</v>
      </c>
      <c r="N3744" s="117">
        <f t="shared" si="432"/>
        <v>2.6459999999999999</v>
      </c>
      <c r="O3744" s="119">
        <f t="shared" si="433"/>
        <v>0</v>
      </c>
      <c r="P3744" s="120">
        <f t="shared" si="434"/>
        <v>0</v>
      </c>
      <c r="Q3744" s="130"/>
      <c r="R3744" s="320"/>
      <c r="S3744" s="32"/>
      <c r="T3744" s="32"/>
    </row>
    <row r="3745" spans="2:20" ht="15.6">
      <c r="B3745" s="110" t="s">
        <v>518</v>
      </c>
      <c r="C3745" s="111" t="s">
        <v>232</v>
      </c>
      <c r="D3745" s="112" t="s">
        <v>449</v>
      </c>
      <c r="E3745" s="113" t="s">
        <v>506</v>
      </c>
      <c r="F3745" s="114" t="s">
        <v>15</v>
      </c>
      <c r="G3745" s="115" t="s">
        <v>39</v>
      </c>
      <c r="H3745" s="116">
        <v>14.7</v>
      </c>
      <c r="I3745" s="125">
        <v>9</v>
      </c>
      <c r="J3745" s="111">
        <v>12</v>
      </c>
      <c r="K3745" s="117">
        <f>I3745*H3745*J3745/1000</f>
        <v>1.5875999999999999</v>
      </c>
      <c r="L3745" s="118"/>
      <c r="M3745" s="111">
        <v>12</v>
      </c>
      <c r="N3745" s="117">
        <f t="shared" si="432"/>
        <v>1.5875999999999999</v>
      </c>
      <c r="O3745" s="119">
        <f t="shared" si="433"/>
        <v>0</v>
      </c>
      <c r="P3745" s="120">
        <f t="shared" si="434"/>
        <v>0</v>
      </c>
      <c r="Q3745" s="130"/>
      <c r="R3745" s="320"/>
      <c r="S3745" s="32"/>
      <c r="T3745" s="32"/>
    </row>
    <row r="3746" spans="2:20" ht="15.6">
      <c r="B3746" s="110" t="s">
        <v>518</v>
      </c>
      <c r="C3746" s="111" t="s">
        <v>232</v>
      </c>
      <c r="D3746" s="112" t="s">
        <v>449</v>
      </c>
      <c r="E3746" s="113" t="s">
        <v>506</v>
      </c>
      <c r="F3746" s="114" t="s">
        <v>15</v>
      </c>
      <c r="G3746" s="115" t="s">
        <v>39</v>
      </c>
      <c r="H3746" s="116">
        <v>14.7</v>
      </c>
      <c r="I3746" s="125">
        <v>8.3000000000000007</v>
      </c>
      <c r="J3746" s="111">
        <v>1</v>
      </c>
      <c r="K3746" s="117">
        <f>I3746*H3746*J3746/1000</f>
        <v>0.12201000000000001</v>
      </c>
      <c r="L3746" s="118"/>
      <c r="M3746" s="111">
        <v>1</v>
      </c>
      <c r="N3746" s="117">
        <f t="shared" si="432"/>
        <v>0.12201000000000001</v>
      </c>
      <c r="O3746" s="119">
        <f t="shared" si="433"/>
        <v>0</v>
      </c>
      <c r="P3746" s="120">
        <f t="shared" si="434"/>
        <v>0</v>
      </c>
      <c r="Q3746" s="130"/>
      <c r="R3746" s="320"/>
      <c r="S3746" s="32"/>
      <c r="T3746" s="32"/>
    </row>
    <row r="3747" spans="2:20">
      <c r="B3747" s="213"/>
      <c r="C3747" s="213"/>
      <c r="D3747" s="213"/>
      <c r="E3747" s="213"/>
      <c r="F3747" s="213"/>
      <c r="G3747" s="213"/>
      <c r="H3747" s="213"/>
      <c r="I3747" s="213"/>
      <c r="J3747" s="215">
        <f>SUM(J3716:J3746)</f>
        <v>301</v>
      </c>
      <c r="K3747" s="214">
        <f>SUM(K3716:K3746)</f>
        <v>47.12966999999999</v>
      </c>
      <c r="L3747" s="213"/>
      <c r="M3747" s="215">
        <f>SUM(M3716:M3746)</f>
        <v>307</v>
      </c>
      <c r="N3747" s="214">
        <f>SUM(N3716:N3746)</f>
        <v>48.099869999999996</v>
      </c>
      <c r="O3747" s="215">
        <f>SUM(O3716:O3746)</f>
        <v>-6</v>
      </c>
      <c r="P3747" s="214">
        <f>SUM(P3716:P3746)</f>
        <v>-0.97019999999999995</v>
      </c>
      <c r="Q3747" s="213"/>
      <c r="R3747" s="215">
        <f>SUM(R3716:R3746)</f>
        <v>2</v>
      </c>
      <c r="S3747" s="213"/>
      <c r="T3747" s="213"/>
    </row>
    <row r="3751" spans="2:20" ht="15.6">
      <c r="B3751" s="110" t="s">
        <v>339</v>
      </c>
      <c r="C3751" s="111" t="s">
        <v>232</v>
      </c>
      <c r="D3751" s="112" t="s">
        <v>228</v>
      </c>
      <c r="E3751" s="113" t="s">
        <v>17</v>
      </c>
      <c r="F3751" s="114" t="s">
        <v>15</v>
      </c>
      <c r="G3751" s="115" t="s">
        <v>37</v>
      </c>
      <c r="H3751" s="116">
        <v>18.149999999999999</v>
      </c>
      <c r="I3751" s="125">
        <v>6</v>
      </c>
      <c r="J3751" s="111">
        <f>10+1</f>
        <v>11</v>
      </c>
      <c r="K3751" s="117">
        <f t="shared" ref="K3751:K3761" si="435">I3751*H3751*J3751/1000</f>
        <v>1.1979</v>
      </c>
      <c r="L3751" s="118"/>
      <c r="M3751" s="111">
        <f>10+1</f>
        <v>11</v>
      </c>
      <c r="N3751" s="117">
        <f t="shared" ref="N3751:N3761" si="436">I3751*M3751*H3751/1000</f>
        <v>1.1979</v>
      </c>
      <c r="O3751" s="119">
        <f t="shared" ref="O3751:O3761" si="437">J3751-M3751</f>
        <v>0</v>
      </c>
      <c r="P3751" s="120">
        <f t="shared" ref="P3751:P3761" si="438">I3751*O3751*H3751/1000</f>
        <v>0</v>
      </c>
      <c r="Q3751" s="111"/>
      <c r="R3751" s="72">
        <v>1</v>
      </c>
      <c r="S3751" s="77" t="s">
        <v>540</v>
      </c>
    </row>
    <row r="3752" spans="2:20" ht="15.6">
      <c r="B3752" s="110" t="s">
        <v>339</v>
      </c>
      <c r="C3752" s="111" t="s">
        <v>232</v>
      </c>
      <c r="D3752" s="112" t="s">
        <v>228</v>
      </c>
      <c r="E3752" s="113" t="s">
        <v>17</v>
      </c>
      <c r="F3752" s="114" t="s">
        <v>15</v>
      </c>
      <c r="G3752" s="115" t="s">
        <v>37</v>
      </c>
      <c r="H3752" s="116">
        <v>18.149999999999999</v>
      </c>
      <c r="I3752" s="125">
        <v>9.5</v>
      </c>
      <c r="J3752" s="111">
        <v>8</v>
      </c>
      <c r="K3752" s="117">
        <f t="shared" si="435"/>
        <v>1.3794</v>
      </c>
      <c r="L3752" s="118"/>
      <c r="M3752" s="111">
        <v>8</v>
      </c>
      <c r="N3752" s="117">
        <f t="shared" si="436"/>
        <v>1.3794</v>
      </c>
      <c r="O3752" s="119">
        <f t="shared" si="437"/>
        <v>0</v>
      </c>
      <c r="P3752" s="120">
        <f t="shared" si="438"/>
        <v>0</v>
      </c>
      <c r="Q3752" s="111"/>
      <c r="R3752" s="72"/>
      <c r="S3752" s="77"/>
    </row>
    <row r="3753" spans="2:20" ht="15.6">
      <c r="B3753" s="110" t="s">
        <v>339</v>
      </c>
      <c r="C3753" s="111" t="s">
        <v>232</v>
      </c>
      <c r="D3753" s="112" t="s">
        <v>228</v>
      </c>
      <c r="E3753" s="113" t="s">
        <v>17</v>
      </c>
      <c r="F3753" s="114" t="s">
        <v>15</v>
      </c>
      <c r="G3753" s="115" t="s">
        <v>37</v>
      </c>
      <c r="H3753" s="116">
        <v>18.149999999999999</v>
      </c>
      <c r="I3753" s="125">
        <v>12</v>
      </c>
      <c r="J3753" s="111">
        <v>8</v>
      </c>
      <c r="K3753" s="117">
        <f t="shared" si="435"/>
        <v>1.7423999999999999</v>
      </c>
      <c r="L3753" s="118"/>
      <c r="M3753" s="111">
        <v>8</v>
      </c>
      <c r="N3753" s="117">
        <f t="shared" si="436"/>
        <v>1.7423999999999999</v>
      </c>
      <c r="O3753" s="119">
        <f t="shared" si="437"/>
        <v>0</v>
      </c>
      <c r="P3753" s="120">
        <f t="shared" si="438"/>
        <v>0</v>
      </c>
      <c r="Q3753" s="111"/>
      <c r="R3753" s="72"/>
      <c r="S3753" s="77"/>
    </row>
    <row r="3754" spans="2:20" ht="15.6">
      <c r="B3754" s="110" t="s">
        <v>339</v>
      </c>
      <c r="C3754" s="111" t="s">
        <v>232</v>
      </c>
      <c r="D3754" s="112" t="s">
        <v>228</v>
      </c>
      <c r="E3754" s="113" t="s">
        <v>17</v>
      </c>
      <c r="F3754" s="114" t="s">
        <v>15</v>
      </c>
      <c r="G3754" s="115" t="s">
        <v>37</v>
      </c>
      <c r="H3754" s="116">
        <v>18.149999999999999</v>
      </c>
      <c r="I3754" s="125">
        <v>6.2</v>
      </c>
      <c r="J3754" s="111">
        <v>2</v>
      </c>
      <c r="K3754" s="117">
        <f t="shared" si="435"/>
        <v>0.22506000000000001</v>
      </c>
      <c r="L3754" s="118"/>
      <c r="M3754" s="111">
        <v>2</v>
      </c>
      <c r="N3754" s="117">
        <f t="shared" si="436"/>
        <v>0.22506000000000001</v>
      </c>
      <c r="O3754" s="119">
        <f t="shared" si="437"/>
        <v>0</v>
      </c>
      <c r="P3754" s="120">
        <f t="shared" si="438"/>
        <v>0</v>
      </c>
      <c r="Q3754" s="111"/>
      <c r="R3754" s="72"/>
      <c r="S3754" s="77"/>
    </row>
    <row r="3755" spans="2:20" ht="15.6">
      <c r="B3755" s="110" t="s">
        <v>339</v>
      </c>
      <c r="C3755" s="111" t="s">
        <v>232</v>
      </c>
      <c r="D3755" s="112" t="s">
        <v>228</v>
      </c>
      <c r="E3755" s="113" t="s">
        <v>17</v>
      </c>
      <c r="F3755" s="114" t="s">
        <v>15</v>
      </c>
      <c r="G3755" s="115" t="s">
        <v>37</v>
      </c>
      <c r="H3755" s="116">
        <v>18.149999999999999</v>
      </c>
      <c r="I3755" s="125">
        <v>8.1999999999999993</v>
      </c>
      <c r="J3755" s="111">
        <f>6+15</f>
        <v>21</v>
      </c>
      <c r="K3755" s="117">
        <f t="shared" si="435"/>
        <v>3.1254299999999997</v>
      </c>
      <c r="L3755" s="118"/>
      <c r="M3755" s="111">
        <v>21</v>
      </c>
      <c r="N3755" s="117">
        <f t="shared" si="436"/>
        <v>3.1254299999999993</v>
      </c>
      <c r="O3755" s="119">
        <f t="shared" si="437"/>
        <v>0</v>
      </c>
      <c r="P3755" s="120">
        <f t="shared" si="438"/>
        <v>0</v>
      </c>
      <c r="Q3755" s="111"/>
      <c r="R3755" s="72"/>
      <c r="S3755" s="77"/>
    </row>
    <row r="3756" spans="2:20" ht="15.6">
      <c r="B3756" s="110" t="s">
        <v>339</v>
      </c>
      <c r="C3756" s="111" t="s">
        <v>232</v>
      </c>
      <c r="D3756" s="112" t="s">
        <v>228</v>
      </c>
      <c r="E3756" s="113" t="s">
        <v>17</v>
      </c>
      <c r="F3756" s="114" t="s">
        <v>15</v>
      </c>
      <c r="G3756" s="115" t="s">
        <v>37</v>
      </c>
      <c r="H3756" s="116">
        <v>18.149999999999999</v>
      </c>
      <c r="I3756" s="125">
        <v>11.7</v>
      </c>
      <c r="J3756" s="111">
        <f>9+4</f>
        <v>13</v>
      </c>
      <c r="K3756" s="117">
        <f t="shared" si="435"/>
        <v>2.7606149999999992</v>
      </c>
      <c r="L3756" s="118"/>
      <c r="M3756" s="111">
        <v>13</v>
      </c>
      <c r="N3756" s="117">
        <f t="shared" si="436"/>
        <v>2.7606149999999996</v>
      </c>
      <c r="O3756" s="119">
        <f t="shared" si="437"/>
        <v>0</v>
      </c>
      <c r="P3756" s="120">
        <f t="shared" si="438"/>
        <v>0</v>
      </c>
      <c r="Q3756" s="111"/>
      <c r="R3756" s="72"/>
      <c r="S3756" s="77"/>
    </row>
    <row r="3757" spans="2:20" ht="15.6">
      <c r="B3757" s="110" t="s">
        <v>339</v>
      </c>
      <c r="C3757" s="111" t="s">
        <v>232</v>
      </c>
      <c r="D3757" s="112" t="s">
        <v>228</v>
      </c>
      <c r="E3757" s="113" t="s">
        <v>17</v>
      </c>
      <c r="F3757" s="114" t="s">
        <v>15</v>
      </c>
      <c r="G3757" s="115" t="s">
        <v>37</v>
      </c>
      <c r="H3757" s="116">
        <v>18.149999999999999</v>
      </c>
      <c r="I3757" s="125">
        <v>10.6</v>
      </c>
      <c r="J3757" s="111">
        <v>1</v>
      </c>
      <c r="K3757" s="117">
        <f t="shared" si="435"/>
        <v>0.19238999999999998</v>
      </c>
      <c r="L3757" s="118" t="s">
        <v>233</v>
      </c>
      <c r="M3757" s="111">
        <v>1</v>
      </c>
      <c r="N3757" s="117">
        <f t="shared" si="436"/>
        <v>0.19238999999999998</v>
      </c>
      <c r="O3757" s="119">
        <f t="shared" si="437"/>
        <v>0</v>
      </c>
      <c r="P3757" s="120">
        <f t="shared" si="438"/>
        <v>0</v>
      </c>
      <c r="Q3757" s="111"/>
      <c r="R3757" s="72">
        <v>1</v>
      </c>
      <c r="S3757" s="77" t="s">
        <v>540</v>
      </c>
    </row>
    <row r="3758" spans="2:20" ht="15.6">
      <c r="B3758" s="110" t="s">
        <v>339</v>
      </c>
      <c r="C3758" s="111" t="s">
        <v>232</v>
      </c>
      <c r="D3758" s="112" t="s">
        <v>228</v>
      </c>
      <c r="E3758" s="113" t="s">
        <v>17</v>
      </c>
      <c r="F3758" s="114" t="s">
        <v>15</v>
      </c>
      <c r="G3758" s="115" t="s">
        <v>37</v>
      </c>
      <c r="H3758" s="116">
        <v>18.149999999999999</v>
      </c>
      <c r="I3758" s="125">
        <v>6.2</v>
      </c>
      <c r="J3758" s="111">
        <v>2</v>
      </c>
      <c r="K3758" s="117">
        <f t="shared" si="435"/>
        <v>0.22506000000000001</v>
      </c>
      <c r="L3758" s="118" t="s">
        <v>233</v>
      </c>
      <c r="M3758" s="111">
        <v>2</v>
      </c>
      <c r="N3758" s="117">
        <f t="shared" si="436"/>
        <v>0.22506000000000001</v>
      </c>
      <c r="O3758" s="119">
        <f t="shared" si="437"/>
        <v>0</v>
      </c>
      <c r="P3758" s="120">
        <f t="shared" si="438"/>
        <v>0</v>
      </c>
      <c r="Q3758" s="111"/>
      <c r="R3758" s="72">
        <v>2</v>
      </c>
      <c r="S3758" s="77" t="s">
        <v>540</v>
      </c>
    </row>
    <row r="3759" spans="2:20" ht="15.6">
      <c r="B3759" s="110" t="s">
        <v>339</v>
      </c>
      <c r="C3759" s="111" t="s">
        <v>232</v>
      </c>
      <c r="D3759" s="112" t="s">
        <v>228</v>
      </c>
      <c r="E3759" s="113" t="s">
        <v>17</v>
      </c>
      <c r="F3759" s="114" t="s">
        <v>15</v>
      </c>
      <c r="G3759" s="115" t="s">
        <v>37</v>
      </c>
      <c r="H3759" s="116">
        <v>18.149999999999999</v>
      </c>
      <c r="I3759" s="125">
        <v>8.1999999999999993</v>
      </c>
      <c r="J3759" s="111">
        <v>1</v>
      </c>
      <c r="K3759" s="117">
        <f t="shared" si="435"/>
        <v>0.14882999999999999</v>
      </c>
      <c r="L3759" s="118" t="s">
        <v>234</v>
      </c>
      <c r="M3759" s="111">
        <v>1</v>
      </c>
      <c r="N3759" s="117">
        <f t="shared" si="436"/>
        <v>0.14882999999999999</v>
      </c>
      <c r="O3759" s="119">
        <f t="shared" si="437"/>
        <v>0</v>
      </c>
      <c r="P3759" s="120">
        <f t="shared" si="438"/>
        <v>0</v>
      </c>
      <c r="Q3759" s="111"/>
      <c r="R3759" s="72"/>
      <c r="S3759" s="77"/>
    </row>
    <row r="3760" spans="2:20" ht="15.6">
      <c r="B3760" s="110" t="s">
        <v>339</v>
      </c>
      <c r="C3760" s="111" t="s">
        <v>232</v>
      </c>
      <c r="D3760" s="112" t="s">
        <v>228</v>
      </c>
      <c r="E3760" s="113" t="s">
        <v>17</v>
      </c>
      <c r="F3760" s="114" t="s">
        <v>15</v>
      </c>
      <c r="G3760" s="115" t="s">
        <v>37</v>
      </c>
      <c r="H3760" s="116">
        <v>18.149999999999999</v>
      </c>
      <c r="I3760" s="125">
        <v>9.5</v>
      </c>
      <c r="J3760" s="111">
        <v>1</v>
      </c>
      <c r="K3760" s="117">
        <f t="shared" si="435"/>
        <v>0.17242499999999999</v>
      </c>
      <c r="L3760" s="118" t="s">
        <v>234</v>
      </c>
      <c r="M3760" s="111">
        <v>1</v>
      </c>
      <c r="N3760" s="117">
        <f t="shared" si="436"/>
        <v>0.17242499999999999</v>
      </c>
      <c r="O3760" s="119">
        <f t="shared" si="437"/>
        <v>0</v>
      </c>
      <c r="P3760" s="120">
        <f t="shared" si="438"/>
        <v>0</v>
      </c>
      <c r="Q3760" s="111"/>
      <c r="R3760" s="72">
        <v>1</v>
      </c>
      <c r="S3760" s="77" t="s">
        <v>607</v>
      </c>
    </row>
    <row r="3761" spans="2:20" ht="15.6">
      <c r="B3761" s="110" t="s">
        <v>339</v>
      </c>
      <c r="C3761" s="111" t="s">
        <v>232</v>
      </c>
      <c r="D3761" s="112" t="s">
        <v>228</v>
      </c>
      <c r="E3761" s="113" t="s">
        <v>17</v>
      </c>
      <c r="F3761" s="114" t="s">
        <v>15</v>
      </c>
      <c r="G3761" s="115" t="s">
        <v>37</v>
      </c>
      <c r="H3761" s="116">
        <v>18.149999999999999</v>
      </c>
      <c r="I3761" s="125">
        <v>12</v>
      </c>
      <c r="J3761" s="111">
        <v>1</v>
      </c>
      <c r="K3761" s="117">
        <f t="shared" si="435"/>
        <v>0.21779999999999999</v>
      </c>
      <c r="L3761" s="118" t="s">
        <v>234</v>
      </c>
      <c r="M3761" s="111">
        <v>1</v>
      </c>
      <c r="N3761" s="117">
        <f t="shared" si="436"/>
        <v>0.21779999999999999</v>
      </c>
      <c r="O3761" s="119">
        <f t="shared" si="437"/>
        <v>0</v>
      </c>
      <c r="P3761" s="120">
        <f t="shared" si="438"/>
        <v>0</v>
      </c>
      <c r="Q3761" s="111"/>
      <c r="R3761" s="72">
        <v>1</v>
      </c>
      <c r="S3761" s="77" t="s">
        <v>607</v>
      </c>
    </row>
    <row r="3762" spans="2:20">
      <c r="B3762" s="32"/>
      <c r="C3762" s="32"/>
      <c r="D3762" s="32"/>
      <c r="E3762" s="32"/>
      <c r="F3762" s="32"/>
      <c r="G3762" s="32"/>
      <c r="H3762" s="32"/>
      <c r="I3762" s="32"/>
      <c r="J3762" s="129">
        <f>SUM(J3751:J3761)</f>
        <v>69</v>
      </c>
      <c r="K3762" s="124">
        <f>SUM(K3751:K3761)</f>
        <v>11.387309999999999</v>
      </c>
      <c r="L3762" s="32"/>
      <c r="M3762" s="129">
        <f>SUM(M3751:M3761)</f>
        <v>69</v>
      </c>
      <c r="N3762" s="124">
        <f>SUM(N3751:N3761)</f>
        <v>11.387309999999999</v>
      </c>
      <c r="O3762" s="129">
        <f>SUM(O3751:O3761)</f>
        <v>0</v>
      </c>
      <c r="P3762" s="124">
        <f>SUM(P3751:P3761)</f>
        <v>0</v>
      </c>
      <c r="Q3762" s="32"/>
      <c r="R3762" s="129">
        <f>SUM(R3751:R3761)</f>
        <v>6</v>
      </c>
      <c r="S3762" s="213"/>
    </row>
    <row r="3765" spans="2:20" ht="15.6">
      <c r="B3765" s="110" t="s">
        <v>504</v>
      </c>
      <c r="C3765" s="111" t="s">
        <v>505</v>
      </c>
      <c r="D3765" s="112" t="s">
        <v>449</v>
      </c>
      <c r="E3765" s="113" t="s">
        <v>130</v>
      </c>
      <c r="F3765" s="114" t="s">
        <v>15</v>
      </c>
      <c r="G3765" s="115" t="s">
        <v>37</v>
      </c>
      <c r="H3765" s="116">
        <v>18.2</v>
      </c>
      <c r="I3765" s="125">
        <v>11.35</v>
      </c>
      <c r="J3765" s="111">
        <v>15</v>
      </c>
      <c r="K3765" s="117">
        <f t="shared" ref="K3765:K3783" si="439">I3765*H3765*J3765/1000</f>
        <v>3.0985499999999999</v>
      </c>
      <c r="L3765" s="118"/>
      <c r="M3765" s="111">
        <v>15</v>
      </c>
      <c r="N3765" s="117">
        <f t="shared" ref="N3765:N3783" si="440">I3765*M3765*H3765/1000</f>
        <v>3.0985499999999999</v>
      </c>
      <c r="O3765" s="119">
        <f t="shared" ref="O3765:O3783" si="441">J3765-M3765</f>
        <v>0</v>
      </c>
      <c r="P3765" s="120">
        <f t="shared" ref="P3765:P3783" si="442">I3765*O3765*H3765/1000</f>
        <v>0</v>
      </c>
      <c r="Q3765" s="130"/>
      <c r="R3765" s="320"/>
      <c r="S3765" s="32"/>
      <c r="T3765" s="32"/>
    </row>
    <row r="3766" spans="2:20" ht="15.6">
      <c r="B3766" s="110" t="s">
        <v>504</v>
      </c>
      <c r="C3766" s="111" t="s">
        <v>505</v>
      </c>
      <c r="D3766" s="112" t="s">
        <v>449</v>
      </c>
      <c r="E3766" s="113" t="s">
        <v>130</v>
      </c>
      <c r="F3766" s="114" t="s">
        <v>15</v>
      </c>
      <c r="G3766" s="115" t="s">
        <v>37</v>
      </c>
      <c r="H3766" s="116">
        <v>18.2</v>
      </c>
      <c r="I3766" s="125">
        <v>11.35</v>
      </c>
      <c r="J3766" s="111">
        <v>15</v>
      </c>
      <c r="K3766" s="117">
        <f t="shared" si="439"/>
        <v>3.0985499999999999</v>
      </c>
      <c r="L3766" s="118"/>
      <c r="M3766" s="111">
        <v>15</v>
      </c>
      <c r="N3766" s="117">
        <f t="shared" si="440"/>
        <v>3.0985499999999999</v>
      </c>
      <c r="O3766" s="119">
        <f t="shared" si="441"/>
        <v>0</v>
      </c>
      <c r="P3766" s="120">
        <f t="shared" si="442"/>
        <v>0</v>
      </c>
      <c r="Q3766" s="130"/>
      <c r="R3766" s="320"/>
      <c r="S3766" s="32"/>
      <c r="T3766" s="32"/>
    </row>
    <row r="3767" spans="2:20" ht="15.6">
      <c r="B3767" s="110" t="s">
        <v>504</v>
      </c>
      <c r="C3767" s="111" t="s">
        <v>505</v>
      </c>
      <c r="D3767" s="112" t="s">
        <v>449</v>
      </c>
      <c r="E3767" s="113" t="s">
        <v>130</v>
      </c>
      <c r="F3767" s="114" t="s">
        <v>15</v>
      </c>
      <c r="G3767" s="115" t="s">
        <v>37</v>
      </c>
      <c r="H3767" s="116">
        <v>18.2</v>
      </c>
      <c r="I3767" s="125">
        <v>11.35</v>
      </c>
      <c r="J3767" s="111">
        <v>15</v>
      </c>
      <c r="K3767" s="117">
        <f t="shared" si="439"/>
        <v>3.0985499999999999</v>
      </c>
      <c r="L3767" s="118"/>
      <c r="M3767" s="111">
        <v>15</v>
      </c>
      <c r="N3767" s="117">
        <f t="shared" si="440"/>
        <v>3.0985499999999999</v>
      </c>
      <c r="O3767" s="119">
        <f t="shared" si="441"/>
        <v>0</v>
      </c>
      <c r="P3767" s="120">
        <f t="shared" si="442"/>
        <v>0</v>
      </c>
      <c r="Q3767" s="130"/>
      <c r="R3767" s="320"/>
      <c r="S3767" s="32"/>
      <c r="T3767" s="32"/>
    </row>
    <row r="3768" spans="2:20" ht="15.6">
      <c r="B3768" s="110" t="s">
        <v>504</v>
      </c>
      <c r="C3768" s="111" t="s">
        <v>505</v>
      </c>
      <c r="D3768" s="112" t="s">
        <v>449</v>
      </c>
      <c r="E3768" s="113" t="s">
        <v>130</v>
      </c>
      <c r="F3768" s="114" t="s">
        <v>15</v>
      </c>
      <c r="G3768" s="115" t="s">
        <v>37</v>
      </c>
      <c r="H3768" s="116">
        <v>18.2</v>
      </c>
      <c r="I3768" s="125">
        <v>11.35</v>
      </c>
      <c r="J3768" s="111">
        <v>15</v>
      </c>
      <c r="K3768" s="117">
        <f t="shared" si="439"/>
        <v>3.0985499999999999</v>
      </c>
      <c r="L3768" s="118"/>
      <c r="M3768" s="111">
        <v>15</v>
      </c>
      <c r="N3768" s="117">
        <f t="shared" si="440"/>
        <v>3.0985499999999999</v>
      </c>
      <c r="O3768" s="119">
        <f t="shared" si="441"/>
        <v>0</v>
      </c>
      <c r="P3768" s="120">
        <f t="shared" si="442"/>
        <v>0</v>
      </c>
      <c r="Q3768" s="130"/>
      <c r="R3768" s="320"/>
      <c r="S3768" s="32"/>
      <c r="T3768" s="32"/>
    </row>
    <row r="3769" spans="2:20" ht="15.6">
      <c r="B3769" s="110" t="s">
        <v>504</v>
      </c>
      <c r="C3769" s="111" t="s">
        <v>505</v>
      </c>
      <c r="D3769" s="112" t="s">
        <v>449</v>
      </c>
      <c r="E3769" s="113" t="s">
        <v>130</v>
      </c>
      <c r="F3769" s="114" t="s">
        <v>15</v>
      </c>
      <c r="G3769" s="115" t="s">
        <v>37</v>
      </c>
      <c r="H3769" s="116">
        <v>18.2</v>
      </c>
      <c r="I3769" s="125">
        <v>11.35</v>
      </c>
      <c r="J3769" s="111">
        <v>11</v>
      </c>
      <c r="K3769" s="117">
        <f t="shared" si="439"/>
        <v>2.2722699999999998</v>
      </c>
      <c r="L3769" s="118"/>
      <c r="M3769" s="111">
        <f>11+8</f>
        <v>19</v>
      </c>
      <c r="N3769" s="117">
        <f t="shared" si="440"/>
        <v>3.92483</v>
      </c>
      <c r="O3769" s="230">
        <f t="shared" si="441"/>
        <v>-8</v>
      </c>
      <c r="P3769" s="231">
        <f t="shared" si="442"/>
        <v>-1.65256</v>
      </c>
      <c r="Q3769" s="452" t="s">
        <v>606</v>
      </c>
      <c r="R3769" s="406"/>
      <c r="S3769" s="44"/>
      <c r="T3769" s="44"/>
    </row>
    <row r="3770" spans="2:20" ht="15.6">
      <c r="B3770" s="110" t="s">
        <v>504</v>
      </c>
      <c r="C3770" s="111" t="s">
        <v>505</v>
      </c>
      <c r="D3770" s="112" t="s">
        <v>449</v>
      </c>
      <c r="E3770" s="113" t="s">
        <v>130</v>
      </c>
      <c r="F3770" s="114" t="s">
        <v>15</v>
      </c>
      <c r="G3770" s="115" t="s">
        <v>37</v>
      </c>
      <c r="H3770" s="116">
        <v>18.2</v>
      </c>
      <c r="I3770" s="125">
        <v>10.5</v>
      </c>
      <c r="J3770" s="111">
        <v>2</v>
      </c>
      <c r="K3770" s="117">
        <f t="shared" si="439"/>
        <v>0.38219999999999998</v>
      </c>
      <c r="L3770" s="118"/>
      <c r="M3770" s="111">
        <v>2</v>
      </c>
      <c r="N3770" s="117">
        <f t="shared" si="440"/>
        <v>0.38219999999999998</v>
      </c>
      <c r="O3770" s="119">
        <f t="shared" si="441"/>
        <v>0</v>
      </c>
      <c r="P3770" s="120">
        <f t="shared" si="442"/>
        <v>0</v>
      </c>
      <c r="Q3770" s="130"/>
      <c r="R3770" s="410">
        <v>2</v>
      </c>
      <c r="S3770" s="72" t="s">
        <v>540</v>
      </c>
      <c r="T3770" s="32"/>
    </row>
    <row r="3771" spans="2:20" ht="15.6">
      <c r="B3771" s="110" t="s">
        <v>504</v>
      </c>
      <c r="C3771" s="111" t="s">
        <v>505</v>
      </c>
      <c r="D3771" s="112" t="s">
        <v>449</v>
      </c>
      <c r="E3771" s="113" t="s">
        <v>130</v>
      </c>
      <c r="F3771" s="114" t="s">
        <v>15</v>
      </c>
      <c r="G3771" s="115" t="s">
        <v>37</v>
      </c>
      <c r="H3771" s="116">
        <v>18.2</v>
      </c>
      <c r="I3771" s="125">
        <v>11</v>
      </c>
      <c r="J3771" s="111">
        <v>6</v>
      </c>
      <c r="K3771" s="117">
        <f t="shared" si="439"/>
        <v>1.2011999999999998</v>
      </c>
      <c r="L3771" s="118"/>
      <c r="M3771" s="111">
        <v>6</v>
      </c>
      <c r="N3771" s="117">
        <f t="shared" si="440"/>
        <v>1.2012</v>
      </c>
      <c r="O3771" s="119">
        <f t="shared" si="441"/>
        <v>0</v>
      </c>
      <c r="P3771" s="120">
        <f t="shared" si="442"/>
        <v>0</v>
      </c>
      <c r="Q3771" s="130"/>
      <c r="R3771" s="410">
        <v>6</v>
      </c>
      <c r="S3771" s="72" t="s">
        <v>540</v>
      </c>
      <c r="T3771" s="32"/>
    </row>
    <row r="3772" spans="2:20" ht="15.6">
      <c r="B3772" s="110" t="s">
        <v>504</v>
      </c>
      <c r="C3772" s="111" t="s">
        <v>505</v>
      </c>
      <c r="D3772" s="112" t="s">
        <v>449</v>
      </c>
      <c r="E3772" s="113" t="s">
        <v>130</v>
      </c>
      <c r="F3772" s="114" t="s">
        <v>15</v>
      </c>
      <c r="G3772" s="115" t="s">
        <v>37</v>
      </c>
      <c r="H3772" s="116">
        <v>18.2</v>
      </c>
      <c r="I3772" s="125">
        <v>11.35</v>
      </c>
      <c r="J3772" s="111">
        <v>1</v>
      </c>
      <c r="K3772" s="117">
        <f t="shared" si="439"/>
        <v>0.20657</v>
      </c>
      <c r="L3772" s="118"/>
      <c r="M3772" s="111">
        <v>1</v>
      </c>
      <c r="N3772" s="117">
        <f t="shared" si="440"/>
        <v>0.20657</v>
      </c>
      <c r="O3772" s="119">
        <f t="shared" si="441"/>
        <v>0</v>
      </c>
      <c r="P3772" s="120">
        <f t="shared" si="442"/>
        <v>0</v>
      </c>
      <c r="Q3772" s="130"/>
      <c r="R3772" s="320"/>
      <c r="S3772" s="32"/>
      <c r="T3772" s="32"/>
    </row>
    <row r="3773" spans="2:20" ht="15.6">
      <c r="B3773" s="110" t="s">
        <v>504</v>
      </c>
      <c r="C3773" s="111" t="s">
        <v>505</v>
      </c>
      <c r="D3773" s="112" t="s">
        <v>449</v>
      </c>
      <c r="E3773" s="113" t="s">
        <v>130</v>
      </c>
      <c r="F3773" s="114" t="s">
        <v>15</v>
      </c>
      <c r="G3773" s="115" t="s">
        <v>37</v>
      </c>
      <c r="H3773" s="116">
        <v>18.2</v>
      </c>
      <c r="I3773" s="125">
        <v>11.35</v>
      </c>
      <c r="J3773" s="111">
        <v>15</v>
      </c>
      <c r="K3773" s="117">
        <f t="shared" si="439"/>
        <v>3.0985499999999999</v>
      </c>
      <c r="L3773" s="118"/>
      <c r="M3773" s="111">
        <v>15</v>
      </c>
      <c r="N3773" s="117">
        <f t="shared" si="440"/>
        <v>3.0985499999999999</v>
      </c>
      <c r="O3773" s="119">
        <f t="shared" si="441"/>
        <v>0</v>
      </c>
      <c r="P3773" s="120">
        <f t="shared" si="442"/>
        <v>0</v>
      </c>
      <c r="Q3773" s="130"/>
      <c r="R3773" s="320"/>
      <c r="S3773" s="32"/>
      <c r="T3773" s="32"/>
    </row>
    <row r="3774" spans="2:20" ht="15.6">
      <c r="B3774" s="110" t="s">
        <v>504</v>
      </c>
      <c r="C3774" s="111" t="s">
        <v>505</v>
      </c>
      <c r="D3774" s="112" t="s">
        <v>449</v>
      </c>
      <c r="E3774" s="113" t="s">
        <v>130</v>
      </c>
      <c r="F3774" s="114" t="s">
        <v>15</v>
      </c>
      <c r="G3774" s="115" t="s">
        <v>37</v>
      </c>
      <c r="H3774" s="116">
        <v>18.2</v>
      </c>
      <c r="I3774" s="125">
        <v>11.35</v>
      </c>
      <c r="J3774" s="111">
        <v>15</v>
      </c>
      <c r="K3774" s="117">
        <f t="shared" si="439"/>
        <v>3.0985499999999999</v>
      </c>
      <c r="L3774" s="118"/>
      <c r="M3774" s="111">
        <v>15</v>
      </c>
      <c r="N3774" s="117">
        <f t="shared" si="440"/>
        <v>3.0985499999999999</v>
      </c>
      <c r="O3774" s="119">
        <f t="shared" si="441"/>
        <v>0</v>
      </c>
      <c r="P3774" s="120">
        <f t="shared" si="442"/>
        <v>0</v>
      </c>
      <c r="Q3774" s="130"/>
      <c r="R3774" s="320"/>
      <c r="S3774" s="32"/>
      <c r="T3774" s="32"/>
    </row>
    <row r="3775" spans="2:20" ht="15.6">
      <c r="B3775" s="110" t="s">
        <v>504</v>
      </c>
      <c r="C3775" s="111" t="s">
        <v>505</v>
      </c>
      <c r="D3775" s="112" t="s">
        <v>449</v>
      </c>
      <c r="E3775" s="113" t="s">
        <v>130</v>
      </c>
      <c r="F3775" s="114" t="s">
        <v>15</v>
      </c>
      <c r="G3775" s="115" t="s">
        <v>37</v>
      </c>
      <c r="H3775" s="116">
        <v>18.2</v>
      </c>
      <c r="I3775" s="125">
        <v>11.35</v>
      </c>
      <c r="J3775" s="111">
        <v>15</v>
      </c>
      <c r="K3775" s="117">
        <f t="shared" si="439"/>
        <v>3.0985499999999999</v>
      </c>
      <c r="L3775" s="118"/>
      <c r="M3775" s="111">
        <v>15</v>
      </c>
      <c r="N3775" s="117">
        <f t="shared" si="440"/>
        <v>3.0985499999999999</v>
      </c>
      <c r="O3775" s="119">
        <f t="shared" si="441"/>
        <v>0</v>
      </c>
      <c r="P3775" s="120">
        <f t="shared" si="442"/>
        <v>0</v>
      </c>
      <c r="Q3775" s="130"/>
      <c r="R3775" s="320"/>
      <c r="S3775" s="32"/>
      <c r="T3775" s="32"/>
    </row>
    <row r="3776" spans="2:20" ht="15.6">
      <c r="B3776" s="110" t="s">
        <v>504</v>
      </c>
      <c r="C3776" s="111" t="s">
        <v>505</v>
      </c>
      <c r="D3776" s="112" t="s">
        <v>449</v>
      </c>
      <c r="E3776" s="113" t="s">
        <v>130</v>
      </c>
      <c r="F3776" s="114" t="s">
        <v>15</v>
      </c>
      <c r="G3776" s="115" t="s">
        <v>37</v>
      </c>
      <c r="H3776" s="116">
        <v>18.2</v>
      </c>
      <c r="I3776" s="125">
        <v>11.35</v>
      </c>
      <c r="J3776" s="111">
        <v>15</v>
      </c>
      <c r="K3776" s="117">
        <f t="shared" si="439"/>
        <v>3.0985499999999999</v>
      </c>
      <c r="L3776" s="118"/>
      <c r="M3776" s="111">
        <v>15</v>
      </c>
      <c r="N3776" s="117">
        <f t="shared" si="440"/>
        <v>3.0985499999999999</v>
      </c>
      <c r="O3776" s="119">
        <f t="shared" si="441"/>
        <v>0</v>
      </c>
      <c r="P3776" s="120">
        <f t="shared" si="442"/>
        <v>0</v>
      </c>
      <c r="Q3776" s="130"/>
      <c r="R3776" s="320"/>
      <c r="S3776" s="32"/>
      <c r="T3776" s="32"/>
    </row>
    <row r="3777" spans="2:20" ht="15.6">
      <c r="B3777" s="110" t="s">
        <v>504</v>
      </c>
      <c r="C3777" s="111" t="s">
        <v>505</v>
      </c>
      <c r="D3777" s="112" t="s">
        <v>449</v>
      </c>
      <c r="E3777" s="113" t="s">
        <v>130</v>
      </c>
      <c r="F3777" s="114" t="s">
        <v>15</v>
      </c>
      <c r="G3777" s="115" t="s">
        <v>37</v>
      </c>
      <c r="H3777" s="116">
        <v>18.2</v>
      </c>
      <c r="I3777" s="125">
        <v>11.35</v>
      </c>
      <c r="J3777" s="111">
        <v>15</v>
      </c>
      <c r="K3777" s="117">
        <f t="shared" si="439"/>
        <v>3.0985499999999999</v>
      </c>
      <c r="L3777" s="118"/>
      <c r="M3777" s="111">
        <v>15</v>
      </c>
      <c r="N3777" s="117">
        <f t="shared" si="440"/>
        <v>3.0985499999999999</v>
      </c>
      <c r="O3777" s="119">
        <f t="shared" si="441"/>
        <v>0</v>
      </c>
      <c r="P3777" s="120">
        <f t="shared" si="442"/>
        <v>0</v>
      </c>
      <c r="Q3777" s="130"/>
      <c r="R3777" s="320"/>
      <c r="S3777" s="32"/>
      <c r="T3777" s="32"/>
    </row>
    <row r="3778" spans="2:20" ht="15.6">
      <c r="B3778" s="110" t="s">
        <v>504</v>
      </c>
      <c r="C3778" s="111" t="s">
        <v>505</v>
      </c>
      <c r="D3778" s="112" t="s">
        <v>449</v>
      </c>
      <c r="E3778" s="113" t="s">
        <v>130</v>
      </c>
      <c r="F3778" s="114" t="s">
        <v>15</v>
      </c>
      <c r="G3778" s="115" t="s">
        <v>37</v>
      </c>
      <c r="H3778" s="116">
        <v>18.2</v>
      </c>
      <c r="I3778" s="125">
        <v>11.35</v>
      </c>
      <c r="J3778" s="111">
        <v>15</v>
      </c>
      <c r="K3778" s="117">
        <f t="shared" si="439"/>
        <v>3.0985499999999999</v>
      </c>
      <c r="L3778" s="118"/>
      <c r="M3778" s="111">
        <v>15</v>
      </c>
      <c r="N3778" s="117">
        <f t="shared" si="440"/>
        <v>3.0985499999999999</v>
      </c>
      <c r="O3778" s="119">
        <f t="shared" si="441"/>
        <v>0</v>
      </c>
      <c r="P3778" s="120">
        <f t="shared" si="442"/>
        <v>0</v>
      </c>
      <c r="Q3778" s="130"/>
      <c r="R3778" s="320"/>
      <c r="S3778" s="32"/>
      <c r="T3778" s="32"/>
    </row>
    <row r="3779" spans="2:20" ht="15.6">
      <c r="B3779" s="110" t="s">
        <v>504</v>
      </c>
      <c r="C3779" s="111" t="s">
        <v>505</v>
      </c>
      <c r="D3779" s="112" t="s">
        <v>449</v>
      </c>
      <c r="E3779" s="113" t="s">
        <v>130</v>
      </c>
      <c r="F3779" s="114" t="s">
        <v>15</v>
      </c>
      <c r="G3779" s="115" t="s">
        <v>37</v>
      </c>
      <c r="H3779" s="116">
        <v>18.2</v>
      </c>
      <c r="I3779" s="125">
        <v>11.35</v>
      </c>
      <c r="J3779" s="111">
        <v>15</v>
      </c>
      <c r="K3779" s="117">
        <f t="shared" si="439"/>
        <v>3.0985499999999999</v>
      </c>
      <c r="L3779" s="118"/>
      <c r="M3779" s="111">
        <v>15</v>
      </c>
      <c r="N3779" s="117">
        <f t="shared" si="440"/>
        <v>3.0985499999999999</v>
      </c>
      <c r="O3779" s="119">
        <f t="shared" si="441"/>
        <v>0</v>
      </c>
      <c r="P3779" s="120">
        <f t="shared" si="442"/>
        <v>0</v>
      </c>
      <c r="Q3779" s="130"/>
      <c r="R3779" s="320"/>
      <c r="S3779" s="32"/>
      <c r="T3779" s="32"/>
    </row>
    <row r="3780" spans="2:20" ht="15.6">
      <c r="B3780" s="110" t="s">
        <v>504</v>
      </c>
      <c r="C3780" s="111" t="s">
        <v>505</v>
      </c>
      <c r="D3780" s="112" t="s">
        <v>449</v>
      </c>
      <c r="E3780" s="113" t="s">
        <v>130</v>
      </c>
      <c r="F3780" s="114" t="s">
        <v>15</v>
      </c>
      <c r="G3780" s="115" t="s">
        <v>37</v>
      </c>
      <c r="H3780" s="116">
        <v>18.2</v>
      </c>
      <c r="I3780" s="125">
        <v>11.35</v>
      </c>
      <c r="J3780" s="111">
        <v>9</v>
      </c>
      <c r="K3780" s="117">
        <f t="shared" si="439"/>
        <v>1.8591299999999999</v>
      </c>
      <c r="L3780" s="118"/>
      <c r="M3780" s="111">
        <v>9</v>
      </c>
      <c r="N3780" s="117">
        <f t="shared" si="440"/>
        <v>1.8591299999999999</v>
      </c>
      <c r="O3780" s="119">
        <f t="shared" si="441"/>
        <v>0</v>
      </c>
      <c r="P3780" s="120">
        <f t="shared" si="442"/>
        <v>0</v>
      </c>
      <c r="Q3780" s="130"/>
      <c r="R3780" s="320"/>
      <c r="S3780" s="32"/>
      <c r="T3780" s="32"/>
    </row>
    <row r="3781" spans="2:20" ht="15.6">
      <c r="B3781" s="110" t="s">
        <v>504</v>
      </c>
      <c r="C3781" s="111" t="s">
        <v>505</v>
      </c>
      <c r="D3781" s="112" t="s">
        <v>449</v>
      </c>
      <c r="E3781" s="113" t="s">
        <v>130</v>
      </c>
      <c r="F3781" s="114" t="s">
        <v>15</v>
      </c>
      <c r="G3781" s="115" t="s">
        <v>37</v>
      </c>
      <c r="H3781" s="116">
        <v>18.2</v>
      </c>
      <c r="I3781" s="125">
        <v>9.6999999999999993</v>
      </c>
      <c r="J3781" s="111">
        <v>1</v>
      </c>
      <c r="K3781" s="117">
        <f t="shared" si="439"/>
        <v>0.17654</v>
      </c>
      <c r="L3781" s="118"/>
      <c r="M3781" s="111">
        <v>1</v>
      </c>
      <c r="N3781" s="117">
        <f t="shared" si="440"/>
        <v>0.17654</v>
      </c>
      <c r="O3781" s="119">
        <f t="shared" si="441"/>
        <v>0</v>
      </c>
      <c r="P3781" s="120">
        <f t="shared" si="442"/>
        <v>0</v>
      </c>
      <c r="Q3781" s="130"/>
      <c r="R3781" s="410">
        <v>1</v>
      </c>
      <c r="S3781" s="72" t="s">
        <v>540</v>
      </c>
      <c r="T3781" s="32"/>
    </row>
    <row r="3782" spans="2:20" ht="15.6">
      <c r="B3782" s="110" t="s">
        <v>504</v>
      </c>
      <c r="C3782" s="111" t="s">
        <v>505</v>
      </c>
      <c r="D3782" s="112" t="s">
        <v>449</v>
      </c>
      <c r="E3782" s="113" t="s">
        <v>130</v>
      </c>
      <c r="F3782" s="114" t="s">
        <v>15</v>
      </c>
      <c r="G3782" s="115" t="s">
        <v>37</v>
      </c>
      <c r="H3782" s="116">
        <v>18.2</v>
      </c>
      <c r="I3782" s="125">
        <v>10.9</v>
      </c>
      <c r="J3782" s="111">
        <v>1</v>
      </c>
      <c r="K3782" s="117">
        <f t="shared" si="439"/>
        <v>0.19838</v>
      </c>
      <c r="L3782" s="118"/>
      <c r="M3782" s="111">
        <v>1</v>
      </c>
      <c r="N3782" s="117">
        <f t="shared" si="440"/>
        <v>0.19838</v>
      </c>
      <c r="O3782" s="119">
        <f t="shared" si="441"/>
        <v>0</v>
      </c>
      <c r="P3782" s="120">
        <f t="shared" si="442"/>
        <v>0</v>
      </c>
      <c r="Q3782" s="130"/>
      <c r="R3782" s="410">
        <v>1</v>
      </c>
      <c r="S3782" s="72" t="s">
        <v>540</v>
      </c>
      <c r="T3782" s="32"/>
    </row>
    <row r="3783" spans="2:20" ht="15.6">
      <c r="B3783" s="110" t="s">
        <v>504</v>
      </c>
      <c r="C3783" s="111" t="s">
        <v>505</v>
      </c>
      <c r="D3783" s="112" t="s">
        <v>449</v>
      </c>
      <c r="E3783" s="113" t="s">
        <v>130</v>
      </c>
      <c r="F3783" s="114" t="s">
        <v>15</v>
      </c>
      <c r="G3783" s="115" t="s">
        <v>37</v>
      </c>
      <c r="H3783" s="116">
        <v>18.2</v>
      </c>
      <c r="I3783" s="125">
        <v>11</v>
      </c>
      <c r="J3783" s="111">
        <v>4</v>
      </c>
      <c r="K3783" s="117">
        <f t="shared" si="439"/>
        <v>0.80079999999999996</v>
      </c>
      <c r="L3783" s="118"/>
      <c r="M3783" s="111">
        <v>4</v>
      </c>
      <c r="N3783" s="117">
        <f t="shared" si="440"/>
        <v>0.80079999999999996</v>
      </c>
      <c r="O3783" s="119">
        <f t="shared" si="441"/>
        <v>0</v>
      </c>
      <c r="P3783" s="120">
        <f t="shared" si="442"/>
        <v>0</v>
      </c>
      <c r="Q3783" s="130"/>
      <c r="R3783" s="410">
        <v>4</v>
      </c>
      <c r="S3783" s="72" t="s">
        <v>540</v>
      </c>
      <c r="T3783" s="32"/>
    </row>
    <row r="3784" spans="2:20">
      <c r="B3784" s="32"/>
      <c r="C3784" s="32"/>
      <c r="D3784" s="32"/>
      <c r="E3784" s="32"/>
      <c r="F3784" s="32"/>
      <c r="G3784" s="32"/>
      <c r="H3784" s="32"/>
      <c r="I3784" s="32"/>
      <c r="J3784" s="129">
        <f>SUM(J3765:J3783)</f>
        <v>200</v>
      </c>
      <c r="K3784" s="124">
        <f>SUM(K3765:K3783)</f>
        <v>41.181140000000006</v>
      </c>
      <c r="L3784" s="32"/>
      <c r="M3784" s="129">
        <f>SUM(M3765:M3783)</f>
        <v>208</v>
      </c>
      <c r="N3784" s="124">
        <f>SUM(N3765:N3783)</f>
        <v>42.833700000000007</v>
      </c>
      <c r="O3784" s="129">
        <f>SUM(O3765:O3783)</f>
        <v>-8</v>
      </c>
      <c r="P3784" s="124">
        <f>SUM(P3765:P3783)</f>
        <v>-1.65256</v>
      </c>
      <c r="Q3784" s="32"/>
      <c r="R3784" s="129">
        <f>SUM(R3765:R3783)</f>
        <v>14</v>
      </c>
      <c r="S3784" s="32"/>
      <c r="T3784" s="32"/>
    </row>
    <row r="3786" spans="2:20" ht="15.6">
      <c r="B3786" s="110" t="s">
        <v>504</v>
      </c>
      <c r="C3786" s="111" t="s">
        <v>232</v>
      </c>
      <c r="D3786" s="112" t="s">
        <v>449</v>
      </c>
      <c r="E3786" s="113" t="s">
        <v>506</v>
      </c>
      <c r="F3786" s="114" t="s">
        <v>15</v>
      </c>
      <c r="G3786" s="115" t="s">
        <v>37</v>
      </c>
      <c r="H3786" s="116">
        <v>18.2</v>
      </c>
      <c r="I3786" s="125">
        <v>7.5</v>
      </c>
      <c r="J3786" s="111">
        <v>1</v>
      </c>
      <c r="K3786" s="117">
        <f t="shared" ref="K3786:K3798" si="443">I3786*H3786*J3786/1000</f>
        <v>0.13650000000000001</v>
      </c>
      <c r="L3786" s="118"/>
      <c r="M3786" s="111">
        <v>1</v>
      </c>
      <c r="N3786" s="117">
        <f t="shared" ref="N3786:N3798" si="444">I3786*M3786*H3786/1000</f>
        <v>0.13650000000000001</v>
      </c>
      <c r="O3786" s="119">
        <f t="shared" ref="O3786:O3798" si="445">J3786-M3786</f>
        <v>0</v>
      </c>
      <c r="P3786" s="120">
        <f t="shared" ref="P3786:P3798" si="446">I3786*O3786*H3786/1000</f>
        <v>0</v>
      </c>
      <c r="Q3786" s="130"/>
      <c r="R3786" s="320"/>
      <c r="S3786" s="32"/>
      <c r="T3786" s="32"/>
    </row>
    <row r="3787" spans="2:20" ht="15.6">
      <c r="B3787" s="110" t="s">
        <v>504</v>
      </c>
      <c r="C3787" s="111" t="s">
        <v>232</v>
      </c>
      <c r="D3787" s="112" t="s">
        <v>449</v>
      </c>
      <c r="E3787" s="113" t="s">
        <v>506</v>
      </c>
      <c r="F3787" s="114" t="s">
        <v>15</v>
      </c>
      <c r="G3787" s="115" t="s">
        <v>37</v>
      </c>
      <c r="H3787" s="116">
        <v>18.2</v>
      </c>
      <c r="I3787" s="125">
        <v>6.7</v>
      </c>
      <c r="J3787" s="111">
        <v>18</v>
      </c>
      <c r="K3787" s="117">
        <f t="shared" si="443"/>
        <v>2.1949200000000002</v>
      </c>
      <c r="L3787" s="118"/>
      <c r="M3787" s="111">
        <v>18</v>
      </c>
      <c r="N3787" s="117">
        <f t="shared" si="444"/>
        <v>2.1949200000000002</v>
      </c>
      <c r="O3787" s="119">
        <f t="shared" si="445"/>
        <v>0</v>
      </c>
      <c r="P3787" s="120">
        <f t="shared" si="446"/>
        <v>0</v>
      </c>
      <c r="Q3787" s="130"/>
      <c r="R3787" s="320"/>
      <c r="S3787" s="32"/>
      <c r="T3787" s="32"/>
    </row>
    <row r="3788" spans="2:20" ht="15.6">
      <c r="B3788" s="110" t="s">
        <v>504</v>
      </c>
      <c r="C3788" s="111" t="s">
        <v>232</v>
      </c>
      <c r="D3788" s="112" t="s">
        <v>449</v>
      </c>
      <c r="E3788" s="113" t="s">
        <v>506</v>
      </c>
      <c r="F3788" s="114" t="s">
        <v>15</v>
      </c>
      <c r="G3788" s="115" t="s">
        <v>37</v>
      </c>
      <c r="H3788" s="116">
        <v>18.2</v>
      </c>
      <c r="I3788" s="125">
        <v>6.7</v>
      </c>
      <c r="J3788" s="111">
        <v>17</v>
      </c>
      <c r="K3788" s="117">
        <f t="shared" si="443"/>
        <v>2.0729799999999998</v>
      </c>
      <c r="L3788" s="118"/>
      <c r="M3788" s="111">
        <v>17</v>
      </c>
      <c r="N3788" s="117">
        <f t="shared" si="444"/>
        <v>2.0729799999999998</v>
      </c>
      <c r="O3788" s="119">
        <f t="shared" si="445"/>
        <v>0</v>
      </c>
      <c r="P3788" s="120">
        <f t="shared" si="446"/>
        <v>0</v>
      </c>
      <c r="Q3788" s="130"/>
      <c r="R3788" s="320"/>
      <c r="S3788" s="32"/>
      <c r="T3788" s="32"/>
    </row>
    <row r="3789" spans="2:20" ht="15.6">
      <c r="B3789" s="110" t="s">
        <v>504</v>
      </c>
      <c r="C3789" s="111" t="s">
        <v>232</v>
      </c>
      <c r="D3789" s="112" t="s">
        <v>449</v>
      </c>
      <c r="E3789" s="113" t="s">
        <v>506</v>
      </c>
      <c r="F3789" s="114" t="s">
        <v>15</v>
      </c>
      <c r="G3789" s="115" t="s">
        <v>37</v>
      </c>
      <c r="H3789" s="116">
        <v>18.2</v>
      </c>
      <c r="I3789" s="125">
        <v>7.5</v>
      </c>
      <c r="J3789" s="111">
        <v>6</v>
      </c>
      <c r="K3789" s="117">
        <f t="shared" si="443"/>
        <v>0.81899999999999995</v>
      </c>
      <c r="L3789" s="118"/>
      <c r="M3789" s="111">
        <v>6</v>
      </c>
      <c r="N3789" s="117">
        <f t="shared" si="444"/>
        <v>0.81899999999999995</v>
      </c>
      <c r="O3789" s="119">
        <f t="shared" si="445"/>
        <v>0</v>
      </c>
      <c r="P3789" s="120">
        <f t="shared" si="446"/>
        <v>0</v>
      </c>
      <c r="Q3789" s="130"/>
      <c r="R3789" s="320"/>
      <c r="S3789" s="32"/>
      <c r="T3789" s="32"/>
    </row>
    <row r="3790" spans="2:20" ht="15.6">
      <c r="B3790" s="110" t="s">
        <v>504</v>
      </c>
      <c r="C3790" s="111" t="s">
        <v>232</v>
      </c>
      <c r="D3790" s="112" t="s">
        <v>449</v>
      </c>
      <c r="E3790" s="113" t="s">
        <v>506</v>
      </c>
      <c r="F3790" s="114" t="s">
        <v>15</v>
      </c>
      <c r="G3790" s="115" t="s">
        <v>37</v>
      </c>
      <c r="H3790" s="116">
        <v>18.2</v>
      </c>
      <c r="I3790" s="125">
        <v>11.1</v>
      </c>
      <c r="J3790" s="111">
        <v>6</v>
      </c>
      <c r="K3790" s="117">
        <f t="shared" si="443"/>
        <v>1.2121199999999999</v>
      </c>
      <c r="L3790" s="118"/>
      <c r="M3790" s="111">
        <v>6</v>
      </c>
      <c r="N3790" s="117">
        <f t="shared" si="444"/>
        <v>1.2121199999999999</v>
      </c>
      <c r="O3790" s="119">
        <f t="shared" si="445"/>
        <v>0</v>
      </c>
      <c r="P3790" s="120">
        <f t="shared" si="446"/>
        <v>0</v>
      </c>
      <c r="Q3790" s="130"/>
      <c r="R3790" s="320"/>
      <c r="S3790" s="32"/>
      <c r="T3790" s="32"/>
    </row>
    <row r="3791" spans="2:20" ht="15.6">
      <c r="B3791" s="110" t="s">
        <v>504</v>
      </c>
      <c r="C3791" s="111" t="s">
        <v>232</v>
      </c>
      <c r="D3791" s="112" t="s">
        <v>449</v>
      </c>
      <c r="E3791" s="113" t="s">
        <v>506</v>
      </c>
      <c r="F3791" s="114" t="s">
        <v>15</v>
      </c>
      <c r="G3791" s="115" t="s">
        <v>37</v>
      </c>
      <c r="H3791" s="116">
        <v>18.2</v>
      </c>
      <c r="I3791" s="125">
        <v>6.5</v>
      </c>
      <c r="J3791" s="111">
        <v>1</v>
      </c>
      <c r="K3791" s="117">
        <f t="shared" si="443"/>
        <v>0.1183</v>
      </c>
      <c r="L3791" s="118"/>
      <c r="M3791" s="111">
        <v>1</v>
      </c>
      <c r="N3791" s="117">
        <f t="shared" si="444"/>
        <v>0.1183</v>
      </c>
      <c r="O3791" s="119">
        <f t="shared" si="445"/>
        <v>0</v>
      </c>
      <c r="P3791" s="120">
        <f t="shared" si="446"/>
        <v>0</v>
      </c>
      <c r="Q3791" s="130"/>
      <c r="R3791" s="410">
        <v>1</v>
      </c>
      <c r="S3791" s="72" t="s">
        <v>540</v>
      </c>
      <c r="T3791" s="32"/>
    </row>
    <row r="3792" spans="2:20" ht="15.6">
      <c r="B3792" s="110" t="s">
        <v>504</v>
      </c>
      <c r="C3792" s="111" t="s">
        <v>232</v>
      </c>
      <c r="D3792" s="112" t="s">
        <v>449</v>
      </c>
      <c r="E3792" s="113" t="s">
        <v>506</v>
      </c>
      <c r="F3792" s="114" t="s">
        <v>15</v>
      </c>
      <c r="G3792" s="115" t="s">
        <v>37</v>
      </c>
      <c r="H3792" s="116">
        <v>18.2</v>
      </c>
      <c r="I3792" s="125">
        <v>6.3</v>
      </c>
      <c r="J3792" s="111">
        <v>1</v>
      </c>
      <c r="K3792" s="117">
        <f t="shared" si="443"/>
        <v>0.11466</v>
      </c>
      <c r="L3792" s="118"/>
      <c r="M3792" s="111">
        <v>1</v>
      </c>
      <c r="N3792" s="117">
        <f t="shared" si="444"/>
        <v>0.11466</v>
      </c>
      <c r="O3792" s="119">
        <f t="shared" si="445"/>
        <v>0</v>
      </c>
      <c r="P3792" s="120">
        <f t="shared" si="446"/>
        <v>0</v>
      </c>
      <c r="Q3792" s="130"/>
      <c r="R3792" s="410">
        <v>1</v>
      </c>
      <c r="S3792" s="72" t="s">
        <v>540</v>
      </c>
      <c r="T3792" s="32"/>
    </row>
    <row r="3793" spans="2:20" ht="15.6">
      <c r="B3793" s="110" t="s">
        <v>504</v>
      </c>
      <c r="C3793" s="111" t="s">
        <v>232</v>
      </c>
      <c r="D3793" s="112" t="s">
        <v>449</v>
      </c>
      <c r="E3793" s="113" t="s">
        <v>506</v>
      </c>
      <c r="F3793" s="114" t="s">
        <v>15</v>
      </c>
      <c r="G3793" s="115" t="s">
        <v>37</v>
      </c>
      <c r="H3793" s="116">
        <v>18.2</v>
      </c>
      <c r="I3793" s="125">
        <v>6.7</v>
      </c>
      <c r="J3793" s="111">
        <v>13</v>
      </c>
      <c r="K3793" s="117">
        <f t="shared" si="443"/>
        <v>1.5852200000000001</v>
      </c>
      <c r="L3793" s="118"/>
      <c r="M3793" s="111">
        <v>13</v>
      </c>
      <c r="N3793" s="117">
        <f t="shared" si="444"/>
        <v>1.5852200000000001</v>
      </c>
      <c r="O3793" s="119">
        <f t="shared" si="445"/>
        <v>0</v>
      </c>
      <c r="P3793" s="120">
        <f t="shared" si="446"/>
        <v>0</v>
      </c>
      <c r="Q3793" s="130"/>
      <c r="R3793" s="320"/>
      <c r="S3793" s="32"/>
      <c r="T3793" s="32"/>
    </row>
    <row r="3794" spans="2:20" ht="15.6">
      <c r="B3794" s="110" t="s">
        <v>504</v>
      </c>
      <c r="C3794" s="111" t="s">
        <v>232</v>
      </c>
      <c r="D3794" s="112" t="s">
        <v>449</v>
      </c>
      <c r="E3794" s="113" t="s">
        <v>506</v>
      </c>
      <c r="F3794" s="114" t="s">
        <v>15</v>
      </c>
      <c r="G3794" s="115" t="s">
        <v>37</v>
      </c>
      <c r="H3794" s="116">
        <v>18.2</v>
      </c>
      <c r="I3794" s="125">
        <v>5.55</v>
      </c>
      <c r="J3794" s="111">
        <v>1</v>
      </c>
      <c r="K3794" s="117">
        <f t="shared" si="443"/>
        <v>0.10100999999999999</v>
      </c>
      <c r="L3794" s="118"/>
      <c r="M3794" s="111">
        <v>1</v>
      </c>
      <c r="N3794" s="117">
        <f t="shared" si="444"/>
        <v>0.10100999999999999</v>
      </c>
      <c r="O3794" s="119">
        <f t="shared" si="445"/>
        <v>0</v>
      </c>
      <c r="P3794" s="120">
        <f t="shared" si="446"/>
        <v>0</v>
      </c>
      <c r="Q3794" s="130"/>
      <c r="R3794" s="410">
        <v>1</v>
      </c>
      <c r="S3794" s="72" t="s">
        <v>540</v>
      </c>
      <c r="T3794" s="32"/>
    </row>
    <row r="3795" spans="2:20" ht="15.6">
      <c r="B3795" s="110" t="s">
        <v>504</v>
      </c>
      <c r="C3795" s="111" t="s">
        <v>232</v>
      </c>
      <c r="D3795" s="112" t="s">
        <v>449</v>
      </c>
      <c r="E3795" s="113" t="s">
        <v>506</v>
      </c>
      <c r="F3795" s="114" t="s">
        <v>15</v>
      </c>
      <c r="G3795" s="115" t="s">
        <v>37</v>
      </c>
      <c r="H3795" s="116">
        <v>18.2</v>
      </c>
      <c r="I3795" s="125">
        <v>5.95</v>
      </c>
      <c r="J3795" s="111">
        <v>1</v>
      </c>
      <c r="K3795" s="117">
        <f t="shared" si="443"/>
        <v>0.10829</v>
      </c>
      <c r="L3795" s="118"/>
      <c r="M3795" s="111">
        <v>1</v>
      </c>
      <c r="N3795" s="117">
        <f t="shared" si="444"/>
        <v>0.10829</v>
      </c>
      <c r="O3795" s="119">
        <f t="shared" si="445"/>
        <v>0</v>
      </c>
      <c r="P3795" s="120">
        <f t="shared" si="446"/>
        <v>0</v>
      </c>
      <c r="Q3795" s="130"/>
      <c r="R3795" s="410">
        <v>1</v>
      </c>
      <c r="S3795" s="72" t="s">
        <v>540</v>
      </c>
      <c r="T3795" s="32"/>
    </row>
    <row r="3796" spans="2:20" ht="15.6">
      <c r="B3796" s="110" t="s">
        <v>504</v>
      </c>
      <c r="C3796" s="111" t="s">
        <v>232</v>
      </c>
      <c r="D3796" s="112" t="s">
        <v>449</v>
      </c>
      <c r="E3796" s="113" t="s">
        <v>506</v>
      </c>
      <c r="F3796" s="114" t="s">
        <v>15</v>
      </c>
      <c r="G3796" s="115" t="s">
        <v>37</v>
      </c>
      <c r="H3796" s="116">
        <v>18.2</v>
      </c>
      <c r="I3796" s="125">
        <v>6</v>
      </c>
      <c r="J3796" s="111">
        <v>1</v>
      </c>
      <c r="K3796" s="117">
        <f t="shared" si="443"/>
        <v>0.10919999999999999</v>
      </c>
      <c r="L3796" s="118"/>
      <c r="M3796" s="111">
        <v>1</v>
      </c>
      <c r="N3796" s="117">
        <f t="shared" si="444"/>
        <v>0.10919999999999999</v>
      </c>
      <c r="O3796" s="119">
        <f t="shared" si="445"/>
        <v>0</v>
      </c>
      <c r="P3796" s="120">
        <f t="shared" si="446"/>
        <v>0</v>
      </c>
      <c r="Q3796" s="130"/>
      <c r="R3796" s="410">
        <v>1</v>
      </c>
      <c r="S3796" s="72" t="s">
        <v>540</v>
      </c>
      <c r="T3796" s="32"/>
    </row>
    <row r="3797" spans="2:20" ht="15.6">
      <c r="B3797" s="110" t="s">
        <v>504</v>
      </c>
      <c r="C3797" s="111" t="s">
        <v>232</v>
      </c>
      <c r="D3797" s="112" t="s">
        <v>449</v>
      </c>
      <c r="E3797" s="113" t="s">
        <v>506</v>
      </c>
      <c r="F3797" s="114" t="s">
        <v>15</v>
      </c>
      <c r="G3797" s="115" t="s">
        <v>37</v>
      </c>
      <c r="H3797" s="116">
        <v>18.2</v>
      </c>
      <c r="I3797" s="125">
        <v>10.9</v>
      </c>
      <c r="J3797" s="111">
        <v>1</v>
      </c>
      <c r="K3797" s="117">
        <f t="shared" si="443"/>
        <v>0.19838</v>
      </c>
      <c r="L3797" s="118"/>
      <c r="M3797" s="111">
        <v>1</v>
      </c>
      <c r="N3797" s="117">
        <f t="shared" si="444"/>
        <v>0.19838</v>
      </c>
      <c r="O3797" s="119">
        <f t="shared" si="445"/>
        <v>0</v>
      </c>
      <c r="P3797" s="120">
        <f t="shared" si="446"/>
        <v>0</v>
      </c>
      <c r="Q3797" s="130"/>
      <c r="R3797" s="320"/>
      <c r="S3797" s="32"/>
      <c r="T3797" s="32"/>
    </row>
    <row r="3798" spans="2:20" ht="15.6">
      <c r="B3798" s="110" t="s">
        <v>504</v>
      </c>
      <c r="C3798" s="111" t="s">
        <v>232</v>
      </c>
      <c r="D3798" s="112" t="s">
        <v>449</v>
      </c>
      <c r="E3798" s="113" t="s">
        <v>506</v>
      </c>
      <c r="F3798" s="114" t="s">
        <v>15</v>
      </c>
      <c r="G3798" s="115" t="s">
        <v>37</v>
      </c>
      <c r="H3798" s="116">
        <v>18.2</v>
      </c>
      <c r="I3798" s="125">
        <v>12</v>
      </c>
      <c r="J3798" s="111">
        <v>1</v>
      </c>
      <c r="K3798" s="117">
        <f t="shared" si="443"/>
        <v>0.21839999999999998</v>
      </c>
      <c r="L3798" s="118"/>
      <c r="M3798" s="111">
        <v>1</v>
      </c>
      <c r="N3798" s="117">
        <f t="shared" si="444"/>
        <v>0.21839999999999998</v>
      </c>
      <c r="O3798" s="119">
        <f t="shared" si="445"/>
        <v>0</v>
      </c>
      <c r="P3798" s="120">
        <f t="shared" si="446"/>
        <v>0</v>
      </c>
      <c r="Q3798" s="130"/>
      <c r="R3798" s="410">
        <v>1</v>
      </c>
      <c r="S3798" s="72" t="s">
        <v>540</v>
      </c>
      <c r="T3798" s="32"/>
    </row>
    <row r="3799" spans="2:20">
      <c r="B3799" s="213"/>
      <c r="C3799" s="213"/>
      <c r="D3799" s="213"/>
      <c r="E3799" s="213"/>
      <c r="F3799" s="213"/>
      <c r="G3799" s="213"/>
      <c r="H3799" s="213"/>
      <c r="I3799" s="213"/>
      <c r="J3799" s="80">
        <f>SUM(J3786:J3798)</f>
        <v>68</v>
      </c>
      <c r="K3799" s="128">
        <f>SUM(K3786:K3798)</f>
        <v>8.9889799999999997</v>
      </c>
      <c r="L3799" s="213"/>
      <c r="M3799" s="80">
        <f>SUM(M3786:M3798)</f>
        <v>68</v>
      </c>
      <c r="N3799" s="128">
        <f>SUM(N3786:N3798)</f>
        <v>8.9889799999999997</v>
      </c>
      <c r="O3799" s="80">
        <f>SUM(O3786:O3798)</f>
        <v>0</v>
      </c>
      <c r="P3799" s="128">
        <f>SUM(P3786:P3798)</f>
        <v>0</v>
      </c>
      <c r="Q3799" s="213"/>
      <c r="R3799" s="80">
        <f>SUM(R3786:R3798)</f>
        <v>6</v>
      </c>
      <c r="S3799" s="213"/>
      <c r="T3799" s="213"/>
    </row>
    <row r="3802" spans="2:20" ht="15.6">
      <c r="B3802" s="110" t="s">
        <v>517</v>
      </c>
      <c r="C3802" s="111" t="s">
        <v>505</v>
      </c>
      <c r="D3802" s="112" t="s">
        <v>449</v>
      </c>
      <c r="E3802" s="113" t="s">
        <v>17</v>
      </c>
      <c r="F3802" s="114" t="s">
        <v>15</v>
      </c>
      <c r="G3802" s="115" t="s">
        <v>37</v>
      </c>
      <c r="H3802" s="116">
        <v>18.149999999999999</v>
      </c>
      <c r="I3802" s="125">
        <v>12</v>
      </c>
      <c r="J3802" s="111">
        <v>14</v>
      </c>
      <c r="K3802" s="117">
        <f t="shared" ref="K3802:K3811" si="447">I3802*H3802*J3802/1000</f>
        <v>3.0491999999999999</v>
      </c>
      <c r="L3802" s="118"/>
      <c r="M3802" s="111">
        <v>14</v>
      </c>
      <c r="N3802" s="117">
        <f t="shared" ref="N3802:N3811" si="448">I3802*M3802*H3802/1000</f>
        <v>3.0491999999999999</v>
      </c>
      <c r="O3802" s="119">
        <f t="shared" ref="O3802:O3811" si="449">J3802-M3802</f>
        <v>0</v>
      </c>
      <c r="P3802" s="120">
        <f t="shared" ref="P3802:P3809" si="450">I3802*O3802*H3802/1000</f>
        <v>0</v>
      </c>
      <c r="Q3802" s="130"/>
      <c r="R3802" s="320"/>
      <c r="S3802" s="32"/>
      <c r="T3802" s="32"/>
    </row>
    <row r="3803" spans="2:20" ht="15.6">
      <c r="B3803" s="110" t="s">
        <v>517</v>
      </c>
      <c r="C3803" s="111" t="s">
        <v>505</v>
      </c>
      <c r="D3803" s="112" t="s">
        <v>449</v>
      </c>
      <c r="E3803" s="113" t="s">
        <v>17</v>
      </c>
      <c r="F3803" s="114" t="s">
        <v>15</v>
      </c>
      <c r="G3803" s="115" t="s">
        <v>37</v>
      </c>
      <c r="H3803" s="116">
        <v>18.149999999999999</v>
      </c>
      <c r="I3803" s="125">
        <v>12</v>
      </c>
      <c r="J3803" s="111">
        <v>14</v>
      </c>
      <c r="K3803" s="117">
        <f t="shared" si="447"/>
        <v>3.0491999999999999</v>
      </c>
      <c r="L3803" s="118"/>
      <c r="M3803" s="111">
        <v>14</v>
      </c>
      <c r="N3803" s="117">
        <f t="shared" si="448"/>
        <v>3.0491999999999999</v>
      </c>
      <c r="O3803" s="119">
        <f t="shared" si="449"/>
        <v>0</v>
      </c>
      <c r="P3803" s="120">
        <f t="shared" si="450"/>
        <v>0</v>
      </c>
      <c r="Q3803" s="130"/>
      <c r="R3803" s="320"/>
      <c r="S3803" s="32"/>
      <c r="T3803" s="32"/>
    </row>
    <row r="3804" spans="2:20" ht="15.6">
      <c r="B3804" s="110" t="s">
        <v>517</v>
      </c>
      <c r="C3804" s="111" t="s">
        <v>505</v>
      </c>
      <c r="D3804" s="112" t="s">
        <v>449</v>
      </c>
      <c r="E3804" s="113" t="s">
        <v>17</v>
      </c>
      <c r="F3804" s="114" t="s">
        <v>15</v>
      </c>
      <c r="G3804" s="115" t="s">
        <v>37</v>
      </c>
      <c r="H3804" s="116">
        <v>18.149999999999999</v>
      </c>
      <c r="I3804" s="125">
        <v>12</v>
      </c>
      <c r="J3804" s="111">
        <v>14</v>
      </c>
      <c r="K3804" s="117">
        <f t="shared" si="447"/>
        <v>3.0491999999999999</v>
      </c>
      <c r="L3804" s="118"/>
      <c r="M3804" s="111">
        <v>14</v>
      </c>
      <c r="N3804" s="117">
        <f t="shared" si="448"/>
        <v>3.0491999999999999</v>
      </c>
      <c r="O3804" s="119">
        <f t="shared" si="449"/>
        <v>0</v>
      </c>
      <c r="P3804" s="120">
        <f t="shared" si="450"/>
        <v>0</v>
      </c>
      <c r="Q3804" s="130"/>
      <c r="R3804" s="320"/>
      <c r="S3804" s="32"/>
      <c r="T3804" s="32"/>
    </row>
    <row r="3805" spans="2:20" ht="15.6">
      <c r="B3805" s="110" t="s">
        <v>517</v>
      </c>
      <c r="C3805" s="111" t="s">
        <v>505</v>
      </c>
      <c r="D3805" s="112" t="s">
        <v>449</v>
      </c>
      <c r="E3805" s="113" t="s">
        <v>17</v>
      </c>
      <c r="F3805" s="114" t="s">
        <v>15</v>
      </c>
      <c r="G3805" s="115" t="s">
        <v>37</v>
      </c>
      <c r="H3805" s="116">
        <v>18.149999999999999</v>
      </c>
      <c r="I3805" s="125">
        <v>12</v>
      </c>
      <c r="J3805" s="111">
        <v>14</v>
      </c>
      <c r="K3805" s="117">
        <f t="shared" si="447"/>
        <v>3.0491999999999999</v>
      </c>
      <c r="L3805" s="118"/>
      <c r="M3805" s="111">
        <v>14</v>
      </c>
      <c r="N3805" s="117">
        <f t="shared" si="448"/>
        <v>3.0491999999999999</v>
      </c>
      <c r="O3805" s="119">
        <f t="shared" si="449"/>
        <v>0</v>
      </c>
      <c r="P3805" s="120">
        <f t="shared" si="450"/>
        <v>0</v>
      </c>
      <c r="Q3805" s="130"/>
      <c r="R3805" s="320"/>
      <c r="S3805" s="32"/>
      <c r="T3805" s="32"/>
    </row>
    <row r="3806" spans="2:20" ht="15.6">
      <c r="B3806" s="110" t="s">
        <v>517</v>
      </c>
      <c r="C3806" s="111" t="s">
        <v>505</v>
      </c>
      <c r="D3806" s="112" t="s">
        <v>449</v>
      </c>
      <c r="E3806" s="113" t="s">
        <v>17</v>
      </c>
      <c r="F3806" s="114" t="s">
        <v>15</v>
      </c>
      <c r="G3806" s="115" t="s">
        <v>37</v>
      </c>
      <c r="H3806" s="116">
        <v>18.149999999999999</v>
      </c>
      <c r="I3806" s="125">
        <v>11.35</v>
      </c>
      <c r="J3806" s="111">
        <v>5</v>
      </c>
      <c r="K3806" s="117">
        <f t="shared" si="447"/>
        <v>1.0300124999999998</v>
      </c>
      <c r="L3806" s="118"/>
      <c r="M3806" s="111">
        <v>5</v>
      </c>
      <c r="N3806" s="117">
        <f t="shared" si="448"/>
        <v>1.0300124999999998</v>
      </c>
      <c r="O3806" s="119">
        <f t="shared" si="449"/>
        <v>0</v>
      </c>
      <c r="P3806" s="120">
        <f t="shared" si="450"/>
        <v>0</v>
      </c>
      <c r="Q3806" s="130"/>
      <c r="R3806" s="320"/>
      <c r="S3806" s="32"/>
      <c r="T3806" s="32"/>
    </row>
    <row r="3807" spans="2:20" ht="15.6">
      <c r="B3807" s="110" t="s">
        <v>517</v>
      </c>
      <c r="C3807" s="111" t="s">
        <v>505</v>
      </c>
      <c r="D3807" s="112" t="s">
        <v>449</v>
      </c>
      <c r="E3807" s="113" t="s">
        <v>17</v>
      </c>
      <c r="F3807" s="114" t="s">
        <v>15</v>
      </c>
      <c r="G3807" s="115" t="s">
        <v>37</v>
      </c>
      <c r="H3807" s="116">
        <v>18.149999999999999</v>
      </c>
      <c r="I3807" s="125">
        <v>12</v>
      </c>
      <c r="J3807" s="111">
        <v>15</v>
      </c>
      <c r="K3807" s="117">
        <f t="shared" si="447"/>
        <v>3.2669999999999995</v>
      </c>
      <c r="L3807" s="118"/>
      <c r="M3807" s="111">
        <v>15</v>
      </c>
      <c r="N3807" s="117">
        <f t="shared" si="448"/>
        <v>3.2669999999999995</v>
      </c>
      <c r="O3807" s="119">
        <f t="shared" si="449"/>
        <v>0</v>
      </c>
      <c r="P3807" s="120">
        <f t="shared" si="450"/>
        <v>0</v>
      </c>
      <c r="Q3807" s="130"/>
      <c r="R3807" s="320"/>
      <c r="S3807" s="32"/>
      <c r="T3807" s="32"/>
    </row>
    <row r="3808" spans="2:20" ht="15.6">
      <c r="B3808" s="110" t="s">
        <v>517</v>
      </c>
      <c r="C3808" s="111" t="s">
        <v>505</v>
      </c>
      <c r="D3808" s="112" t="s">
        <v>449</v>
      </c>
      <c r="E3808" s="113" t="s">
        <v>17</v>
      </c>
      <c r="F3808" s="114" t="s">
        <v>15</v>
      </c>
      <c r="G3808" s="115" t="s">
        <v>37</v>
      </c>
      <c r="H3808" s="116">
        <v>18.149999999999999</v>
      </c>
      <c r="I3808" s="125">
        <v>12</v>
      </c>
      <c r="J3808" s="111">
        <v>15</v>
      </c>
      <c r="K3808" s="117">
        <f t="shared" si="447"/>
        <v>3.2669999999999995</v>
      </c>
      <c r="L3808" s="118"/>
      <c r="M3808" s="111">
        <v>15</v>
      </c>
      <c r="N3808" s="117">
        <f t="shared" si="448"/>
        <v>3.2669999999999995</v>
      </c>
      <c r="O3808" s="119">
        <f t="shared" si="449"/>
        <v>0</v>
      </c>
      <c r="P3808" s="120">
        <f t="shared" si="450"/>
        <v>0</v>
      </c>
      <c r="Q3808" s="130"/>
      <c r="R3808" s="320"/>
      <c r="S3808" s="32"/>
      <c r="T3808" s="32"/>
    </row>
    <row r="3809" spans="2:20" ht="15.6">
      <c r="B3809" s="110" t="s">
        <v>517</v>
      </c>
      <c r="C3809" s="111" t="s">
        <v>505</v>
      </c>
      <c r="D3809" s="112" t="s">
        <v>449</v>
      </c>
      <c r="E3809" s="113" t="s">
        <v>17</v>
      </c>
      <c r="F3809" s="114" t="s">
        <v>15</v>
      </c>
      <c r="G3809" s="115" t="s">
        <v>37</v>
      </c>
      <c r="H3809" s="116">
        <v>18.149999999999999</v>
      </c>
      <c r="I3809" s="125">
        <v>12</v>
      </c>
      <c r="J3809" s="111">
        <v>10</v>
      </c>
      <c r="K3809" s="117">
        <f t="shared" si="447"/>
        <v>2.1779999999999999</v>
      </c>
      <c r="L3809" s="118"/>
      <c r="M3809" s="111">
        <f>8+2</f>
        <v>10</v>
      </c>
      <c r="N3809" s="117">
        <f t="shared" si="448"/>
        <v>2.1779999999999999</v>
      </c>
      <c r="O3809" s="119">
        <f t="shared" si="449"/>
        <v>0</v>
      </c>
      <c r="P3809" s="120">
        <f t="shared" si="450"/>
        <v>0</v>
      </c>
      <c r="Q3809" s="130"/>
      <c r="R3809" s="414">
        <v>2</v>
      </c>
      <c r="S3809" s="91" t="s">
        <v>540</v>
      </c>
      <c r="T3809" s="32"/>
    </row>
    <row r="3810" spans="2:20" ht="15.6">
      <c r="B3810" s="110" t="s">
        <v>517</v>
      </c>
      <c r="C3810" s="111" t="s">
        <v>505</v>
      </c>
      <c r="D3810" s="112" t="s">
        <v>449</v>
      </c>
      <c r="E3810" s="113" t="s">
        <v>17</v>
      </c>
      <c r="F3810" s="114" t="s">
        <v>15</v>
      </c>
      <c r="G3810" s="115" t="s">
        <v>37</v>
      </c>
      <c r="H3810" s="116">
        <v>18.149999999999999</v>
      </c>
      <c r="I3810" s="125">
        <v>11.3</v>
      </c>
      <c r="J3810" s="111">
        <v>3</v>
      </c>
      <c r="K3810" s="117">
        <f t="shared" si="447"/>
        <v>0.61528499999999997</v>
      </c>
      <c r="L3810" s="118"/>
      <c r="M3810" s="111">
        <v>3</v>
      </c>
      <c r="N3810" s="117">
        <f t="shared" si="448"/>
        <v>0.61528500000000008</v>
      </c>
      <c r="O3810" s="119">
        <f t="shared" si="449"/>
        <v>0</v>
      </c>
      <c r="P3810" s="120">
        <f>I3810*O3810*H3810/1000</f>
        <v>0</v>
      </c>
      <c r="Q3810" s="130"/>
      <c r="R3810" s="414"/>
      <c r="S3810" s="91"/>
      <c r="T3810" s="32"/>
    </row>
    <row r="3811" spans="2:20" ht="15.6">
      <c r="B3811" s="110" t="s">
        <v>517</v>
      </c>
      <c r="C3811" s="111" t="s">
        <v>505</v>
      </c>
      <c r="D3811" s="112" t="s">
        <v>449</v>
      </c>
      <c r="E3811" s="113" t="s">
        <v>17</v>
      </c>
      <c r="F3811" s="114" t="s">
        <v>15</v>
      </c>
      <c r="G3811" s="115" t="s">
        <v>37</v>
      </c>
      <c r="H3811" s="116">
        <v>18.149999999999999</v>
      </c>
      <c r="I3811" s="125">
        <v>11.7</v>
      </c>
      <c r="J3811" s="111">
        <v>2</v>
      </c>
      <c r="K3811" s="117">
        <f t="shared" si="447"/>
        <v>0.42470999999999992</v>
      </c>
      <c r="L3811" s="118"/>
      <c r="M3811" s="111">
        <v>2</v>
      </c>
      <c r="N3811" s="117">
        <f t="shared" si="448"/>
        <v>0.42470999999999992</v>
      </c>
      <c r="O3811" s="119">
        <f t="shared" si="449"/>
        <v>0</v>
      </c>
      <c r="P3811" s="120">
        <f>I3811*O3811*H3811/1000</f>
        <v>0</v>
      </c>
      <c r="Q3811" s="130"/>
      <c r="R3811" s="414">
        <v>2</v>
      </c>
      <c r="S3811" s="91" t="s">
        <v>540</v>
      </c>
      <c r="T3811" s="32"/>
    </row>
    <row r="3812" spans="2:20">
      <c r="B3812" s="32"/>
      <c r="C3812" s="32"/>
      <c r="D3812" s="32"/>
      <c r="E3812" s="32"/>
      <c r="F3812" s="32"/>
      <c r="G3812" s="32"/>
      <c r="H3812" s="32"/>
      <c r="I3812" s="32"/>
      <c r="J3812" s="171">
        <f>SUM(J3802:J3811)</f>
        <v>106</v>
      </c>
      <c r="K3812" s="132">
        <f>SUM(K3802:K3811)</f>
        <v>22.978807499999998</v>
      </c>
      <c r="L3812" s="32"/>
      <c r="M3812" s="171">
        <f>SUM(M3802:M3811)</f>
        <v>106</v>
      </c>
      <c r="N3812" s="132">
        <f>SUM(N3802:N3811)</f>
        <v>22.978807499999998</v>
      </c>
      <c r="O3812" s="131">
        <f>SUM(O3802:O3811)</f>
        <v>0</v>
      </c>
      <c r="P3812" s="132">
        <f>SUM(P3802:P3811)</f>
        <v>0</v>
      </c>
      <c r="Q3812" s="32"/>
      <c r="R3812" s="131">
        <f>SUM(R3802:R3811)</f>
        <v>4</v>
      </c>
      <c r="S3812" s="32"/>
      <c r="T3812" s="32"/>
    </row>
    <row r="3815" spans="2:20" ht="15.6">
      <c r="B3815" s="110" t="s">
        <v>344</v>
      </c>
      <c r="C3815" s="111" t="s">
        <v>232</v>
      </c>
      <c r="D3815" s="112" t="s">
        <v>228</v>
      </c>
      <c r="E3815" s="113" t="s">
        <v>342</v>
      </c>
      <c r="F3815" s="114" t="s">
        <v>15</v>
      </c>
      <c r="G3815" s="115" t="s">
        <v>39</v>
      </c>
      <c r="H3815" s="116">
        <v>14.7</v>
      </c>
      <c r="I3815" s="125">
        <v>7.3</v>
      </c>
      <c r="J3815" s="111">
        <v>1</v>
      </c>
      <c r="K3815" s="117">
        <f>I3815*H3815*J3815/1000</f>
        <v>0.10730999999999999</v>
      </c>
      <c r="L3815" s="118"/>
      <c r="M3815" s="111">
        <v>1</v>
      </c>
      <c r="N3815" s="117">
        <f t="shared" ref="N3815:N3824" si="451">I3815*M3815*H3815/1000</f>
        <v>0.10730999999999999</v>
      </c>
      <c r="O3815" s="119">
        <f t="shared" ref="O3815:O3826" si="452">J3815-M3815</f>
        <v>0</v>
      </c>
      <c r="P3815" s="120">
        <f t="shared" ref="P3815:P3826" si="453">I3815*O3815*H3815/1000</f>
        <v>0</v>
      </c>
      <c r="Q3815" s="111"/>
      <c r="R3815" s="32"/>
      <c r="S3815" s="213"/>
    </row>
    <row r="3816" spans="2:20" ht="15.6">
      <c r="B3816" s="110" t="s">
        <v>344</v>
      </c>
      <c r="C3816" s="111" t="s">
        <v>232</v>
      </c>
      <c r="D3816" s="112" t="s">
        <v>228</v>
      </c>
      <c r="E3816" s="113" t="s">
        <v>342</v>
      </c>
      <c r="F3816" s="114" t="s">
        <v>15</v>
      </c>
      <c r="G3816" s="115" t="s">
        <v>39</v>
      </c>
      <c r="H3816" s="116">
        <v>14.7</v>
      </c>
      <c r="I3816" s="125">
        <v>7.7</v>
      </c>
      <c r="J3816" s="111">
        <f>23+13+16</f>
        <v>52</v>
      </c>
      <c r="K3816" s="117">
        <f t="shared" ref="K3816:K3826" si="454">I3816*H3816*J3816/1000</f>
        <v>5.8858800000000002</v>
      </c>
      <c r="L3816" s="118"/>
      <c r="M3816" s="111">
        <v>52</v>
      </c>
      <c r="N3816" s="117">
        <f t="shared" si="451"/>
        <v>5.8858800000000002</v>
      </c>
      <c r="O3816" s="119">
        <f t="shared" si="452"/>
        <v>0</v>
      </c>
      <c r="P3816" s="120">
        <f t="shared" si="453"/>
        <v>0</v>
      </c>
      <c r="Q3816" s="111"/>
      <c r="R3816" s="32"/>
      <c r="S3816" s="213"/>
    </row>
    <row r="3817" spans="2:20" ht="15.6">
      <c r="B3817" s="110" t="s">
        <v>344</v>
      </c>
      <c r="C3817" s="111" t="s">
        <v>232</v>
      </c>
      <c r="D3817" s="112" t="s">
        <v>228</v>
      </c>
      <c r="E3817" s="113" t="s">
        <v>342</v>
      </c>
      <c r="F3817" s="114" t="s">
        <v>15</v>
      </c>
      <c r="G3817" s="115" t="s">
        <v>39</v>
      </c>
      <c r="H3817" s="116">
        <v>14.7</v>
      </c>
      <c r="I3817" s="125">
        <v>9.6</v>
      </c>
      <c r="J3817" s="111">
        <f>23+10+7</f>
        <v>40</v>
      </c>
      <c r="K3817" s="117">
        <f t="shared" si="454"/>
        <v>5.6447999999999992</v>
      </c>
      <c r="L3817" s="118"/>
      <c r="M3817" s="111">
        <v>40</v>
      </c>
      <c r="N3817" s="117">
        <f t="shared" si="451"/>
        <v>5.6447999999999992</v>
      </c>
      <c r="O3817" s="119">
        <f t="shared" si="452"/>
        <v>0</v>
      </c>
      <c r="P3817" s="120">
        <f t="shared" si="453"/>
        <v>0</v>
      </c>
      <c r="Q3817" s="111"/>
      <c r="R3817" s="32"/>
      <c r="S3817" s="213"/>
    </row>
    <row r="3818" spans="2:20" ht="15.6">
      <c r="B3818" s="110" t="s">
        <v>344</v>
      </c>
      <c r="C3818" s="111" t="s">
        <v>232</v>
      </c>
      <c r="D3818" s="112" t="s">
        <v>228</v>
      </c>
      <c r="E3818" s="113" t="s">
        <v>342</v>
      </c>
      <c r="F3818" s="114" t="s">
        <v>15</v>
      </c>
      <c r="G3818" s="115" t="s">
        <v>39</v>
      </c>
      <c r="H3818" s="116">
        <v>14.7</v>
      </c>
      <c r="I3818" s="125">
        <v>10.3</v>
      </c>
      <c r="J3818" s="111">
        <f>15+16</f>
        <v>31</v>
      </c>
      <c r="K3818" s="117">
        <f t="shared" si="454"/>
        <v>4.6937100000000003</v>
      </c>
      <c r="L3818" s="118"/>
      <c r="M3818" s="111">
        <f>28+3</f>
        <v>31</v>
      </c>
      <c r="N3818" s="117">
        <f t="shared" si="451"/>
        <v>4.6937100000000003</v>
      </c>
      <c r="O3818" s="119">
        <f t="shared" si="452"/>
        <v>0</v>
      </c>
      <c r="P3818" s="120">
        <f t="shared" si="453"/>
        <v>0</v>
      </c>
      <c r="Q3818" s="111"/>
      <c r="R3818" s="32"/>
      <c r="S3818" s="213"/>
    </row>
    <row r="3819" spans="2:20" ht="15.6">
      <c r="B3819" s="110" t="s">
        <v>344</v>
      </c>
      <c r="C3819" s="111" t="s">
        <v>232</v>
      </c>
      <c r="D3819" s="112" t="s">
        <v>228</v>
      </c>
      <c r="E3819" s="113" t="s">
        <v>342</v>
      </c>
      <c r="F3819" s="114" t="s">
        <v>15</v>
      </c>
      <c r="G3819" s="115" t="s">
        <v>39</v>
      </c>
      <c r="H3819" s="116">
        <v>14.7</v>
      </c>
      <c r="I3819" s="125">
        <v>11</v>
      </c>
      <c r="J3819" s="111">
        <v>13</v>
      </c>
      <c r="K3819" s="117">
        <f t="shared" si="454"/>
        <v>2.1021000000000001</v>
      </c>
      <c r="L3819" s="118"/>
      <c r="M3819" s="111">
        <v>13</v>
      </c>
      <c r="N3819" s="117">
        <f t="shared" si="451"/>
        <v>2.1021000000000001</v>
      </c>
      <c r="O3819" s="119">
        <f t="shared" si="452"/>
        <v>0</v>
      </c>
      <c r="P3819" s="120">
        <f t="shared" si="453"/>
        <v>0</v>
      </c>
      <c r="Q3819" s="111"/>
      <c r="R3819" s="32"/>
      <c r="S3819" s="213"/>
    </row>
    <row r="3820" spans="2:20" ht="15.6">
      <c r="B3820" s="110" t="s">
        <v>344</v>
      </c>
      <c r="C3820" s="111" t="s">
        <v>232</v>
      </c>
      <c r="D3820" s="112" t="s">
        <v>228</v>
      </c>
      <c r="E3820" s="113" t="s">
        <v>342</v>
      </c>
      <c r="F3820" s="114" t="s">
        <v>15</v>
      </c>
      <c r="G3820" s="115" t="s">
        <v>39</v>
      </c>
      <c r="H3820" s="116">
        <v>14.7</v>
      </c>
      <c r="I3820" s="125">
        <v>11.3</v>
      </c>
      <c r="J3820" s="111">
        <f>21+20+18+2</f>
        <v>61</v>
      </c>
      <c r="K3820" s="117">
        <f t="shared" si="454"/>
        <v>10.132710000000001</v>
      </c>
      <c r="L3820" s="118"/>
      <c r="M3820" s="111">
        <f>44+8+1+8</f>
        <v>61</v>
      </c>
      <c r="N3820" s="117">
        <f t="shared" si="451"/>
        <v>10.132710000000001</v>
      </c>
      <c r="O3820" s="145">
        <f t="shared" si="452"/>
        <v>0</v>
      </c>
      <c r="P3820" s="120">
        <f t="shared" si="453"/>
        <v>0</v>
      </c>
      <c r="Q3820" s="94">
        <v>9</v>
      </c>
      <c r="R3820" s="93">
        <v>8</v>
      </c>
      <c r="S3820" s="170" t="s">
        <v>609</v>
      </c>
    </row>
    <row r="3821" spans="2:20" ht="15.6">
      <c r="B3821" s="110" t="s">
        <v>344</v>
      </c>
      <c r="C3821" s="111" t="s">
        <v>232</v>
      </c>
      <c r="D3821" s="112" t="s">
        <v>228</v>
      </c>
      <c r="E3821" s="113" t="s">
        <v>342</v>
      </c>
      <c r="F3821" s="114" t="s">
        <v>15</v>
      </c>
      <c r="G3821" s="115" t="s">
        <v>39</v>
      </c>
      <c r="H3821" s="116">
        <v>14.7</v>
      </c>
      <c r="I3821" s="125">
        <v>11</v>
      </c>
      <c r="J3821" s="111">
        <v>1</v>
      </c>
      <c r="K3821" s="117">
        <f t="shared" si="454"/>
        <v>0.16169999999999998</v>
      </c>
      <c r="L3821" s="118"/>
      <c r="M3821" s="111">
        <v>1</v>
      </c>
      <c r="N3821" s="117">
        <f t="shared" si="451"/>
        <v>0.16169999999999998</v>
      </c>
      <c r="O3821" s="145">
        <f t="shared" si="452"/>
        <v>0</v>
      </c>
      <c r="P3821" s="120">
        <f t="shared" si="453"/>
        <v>0</v>
      </c>
      <c r="Q3821" s="94">
        <v>9</v>
      </c>
      <c r="R3821" s="93">
        <v>1</v>
      </c>
      <c r="S3821" s="170" t="s">
        <v>609</v>
      </c>
    </row>
    <row r="3822" spans="2:20" ht="15.6">
      <c r="B3822" s="110" t="s">
        <v>344</v>
      </c>
      <c r="C3822" s="111" t="s">
        <v>232</v>
      </c>
      <c r="D3822" s="112" t="s">
        <v>228</v>
      </c>
      <c r="E3822" s="113" t="s">
        <v>342</v>
      </c>
      <c r="F3822" s="114" t="s">
        <v>15</v>
      </c>
      <c r="G3822" s="115" t="s">
        <v>39</v>
      </c>
      <c r="H3822" s="116">
        <v>14.7</v>
      </c>
      <c r="I3822" s="125">
        <v>11.7</v>
      </c>
      <c r="J3822" s="111">
        <f>4+3+18+18+13</f>
        <v>56</v>
      </c>
      <c r="K3822" s="117">
        <f t="shared" si="454"/>
        <v>9.6314399999999996</v>
      </c>
      <c r="L3822" s="118"/>
      <c r="M3822" s="111">
        <f>52+4</f>
        <v>56</v>
      </c>
      <c r="N3822" s="117">
        <f t="shared" si="451"/>
        <v>9.6314399999999996</v>
      </c>
      <c r="O3822" s="145">
        <f t="shared" si="452"/>
        <v>0</v>
      </c>
      <c r="P3822" s="120">
        <f t="shared" si="453"/>
        <v>0</v>
      </c>
      <c r="Q3822" s="94">
        <v>9</v>
      </c>
      <c r="R3822" s="93">
        <v>4</v>
      </c>
      <c r="S3822" s="170" t="s">
        <v>609</v>
      </c>
    </row>
    <row r="3823" spans="2:20" ht="15.6">
      <c r="B3823" s="110" t="s">
        <v>344</v>
      </c>
      <c r="C3823" s="111" t="s">
        <v>232</v>
      </c>
      <c r="D3823" s="112" t="s">
        <v>228</v>
      </c>
      <c r="E3823" s="113" t="s">
        <v>342</v>
      </c>
      <c r="F3823" s="114" t="s">
        <v>15</v>
      </c>
      <c r="G3823" s="115" t="s">
        <v>39</v>
      </c>
      <c r="H3823" s="116">
        <v>14.7</v>
      </c>
      <c r="I3823" s="125">
        <v>8</v>
      </c>
      <c r="J3823" s="111">
        <v>1</v>
      </c>
      <c r="K3823" s="117">
        <f t="shared" si="454"/>
        <v>0.1176</v>
      </c>
      <c r="L3823" s="118"/>
      <c r="M3823" s="111"/>
      <c r="N3823" s="117">
        <f t="shared" si="451"/>
        <v>0</v>
      </c>
      <c r="O3823" s="119">
        <f t="shared" si="452"/>
        <v>1</v>
      </c>
      <c r="P3823" s="120">
        <f t="shared" si="453"/>
        <v>0.1176</v>
      </c>
      <c r="Q3823" s="94"/>
      <c r="R3823" s="93"/>
      <c r="S3823" s="170"/>
    </row>
    <row r="3824" spans="2:20" ht="15.6">
      <c r="B3824" s="110" t="s">
        <v>344</v>
      </c>
      <c r="C3824" s="111" t="s">
        <v>232</v>
      </c>
      <c r="D3824" s="112" t="s">
        <v>228</v>
      </c>
      <c r="E3824" s="113" t="s">
        <v>342</v>
      </c>
      <c r="F3824" s="114" t="s">
        <v>15</v>
      </c>
      <c r="G3824" s="115" t="s">
        <v>39</v>
      </c>
      <c r="H3824" s="116">
        <v>14.7</v>
      </c>
      <c r="I3824" s="125">
        <v>9.4</v>
      </c>
      <c r="J3824" s="111">
        <v>1</v>
      </c>
      <c r="K3824" s="117">
        <f t="shared" si="454"/>
        <v>0.13818</v>
      </c>
      <c r="L3824" s="118"/>
      <c r="M3824" s="111">
        <v>1</v>
      </c>
      <c r="N3824" s="117">
        <f t="shared" si="451"/>
        <v>0.13818</v>
      </c>
      <c r="O3824" s="145">
        <f t="shared" si="452"/>
        <v>0</v>
      </c>
      <c r="P3824" s="120">
        <f t="shared" si="453"/>
        <v>0</v>
      </c>
      <c r="Q3824" s="94">
        <v>9</v>
      </c>
      <c r="R3824" s="93">
        <v>1</v>
      </c>
      <c r="S3824" s="170" t="s">
        <v>609</v>
      </c>
    </row>
    <row r="3825" spans="1:19" ht="15.6">
      <c r="B3825" s="110" t="s">
        <v>344</v>
      </c>
      <c r="C3825" s="111" t="s">
        <v>232</v>
      </c>
      <c r="D3825" s="112" t="s">
        <v>228</v>
      </c>
      <c r="E3825" s="113" t="s">
        <v>342</v>
      </c>
      <c r="F3825" s="114" t="s">
        <v>15</v>
      </c>
      <c r="G3825" s="115" t="s">
        <v>39</v>
      </c>
      <c r="H3825" s="116">
        <v>14.7</v>
      </c>
      <c r="I3825" s="125">
        <v>10</v>
      </c>
      <c r="J3825" s="111">
        <v>1</v>
      </c>
      <c r="K3825" s="117">
        <f t="shared" si="454"/>
        <v>0.14699999999999999</v>
      </c>
      <c r="L3825" s="118"/>
      <c r="M3825" s="111">
        <v>1</v>
      </c>
      <c r="N3825" s="117">
        <f>I3825*M3825*H3825/1000</f>
        <v>0.14699999999999999</v>
      </c>
      <c r="O3825" s="119">
        <f t="shared" si="452"/>
        <v>0</v>
      </c>
      <c r="P3825" s="120">
        <f t="shared" si="453"/>
        <v>0</v>
      </c>
      <c r="Q3825" s="111"/>
      <c r="R3825" s="32"/>
      <c r="S3825" s="213"/>
    </row>
    <row r="3826" spans="1:19" ht="15.6">
      <c r="B3826" s="110" t="s">
        <v>344</v>
      </c>
      <c r="C3826" s="111" t="s">
        <v>232</v>
      </c>
      <c r="D3826" s="112" t="s">
        <v>228</v>
      </c>
      <c r="E3826" s="113" t="s">
        <v>342</v>
      </c>
      <c r="F3826" s="114" t="s">
        <v>15</v>
      </c>
      <c r="G3826" s="115" t="s">
        <v>39</v>
      </c>
      <c r="H3826" s="116">
        <v>14.7</v>
      </c>
      <c r="I3826" s="125">
        <v>7</v>
      </c>
      <c r="J3826" s="111">
        <v>1</v>
      </c>
      <c r="K3826" s="117">
        <f t="shared" si="454"/>
        <v>0.10289999999999999</v>
      </c>
      <c r="L3826" s="118"/>
      <c r="M3826" s="111"/>
      <c r="N3826" s="117">
        <f>I3826*M3826*H3826/1000</f>
        <v>0</v>
      </c>
      <c r="O3826" s="119">
        <f t="shared" si="452"/>
        <v>1</v>
      </c>
      <c r="P3826" s="120">
        <f t="shared" si="453"/>
        <v>0.10289999999999999</v>
      </c>
      <c r="Q3826" s="111"/>
      <c r="R3826" s="32"/>
      <c r="S3826" s="213"/>
    </row>
    <row r="3827" spans="1:19">
      <c r="B3827" s="32"/>
      <c r="C3827" s="32"/>
      <c r="D3827" s="32"/>
      <c r="E3827" s="32"/>
      <c r="F3827" s="32"/>
      <c r="G3827" s="32"/>
      <c r="H3827" s="32"/>
      <c r="I3827" s="32"/>
      <c r="J3827" s="129">
        <f>SUM(J3815:J3826)</f>
        <v>259</v>
      </c>
      <c r="K3827" s="124">
        <f>SUM(K3815:K3826)</f>
        <v>38.86533</v>
      </c>
      <c r="L3827" s="32"/>
      <c r="M3827" s="129">
        <f>SUM(M3815:M3826)</f>
        <v>257</v>
      </c>
      <c r="N3827" s="124">
        <f>SUM(N3815:N3826)</f>
        <v>38.644829999999999</v>
      </c>
      <c r="O3827" s="131">
        <f>SUM(O3815:O3826)</f>
        <v>2</v>
      </c>
      <c r="P3827" s="132">
        <f>SUM(P3815:P3826)</f>
        <v>0.22049999999999997</v>
      </c>
      <c r="Q3827" s="32"/>
      <c r="R3827" s="131">
        <f>SUM(R3815:R3826)</f>
        <v>14</v>
      </c>
      <c r="S3827" s="213"/>
    </row>
    <row r="3831" spans="1:19">
      <c r="A3831" s="42" t="s">
        <v>84</v>
      </c>
      <c r="B3831" s="3" t="s">
        <v>124</v>
      </c>
      <c r="C3831" s="3">
        <v>3</v>
      </c>
      <c r="D3831" s="1"/>
      <c r="E3831" s="20" t="s">
        <v>85</v>
      </c>
      <c r="F3831" s="7" t="s">
        <v>15</v>
      </c>
      <c r="G3831" s="7" t="s">
        <v>35</v>
      </c>
      <c r="H3831" s="11">
        <v>16.579999999999998</v>
      </c>
      <c r="I3831" s="8">
        <v>7.3</v>
      </c>
      <c r="J3831" s="26">
        <v>8</v>
      </c>
      <c r="K3831" s="10">
        <v>0.9682719999999998</v>
      </c>
      <c r="L3831" s="4"/>
      <c r="M3831" s="17">
        <v>6</v>
      </c>
      <c r="N3831" s="18">
        <v>0.72620399999999985</v>
      </c>
      <c r="O3831" s="19">
        <v>2</v>
      </c>
      <c r="P3831" s="13">
        <v>0.24206799999999995</v>
      </c>
      <c r="Q3831" s="9"/>
      <c r="R3831" s="2"/>
      <c r="S3831" s="2"/>
    </row>
    <row r="3832" spans="1:19">
      <c r="A3832" s="42" t="s">
        <v>84</v>
      </c>
      <c r="B3832" s="3" t="s">
        <v>124</v>
      </c>
      <c r="C3832" s="3">
        <v>6</v>
      </c>
      <c r="D3832" s="1"/>
      <c r="E3832" s="20" t="s">
        <v>76</v>
      </c>
      <c r="F3832" s="7" t="s">
        <v>15</v>
      </c>
      <c r="G3832" s="7" t="s">
        <v>35</v>
      </c>
      <c r="H3832" s="11">
        <v>16.579999999999998</v>
      </c>
      <c r="I3832" s="8">
        <v>8.15</v>
      </c>
      <c r="J3832" s="26">
        <v>15</v>
      </c>
      <c r="K3832" s="10">
        <v>2.0269049999999997</v>
      </c>
      <c r="L3832" s="4"/>
      <c r="M3832" s="17">
        <v>15</v>
      </c>
      <c r="N3832" s="18">
        <v>2.0269049999999997</v>
      </c>
      <c r="O3832" s="19">
        <v>0</v>
      </c>
      <c r="P3832" s="13">
        <v>0</v>
      </c>
      <c r="Q3832" s="73">
        <v>8.15</v>
      </c>
      <c r="R3832" s="74">
        <v>11</v>
      </c>
      <c r="S3832" s="74" t="s">
        <v>540</v>
      </c>
    </row>
    <row r="3834" spans="1:19" s="213" customFormat="1"/>
    <row r="3835" spans="1:19" s="213" customFormat="1">
      <c r="A3835" s="42" t="s">
        <v>84</v>
      </c>
      <c r="B3835" s="3" t="s">
        <v>122</v>
      </c>
      <c r="C3835" s="3">
        <v>3</v>
      </c>
      <c r="D3835" s="1"/>
      <c r="E3835" s="20" t="s">
        <v>85</v>
      </c>
      <c r="F3835" s="7" t="s">
        <v>15</v>
      </c>
      <c r="G3835" s="7" t="s">
        <v>35</v>
      </c>
      <c r="H3835" s="11">
        <v>16.579999999999998</v>
      </c>
      <c r="I3835" s="8">
        <v>7.3</v>
      </c>
      <c r="J3835" s="26">
        <v>1</v>
      </c>
      <c r="K3835" s="10">
        <v>0.12103399999999997</v>
      </c>
      <c r="L3835" s="4"/>
      <c r="M3835" s="17">
        <v>1</v>
      </c>
      <c r="N3835" s="18">
        <v>0.12103399999999997</v>
      </c>
      <c r="O3835" s="19">
        <v>0</v>
      </c>
      <c r="P3835" s="13">
        <v>0</v>
      </c>
      <c r="Q3835" s="73">
        <v>6.1</v>
      </c>
      <c r="R3835" s="74">
        <v>1</v>
      </c>
      <c r="S3835" s="74" t="s">
        <v>604</v>
      </c>
    </row>
    <row r="3836" spans="1:19" s="213" customFormat="1">
      <c r="A3836" s="42" t="s">
        <v>84</v>
      </c>
      <c r="B3836" s="3" t="s">
        <v>122</v>
      </c>
      <c r="C3836" s="3">
        <v>4</v>
      </c>
      <c r="D3836" s="1"/>
      <c r="E3836" s="20" t="s">
        <v>85</v>
      </c>
      <c r="F3836" s="7" t="s">
        <v>15</v>
      </c>
      <c r="G3836" s="7" t="s">
        <v>35</v>
      </c>
      <c r="H3836" s="11">
        <v>16.579999999999998</v>
      </c>
      <c r="I3836" s="8">
        <v>9.1999999999999993</v>
      </c>
      <c r="J3836" s="26">
        <v>9</v>
      </c>
      <c r="K3836" s="10">
        <v>1.3728239999999998</v>
      </c>
      <c r="L3836" s="4"/>
      <c r="M3836" s="17">
        <v>9</v>
      </c>
      <c r="N3836" s="18">
        <v>1.3728239999999998</v>
      </c>
      <c r="O3836" s="19">
        <v>0</v>
      </c>
      <c r="P3836" s="13">
        <v>0</v>
      </c>
      <c r="Q3836" s="73">
        <v>8.4</v>
      </c>
      <c r="R3836" s="74">
        <v>9</v>
      </c>
      <c r="S3836" s="74" t="s">
        <v>604</v>
      </c>
    </row>
    <row r="3837" spans="1:19" s="213" customFormat="1">
      <c r="A3837" s="42" t="s">
        <v>84</v>
      </c>
      <c r="B3837" s="3" t="s">
        <v>122</v>
      </c>
      <c r="C3837" s="3">
        <v>5</v>
      </c>
      <c r="D3837" s="1"/>
      <c r="E3837" s="20" t="s">
        <v>85</v>
      </c>
      <c r="F3837" s="7" t="s">
        <v>15</v>
      </c>
      <c r="G3837" s="7" t="s">
        <v>35</v>
      </c>
      <c r="H3837" s="11">
        <v>16.579999999999998</v>
      </c>
      <c r="I3837" s="8">
        <v>5</v>
      </c>
      <c r="J3837" s="26">
        <v>1</v>
      </c>
      <c r="K3837" s="10">
        <v>8.2899999999999988E-2</v>
      </c>
      <c r="L3837" s="4"/>
      <c r="M3837" s="17"/>
      <c r="N3837" s="18">
        <v>0</v>
      </c>
      <c r="O3837" s="19">
        <v>1</v>
      </c>
      <c r="P3837" s="13">
        <v>8.2899999999999988E-2</v>
      </c>
      <c r="Q3837" s="73"/>
      <c r="R3837" s="74"/>
      <c r="S3837" s="74"/>
    </row>
    <row r="3838" spans="1:19" s="213" customFormat="1">
      <c r="A3838" s="42" t="s">
        <v>84</v>
      </c>
      <c r="B3838" s="3" t="s">
        <v>122</v>
      </c>
      <c r="C3838" s="3">
        <v>5</v>
      </c>
      <c r="D3838" s="1"/>
      <c r="E3838" s="20" t="s">
        <v>85</v>
      </c>
      <c r="F3838" s="7" t="s">
        <v>15</v>
      </c>
      <c r="G3838" s="7" t="s">
        <v>35</v>
      </c>
      <c r="H3838" s="11">
        <v>16.579999999999998</v>
      </c>
      <c r="I3838" s="8">
        <v>6.5</v>
      </c>
      <c r="J3838" s="26">
        <v>2</v>
      </c>
      <c r="K3838" s="10">
        <v>0.21553999999999995</v>
      </c>
      <c r="L3838" s="4"/>
      <c r="M3838" s="17">
        <v>2</v>
      </c>
      <c r="N3838" s="18">
        <v>0.21553999999999995</v>
      </c>
      <c r="O3838" s="19">
        <v>0</v>
      </c>
      <c r="P3838" s="13">
        <v>0</v>
      </c>
      <c r="Q3838" s="73">
        <v>6.1</v>
      </c>
      <c r="R3838" s="74">
        <v>2</v>
      </c>
      <c r="S3838" s="74" t="s">
        <v>604</v>
      </c>
    </row>
    <row r="3839" spans="1:19" s="213" customFormat="1">
      <c r="A3839" s="42" t="s">
        <v>84</v>
      </c>
      <c r="B3839" s="3" t="s">
        <v>122</v>
      </c>
      <c r="C3839" s="3">
        <v>5</v>
      </c>
      <c r="D3839" s="1"/>
      <c r="E3839" s="20" t="s">
        <v>85</v>
      </c>
      <c r="F3839" s="7" t="s">
        <v>15</v>
      </c>
      <c r="G3839" s="7" t="s">
        <v>35</v>
      </c>
      <c r="H3839" s="11">
        <v>16.579999999999998</v>
      </c>
      <c r="I3839" s="8">
        <v>6.6</v>
      </c>
      <c r="J3839" s="26">
        <v>2</v>
      </c>
      <c r="K3839" s="10">
        <v>0.21885599999999997</v>
      </c>
      <c r="L3839" s="4"/>
      <c r="M3839" s="17">
        <v>2</v>
      </c>
      <c r="N3839" s="18">
        <v>0.21885599999999997</v>
      </c>
      <c r="O3839" s="19">
        <v>0</v>
      </c>
      <c r="P3839" s="13">
        <v>0</v>
      </c>
      <c r="Q3839" s="73">
        <v>6.1</v>
      </c>
      <c r="R3839" s="74">
        <v>2</v>
      </c>
      <c r="S3839" s="74" t="s">
        <v>604</v>
      </c>
    </row>
    <row r="3840" spans="1:19" s="213" customFormat="1">
      <c r="A3840" s="42" t="s">
        <v>84</v>
      </c>
      <c r="B3840" s="3" t="s">
        <v>122</v>
      </c>
      <c r="C3840" s="3">
        <v>5</v>
      </c>
      <c r="D3840" s="1"/>
      <c r="E3840" s="20" t="s">
        <v>85</v>
      </c>
      <c r="F3840" s="7" t="s">
        <v>15</v>
      </c>
      <c r="G3840" s="7" t="s">
        <v>35</v>
      </c>
      <c r="H3840" s="11">
        <v>16.579999999999998</v>
      </c>
      <c r="I3840" s="8">
        <v>6.7</v>
      </c>
      <c r="J3840" s="26">
        <v>2</v>
      </c>
      <c r="K3840" s="10">
        <v>0.22217200000000001</v>
      </c>
      <c r="L3840" s="4"/>
      <c r="M3840" s="17">
        <v>2</v>
      </c>
      <c r="N3840" s="18">
        <v>0.22217200000000001</v>
      </c>
      <c r="O3840" s="19">
        <v>0</v>
      </c>
      <c r="P3840" s="13">
        <v>0</v>
      </c>
      <c r="Q3840" s="73">
        <v>6.1</v>
      </c>
      <c r="R3840" s="74">
        <v>2</v>
      </c>
      <c r="S3840" s="74" t="s">
        <v>604</v>
      </c>
    </row>
    <row r="3841" spans="1:19" s="213" customFormat="1">
      <c r="A3841" s="42" t="s">
        <v>84</v>
      </c>
      <c r="B3841" s="3" t="s">
        <v>122</v>
      </c>
      <c r="C3841" s="3">
        <v>5</v>
      </c>
      <c r="D3841" s="1"/>
      <c r="E3841" s="20" t="s">
        <v>85</v>
      </c>
      <c r="F3841" s="7" t="s">
        <v>15</v>
      </c>
      <c r="G3841" s="7" t="s">
        <v>35</v>
      </c>
      <c r="H3841" s="11">
        <v>16.579999999999998</v>
      </c>
      <c r="I3841" s="8">
        <v>6.8</v>
      </c>
      <c r="J3841" s="26">
        <v>5</v>
      </c>
      <c r="K3841" s="10">
        <v>0.56371999999999989</v>
      </c>
      <c r="L3841" s="4"/>
      <c r="M3841" s="17">
        <v>5</v>
      </c>
      <c r="N3841" s="18">
        <v>0.56371999999999989</v>
      </c>
      <c r="O3841" s="19">
        <v>0</v>
      </c>
      <c r="P3841" s="13">
        <v>0</v>
      </c>
      <c r="Q3841" s="73">
        <v>6.75</v>
      </c>
      <c r="R3841" s="74">
        <v>5</v>
      </c>
      <c r="S3841" s="74" t="s">
        <v>611</v>
      </c>
    </row>
    <row r="3842" spans="1:19" s="213" customFormat="1">
      <c r="A3842" s="42" t="s">
        <v>84</v>
      </c>
      <c r="B3842" s="3" t="s">
        <v>122</v>
      </c>
      <c r="C3842" s="3">
        <v>5</v>
      </c>
      <c r="D3842" s="1"/>
      <c r="E3842" s="20" t="s">
        <v>85</v>
      </c>
      <c r="F3842" s="7" t="s">
        <v>15</v>
      </c>
      <c r="G3842" s="7" t="s">
        <v>35</v>
      </c>
      <c r="H3842" s="11">
        <v>16.579999999999998</v>
      </c>
      <c r="I3842" s="8">
        <v>7.1</v>
      </c>
      <c r="J3842" s="26">
        <v>1</v>
      </c>
      <c r="K3842" s="10">
        <v>0.11771799999999998</v>
      </c>
      <c r="L3842" s="4"/>
      <c r="M3842" s="17">
        <v>1</v>
      </c>
      <c r="N3842" s="18">
        <v>0.11771799999999998</v>
      </c>
      <c r="O3842" s="19">
        <v>0</v>
      </c>
      <c r="P3842" s="13">
        <v>0</v>
      </c>
      <c r="Q3842" s="73">
        <v>6.75</v>
      </c>
      <c r="R3842" s="74">
        <v>1</v>
      </c>
      <c r="S3842" s="74" t="s">
        <v>611</v>
      </c>
    </row>
    <row r="3843" spans="1:19" s="213" customFormat="1">
      <c r="A3843" s="42" t="s">
        <v>84</v>
      </c>
      <c r="B3843" s="3" t="s">
        <v>122</v>
      </c>
      <c r="C3843" s="3">
        <v>5</v>
      </c>
      <c r="D3843" s="1"/>
      <c r="E3843" s="20" t="s">
        <v>85</v>
      </c>
      <c r="F3843" s="7" t="s">
        <v>15</v>
      </c>
      <c r="G3843" s="7" t="s">
        <v>35</v>
      </c>
      <c r="H3843" s="11">
        <v>16.579999999999998</v>
      </c>
      <c r="I3843" s="8">
        <v>8.1999999999999993</v>
      </c>
      <c r="J3843" s="26">
        <v>4</v>
      </c>
      <c r="K3843" s="10">
        <v>0.54382399999999986</v>
      </c>
      <c r="L3843" s="4"/>
      <c r="M3843" s="17">
        <v>4</v>
      </c>
      <c r="N3843" s="18">
        <v>0.54382399999999986</v>
      </c>
      <c r="O3843" s="19">
        <v>0</v>
      </c>
      <c r="P3843" s="13">
        <v>0</v>
      </c>
      <c r="Q3843" s="73">
        <v>6.75</v>
      </c>
      <c r="R3843" s="74">
        <v>4</v>
      </c>
      <c r="S3843" s="74" t="s">
        <v>611</v>
      </c>
    </row>
    <row r="3844" spans="1:19" s="213" customFormat="1">
      <c r="A3844" s="42" t="s">
        <v>84</v>
      </c>
      <c r="B3844" s="3" t="s">
        <v>122</v>
      </c>
      <c r="C3844" s="3">
        <v>17</v>
      </c>
      <c r="D3844" s="1"/>
      <c r="E3844" s="20" t="s">
        <v>85</v>
      </c>
      <c r="F3844" s="7" t="s">
        <v>15</v>
      </c>
      <c r="G3844" s="7" t="s">
        <v>35</v>
      </c>
      <c r="H3844" s="11">
        <v>16.579999999999998</v>
      </c>
      <c r="I3844" s="8">
        <v>8.15</v>
      </c>
      <c r="J3844" s="26">
        <v>18</v>
      </c>
      <c r="K3844" s="10">
        <v>2.4322859999999995</v>
      </c>
      <c r="L3844" s="4"/>
      <c r="M3844" s="22">
        <v>16</v>
      </c>
      <c r="N3844" s="18">
        <v>2.1620319999999995</v>
      </c>
      <c r="O3844" s="19">
        <v>2</v>
      </c>
      <c r="P3844" s="13">
        <v>0.27025399999999994</v>
      </c>
      <c r="Q3844" s="73" t="s">
        <v>610</v>
      </c>
      <c r="R3844" s="74">
        <v>16</v>
      </c>
      <c r="S3844" s="74" t="s">
        <v>612</v>
      </c>
    </row>
    <row r="3845" spans="1:19" s="213" customFormat="1">
      <c r="A3845" s="42" t="s">
        <v>84</v>
      </c>
      <c r="B3845" s="3" t="s">
        <v>122</v>
      </c>
      <c r="C3845" s="3">
        <v>17</v>
      </c>
      <c r="D3845" s="1"/>
      <c r="E3845" s="20" t="s">
        <v>85</v>
      </c>
      <c r="F3845" s="7" t="s">
        <v>15</v>
      </c>
      <c r="G3845" s="7" t="s">
        <v>35</v>
      </c>
      <c r="H3845" s="11">
        <v>16.579999999999998</v>
      </c>
      <c r="I3845" s="8">
        <v>8.15</v>
      </c>
      <c r="J3845" s="26">
        <v>18</v>
      </c>
      <c r="K3845" s="10">
        <v>2.4322859999999995</v>
      </c>
      <c r="L3845" s="4"/>
      <c r="M3845" s="22"/>
      <c r="N3845" s="18">
        <v>0</v>
      </c>
      <c r="O3845" s="19">
        <v>18</v>
      </c>
      <c r="P3845" s="13">
        <v>2.4322859999999999</v>
      </c>
      <c r="Q3845" s="9"/>
      <c r="R3845" s="2"/>
      <c r="S3845" s="2"/>
    </row>
    <row r="3846" spans="1:19" s="213" customFormat="1">
      <c r="A3846" s="42" t="s">
        <v>84</v>
      </c>
      <c r="B3846" s="3" t="s">
        <v>122</v>
      </c>
      <c r="C3846" s="3">
        <v>17</v>
      </c>
      <c r="D3846" s="1"/>
      <c r="E3846" s="20" t="s">
        <v>85</v>
      </c>
      <c r="F3846" s="7" t="s">
        <v>15</v>
      </c>
      <c r="G3846" s="7" t="s">
        <v>35</v>
      </c>
      <c r="H3846" s="11">
        <v>16.579999999999998</v>
      </c>
      <c r="I3846" s="8">
        <v>8.15</v>
      </c>
      <c r="J3846" s="26">
        <v>18</v>
      </c>
      <c r="K3846" s="10">
        <v>2.4322859999999995</v>
      </c>
      <c r="L3846" s="4"/>
      <c r="M3846" s="22"/>
      <c r="N3846" s="18">
        <v>0</v>
      </c>
      <c r="O3846" s="19">
        <v>18</v>
      </c>
      <c r="P3846" s="13">
        <v>2.4322859999999999</v>
      </c>
      <c r="Q3846" s="9"/>
      <c r="R3846" s="2"/>
      <c r="S3846" s="2"/>
    </row>
    <row r="3847" spans="1:19" s="213" customFormat="1">
      <c r="A3847" s="42" t="s">
        <v>84</v>
      </c>
      <c r="B3847" s="3" t="s">
        <v>122</v>
      </c>
      <c r="C3847" s="3">
        <v>17</v>
      </c>
      <c r="D3847" s="1"/>
      <c r="E3847" s="20" t="s">
        <v>85</v>
      </c>
      <c r="F3847" s="7" t="s">
        <v>15</v>
      </c>
      <c r="G3847" s="7" t="s">
        <v>35</v>
      </c>
      <c r="H3847" s="11">
        <v>16.579999999999998</v>
      </c>
      <c r="I3847" s="8">
        <v>8.15</v>
      </c>
      <c r="J3847" s="26">
        <v>20</v>
      </c>
      <c r="K3847" s="10">
        <v>2.7025399999999995</v>
      </c>
      <c r="L3847" s="4"/>
      <c r="M3847" s="22"/>
      <c r="N3847" s="18">
        <v>0</v>
      </c>
      <c r="O3847" s="19">
        <v>20</v>
      </c>
      <c r="P3847" s="13">
        <v>2.7025399999999995</v>
      </c>
      <c r="Q3847" s="9"/>
      <c r="R3847" s="2"/>
      <c r="S3847" s="2"/>
    </row>
    <row r="3848" spans="1:19" s="213" customFormat="1">
      <c r="A3848" s="42" t="s">
        <v>84</v>
      </c>
      <c r="B3848" s="3" t="s">
        <v>124</v>
      </c>
      <c r="C3848" s="3">
        <v>3</v>
      </c>
      <c r="D3848" s="1"/>
      <c r="E3848" s="20" t="s">
        <v>85</v>
      </c>
      <c r="F3848" s="7" t="s">
        <v>15</v>
      </c>
      <c r="G3848" s="7" t="s">
        <v>35</v>
      </c>
      <c r="H3848" s="11">
        <v>16.579999999999998</v>
      </c>
      <c r="I3848" s="8">
        <v>7.3</v>
      </c>
      <c r="J3848" s="26">
        <v>8</v>
      </c>
      <c r="K3848" s="10">
        <v>0.9682719999999998</v>
      </c>
      <c r="L3848" s="4"/>
      <c r="M3848" s="17">
        <v>6</v>
      </c>
      <c r="N3848" s="18">
        <v>0.72620399999999985</v>
      </c>
      <c r="O3848" s="19">
        <v>2</v>
      </c>
      <c r="P3848" s="13">
        <v>0.24206799999999995</v>
      </c>
      <c r="Q3848" s="9"/>
      <c r="R3848" s="2"/>
      <c r="S3848" s="2"/>
    </row>
    <row r="3849" spans="1:19">
      <c r="O3849" s="215">
        <f>SUM(O3835:O3848)</f>
        <v>61</v>
      </c>
      <c r="R3849" s="215">
        <f>SUM(R3835:R3848)</f>
        <v>42</v>
      </c>
    </row>
    <row r="3851" spans="1:19">
      <c r="B3851" s="110" t="s">
        <v>303</v>
      </c>
      <c r="C3851" s="111" t="s">
        <v>232</v>
      </c>
      <c r="D3851" s="112" t="s">
        <v>228</v>
      </c>
      <c r="E3851" s="113" t="s">
        <v>24</v>
      </c>
      <c r="F3851" s="175" t="s">
        <v>14</v>
      </c>
      <c r="G3851" s="175" t="s">
        <v>35</v>
      </c>
      <c r="H3851" s="176">
        <v>16.579999999999998</v>
      </c>
      <c r="I3851" s="177">
        <v>6.75</v>
      </c>
      <c r="J3851" s="178">
        <v>7</v>
      </c>
      <c r="K3851" s="174">
        <f t="shared" ref="K3851:K3856" si="455">(H3851*I3851*J3851/1000)</f>
        <v>0.78340500000000002</v>
      </c>
      <c r="L3851" s="118"/>
      <c r="M3851" s="111">
        <v>5</v>
      </c>
      <c r="N3851" s="117">
        <f t="shared" ref="N3851:N3856" si="456">I3851*M3851*H3851/1000</f>
        <v>0.55957499999999993</v>
      </c>
      <c r="O3851" s="119">
        <f t="shared" ref="O3851:O3856" si="457">J3851-M3851</f>
        <v>2</v>
      </c>
      <c r="P3851" s="120">
        <f t="shared" ref="P3851:P3856" si="458">I3851*O3851*H3851/1000</f>
        <v>0.22382999999999997</v>
      </c>
      <c r="Q3851" s="159"/>
      <c r="R3851" s="111"/>
      <c r="S3851" s="111"/>
    </row>
    <row r="3852" spans="1:19">
      <c r="B3852" s="110" t="s">
        <v>303</v>
      </c>
      <c r="C3852" s="111" t="s">
        <v>232</v>
      </c>
      <c r="D3852" s="112" t="s">
        <v>228</v>
      </c>
      <c r="E3852" s="113" t="s">
        <v>24</v>
      </c>
      <c r="F3852" s="175" t="s">
        <v>14</v>
      </c>
      <c r="G3852" s="175" t="s">
        <v>35</v>
      </c>
      <c r="H3852" s="176">
        <v>16.579999999999998</v>
      </c>
      <c r="I3852" s="177">
        <v>8</v>
      </c>
      <c r="J3852" s="178">
        <v>5</v>
      </c>
      <c r="K3852" s="174">
        <f t="shared" si="455"/>
        <v>0.6631999999999999</v>
      </c>
      <c r="L3852" s="118"/>
      <c r="M3852" s="111">
        <v>4</v>
      </c>
      <c r="N3852" s="117">
        <f t="shared" si="456"/>
        <v>0.53055999999999992</v>
      </c>
      <c r="O3852" s="119">
        <f t="shared" si="457"/>
        <v>1</v>
      </c>
      <c r="P3852" s="120">
        <f t="shared" si="458"/>
        <v>0.13263999999999998</v>
      </c>
      <c r="Q3852" s="159"/>
      <c r="R3852" s="111"/>
      <c r="S3852" s="111"/>
    </row>
    <row r="3853" spans="1:19">
      <c r="B3853" s="110" t="s">
        <v>303</v>
      </c>
      <c r="C3853" s="111" t="s">
        <v>232</v>
      </c>
      <c r="D3853" s="112" t="s">
        <v>228</v>
      </c>
      <c r="E3853" s="113" t="s">
        <v>24</v>
      </c>
      <c r="F3853" s="175" t="s">
        <v>14</v>
      </c>
      <c r="G3853" s="175" t="s">
        <v>35</v>
      </c>
      <c r="H3853" s="176">
        <v>16.579999999999998</v>
      </c>
      <c r="I3853" s="177">
        <v>10</v>
      </c>
      <c r="J3853" s="178">
        <v>8</v>
      </c>
      <c r="K3853" s="174">
        <f t="shared" si="455"/>
        <v>1.3263999999999998</v>
      </c>
      <c r="L3853" s="118"/>
      <c r="M3853" s="111">
        <f>7+1</f>
        <v>8</v>
      </c>
      <c r="N3853" s="117">
        <f t="shared" si="456"/>
        <v>1.3263999999999998</v>
      </c>
      <c r="O3853" s="145">
        <f t="shared" si="457"/>
        <v>0</v>
      </c>
      <c r="P3853" s="120">
        <f t="shared" si="458"/>
        <v>0</v>
      </c>
      <c r="Q3853" s="98">
        <v>10</v>
      </c>
      <c r="R3853" s="91">
        <v>1</v>
      </c>
      <c r="S3853" s="91" t="s">
        <v>539</v>
      </c>
    </row>
    <row r="3854" spans="1:19">
      <c r="B3854" s="110" t="s">
        <v>303</v>
      </c>
      <c r="C3854" s="111" t="s">
        <v>232</v>
      </c>
      <c r="D3854" s="112" t="s">
        <v>228</v>
      </c>
      <c r="E3854" s="113" t="s">
        <v>24</v>
      </c>
      <c r="F3854" s="175" t="s">
        <v>14</v>
      </c>
      <c r="G3854" s="175" t="s">
        <v>35</v>
      </c>
      <c r="H3854" s="176">
        <v>16.579999999999998</v>
      </c>
      <c r="I3854" s="177">
        <v>11</v>
      </c>
      <c r="J3854" s="178">
        <v>3</v>
      </c>
      <c r="K3854" s="174">
        <f t="shared" si="455"/>
        <v>0.54713999999999996</v>
      </c>
      <c r="L3854" s="118"/>
      <c r="M3854" s="111">
        <f>1+2</f>
        <v>3</v>
      </c>
      <c r="N3854" s="117">
        <f t="shared" si="456"/>
        <v>0.54713999999999996</v>
      </c>
      <c r="O3854" s="145">
        <f t="shared" si="457"/>
        <v>0</v>
      </c>
      <c r="P3854" s="120">
        <f t="shared" si="458"/>
        <v>0</v>
      </c>
      <c r="Q3854" s="98">
        <v>11</v>
      </c>
      <c r="R3854" s="91">
        <v>2</v>
      </c>
      <c r="S3854" s="91" t="s">
        <v>539</v>
      </c>
    </row>
    <row r="3855" spans="1:19">
      <c r="B3855" s="110" t="s">
        <v>303</v>
      </c>
      <c r="C3855" s="111" t="s">
        <v>232</v>
      </c>
      <c r="D3855" s="112" t="s">
        <v>228</v>
      </c>
      <c r="E3855" s="113" t="s">
        <v>24</v>
      </c>
      <c r="F3855" s="175" t="s">
        <v>14</v>
      </c>
      <c r="G3855" s="175" t="s">
        <v>35</v>
      </c>
      <c r="H3855" s="176">
        <v>16.579999999999998</v>
      </c>
      <c r="I3855" s="177">
        <v>12</v>
      </c>
      <c r="J3855" s="178">
        <v>3</v>
      </c>
      <c r="K3855" s="174">
        <f t="shared" si="455"/>
        <v>0.59687999999999986</v>
      </c>
      <c r="L3855" s="118"/>
      <c r="M3855" s="111">
        <f>1+1+1</f>
        <v>3</v>
      </c>
      <c r="N3855" s="117">
        <f t="shared" si="456"/>
        <v>0.59687999999999986</v>
      </c>
      <c r="O3855" s="145">
        <f t="shared" si="457"/>
        <v>0</v>
      </c>
      <c r="P3855" s="120">
        <f t="shared" si="458"/>
        <v>0</v>
      </c>
      <c r="Q3855" s="98">
        <v>12</v>
      </c>
      <c r="R3855" s="91">
        <v>1</v>
      </c>
      <c r="S3855" s="91" t="s">
        <v>539</v>
      </c>
    </row>
    <row r="3856" spans="1:19">
      <c r="B3856" s="110" t="s">
        <v>303</v>
      </c>
      <c r="C3856" s="111" t="s">
        <v>232</v>
      </c>
      <c r="D3856" s="112" t="s">
        <v>228</v>
      </c>
      <c r="E3856" s="113" t="s">
        <v>24</v>
      </c>
      <c r="F3856" s="175" t="s">
        <v>14</v>
      </c>
      <c r="G3856" s="175" t="s">
        <v>35</v>
      </c>
      <c r="H3856" s="176">
        <v>16.579999999999998</v>
      </c>
      <c r="I3856" s="177">
        <v>12</v>
      </c>
      <c r="J3856" s="178">
        <v>1</v>
      </c>
      <c r="K3856" s="174">
        <f t="shared" si="455"/>
        <v>0.19895999999999997</v>
      </c>
      <c r="L3856" s="118" t="s">
        <v>235</v>
      </c>
      <c r="M3856" s="111"/>
      <c r="N3856" s="117">
        <f t="shared" si="456"/>
        <v>0</v>
      </c>
      <c r="O3856" s="119">
        <f t="shared" si="457"/>
        <v>1</v>
      </c>
      <c r="P3856" s="120">
        <f t="shared" si="458"/>
        <v>0.19895999999999997</v>
      </c>
      <c r="Q3856" s="159"/>
      <c r="R3856" s="111"/>
      <c r="S3856" s="111"/>
    </row>
    <row r="3857" spans="1:19">
      <c r="B3857" s="213"/>
      <c r="C3857" s="213"/>
      <c r="D3857" s="213"/>
      <c r="E3857" s="213"/>
      <c r="F3857" s="213"/>
      <c r="G3857" s="213"/>
      <c r="H3857" s="213"/>
      <c r="I3857" s="213"/>
      <c r="J3857" s="78">
        <f>SUM(J3851:J3856)</f>
        <v>27</v>
      </c>
      <c r="K3857" s="214">
        <f>SUM(K3851:K3856)</f>
        <v>4.1159849999999985</v>
      </c>
      <c r="L3857" s="213"/>
      <c r="M3857" s="80">
        <f>SUM(M3851:M3856)</f>
        <v>23</v>
      </c>
      <c r="N3857" s="128">
        <f>SUM(N3851:N3856)</f>
        <v>3.560554999999999</v>
      </c>
      <c r="O3857" s="78">
        <f>SUM(O3851:O3856)</f>
        <v>4</v>
      </c>
      <c r="P3857" s="214">
        <f>SUM(P3851:P3856)</f>
        <v>0.55542999999999987</v>
      </c>
      <c r="Q3857" s="213"/>
      <c r="R3857" s="80">
        <f>SUM(R3851:R3856)</f>
        <v>4</v>
      </c>
      <c r="S3857" s="213"/>
    </row>
    <row r="3860" spans="1:19">
      <c r="A3860" s="42" t="s">
        <v>78</v>
      </c>
      <c r="B3860" s="3"/>
      <c r="C3860" s="3">
        <v>42</v>
      </c>
      <c r="D3860" s="1"/>
      <c r="E3860" s="20" t="s">
        <v>24</v>
      </c>
      <c r="F3860" s="7" t="s">
        <v>14</v>
      </c>
      <c r="G3860" s="7" t="s">
        <v>44</v>
      </c>
      <c r="H3860" s="11">
        <v>13.4</v>
      </c>
      <c r="I3860" s="8">
        <v>12</v>
      </c>
      <c r="J3860" s="26">
        <v>13</v>
      </c>
      <c r="K3860" s="10">
        <v>2.0904000000000003</v>
      </c>
      <c r="L3860" s="4"/>
      <c r="M3860" s="17">
        <v>13</v>
      </c>
      <c r="N3860" s="18">
        <v>2.0904000000000003</v>
      </c>
      <c r="O3860" s="19">
        <v>0</v>
      </c>
      <c r="P3860" s="13">
        <v>0</v>
      </c>
      <c r="Q3860" s="9"/>
      <c r="R3860" s="2"/>
      <c r="S3860" s="2"/>
    </row>
    <row r="3861" spans="1:19">
      <c r="A3861" s="42" t="s">
        <v>78</v>
      </c>
      <c r="B3861" s="3"/>
      <c r="C3861" s="3">
        <v>43</v>
      </c>
      <c r="D3861" s="1"/>
      <c r="E3861" s="20" t="s">
        <v>24</v>
      </c>
      <c r="F3861" s="7" t="s">
        <v>14</v>
      </c>
      <c r="G3861" s="7" t="s">
        <v>44</v>
      </c>
      <c r="H3861" s="11">
        <v>13.4</v>
      </c>
      <c r="I3861" s="8">
        <v>11.2</v>
      </c>
      <c r="J3861" s="26">
        <v>3</v>
      </c>
      <c r="K3861" s="10">
        <v>0.45023999999999997</v>
      </c>
      <c r="L3861" s="4"/>
      <c r="M3861" s="17">
        <v>3</v>
      </c>
      <c r="N3861" s="18">
        <v>0.45023999999999997</v>
      </c>
      <c r="O3861" s="19">
        <v>0</v>
      </c>
      <c r="P3861" s="13">
        <v>0</v>
      </c>
      <c r="Q3861" s="9"/>
      <c r="R3861" s="47">
        <v>3</v>
      </c>
      <c r="S3861" s="47" t="s">
        <v>539</v>
      </c>
    </row>
    <row r="3862" spans="1:19">
      <c r="A3862" s="42" t="s">
        <v>78</v>
      </c>
      <c r="B3862" s="3"/>
      <c r="C3862" s="3">
        <v>43</v>
      </c>
      <c r="D3862" s="1"/>
      <c r="E3862" s="20" t="s">
        <v>24</v>
      </c>
      <c r="F3862" s="7" t="s">
        <v>14</v>
      </c>
      <c r="G3862" s="7" t="s">
        <v>44</v>
      </c>
      <c r="H3862" s="11">
        <v>13.4</v>
      </c>
      <c r="I3862" s="8">
        <v>11.6</v>
      </c>
      <c r="J3862" s="26">
        <v>1</v>
      </c>
      <c r="K3862" s="10">
        <v>0.15543999999999999</v>
      </c>
      <c r="L3862" s="4"/>
      <c r="M3862" s="17">
        <v>1</v>
      </c>
      <c r="N3862" s="18">
        <v>0.15543999999999999</v>
      </c>
      <c r="O3862" s="19">
        <v>0</v>
      </c>
      <c r="P3862" s="13">
        <v>0</v>
      </c>
      <c r="Q3862" s="9"/>
      <c r="R3862" s="47"/>
      <c r="S3862" s="47"/>
    </row>
    <row r="3863" spans="1:19">
      <c r="A3863" s="47" t="s">
        <v>147</v>
      </c>
      <c r="B3863" s="48" t="s">
        <v>148</v>
      </c>
      <c r="C3863" s="32">
        <v>271</v>
      </c>
      <c r="D3863" s="32"/>
      <c r="E3863" s="48" t="s">
        <v>19</v>
      </c>
      <c r="F3863" s="48" t="s">
        <v>14</v>
      </c>
      <c r="G3863" s="48" t="s">
        <v>44</v>
      </c>
      <c r="H3863" s="11">
        <v>13.4</v>
      </c>
      <c r="I3863" s="52">
        <v>12</v>
      </c>
      <c r="J3863" s="7">
        <v>4</v>
      </c>
      <c r="K3863" s="10">
        <v>0.64319999999999999</v>
      </c>
      <c r="L3863" s="32"/>
      <c r="M3863" s="32">
        <v>4</v>
      </c>
      <c r="N3863" s="18">
        <v>0.64319999999999999</v>
      </c>
      <c r="O3863" s="19">
        <v>0</v>
      </c>
      <c r="P3863" s="13">
        <v>0</v>
      </c>
      <c r="Q3863" s="32"/>
      <c r="R3863" s="93"/>
      <c r="S3863" s="93"/>
    </row>
    <row r="3864" spans="1:19">
      <c r="A3864" s="47" t="s">
        <v>147</v>
      </c>
      <c r="B3864" s="48" t="s">
        <v>148</v>
      </c>
      <c r="C3864" s="32">
        <v>271</v>
      </c>
      <c r="D3864" s="32"/>
      <c r="E3864" s="48" t="s">
        <v>19</v>
      </c>
      <c r="F3864" s="48" t="s">
        <v>14</v>
      </c>
      <c r="G3864" s="48" t="s">
        <v>44</v>
      </c>
      <c r="H3864" s="11">
        <v>13.4</v>
      </c>
      <c r="I3864" s="52">
        <v>11.5</v>
      </c>
      <c r="J3864" s="7">
        <v>2</v>
      </c>
      <c r="K3864" s="10">
        <v>0.30819999999999997</v>
      </c>
      <c r="L3864" s="32"/>
      <c r="M3864" s="32">
        <v>2</v>
      </c>
      <c r="N3864" s="18">
        <v>0.30819999999999997</v>
      </c>
      <c r="O3864" s="19">
        <v>0</v>
      </c>
      <c r="P3864" s="13">
        <v>0</v>
      </c>
      <c r="Q3864" s="32"/>
      <c r="R3864" s="93">
        <v>2</v>
      </c>
      <c r="S3864" s="47" t="s">
        <v>539</v>
      </c>
    </row>
    <row r="3865" spans="1:19">
      <c r="A3865" s="47" t="s">
        <v>147</v>
      </c>
      <c r="B3865" s="48" t="s">
        <v>148</v>
      </c>
      <c r="C3865" s="32">
        <v>271</v>
      </c>
      <c r="D3865" s="32"/>
      <c r="E3865" s="48" t="s">
        <v>19</v>
      </c>
      <c r="F3865" s="48" t="s">
        <v>14</v>
      </c>
      <c r="G3865" s="48" t="s">
        <v>44</v>
      </c>
      <c r="H3865" s="11">
        <v>13.4</v>
      </c>
      <c r="I3865" s="52">
        <v>11</v>
      </c>
      <c r="J3865" s="7">
        <v>3</v>
      </c>
      <c r="K3865" s="10">
        <v>0.44220000000000004</v>
      </c>
      <c r="L3865" s="32"/>
      <c r="M3865" s="32">
        <v>3</v>
      </c>
      <c r="N3865" s="18">
        <v>0.44219999999999998</v>
      </c>
      <c r="O3865" s="19">
        <v>0</v>
      </c>
      <c r="P3865" s="13">
        <v>0</v>
      </c>
      <c r="Q3865" s="32"/>
      <c r="R3865" s="93">
        <v>1</v>
      </c>
      <c r="S3865" s="47" t="s">
        <v>539</v>
      </c>
    </row>
    <row r="3866" spans="1:19">
      <c r="A3866" s="47" t="s">
        <v>147</v>
      </c>
      <c r="B3866" s="48" t="s">
        <v>148</v>
      </c>
      <c r="C3866" s="32">
        <v>278</v>
      </c>
      <c r="D3866" s="32"/>
      <c r="E3866" s="48" t="s">
        <v>19</v>
      </c>
      <c r="F3866" s="48" t="s">
        <v>14</v>
      </c>
      <c r="G3866" s="48" t="s">
        <v>44</v>
      </c>
      <c r="H3866" s="11">
        <v>13.4</v>
      </c>
      <c r="I3866" s="52">
        <v>10.4</v>
      </c>
      <c r="J3866" s="7">
        <v>2</v>
      </c>
      <c r="K3866" s="10">
        <v>0.27872000000000002</v>
      </c>
      <c r="L3866" s="32"/>
      <c r="M3866" s="32">
        <v>2</v>
      </c>
      <c r="N3866" s="18">
        <v>0.27872000000000002</v>
      </c>
      <c r="O3866" s="19">
        <v>0</v>
      </c>
      <c r="P3866" s="13">
        <v>0</v>
      </c>
      <c r="Q3866" s="32"/>
      <c r="R3866" s="93"/>
      <c r="S3866" s="93"/>
    </row>
    <row r="3867" spans="1:19">
      <c r="A3867" s="47" t="s">
        <v>147</v>
      </c>
      <c r="B3867" s="48" t="s">
        <v>148</v>
      </c>
      <c r="C3867" s="32">
        <v>362</v>
      </c>
      <c r="D3867" s="32"/>
      <c r="E3867" s="48" t="s">
        <v>24</v>
      </c>
      <c r="F3867" s="48" t="s">
        <v>14</v>
      </c>
      <c r="G3867" s="48" t="s">
        <v>44</v>
      </c>
      <c r="H3867" s="11">
        <v>13.4</v>
      </c>
      <c r="I3867" s="8">
        <v>10.199999999999999</v>
      </c>
      <c r="J3867" s="7">
        <v>3</v>
      </c>
      <c r="K3867" s="10">
        <v>0.41004000000000002</v>
      </c>
      <c r="L3867" s="32"/>
      <c r="M3867" s="32">
        <v>3</v>
      </c>
      <c r="N3867" s="18">
        <v>0.41003999999999996</v>
      </c>
      <c r="O3867" s="19">
        <v>0</v>
      </c>
      <c r="P3867" s="13">
        <v>0</v>
      </c>
      <c r="Q3867" s="32"/>
      <c r="R3867" s="93">
        <v>3</v>
      </c>
      <c r="S3867" s="47" t="s">
        <v>539</v>
      </c>
    </row>
    <row r="3868" spans="1:19">
      <c r="A3868" s="45" t="s">
        <v>136</v>
      </c>
      <c r="B3868" s="32" t="s">
        <v>137</v>
      </c>
      <c r="C3868" s="3">
        <v>67</v>
      </c>
      <c r="D3868" s="32"/>
      <c r="E3868" s="20" t="s">
        <v>145</v>
      </c>
      <c r="F3868" s="7" t="s">
        <v>14</v>
      </c>
      <c r="G3868" s="7" t="s">
        <v>44</v>
      </c>
      <c r="H3868" s="11">
        <v>13.4</v>
      </c>
      <c r="I3868" s="33">
        <v>8.4</v>
      </c>
      <c r="J3868" s="40">
        <v>1</v>
      </c>
      <c r="K3868" s="10">
        <v>0.11256000000000001</v>
      </c>
      <c r="L3868" s="4"/>
      <c r="M3868" s="17">
        <v>1</v>
      </c>
      <c r="N3868" s="18">
        <v>0.11256000000000001</v>
      </c>
      <c r="O3868" s="19">
        <v>0</v>
      </c>
      <c r="P3868" s="13">
        <v>0</v>
      </c>
      <c r="Q3868" s="32"/>
      <c r="R3868" s="32"/>
      <c r="S3868" s="32"/>
    </row>
    <row r="3869" spans="1:19">
      <c r="A3869" s="45" t="s">
        <v>136</v>
      </c>
      <c r="B3869" s="32" t="s">
        <v>137</v>
      </c>
      <c r="C3869" s="3">
        <v>67</v>
      </c>
      <c r="D3869" s="32"/>
      <c r="E3869" s="20" t="s">
        <v>145</v>
      </c>
      <c r="F3869" s="7" t="s">
        <v>14</v>
      </c>
      <c r="G3869" s="7" t="s">
        <v>44</v>
      </c>
      <c r="H3869" s="11">
        <v>13.4</v>
      </c>
      <c r="I3869" s="33">
        <v>7.1</v>
      </c>
      <c r="J3869" s="40">
        <v>1</v>
      </c>
      <c r="K3869" s="10">
        <v>9.5140000000000002E-2</v>
      </c>
      <c r="L3869" s="4"/>
      <c r="M3869" s="17">
        <v>1</v>
      </c>
      <c r="N3869" s="18">
        <v>9.5140000000000002E-2</v>
      </c>
      <c r="O3869" s="19">
        <v>0</v>
      </c>
      <c r="P3869" s="13">
        <v>0</v>
      </c>
      <c r="Q3869" s="32"/>
      <c r="R3869" s="32"/>
      <c r="S3869" s="32"/>
    </row>
    <row r="3870" spans="1:19">
      <c r="A3870" s="45" t="s">
        <v>136</v>
      </c>
      <c r="B3870" s="32" t="s">
        <v>137</v>
      </c>
      <c r="C3870" s="3">
        <v>67</v>
      </c>
      <c r="D3870" s="32"/>
      <c r="E3870" s="20" t="s">
        <v>145</v>
      </c>
      <c r="F3870" s="7" t="s">
        <v>14</v>
      </c>
      <c r="G3870" s="7" t="s">
        <v>44</v>
      </c>
      <c r="H3870" s="11">
        <v>13.4</v>
      </c>
      <c r="I3870" s="33">
        <v>7</v>
      </c>
      <c r="J3870" s="40">
        <v>2</v>
      </c>
      <c r="K3870" s="10">
        <v>0.18759999999999999</v>
      </c>
      <c r="L3870" s="4"/>
      <c r="M3870" s="17">
        <v>2</v>
      </c>
      <c r="N3870" s="18">
        <v>0.18759999999999999</v>
      </c>
      <c r="O3870" s="19">
        <v>0</v>
      </c>
      <c r="P3870" s="13">
        <v>0</v>
      </c>
      <c r="Q3870" s="32"/>
      <c r="R3870" s="32"/>
      <c r="S3870" s="32"/>
    </row>
    <row r="3871" spans="1:19">
      <c r="O3871" s="215">
        <f>SUM(O3860:O3870)</f>
        <v>0</v>
      </c>
      <c r="R3871" s="215">
        <f>SUM(R3860:R3870)</f>
        <v>9</v>
      </c>
    </row>
    <row r="3873" spans="1:19">
      <c r="B3873" s="110" t="s">
        <v>303</v>
      </c>
      <c r="C3873" s="111" t="s">
        <v>232</v>
      </c>
      <c r="D3873" s="112" t="s">
        <v>228</v>
      </c>
      <c r="E3873" s="113" t="s">
        <v>24</v>
      </c>
      <c r="F3873" s="175" t="s">
        <v>14</v>
      </c>
      <c r="G3873" s="175" t="s">
        <v>44</v>
      </c>
      <c r="H3873" s="176">
        <v>13.4</v>
      </c>
      <c r="I3873" s="177">
        <v>6.25</v>
      </c>
      <c r="J3873" s="178">
        <v>15</v>
      </c>
      <c r="K3873" s="174">
        <f t="shared" ref="K3873:K3879" si="459">(H3873*I3873*J3873/1000)</f>
        <v>1.2562500000000001</v>
      </c>
      <c r="L3873" s="118"/>
      <c r="M3873" s="111">
        <v>15</v>
      </c>
      <c r="N3873" s="117">
        <f t="shared" ref="N3873:N3879" si="460">I3873*M3873*H3873/1000</f>
        <v>1.2562500000000001</v>
      </c>
      <c r="O3873" s="119">
        <f t="shared" ref="O3873:O3879" si="461">J3873-M3873</f>
        <v>0</v>
      </c>
      <c r="P3873" s="120">
        <f t="shared" ref="P3873:P3877" si="462">I3873*O3873*H3873/1000</f>
        <v>0</v>
      </c>
      <c r="Q3873" s="159"/>
      <c r="R3873" s="111"/>
      <c r="S3873" s="111"/>
    </row>
    <row r="3874" spans="1:19">
      <c r="B3874" s="110" t="s">
        <v>303</v>
      </c>
      <c r="C3874" s="111" t="s">
        <v>232</v>
      </c>
      <c r="D3874" s="112" t="s">
        <v>228</v>
      </c>
      <c r="E3874" s="113" t="s">
        <v>24</v>
      </c>
      <c r="F3874" s="175" t="s">
        <v>14</v>
      </c>
      <c r="G3874" s="175" t="s">
        <v>44</v>
      </c>
      <c r="H3874" s="176">
        <v>13.4</v>
      </c>
      <c r="I3874" s="177">
        <v>6.8</v>
      </c>
      <c r="J3874" s="178">
        <v>8</v>
      </c>
      <c r="K3874" s="174">
        <f t="shared" si="459"/>
        <v>0.72896000000000005</v>
      </c>
      <c r="L3874" s="118"/>
      <c r="M3874" s="111">
        <v>8</v>
      </c>
      <c r="N3874" s="117">
        <f t="shared" si="460"/>
        <v>0.72896000000000005</v>
      </c>
      <c r="O3874" s="119">
        <f t="shared" si="461"/>
        <v>0</v>
      </c>
      <c r="P3874" s="120">
        <f t="shared" si="462"/>
        <v>0</v>
      </c>
      <c r="Q3874" s="159"/>
      <c r="R3874" s="111"/>
      <c r="S3874" s="111"/>
    </row>
    <row r="3875" spans="1:19">
      <c r="B3875" s="110" t="s">
        <v>303</v>
      </c>
      <c r="C3875" s="111" t="s">
        <v>232</v>
      </c>
      <c r="D3875" s="112" t="s">
        <v>228</v>
      </c>
      <c r="E3875" s="113" t="s">
        <v>24</v>
      </c>
      <c r="F3875" s="175" t="s">
        <v>14</v>
      </c>
      <c r="G3875" s="175" t="s">
        <v>44</v>
      </c>
      <c r="H3875" s="176">
        <v>13.4</v>
      </c>
      <c r="I3875" s="177">
        <v>12</v>
      </c>
      <c r="J3875" s="178">
        <v>9</v>
      </c>
      <c r="K3875" s="174">
        <f t="shared" si="459"/>
        <v>1.4472</v>
      </c>
      <c r="L3875" s="118"/>
      <c r="M3875" s="111">
        <f>8+1</f>
        <v>9</v>
      </c>
      <c r="N3875" s="117">
        <f t="shared" si="460"/>
        <v>1.4472</v>
      </c>
      <c r="O3875" s="119">
        <f t="shared" si="461"/>
        <v>0</v>
      </c>
      <c r="P3875" s="120">
        <f t="shared" si="462"/>
        <v>0</v>
      </c>
      <c r="Q3875" s="159"/>
      <c r="R3875" s="111"/>
      <c r="S3875" s="111"/>
    </row>
    <row r="3876" spans="1:19">
      <c r="B3876" s="110" t="s">
        <v>303</v>
      </c>
      <c r="C3876" s="111" t="s">
        <v>232</v>
      </c>
      <c r="D3876" s="112" t="s">
        <v>228</v>
      </c>
      <c r="E3876" s="113" t="s">
        <v>24</v>
      </c>
      <c r="F3876" s="175" t="s">
        <v>14</v>
      </c>
      <c r="G3876" s="175" t="s">
        <v>44</v>
      </c>
      <c r="H3876" s="176">
        <v>13.4</v>
      </c>
      <c r="I3876" s="177">
        <v>6</v>
      </c>
      <c r="J3876" s="178">
        <v>1</v>
      </c>
      <c r="K3876" s="174">
        <f t="shared" si="459"/>
        <v>8.0399999999999999E-2</v>
      </c>
      <c r="L3876" s="118"/>
      <c r="M3876" s="111">
        <v>1</v>
      </c>
      <c r="N3876" s="117">
        <f t="shared" si="460"/>
        <v>8.0399999999999999E-2</v>
      </c>
      <c r="O3876" s="119">
        <f t="shared" si="461"/>
        <v>0</v>
      </c>
      <c r="P3876" s="120">
        <f t="shared" si="462"/>
        <v>0</v>
      </c>
      <c r="Q3876" s="75">
        <v>6</v>
      </c>
      <c r="R3876" s="72">
        <v>1</v>
      </c>
      <c r="S3876" s="72" t="s">
        <v>528</v>
      </c>
    </row>
    <row r="3877" spans="1:19">
      <c r="B3877" s="110" t="s">
        <v>303</v>
      </c>
      <c r="C3877" s="111" t="s">
        <v>232</v>
      </c>
      <c r="D3877" s="112" t="s">
        <v>228</v>
      </c>
      <c r="E3877" s="113" t="s">
        <v>24</v>
      </c>
      <c r="F3877" s="175" t="s">
        <v>14</v>
      </c>
      <c r="G3877" s="175" t="s">
        <v>44</v>
      </c>
      <c r="H3877" s="176">
        <v>13.4</v>
      </c>
      <c r="I3877" s="177">
        <v>10.9</v>
      </c>
      <c r="J3877" s="178">
        <v>1</v>
      </c>
      <c r="K3877" s="174">
        <f t="shared" si="459"/>
        <v>0.14606</v>
      </c>
      <c r="L3877" s="118"/>
      <c r="M3877" s="111">
        <v>1</v>
      </c>
      <c r="N3877" s="117">
        <f t="shared" si="460"/>
        <v>0.14606</v>
      </c>
      <c r="O3877" s="119">
        <f t="shared" si="461"/>
        <v>0</v>
      </c>
      <c r="P3877" s="120">
        <f t="shared" si="462"/>
        <v>0</v>
      </c>
      <c r="Q3877" s="75"/>
      <c r="R3877" s="72">
        <v>1</v>
      </c>
      <c r="S3877" s="72" t="s">
        <v>539</v>
      </c>
    </row>
    <row r="3878" spans="1:19">
      <c r="B3878" s="110" t="s">
        <v>303</v>
      </c>
      <c r="C3878" s="111" t="s">
        <v>232</v>
      </c>
      <c r="D3878" s="112" t="s">
        <v>228</v>
      </c>
      <c r="E3878" s="113" t="s">
        <v>24</v>
      </c>
      <c r="F3878" s="175" t="s">
        <v>14</v>
      </c>
      <c r="G3878" s="175" t="s">
        <v>44</v>
      </c>
      <c r="H3878" s="176">
        <v>13.4</v>
      </c>
      <c r="I3878" s="177">
        <v>6.8</v>
      </c>
      <c r="J3878" s="178">
        <v>2</v>
      </c>
      <c r="K3878" s="174">
        <f t="shared" si="459"/>
        <v>0.18224000000000001</v>
      </c>
      <c r="L3878" s="118"/>
      <c r="M3878" s="111">
        <v>2</v>
      </c>
      <c r="N3878" s="117">
        <f t="shared" si="460"/>
        <v>0.18224000000000001</v>
      </c>
      <c r="O3878" s="119">
        <f t="shared" si="461"/>
        <v>0</v>
      </c>
      <c r="P3878" s="120">
        <f>I3878*O3878*H3878/1000</f>
        <v>0</v>
      </c>
      <c r="Q3878" s="75"/>
      <c r="R3878" s="72">
        <v>2</v>
      </c>
      <c r="S3878" s="72" t="s">
        <v>539</v>
      </c>
    </row>
    <row r="3879" spans="1:19">
      <c r="B3879" s="110" t="s">
        <v>303</v>
      </c>
      <c r="C3879" s="111" t="s">
        <v>232</v>
      </c>
      <c r="D3879" s="112" t="s">
        <v>228</v>
      </c>
      <c r="E3879" s="113" t="s">
        <v>24</v>
      </c>
      <c r="F3879" s="175" t="s">
        <v>14</v>
      </c>
      <c r="G3879" s="175" t="s">
        <v>44</v>
      </c>
      <c r="H3879" s="176">
        <v>13.4</v>
      </c>
      <c r="I3879" s="177">
        <v>12</v>
      </c>
      <c r="J3879" s="178">
        <v>4</v>
      </c>
      <c r="K3879" s="174">
        <f t="shared" si="459"/>
        <v>0.64319999999999999</v>
      </c>
      <c r="L3879" s="118"/>
      <c r="M3879" s="111">
        <v>4</v>
      </c>
      <c r="N3879" s="117">
        <f t="shared" si="460"/>
        <v>0.64319999999999999</v>
      </c>
      <c r="O3879" s="119">
        <f t="shared" si="461"/>
        <v>0</v>
      </c>
      <c r="P3879" s="120">
        <f>I3879*O3879*H3879/1000</f>
        <v>0</v>
      </c>
      <c r="Q3879" s="75">
        <v>12</v>
      </c>
      <c r="R3879" s="72">
        <v>1</v>
      </c>
      <c r="S3879" s="72" t="s">
        <v>539</v>
      </c>
    </row>
    <row r="3880" spans="1:19">
      <c r="B3880" s="32"/>
      <c r="C3880" s="32"/>
      <c r="D3880" s="32"/>
      <c r="E3880" s="32"/>
      <c r="F3880" s="32"/>
      <c r="G3880" s="32"/>
      <c r="H3880" s="32"/>
      <c r="I3880" s="32"/>
      <c r="J3880" s="131">
        <f>SUM(J3873:J3879)</f>
        <v>40</v>
      </c>
      <c r="K3880" s="124">
        <f>SUM(K3873:K3879)</f>
        <v>4.4843099999999998</v>
      </c>
      <c r="L3880" s="123"/>
      <c r="M3880" s="171">
        <f>SUM(M3873:M3879)</f>
        <v>40</v>
      </c>
      <c r="N3880" s="124">
        <f>SUM(N3873:N3879)</f>
        <v>4.4843099999999998</v>
      </c>
      <c r="O3880" s="131">
        <f>SUM(O3873:O3879)</f>
        <v>0</v>
      </c>
      <c r="P3880" s="124">
        <f>SUM(P3873:P3879)</f>
        <v>0</v>
      </c>
      <c r="Q3880" s="32"/>
      <c r="R3880" s="131">
        <f>SUM(R3873:R3879)</f>
        <v>5</v>
      </c>
      <c r="S3880" s="32"/>
    </row>
    <row r="3884" spans="1:19">
      <c r="A3884" s="42" t="s">
        <v>84</v>
      </c>
      <c r="B3884" s="3" t="s">
        <v>122</v>
      </c>
      <c r="C3884" s="3">
        <v>1</v>
      </c>
      <c r="D3884" s="1"/>
      <c r="E3884" s="20" t="s">
        <v>88</v>
      </c>
      <c r="F3884" s="7" t="s">
        <v>15</v>
      </c>
      <c r="G3884" s="7" t="s">
        <v>44</v>
      </c>
      <c r="H3884" s="11">
        <v>13.4</v>
      </c>
      <c r="I3884" s="8">
        <v>7.2</v>
      </c>
      <c r="J3884" s="26">
        <v>1</v>
      </c>
      <c r="K3884" s="10">
        <v>9.648000000000001E-2</v>
      </c>
      <c r="L3884" s="4"/>
      <c r="M3884" s="17"/>
      <c r="N3884" s="18">
        <v>0</v>
      </c>
      <c r="O3884" s="19">
        <v>1</v>
      </c>
      <c r="P3884" s="13">
        <v>9.648000000000001E-2</v>
      </c>
      <c r="Q3884" s="9"/>
      <c r="R3884" s="2"/>
      <c r="S3884" s="2"/>
    </row>
    <row r="3885" spans="1:19">
      <c r="A3885" s="42" t="s">
        <v>84</v>
      </c>
      <c r="B3885" s="3" t="s">
        <v>122</v>
      </c>
      <c r="C3885" s="3">
        <v>1</v>
      </c>
      <c r="D3885" s="1"/>
      <c r="E3885" s="20" t="s">
        <v>88</v>
      </c>
      <c r="F3885" s="7" t="s">
        <v>15</v>
      </c>
      <c r="G3885" s="7" t="s">
        <v>44</v>
      </c>
      <c r="H3885" s="11">
        <v>13.4</v>
      </c>
      <c r="I3885" s="8">
        <v>7.6</v>
      </c>
      <c r="J3885" s="26">
        <v>2</v>
      </c>
      <c r="K3885" s="10">
        <v>0.20368</v>
      </c>
      <c r="L3885" s="4"/>
      <c r="M3885" s="17">
        <v>2</v>
      </c>
      <c r="N3885" s="18">
        <v>0.20368</v>
      </c>
      <c r="O3885" s="106">
        <v>0</v>
      </c>
      <c r="P3885" s="13">
        <v>0</v>
      </c>
      <c r="Q3885" s="73">
        <v>7.6</v>
      </c>
      <c r="R3885" s="74">
        <v>2</v>
      </c>
      <c r="S3885" s="74" t="s">
        <v>526</v>
      </c>
    </row>
    <row r="3886" spans="1:19">
      <c r="A3886" s="42" t="s">
        <v>84</v>
      </c>
      <c r="B3886" s="3" t="s">
        <v>122</v>
      </c>
      <c r="C3886" s="3">
        <v>1</v>
      </c>
      <c r="D3886" s="1"/>
      <c r="E3886" s="20" t="s">
        <v>88</v>
      </c>
      <c r="F3886" s="7" t="s">
        <v>15</v>
      </c>
      <c r="G3886" s="7" t="s">
        <v>44</v>
      </c>
      <c r="H3886" s="11">
        <v>13.4</v>
      </c>
      <c r="I3886" s="8">
        <v>7.8</v>
      </c>
      <c r="J3886" s="26">
        <v>1</v>
      </c>
      <c r="K3886" s="10">
        <v>0.10452</v>
      </c>
      <c r="L3886" s="4"/>
      <c r="M3886" s="17"/>
      <c r="N3886" s="18">
        <v>0</v>
      </c>
      <c r="O3886" s="19">
        <v>1</v>
      </c>
      <c r="P3886" s="13">
        <v>0.10452</v>
      </c>
      <c r="Q3886" s="9"/>
      <c r="R3886" s="2"/>
      <c r="S3886" s="2"/>
    </row>
    <row r="3887" spans="1:19">
      <c r="A3887" s="42" t="s">
        <v>90</v>
      </c>
      <c r="B3887" s="3"/>
      <c r="C3887" s="3">
        <v>165</v>
      </c>
      <c r="D3887" s="1"/>
      <c r="E3887" s="12" t="s">
        <v>88</v>
      </c>
      <c r="F3887" s="7" t="s">
        <v>15</v>
      </c>
      <c r="G3887" s="7" t="s">
        <v>44</v>
      </c>
      <c r="H3887" s="11">
        <v>13.4</v>
      </c>
      <c r="I3887" s="8">
        <v>8.6999999999999993</v>
      </c>
      <c r="J3887" s="26">
        <v>2</v>
      </c>
      <c r="K3887" s="10">
        <v>0.23316000000000001</v>
      </c>
      <c r="L3887" s="4"/>
      <c r="M3887" s="17"/>
      <c r="N3887" s="18">
        <v>0</v>
      </c>
      <c r="O3887" s="19">
        <v>2</v>
      </c>
      <c r="P3887" s="13">
        <v>0.23316000000000001</v>
      </c>
      <c r="Q3887" s="9"/>
      <c r="R3887" s="2"/>
      <c r="S3887" s="2"/>
    </row>
    <row r="3888" spans="1:19">
      <c r="A3888" s="42" t="s">
        <v>90</v>
      </c>
      <c r="B3888" s="3"/>
      <c r="C3888" s="3">
        <v>165</v>
      </c>
      <c r="D3888" s="1"/>
      <c r="E3888" s="12" t="s">
        <v>88</v>
      </c>
      <c r="F3888" s="7" t="s">
        <v>15</v>
      </c>
      <c r="G3888" s="7" t="s">
        <v>44</v>
      </c>
      <c r="H3888" s="11">
        <v>13.4</v>
      </c>
      <c r="I3888" s="8">
        <v>10.5</v>
      </c>
      <c r="J3888" s="26">
        <v>1</v>
      </c>
      <c r="K3888" s="10">
        <v>0.14070000000000002</v>
      </c>
      <c r="L3888" s="4"/>
      <c r="M3888" s="17"/>
      <c r="N3888" s="18">
        <v>0</v>
      </c>
      <c r="O3888" s="19">
        <v>1</v>
      </c>
      <c r="P3888" s="13">
        <v>0.14070000000000002</v>
      </c>
      <c r="Q3888" s="9"/>
      <c r="R3888" s="2"/>
      <c r="S3888" s="2"/>
    </row>
    <row r="3889" spans="1:19">
      <c r="A3889" s="42" t="s">
        <v>90</v>
      </c>
      <c r="B3889" s="3"/>
      <c r="C3889" s="3">
        <v>171</v>
      </c>
      <c r="D3889" s="1"/>
      <c r="E3889" s="12" t="s">
        <v>88</v>
      </c>
      <c r="F3889" s="7" t="s">
        <v>15</v>
      </c>
      <c r="G3889" s="7" t="s">
        <v>44</v>
      </c>
      <c r="H3889" s="11">
        <v>13.4</v>
      </c>
      <c r="I3889" s="8">
        <v>7.4</v>
      </c>
      <c r="J3889" s="26">
        <v>1</v>
      </c>
      <c r="K3889" s="10">
        <v>9.9160000000000012E-2</v>
      </c>
      <c r="L3889" s="4"/>
      <c r="M3889" s="17"/>
      <c r="N3889" s="18">
        <v>0</v>
      </c>
      <c r="O3889" s="19">
        <v>1</v>
      </c>
      <c r="P3889" s="13">
        <v>9.9160000000000012E-2</v>
      </c>
      <c r="Q3889" s="9"/>
      <c r="R3889" s="2"/>
      <c r="S3889" s="2"/>
    </row>
    <row r="3890" spans="1:19">
      <c r="A3890" s="42" t="s">
        <v>90</v>
      </c>
      <c r="B3890" s="3"/>
      <c r="C3890" s="3">
        <v>171</v>
      </c>
      <c r="D3890" s="1"/>
      <c r="E3890" s="12" t="s">
        <v>88</v>
      </c>
      <c r="F3890" s="7" t="s">
        <v>15</v>
      </c>
      <c r="G3890" s="7" t="s">
        <v>44</v>
      </c>
      <c r="H3890" s="11">
        <v>13.4</v>
      </c>
      <c r="I3890" s="8">
        <v>6.8</v>
      </c>
      <c r="J3890" s="26">
        <v>1</v>
      </c>
      <c r="K3890" s="10">
        <v>9.1120000000000007E-2</v>
      </c>
      <c r="L3890" s="4"/>
      <c r="M3890" s="17"/>
      <c r="N3890" s="18">
        <v>0</v>
      </c>
      <c r="O3890" s="19">
        <v>1</v>
      </c>
      <c r="P3890" s="13">
        <v>9.1120000000000007E-2</v>
      </c>
      <c r="Q3890" s="9"/>
      <c r="R3890" s="2"/>
      <c r="S3890" s="2"/>
    </row>
    <row r="3891" spans="1:19">
      <c r="A3891" s="42" t="s">
        <v>90</v>
      </c>
      <c r="B3891" s="3"/>
      <c r="C3891" s="3">
        <v>171</v>
      </c>
      <c r="D3891" s="1"/>
      <c r="E3891" s="12" t="s">
        <v>88</v>
      </c>
      <c r="F3891" s="7" t="s">
        <v>15</v>
      </c>
      <c r="G3891" s="7" t="s">
        <v>44</v>
      </c>
      <c r="H3891" s="11">
        <v>13.4</v>
      </c>
      <c r="I3891" s="8">
        <v>6.4</v>
      </c>
      <c r="J3891" s="26">
        <v>1</v>
      </c>
      <c r="K3891" s="10">
        <v>8.5760000000000003E-2</v>
      </c>
      <c r="L3891" s="4"/>
      <c r="M3891" s="17"/>
      <c r="N3891" s="18">
        <v>0</v>
      </c>
      <c r="O3891" s="19">
        <v>1</v>
      </c>
      <c r="P3891" s="13">
        <v>8.5760000000000003E-2</v>
      </c>
      <c r="Q3891" s="9"/>
      <c r="R3891" s="2"/>
      <c r="S3891" s="2"/>
    </row>
    <row r="3894" spans="1:19">
      <c r="B3894" s="110" t="s">
        <v>446</v>
      </c>
      <c r="C3894" s="111" t="s">
        <v>232</v>
      </c>
      <c r="D3894" s="112" t="s">
        <v>447</v>
      </c>
      <c r="E3894" s="113" t="s">
        <v>20</v>
      </c>
      <c r="F3894" s="175" t="s">
        <v>15</v>
      </c>
      <c r="G3894" s="175" t="s">
        <v>44</v>
      </c>
      <c r="H3894" s="176">
        <v>13.4</v>
      </c>
      <c r="I3894" s="177">
        <v>8</v>
      </c>
      <c r="J3894" s="178">
        <v>1</v>
      </c>
      <c r="K3894" s="174">
        <f t="shared" ref="K3894" si="463">(H3894*I3894*J3894/1000)</f>
        <v>0.1072</v>
      </c>
      <c r="L3894" s="118"/>
      <c r="M3894" s="111">
        <v>1</v>
      </c>
      <c r="N3894" s="117">
        <f t="shared" ref="N3894" si="464">I3894*M3894*H3894/1000</f>
        <v>0.1072</v>
      </c>
      <c r="O3894" s="145">
        <f t="shared" ref="O3894" si="465">J3894-M3894</f>
        <v>0</v>
      </c>
      <c r="P3894" s="120">
        <f>I3894*O3894*H3894/1000</f>
        <v>0</v>
      </c>
      <c r="Q3894" s="75">
        <v>8</v>
      </c>
      <c r="R3894" s="72">
        <v>1</v>
      </c>
      <c r="S3894" s="72" t="s">
        <v>527</v>
      </c>
    </row>
    <row r="3897" spans="1:19">
      <c r="B3897" s="110" t="s">
        <v>303</v>
      </c>
      <c r="C3897" s="111" t="s">
        <v>232</v>
      </c>
      <c r="D3897" s="112" t="s">
        <v>228</v>
      </c>
      <c r="E3897" s="113" t="s">
        <v>17</v>
      </c>
      <c r="F3897" s="175" t="s">
        <v>15</v>
      </c>
      <c r="G3897" s="175" t="s">
        <v>44</v>
      </c>
      <c r="H3897" s="176">
        <v>13.4</v>
      </c>
      <c r="I3897" s="177">
        <v>10.5</v>
      </c>
      <c r="J3897" s="178">
        <v>2</v>
      </c>
      <c r="K3897" s="174">
        <f t="shared" ref="K3897:K3902" si="466">(H3897*I3897*J3897/1000)</f>
        <v>0.28140000000000004</v>
      </c>
      <c r="L3897" s="118"/>
      <c r="M3897" s="111">
        <v>1</v>
      </c>
      <c r="N3897" s="117">
        <f t="shared" ref="N3897:N3902" si="467">I3897*M3897*H3897/1000</f>
        <v>0.14070000000000002</v>
      </c>
      <c r="O3897" s="119">
        <f t="shared" ref="O3897:O3902" si="468">J3897-M3897</f>
        <v>1</v>
      </c>
      <c r="P3897" s="120">
        <f t="shared" ref="P3897:P3902" si="469">I3897*O3897*H3897/1000</f>
        <v>0.14070000000000002</v>
      </c>
      <c r="Q3897" s="159"/>
      <c r="R3897" s="111"/>
      <c r="S3897" s="111"/>
    </row>
    <row r="3898" spans="1:19">
      <c r="B3898" s="110" t="s">
        <v>303</v>
      </c>
      <c r="C3898" s="111" t="s">
        <v>232</v>
      </c>
      <c r="D3898" s="112" t="s">
        <v>228</v>
      </c>
      <c r="E3898" s="113" t="s">
        <v>17</v>
      </c>
      <c r="F3898" s="175" t="s">
        <v>15</v>
      </c>
      <c r="G3898" s="175" t="s">
        <v>44</v>
      </c>
      <c r="H3898" s="176">
        <v>13.4</v>
      </c>
      <c r="I3898" s="177">
        <v>10.4</v>
      </c>
      <c r="J3898" s="178">
        <v>1</v>
      </c>
      <c r="K3898" s="174">
        <f t="shared" si="466"/>
        <v>0.13936000000000001</v>
      </c>
      <c r="L3898" s="118"/>
      <c r="M3898" s="111">
        <v>1</v>
      </c>
      <c r="N3898" s="117">
        <f t="shared" si="467"/>
        <v>0.13936000000000001</v>
      </c>
      <c r="O3898" s="119">
        <f t="shared" si="468"/>
        <v>0</v>
      </c>
      <c r="P3898" s="120">
        <f t="shared" si="469"/>
        <v>0</v>
      </c>
      <c r="Q3898" s="75">
        <v>7.5</v>
      </c>
      <c r="R3898" s="72">
        <v>1</v>
      </c>
      <c r="S3898" s="72" t="s">
        <v>613</v>
      </c>
    </row>
    <row r="3899" spans="1:19">
      <c r="B3899" s="110" t="s">
        <v>303</v>
      </c>
      <c r="C3899" s="111" t="s">
        <v>232</v>
      </c>
      <c r="D3899" s="112" t="s">
        <v>228</v>
      </c>
      <c r="E3899" s="113" t="s">
        <v>17</v>
      </c>
      <c r="F3899" s="175" t="s">
        <v>15</v>
      </c>
      <c r="G3899" s="175" t="s">
        <v>44</v>
      </c>
      <c r="H3899" s="176">
        <v>13.4</v>
      </c>
      <c r="I3899" s="177">
        <v>6.9</v>
      </c>
      <c r="J3899" s="178">
        <v>1</v>
      </c>
      <c r="K3899" s="174">
        <f t="shared" si="466"/>
        <v>9.2460000000000014E-2</v>
      </c>
      <c r="L3899" s="118"/>
      <c r="M3899" s="111">
        <v>1</v>
      </c>
      <c r="N3899" s="117">
        <f t="shared" si="467"/>
        <v>9.2460000000000014E-2</v>
      </c>
      <c r="O3899" s="119">
        <f t="shared" si="468"/>
        <v>0</v>
      </c>
      <c r="P3899" s="120">
        <f t="shared" si="469"/>
        <v>0</v>
      </c>
      <c r="Q3899" s="159"/>
      <c r="R3899" s="111"/>
      <c r="S3899" s="111"/>
    </row>
    <row r="3900" spans="1:19">
      <c r="B3900" s="110" t="s">
        <v>303</v>
      </c>
      <c r="C3900" s="111" t="s">
        <v>232</v>
      </c>
      <c r="D3900" s="112" t="s">
        <v>228</v>
      </c>
      <c r="E3900" s="113" t="s">
        <v>17</v>
      </c>
      <c r="F3900" s="175" t="s">
        <v>15</v>
      </c>
      <c r="G3900" s="175" t="s">
        <v>44</v>
      </c>
      <c r="H3900" s="176">
        <v>13.4</v>
      </c>
      <c r="I3900" s="177">
        <v>6.5</v>
      </c>
      <c r="J3900" s="178">
        <v>1</v>
      </c>
      <c r="K3900" s="174">
        <f t="shared" si="466"/>
        <v>8.7100000000000011E-2</v>
      </c>
      <c r="L3900" s="118"/>
      <c r="M3900" s="111">
        <v>1</v>
      </c>
      <c r="N3900" s="117">
        <f t="shared" si="467"/>
        <v>8.7100000000000011E-2</v>
      </c>
      <c r="O3900" s="119">
        <f t="shared" si="468"/>
        <v>0</v>
      </c>
      <c r="P3900" s="120">
        <f t="shared" si="469"/>
        <v>0</v>
      </c>
      <c r="Q3900" s="159"/>
      <c r="R3900" s="111"/>
      <c r="S3900" s="111"/>
    </row>
    <row r="3901" spans="1:19">
      <c r="B3901" s="110" t="s">
        <v>303</v>
      </c>
      <c r="C3901" s="111" t="s">
        <v>232</v>
      </c>
      <c r="D3901" s="112" t="s">
        <v>228</v>
      </c>
      <c r="E3901" s="113" t="s">
        <v>17</v>
      </c>
      <c r="F3901" s="175" t="s">
        <v>15</v>
      </c>
      <c r="G3901" s="175" t="s">
        <v>44</v>
      </c>
      <c r="H3901" s="176">
        <v>13.4</v>
      </c>
      <c r="I3901" s="177">
        <v>7.2</v>
      </c>
      <c r="J3901" s="178">
        <v>1</v>
      </c>
      <c r="K3901" s="174">
        <f t="shared" si="466"/>
        <v>9.648000000000001E-2</v>
      </c>
      <c r="L3901" s="118"/>
      <c r="M3901" s="111"/>
      <c r="N3901" s="117">
        <f t="shared" si="467"/>
        <v>0</v>
      </c>
      <c r="O3901" s="119">
        <f t="shared" si="468"/>
        <v>1</v>
      </c>
      <c r="P3901" s="120">
        <f t="shared" si="469"/>
        <v>9.648000000000001E-2</v>
      </c>
      <c r="Q3901" s="159"/>
      <c r="R3901" s="111"/>
      <c r="S3901" s="111"/>
    </row>
    <row r="3902" spans="1:19">
      <c r="B3902" s="110" t="s">
        <v>303</v>
      </c>
      <c r="C3902" s="111" t="s">
        <v>232</v>
      </c>
      <c r="D3902" s="112" t="s">
        <v>228</v>
      </c>
      <c r="E3902" s="113" t="s">
        <v>17</v>
      </c>
      <c r="F3902" s="175" t="s">
        <v>15</v>
      </c>
      <c r="G3902" s="175" t="s">
        <v>44</v>
      </c>
      <c r="H3902" s="176">
        <v>13.4</v>
      </c>
      <c r="I3902" s="177">
        <v>7.2</v>
      </c>
      <c r="J3902" s="178">
        <v>1</v>
      </c>
      <c r="K3902" s="174">
        <f t="shared" si="466"/>
        <v>9.648000000000001E-2</v>
      </c>
      <c r="L3902" s="118"/>
      <c r="M3902" s="111"/>
      <c r="N3902" s="117">
        <f t="shared" si="467"/>
        <v>0</v>
      </c>
      <c r="O3902" s="119">
        <f t="shared" si="468"/>
        <v>1</v>
      </c>
      <c r="P3902" s="120">
        <f t="shared" si="469"/>
        <v>9.648000000000001E-2</v>
      </c>
      <c r="Q3902" s="159"/>
      <c r="R3902" s="111"/>
      <c r="S3902" s="111"/>
    </row>
    <row r="3903" spans="1:19">
      <c r="O3903" s="215">
        <f>SUM(O3897:O3902)</f>
        <v>3</v>
      </c>
      <c r="R3903" s="215">
        <f>SUM(R3897:R3902)</f>
        <v>1</v>
      </c>
    </row>
    <row r="3905" spans="2:21">
      <c r="B3905" s="110" t="s">
        <v>549</v>
      </c>
      <c r="C3905" s="111" t="s">
        <v>505</v>
      </c>
      <c r="D3905" s="112" t="s">
        <v>449</v>
      </c>
      <c r="E3905" s="113" t="s">
        <v>17</v>
      </c>
      <c r="F3905" s="175" t="s">
        <v>15</v>
      </c>
      <c r="G3905" s="175" t="s">
        <v>41</v>
      </c>
      <c r="H3905" s="176">
        <v>11.8</v>
      </c>
      <c r="I3905" s="177">
        <v>10.5</v>
      </c>
      <c r="J3905" s="178">
        <v>2</v>
      </c>
      <c r="K3905" s="174">
        <f t="shared" ref="K3905:K3926" si="470">(H3905*I3905*J3905/1000)</f>
        <v>0.24780000000000002</v>
      </c>
      <c r="L3905" s="118"/>
      <c r="M3905" s="178">
        <v>2</v>
      </c>
      <c r="N3905" s="117">
        <f t="shared" ref="N3905:N3926" si="471">I3905*M3905*H3905/1000</f>
        <v>0.24780000000000002</v>
      </c>
      <c r="O3905" s="119">
        <f t="shared" ref="O3905:O3926" si="472">J3905-M3905</f>
        <v>0</v>
      </c>
      <c r="P3905" s="120">
        <f t="shared" ref="P3905:P3925" si="473">I3905*O3905*H3905/1000</f>
        <v>0</v>
      </c>
      <c r="Q3905" s="159"/>
      <c r="R3905" s="111"/>
      <c r="S3905" s="111"/>
      <c r="T3905" s="213"/>
      <c r="U3905" s="213"/>
    </row>
    <row r="3906" spans="2:21">
      <c r="B3906" s="110" t="s">
        <v>549</v>
      </c>
      <c r="C3906" s="111" t="s">
        <v>505</v>
      </c>
      <c r="D3906" s="112" t="s">
        <v>449</v>
      </c>
      <c r="E3906" s="113" t="s">
        <v>17</v>
      </c>
      <c r="F3906" s="175" t="s">
        <v>15</v>
      </c>
      <c r="G3906" s="175" t="s">
        <v>41</v>
      </c>
      <c r="H3906" s="176">
        <v>11.8</v>
      </c>
      <c r="I3906" s="177">
        <v>10.8</v>
      </c>
      <c r="J3906" s="178">
        <v>12</v>
      </c>
      <c r="K3906" s="174">
        <f t="shared" si="470"/>
        <v>1.5292800000000002</v>
      </c>
      <c r="L3906" s="118"/>
      <c r="M3906" s="178">
        <v>12</v>
      </c>
      <c r="N3906" s="117">
        <f t="shared" si="471"/>
        <v>1.5292800000000004</v>
      </c>
      <c r="O3906" s="119">
        <f t="shared" si="472"/>
        <v>0</v>
      </c>
      <c r="P3906" s="120">
        <f t="shared" si="473"/>
        <v>0</v>
      </c>
      <c r="Q3906" s="159"/>
      <c r="R3906" s="111"/>
      <c r="S3906" s="111"/>
      <c r="T3906" s="213"/>
      <c r="U3906" s="213"/>
    </row>
    <row r="3907" spans="2:21">
      <c r="B3907" s="110" t="s">
        <v>549</v>
      </c>
      <c r="C3907" s="111" t="s">
        <v>505</v>
      </c>
      <c r="D3907" s="112" t="s">
        <v>449</v>
      </c>
      <c r="E3907" s="113" t="s">
        <v>17</v>
      </c>
      <c r="F3907" s="175" t="s">
        <v>15</v>
      </c>
      <c r="G3907" s="175" t="s">
        <v>41</v>
      </c>
      <c r="H3907" s="176">
        <v>11.8</v>
      </c>
      <c r="I3907" s="177">
        <v>10.8</v>
      </c>
      <c r="J3907" s="178">
        <v>20</v>
      </c>
      <c r="K3907" s="174">
        <f t="shared" si="470"/>
        <v>2.5488000000000004</v>
      </c>
      <c r="L3907" s="118"/>
      <c r="M3907" s="178">
        <v>20</v>
      </c>
      <c r="N3907" s="117">
        <f t="shared" si="471"/>
        <v>2.5488000000000004</v>
      </c>
      <c r="O3907" s="119">
        <f t="shared" si="472"/>
        <v>0</v>
      </c>
      <c r="P3907" s="120">
        <f t="shared" si="473"/>
        <v>0</v>
      </c>
      <c r="Q3907" s="159"/>
      <c r="R3907" s="111"/>
      <c r="S3907" s="111"/>
      <c r="T3907" s="213"/>
      <c r="U3907" s="213"/>
    </row>
    <row r="3908" spans="2:21">
      <c r="B3908" s="110" t="s">
        <v>549</v>
      </c>
      <c r="C3908" s="111" t="s">
        <v>505</v>
      </c>
      <c r="D3908" s="112" t="s">
        <v>449</v>
      </c>
      <c r="E3908" s="113" t="s">
        <v>17</v>
      </c>
      <c r="F3908" s="175" t="s">
        <v>15</v>
      </c>
      <c r="G3908" s="175" t="s">
        <v>41</v>
      </c>
      <c r="H3908" s="176">
        <v>11.8</v>
      </c>
      <c r="I3908" s="177">
        <v>11.7</v>
      </c>
      <c r="J3908" s="178">
        <v>26</v>
      </c>
      <c r="K3908" s="174">
        <f t="shared" si="470"/>
        <v>3.5895600000000001</v>
      </c>
      <c r="L3908" s="118"/>
      <c r="M3908" s="178">
        <v>26</v>
      </c>
      <c r="N3908" s="117">
        <f t="shared" si="471"/>
        <v>3.5895600000000001</v>
      </c>
      <c r="O3908" s="119">
        <f t="shared" si="472"/>
        <v>0</v>
      </c>
      <c r="P3908" s="120">
        <f t="shared" si="473"/>
        <v>0</v>
      </c>
      <c r="Q3908" s="159"/>
      <c r="R3908" s="111"/>
      <c r="S3908" s="111"/>
      <c r="T3908" s="213"/>
      <c r="U3908" s="213"/>
    </row>
    <row r="3909" spans="2:21">
      <c r="B3909" s="110" t="s">
        <v>549</v>
      </c>
      <c r="C3909" s="111" t="s">
        <v>505</v>
      </c>
      <c r="D3909" s="112" t="s">
        <v>449</v>
      </c>
      <c r="E3909" s="113" t="s">
        <v>17</v>
      </c>
      <c r="F3909" s="175" t="s">
        <v>15</v>
      </c>
      <c r="G3909" s="175" t="s">
        <v>41</v>
      </c>
      <c r="H3909" s="176">
        <v>11.8</v>
      </c>
      <c r="I3909" s="177">
        <v>10.5</v>
      </c>
      <c r="J3909" s="178">
        <v>24</v>
      </c>
      <c r="K3909" s="174">
        <f t="shared" si="470"/>
        <v>2.9736000000000002</v>
      </c>
      <c r="L3909" s="118"/>
      <c r="M3909" s="178">
        <v>24</v>
      </c>
      <c r="N3909" s="117">
        <f t="shared" si="471"/>
        <v>2.9736000000000002</v>
      </c>
      <c r="O3909" s="119">
        <f t="shared" si="472"/>
        <v>0</v>
      </c>
      <c r="P3909" s="120">
        <f t="shared" si="473"/>
        <v>0</v>
      </c>
      <c r="Q3909" s="159"/>
      <c r="R3909" s="111"/>
      <c r="S3909" s="111"/>
      <c r="T3909" s="213"/>
      <c r="U3909" s="213"/>
    </row>
    <row r="3910" spans="2:21">
      <c r="B3910" s="110" t="s">
        <v>549</v>
      </c>
      <c r="C3910" s="111" t="s">
        <v>505</v>
      </c>
      <c r="D3910" s="112" t="s">
        <v>449</v>
      </c>
      <c r="E3910" s="113" t="s">
        <v>17</v>
      </c>
      <c r="F3910" s="175" t="s">
        <v>15</v>
      </c>
      <c r="G3910" s="175" t="s">
        <v>41</v>
      </c>
      <c r="H3910" s="176">
        <v>11.8</v>
      </c>
      <c r="I3910" s="177">
        <v>10.5</v>
      </c>
      <c r="J3910" s="178">
        <v>24</v>
      </c>
      <c r="K3910" s="174">
        <f t="shared" si="470"/>
        <v>2.9736000000000002</v>
      </c>
      <c r="L3910" s="118"/>
      <c r="M3910" s="178">
        <v>24</v>
      </c>
      <c r="N3910" s="117">
        <f t="shared" si="471"/>
        <v>2.9736000000000002</v>
      </c>
      <c r="O3910" s="119">
        <f t="shared" si="472"/>
        <v>0</v>
      </c>
      <c r="P3910" s="120">
        <f t="shared" si="473"/>
        <v>0</v>
      </c>
      <c r="Q3910" s="159"/>
      <c r="R3910" s="111"/>
      <c r="S3910" s="111"/>
      <c r="T3910" s="213"/>
      <c r="U3910" s="213"/>
    </row>
    <row r="3911" spans="2:21">
      <c r="B3911" s="110" t="s">
        <v>549</v>
      </c>
      <c r="C3911" s="111" t="s">
        <v>505</v>
      </c>
      <c r="D3911" s="112" t="s">
        <v>449</v>
      </c>
      <c r="E3911" s="113" t="s">
        <v>17</v>
      </c>
      <c r="F3911" s="175" t="s">
        <v>15</v>
      </c>
      <c r="G3911" s="175" t="s">
        <v>41</v>
      </c>
      <c r="H3911" s="176">
        <v>11.8</v>
      </c>
      <c r="I3911" s="177">
        <v>10.8</v>
      </c>
      <c r="J3911" s="178">
        <v>8</v>
      </c>
      <c r="K3911" s="174">
        <f t="shared" si="470"/>
        <v>1.0195200000000002</v>
      </c>
      <c r="L3911" s="118"/>
      <c r="M3911" s="178">
        <f>7+1</f>
        <v>8</v>
      </c>
      <c r="N3911" s="117">
        <f t="shared" si="471"/>
        <v>1.0195200000000002</v>
      </c>
      <c r="O3911" s="119">
        <f t="shared" si="472"/>
        <v>0</v>
      </c>
      <c r="P3911" s="120">
        <f t="shared" si="473"/>
        <v>0</v>
      </c>
      <c r="Q3911" s="159">
        <v>10.5</v>
      </c>
      <c r="R3911" s="111">
        <v>1</v>
      </c>
      <c r="S3911" s="111"/>
      <c r="T3911" s="213"/>
      <c r="U3911" s="213"/>
    </row>
    <row r="3912" spans="2:21">
      <c r="B3912" s="110" t="s">
        <v>549</v>
      </c>
      <c r="C3912" s="111" t="s">
        <v>505</v>
      </c>
      <c r="D3912" s="112" t="s">
        <v>449</v>
      </c>
      <c r="E3912" s="113" t="s">
        <v>17</v>
      </c>
      <c r="F3912" s="175" t="s">
        <v>15</v>
      </c>
      <c r="G3912" s="175" t="s">
        <v>41</v>
      </c>
      <c r="H3912" s="176">
        <v>11.8</v>
      </c>
      <c r="I3912" s="177">
        <v>11.7</v>
      </c>
      <c r="J3912" s="178">
        <v>17</v>
      </c>
      <c r="K3912" s="174">
        <f t="shared" si="470"/>
        <v>2.3470200000000001</v>
      </c>
      <c r="L3912" s="118"/>
      <c r="M3912" s="178">
        <v>17</v>
      </c>
      <c r="N3912" s="117">
        <f t="shared" si="471"/>
        <v>2.3470200000000001</v>
      </c>
      <c r="O3912" s="119">
        <f t="shared" si="472"/>
        <v>0</v>
      </c>
      <c r="P3912" s="120">
        <f t="shared" si="473"/>
        <v>0</v>
      </c>
      <c r="Q3912" s="159"/>
      <c r="R3912" s="111"/>
      <c r="S3912" s="111"/>
      <c r="T3912" s="213"/>
      <c r="U3912" s="213"/>
    </row>
    <row r="3913" spans="2:21">
      <c r="B3913" s="110" t="s">
        <v>549</v>
      </c>
      <c r="C3913" s="111" t="s">
        <v>505</v>
      </c>
      <c r="D3913" s="112" t="s">
        <v>449</v>
      </c>
      <c r="E3913" s="113" t="s">
        <v>17</v>
      </c>
      <c r="F3913" s="175" t="s">
        <v>15</v>
      </c>
      <c r="G3913" s="175" t="s">
        <v>41</v>
      </c>
      <c r="H3913" s="176">
        <v>11.8</v>
      </c>
      <c r="I3913" s="177">
        <v>8.1999999999999993</v>
      </c>
      <c r="J3913" s="178">
        <v>10</v>
      </c>
      <c r="K3913" s="174">
        <f t="shared" si="470"/>
        <v>0.9675999999999999</v>
      </c>
      <c r="L3913" s="118"/>
      <c r="M3913" s="178">
        <f>7+3</f>
        <v>10</v>
      </c>
      <c r="N3913" s="117">
        <f t="shared" si="471"/>
        <v>0.96760000000000002</v>
      </c>
      <c r="O3913" s="119">
        <f t="shared" si="472"/>
        <v>0</v>
      </c>
      <c r="P3913" s="120">
        <f t="shared" si="473"/>
        <v>0</v>
      </c>
      <c r="Q3913" s="159"/>
      <c r="R3913" s="111"/>
      <c r="S3913" s="79">
        <v>7.55</v>
      </c>
      <c r="T3913" s="77">
        <v>3</v>
      </c>
      <c r="U3913" s="77" t="s">
        <v>614</v>
      </c>
    </row>
    <row r="3914" spans="2:21">
      <c r="B3914" s="110" t="s">
        <v>549</v>
      </c>
      <c r="C3914" s="111" t="s">
        <v>505</v>
      </c>
      <c r="D3914" s="112" t="s">
        <v>449</v>
      </c>
      <c r="E3914" s="113" t="s">
        <v>17</v>
      </c>
      <c r="F3914" s="175" t="s">
        <v>15</v>
      </c>
      <c r="G3914" s="175" t="s">
        <v>41</v>
      </c>
      <c r="H3914" s="176">
        <v>11.8</v>
      </c>
      <c r="I3914" s="177">
        <v>10.5</v>
      </c>
      <c r="J3914" s="178">
        <v>10</v>
      </c>
      <c r="K3914" s="174">
        <f t="shared" si="470"/>
        <v>1.2390000000000001</v>
      </c>
      <c r="L3914" s="118"/>
      <c r="M3914" s="178">
        <v>10</v>
      </c>
      <c r="N3914" s="117">
        <f t="shared" si="471"/>
        <v>1.2390000000000001</v>
      </c>
      <c r="O3914" s="119">
        <f t="shared" si="472"/>
        <v>0</v>
      </c>
      <c r="P3914" s="120">
        <f t="shared" si="473"/>
        <v>0</v>
      </c>
      <c r="Q3914" s="159"/>
      <c r="R3914" s="111"/>
      <c r="S3914" s="130"/>
      <c r="T3914" s="213"/>
      <c r="U3914" s="213"/>
    </row>
    <row r="3915" spans="2:21">
      <c r="B3915" s="110" t="s">
        <v>549</v>
      </c>
      <c r="C3915" s="111" t="s">
        <v>505</v>
      </c>
      <c r="D3915" s="112" t="s">
        <v>449</v>
      </c>
      <c r="E3915" s="113" t="s">
        <v>17</v>
      </c>
      <c r="F3915" s="175" t="s">
        <v>15</v>
      </c>
      <c r="G3915" s="175" t="s">
        <v>41</v>
      </c>
      <c r="H3915" s="176">
        <v>11.8</v>
      </c>
      <c r="I3915" s="177">
        <v>10</v>
      </c>
      <c r="J3915" s="178">
        <v>1</v>
      </c>
      <c r="K3915" s="174">
        <f t="shared" si="470"/>
        <v>0.11799999999999999</v>
      </c>
      <c r="L3915" s="118"/>
      <c r="M3915" s="178">
        <v>1</v>
      </c>
      <c r="N3915" s="117">
        <f t="shared" si="471"/>
        <v>0.11799999999999999</v>
      </c>
      <c r="O3915" s="119">
        <f t="shared" si="472"/>
        <v>0</v>
      </c>
      <c r="P3915" s="120">
        <f t="shared" si="473"/>
        <v>0</v>
      </c>
      <c r="Q3915" s="159"/>
      <c r="R3915" s="111"/>
      <c r="S3915" s="79">
        <v>10</v>
      </c>
      <c r="T3915" s="77">
        <v>1</v>
      </c>
      <c r="U3915" s="77" t="s">
        <v>614</v>
      </c>
    </row>
    <row r="3916" spans="2:21">
      <c r="B3916" s="110" t="s">
        <v>549</v>
      </c>
      <c r="C3916" s="111" t="s">
        <v>505</v>
      </c>
      <c r="D3916" s="112" t="s">
        <v>449</v>
      </c>
      <c r="E3916" s="113" t="s">
        <v>17</v>
      </c>
      <c r="F3916" s="175" t="s">
        <v>15</v>
      </c>
      <c r="G3916" s="175" t="s">
        <v>41</v>
      </c>
      <c r="H3916" s="176">
        <v>11.8</v>
      </c>
      <c r="I3916" s="177">
        <v>10.5</v>
      </c>
      <c r="J3916" s="178">
        <v>24</v>
      </c>
      <c r="K3916" s="174">
        <f t="shared" si="470"/>
        <v>2.9736000000000002</v>
      </c>
      <c r="L3916" s="118"/>
      <c r="M3916" s="178">
        <v>24</v>
      </c>
      <c r="N3916" s="117">
        <f t="shared" si="471"/>
        <v>2.9736000000000002</v>
      </c>
      <c r="O3916" s="119">
        <f t="shared" si="472"/>
        <v>0</v>
      </c>
      <c r="P3916" s="120">
        <f t="shared" si="473"/>
        <v>0</v>
      </c>
      <c r="Q3916" s="159"/>
      <c r="R3916" s="111"/>
      <c r="S3916" s="130"/>
      <c r="T3916" s="213"/>
      <c r="U3916" s="213"/>
    </row>
    <row r="3917" spans="2:21">
      <c r="B3917" s="110" t="s">
        <v>549</v>
      </c>
      <c r="C3917" s="111" t="s">
        <v>505</v>
      </c>
      <c r="D3917" s="112" t="s">
        <v>449</v>
      </c>
      <c r="E3917" s="113" t="s">
        <v>17</v>
      </c>
      <c r="F3917" s="175" t="s">
        <v>15</v>
      </c>
      <c r="G3917" s="175" t="s">
        <v>41</v>
      </c>
      <c r="H3917" s="176">
        <v>11.8</v>
      </c>
      <c r="I3917" s="177">
        <v>11.7</v>
      </c>
      <c r="J3917" s="178">
        <v>28</v>
      </c>
      <c r="K3917" s="174">
        <f t="shared" si="470"/>
        <v>3.8656800000000002</v>
      </c>
      <c r="L3917" s="118"/>
      <c r="M3917" s="178">
        <v>28</v>
      </c>
      <c r="N3917" s="117">
        <f t="shared" si="471"/>
        <v>3.8656799999999998</v>
      </c>
      <c r="O3917" s="119">
        <f t="shared" si="472"/>
        <v>0</v>
      </c>
      <c r="P3917" s="120">
        <f t="shared" si="473"/>
        <v>0</v>
      </c>
      <c r="Q3917" s="159"/>
      <c r="R3917" s="111"/>
      <c r="S3917" s="130"/>
      <c r="T3917" s="213"/>
      <c r="U3917" s="213"/>
    </row>
    <row r="3918" spans="2:21">
      <c r="B3918" s="110" t="s">
        <v>549</v>
      </c>
      <c r="C3918" s="111" t="s">
        <v>505</v>
      </c>
      <c r="D3918" s="112" t="s">
        <v>449</v>
      </c>
      <c r="E3918" s="113" t="s">
        <v>17</v>
      </c>
      <c r="F3918" s="175" t="s">
        <v>15</v>
      </c>
      <c r="G3918" s="175" t="s">
        <v>41</v>
      </c>
      <c r="H3918" s="176">
        <v>11.8</v>
      </c>
      <c r="I3918" s="177">
        <v>10.8</v>
      </c>
      <c r="J3918" s="178">
        <v>21</v>
      </c>
      <c r="K3918" s="174">
        <f t="shared" si="470"/>
        <v>2.6762400000000004</v>
      </c>
      <c r="L3918" s="118"/>
      <c r="M3918" s="178">
        <v>21</v>
      </c>
      <c r="N3918" s="117">
        <f t="shared" si="471"/>
        <v>2.6762400000000004</v>
      </c>
      <c r="O3918" s="119">
        <f t="shared" si="472"/>
        <v>0</v>
      </c>
      <c r="P3918" s="120">
        <f t="shared" si="473"/>
        <v>0</v>
      </c>
      <c r="Q3918" s="159"/>
      <c r="R3918" s="111"/>
      <c r="S3918" s="130"/>
      <c r="T3918" s="213"/>
      <c r="U3918" s="213"/>
    </row>
    <row r="3919" spans="2:21">
      <c r="B3919" s="110" t="s">
        <v>549</v>
      </c>
      <c r="C3919" s="111" t="s">
        <v>505</v>
      </c>
      <c r="D3919" s="112" t="s">
        <v>449</v>
      </c>
      <c r="E3919" s="113" t="s">
        <v>17</v>
      </c>
      <c r="F3919" s="175" t="s">
        <v>15</v>
      </c>
      <c r="G3919" s="175" t="s">
        <v>41</v>
      </c>
      <c r="H3919" s="176">
        <v>11.8</v>
      </c>
      <c r="I3919" s="177">
        <v>10.5</v>
      </c>
      <c r="J3919" s="178">
        <v>16</v>
      </c>
      <c r="K3919" s="174">
        <f t="shared" si="470"/>
        <v>1.9824000000000002</v>
      </c>
      <c r="L3919" s="118"/>
      <c r="M3919" s="178">
        <v>16</v>
      </c>
      <c r="N3919" s="117">
        <f t="shared" si="471"/>
        <v>1.9824000000000002</v>
      </c>
      <c r="O3919" s="119">
        <f t="shared" si="472"/>
        <v>0</v>
      </c>
      <c r="P3919" s="120">
        <f t="shared" si="473"/>
        <v>0</v>
      </c>
      <c r="Q3919" s="159"/>
      <c r="R3919" s="111"/>
      <c r="S3919" s="130"/>
      <c r="T3919" s="213"/>
      <c r="U3919" s="213"/>
    </row>
    <row r="3920" spans="2:21">
      <c r="B3920" s="110" t="s">
        <v>549</v>
      </c>
      <c r="C3920" s="111" t="s">
        <v>505</v>
      </c>
      <c r="D3920" s="112" t="s">
        <v>449</v>
      </c>
      <c r="E3920" s="113" t="s">
        <v>17</v>
      </c>
      <c r="F3920" s="175" t="s">
        <v>15</v>
      </c>
      <c r="G3920" s="175" t="s">
        <v>41</v>
      </c>
      <c r="H3920" s="176">
        <v>11.8</v>
      </c>
      <c r="I3920" s="177">
        <v>8.1999999999999993</v>
      </c>
      <c r="J3920" s="178">
        <v>20</v>
      </c>
      <c r="K3920" s="174">
        <f t="shared" si="470"/>
        <v>1.9351999999999998</v>
      </c>
      <c r="L3920" s="118"/>
      <c r="M3920" s="178">
        <v>20</v>
      </c>
      <c r="N3920" s="117">
        <f t="shared" si="471"/>
        <v>1.9352</v>
      </c>
      <c r="O3920" s="119">
        <f t="shared" si="472"/>
        <v>0</v>
      </c>
      <c r="P3920" s="120">
        <f t="shared" si="473"/>
        <v>0</v>
      </c>
      <c r="Q3920" s="159"/>
      <c r="R3920" s="111"/>
      <c r="S3920" s="130"/>
      <c r="T3920" s="213"/>
      <c r="U3920" s="213"/>
    </row>
    <row r="3921" spans="1:21">
      <c r="B3921" s="110" t="s">
        <v>549</v>
      </c>
      <c r="C3921" s="111" t="s">
        <v>505</v>
      </c>
      <c r="D3921" s="112" t="s">
        <v>449</v>
      </c>
      <c r="E3921" s="113" t="s">
        <v>17</v>
      </c>
      <c r="F3921" s="175" t="s">
        <v>15</v>
      </c>
      <c r="G3921" s="175" t="s">
        <v>41</v>
      </c>
      <c r="H3921" s="176">
        <v>11.8</v>
      </c>
      <c r="I3921" s="177">
        <v>10</v>
      </c>
      <c r="J3921" s="178">
        <v>1</v>
      </c>
      <c r="K3921" s="174">
        <f t="shared" si="470"/>
        <v>0.11799999999999999</v>
      </c>
      <c r="L3921" s="118"/>
      <c r="M3921" s="178">
        <v>1</v>
      </c>
      <c r="N3921" s="117">
        <f t="shared" si="471"/>
        <v>0.11799999999999999</v>
      </c>
      <c r="O3921" s="119">
        <f t="shared" si="472"/>
        <v>0</v>
      </c>
      <c r="P3921" s="120">
        <f t="shared" si="473"/>
        <v>0</v>
      </c>
      <c r="Q3921" s="159"/>
      <c r="R3921" s="111"/>
      <c r="S3921" s="79">
        <v>10</v>
      </c>
      <c r="T3921" s="77">
        <v>1</v>
      </c>
      <c r="U3921" s="77" t="s">
        <v>614</v>
      </c>
    </row>
    <row r="3922" spans="1:21">
      <c r="B3922" s="110" t="s">
        <v>549</v>
      </c>
      <c r="C3922" s="111" t="s">
        <v>505</v>
      </c>
      <c r="D3922" s="112" t="s">
        <v>449</v>
      </c>
      <c r="E3922" s="113" t="s">
        <v>17</v>
      </c>
      <c r="F3922" s="175" t="s">
        <v>15</v>
      </c>
      <c r="G3922" s="175" t="s">
        <v>41</v>
      </c>
      <c r="H3922" s="176">
        <v>11.8</v>
      </c>
      <c r="I3922" s="177">
        <v>9.9</v>
      </c>
      <c r="J3922" s="178">
        <v>1</v>
      </c>
      <c r="K3922" s="174">
        <f t="shared" si="470"/>
        <v>0.11682000000000001</v>
      </c>
      <c r="L3922" s="118"/>
      <c r="M3922" s="178">
        <v>1</v>
      </c>
      <c r="N3922" s="117">
        <f t="shared" si="471"/>
        <v>0.11682000000000001</v>
      </c>
      <c r="O3922" s="119">
        <f t="shared" si="472"/>
        <v>0</v>
      </c>
      <c r="P3922" s="120">
        <f t="shared" si="473"/>
        <v>0</v>
      </c>
      <c r="Q3922" s="159"/>
      <c r="R3922" s="111"/>
      <c r="S3922" s="79">
        <v>7.55</v>
      </c>
      <c r="T3922" s="77">
        <v>1</v>
      </c>
      <c r="U3922" s="77" t="s">
        <v>614</v>
      </c>
    </row>
    <row r="3923" spans="1:21">
      <c r="B3923" s="110" t="s">
        <v>549</v>
      </c>
      <c r="C3923" s="111" t="s">
        <v>505</v>
      </c>
      <c r="D3923" s="112" t="s">
        <v>449</v>
      </c>
      <c r="E3923" s="113" t="s">
        <v>17</v>
      </c>
      <c r="F3923" s="175" t="s">
        <v>15</v>
      </c>
      <c r="G3923" s="175" t="s">
        <v>41</v>
      </c>
      <c r="H3923" s="176">
        <v>11.8</v>
      </c>
      <c r="I3923" s="177">
        <v>11.7</v>
      </c>
      <c r="J3923" s="178">
        <v>25</v>
      </c>
      <c r="K3923" s="174">
        <f t="shared" si="470"/>
        <v>3.4514999999999998</v>
      </c>
      <c r="L3923" s="118"/>
      <c r="M3923" s="178">
        <f>9+13+3</f>
        <v>25</v>
      </c>
      <c r="N3923" s="117">
        <f t="shared" si="471"/>
        <v>3.4514999999999998</v>
      </c>
      <c r="O3923" s="119">
        <f t="shared" si="472"/>
        <v>0</v>
      </c>
      <c r="P3923" s="120">
        <f t="shared" si="473"/>
        <v>0</v>
      </c>
      <c r="Q3923" s="159">
        <v>10.5</v>
      </c>
      <c r="R3923" s="111">
        <v>13</v>
      </c>
      <c r="S3923" s="79">
        <v>11.7</v>
      </c>
      <c r="T3923" s="77">
        <v>3</v>
      </c>
      <c r="U3923" s="77" t="s">
        <v>614</v>
      </c>
    </row>
    <row r="3924" spans="1:21">
      <c r="B3924" s="110" t="s">
        <v>549</v>
      </c>
      <c r="C3924" s="111" t="s">
        <v>505</v>
      </c>
      <c r="D3924" s="112" t="s">
        <v>449</v>
      </c>
      <c r="E3924" s="113" t="s">
        <v>17</v>
      </c>
      <c r="F3924" s="175" t="s">
        <v>15</v>
      </c>
      <c r="G3924" s="175" t="s">
        <v>41</v>
      </c>
      <c r="H3924" s="176">
        <v>11.8</v>
      </c>
      <c r="I3924" s="177">
        <v>11.7</v>
      </c>
      <c r="J3924" s="178">
        <v>3</v>
      </c>
      <c r="K3924" s="174">
        <f t="shared" si="470"/>
        <v>0.41417999999999999</v>
      </c>
      <c r="L3924" s="118"/>
      <c r="M3924" s="178">
        <v>3</v>
      </c>
      <c r="N3924" s="117">
        <f t="shared" si="471"/>
        <v>0.41417999999999994</v>
      </c>
      <c r="O3924" s="119">
        <f t="shared" si="472"/>
        <v>0</v>
      </c>
      <c r="P3924" s="120">
        <f t="shared" si="473"/>
        <v>0</v>
      </c>
      <c r="Q3924" s="159"/>
      <c r="R3924" s="111"/>
      <c r="S3924" s="79">
        <v>11.7</v>
      </c>
      <c r="T3924" s="77">
        <v>3</v>
      </c>
      <c r="U3924" s="77" t="s">
        <v>614</v>
      </c>
    </row>
    <row r="3925" spans="1:21">
      <c r="B3925" s="110" t="s">
        <v>549</v>
      </c>
      <c r="C3925" s="111" t="s">
        <v>505</v>
      </c>
      <c r="D3925" s="112" t="s">
        <v>449</v>
      </c>
      <c r="E3925" s="113" t="s">
        <v>17</v>
      </c>
      <c r="F3925" s="175" t="s">
        <v>15</v>
      </c>
      <c r="G3925" s="175" t="s">
        <v>41</v>
      </c>
      <c r="H3925" s="176">
        <v>11.8</v>
      </c>
      <c r="I3925" s="177">
        <v>10.8</v>
      </c>
      <c r="J3925" s="178">
        <v>24</v>
      </c>
      <c r="K3925" s="174">
        <f t="shared" si="470"/>
        <v>3.0585600000000004</v>
      </c>
      <c r="L3925" s="118"/>
      <c r="M3925" s="178">
        <v>24</v>
      </c>
      <c r="N3925" s="117">
        <f t="shared" si="471"/>
        <v>3.0585600000000008</v>
      </c>
      <c r="O3925" s="119">
        <f t="shared" si="472"/>
        <v>0</v>
      </c>
      <c r="P3925" s="120">
        <f t="shared" si="473"/>
        <v>0</v>
      </c>
      <c r="Q3925" s="159"/>
      <c r="R3925" s="111"/>
      <c r="S3925" s="111"/>
      <c r="T3925" s="213"/>
      <c r="U3925" s="213"/>
    </row>
    <row r="3926" spans="1:21">
      <c r="B3926" s="110" t="s">
        <v>549</v>
      </c>
      <c r="C3926" s="111" t="s">
        <v>505</v>
      </c>
      <c r="D3926" s="112" t="s">
        <v>449</v>
      </c>
      <c r="E3926" s="113" t="s">
        <v>17</v>
      </c>
      <c r="F3926" s="175" t="s">
        <v>15</v>
      </c>
      <c r="G3926" s="175" t="s">
        <v>41</v>
      </c>
      <c r="H3926" s="176">
        <v>11.8</v>
      </c>
      <c r="I3926" s="177">
        <v>10.5</v>
      </c>
      <c r="J3926" s="178">
        <v>2</v>
      </c>
      <c r="K3926" s="174">
        <f t="shared" si="470"/>
        <v>0.24780000000000002</v>
      </c>
      <c r="L3926" s="118"/>
      <c r="M3926" s="178">
        <v>2</v>
      </c>
      <c r="N3926" s="117">
        <f t="shared" si="471"/>
        <v>0.24780000000000002</v>
      </c>
      <c r="O3926" s="119">
        <f t="shared" si="472"/>
        <v>0</v>
      </c>
      <c r="P3926" s="120">
        <f>I3926*O3926*H3926/1000</f>
        <v>0</v>
      </c>
      <c r="Q3926" s="159"/>
      <c r="R3926" s="111"/>
      <c r="S3926" s="111"/>
      <c r="T3926" s="213"/>
      <c r="U3926" s="213"/>
    </row>
    <row r="3927" spans="1:21">
      <c r="B3927" s="32"/>
      <c r="C3927" s="32"/>
      <c r="D3927" s="32"/>
      <c r="E3927" s="32"/>
      <c r="F3927" s="32"/>
      <c r="G3927" s="32"/>
      <c r="H3927" s="32"/>
      <c r="I3927" s="32"/>
      <c r="J3927" s="131">
        <f>SUM(J3905:J3926)</f>
        <v>319</v>
      </c>
      <c r="K3927" s="124">
        <f>SUM(K3905:K3926)</f>
        <v>40.393760000000007</v>
      </c>
      <c r="L3927" s="32"/>
      <c r="M3927" s="131">
        <f>SUM(M3905:M3926)</f>
        <v>319</v>
      </c>
      <c r="N3927" s="124">
        <f>SUM(N3905:N3926)</f>
        <v>40.393760000000007</v>
      </c>
      <c r="O3927" s="131">
        <f>SUM(O3905:O3926)</f>
        <v>0</v>
      </c>
      <c r="P3927" s="124">
        <f>SUM(P3905:P3926)</f>
        <v>0</v>
      </c>
      <c r="Q3927" s="32"/>
      <c r="R3927" s="32"/>
      <c r="S3927" s="32"/>
      <c r="T3927" s="131">
        <f>SUM(T3905:T3926)</f>
        <v>12</v>
      </c>
      <c r="U3927" s="213"/>
    </row>
    <row r="3932" spans="1:21">
      <c r="A3932" s="42" t="s">
        <v>77</v>
      </c>
      <c r="B3932" s="3" t="s">
        <v>68</v>
      </c>
      <c r="C3932" s="3">
        <v>429</v>
      </c>
      <c r="D3932" s="1"/>
      <c r="E3932" s="20" t="s">
        <v>17</v>
      </c>
      <c r="F3932" s="7" t="s">
        <v>15</v>
      </c>
      <c r="G3932" s="7" t="s">
        <v>29</v>
      </c>
      <c r="H3932" s="11">
        <v>10.92</v>
      </c>
      <c r="I3932" s="8">
        <v>9.5</v>
      </c>
      <c r="J3932" s="26">
        <v>7</v>
      </c>
      <c r="K3932" s="10">
        <v>0.72617999999999994</v>
      </c>
      <c r="L3932" s="4"/>
      <c r="M3932" s="17">
        <v>6</v>
      </c>
      <c r="N3932" s="18">
        <v>0.62243999999999999</v>
      </c>
      <c r="O3932" s="19">
        <v>1</v>
      </c>
      <c r="P3932" s="13">
        <v>0.10374</v>
      </c>
      <c r="Q3932" s="9"/>
      <c r="R3932" s="2"/>
      <c r="S3932" s="2"/>
    </row>
    <row r="3933" spans="1:21">
      <c r="A3933" s="48" t="s">
        <v>168</v>
      </c>
      <c r="B3933" s="48" t="s">
        <v>169</v>
      </c>
      <c r="C3933" s="32">
        <v>3</v>
      </c>
      <c r="D3933" s="32"/>
      <c r="E3933" s="48" t="s">
        <v>20</v>
      </c>
      <c r="F3933" s="48" t="s">
        <v>15</v>
      </c>
      <c r="G3933" s="48" t="s">
        <v>29</v>
      </c>
      <c r="H3933" s="11">
        <v>10.92</v>
      </c>
      <c r="I3933" s="52">
        <v>12</v>
      </c>
      <c r="J3933" s="7">
        <v>2</v>
      </c>
      <c r="K3933" s="10">
        <v>0.26207999999999998</v>
      </c>
      <c r="L3933" s="32" t="s">
        <v>104</v>
      </c>
      <c r="M3933" s="32"/>
      <c r="N3933" s="18">
        <v>0</v>
      </c>
      <c r="O3933" s="19">
        <v>2</v>
      </c>
      <c r="P3933" s="13">
        <v>0.26207999999999998</v>
      </c>
      <c r="Q3933" s="32"/>
      <c r="R3933" s="32"/>
      <c r="S3933" s="32"/>
    </row>
    <row r="3934" spans="1:21">
      <c r="A3934" s="42" t="s">
        <v>84</v>
      </c>
      <c r="B3934" s="3" t="s">
        <v>118</v>
      </c>
      <c r="C3934" s="3">
        <v>3</v>
      </c>
      <c r="D3934" s="1"/>
      <c r="E3934" s="20" t="s">
        <v>76</v>
      </c>
      <c r="F3934" s="7" t="s">
        <v>15</v>
      </c>
      <c r="G3934" s="7" t="s">
        <v>29</v>
      </c>
      <c r="H3934" s="11">
        <v>10.92</v>
      </c>
      <c r="I3934" s="8">
        <v>8.6999999999999993</v>
      </c>
      <c r="J3934" s="26">
        <v>1</v>
      </c>
      <c r="K3934" s="10">
        <v>9.5003999999999991E-2</v>
      </c>
      <c r="L3934" s="4"/>
      <c r="M3934" s="17">
        <v>1</v>
      </c>
      <c r="N3934" s="18">
        <v>9.5003999999999991E-2</v>
      </c>
      <c r="O3934" s="19">
        <v>0</v>
      </c>
      <c r="P3934" s="13">
        <v>0</v>
      </c>
      <c r="Q3934" s="79">
        <v>7.5</v>
      </c>
      <c r="R3934" s="74">
        <v>1</v>
      </c>
      <c r="S3934" s="72" t="s">
        <v>540</v>
      </c>
    </row>
    <row r="3935" spans="1:21">
      <c r="A3935" s="42" t="s">
        <v>84</v>
      </c>
      <c r="B3935" s="3" t="s">
        <v>118</v>
      </c>
      <c r="C3935" s="3">
        <v>4</v>
      </c>
      <c r="D3935" s="1"/>
      <c r="E3935" s="20" t="s">
        <v>76</v>
      </c>
      <c r="F3935" s="7" t="s">
        <v>15</v>
      </c>
      <c r="G3935" s="7" t="s">
        <v>29</v>
      </c>
      <c r="H3935" s="11">
        <v>10.92</v>
      </c>
      <c r="I3935" s="8">
        <v>11.7</v>
      </c>
      <c r="J3935" s="26">
        <v>15</v>
      </c>
      <c r="K3935" s="10">
        <v>1.9164600000000001</v>
      </c>
      <c r="L3935" s="4"/>
      <c r="M3935" s="17">
        <f>11+4</f>
        <v>15</v>
      </c>
      <c r="N3935" s="18">
        <v>1.4054039999999999</v>
      </c>
      <c r="O3935" s="19">
        <v>0</v>
      </c>
      <c r="P3935" s="13">
        <v>0</v>
      </c>
      <c r="Q3935" s="73">
        <v>9.8000000000000007</v>
      </c>
      <c r="R3935" s="74">
        <v>4</v>
      </c>
      <c r="S3935" s="103" t="s">
        <v>604</v>
      </c>
    </row>
    <row r="3936" spans="1:21">
      <c r="A3936" s="42" t="s">
        <v>84</v>
      </c>
      <c r="B3936" s="3" t="s">
        <v>118</v>
      </c>
      <c r="C3936" s="3">
        <v>8</v>
      </c>
      <c r="D3936" s="1"/>
      <c r="E3936" s="20" t="s">
        <v>76</v>
      </c>
      <c r="F3936" s="7" t="s">
        <v>15</v>
      </c>
      <c r="G3936" s="7" t="s">
        <v>29</v>
      </c>
      <c r="H3936" s="11">
        <v>10.92</v>
      </c>
      <c r="I3936" s="8">
        <v>12</v>
      </c>
      <c r="J3936" s="26">
        <v>23</v>
      </c>
      <c r="K3936" s="10">
        <v>3.0139199999999997</v>
      </c>
      <c r="L3936" s="4"/>
      <c r="M3936" s="17">
        <v>20</v>
      </c>
      <c r="N3936" s="18">
        <v>2.6208</v>
      </c>
      <c r="O3936" s="19">
        <v>3</v>
      </c>
      <c r="P3936" s="13">
        <v>0.39312000000000002</v>
      </c>
      <c r="Q3936" s="73"/>
      <c r="R3936" s="74"/>
      <c r="S3936" s="74"/>
    </row>
    <row r="3937" spans="1:19">
      <c r="A3937" s="42" t="s">
        <v>90</v>
      </c>
      <c r="B3937" s="48" t="s">
        <v>148</v>
      </c>
      <c r="C3937" s="32">
        <v>63</v>
      </c>
      <c r="D3937" s="32"/>
      <c r="E3937" s="48" t="s">
        <v>89</v>
      </c>
      <c r="F3937" s="48" t="s">
        <v>15</v>
      </c>
      <c r="G3937" s="48" t="s">
        <v>29</v>
      </c>
      <c r="H3937" s="11">
        <v>10.92</v>
      </c>
      <c r="I3937" s="52">
        <v>8.8000000000000007</v>
      </c>
      <c r="J3937" s="7">
        <v>1</v>
      </c>
      <c r="K3937" s="10">
        <v>9.6096000000000001E-2</v>
      </c>
      <c r="L3937" s="32"/>
      <c r="M3937" s="32">
        <v>1</v>
      </c>
      <c r="N3937" s="18">
        <v>9.6096000000000001E-2</v>
      </c>
      <c r="O3937" s="19">
        <v>0</v>
      </c>
      <c r="P3937" s="13">
        <v>0</v>
      </c>
      <c r="Q3937" s="79">
        <v>7.5</v>
      </c>
      <c r="R3937" s="72">
        <v>1</v>
      </c>
      <c r="S3937" s="72" t="s">
        <v>540</v>
      </c>
    </row>
    <row r="3938" spans="1:19">
      <c r="A3938" s="42" t="s">
        <v>90</v>
      </c>
      <c r="B3938" s="48" t="s">
        <v>148</v>
      </c>
      <c r="C3938" s="32">
        <v>68</v>
      </c>
      <c r="D3938" s="32"/>
      <c r="E3938" s="48" t="s">
        <v>20</v>
      </c>
      <c r="F3938" s="48" t="s">
        <v>15</v>
      </c>
      <c r="G3938" s="48" t="s">
        <v>29</v>
      </c>
      <c r="H3938" s="11">
        <v>10.92</v>
      </c>
      <c r="I3938" s="52">
        <v>11</v>
      </c>
      <c r="J3938" s="7">
        <v>1</v>
      </c>
      <c r="K3938" s="10">
        <v>0.12012</v>
      </c>
      <c r="L3938" s="32"/>
      <c r="M3938" s="32">
        <v>1</v>
      </c>
      <c r="N3938" s="18">
        <v>0.12012</v>
      </c>
      <c r="O3938" s="19">
        <v>0</v>
      </c>
      <c r="P3938" s="13">
        <v>0</v>
      </c>
      <c r="Q3938" s="79">
        <v>7.5</v>
      </c>
      <c r="R3938" s="72">
        <v>1</v>
      </c>
      <c r="S3938" s="72" t="s">
        <v>540</v>
      </c>
    </row>
    <row r="3939" spans="1:19">
      <c r="A3939" s="47" t="s">
        <v>147</v>
      </c>
      <c r="B3939" s="48" t="s">
        <v>148</v>
      </c>
      <c r="C3939" s="32">
        <v>257</v>
      </c>
      <c r="D3939" s="32"/>
      <c r="E3939" s="48" t="s">
        <v>89</v>
      </c>
      <c r="F3939" s="48" t="s">
        <v>160</v>
      </c>
      <c r="G3939" s="48" t="s">
        <v>29</v>
      </c>
      <c r="H3939" s="11">
        <v>10.92</v>
      </c>
      <c r="I3939" s="52">
        <v>11.7</v>
      </c>
      <c r="J3939" s="7">
        <v>2</v>
      </c>
      <c r="K3939" s="10">
        <v>0.25552799999999998</v>
      </c>
      <c r="L3939" s="32"/>
      <c r="M3939" s="32">
        <v>2</v>
      </c>
      <c r="N3939" s="18">
        <v>0.25552799999999998</v>
      </c>
      <c r="O3939" s="19">
        <v>0</v>
      </c>
      <c r="P3939" s="13">
        <v>0</v>
      </c>
      <c r="Q3939" s="79">
        <v>7.5</v>
      </c>
      <c r="R3939" s="72">
        <v>2</v>
      </c>
      <c r="S3939" s="72" t="s">
        <v>540</v>
      </c>
    </row>
    <row r="3940" spans="1:19">
      <c r="A3940" s="47" t="s">
        <v>147</v>
      </c>
      <c r="B3940" s="48" t="s">
        <v>148</v>
      </c>
      <c r="C3940" s="32">
        <v>322</v>
      </c>
      <c r="D3940" s="32"/>
      <c r="E3940" s="48" t="s">
        <v>17</v>
      </c>
      <c r="F3940" s="48" t="s">
        <v>160</v>
      </c>
      <c r="G3940" s="48" t="s">
        <v>29</v>
      </c>
      <c r="H3940" s="11">
        <v>10.92</v>
      </c>
      <c r="I3940" s="52">
        <v>6.3</v>
      </c>
      <c r="J3940" s="7">
        <v>1</v>
      </c>
      <c r="K3940" s="10">
        <v>6.8795999999999996E-2</v>
      </c>
      <c r="L3940" s="32"/>
      <c r="M3940" s="32">
        <v>1</v>
      </c>
      <c r="N3940" s="18">
        <v>6.8795999999999996E-2</v>
      </c>
      <c r="O3940" s="19">
        <v>0</v>
      </c>
      <c r="P3940" s="13">
        <v>0</v>
      </c>
      <c r="Q3940" s="72">
        <v>6</v>
      </c>
      <c r="R3940" s="72">
        <v>1</v>
      </c>
      <c r="S3940" s="72" t="s">
        <v>540</v>
      </c>
    </row>
    <row r="3941" spans="1:19">
      <c r="A3941" s="47" t="s">
        <v>147</v>
      </c>
      <c r="B3941" s="48" t="s">
        <v>148</v>
      </c>
      <c r="C3941" s="32">
        <v>322</v>
      </c>
      <c r="D3941" s="32"/>
      <c r="E3941" s="48" t="s">
        <v>17</v>
      </c>
      <c r="F3941" s="48" t="s">
        <v>160</v>
      </c>
      <c r="G3941" s="48" t="s">
        <v>29</v>
      </c>
      <c r="H3941" s="11">
        <v>10.92</v>
      </c>
      <c r="I3941" s="52">
        <v>9.4</v>
      </c>
      <c r="J3941" s="7">
        <v>1</v>
      </c>
      <c r="K3941" s="10">
        <v>0.10264799999999999</v>
      </c>
      <c r="L3941" s="32"/>
      <c r="M3941" s="32">
        <v>1</v>
      </c>
      <c r="N3941" s="18">
        <v>0.10264799999999999</v>
      </c>
      <c r="O3941" s="19">
        <v>0</v>
      </c>
      <c r="P3941" s="13">
        <v>0</v>
      </c>
      <c r="Q3941" s="72">
        <v>7.5</v>
      </c>
      <c r="R3941" s="72">
        <v>1</v>
      </c>
      <c r="S3941" s="72" t="s">
        <v>540</v>
      </c>
    </row>
    <row r="3942" spans="1:19">
      <c r="A3942" s="44" t="s">
        <v>78</v>
      </c>
      <c r="B3942" s="3" t="s">
        <v>80</v>
      </c>
      <c r="C3942" s="3">
        <v>9</v>
      </c>
      <c r="D3942" s="1"/>
      <c r="E3942" s="20" t="s">
        <v>20</v>
      </c>
      <c r="F3942" s="7" t="s">
        <v>15</v>
      </c>
      <c r="G3942" s="7" t="s">
        <v>29</v>
      </c>
      <c r="H3942" s="11">
        <v>10.92</v>
      </c>
      <c r="I3942" s="8">
        <v>7.5</v>
      </c>
      <c r="J3942" s="26">
        <v>1</v>
      </c>
      <c r="K3942" s="10">
        <v>8.1900000000000001E-2</v>
      </c>
      <c r="L3942" s="4"/>
      <c r="M3942" s="32">
        <v>1</v>
      </c>
      <c r="N3942" s="18">
        <v>8.1900000000000001E-2</v>
      </c>
      <c r="O3942" s="19">
        <v>0</v>
      </c>
      <c r="P3942" s="13">
        <v>0</v>
      </c>
      <c r="Q3942" s="72">
        <v>7.5</v>
      </c>
      <c r="R3942" s="72">
        <v>1</v>
      </c>
      <c r="S3942" s="72" t="s">
        <v>540</v>
      </c>
    </row>
    <row r="3943" spans="1:19">
      <c r="A3943" s="44" t="s">
        <v>78</v>
      </c>
      <c r="B3943" s="3" t="s">
        <v>80</v>
      </c>
      <c r="C3943" s="3">
        <v>9</v>
      </c>
      <c r="D3943" s="1"/>
      <c r="E3943" s="20" t="s">
        <v>20</v>
      </c>
      <c r="F3943" s="7" t="s">
        <v>15</v>
      </c>
      <c r="G3943" s="7" t="s">
        <v>29</v>
      </c>
      <c r="H3943" s="11">
        <v>10.92</v>
      </c>
      <c r="I3943" s="8">
        <v>9.1999999999999993</v>
      </c>
      <c r="J3943" s="26">
        <v>1</v>
      </c>
      <c r="K3943" s="10">
        <v>0.100464</v>
      </c>
      <c r="L3943" s="4"/>
      <c r="M3943" s="17">
        <v>1</v>
      </c>
      <c r="N3943" s="18">
        <v>0.100464</v>
      </c>
      <c r="O3943" s="19">
        <v>0</v>
      </c>
      <c r="P3943" s="13">
        <v>0</v>
      </c>
      <c r="Q3943" s="72">
        <v>7.5</v>
      </c>
      <c r="R3943" s="72">
        <v>1</v>
      </c>
      <c r="S3943" s="72" t="s">
        <v>540</v>
      </c>
    </row>
    <row r="3944" spans="1:19">
      <c r="A3944" s="45" t="s">
        <v>136</v>
      </c>
      <c r="B3944" s="48" t="s">
        <v>171</v>
      </c>
      <c r="C3944" s="32">
        <v>135</v>
      </c>
      <c r="D3944" s="32"/>
      <c r="E3944" s="48" t="s">
        <v>20</v>
      </c>
      <c r="F3944" s="48" t="s">
        <v>15</v>
      </c>
      <c r="G3944" s="48" t="s">
        <v>29</v>
      </c>
      <c r="H3944" s="11">
        <v>10.92</v>
      </c>
      <c r="I3944" s="52">
        <v>10.5</v>
      </c>
      <c r="J3944" s="7">
        <v>1</v>
      </c>
      <c r="K3944" s="10">
        <v>0.11466</v>
      </c>
      <c r="L3944" s="32"/>
      <c r="M3944" s="32"/>
      <c r="N3944" s="18">
        <v>0</v>
      </c>
      <c r="O3944" s="19">
        <v>1</v>
      </c>
      <c r="P3944" s="13">
        <v>0.11466</v>
      </c>
      <c r="Q3944" s="72"/>
      <c r="R3944" s="72"/>
      <c r="S3944" s="72"/>
    </row>
    <row r="3945" spans="1:19">
      <c r="A3945" s="45" t="s">
        <v>136</v>
      </c>
      <c r="B3945" s="48" t="s">
        <v>171</v>
      </c>
      <c r="C3945" s="32">
        <v>135</v>
      </c>
      <c r="D3945" s="32"/>
      <c r="E3945" s="48" t="s">
        <v>20</v>
      </c>
      <c r="F3945" s="48" t="s">
        <v>15</v>
      </c>
      <c r="G3945" s="48" t="s">
        <v>29</v>
      </c>
      <c r="H3945" s="11">
        <v>10.92</v>
      </c>
      <c r="I3945" s="52">
        <v>11.4</v>
      </c>
      <c r="J3945" s="7">
        <v>1</v>
      </c>
      <c r="K3945" s="10">
        <v>0.124488</v>
      </c>
      <c r="L3945" s="32"/>
      <c r="M3945" s="32"/>
      <c r="N3945" s="18">
        <v>0</v>
      </c>
      <c r="O3945" s="19">
        <v>1</v>
      </c>
      <c r="P3945" s="13">
        <v>0.124488</v>
      </c>
      <c r="Q3945" s="72"/>
      <c r="R3945" s="72"/>
      <c r="S3945" s="72"/>
    </row>
    <row r="3946" spans="1:19">
      <c r="O3946" s="215">
        <f>SUM(O3932:O3945)</f>
        <v>8</v>
      </c>
      <c r="R3946" s="215">
        <f>SUM(R3932:R3945)</f>
        <v>13</v>
      </c>
    </row>
    <row r="3948" spans="1:19">
      <c r="A3948" s="42" t="s">
        <v>77</v>
      </c>
      <c r="B3948" s="3" t="s">
        <v>68</v>
      </c>
      <c r="C3948" s="3">
        <v>4</v>
      </c>
      <c r="D3948" s="1"/>
      <c r="E3948" s="20" t="s">
        <v>24</v>
      </c>
      <c r="F3948" s="7" t="s">
        <v>14</v>
      </c>
      <c r="G3948" s="7" t="s">
        <v>21</v>
      </c>
      <c r="H3948" s="11">
        <v>6.97</v>
      </c>
      <c r="I3948" s="8">
        <v>9.8000000000000007</v>
      </c>
      <c r="J3948" s="26">
        <v>3</v>
      </c>
      <c r="K3948" s="10">
        <v>0.20491800000000002</v>
      </c>
      <c r="L3948" s="4"/>
      <c r="M3948" s="17">
        <v>3</v>
      </c>
      <c r="N3948" s="18">
        <v>0.20491800000000002</v>
      </c>
      <c r="O3948" s="19">
        <v>0</v>
      </c>
      <c r="P3948" s="13">
        <v>0</v>
      </c>
      <c r="Q3948" s="73">
        <v>8.8000000000000007</v>
      </c>
      <c r="R3948" s="74">
        <v>3</v>
      </c>
      <c r="S3948" s="74" t="s">
        <v>614</v>
      </c>
    </row>
    <row r="3949" spans="1:19">
      <c r="A3949" s="42" t="s">
        <v>77</v>
      </c>
      <c r="B3949" s="3" t="s">
        <v>68</v>
      </c>
      <c r="C3949" s="3">
        <v>4</v>
      </c>
      <c r="D3949" s="1"/>
      <c r="E3949" s="20" t="s">
        <v>24</v>
      </c>
      <c r="F3949" s="7" t="s">
        <v>14</v>
      </c>
      <c r="G3949" s="7" t="s">
        <v>21</v>
      </c>
      <c r="H3949" s="11">
        <v>6.97</v>
      </c>
      <c r="I3949" s="8">
        <v>9.5</v>
      </c>
      <c r="J3949" s="26">
        <v>1</v>
      </c>
      <c r="K3949" s="10">
        <v>6.621500000000001E-2</v>
      </c>
      <c r="L3949" s="4"/>
      <c r="M3949" s="17">
        <v>1</v>
      </c>
      <c r="N3949" s="18">
        <v>6.621500000000001E-2</v>
      </c>
      <c r="O3949" s="19">
        <v>0</v>
      </c>
      <c r="P3949" s="13">
        <v>0</v>
      </c>
      <c r="Q3949" s="73">
        <v>8.8000000000000007</v>
      </c>
      <c r="R3949" s="74">
        <v>1</v>
      </c>
      <c r="S3949" s="74" t="s">
        <v>614</v>
      </c>
    </row>
    <row r="3950" spans="1:19">
      <c r="A3950" s="42" t="s">
        <v>77</v>
      </c>
      <c r="B3950" s="3" t="s">
        <v>68</v>
      </c>
      <c r="C3950" s="3">
        <v>4</v>
      </c>
      <c r="D3950" s="1"/>
      <c r="E3950" s="20" t="s">
        <v>24</v>
      </c>
      <c r="F3950" s="7" t="s">
        <v>14</v>
      </c>
      <c r="G3950" s="7" t="s">
        <v>21</v>
      </c>
      <c r="H3950" s="11">
        <v>6.97</v>
      </c>
      <c r="I3950" s="8">
        <v>9.6</v>
      </c>
      <c r="J3950" s="26">
        <v>1</v>
      </c>
      <c r="K3950" s="10">
        <v>6.6911999999999985E-2</v>
      </c>
      <c r="L3950" s="4"/>
      <c r="M3950" s="17">
        <v>1</v>
      </c>
      <c r="N3950" s="18">
        <v>6.6911999999999985E-2</v>
      </c>
      <c r="O3950" s="19">
        <v>0</v>
      </c>
      <c r="P3950" s="13">
        <v>0</v>
      </c>
      <c r="Q3950" s="73">
        <v>8.8000000000000007</v>
      </c>
      <c r="R3950" s="74">
        <v>1</v>
      </c>
      <c r="S3950" s="74" t="s">
        <v>614</v>
      </c>
    </row>
    <row r="3951" spans="1:19">
      <c r="A3951" s="42" t="s">
        <v>77</v>
      </c>
      <c r="B3951" s="3" t="s">
        <v>68</v>
      </c>
      <c r="C3951" s="3">
        <v>4</v>
      </c>
      <c r="D3951" s="1"/>
      <c r="E3951" s="20" t="s">
        <v>24</v>
      </c>
      <c r="F3951" s="7" t="s">
        <v>14</v>
      </c>
      <c r="G3951" s="7" t="s">
        <v>21</v>
      </c>
      <c r="H3951" s="11">
        <v>6.97</v>
      </c>
      <c r="I3951" s="8">
        <v>9.1999999999999993</v>
      </c>
      <c r="J3951" s="26">
        <v>3</v>
      </c>
      <c r="K3951" s="10">
        <v>0.19237199999999999</v>
      </c>
      <c r="L3951" s="4"/>
      <c r="M3951" s="17">
        <v>3</v>
      </c>
      <c r="N3951" s="18">
        <v>0.19237199999999999</v>
      </c>
      <c r="O3951" s="19">
        <v>0</v>
      </c>
      <c r="P3951" s="13">
        <v>0</v>
      </c>
      <c r="Q3951" s="73">
        <v>8.8000000000000007</v>
      </c>
      <c r="R3951" s="74">
        <v>3</v>
      </c>
      <c r="S3951" s="74" t="s">
        <v>614</v>
      </c>
    </row>
    <row r="3952" spans="1:19">
      <c r="A3952" s="42" t="s">
        <v>77</v>
      </c>
      <c r="B3952" s="3" t="s">
        <v>68</v>
      </c>
      <c r="C3952" s="3">
        <v>4</v>
      </c>
      <c r="D3952" s="1"/>
      <c r="E3952" s="20" t="s">
        <v>24</v>
      </c>
      <c r="F3952" s="7" t="s">
        <v>14</v>
      </c>
      <c r="G3952" s="7" t="s">
        <v>21</v>
      </c>
      <c r="H3952" s="11">
        <v>6.97</v>
      </c>
      <c r="I3952" s="8">
        <v>7.5</v>
      </c>
      <c r="J3952" s="26">
        <v>2</v>
      </c>
      <c r="K3952" s="10">
        <v>0.10455</v>
      </c>
      <c r="L3952" s="4"/>
      <c r="M3952" s="17">
        <v>2</v>
      </c>
      <c r="N3952" s="18">
        <v>0.10455</v>
      </c>
      <c r="O3952" s="19">
        <v>0</v>
      </c>
      <c r="P3952" s="13">
        <v>0</v>
      </c>
      <c r="Q3952" s="73">
        <v>6.6</v>
      </c>
      <c r="R3952" s="74">
        <v>2</v>
      </c>
      <c r="S3952" s="74" t="s">
        <v>614</v>
      </c>
    </row>
    <row r="3953" spans="1:19">
      <c r="A3953" s="42" t="s">
        <v>77</v>
      </c>
      <c r="B3953" s="3" t="s">
        <v>68</v>
      </c>
      <c r="C3953" s="3">
        <v>4</v>
      </c>
      <c r="D3953" s="1"/>
      <c r="E3953" s="20" t="s">
        <v>24</v>
      </c>
      <c r="F3953" s="7" t="s">
        <v>14</v>
      </c>
      <c r="G3953" s="7" t="s">
        <v>21</v>
      </c>
      <c r="H3953" s="11">
        <v>6.97</v>
      </c>
      <c r="I3953" s="8">
        <v>9</v>
      </c>
      <c r="J3953" s="26">
        <v>2</v>
      </c>
      <c r="K3953" s="10">
        <v>0.12545999999999999</v>
      </c>
      <c r="L3953" s="4"/>
      <c r="M3953" s="17">
        <v>2</v>
      </c>
      <c r="N3953" s="18">
        <v>0.12545999999999999</v>
      </c>
      <c r="O3953" s="19">
        <v>0</v>
      </c>
      <c r="P3953" s="13">
        <v>0</v>
      </c>
      <c r="Q3953" s="73">
        <v>8.8000000000000007</v>
      </c>
      <c r="R3953" s="74">
        <v>2</v>
      </c>
      <c r="S3953" s="74" t="s">
        <v>614</v>
      </c>
    </row>
    <row r="3954" spans="1:19">
      <c r="A3954" s="42" t="s">
        <v>77</v>
      </c>
      <c r="B3954" s="3" t="s">
        <v>68</v>
      </c>
      <c r="C3954" s="3">
        <v>382</v>
      </c>
      <c r="D3954" s="1"/>
      <c r="E3954" s="20" t="s">
        <v>24</v>
      </c>
      <c r="F3954" s="7" t="s">
        <v>14</v>
      </c>
      <c r="G3954" s="7" t="s">
        <v>21</v>
      </c>
      <c r="H3954" s="11">
        <v>6.97</v>
      </c>
      <c r="I3954" s="8">
        <v>7.1</v>
      </c>
      <c r="J3954" s="26">
        <v>1</v>
      </c>
      <c r="K3954" s="10">
        <v>4.9486999999999996E-2</v>
      </c>
      <c r="L3954" s="4"/>
      <c r="M3954" s="17">
        <v>1</v>
      </c>
      <c r="N3954" s="18">
        <v>4.9486999999999996E-2</v>
      </c>
      <c r="O3954" s="19">
        <v>0</v>
      </c>
      <c r="P3954" s="13">
        <v>0</v>
      </c>
      <c r="Q3954" s="73">
        <v>6.6</v>
      </c>
      <c r="R3954" s="74">
        <v>1</v>
      </c>
      <c r="S3954" s="74" t="s">
        <v>614</v>
      </c>
    </row>
    <row r="3955" spans="1:19">
      <c r="A3955" s="42" t="s">
        <v>77</v>
      </c>
      <c r="B3955" s="3" t="s">
        <v>68</v>
      </c>
      <c r="C3955" s="3">
        <v>446</v>
      </c>
      <c r="D3955" s="1"/>
      <c r="E3955" s="20" t="s">
        <v>24</v>
      </c>
      <c r="F3955" s="7" t="s">
        <v>14</v>
      </c>
      <c r="G3955" s="7" t="s">
        <v>21</v>
      </c>
      <c r="H3955" s="11">
        <v>6.97</v>
      </c>
      <c r="I3955" s="8">
        <v>9</v>
      </c>
      <c r="J3955" s="26">
        <v>1</v>
      </c>
      <c r="K3955" s="10">
        <v>6.2729999999999994E-2</v>
      </c>
      <c r="L3955" s="4"/>
      <c r="M3955" s="17">
        <v>1</v>
      </c>
      <c r="N3955" s="18">
        <v>6.2729999999999994E-2</v>
      </c>
      <c r="O3955" s="19">
        <v>0</v>
      </c>
      <c r="P3955" s="13">
        <v>0</v>
      </c>
      <c r="Q3955" s="73">
        <v>8.8000000000000007</v>
      </c>
      <c r="R3955" s="74">
        <v>1</v>
      </c>
      <c r="S3955" s="74" t="s">
        <v>614</v>
      </c>
    </row>
    <row r="3956" spans="1:19">
      <c r="A3956" s="42" t="s">
        <v>77</v>
      </c>
      <c r="B3956" s="3" t="s">
        <v>68</v>
      </c>
      <c r="C3956" s="3">
        <v>446</v>
      </c>
      <c r="D3956" s="1"/>
      <c r="E3956" s="20" t="s">
        <v>24</v>
      </c>
      <c r="F3956" s="7" t="s">
        <v>14</v>
      </c>
      <c r="G3956" s="7" t="s">
        <v>21</v>
      </c>
      <c r="H3956" s="11">
        <v>6.97</v>
      </c>
      <c r="I3956" s="8">
        <v>7</v>
      </c>
      <c r="J3956" s="26">
        <v>2</v>
      </c>
      <c r="K3956" s="10">
        <v>9.758E-2</v>
      </c>
      <c r="L3956" s="4"/>
      <c r="M3956" s="17">
        <v>2</v>
      </c>
      <c r="N3956" s="18">
        <v>9.758E-2</v>
      </c>
      <c r="O3956" s="19">
        <v>0</v>
      </c>
      <c r="P3956" s="13">
        <v>0</v>
      </c>
      <c r="Q3956" s="73">
        <v>6.6</v>
      </c>
      <c r="R3956" s="74">
        <v>2</v>
      </c>
      <c r="S3956" s="74" t="s">
        <v>614</v>
      </c>
    </row>
    <row r="3957" spans="1:19">
      <c r="A3957" s="42" t="s">
        <v>77</v>
      </c>
      <c r="B3957" s="3" t="s">
        <v>68</v>
      </c>
      <c r="C3957" s="3">
        <v>446</v>
      </c>
      <c r="D3957" s="1"/>
      <c r="E3957" s="20" t="s">
        <v>24</v>
      </c>
      <c r="F3957" s="7" t="s">
        <v>14</v>
      </c>
      <c r="G3957" s="7" t="s">
        <v>21</v>
      </c>
      <c r="H3957" s="11">
        <v>6.97</v>
      </c>
      <c r="I3957" s="8">
        <v>6</v>
      </c>
      <c r="J3957" s="26">
        <v>1</v>
      </c>
      <c r="K3957" s="10">
        <v>4.1820000000000003E-2</v>
      </c>
      <c r="L3957" s="4"/>
      <c r="M3957" s="17"/>
      <c r="N3957" s="18">
        <v>0</v>
      </c>
      <c r="O3957" s="19">
        <v>1</v>
      </c>
      <c r="P3957" s="13">
        <v>4.1820000000000003E-2</v>
      </c>
      <c r="Q3957" s="73"/>
      <c r="R3957" s="74"/>
      <c r="S3957" s="74"/>
    </row>
    <row r="3958" spans="1:19">
      <c r="A3958" s="48" t="s">
        <v>179</v>
      </c>
      <c r="B3958" s="48" t="s">
        <v>180</v>
      </c>
      <c r="C3958" s="32"/>
      <c r="D3958" s="32"/>
      <c r="E3958" s="48" t="s">
        <v>24</v>
      </c>
      <c r="F3958" s="48" t="s">
        <v>14</v>
      </c>
      <c r="G3958" s="48" t="s">
        <v>21</v>
      </c>
      <c r="H3958" s="11">
        <v>6.97</v>
      </c>
      <c r="I3958" s="9">
        <v>11.8</v>
      </c>
      <c r="J3958" s="7">
        <v>1</v>
      </c>
      <c r="K3958" s="10">
        <v>8.2246E-2</v>
      </c>
      <c r="L3958" s="32"/>
      <c r="M3958" s="32">
        <v>1</v>
      </c>
      <c r="N3958" s="18">
        <v>8.2246E-2</v>
      </c>
      <c r="O3958" s="19">
        <v>0</v>
      </c>
      <c r="P3958" s="13">
        <v>0</v>
      </c>
      <c r="Q3958" s="73">
        <v>8.8000000000000007</v>
      </c>
      <c r="R3958" s="72">
        <v>1</v>
      </c>
      <c r="S3958" s="74" t="s">
        <v>614</v>
      </c>
    </row>
    <row r="3959" spans="1:19">
      <c r="A3959" s="42" t="s">
        <v>90</v>
      </c>
      <c r="B3959" s="3"/>
      <c r="C3959" s="3">
        <v>110</v>
      </c>
      <c r="D3959" s="1"/>
      <c r="E3959" s="20" t="s">
        <v>24</v>
      </c>
      <c r="F3959" s="7" t="s">
        <v>14</v>
      </c>
      <c r="G3959" s="7" t="s">
        <v>21</v>
      </c>
      <c r="H3959" s="11">
        <v>6.97</v>
      </c>
      <c r="I3959" s="8">
        <v>6.7</v>
      </c>
      <c r="J3959" s="26">
        <v>1</v>
      </c>
      <c r="K3959" s="10">
        <v>4.6698999999999997E-2</v>
      </c>
      <c r="L3959" s="4"/>
      <c r="M3959" s="17">
        <v>1</v>
      </c>
      <c r="N3959" s="18">
        <v>4.6698999999999997E-2</v>
      </c>
      <c r="O3959" s="19">
        <v>0</v>
      </c>
      <c r="P3959" s="13">
        <v>0</v>
      </c>
      <c r="Q3959" s="73">
        <v>6.6</v>
      </c>
      <c r="R3959" s="74">
        <v>1</v>
      </c>
      <c r="S3959" s="74" t="s">
        <v>614</v>
      </c>
    </row>
    <row r="3960" spans="1:19">
      <c r="A3960" s="42" t="s">
        <v>90</v>
      </c>
      <c r="B3960" s="3"/>
      <c r="C3960" s="3"/>
      <c r="D3960" s="1"/>
      <c r="E3960" s="20" t="s">
        <v>24</v>
      </c>
      <c r="F3960" s="7" t="s">
        <v>14</v>
      </c>
      <c r="G3960" s="7" t="s">
        <v>21</v>
      </c>
      <c r="H3960" s="11">
        <v>6.97</v>
      </c>
      <c r="I3960" s="8">
        <v>8.5</v>
      </c>
      <c r="J3960" s="26">
        <v>1</v>
      </c>
      <c r="K3960" s="10">
        <v>5.9244999999999999E-2</v>
      </c>
      <c r="L3960" s="4"/>
      <c r="M3960" s="17">
        <v>1</v>
      </c>
      <c r="N3960" s="18">
        <v>5.9244999999999999E-2</v>
      </c>
      <c r="O3960" s="19">
        <v>0</v>
      </c>
      <c r="P3960" s="13">
        <v>0</v>
      </c>
      <c r="Q3960" s="73">
        <v>6.6</v>
      </c>
      <c r="R3960" s="74">
        <v>1</v>
      </c>
      <c r="S3960" s="74" t="s">
        <v>614</v>
      </c>
    </row>
    <row r="3961" spans="1:19">
      <c r="A3961" s="42" t="s">
        <v>90</v>
      </c>
      <c r="B3961" s="3"/>
      <c r="C3961" s="3"/>
      <c r="D3961" s="1"/>
      <c r="E3961" s="20" t="s">
        <v>24</v>
      </c>
      <c r="F3961" s="7" t="s">
        <v>14</v>
      </c>
      <c r="G3961" s="7" t="s">
        <v>21</v>
      </c>
      <c r="H3961" s="11">
        <v>6.97</v>
      </c>
      <c r="I3961" s="8">
        <v>9.5</v>
      </c>
      <c r="J3961" s="26">
        <v>1</v>
      </c>
      <c r="K3961" s="10">
        <v>6.621500000000001E-2</v>
      </c>
      <c r="L3961" s="4"/>
      <c r="M3961" s="17">
        <v>1</v>
      </c>
      <c r="N3961" s="18">
        <v>6.621500000000001E-2</v>
      </c>
      <c r="O3961" s="19">
        <v>0</v>
      </c>
      <c r="P3961" s="13">
        <v>0</v>
      </c>
      <c r="Q3961" s="73">
        <v>8.8000000000000007</v>
      </c>
      <c r="R3961" s="74">
        <v>1</v>
      </c>
      <c r="S3961" s="74" t="s">
        <v>614</v>
      </c>
    </row>
    <row r="3962" spans="1:19">
      <c r="O3962" s="215">
        <f>SUM(O3948:O3961)</f>
        <v>1</v>
      </c>
      <c r="R3962" s="215">
        <f>SUM(R3948:R3961)</f>
        <v>20</v>
      </c>
    </row>
    <row r="3964" spans="1:19">
      <c r="A3964" s="42" t="s">
        <v>84</v>
      </c>
      <c r="B3964" s="3" t="s">
        <v>122</v>
      </c>
      <c r="C3964" s="3">
        <v>1</v>
      </c>
      <c r="D3964" s="1"/>
      <c r="E3964" s="20" t="s">
        <v>86</v>
      </c>
      <c r="F3964" s="7" t="s">
        <v>14</v>
      </c>
      <c r="G3964" s="7" t="s">
        <v>32</v>
      </c>
      <c r="H3964" s="11">
        <v>8.3000000000000007</v>
      </c>
      <c r="I3964" s="8">
        <v>10.9</v>
      </c>
      <c r="J3964" s="26">
        <v>2</v>
      </c>
      <c r="K3964" s="10">
        <v>0.18094000000000002</v>
      </c>
      <c r="L3964" s="4"/>
      <c r="M3964" s="22"/>
      <c r="N3964" s="18">
        <v>0</v>
      </c>
      <c r="O3964" s="19">
        <v>2</v>
      </c>
      <c r="P3964" s="13">
        <v>0.18094000000000002</v>
      </c>
      <c r="Q3964" s="9"/>
      <c r="R3964" s="2"/>
      <c r="S3964" s="2"/>
    </row>
    <row r="3965" spans="1:19">
      <c r="A3965" s="42" t="s">
        <v>84</v>
      </c>
      <c r="B3965" s="3" t="s">
        <v>122</v>
      </c>
      <c r="C3965" s="3">
        <v>1</v>
      </c>
      <c r="D3965" s="1"/>
      <c r="E3965" s="20" t="s">
        <v>86</v>
      </c>
      <c r="F3965" s="7" t="s">
        <v>14</v>
      </c>
      <c r="G3965" s="7" t="s">
        <v>32</v>
      </c>
      <c r="H3965" s="11">
        <v>8.3000000000000007</v>
      </c>
      <c r="I3965" s="8">
        <v>11</v>
      </c>
      <c r="J3965" s="26">
        <v>11</v>
      </c>
      <c r="K3965" s="10">
        <v>1.0043000000000002</v>
      </c>
      <c r="L3965" s="4"/>
      <c r="M3965" s="22">
        <v>11</v>
      </c>
      <c r="N3965" s="18">
        <v>1.0043</v>
      </c>
      <c r="O3965" s="19">
        <v>0</v>
      </c>
      <c r="P3965" s="13">
        <v>0</v>
      </c>
      <c r="Q3965" s="9"/>
      <c r="R3965" s="2"/>
      <c r="S3965" s="2"/>
    </row>
    <row r="3966" spans="1:19">
      <c r="A3966" s="42" t="s">
        <v>84</v>
      </c>
      <c r="B3966" s="3" t="s">
        <v>122</v>
      </c>
      <c r="C3966" s="3">
        <v>1</v>
      </c>
      <c r="D3966" s="1"/>
      <c r="E3966" s="20" t="s">
        <v>86</v>
      </c>
      <c r="F3966" s="7" t="s">
        <v>14</v>
      </c>
      <c r="G3966" s="7" t="s">
        <v>32</v>
      </c>
      <c r="H3966" s="11">
        <v>8.3000000000000007</v>
      </c>
      <c r="I3966" s="8">
        <v>9.6999999999999993</v>
      </c>
      <c r="J3966" s="26">
        <v>1</v>
      </c>
      <c r="K3966" s="10">
        <v>8.0509999999999998E-2</v>
      </c>
      <c r="L3966" s="4"/>
      <c r="M3966" s="22"/>
      <c r="N3966" s="18">
        <v>0</v>
      </c>
      <c r="O3966" s="19">
        <v>1</v>
      </c>
      <c r="P3966" s="13">
        <v>8.0509999999999998E-2</v>
      </c>
      <c r="Q3966" s="9"/>
      <c r="R3966" s="2"/>
      <c r="S3966" s="2"/>
    </row>
    <row r="3967" spans="1:19">
      <c r="A3967" s="42" t="s">
        <v>84</v>
      </c>
      <c r="B3967" s="3" t="s">
        <v>122</v>
      </c>
      <c r="C3967" s="3">
        <v>1</v>
      </c>
      <c r="D3967" s="1"/>
      <c r="E3967" s="20" t="s">
        <v>86</v>
      </c>
      <c r="F3967" s="7" t="s">
        <v>14</v>
      </c>
      <c r="G3967" s="7" t="s">
        <v>32</v>
      </c>
      <c r="H3967" s="11">
        <v>8.3000000000000007</v>
      </c>
      <c r="I3967" s="8">
        <v>9.5</v>
      </c>
      <c r="J3967" s="26">
        <v>1</v>
      </c>
      <c r="K3967" s="10">
        <v>7.8850000000000003E-2</v>
      </c>
      <c r="L3967" s="4"/>
      <c r="M3967" s="17"/>
      <c r="N3967" s="18">
        <v>0</v>
      </c>
      <c r="O3967" s="19">
        <v>1</v>
      </c>
      <c r="P3967" s="13">
        <v>7.8850000000000003E-2</v>
      </c>
      <c r="Q3967" s="9"/>
      <c r="R3967" s="2"/>
      <c r="S3967" s="2"/>
    </row>
    <row r="3968" spans="1:19">
      <c r="A3968" s="42" t="s">
        <v>84</v>
      </c>
      <c r="B3968" s="3" t="s">
        <v>122</v>
      </c>
      <c r="C3968" s="3">
        <v>2</v>
      </c>
      <c r="D3968" s="1"/>
      <c r="E3968" s="24" t="s">
        <v>81</v>
      </c>
      <c r="F3968" s="7" t="s">
        <v>14</v>
      </c>
      <c r="G3968" s="7" t="s">
        <v>32</v>
      </c>
      <c r="H3968" s="11">
        <v>8.3000000000000007</v>
      </c>
      <c r="I3968" s="8">
        <v>10.1</v>
      </c>
      <c r="J3968" s="26">
        <v>1</v>
      </c>
      <c r="K3968" s="10">
        <v>8.3830000000000002E-2</v>
      </c>
      <c r="L3968" s="4"/>
      <c r="M3968" s="17"/>
      <c r="N3968" s="18">
        <v>0</v>
      </c>
      <c r="O3968" s="19">
        <v>1</v>
      </c>
      <c r="P3968" s="13">
        <v>8.3830000000000002E-2</v>
      </c>
      <c r="Q3968" s="9"/>
      <c r="R3968" s="2"/>
      <c r="S3968" s="2"/>
    </row>
    <row r="3969" spans="1:20">
      <c r="A3969" s="42" t="s">
        <v>84</v>
      </c>
      <c r="B3969" s="3" t="s">
        <v>122</v>
      </c>
      <c r="C3969" s="3">
        <v>2</v>
      </c>
      <c r="D3969" s="1"/>
      <c r="E3969" s="24" t="s">
        <v>81</v>
      </c>
      <c r="F3969" s="7" t="s">
        <v>14</v>
      </c>
      <c r="G3969" s="7" t="s">
        <v>32</v>
      </c>
      <c r="H3969" s="11">
        <v>8.3000000000000007</v>
      </c>
      <c r="I3969" s="8">
        <v>10.3</v>
      </c>
      <c r="J3969" s="26">
        <v>1</v>
      </c>
      <c r="K3969" s="10">
        <v>8.549000000000001E-2</v>
      </c>
      <c r="L3969" s="4"/>
      <c r="M3969" s="17"/>
      <c r="N3969" s="18">
        <v>0</v>
      </c>
      <c r="O3969" s="19">
        <v>1</v>
      </c>
      <c r="P3969" s="13">
        <v>8.549000000000001E-2</v>
      </c>
      <c r="Q3969" s="9"/>
      <c r="R3969" s="2"/>
      <c r="S3969" s="2"/>
    </row>
    <row r="3970" spans="1:20">
      <c r="A3970" s="42" t="s">
        <v>84</v>
      </c>
      <c r="B3970" s="3" t="s">
        <v>122</v>
      </c>
      <c r="C3970" s="3">
        <v>2</v>
      </c>
      <c r="D3970" s="1"/>
      <c r="E3970" s="24" t="s">
        <v>81</v>
      </c>
      <c r="F3970" s="7" t="s">
        <v>14</v>
      </c>
      <c r="G3970" s="7" t="s">
        <v>32</v>
      </c>
      <c r="H3970" s="11">
        <v>8.3000000000000007</v>
      </c>
      <c r="I3970" s="8">
        <v>11.25</v>
      </c>
      <c r="J3970" s="26">
        <v>1</v>
      </c>
      <c r="K3970" s="10">
        <v>9.3375000000000014E-2</v>
      </c>
      <c r="L3970" s="4"/>
      <c r="M3970" s="17">
        <v>1</v>
      </c>
      <c r="N3970" s="18">
        <v>9.3375000000000014E-2</v>
      </c>
      <c r="O3970" s="19">
        <v>0</v>
      </c>
      <c r="P3970" s="13">
        <v>0</v>
      </c>
      <c r="Q3970" s="9"/>
      <c r="R3970" s="2"/>
      <c r="S3970" s="2"/>
    </row>
    <row r="3971" spans="1:20">
      <c r="A3971" s="42" t="s">
        <v>84</v>
      </c>
      <c r="B3971" s="3" t="s">
        <v>122</v>
      </c>
      <c r="C3971" s="3">
        <v>2</v>
      </c>
      <c r="D3971" s="1"/>
      <c r="E3971" s="24" t="s">
        <v>81</v>
      </c>
      <c r="F3971" s="7" t="s">
        <v>14</v>
      </c>
      <c r="G3971" s="7" t="s">
        <v>32</v>
      </c>
      <c r="H3971" s="11">
        <v>8.3000000000000007</v>
      </c>
      <c r="I3971" s="8">
        <v>11.5</v>
      </c>
      <c r="J3971" s="26">
        <v>1</v>
      </c>
      <c r="K3971" s="10">
        <v>9.5450000000000007E-2</v>
      </c>
      <c r="L3971" s="4"/>
      <c r="M3971" s="17">
        <v>1</v>
      </c>
      <c r="N3971" s="18">
        <v>9.5450000000000007E-2</v>
      </c>
      <c r="O3971" s="19">
        <v>0</v>
      </c>
      <c r="P3971" s="13">
        <v>0</v>
      </c>
      <c r="Q3971" s="9"/>
      <c r="R3971" s="2"/>
      <c r="S3971" s="2"/>
    </row>
    <row r="3972" spans="1:20">
      <c r="A3972" s="42" t="s">
        <v>84</v>
      </c>
      <c r="B3972" s="3" t="s">
        <v>122</v>
      </c>
      <c r="C3972" s="3">
        <v>2</v>
      </c>
      <c r="D3972" s="1"/>
      <c r="E3972" s="24" t="s">
        <v>81</v>
      </c>
      <c r="F3972" s="7" t="s">
        <v>14</v>
      </c>
      <c r="G3972" s="7" t="s">
        <v>32</v>
      </c>
      <c r="H3972" s="11">
        <v>8.3000000000000007</v>
      </c>
      <c r="I3972" s="8">
        <v>11.7</v>
      </c>
      <c r="J3972" s="26">
        <v>1</v>
      </c>
      <c r="K3972" s="10">
        <v>9.7110000000000002E-2</v>
      </c>
      <c r="L3972" s="4"/>
      <c r="M3972" s="17">
        <v>1</v>
      </c>
      <c r="N3972" s="18">
        <v>9.7110000000000002E-2</v>
      </c>
      <c r="O3972" s="19">
        <v>0</v>
      </c>
      <c r="P3972" s="13">
        <v>0</v>
      </c>
      <c r="Q3972" s="9"/>
      <c r="R3972" s="2"/>
      <c r="S3972" s="2"/>
    </row>
    <row r="3973" spans="1:20">
      <c r="A3973" s="42" t="s">
        <v>84</v>
      </c>
      <c r="B3973" s="3" t="s">
        <v>122</v>
      </c>
      <c r="C3973" s="3">
        <v>2</v>
      </c>
      <c r="D3973" s="1"/>
      <c r="E3973" s="24" t="s">
        <v>81</v>
      </c>
      <c r="F3973" s="7" t="s">
        <v>14</v>
      </c>
      <c r="G3973" s="7" t="s">
        <v>32</v>
      </c>
      <c r="H3973" s="11">
        <v>8.3000000000000007</v>
      </c>
      <c r="I3973" s="8">
        <v>9.5</v>
      </c>
      <c r="J3973" s="26">
        <v>1</v>
      </c>
      <c r="K3973" s="10">
        <v>7.8850000000000003E-2</v>
      </c>
      <c r="L3973" s="4"/>
      <c r="M3973" s="17">
        <v>1</v>
      </c>
      <c r="N3973" s="18">
        <v>7.8850000000000003E-2</v>
      </c>
      <c r="O3973" s="19">
        <v>0</v>
      </c>
      <c r="P3973" s="13">
        <v>0</v>
      </c>
      <c r="Q3973" s="9"/>
      <c r="R3973" s="2"/>
      <c r="S3973" s="2"/>
    </row>
    <row r="3974" spans="1:20">
      <c r="A3974" s="42" t="s">
        <v>84</v>
      </c>
      <c r="B3974" s="3" t="s">
        <v>122</v>
      </c>
      <c r="C3974" s="3">
        <v>2</v>
      </c>
      <c r="D3974" s="1"/>
      <c r="E3974" s="24" t="s">
        <v>81</v>
      </c>
      <c r="F3974" s="7" t="s">
        <v>14</v>
      </c>
      <c r="G3974" s="7" t="s">
        <v>32</v>
      </c>
      <c r="H3974" s="11">
        <v>8.3000000000000007</v>
      </c>
      <c r="I3974" s="8">
        <v>9.8000000000000007</v>
      </c>
      <c r="J3974" s="26">
        <v>1</v>
      </c>
      <c r="K3974" s="10">
        <v>8.1340000000000023E-2</v>
      </c>
      <c r="L3974" s="4"/>
      <c r="M3974" s="17">
        <v>1</v>
      </c>
      <c r="N3974" s="18">
        <v>8.1340000000000023E-2</v>
      </c>
      <c r="O3974" s="19">
        <v>0</v>
      </c>
      <c r="P3974" s="13">
        <v>0</v>
      </c>
      <c r="Q3974" s="9"/>
      <c r="R3974" s="2"/>
      <c r="S3974" s="2"/>
    </row>
    <row r="3975" spans="1:20">
      <c r="A3975" s="42" t="s">
        <v>84</v>
      </c>
      <c r="B3975" s="3" t="s">
        <v>122</v>
      </c>
      <c r="C3975" s="3">
        <v>2</v>
      </c>
      <c r="D3975" s="1"/>
      <c r="E3975" s="24" t="s">
        <v>81</v>
      </c>
      <c r="F3975" s="7" t="s">
        <v>14</v>
      </c>
      <c r="G3975" s="7" t="s">
        <v>32</v>
      </c>
      <c r="H3975" s="11">
        <v>8.3000000000000007</v>
      </c>
      <c r="I3975" s="8">
        <v>10</v>
      </c>
      <c r="J3975" s="26">
        <v>2</v>
      </c>
      <c r="K3975" s="10">
        <v>0.16600000000000001</v>
      </c>
      <c r="L3975" s="4"/>
      <c r="M3975" s="17"/>
      <c r="N3975" s="18">
        <v>0</v>
      </c>
      <c r="O3975" s="19">
        <v>2</v>
      </c>
      <c r="P3975" s="13">
        <v>0.16600000000000001</v>
      </c>
      <c r="Q3975" s="9"/>
      <c r="R3975" s="2"/>
      <c r="S3975" s="2"/>
    </row>
    <row r="3976" spans="1:20">
      <c r="A3976" s="42" t="s">
        <v>84</v>
      </c>
      <c r="B3976" s="3" t="s">
        <v>122</v>
      </c>
      <c r="C3976" s="3">
        <v>3</v>
      </c>
      <c r="D3976" s="1"/>
      <c r="E3976" s="24" t="s">
        <v>81</v>
      </c>
      <c r="F3976" s="7" t="s">
        <v>14</v>
      </c>
      <c r="G3976" s="7" t="s">
        <v>32</v>
      </c>
      <c r="H3976" s="11">
        <v>8.3000000000000007</v>
      </c>
      <c r="I3976" s="8">
        <v>12</v>
      </c>
      <c r="J3976" s="26">
        <v>15</v>
      </c>
      <c r="K3976" s="10">
        <v>1.4940000000000002</v>
      </c>
      <c r="L3976" s="4"/>
      <c r="M3976" s="17">
        <v>6</v>
      </c>
      <c r="N3976" s="18">
        <v>0.59760000000000002</v>
      </c>
      <c r="O3976" s="19">
        <v>9</v>
      </c>
      <c r="P3976" s="13">
        <v>0.89640000000000009</v>
      </c>
      <c r="Q3976" s="73">
        <v>12</v>
      </c>
      <c r="R3976" s="74">
        <v>4</v>
      </c>
      <c r="S3976" s="74" t="s">
        <v>538</v>
      </c>
    </row>
    <row r="3977" spans="1:20">
      <c r="A3977" s="47" t="s">
        <v>147</v>
      </c>
      <c r="B3977" s="48" t="s">
        <v>148</v>
      </c>
      <c r="C3977" s="32">
        <v>364</v>
      </c>
      <c r="D3977" s="32"/>
      <c r="E3977" s="48" t="s">
        <v>159</v>
      </c>
      <c r="F3977" s="48" t="s">
        <v>14</v>
      </c>
      <c r="G3977" s="48" t="s">
        <v>32</v>
      </c>
      <c r="H3977" s="11">
        <v>8.3000000000000007</v>
      </c>
      <c r="I3977" s="52">
        <v>9.5</v>
      </c>
      <c r="J3977" s="7">
        <v>2</v>
      </c>
      <c r="K3977" s="10">
        <v>0.15770000000000001</v>
      </c>
      <c r="L3977" s="32"/>
      <c r="M3977" s="32"/>
      <c r="N3977" s="18">
        <v>0</v>
      </c>
      <c r="O3977" s="19">
        <v>2</v>
      </c>
      <c r="P3977" s="13">
        <v>0.15770000000000001</v>
      </c>
      <c r="Q3977" s="32"/>
      <c r="R3977" s="32"/>
      <c r="S3977" s="32"/>
    </row>
    <row r="3978" spans="1:20">
      <c r="A3978" s="47" t="s">
        <v>147</v>
      </c>
      <c r="B3978" s="48" t="s">
        <v>148</v>
      </c>
      <c r="C3978" s="32">
        <v>364</v>
      </c>
      <c r="D3978" s="32"/>
      <c r="E3978" s="48" t="s">
        <v>159</v>
      </c>
      <c r="F3978" s="48" t="s">
        <v>14</v>
      </c>
      <c r="G3978" s="48" t="s">
        <v>32</v>
      </c>
      <c r="H3978" s="11">
        <v>8.3000000000000007</v>
      </c>
      <c r="I3978" s="52">
        <v>10</v>
      </c>
      <c r="J3978" s="7">
        <v>2</v>
      </c>
      <c r="K3978" s="10">
        <v>0.16600000000000001</v>
      </c>
      <c r="L3978" s="32"/>
      <c r="M3978" s="32"/>
      <c r="N3978" s="18">
        <v>0</v>
      </c>
      <c r="O3978" s="19">
        <v>2</v>
      </c>
      <c r="P3978" s="13">
        <v>0.16600000000000001</v>
      </c>
      <c r="Q3978" s="32"/>
      <c r="R3978" s="32"/>
      <c r="S3978" s="32"/>
    </row>
    <row r="3979" spans="1:20">
      <c r="O3979" s="78">
        <f>SUM(O3964:O3978)</f>
        <v>21</v>
      </c>
      <c r="R3979" s="215">
        <f>SUM(R3964:R3978)</f>
        <v>4</v>
      </c>
    </row>
    <row r="3981" spans="1:20" ht="15.6">
      <c r="B3981" s="110" t="s">
        <v>363</v>
      </c>
      <c r="C3981" s="111" t="s">
        <v>232</v>
      </c>
      <c r="D3981" s="112" t="s">
        <v>364</v>
      </c>
      <c r="E3981" s="113" t="s">
        <v>24</v>
      </c>
      <c r="F3981" s="114" t="s">
        <v>14</v>
      </c>
      <c r="G3981" s="115" t="s">
        <v>32</v>
      </c>
      <c r="H3981" s="116">
        <v>8.32</v>
      </c>
      <c r="I3981" s="125">
        <v>12</v>
      </c>
      <c r="J3981" s="111">
        <v>36</v>
      </c>
      <c r="K3981" s="117">
        <f t="shared" ref="K3981:K3994" si="474">I3981*H3981*J3981/1000</f>
        <v>3.5942400000000001</v>
      </c>
      <c r="L3981" s="118"/>
      <c r="M3981" s="111">
        <v>36</v>
      </c>
      <c r="N3981" s="117">
        <f t="shared" ref="N3981:N3994" si="475">I3981*M3981*H3981/1000</f>
        <v>3.5942400000000001</v>
      </c>
      <c r="O3981" s="119">
        <f t="shared" ref="O3981:O3994" si="476">J3981-M3981</f>
        <v>0</v>
      </c>
      <c r="P3981" s="120">
        <f t="shared" ref="P3981:P3993" si="477">I3981*O3981*H3981/1000</f>
        <v>0</v>
      </c>
      <c r="Q3981" s="111"/>
      <c r="R3981" s="32"/>
      <c r="S3981" s="32"/>
      <c r="T3981" s="213"/>
    </row>
    <row r="3982" spans="1:20" ht="15.6">
      <c r="B3982" s="110" t="s">
        <v>363</v>
      </c>
      <c r="C3982" s="111" t="s">
        <v>232</v>
      </c>
      <c r="D3982" s="112" t="s">
        <v>364</v>
      </c>
      <c r="E3982" s="113" t="s">
        <v>24</v>
      </c>
      <c r="F3982" s="114" t="s">
        <v>14</v>
      </c>
      <c r="G3982" s="115" t="s">
        <v>32</v>
      </c>
      <c r="H3982" s="116">
        <v>8.32</v>
      </c>
      <c r="I3982" s="125">
        <v>11</v>
      </c>
      <c r="J3982" s="111">
        <v>19</v>
      </c>
      <c r="K3982" s="117">
        <f t="shared" si="474"/>
        <v>1.7388800000000002</v>
      </c>
      <c r="L3982" s="118"/>
      <c r="M3982" s="111">
        <v>19</v>
      </c>
      <c r="N3982" s="117">
        <f t="shared" si="475"/>
        <v>1.7388800000000002</v>
      </c>
      <c r="O3982" s="119">
        <f t="shared" si="476"/>
        <v>0</v>
      </c>
      <c r="P3982" s="120">
        <f t="shared" si="477"/>
        <v>0</v>
      </c>
      <c r="Q3982" s="111"/>
      <c r="R3982" s="32"/>
      <c r="S3982" s="32"/>
      <c r="T3982" s="213"/>
    </row>
    <row r="3983" spans="1:20" ht="15.6">
      <c r="B3983" s="110" t="s">
        <v>363</v>
      </c>
      <c r="C3983" s="111" t="s">
        <v>232</v>
      </c>
      <c r="D3983" s="112" t="s">
        <v>364</v>
      </c>
      <c r="E3983" s="113" t="s">
        <v>24</v>
      </c>
      <c r="F3983" s="114" t="s">
        <v>14</v>
      </c>
      <c r="G3983" s="115" t="s">
        <v>32</v>
      </c>
      <c r="H3983" s="116">
        <v>8.32</v>
      </c>
      <c r="I3983" s="125">
        <v>9</v>
      </c>
      <c r="J3983" s="111">
        <v>14</v>
      </c>
      <c r="K3983" s="117">
        <f t="shared" si="474"/>
        <v>1.0483199999999999</v>
      </c>
      <c r="L3983" s="118"/>
      <c r="M3983" s="111">
        <f>6+8</f>
        <v>14</v>
      </c>
      <c r="N3983" s="117">
        <f t="shared" si="475"/>
        <v>1.0483199999999999</v>
      </c>
      <c r="O3983" s="119">
        <f t="shared" si="476"/>
        <v>0</v>
      </c>
      <c r="P3983" s="120">
        <f t="shared" si="477"/>
        <v>0</v>
      </c>
      <c r="Q3983" s="111"/>
      <c r="R3983" s="32"/>
      <c r="S3983" s="32"/>
      <c r="T3983" s="213"/>
    </row>
    <row r="3984" spans="1:20" ht="15.6">
      <c r="B3984" s="110" t="s">
        <v>363</v>
      </c>
      <c r="C3984" s="111" t="s">
        <v>232</v>
      </c>
      <c r="D3984" s="112" t="s">
        <v>364</v>
      </c>
      <c r="E3984" s="113" t="s">
        <v>24</v>
      </c>
      <c r="F3984" s="114" t="s">
        <v>14</v>
      </c>
      <c r="G3984" s="115" t="s">
        <v>32</v>
      </c>
      <c r="H3984" s="116">
        <v>8.32</v>
      </c>
      <c r="I3984" s="125">
        <v>10</v>
      </c>
      <c r="J3984" s="111">
        <v>3</v>
      </c>
      <c r="K3984" s="117">
        <f t="shared" si="474"/>
        <v>0.24960000000000002</v>
      </c>
      <c r="L3984" s="118"/>
      <c r="M3984" s="111">
        <v>3</v>
      </c>
      <c r="N3984" s="117">
        <f t="shared" si="475"/>
        <v>0.24960000000000002</v>
      </c>
      <c r="O3984" s="119">
        <f t="shared" si="476"/>
        <v>0</v>
      </c>
      <c r="P3984" s="120">
        <f t="shared" si="477"/>
        <v>0</v>
      </c>
      <c r="Q3984" s="111"/>
      <c r="R3984" s="32"/>
      <c r="S3984" s="32"/>
      <c r="T3984" s="213"/>
    </row>
    <row r="3985" spans="2:20" ht="15.6">
      <c r="B3985" s="110" t="s">
        <v>363</v>
      </c>
      <c r="C3985" s="111" t="s">
        <v>232</v>
      </c>
      <c r="D3985" s="112" t="s">
        <v>364</v>
      </c>
      <c r="E3985" s="113" t="s">
        <v>24</v>
      </c>
      <c r="F3985" s="114" t="s">
        <v>14</v>
      </c>
      <c r="G3985" s="115" t="s">
        <v>32</v>
      </c>
      <c r="H3985" s="116">
        <v>8.32</v>
      </c>
      <c r="I3985" s="125">
        <v>10.5</v>
      </c>
      <c r="J3985" s="111">
        <v>2</v>
      </c>
      <c r="K3985" s="117">
        <f t="shared" si="474"/>
        <v>0.17471999999999999</v>
      </c>
      <c r="L3985" s="118"/>
      <c r="M3985" s="111">
        <v>2</v>
      </c>
      <c r="N3985" s="117">
        <f t="shared" si="475"/>
        <v>0.17471999999999999</v>
      </c>
      <c r="O3985" s="119">
        <f t="shared" si="476"/>
        <v>0</v>
      </c>
      <c r="P3985" s="120">
        <f t="shared" si="477"/>
        <v>0</v>
      </c>
      <c r="Q3985" s="111"/>
      <c r="R3985" s="32"/>
      <c r="S3985" s="72">
        <v>8.35</v>
      </c>
      <c r="T3985" s="458">
        <v>2</v>
      </c>
    </row>
    <row r="3986" spans="2:20" ht="15.6">
      <c r="B3986" s="110" t="s">
        <v>363</v>
      </c>
      <c r="C3986" s="111" t="s">
        <v>232</v>
      </c>
      <c r="D3986" s="112" t="s">
        <v>364</v>
      </c>
      <c r="E3986" s="113" t="s">
        <v>24</v>
      </c>
      <c r="F3986" s="114" t="s">
        <v>14</v>
      </c>
      <c r="G3986" s="115" t="s">
        <v>32</v>
      </c>
      <c r="H3986" s="116">
        <v>8.32</v>
      </c>
      <c r="I3986" s="125">
        <v>12</v>
      </c>
      <c r="J3986" s="111">
        <v>7</v>
      </c>
      <c r="K3986" s="117">
        <f t="shared" si="474"/>
        <v>0.69887999999999995</v>
      </c>
      <c r="L3986" s="118"/>
      <c r="M3986" s="111">
        <v>7</v>
      </c>
      <c r="N3986" s="117">
        <f t="shared" si="475"/>
        <v>0.69887999999999995</v>
      </c>
      <c r="O3986" s="119">
        <f t="shared" si="476"/>
        <v>0</v>
      </c>
      <c r="P3986" s="120">
        <f t="shared" si="477"/>
        <v>0</v>
      </c>
      <c r="Q3986" s="111"/>
      <c r="R3986" s="32"/>
      <c r="S3986" s="72"/>
      <c r="T3986" s="458"/>
    </row>
    <row r="3987" spans="2:20" ht="15.6">
      <c r="B3987" s="110" t="s">
        <v>363</v>
      </c>
      <c r="C3987" s="111" t="s">
        <v>232</v>
      </c>
      <c r="D3987" s="112" t="s">
        <v>364</v>
      </c>
      <c r="E3987" s="113" t="s">
        <v>24</v>
      </c>
      <c r="F3987" s="114" t="s">
        <v>14</v>
      </c>
      <c r="G3987" s="115" t="s">
        <v>32</v>
      </c>
      <c r="H3987" s="116">
        <v>8.32</v>
      </c>
      <c r="I3987" s="125">
        <v>9</v>
      </c>
      <c r="J3987" s="111">
        <v>19</v>
      </c>
      <c r="K3987" s="117">
        <f t="shared" si="474"/>
        <v>1.4227199999999998</v>
      </c>
      <c r="L3987" s="118"/>
      <c r="M3987" s="111">
        <f>17+2</f>
        <v>19</v>
      </c>
      <c r="N3987" s="117">
        <f t="shared" si="475"/>
        <v>1.42272</v>
      </c>
      <c r="O3987" s="119">
        <f t="shared" si="476"/>
        <v>0</v>
      </c>
      <c r="P3987" s="120">
        <f t="shared" si="477"/>
        <v>0</v>
      </c>
      <c r="Q3987" s="111"/>
      <c r="R3987" s="32"/>
      <c r="S3987" s="72">
        <v>8.35</v>
      </c>
      <c r="T3987" s="458">
        <v>2</v>
      </c>
    </row>
    <row r="3988" spans="2:20" ht="15.6">
      <c r="B3988" s="110" t="s">
        <v>363</v>
      </c>
      <c r="C3988" s="111" t="s">
        <v>232</v>
      </c>
      <c r="D3988" s="112" t="s">
        <v>364</v>
      </c>
      <c r="E3988" s="113" t="s">
        <v>24</v>
      </c>
      <c r="F3988" s="114" t="s">
        <v>14</v>
      </c>
      <c r="G3988" s="115" t="s">
        <v>32</v>
      </c>
      <c r="H3988" s="116">
        <v>8.32</v>
      </c>
      <c r="I3988" s="125">
        <v>10</v>
      </c>
      <c r="J3988" s="111">
        <v>19</v>
      </c>
      <c r="K3988" s="117">
        <f t="shared" si="474"/>
        <v>1.5808</v>
      </c>
      <c r="L3988" s="118"/>
      <c r="M3988" s="111">
        <f>9+5+3+2</f>
        <v>19</v>
      </c>
      <c r="N3988" s="117">
        <f t="shared" si="475"/>
        <v>1.5808</v>
      </c>
      <c r="O3988" s="119">
        <f t="shared" si="476"/>
        <v>0</v>
      </c>
      <c r="P3988" s="120">
        <f t="shared" si="477"/>
        <v>0</v>
      </c>
      <c r="Q3988" s="111"/>
      <c r="R3988" s="32"/>
      <c r="S3988" s="72">
        <v>8.35</v>
      </c>
      <c r="T3988" s="458">
        <v>2</v>
      </c>
    </row>
    <row r="3989" spans="2:20" ht="15.6">
      <c r="B3989" s="110" t="s">
        <v>363</v>
      </c>
      <c r="C3989" s="111" t="s">
        <v>232</v>
      </c>
      <c r="D3989" s="112" t="s">
        <v>364</v>
      </c>
      <c r="E3989" s="113" t="s">
        <v>24</v>
      </c>
      <c r="F3989" s="114" t="s">
        <v>14</v>
      </c>
      <c r="G3989" s="115" t="s">
        <v>32</v>
      </c>
      <c r="H3989" s="116">
        <v>8.32</v>
      </c>
      <c r="I3989" s="125">
        <v>10.5</v>
      </c>
      <c r="J3989" s="111">
        <v>18</v>
      </c>
      <c r="K3989" s="117">
        <f t="shared" si="474"/>
        <v>1.5724800000000001</v>
      </c>
      <c r="L3989" s="118"/>
      <c r="M3989" s="111">
        <f>12+6</f>
        <v>18</v>
      </c>
      <c r="N3989" s="117">
        <f t="shared" si="475"/>
        <v>1.5724800000000001</v>
      </c>
      <c r="O3989" s="119">
        <f t="shared" si="476"/>
        <v>0</v>
      </c>
      <c r="P3989" s="120">
        <f t="shared" si="477"/>
        <v>0</v>
      </c>
      <c r="Q3989" s="111"/>
      <c r="R3989" s="32"/>
      <c r="S3989" s="72"/>
      <c r="T3989" s="458"/>
    </row>
    <row r="3990" spans="2:20" ht="15.6">
      <c r="B3990" s="110" t="s">
        <v>363</v>
      </c>
      <c r="C3990" s="111" t="s">
        <v>232</v>
      </c>
      <c r="D3990" s="112" t="s">
        <v>364</v>
      </c>
      <c r="E3990" s="113" t="s">
        <v>24</v>
      </c>
      <c r="F3990" s="114" t="s">
        <v>14</v>
      </c>
      <c r="G3990" s="115" t="s">
        <v>32</v>
      </c>
      <c r="H3990" s="116">
        <v>8.32</v>
      </c>
      <c r="I3990" s="125">
        <v>11</v>
      </c>
      <c r="J3990" s="111">
        <v>9</v>
      </c>
      <c r="K3990" s="117">
        <f t="shared" si="474"/>
        <v>0.82368000000000008</v>
      </c>
      <c r="L3990" s="118"/>
      <c r="M3990" s="111">
        <f>7+2</f>
        <v>9</v>
      </c>
      <c r="N3990" s="117">
        <f t="shared" si="475"/>
        <v>0.82368000000000008</v>
      </c>
      <c r="O3990" s="119">
        <f t="shared" si="476"/>
        <v>0</v>
      </c>
      <c r="P3990" s="120">
        <f t="shared" si="477"/>
        <v>0</v>
      </c>
      <c r="Q3990" s="111"/>
      <c r="R3990" s="32"/>
      <c r="S3990" s="72">
        <v>8.35</v>
      </c>
      <c r="T3990" s="458">
        <v>2</v>
      </c>
    </row>
    <row r="3991" spans="2:20" ht="15.6">
      <c r="B3991" s="110" t="s">
        <v>363</v>
      </c>
      <c r="C3991" s="111" t="s">
        <v>232</v>
      </c>
      <c r="D3991" s="112" t="s">
        <v>364</v>
      </c>
      <c r="E3991" s="113" t="s">
        <v>24</v>
      </c>
      <c r="F3991" s="114" t="s">
        <v>14</v>
      </c>
      <c r="G3991" s="115" t="s">
        <v>32</v>
      </c>
      <c r="H3991" s="116">
        <v>8.32</v>
      </c>
      <c r="I3991" s="125">
        <v>12</v>
      </c>
      <c r="J3991" s="111">
        <v>10</v>
      </c>
      <c r="K3991" s="117">
        <f t="shared" si="474"/>
        <v>0.99840000000000007</v>
      </c>
      <c r="L3991" s="118"/>
      <c r="M3991" s="111">
        <f>5+5</f>
        <v>10</v>
      </c>
      <c r="N3991" s="117">
        <f t="shared" si="475"/>
        <v>0.99840000000000007</v>
      </c>
      <c r="O3991" s="119">
        <f t="shared" si="476"/>
        <v>0</v>
      </c>
      <c r="P3991" s="120">
        <f t="shared" si="477"/>
        <v>0</v>
      </c>
      <c r="Q3991" s="111"/>
      <c r="R3991" s="32"/>
      <c r="S3991" s="72">
        <v>12</v>
      </c>
      <c r="T3991" s="458">
        <v>5</v>
      </c>
    </row>
    <row r="3992" spans="2:20" ht="15.6">
      <c r="B3992" s="110" t="s">
        <v>363</v>
      </c>
      <c r="C3992" s="111" t="s">
        <v>232</v>
      </c>
      <c r="D3992" s="112" t="s">
        <v>364</v>
      </c>
      <c r="E3992" s="113" t="s">
        <v>24</v>
      </c>
      <c r="F3992" s="114" t="s">
        <v>14</v>
      </c>
      <c r="G3992" s="115" t="s">
        <v>32</v>
      </c>
      <c r="H3992" s="116">
        <v>8.32</v>
      </c>
      <c r="I3992" s="125">
        <v>12</v>
      </c>
      <c r="J3992" s="111">
        <v>21</v>
      </c>
      <c r="K3992" s="117">
        <f t="shared" si="474"/>
        <v>2.0966399999999998</v>
      </c>
      <c r="L3992" s="118"/>
      <c r="M3992" s="111">
        <v>21</v>
      </c>
      <c r="N3992" s="117">
        <f t="shared" si="475"/>
        <v>2.0966399999999998</v>
      </c>
      <c r="O3992" s="119">
        <f t="shared" si="476"/>
        <v>0</v>
      </c>
      <c r="P3992" s="120">
        <f t="shared" si="477"/>
        <v>0</v>
      </c>
      <c r="Q3992" s="111"/>
      <c r="R3992" s="32"/>
      <c r="S3992" s="72"/>
      <c r="T3992" s="458"/>
    </row>
    <row r="3993" spans="2:20" ht="15.6">
      <c r="B3993" s="110" t="s">
        <v>363</v>
      </c>
      <c r="C3993" s="111" t="s">
        <v>232</v>
      </c>
      <c r="D3993" s="112" t="s">
        <v>364</v>
      </c>
      <c r="E3993" s="113" t="s">
        <v>24</v>
      </c>
      <c r="F3993" s="114" t="s">
        <v>14</v>
      </c>
      <c r="G3993" s="115" t="s">
        <v>32</v>
      </c>
      <c r="H3993" s="116">
        <v>8.32</v>
      </c>
      <c r="I3993" s="125">
        <v>8.5</v>
      </c>
      <c r="J3993" s="111">
        <v>1</v>
      </c>
      <c r="K3993" s="117">
        <f t="shared" si="474"/>
        <v>7.0720000000000005E-2</v>
      </c>
      <c r="L3993" s="118"/>
      <c r="M3993" s="111">
        <v>1</v>
      </c>
      <c r="N3993" s="117">
        <f t="shared" si="475"/>
        <v>7.0720000000000005E-2</v>
      </c>
      <c r="O3993" s="119">
        <f t="shared" si="476"/>
        <v>0</v>
      </c>
      <c r="P3993" s="120">
        <f t="shared" si="477"/>
        <v>0</v>
      </c>
      <c r="Q3993" s="159"/>
      <c r="R3993" s="32"/>
      <c r="S3993" s="72"/>
      <c r="T3993" s="458"/>
    </row>
    <row r="3994" spans="2:20" ht="15.6">
      <c r="B3994" s="110" t="s">
        <v>363</v>
      </c>
      <c r="C3994" s="111" t="s">
        <v>232</v>
      </c>
      <c r="D3994" s="112" t="s">
        <v>364</v>
      </c>
      <c r="E3994" s="113" t="s">
        <v>24</v>
      </c>
      <c r="F3994" s="114" t="s">
        <v>14</v>
      </c>
      <c r="G3994" s="115" t="s">
        <v>32</v>
      </c>
      <c r="H3994" s="116">
        <v>8.32</v>
      </c>
      <c r="I3994" s="125">
        <v>8.6</v>
      </c>
      <c r="J3994" s="111">
        <v>2</v>
      </c>
      <c r="K3994" s="117">
        <f t="shared" si="474"/>
        <v>0.14310399999999998</v>
      </c>
      <c r="L3994" s="118"/>
      <c r="M3994" s="111">
        <v>2</v>
      </c>
      <c r="N3994" s="117">
        <f t="shared" si="475"/>
        <v>0.14310399999999998</v>
      </c>
      <c r="O3994" s="119">
        <f t="shared" si="476"/>
        <v>0</v>
      </c>
      <c r="P3994" s="120">
        <f>I3994*O3994*H3994/1000</f>
        <v>0</v>
      </c>
      <c r="Q3994" s="111"/>
      <c r="R3994" s="32"/>
      <c r="S3994" s="72">
        <v>8.35</v>
      </c>
      <c r="T3994" s="458">
        <v>2</v>
      </c>
    </row>
    <row r="3995" spans="2:20">
      <c r="B3995" s="213"/>
      <c r="C3995" s="213"/>
      <c r="D3995" s="213"/>
      <c r="E3995" s="213"/>
      <c r="F3995" s="213"/>
      <c r="G3995" s="213"/>
      <c r="H3995" s="213"/>
      <c r="I3995" s="213"/>
      <c r="J3995" s="215">
        <f>SUM(J3981:J3994)</f>
        <v>180</v>
      </c>
      <c r="K3995" s="214">
        <f>SUM(K3981:K3994)</f>
        <v>16.213184000000002</v>
      </c>
      <c r="L3995" s="213"/>
      <c r="M3995" s="215">
        <f>SUM(M3981:M3994)</f>
        <v>180</v>
      </c>
      <c r="N3995" s="128">
        <f>SUM(N3981:N3994)</f>
        <v>16.213184000000002</v>
      </c>
      <c r="O3995" s="78">
        <f>SUM(O3981:O3994)</f>
        <v>0</v>
      </c>
      <c r="P3995" s="128">
        <f>SUM(P3981:P3994)</f>
        <v>0</v>
      </c>
      <c r="Q3995" s="213"/>
      <c r="R3995" s="213"/>
      <c r="S3995" s="213"/>
      <c r="T3995" s="78">
        <f>SUM(T3981:T3994)</f>
        <v>15</v>
      </c>
    </row>
    <row r="3999" spans="2:20">
      <c r="B3999" s="110" t="s">
        <v>473</v>
      </c>
      <c r="C3999" s="111" t="s">
        <v>232</v>
      </c>
      <c r="D3999" s="112" t="s">
        <v>449</v>
      </c>
      <c r="E3999" s="113" t="s">
        <v>19</v>
      </c>
      <c r="F3999" s="369" t="s">
        <v>14</v>
      </c>
      <c r="G3999" s="369" t="s">
        <v>32</v>
      </c>
      <c r="H3999" s="370">
        <v>8.32</v>
      </c>
      <c r="I3999" s="125">
        <v>10.199999999999999</v>
      </c>
      <c r="J3999" s="32">
        <v>35</v>
      </c>
      <c r="K3999" s="117">
        <f t="shared" ref="K3999:K4042" si="478">I3999*H3999*J3999/1000</f>
        <v>2.97024</v>
      </c>
      <c r="L3999" s="118"/>
      <c r="M3999" s="111">
        <v>35</v>
      </c>
      <c r="N3999" s="117">
        <f t="shared" ref="N3999:N4042" si="479">I3999*M3999*H3999/1000</f>
        <v>2.9702400000000004</v>
      </c>
      <c r="O3999" s="119">
        <f t="shared" ref="O3999:O4042" si="480">J3999-M3999</f>
        <v>0</v>
      </c>
      <c r="P3999" s="120">
        <f t="shared" ref="P3999:P4042" si="481">I3999*O3999*H3999/1000</f>
        <v>0</v>
      </c>
      <c r="Q3999" s="111"/>
      <c r="R3999" s="32"/>
      <c r="S3999" s="32"/>
    </row>
    <row r="4000" spans="2:20">
      <c r="B4000" s="110" t="s">
        <v>473</v>
      </c>
      <c r="C4000" s="111" t="s">
        <v>232</v>
      </c>
      <c r="D4000" s="112" t="s">
        <v>449</v>
      </c>
      <c r="E4000" s="113" t="s">
        <v>19</v>
      </c>
      <c r="F4000" s="369" t="s">
        <v>14</v>
      </c>
      <c r="G4000" s="369" t="s">
        <v>32</v>
      </c>
      <c r="H4000" s="370">
        <v>8.32</v>
      </c>
      <c r="I4000" s="125">
        <v>10.199999999999999</v>
      </c>
      <c r="J4000" s="32">
        <v>33</v>
      </c>
      <c r="K4000" s="117">
        <f t="shared" si="478"/>
        <v>2.8005119999999999</v>
      </c>
      <c r="L4000" s="118"/>
      <c r="M4000" s="111">
        <v>33</v>
      </c>
      <c r="N4000" s="117">
        <f t="shared" si="479"/>
        <v>2.8005119999999999</v>
      </c>
      <c r="O4000" s="119">
        <f t="shared" si="480"/>
        <v>0</v>
      </c>
      <c r="P4000" s="120">
        <f t="shared" si="481"/>
        <v>0</v>
      </c>
      <c r="Q4000" s="111"/>
      <c r="R4000" s="32"/>
      <c r="S4000" s="32"/>
    </row>
    <row r="4001" spans="2:19">
      <c r="B4001" s="110" t="s">
        <v>473</v>
      </c>
      <c r="C4001" s="111" t="s">
        <v>232</v>
      </c>
      <c r="D4001" s="112" t="s">
        <v>449</v>
      </c>
      <c r="E4001" s="113" t="s">
        <v>19</v>
      </c>
      <c r="F4001" s="369" t="s">
        <v>14</v>
      </c>
      <c r="G4001" s="369" t="s">
        <v>32</v>
      </c>
      <c r="H4001" s="370">
        <v>8.32</v>
      </c>
      <c r="I4001" s="125">
        <v>10.199999999999999</v>
      </c>
      <c r="J4001" s="32">
        <v>33</v>
      </c>
      <c r="K4001" s="117">
        <f t="shared" si="478"/>
        <v>2.8005119999999999</v>
      </c>
      <c r="L4001" s="118"/>
      <c r="M4001" s="111">
        <v>33</v>
      </c>
      <c r="N4001" s="117">
        <f t="shared" si="479"/>
        <v>2.8005119999999999</v>
      </c>
      <c r="O4001" s="119">
        <f t="shared" si="480"/>
        <v>0</v>
      </c>
      <c r="P4001" s="120">
        <f t="shared" si="481"/>
        <v>0</v>
      </c>
      <c r="Q4001" s="111"/>
      <c r="R4001" s="32"/>
      <c r="S4001" s="32"/>
    </row>
    <row r="4002" spans="2:19">
      <c r="B4002" s="110" t="s">
        <v>473</v>
      </c>
      <c r="C4002" s="111" t="s">
        <v>232</v>
      </c>
      <c r="D4002" s="112" t="s">
        <v>449</v>
      </c>
      <c r="E4002" s="113" t="s">
        <v>19</v>
      </c>
      <c r="F4002" s="369" t="s">
        <v>14</v>
      </c>
      <c r="G4002" s="369" t="s">
        <v>32</v>
      </c>
      <c r="H4002" s="370">
        <v>8.32</v>
      </c>
      <c r="I4002" s="125">
        <v>10.199999999999999</v>
      </c>
      <c r="J4002" s="32">
        <v>33</v>
      </c>
      <c r="K4002" s="117">
        <f t="shared" si="478"/>
        <v>2.8005119999999999</v>
      </c>
      <c r="L4002" s="118"/>
      <c r="M4002" s="111">
        <v>33</v>
      </c>
      <c r="N4002" s="117">
        <f t="shared" si="479"/>
        <v>2.8005119999999999</v>
      </c>
      <c r="O4002" s="119">
        <f t="shared" si="480"/>
        <v>0</v>
      </c>
      <c r="P4002" s="120">
        <f t="shared" si="481"/>
        <v>0</v>
      </c>
      <c r="Q4002" s="111"/>
      <c r="R4002" s="32"/>
      <c r="S4002" s="32"/>
    </row>
    <row r="4003" spans="2:19">
      <c r="B4003" s="110" t="s">
        <v>473</v>
      </c>
      <c r="C4003" s="111" t="s">
        <v>232</v>
      </c>
      <c r="D4003" s="112" t="s">
        <v>449</v>
      </c>
      <c r="E4003" s="113" t="s">
        <v>19</v>
      </c>
      <c r="F4003" s="369" t="s">
        <v>14</v>
      </c>
      <c r="G4003" s="369" t="s">
        <v>32</v>
      </c>
      <c r="H4003" s="370">
        <v>8.32</v>
      </c>
      <c r="I4003" s="125">
        <v>10.199999999999999</v>
      </c>
      <c r="J4003" s="32">
        <v>33</v>
      </c>
      <c r="K4003" s="117">
        <f t="shared" si="478"/>
        <v>2.8005119999999999</v>
      </c>
      <c r="L4003" s="118"/>
      <c r="M4003" s="111">
        <v>33</v>
      </c>
      <c r="N4003" s="117">
        <f t="shared" si="479"/>
        <v>2.8005119999999999</v>
      </c>
      <c r="O4003" s="119">
        <f t="shared" si="480"/>
        <v>0</v>
      </c>
      <c r="P4003" s="120">
        <f t="shared" si="481"/>
        <v>0</v>
      </c>
      <c r="Q4003" s="111"/>
      <c r="R4003" s="32"/>
      <c r="S4003" s="32"/>
    </row>
    <row r="4004" spans="2:19">
      <c r="B4004" s="110" t="s">
        <v>473</v>
      </c>
      <c r="C4004" s="111" t="s">
        <v>232</v>
      </c>
      <c r="D4004" s="112" t="s">
        <v>449</v>
      </c>
      <c r="E4004" s="113" t="s">
        <v>19</v>
      </c>
      <c r="F4004" s="369" t="s">
        <v>14</v>
      </c>
      <c r="G4004" s="369" t="s">
        <v>32</v>
      </c>
      <c r="H4004" s="370">
        <v>8.32</v>
      </c>
      <c r="I4004" s="125">
        <v>10.199999999999999</v>
      </c>
      <c r="J4004" s="32">
        <v>33</v>
      </c>
      <c r="K4004" s="117">
        <f t="shared" si="478"/>
        <v>2.8005119999999999</v>
      </c>
      <c r="L4004" s="118"/>
      <c r="M4004" s="111">
        <v>33</v>
      </c>
      <c r="N4004" s="117">
        <f t="shared" si="479"/>
        <v>2.8005119999999999</v>
      </c>
      <c r="O4004" s="119">
        <f t="shared" si="480"/>
        <v>0</v>
      </c>
      <c r="P4004" s="120">
        <f t="shared" si="481"/>
        <v>0</v>
      </c>
      <c r="Q4004" s="111"/>
      <c r="R4004" s="32"/>
      <c r="S4004" s="32"/>
    </row>
    <row r="4005" spans="2:19">
      <c r="B4005" s="110" t="s">
        <v>473</v>
      </c>
      <c r="C4005" s="111" t="s">
        <v>232</v>
      </c>
      <c r="D4005" s="112" t="s">
        <v>449</v>
      </c>
      <c r="E4005" s="113" t="s">
        <v>19</v>
      </c>
      <c r="F4005" s="369" t="s">
        <v>14</v>
      </c>
      <c r="G4005" s="369" t="s">
        <v>32</v>
      </c>
      <c r="H4005" s="370">
        <v>8.32</v>
      </c>
      <c r="I4005" s="125">
        <v>10.199999999999999</v>
      </c>
      <c r="J4005" s="32">
        <v>25</v>
      </c>
      <c r="K4005" s="117">
        <f t="shared" si="478"/>
        <v>2.1215999999999999</v>
      </c>
      <c r="L4005" s="118"/>
      <c r="M4005" s="111">
        <v>25</v>
      </c>
      <c r="N4005" s="117">
        <f t="shared" si="479"/>
        <v>2.1215999999999999</v>
      </c>
      <c r="O4005" s="119">
        <f t="shared" si="480"/>
        <v>0</v>
      </c>
      <c r="P4005" s="120">
        <f t="shared" si="481"/>
        <v>0</v>
      </c>
      <c r="Q4005" s="111"/>
      <c r="R4005" s="32"/>
      <c r="S4005" s="32"/>
    </row>
    <row r="4006" spans="2:19">
      <c r="B4006" s="110" t="s">
        <v>473</v>
      </c>
      <c r="C4006" s="111" t="s">
        <v>232</v>
      </c>
      <c r="D4006" s="112" t="s">
        <v>449</v>
      </c>
      <c r="E4006" s="113" t="s">
        <v>19</v>
      </c>
      <c r="F4006" s="369" t="s">
        <v>14</v>
      </c>
      <c r="G4006" s="369" t="s">
        <v>32</v>
      </c>
      <c r="H4006" s="370">
        <v>8.32</v>
      </c>
      <c r="I4006" s="125">
        <v>9.6999999999999993</v>
      </c>
      <c r="J4006" s="32">
        <v>3</v>
      </c>
      <c r="K4006" s="117">
        <f t="shared" si="478"/>
        <v>0.24211199999999997</v>
      </c>
      <c r="L4006" s="118"/>
      <c r="M4006" s="111">
        <v>3</v>
      </c>
      <c r="N4006" s="117">
        <f t="shared" si="479"/>
        <v>0.24211199999999999</v>
      </c>
      <c r="O4006" s="119">
        <f t="shared" si="480"/>
        <v>0</v>
      </c>
      <c r="P4006" s="120">
        <f t="shared" si="481"/>
        <v>0</v>
      </c>
      <c r="Q4006" s="72">
        <v>8.35</v>
      </c>
      <c r="R4006" s="72">
        <v>3</v>
      </c>
      <c r="S4006" s="72" t="s">
        <v>631</v>
      </c>
    </row>
    <row r="4007" spans="2:19">
      <c r="B4007" s="110" t="s">
        <v>473</v>
      </c>
      <c r="C4007" s="111" t="s">
        <v>232</v>
      </c>
      <c r="D4007" s="112" t="s">
        <v>449</v>
      </c>
      <c r="E4007" s="113" t="s">
        <v>19</v>
      </c>
      <c r="F4007" s="369" t="s">
        <v>14</v>
      </c>
      <c r="G4007" s="369" t="s">
        <v>32</v>
      </c>
      <c r="H4007" s="370">
        <v>8.32</v>
      </c>
      <c r="I4007" s="125">
        <v>9.3000000000000007</v>
      </c>
      <c r="J4007" s="32">
        <v>1</v>
      </c>
      <c r="K4007" s="117">
        <f t="shared" si="478"/>
        <v>7.7376E-2</v>
      </c>
      <c r="L4007" s="118"/>
      <c r="M4007" s="111">
        <v>1</v>
      </c>
      <c r="N4007" s="117">
        <f t="shared" si="479"/>
        <v>7.7376E-2</v>
      </c>
      <c r="O4007" s="119">
        <f t="shared" si="480"/>
        <v>0</v>
      </c>
      <c r="P4007" s="120">
        <f t="shared" si="481"/>
        <v>0</v>
      </c>
      <c r="Q4007" s="72">
        <v>8.35</v>
      </c>
      <c r="R4007" s="72">
        <v>1</v>
      </c>
      <c r="S4007" s="72" t="s">
        <v>631</v>
      </c>
    </row>
    <row r="4008" spans="2:19">
      <c r="B4008" s="110" t="s">
        <v>473</v>
      </c>
      <c r="C4008" s="111" t="s">
        <v>232</v>
      </c>
      <c r="D4008" s="112" t="s">
        <v>449</v>
      </c>
      <c r="E4008" s="113" t="s">
        <v>19</v>
      </c>
      <c r="F4008" s="369" t="s">
        <v>14</v>
      </c>
      <c r="G4008" s="369" t="s">
        <v>32</v>
      </c>
      <c r="H4008" s="370">
        <v>8.32</v>
      </c>
      <c r="I4008" s="125">
        <v>8.5</v>
      </c>
      <c r="J4008" s="32">
        <v>2</v>
      </c>
      <c r="K4008" s="117">
        <f t="shared" si="478"/>
        <v>0.14144000000000001</v>
      </c>
      <c r="L4008" s="118"/>
      <c r="M4008" s="111">
        <v>2</v>
      </c>
      <c r="N4008" s="117">
        <f t="shared" si="479"/>
        <v>0.14144000000000001</v>
      </c>
      <c r="O4008" s="119">
        <f t="shared" si="480"/>
        <v>0</v>
      </c>
      <c r="P4008" s="120">
        <f t="shared" si="481"/>
        <v>0</v>
      </c>
      <c r="Q4008" s="72">
        <v>8.35</v>
      </c>
      <c r="R4008" s="72">
        <v>2</v>
      </c>
      <c r="S4008" s="72" t="s">
        <v>631</v>
      </c>
    </row>
    <row r="4009" spans="2:19">
      <c r="B4009" s="110" t="s">
        <v>473</v>
      </c>
      <c r="C4009" s="111" t="s">
        <v>232</v>
      </c>
      <c r="D4009" s="112" t="s">
        <v>449</v>
      </c>
      <c r="E4009" s="113" t="s">
        <v>19</v>
      </c>
      <c r="F4009" s="369" t="s">
        <v>14</v>
      </c>
      <c r="G4009" s="369" t="s">
        <v>32</v>
      </c>
      <c r="H4009" s="370">
        <v>8.32</v>
      </c>
      <c r="I4009" s="125">
        <v>8</v>
      </c>
      <c r="J4009" s="32">
        <v>1</v>
      </c>
      <c r="K4009" s="117">
        <f t="shared" si="478"/>
        <v>6.6560000000000008E-2</v>
      </c>
      <c r="L4009" s="118"/>
      <c r="M4009" s="111"/>
      <c r="N4009" s="117">
        <f t="shared" si="479"/>
        <v>0</v>
      </c>
      <c r="O4009" s="119">
        <f t="shared" si="480"/>
        <v>1</v>
      </c>
      <c r="P4009" s="120">
        <f t="shared" si="481"/>
        <v>6.6560000000000008E-2</v>
      </c>
      <c r="Q4009" s="111"/>
      <c r="R4009" s="32"/>
      <c r="S4009" s="32"/>
    </row>
    <row r="4010" spans="2:19">
      <c r="B4010" s="110" t="s">
        <v>473</v>
      </c>
      <c r="C4010" s="111" t="s">
        <v>232</v>
      </c>
      <c r="D4010" s="112" t="s">
        <v>449</v>
      </c>
      <c r="E4010" s="113" t="s">
        <v>19</v>
      </c>
      <c r="F4010" s="369" t="s">
        <v>14</v>
      </c>
      <c r="G4010" s="369" t="s">
        <v>32</v>
      </c>
      <c r="H4010" s="370">
        <v>8.32</v>
      </c>
      <c r="I4010" s="125">
        <v>10</v>
      </c>
      <c r="J4010" s="32">
        <v>1</v>
      </c>
      <c r="K4010" s="117">
        <f t="shared" si="478"/>
        <v>8.3199999999999996E-2</v>
      </c>
      <c r="L4010" s="118"/>
      <c r="M4010" s="111">
        <v>1</v>
      </c>
      <c r="N4010" s="117">
        <f t="shared" si="479"/>
        <v>8.3199999999999996E-2</v>
      </c>
      <c r="O4010" s="119">
        <f t="shared" si="480"/>
        <v>0</v>
      </c>
      <c r="P4010" s="120">
        <f t="shared" si="481"/>
        <v>0</v>
      </c>
      <c r="Q4010" s="111"/>
      <c r="R4010" s="32"/>
      <c r="S4010" s="32"/>
    </row>
    <row r="4011" spans="2:19">
      <c r="B4011" s="110" t="s">
        <v>473</v>
      </c>
      <c r="C4011" s="111" t="s">
        <v>232</v>
      </c>
      <c r="D4011" s="112" t="s">
        <v>449</v>
      </c>
      <c r="E4011" s="113" t="s">
        <v>19</v>
      </c>
      <c r="F4011" s="369" t="s">
        <v>14</v>
      </c>
      <c r="G4011" s="369" t="s">
        <v>32</v>
      </c>
      <c r="H4011" s="370">
        <v>8.32</v>
      </c>
      <c r="I4011" s="125">
        <v>10.199999999999999</v>
      </c>
      <c r="J4011" s="32">
        <v>34</v>
      </c>
      <c r="K4011" s="117">
        <f t="shared" si="478"/>
        <v>2.8853759999999999</v>
      </c>
      <c r="L4011" s="118"/>
      <c r="M4011" s="111">
        <v>34</v>
      </c>
      <c r="N4011" s="117">
        <f t="shared" si="479"/>
        <v>2.8853759999999999</v>
      </c>
      <c r="O4011" s="119">
        <f t="shared" si="480"/>
        <v>0</v>
      </c>
      <c r="P4011" s="120">
        <f t="shared" si="481"/>
        <v>0</v>
      </c>
      <c r="Q4011" s="111"/>
      <c r="R4011" s="32"/>
      <c r="S4011" s="32"/>
    </row>
    <row r="4012" spans="2:19">
      <c r="B4012" s="110" t="s">
        <v>473</v>
      </c>
      <c r="C4012" s="111" t="s">
        <v>232</v>
      </c>
      <c r="D4012" s="112" t="s">
        <v>449</v>
      </c>
      <c r="E4012" s="113" t="s">
        <v>19</v>
      </c>
      <c r="F4012" s="369" t="s">
        <v>14</v>
      </c>
      <c r="G4012" s="369" t="s">
        <v>32</v>
      </c>
      <c r="H4012" s="370">
        <v>8.32</v>
      </c>
      <c r="I4012" s="125">
        <v>11.35</v>
      </c>
      <c r="J4012" s="32">
        <v>35</v>
      </c>
      <c r="K4012" s="117">
        <f t="shared" si="478"/>
        <v>3.3051200000000001</v>
      </c>
      <c r="L4012" s="118"/>
      <c r="M4012" s="111">
        <v>35</v>
      </c>
      <c r="N4012" s="117">
        <f t="shared" si="479"/>
        <v>3.3051200000000001</v>
      </c>
      <c r="O4012" s="119">
        <f t="shared" si="480"/>
        <v>0</v>
      </c>
      <c r="P4012" s="120">
        <f t="shared" si="481"/>
        <v>0</v>
      </c>
      <c r="Q4012" s="111"/>
      <c r="R4012" s="32"/>
      <c r="S4012" s="32"/>
    </row>
    <row r="4013" spans="2:19">
      <c r="B4013" s="110" t="s">
        <v>473</v>
      </c>
      <c r="C4013" s="111" t="s">
        <v>232</v>
      </c>
      <c r="D4013" s="112" t="s">
        <v>449</v>
      </c>
      <c r="E4013" s="113" t="s">
        <v>19</v>
      </c>
      <c r="F4013" s="369" t="s">
        <v>14</v>
      </c>
      <c r="G4013" s="369" t="s">
        <v>32</v>
      </c>
      <c r="H4013" s="370">
        <v>8.32</v>
      </c>
      <c r="I4013" s="125">
        <v>10.199999999999999</v>
      </c>
      <c r="J4013" s="32">
        <v>35</v>
      </c>
      <c r="K4013" s="117">
        <f t="shared" si="478"/>
        <v>2.97024</v>
      </c>
      <c r="L4013" s="118"/>
      <c r="M4013" s="111">
        <v>35</v>
      </c>
      <c r="N4013" s="117">
        <f t="shared" si="479"/>
        <v>2.9702400000000004</v>
      </c>
      <c r="O4013" s="119">
        <f t="shared" si="480"/>
        <v>0</v>
      </c>
      <c r="P4013" s="120">
        <f t="shared" si="481"/>
        <v>0</v>
      </c>
      <c r="Q4013" s="111"/>
      <c r="R4013" s="32"/>
      <c r="S4013" s="32"/>
    </row>
    <row r="4014" spans="2:19">
      <c r="B4014" s="110" t="s">
        <v>473</v>
      </c>
      <c r="C4014" s="111" t="s">
        <v>232</v>
      </c>
      <c r="D4014" s="112" t="s">
        <v>449</v>
      </c>
      <c r="E4014" s="113" t="s">
        <v>19</v>
      </c>
      <c r="F4014" s="369" t="s">
        <v>14</v>
      </c>
      <c r="G4014" s="369" t="s">
        <v>32</v>
      </c>
      <c r="H4014" s="370">
        <v>8.32</v>
      </c>
      <c r="I4014" s="125">
        <v>10.199999999999999</v>
      </c>
      <c r="J4014" s="358">
        <v>35</v>
      </c>
      <c r="K4014" s="117">
        <f t="shared" si="478"/>
        <v>2.97024</v>
      </c>
      <c r="L4014" s="118"/>
      <c r="M4014" s="111">
        <v>35</v>
      </c>
      <c r="N4014" s="117">
        <f t="shared" si="479"/>
        <v>2.9702400000000004</v>
      </c>
      <c r="O4014" s="119">
        <f t="shared" si="480"/>
        <v>0</v>
      </c>
      <c r="P4014" s="120">
        <f t="shared" si="481"/>
        <v>0</v>
      </c>
      <c r="Q4014" s="111"/>
      <c r="R4014" s="32"/>
      <c r="S4014" s="32"/>
    </row>
    <row r="4015" spans="2:19">
      <c r="B4015" s="110" t="s">
        <v>473</v>
      </c>
      <c r="C4015" s="111" t="s">
        <v>232</v>
      </c>
      <c r="D4015" s="112" t="s">
        <v>449</v>
      </c>
      <c r="E4015" s="113" t="s">
        <v>19</v>
      </c>
      <c r="F4015" s="369" t="s">
        <v>14</v>
      </c>
      <c r="G4015" s="369" t="s">
        <v>32</v>
      </c>
      <c r="H4015" s="370">
        <v>8.32</v>
      </c>
      <c r="I4015" s="125">
        <v>10.199999999999999</v>
      </c>
      <c r="J4015" s="358">
        <v>35</v>
      </c>
      <c r="K4015" s="117">
        <f t="shared" si="478"/>
        <v>2.97024</v>
      </c>
      <c r="L4015" s="118"/>
      <c r="M4015" s="111">
        <v>35</v>
      </c>
      <c r="N4015" s="117">
        <f t="shared" si="479"/>
        <v>2.9702400000000004</v>
      </c>
      <c r="O4015" s="119">
        <f t="shared" si="480"/>
        <v>0</v>
      </c>
      <c r="P4015" s="120">
        <f t="shared" si="481"/>
        <v>0</v>
      </c>
      <c r="Q4015" s="111"/>
      <c r="R4015" s="32"/>
      <c r="S4015" s="32"/>
    </row>
    <row r="4016" spans="2:19">
      <c r="B4016" s="110" t="s">
        <v>473</v>
      </c>
      <c r="C4016" s="111" t="s">
        <v>232</v>
      </c>
      <c r="D4016" s="112" t="s">
        <v>449</v>
      </c>
      <c r="E4016" s="113" t="s">
        <v>19</v>
      </c>
      <c r="F4016" s="369" t="s">
        <v>14</v>
      </c>
      <c r="G4016" s="369" t="s">
        <v>32</v>
      </c>
      <c r="H4016" s="370">
        <v>8.32</v>
      </c>
      <c r="I4016" s="125">
        <v>10.199999999999999</v>
      </c>
      <c r="J4016" s="358">
        <v>35</v>
      </c>
      <c r="K4016" s="117">
        <f t="shared" si="478"/>
        <v>2.97024</v>
      </c>
      <c r="L4016" s="118"/>
      <c r="M4016" s="111">
        <v>35</v>
      </c>
      <c r="N4016" s="117">
        <f t="shared" si="479"/>
        <v>2.9702400000000004</v>
      </c>
      <c r="O4016" s="119">
        <f t="shared" si="480"/>
        <v>0</v>
      </c>
      <c r="P4016" s="120">
        <f t="shared" si="481"/>
        <v>0</v>
      </c>
      <c r="Q4016" s="111"/>
      <c r="R4016" s="32"/>
      <c r="S4016" s="32"/>
    </row>
    <row r="4017" spans="2:19">
      <c r="B4017" s="110" t="s">
        <v>473</v>
      </c>
      <c r="C4017" s="111" t="s">
        <v>232</v>
      </c>
      <c r="D4017" s="112" t="s">
        <v>449</v>
      </c>
      <c r="E4017" s="113" t="s">
        <v>19</v>
      </c>
      <c r="F4017" s="369" t="s">
        <v>14</v>
      </c>
      <c r="G4017" s="369" t="s">
        <v>32</v>
      </c>
      <c r="H4017" s="370">
        <v>8.32</v>
      </c>
      <c r="I4017" s="125">
        <v>10.199999999999999</v>
      </c>
      <c r="J4017" s="358">
        <v>35</v>
      </c>
      <c r="K4017" s="117">
        <f t="shared" si="478"/>
        <v>2.97024</v>
      </c>
      <c r="L4017" s="118"/>
      <c r="M4017" s="111">
        <v>35</v>
      </c>
      <c r="N4017" s="117">
        <f t="shared" si="479"/>
        <v>2.9702400000000004</v>
      </c>
      <c r="O4017" s="119">
        <f t="shared" si="480"/>
        <v>0</v>
      </c>
      <c r="P4017" s="120">
        <f t="shared" si="481"/>
        <v>0</v>
      </c>
      <c r="Q4017" s="111"/>
      <c r="R4017" s="32"/>
      <c r="S4017" s="32"/>
    </row>
    <row r="4018" spans="2:19">
      <c r="B4018" s="110" t="s">
        <v>473</v>
      </c>
      <c r="C4018" s="111" t="s">
        <v>232</v>
      </c>
      <c r="D4018" s="112" t="s">
        <v>449</v>
      </c>
      <c r="E4018" s="113" t="s">
        <v>19</v>
      </c>
      <c r="F4018" s="369" t="s">
        <v>14</v>
      </c>
      <c r="G4018" s="369" t="s">
        <v>32</v>
      </c>
      <c r="H4018" s="370">
        <v>8.32</v>
      </c>
      <c r="I4018" s="125">
        <v>10.199999999999999</v>
      </c>
      <c r="J4018" s="358">
        <v>35</v>
      </c>
      <c r="K4018" s="117">
        <f t="shared" si="478"/>
        <v>2.97024</v>
      </c>
      <c r="L4018" s="118"/>
      <c r="M4018" s="111">
        <v>35</v>
      </c>
      <c r="N4018" s="117">
        <f t="shared" si="479"/>
        <v>2.9702400000000004</v>
      </c>
      <c r="O4018" s="119">
        <f t="shared" si="480"/>
        <v>0</v>
      </c>
      <c r="P4018" s="120">
        <f t="shared" si="481"/>
        <v>0</v>
      </c>
      <c r="Q4018" s="111"/>
      <c r="R4018" s="32"/>
      <c r="S4018" s="32"/>
    </row>
    <row r="4019" spans="2:19">
      <c r="B4019" s="110" t="s">
        <v>473</v>
      </c>
      <c r="C4019" s="111" t="s">
        <v>232</v>
      </c>
      <c r="D4019" s="112" t="s">
        <v>449</v>
      </c>
      <c r="E4019" s="113" t="s">
        <v>19</v>
      </c>
      <c r="F4019" s="369" t="s">
        <v>14</v>
      </c>
      <c r="G4019" s="369" t="s">
        <v>32</v>
      </c>
      <c r="H4019" s="370">
        <v>8.32</v>
      </c>
      <c r="I4019" s="125">
        <v>10.199999999999999</v>
      </c>
      <c r="J4019" s="358">
        <v>35</v>
      </c>
      <c r="K4019" s="117">
        <f t="shared" si="478"/>
        <v>2.97024</v>
      </c>
      <c r="L4019" s="118"/>
      <c r="M4019" s="111">
        <v>35</v>
      </c>
      <c r="N4019" s="117">
        <f t="shared" si="479"/>
        <v>2.9702400000000004</v>
      </c>
      <c r="O4019" s="119">
        <f t="shared" si="480"/>
        <v>0</v>
      </c>
      <c r="P4019" s="120">
        <f t="shared" si="481"/>
        <v>0</v>
      </c>
      <c r="Q4019" s="111"/>
      <c r="R4019" s="32"/>
      <c r="S4019" s="32"/>
    </row>
    <row r="4020" spans="2:19">
      <c r="B4020" s="110" t="s">
        <v>473</v>
      </c>
      <c r="C4020" s="111" t="s">
        <v>232</v>
      </c>
      <c r="D4020" s="112" t="s">
        <v>449</v>
      </c>
      <c r="E4020" s="113" t="s">
        <v>19</v>
      </c>
      <c r="F4020" s="369" t="s">
        <v>14</v>
      </c>
      <c r="G4020" s="369" t="s">
        <v>32</v>
      </c>
      <c r="H4020" s="370">
        <v>8.32</v>
      </c>
      <c r="I4020" s="125">
        <v>10.199999999999999</v>
      </c>
      <c r="J4020" s="358">
        <v>35</v>
      </c>
      <c r="K4020" s="117">
        <f t="shared" si="478"/>
        <v>2.97024</v>
      </c>
      <c r="L4020" s="118"/>
      <c r="M4020" s="111">
        <v>35</v>
      </c>
      <c r="N4020" s="117">
        <f t="shared" si="479"/>
        <v>2.9702400000000004</v>
      </c>
      <c r="O4020" s="119">
        <f t="shared" si="480"/>
        <v>0</v>
      </c>
      <c r="P4020" s="120">
        <f t="shared" si="481"/>
        <v>0</v>
      </c>
      <c r="Q4020" s="111"/>
      <c r="R4020" s="32"/>
      <c r="S4020" s="32"/>
    </row>
    <row r="4021" spans="2:19">
      <c r="B4021" s="110" t="s">
        <v>473</v>
      </c>
      <c r="C4021" s="111" t="s">
        <v>232</v>
      </c>
      <c r="D4021" s="112" t="s">
        <v>449</v>
      </c>
      <c r="E4021" s="113" t="s">
        <v>19</v>
      </c>
      <c r="F4021" s="369" t="s">
        <v>14</v>
      </c>
      <c r="G4021" s="369" t="s">
        <v>32</v>
      </c>
      <c r="H4021" s="370">
        <v>8.32</v>
      </c>
      <c r="I4021" s="125">
        <v>11.35</v>
      </c>
      <c r="J4021" s="358">
        <v>30</v>
      </c>
      <c r="K4021" s="117">
        <f t="shared" si="478"/>
        <v>2.8329599999999999</v>
      </c>
      <c r="L4021" s="118"/>
      <c r="M4021" s="111">
        <v>30</v>
      </c>
      <c r="N4021" s="117">
        <f t="shared" si="479"/>
        <v>2.8329599999999999</v>
      </c>
      <c r="O4021" s="119">
        <f t="shared" si="480"/>
        <v>0</v>
      </c>
      <c r="P4021" s="120">
        <f t="shared" si="481"/>
        <v>0</v>
      </c>
      <c r="Q4021" s="111"/>
      <c r="R4021" s="32"/>
      <c r="S4021" s="32"/>
    </row>
    <row r="4022" spans="2:19">
      <c r="B4022" s="110" t="s">
        <v>473</v>
      </c>
      <c r="C4022" s="111" t="s">
        <v>232</v>
      </c>
      <c r="D4022" s="112" t="s">
        <v>449</v>
      </c>
      <c r="E4022" s="113" t="s">
        <v>19</v>
      </c>
      <c r="F4022" s="369" t="s">
        <v>14</v>
      </c>
      <c r="G4022" s="369" t="s">
        <v>32</v>
      </c>
      <c r="H4022" s="370">
        <v>8.32</v>
      </c>
      <c r="I4022" s="125">
        <v>10.199999999999999</v>
      </c>
      <c r="J4022" s="358">
        <v>35</v>
      </c>
      <c r="K4022" s="117">
        <f t="shared" si="478"/>
        <v>2.97024</v>
      </c>
      <c r="L4022" s="118"/>
      <c r="M4022" s="111">
        <v>35</v>
      </c>
      <c r="N4022" s="117">
        <f t="shared" si="479"/>
        <v>2.9702400000000004</v>
      </c>
      <c r="O4022" s="119">
        <f t="shared" si="480"/>
        <v>0</v>
      </c>
      <c r="P4022" s="120">
        <f t="shared" si="481"/>
        <v>0</v>
      </c>
      <c r="Q4022" s="111"/>
      <c r="R4022" s="32"/>
      <c r="S4022" s="32"/>
    </row>
    <row r="4023" spans="2:19">
      <c r="B4023" s="110" t="s">
        <v>473</v>
      </c>
      <c r="C4023" s="111" t="s">
        <v>232</v>
      </c>
      <c r="D4023" s="112" t="s">
        <v>449</v>
      </c>
      <c r="E4023" s="113" t="s">
        <v>19</v>
      </c>
      <c r="F4023" s="369" t="s">
        <v>14</v>
      </c>
      <c r="G4023" s="369" t="s">
        <v>32</v>
      </c>
      <c r="H4023" s="370">
        <v>8.32</v>
      </c>
      <c r="I4023" s="125">
        <v>11.35</v>
      </c>
      <c r="J4023" s="358">
        <v>35</v>
      </c>
      <c r="K4023" s="117">
        <f t="shared" si="478"/>
        <v>3.3051200000000001</v>
      </c>
      <c r="L4023" s="118"/>
      <c r="M4023" s="111">
        <v>35</v>
      </c>
      <c r="N4023" s="117">
        <f t="shared" si="479"/>
        <v>3.3051200000000001</v>
      </c>
      <c r="O4023" s="119">
        <f t="shared" si="480"/>
        <v>0</v>
      </c>
      <c r="P4023" s="120">
        <f t="shared" si="481"/>
        <v>0</v>
      </c>
      <c r="Q4023" s="111"/>
      <c r="R4023" s="32"/>
      <c r="S4023" s="32"/>
    </row>
    <row r="4024" spans="2:19">
      <c r="B4024" s="110" t="s">
        <v>473</v>
      </c>
      <c r="C4024" s="111" t="s">
        <v>232</v>
      </c>
      <c r="D4024" s="112" t="s">
        <v>449</v>
      </c>
      <c r="E4024" s="113" t="s">
        <v>19</v>
      </c>
      <c r="F4024" s="369" t="s">
        <v>14</v>
      </c>
      <c r="G4024" s="369" t="s">
        <v>32</v>
      </c>
      <c r="H4024" s="370">
        <v>8.32</v>
      </c>
      <c r="I4024" s="125">
        <v>10.199999999999999</v>
      </c>
      <c r="J4024" s="358">
        <v>35</v>
      </c>
      <c r="K4024" s="117">
        <f t="shared" si="478"/>
        <v>2.97024</v>
      </c>
      <c r="L4024" s="118"/>
      <c r="M4024" s="111">
        <v>35</v>
      </c>
      <c r="N4024" s="117">
        <f t="shared" si="479"/>
        <v>2.9702400000000004</v>
      </c>
      <c r="O4024" s="119">
        <f t="shared" si="480"/>
        <v>0</v>
      </c>
      <c r="P4024" s="120">
        <f t="shared" si="481"/>
        <v>0</v>
      </c>
      <c r="Q4024" s="111"/>
      <c r="R4024" s="32"/>
      <c r="S4024" s="32"/>
    </row>
    <row r="4025" spans="2:19">
      <c r="B4025" s="110" t="s">
        <v>473</v>
      </c>
      <c r="C4025" s="111" t="s">
        <v>232</v>
      </c>
      <c r="D4025" s="112" t="s">
        <v>449</v>
      </c>
      <c r="E4025" s="113" t="s">
        <v>19</v>
      </c>
      <c r="F4025" s="369" t="s">
        <v>14</v>
      </c>
      <c r="G4025" s="369" t="s">
        <v>32</v>
      </c>
      <c r="H4025" s="370">
        <v>8.32</v>
      </c>
      <c r="I4025" s="125">
        <v>10.199999999999999</v>
      </c>
      <c r="J4025" s="358">
        <v>35</v>
      </c>
      <c r="K4025" s="117">
        <f t="shared" si="478"/>
        <v>2.97024</v>
      </c>
      <c r="L4025" s="118"/>
      <c r="M4025" s="111">
        <v>35</v>
      </c>
      <c r="N4025" s="117">
        <f t="shared" si="479"/>
        <v>2.9702400000000004</v>
      </c>
      <c r="O4025" s="119">
        <f t="shared" si="480"/>
        <v>0</v>
      </c>
      <c r="P4025" s="120">
        <f t="shared" si="481"/>
        <v>0</v>
      </c>
      <c r="Q4025" s="111"/>
      <c r="R4025" s="32"/>
      <c r="S4025" s="32"/>
    </row>
    <row r="4026" spans="2:19">
      <c r="B4026" s="110" t="s">
        <v>473</v>
      </c>
      <c r="C4026" s="111" t="s">
        <v>232</v>
      </c>
      <c r="D4026" s="112" t="s">
        <v>449</v>
      </c>
      <c r="E4026" s="113" t="s">
        <v>19</v>
      </c>
      <c r="F4026" s="369" t="s">
        <v>14</v>
      </c>
      <c r="G4026" s="369" t="s">
        <v>32</v>
      </c>
      <c r="H4026" s="370">
        <v>8.32</v>
      </c>
      <c r="I4026" s="125">
        <v>10.199999999999999</v>
      </c>
      <c r="J4026" s="358">
        <v>35</v>
      </c>
      <c r="K4026" s="117">
        <f t="shared" si="478"/>
        <v>2.97024</v>
      </c>
      <c r="L4026" s="118"/>
      <c r="M4026" s="111">
        <v>35</v>
      </c>
      <c r="N4026" s="117">
        <f t="shared" si="479"/>
        <v>2.9702400000000004</v>
      </c>
      <c r="O4026" s="119">
        <f t="shared" si="480"/>
        <v>0</v>
      </c>
      <c r="P4026" s="120">
        <f t="shared" si="481"/>
        <v>0</v>
      </c>
      <c r="Q4026" s="111"/>
      <c r="R4026" s="32"/>
      <c r="S4026" s="32"/>
    </row>
    <row r="4027" spans="2:19">
      <c r="B4027" s="110" t="s">
        <v>473</v>
      </c>
      <c r="C4027" s="111" t="s">
        <v>232</v>
      </c>
      <c r="D4027" s="112" t="s">
        <v>449</v>
      </c>
      <c r="E4027" s="113" t="s">
        <v>19</v>
      </c>
      <c r="F4027" s="369" t="s">
        <v>14</v>
      </c>
      <c r="G4027" s="369" t="s">
        <v>32</v>
      </c>
      <c r="H4027" s="370">
        <v>8.32</v>
      </c>
      <c r="I4027" s="125">
        <v>10.199999999999999</v>
      </c>
      <c r="J4027" s="358">
        <v>35</v>
      </c>
      <c r="K4027" s="117">
        <f t="shared" si="478"/>
        <v>2.97024</v>
      </c>
      <c r="L4027" s="118"/>
      <c r="M4027" s="111">
        <v>35</v>
      </c>
      <c r="N4027" s="117">
        <f t="shared" si="479"/>
        <v>2.9702400000000004</v>
      </c>
      <c r="O4027" s="119">
        <f t="shared" si="480"/>
        <v>0</v>
      </c>
      <c r="P4027" s="120">
        <f t="shared" si="481"/>
        <v>0</v>
      </c>
      <c r="Q4027" s="111"/>
      <c r="R4027" s="32"/>
      <c r="S4027" s="32"/>
    </row>
    <row r="4028" spans="2:19">
      <c r="B4028" s="110" t="s">
        <v>473</v>
      </c>
      <c r="C4028" s="111" t="s">
        <v>232</v>
      </c>
      <c r="D4028" s="112" t="s">
        <v>449</v>
      </c>
      <c r="E4028" s="113" t="s">
        <v>19</v>
      </c>
      <c r="F4028" s="369" t="s">
        <v>14</v>
      </c>
      <c r="G4028" s="369" t="s">
        <v>32</v>
      </c>
      <c r="H4028" s="370">
        <v>8.32</v>
      </c>
      <c r="I4028" s="125">
        <v>11.35</v>
      </c>
      <c r="J4028" s="358">
        <v>35</v>
      </c>
      <c r="K4028" s="117">
        <f t="shared" si="478"/>
        <v>3.3051200000000001</v>
      </c>
      <c r="L4028" s="118"/>
      <c r="M4028" s="111">
        <f>23+12</f>
        <v>35</v>
      </c>
      <c r="N4028" s="117">
        <f t="shared" si="479"/>
        <v>3.3051200000000001</v>
      </c>
      <c r="O4028" s="119">
        <f t="shared" si="480"/>
        <v>0</v>
      </c>
      <c r="P4028" s="120">
        <f t="shared" si="481"/>
        <v>0</v>
      </c>
      <c r="Q4028" s="111"/>
      <c r="R4028" s="32"/>
      <c r="S4028" s="32"/>
    </row>
    <row r="4029" spans="2:19">
      <c r="B4029" s="110" t="s">
        <v>473</v>
      </c>
      <c r="C4029" s="111" t="s">
        <v>232</v>
      </c>
      <c r="D4029" s="112" t="s">
        <v>449</v>
      </c>
      <c r="E4029" s="113" t="s">
        <v>19</v>
      </c>
      <c r="F4029" s="369" t="s">
        <v>14</v>
      </c>
      <c r="G4029" s="369" t="s">
        <v>32</v>
      </c>
      <c r="H4029" s="370">
        <v>8.32</v>
      </c>
      <c r="I4029" s="125">
        <v>10.199999999999999</v>
      </c>
      <c r="J4029" s="358">
        <v>36</v>
      </c>
      <c r="K4029" s="117">
        <f t="shared" si="478"/>
        <v>3.0551039999999996</v>
      </c>
      <c r="L4029" s="118"/>
      <c r="M4029" s="111">
        <v>36</v>
      </c>
      <c r="N4029" s="117">
        <f t="shared" si="479"/>
        <v>3.0551039999999996</v>
      </c>
      <c r="O4029" s="119">
        <f t="shared" si="480"/>
        <v>0</v>
      </c>
      <c r="P4029" s="120">
        <f t="shared" si="481"/>
        <v>0</v>
      </c>
      <c r="Q4029" s="111"/>
      <c r="R4029" s="32"/>
      <c r="S4029" s="32"/>
    </row>
    <row r="4030" spans="2:19">
      <c r="B4030" s="110" t="s">
        <v>473</v>
      </c>
      <c r="C4030" s="111" t="s">
        <v>232</v>
      </c>
      <c r="D4030" s="112" t="s">
        <v>449</v>
      </c>
      <c r="E4030" s="113" t="s">
        <v>19</v>
      </c>
      <c r="F4030" s="369" t="s">
        <v>14</v>
      </c>
      <c r="G4030" s="369" t="s">
        <v>32</v>
      </c>
      <c r="H4030" s="370">
        <v>8.32</v>
      </c>
      <c r="I4030" s="125">
        <v>10.5</v>
      </c>
      <c r="J4030" s="358">
        <v>1</v>
      </c>
      <c r="K4030" s="117">
        <f t="shared" si="478"/>
        <v>8.7359999999999993E-2</v>
      </c>
      <c r="L4030" s="118"/>
      <c r="M4030" s="111">
        <v>1</v>
      </c>
      <c r="N4030" s="117">
        <f t="shared" si="479"/>
        <v>8.7359999999999993E-2</v>
      </c>
      <c r="O4030" s="119">
        <f t="shared" si="480"/>
        <v>0</v>
      </c>
      <c r="P4030" s="120">
        <f t="shared" si="481"/>
        <v>0</v>
      </c>
      <c r="Q4030" s="111"/>
      <c r="R4030" s="32"/>
      <c r="S4030" s="32"/>
    </row>
    <row r="4031" spans="2:19">
      <c r="B4031" s="110" t="s">
        <v>473</v>
      </c>
      <c r="C4031" s="111" t="s">
        <v>232</v>
      </c>
      <c r="D4031" s="112" t="s">
        <v>449</v>
      </c>
      <c r="E4031" s="113" t="s">
        <v>19</v>
      </c>
      <c r="F4031" s="369" t="s">
        <v>14</v>
      </c>
      <c r="G4031" s="369" t="s">
        <v>32</v>
      </c>
      <c r="H4031" s="370">
        <v>8.32</v>
      </c>
      <c r="I4031" s="125">
        <v>10</v>
      </c>
      <c r="J4031" s="358">
        <v>1</v>
      </c>
      <c r="K4031" s="117">
        <f t="shared" si="478"/>
        <v>8.3199999999999996E-2</v>
      </c>
      <c r="L4031" s="118"/>
      <c r="M4031" s="111">
        <v>1</v>
      </c>
      <c r="N4031" s="117">
        <f t="shared" si="479"/>
        <v>8.3199999999999996E-2</v>
      </c>
      <c r="O4031" s="119">
        <f t="shared" si="480"/>
        <v>0</v>
      </c>
      <c r="P4031" s="120">
        <f t="shared" si="481"/>
        <v>0</v>
      </c>
      <c r="Q4031" s="72">
        <v>8.35</v>
      </c>
      <c r="R4031" s="72">
        <v>1</v>
      </c>
      <c r="S4031" s="72" t="s">
        <v>631</v>
      </c>
    </row>
    <row r="4032" spans="2:19">
      <c r="B4032" s="110" t="s">
        <v>473</v>
      </c>
      <c r="C4032" s="111" t="s">
        <v>232</v>
      </c>
      <c r="D4032" s="112" t="s">
        <v>449</v>
      </c>
      <c r="E4032" s="113" t="s">
        <v>19</v>
      </c>
      <c r="F4032" s="369" t="s">
        <v>14</v>
      </c>
      <c r="G4032" s="369" t="s">
        <v>32</v>
      </c>
      <c r="H4032" s="370">
        <v>8.32</v>
      </c>
      <c r="I4032" s="125">
        <v>10.199999999999999</v>
      </c>
      <c r="J4032" s="358">
        <v>6</v>
      </c>
      <c r="K4032" s="117">
        <f t="shared" si="478"/>
        <v>0.50918399999999997</v>
      </c>
      <c r="L4032" s="118"/>
      <c r="M4032" s="111">
        <v>6</v>
      </c>
      <c r="N4032" s="117">
        <f t="shared" si="479"/>
        <v>0.50918399999999997</v>
      </c>
      <c r="O4032" s="119">
        <f t="shared" si="480"/>
        <v>0</v>
      </c>
      <c r="P4032" s="120">
        <f t="shared" si="481"/>
        <v>0</v>
      </c>
      <c r="Q4032" s="72"/>
      <c r="R4032" s="72"/>
      <c r="S4032" s="72"/>
    </row>
    <row r="4033" spans="2:19">
      <c r="B4033" s="110" t="s">
        <v>473</v>
      </c>
      <c r="C4033" s="111" t="s">
        <v>232</v>
      </c>
      <c r="D4033" s="112" t="s">
        <v>449</v>
      </c>
      <c r="E4033" s="113" t="s">
        <v>19</v>
      </c>
      <c r="F4033" s="369" t="s">
        <v>14</v>
      </c>
      <c r="G4033" s="369" t="s">
        <v>32</v>
      </c>
      <c r="H4033" s="370">
        <v>8.32</v>
      </c>
      <c r="I4033" s="125">
        <v>11.35</v>
      </c>
      <c r="J4033" s="358">
        <v>7</v>
      </c>
      <c r="K4033" s="117">
        <f t="shared" si="478"/>
        <v>0.66102400000000006</v>
      </c>
      <c r="L4033" s="118"/>
      <c r="M4033" s="111">
        <v>7</v>
      </c>
      <c r="N4033" s="117">
        <f t="shared" si="479"/>
        <v>0.66102400000000006</v>
      </c>
      <c r="O4033" s="119">
        <f t="shared" si="480"/>
        <v>0</v>
      </c>
      <c r="P4033" s="120">
        <f t="shared" si="481"/>
        <v>0</v>
      </c>
      <c r="Q4033" s="72"/>
      <c r="R4033" s="72"/>
      <c r="S4033" s="72"/>
    </row>
    <row r="4034" spans="2:19">
      <c r="B4034" s="110" t="s">
        <v>473</v>
      </c>
      <c r="C4034" s="111" t="s">
        <v>232</v>
      </c>
      <c r="D4034" s="112" t="s">
        <v>449</v>
      </c>
      <c r="E4034" s="113" t="s">
        <v>19</v>
      </c>
      <c r="F4034" s="369" t="s">
        <v>14</v>
      </c>
      <c r="G4034" s="369" t="s">
        <v>32</v>
      </c>
      <c r="H4034" s="370">
        <v>8.32</v>
      </c>
      <c r="I4034" s="125">
        <v>8.5</v>
      </c>
      <c r="J4034" s="358">
        <v>1</v>
      </c>
      <c r="K4034" s="117">
        <f t="shared" si="478"/>
        <v>7.0720000000000005E-2</v>
      </c>
      <c r="L4034" s="118"/>
      <c r="M4034" s="111">
        <v>1</v>
      </c>
      <c r="N4034" s="117">
        <f t="shared" si="479"/>
        <v>7.0720000000000005E-2</v>
      </c>
      <c r="O4034" s="119">
        <f t="shared" si="480"/>
        <v>0</v>
      </c>
      <c r="P4034" s="120">
        <f t="shared" si="481"/>
        <v>0</v>
      </c>
      <c r="Q4034" s="72">
        <v>8.35</v>
      </c>
      <c r="R4034" s="72">
        <v>1</v>
      </c>
      <c r="S4034" s="72" t="s">
        <v>631</v>
      </c>
    </row>
    <row r="4035" spans="2:19">
      <c r="B4035" s="110" t="s">
        <v>473</v>
      </c>
      <c r="C4035" s="111" t="s">
        <v>232</v>
      </c>
      <c r="D4035" s="112" t="s">
        <v>449</v>
      </c>
      <c r="E4035" s="113" t="s">
        <v>19</v>
      </c>
      <c r="F4035" s="369" t="s">
        <v>14</v>
      </c>
      <c r="G4035" s="369" t="s">
        <v>32</v>
      </c>
      <c r="H4035" s="370">
        <v>8.32</v>
      </c>
      <c r="I4035" s="125">
        <v>8.75</v>
      </c>
      <c r="J4035" s="358">
        <v>1</v>
      </c>
      <c r="K4035" s="117">
        <f t="shared" si="478"/>
        <v>7.2800000000000004E-2</v>
      </c>
      <c r="L4035" s="118"/>
      <c r="M4035" s="111">
        <v>1</v>
      </c>
      <c r="N4035" s="117">
        <f t="shared" si="479"/>
        <v>7.2800000000000004E-2</v>
      </c>
      <c r="O4035" s="119">
        <f t="shared" si="480"/>
        <v>0</v>
      </c>
      <c r="P4035" s="120">
        <f t="shared" si="481"/>
        <v>0</v>
      </c>
      <c r="Q4035" s="72">
        <v>8.35</v>
      </c>
      <c r="R4035" s="72">
        <v>1</v>
      </c>
      <c r="S4035" s="72" t="s">
        <v>631</v>
      </c>
    </row>
    <row r="4036" spans="2:19">
      <c r="B4036" s="110" t="s">
        <v>473</v>
      </c>
      <c r="C4036" s="111" t="s">
        <v>232</v>
      </c>
      <c r="D4036" s="112" t="s">
        <v>449</v>
      </c>
      <c r="E4036" s="113" t="s">
        <v>19</v>
      </c>
      <c r="F4036" s="369" t="s">
        <v>14</v>
      </c>
      <c r="G4036" s="369" t="s">
        <v>32</v>
      </c>
      <c r="H4036" s="370">
        <v>8.32</v>
      </c>
      <c r="I4036" s="125">
        <v>9</v>
      </c>
      <c r="J4036" s="358">
        <v>2</v>
      </c>
      <c r="K4036" s="117">
        <f t="shared" si="478"/>
        <v>0.14976</v>
      </c>
      <c r="L4036" s="118"/>
      <c r="M4036" s="111">
        <v>2</v>
      </c>
      <c r="N4036" s="117">
        <f t="shared" si="479"/>
        <v>0.14976</v>
      </c>
      <c r="O4036" s="119">
        <f t="shared" si="480"/>
        <v>0</v>
      </c>
      <c r="P4036" s="120">
        <f t="shared" si="481"/>
        <v>0</v>
      </c>
      <c r="Q4036" s="72">
        <v>8.35</v>
      </c>
      <c r="R4036" s="72">
        <v>2</v>
      </c>
      <c r="S4036" s="72" t="s">
        <v>631</v>
      </c>
    </row>
    <row r="4037" spans="2:19">
      <c r="B4037" s="110" t="s">
        <v>473</v>
      </c>
      <c r="C4037" s="111" t="s">
        <v>232</v>
      </c>
      <c r="D4037" s="112" t="s">
        <v>449</v>
      </c>
      <c r="E4037" s="113" t="s">
        <v>19</v>
      </c>
      <c r="F4037" s="369" t="s">
        <v>14</v>
      </c>
      <c r="G4037" s="369" t="s">
        <v>32</v>
      </c>
      <c r="H4037" s="370">
        <v>8.32</v>
      </c>
      <c r="I4037" s="125">
        <v>9.25</v>
      </c>
      <c r="J4037" s="358">
        <v>1</v>
      </c>
      <c r="K4037" s="117">
        <f t="shared" si="478"/>
        <v>7.6960000000000015E-2</v>
      </c>
      <c r="L4037" s="118"/>
      <c r="M4037" s="111">
        <v>1</v>
      </c>
      <c r="N4037" s="117">
        <f t="shared" si="479"/>
        <v>7.6960000000000015E-2</v>
      </c>
      <c r="O4037" s="119">
        <f t="shared" si="480"/>
        <v>0</v>
      </c>
      <c r="P4037" s="120">
        <f t="shared" si="481"/>
        <v>0</v>
      </c>
      <c r="Q4037" s="72">
        <v>8.35</v>
      </c>
      <c r="R4037" s="72">
        <v>1</v>
      </c>
      <c r="S4037" s="72" t="s">
        <v>631</v>
      </c>
    </row>
    <row r="4038" spans="2:19">
      <c r="B4038" s="110" t="s">
        <v>473</v>
      </c>
      <c r="C4038" s="111" t="s">
        <v>232</v>
      </c>
      <c r="D4038" s="112" t="s">
        <v>449</v>
      </c>
      <c r="E4038" s="113" t="s">
        <v>19</v>
      </c>
      <c r="F4038" s="369" t="s">
        <v>14</v>
      </c>
      <c r="G4038" s="369" t="s">
        <v>32</v>
      </c>
      <c r="H4038" s="370">
        <v>8.32</v>
      </c>
      <c r="I4038" s="125">
        <v>9.5</v>
      </c>
      <c r="J4038" s="358">
        <v>1</v>
      </c>
      <c r="K4038" s="117">
        <f t="shared" si="478"/>
        <v>7.9040000000000013E-2</v>
      </c>
      <c r="L4038" s="118"/>
      <c r="M4038" s="111">
        <v>1</v>
      </c>
      <c r="N4038" s="117">
        <f t="shared" si="479"/>
        <v>7.9040000000000013E-2</v>
      </c>
      <c r="O4038" s="119">
        <f t="shared" si="480"/>
        <v>0</v>
      </c>
      <c r="P4038" s="120">
        <f t="shared" si="481"/>
        <v>0</v>
      </c>
      <c r="Q4038" s="111"/>
      <c r="R4038" s="32"/>
      <c r="S4038" s="32"/>
    </row>
    <row r="4039" spans="2:19">
      <c r="B4039" s="110" t="s">
        <v>473</v>
      </c>
      <c r="C4039" s="111" t="s">
        <v>232</v>
      </c>
      <c r="D4039" s="112" t="s">
        <v>449</v>
      </c>
      <c r="E4039" s="113" t="s">
        <v>19</v>
      </c>
      <c r="F4039" s="369" t="s">
        <v>14</v>
      </c>
      <c r="G4039" s="369" t="s">
        <v>32</v>
      </c>
      <c r="H4039" s="370">
        <v>8.32</v>
      </c>
      <c r="I4039" s="125">
        <v>9.6</v>
      </c>
      <c r="J4039" s="358">
        <v>3</v>
      </c>
      <c r="K4039" s="117">
        <f t="shared" si="478"/>
        <v>0.239616</v>
      </c>
      <c r="L4039" s="118"/>
      <c r="M4039" s="111">
        <v>3</v>
      </c>
      <c r="N4039" s="117">
        <f t="shared" si="479"/>
        <v>0.239616</v>
      </c>
      <c r="O4039" s="119">
        <f t="shared" si="480"/>
        <v>0</v>
      </c>
      <c r="P4039" s="120">
        <f t="shared" si="481"/>
        <v>0</v>
      </c>
      <c r="Q4039" s="111"/>
      <c r="R4039" s="32"/>
      <c r="S4039" s="32"/>
    </row>
    <row r="4040" spans="2:19">
      <c r="B4040" s="110" t="s">
        <v>473</v>
      </c>
      <c r="C4040" s="111" t="s">
        <v>232</v>
      </c>
      <c r="D4040" s="112" t="s">
        <v>449</v>
      </c>
      <c r="E4040" s="113" t="s">
        <v>19</v>
      </c>
      <c r="F4040" s="369" t="s">
        <v>14</v>
      </c>
      <c r="G4040" s="369" t="s">
        <v>32</v>
      </c>
      <c r="H4040" s="370">
        <v>8.32</v>
      </c>
      <c r="I4040" s="125">
        <v>9.8000000000000007</v>
      </c>
      <c r="J4040" s="358">
        <v>1</v>
      </c>
      <c r="K4040" s="117">
        <f t="shared" si="478"/>
        <v>8.1536000000000011E-2</v>
      </c>
      <c r="L4040" s="118"/>
      <c r="M4040" s="111">
        <v>1</v>
      </c>
      <c r="N4040" s="117">
        <f t="shared" si="479"/>
        <v>8.1536000000000011E-2</v>
      </c>
      <c r="O4040" s="119">
        <f t="shared" si="480"/>
        <v>0</v>
      </c>
      <c r="P4040" s="120">
        <f t="shared" si="481"/>
        <v>0</v>
      </c>
      <c r="Q4040" s="111"/>
      <c r="R4040" s="32"/>
      <c r="S4040" s="32"/>
    </row>
    <row r="4041" spans="2:19">
      <c r="B4041" s="110" t="s">
        <v>473</v>
      </c>
      <c r="C4041" s="111" t="s">
        <v>232</v>
      </c>
      <c r="D4041" s="112" t="s">
        <v>449</v>
      </c>
      <c r="E4041" s="113" t="s">
        <v>19</v>
      </c>
      <c r="F4041" s="369" t="s">
        <v>14</v>
      </c>
      <c r="G4041" s="369" t="s">
        <v>32</v>
      </c>
      <c r="H4041" s="370">
        <v>8.32</v>
      </c>
      <c r="I4041" s="125">
        <v>10.5</v>
      </c>
      <c r="J4041" s="358">
        <v>1</v>
      </c>
      <c r="K4041" s="117">
        <f t="shared" si="478"/>
        <v>8.7359999999999993E-2</v>
      </c>
      <c r="L4041" s="118"/>
      <c r="M4041" s="111">
        <v>1</v>
      </c>
      <c r="N4041" s="117">
        <f t="shared" si="479"/>
        <v>8.7359999999999993E-2</v>
      </c>
      <c r="O4041" s="119">
        <f t="shared" si="480"/>
        <v>0</v>
      </c>
      <c r="P4041" s="120">
        <f t="shared" si="481"/>
        <v>0</v>
      </c>
      <c r="Q4041" s="111"/>
      <c r="R4041" s="32"/>
      <c r="S4041" s="32"/>
    </row>
    <row r="4042" spans="2:19">
      <c r="B4042" s="110" t="s">
        <v>473</v>
      </c>
      <c r="C4042" s="111" t="s">
        <v>232</v>
      </c>
      <c r="D4042" s="112" t="s">
        <v>449</v>
      </c>
      <c r="E4042" s="113" t="s">
        <v>19</v>
      </c>
      <c r="F4042" s="369" t="s">
        <v>14</v>
      </c>
      <c r="G4042" s="369" t="s">
        <v>32</v>
      </c>
      <c r="H4042" s="370">
        <v>8.32</v>
      </c>
      <c r="I4042" s="125">
        <v>10</v>
      </c>
      <c r="J4042" s="358">
        <v>8</v>
      </c>
      <c r="K4042" s="117">
        <f t="shared" si="478"/>
        <v>0.66559999999999997</v>
      </c>
      <c r="L4042" s="118"/>
      <c r="M4042" s="111">
        <v>8</v>
      </c>
      <c r="N4042" s="117">
        <f t="shared" si="479"/>
        <v>0.66559999999999997</v>
      </c>
      <c r="O4042" s="119">
        <f t="shared" si="480"/>
        <v>0</v>
      </c>
      <c r="P4042" s="120">
        <f t="shared" si="481"/>
        <v>0</v>
      </c>
      <c r="Q4042" s="111"/>
      <c r="R4042" s="32"/>
      <c r="S4042" s="32"/>
    </row>
    <row r="4043" spans="2:19">
      <c r="B4043" s="32"/>
      <c r="C4043" s="32"/>
      <c r="D4043" s="32"/>
      <c r="E4043" s="32"/>
      <c r="F4043" s="32"/>
      <c r="G4043" s="32"/>
      <c r="H4043" s="32"/>
      <c r="I4043" s="32"/>
      <c r="J4043" s="129">
        <f>SUM(J3999:J4042)</f>
        <v>927</v>
      </c>
      <c r="K4043" s="124">
        <f>SUM(K3999:K4042)</f>
        <v>79.871167999999997</v>
      </c>
      <c r="L4043" s="32"/>
      <c r="M4043" s="129">
        <f>SUM(M3999:M4042)</f>
        <v>926</v>
      </c>
      <c r="N4043" s="124">
        <f>SUM(N3999:N4042)</f>
        <v>79.804608000000059</v>
      </c>
      <c r="O4043" s="129">
        <f>SUM(O3999:O4042)</f>
        <v>1</v>
      </c>
      <c r="P4043" s="124">
        <f>SUM(P3999:P4042)</f>
        <v>6.6560000000000008E-2</v>
      </c>
      <c r="Q4043" s="32"/>
      <c r="R4043" s="129">
        <f>SUM(R3999:R4042)</f>
        <v>12</v>
      </c>
      <c r="S4043" s="32"/>
    </row>
    <row r="4044" spans="2:19">
      <c r="R4044" s="215">
        <f>+R4043+T3995</f>
        <v>27</v>
      </c>
    </row>
    <row r="4046" spans="2:19" ht="15.6">
      <c r="B4046" s="110" t="s">
        <v>328</v>
      </c>
      <c r="C4046" s="111" t="s">
        <v>232</v>
      </c>
      <c r="D4046" s="112" t="s">
        <v>228</v>
      </c>
      <c r="E4046" s="113" t="s">
        <v>17</v>
      </c>
      <c r="F4046" s="114" t="s">
        <v>15</v>
      </c>
      <c r="G4046" s="115" t="s">
        <v>21</v>
      </c>
      <c r="H4046" s="116">
        <v>6.97</v>
      </c>
      <c r="I4046" s="125">
        <v>8</v>
      </c>
      <c r="J4046" s="32">
        <f>1+7</f>
        <v>8</v>
      </c>
      <c r="K4046" s="117">
        <f t="shared" ref="K4046:K4072" si="482">I4046*H4046*J4046/1000</f>
        <v>0.44607999999999998</v>
      </c>
      <c r="L4046" s="118"/>
      <c r="M4046" s="111">
        <f>7+1</f>
        <v>8</v>
      </c>
      <c r="N4046" s="117">
        <f t="shared" ref="N4046:N4077" si="483">I4046*M4046*H4046/1000</f>
        <v>0.44607999999999998</v>
      </c>
      <c r="O4046" s="119">
        <f t="shared" ref="O4046:O4077" si="484">J4046-M4046</f>
        <v>0</v>
      </c>
      <c r="P4046" s="120">
        <f t="shared" ref="P4046:P4077" si="485">I4046*O4046*H4046/1000</f>
        <v>0</v>
      </c>
      <c r="Q4046" s="101">
        <v>7.6</v>
      </c>
      <c r="R4046" s="101">
        <v>1</v>
      </c>
      <c r="S4046" s="101" t="s">
        <v>634</v>
      </c>
    </row>
    <row r="4047" spans="2:19" ht="15.6">
      <c r="B4047" s="110" t="s">
        <v>328</v>
      </c>
      <c r="C4047" s="111" t="s">
        <v>232</v>
      </c>
      <c r="D4047" s="112" t="s">
        <v>228</v>
      </c>
      <c r="E4047" s="113" t="s">
        <v>17</v>
      </c>
      <c r="F4047" s="114" t="s">
        <v>15</v>
      </c>
      <c r="G4047" s="115" t="s">
        <v>21</v>
      </c>
      <c r="H4047" s="116">
        <v>6.97</v>
      </c>
      <c r="I4047" s="125">
        <v>9.1999999999999993</v>
      </c>
      <c r="J4047" s="32">
        <f>28+10</f>
        <v>38</v>
      </c>
      <c r="K4047" s="117">
        <f t="shared" si="482"/>
        <v>2.436712</v>
      </c>
      <c r="L4047" s="118"/>
      <c r="M4047" s="111">
        <v>38</v>
      </c>
      <c r="N4047" s="117">
        <f t="shared" si="483"/>
        <v>2.4367119999999995</v>
      </c>
      <c r="O4047" s="119">
        <f t="shared" si="484"/>
        <v>0</v>
      </c>
      <c r="P4047" s="120">
        <f t="shared" si="485"/>
        <v>0</v>
      </c>
      <c r="Q4047" s="111"/>
      <c r="R4047" s="32"/>
      <c r="S4047" s="32"/>
    </row>
    <row r="4048" spans="2:19" ht="15.6">
      <c r="B4048" s="110" t="s">
        <v>328</v>
      </c>
      <c r="C4048" s="111" t="s">
        <v>232</v>
      </c>
      <c r="D4048" s="112" t="s">
        <v>228</v>
      </c>
      <c r="E4048" s="113" t="s">
        <v>17</v>
      </c>
      <c r="F4048" s="114" t="s">
        <v>15</v>
      </c>
      <c r="G4048" s="115" t="s">
        <v>21</v>
      </c>
      <c r="H4048" s="116">
        <v>6.97</v>
      </c>
      <c r="I4048" s="125">
        <v>9.5</v>
      </c>
      <c r="J4048" s="32">
        <v>8</v>
      </c>
      <c r="K4048" s="117">
        <f t="shared" si="482"/>
        <v>0.52972000000000008</v>
      </c>
      <c r="L4048" s="118"/>
      <c r="M4048" s="111">
        <v>8</v>
      </c>
      <c r="N4048" s="117">
        <f t="shared" si="483"/>
        <v>0.52972000000000008</v>
      </c>
      <c r="O4048" s="119">
        <f t="shared" si="484"/>
        <v>0</v>
      </c>
      <c r="P4048" s="120">
        <f t="shared" si="485"/>
        <v>0</v>
      </c>
      <c r="Q4048" s="111"/>
      <c r="R4048" s="32"/>
      <c r="S4048" s="32"/>
    </row>
    <row r="4049" spans="2:19" ht="15.6">
      <c r="B4049" s="110" t="s">
        <v>328</v>
      </c>
      <c r="C4049" s="111" t="s">
        <v>232</v>
      </c>
      <c r="D4049" s="112" t="s">
        <v>228</v>
      </c>
      <c r="E4049" s="113" t="s">
        <v>17</v>
      </c>
      <c r="F4049" s="114" t="s">
        <v>15</v>
      </c>
      <c r="G4049" s="115" t="s">
        <v>21</v>
      </c>
      <c r="H4049" s="116">
        <v>6.97</v>
      </c>
      <c r="I4049" s="125">
        <v>10.1</v>
      </c>
      <c r="J4049" s="32">
        <f>24+21</f>
        <v>45</v>
      </c>
      <c r="K4049" s="117">
        <f t="shared" si="482"/>
        <v>3.1678649999999999</v>
      </c>
      <c r="L4049" s="118"/>
      <c r="M4049" s="111">
        <v>45</v>
      </c>
      <c r="N4049" s="117">
        <f t="shared" si="483"/>
        <v>3.1678649999999999</v>
      </c>
      <c r="O4049" s="119">
        <f t="shared" si="484"/>
        <v>0</v>
      </c>
      <c r="P4049" s="120">
        <f t="shared" si="485"/>
        <v>0</v>
      </c>
      <c r="Q4049" s="111"/>
      <c r="R4049" s="32"/>
      <c r="S4049" s="32"/>
    </row>
    <row r="4050" spans="2:19" ht="15.6">
      <c r="B4050" s="110" t="s">
        <v>328</v>
      </c>
      <c r="C4050" s="111" t="s">
        <v>232</v>
      </c>
      <c r="D4050" s="112" t="s">
        <v>228</v>
      </c>
      <c r="E4050" s="113" t="s">
        <v>17</v>
      </c>
      <c r="F4050" s="114" t="s">
        <v>15</v>
      </c>
      <c r="G4050" s="115" t="s">
        <v>21</v>
      </c>
      <c r="H4050" s="116">
        <v>6.97</v>
      </c>
      <c r="I4050" s="125">
        <v>10.5</v>
      </c>
      <c r="J4050" s="32">
        <f>20+2</f>
        <v>22</v>
      </c>
      <c r="K4050" s="117">
        <f t="shared" si="482"/>
        <v>1.6100700000000001</v>
      </c>
      <c r="L4050" s="118"/>
      <c r="M4050" s="111">
        <v>22</v>
      </c>
      <c r="N4050" s="117">
        <f t="shared" si="483"/>
        <v>1.6100699999999999</v>
      </c>
      <c r="O4050" s="119">
        <f t="shared" si="484"/>
        <v>0</v>
      </c>
      <c r="P4050" s="120">
        <f t="shared" si="485"/>
        <v>0</v>
      </c>
      <c r="Q4050" s="111"/>
      <c r="R4050" s="32"/>
      <c r="S4050" s="32"/>
    </row>
    <row r="4051" spans="2:19" ht="15.6">
      <c r="B4051" s="110" t="s">
        <v>328</v>
      </c>
      <c r="C4051" s="111" t="s">
        <v>232</v>
      </c>
      <c r="D4051" s="112" t="s">
        <v>228</v>
      </c>
      <c r="E4051" s="113" t="s">
        <v>17</v>
      </c>
      <c r="F4051" s="114" t="s">
        <v>15</v>
      </c>
      <c r="G4051" s="115" t="s">
        <v>21</v>
      </c>
      <c r="H4051" s="116">
        <v>6.97</v>
      </c>
      <c r="I4051" s="125">
        <v>10.6</v>
      </c>
      <c r="J4051" s="32">
        <f>30+29+5</f>
        <v>64</v>
      </c>
      <c r="K4051" s="117">
        <f t="shared" si="482"/>
        <v>4.7284479999999993</v>
      </c>
      <c r="L4051" s="118"/>
      <c r="M4051" s="111">
        <f>63+1</f>
        <v>64</v>
      </c>
      <c r="N4051" s="117">
        <f t="shared" si="483"/>
        <v>4.7284479999999993</v>
      </c>
      <c r="O4051" s="119">
        <f t="shared" si="484"/>
        <v>0</v>
      </c>
      <c r="P4051" s="120">
        <f t="shared" si="485"/>
        <v>0</v>
      </c>
      <c r="Q4051" s="111"/>
      <c r="R4051" s="32"/>
      <c r="S4051" s="32"/>
    </row>
    <row r="4052" spans="2:19" ht="15.6">
      <c r="B4052" s="110" t="s">
        <v>328</v>
      </c>
      <c r="C4052" s="111" t="s">
        <v>232</v>
      </c>
      <c r="D4052" s="112" t="s">
        <v>228</v>
      </c>
      <c r="E4052" s="113" t="s">
        <v>17</v>
      </c>
      <c r="F4052" s="114" t="s">
        <v>15</v>
      </c>
      <c r="G4052" s="115" t="s">
        <v>21</v>
      </c>
      <c r="H4052" s="116">
        <v>6.97</v>
      </c>
      <c r="I4052" s="125">
        <v>10.85</v>
      </c>
      <c r="J4052" s="32">
        <f>18+19</f>
        <v>37</v>
      </c>
      <c r="K4052" s="117">
        <f t="shared" si="482"/>
        <v>2.7981064999999998</v>
      </c>
      <c r="L4052" s="118"/>
      <c r="M4052" s="111">
        <v>37</v>
      </c>
      <c r="N4052" s="117">
        <f t="shared" si="483"/>
        <v>2.7981064999999998</v>
      </c>
      <c r="O4052" s="119">
        <f t="shared" si="484"/>
        <v>0</v>
      </c>
      <c r="P4052" s="120">
        <f t="shared" si="485"/>
        <v>0</v>
      </c>
      <c r="Q4052" s="111"/>
      <c r="R4052" s="32"/>
      <c r="S4052" s="32"/>
    </row>
    <row r="4053" spans="2:19" ht="15.6">
      <c r="B4053" s="110" t="s">
        <v>328</v>
      </c>
      <c r="C4053" s="111" t="s">
        <v>232</v>
      </c>
      <c r="D4053" s="112" t="s">
        <v>228</v>
      </c>
      <c r="E4053" s="113" t="s">
        <v>17</v>
      </c>
      <c r="F4053" s="114" t="s">
        <v>15</v>
      </c>
      <c r="G4053" s="115" t="s">
        <v>21</v>
      </c>
      <c r="H4053" s="116">
        <v>6.97</v>
      </c>
      <c r="I4053" s="125">
        <v>11</v>
      </c>
      <c r="J4053" s="32">
        <f>24+16</f>
        <v>40</v>
      </c>
      <c r="K4053" s="117">
        <f t="shared" si="482"/>
        <v>3.0668000000000002</v>
      </c>
      <c r="L4053" s="118"/>
      <c r="M4053" s="111">
        <f>37+3</f>
        <v>40</v>
      </c>
      <c r="N4053" s="117">
        <f t="shared" si="483"/>
        <v>3.0667999999999997</v>
      </c>
      <c r="O4053" s="119">
        <f t="shared" si="484"/>
        <v>0</v>
      </c>
      <c r="P4053" s="120">
        <f t="shared" si="485"/>
        <v>0</v>
      </c>
      <c r="Q4053" s="111"/>
      <c r="R4053" s="32"/>
      <c r="S4053" s="32"/>
    </row>
    <row r="4054" spans="2:19" ht="15.6">
      <c r="B4054" s="110" t="s">
        <v>328</v>
      </c>
      <c r="C4054" s="111" t="s">
        <v>232</v>
      </c>
      <c r="D4054" s="112" t="s">
        <v>228</v>
      </c>
      <c r="E4054" s="113" t="s">
        <v>17</v>
      </c>
      <c r="F4054" s="114" t="s">
        <v>15</v>
      </c>
      <c r="G4054" s="115" t="s">
        <v>21</v>
      </c>
      <c r="H4054" s="116">
        <v>6.97</v>
      </c>
      <c r="I4054" s="125">
        <v>11.2</v>
      </c>
      <c r="J4054" s="32">
        <f>2+12</f>
        <v>14</v>
      </c>
      <c r="K4054" s="117">
        <f t="shared" si="482"/>
        <v>1.0928959999999999</v>
      </c>
      <c r="L4054" s="118"/>
      <c r="M4054" s="111">
        <v>14</v>
      </c>
      <c r="N4054" s="117">
        <f t="shared" si="483"/>
        <v>1.0928959999999996</v>
      </c>
      <c r="O4054" s="119">
        <f t="shared" si="484"/>
        <v>0</v>
      </c>
      <c r="P4054" s="120">
        <f t="shared" si="485"/>
        <v>0</v>
      </c>
      <c r="Q4054" s="111"/>
      <c r="R4054" s="32"/>
      <c r="S4054" s="32"/>
    </row>
    <row r="4055" spans="2:19" ht="15.6">
      <c r="B4055" s="110" t="s">
        <v>328</v>
      </c>
      <c r="C4055" s="111" t="s">
        <v>232</v>
      </c>
      <c r="D4055" s="112" t="s">
        <v>228</v>
      </c>
      <c r="E4055" s="113" t="s">
        <v>17</v>
      </c>
      <c r="F4055" s="114" t="s">
        <v>15</v>
      </c>
      <c r="G4055" s="115" t="s">
        <v>21</v>
      </c>
      <c r="H4055" s="116">
        <v>6.97</v>
      </c>
      <c r="I4055" s="125">
        <v>11.3</v>
      </c>
      <c r="J4055" s="32">
        <f>2+16+8</f>
        <v>26</v>
      </c>
      <c r="K4055" s="117">
        <f t="shared" si="482"/>
        <v>2.0477859999999999</v>
      </c>
      <c r="L4055" s="118"/>
      <c r="M4055" s="111">
        <f>15+11</f>
        <v>26</v>
      </c>
      <c r="N4055" s="117">
        <f t="shared" si="483"/>
        <v>2.0477859999999999</v>
      </c>
      <c r="O4055" s="119">
        <f t="shared" si="484"/>
        <v>0</v>
      </c>
      <c r="P4055" s="120">
        <f t="shared" si="485"/>
        <v>0</v>
      </c>
      <c r="Q4055" s="111"/>
      <c r="R4055" s="32"/>
      <c r="S4055" s="32"/>
    </row>
    <row r="4056" spans="2:19" ht="15.6">
      <c r="B4056" s="110" t="s">
        <v>328</v>
      </c>
      <c r="C4056" s="111" t="s">
        <v>232</v>
      </c>
      <c r="D4056" s="112" t="s">
        <v>228</v>
      </c>
      <c r="E4056" s="113" t="s">
        <v>17</v>
      </c>
      <c r="F4056" s="114" t="s">
        <v>15</v>
      </c>
      <c r="G4056" s="115" t="s">
        <v>21</v>
      </c>
      <c r="H4056" s="116">
        <v>6.97</v>
      </c>
      <c r="I4056" s="125">
        <v>11.8</v>
      </c>
      <c r="J4056" s="32">
        <f>16+23+6</f>
        <v>45</v>
      </c>
      <c r="K4056" s="117">
        <f t="shared" si="482"/>
        <v>3.7010699999999996</v>
      </c>
      <c r="L4056" s="118"/>
      <c r="M4056" s="111">
        <v>45</v>
      </c>
      <c r="N4056" s="117">
        <f t="shared" si="483"/>
        <v>3.7010699999999996</v>
      </c>
      <c r="O4056" s="119">
        <f t="shared" si="484"/>
        <v>0</v>
      </c>
      <c r="P4056" s="120">
        <f t="shared" si="485"/>
        <v>0</v>
      </c>
      <c r="Q4056" s="111"/>
      <c r="R4056" s="32"/>
      <c r="S4056" s="32"/>
    </row>
    <row r="4057" spans="2:19" ht="15.6">
      <c r="B4057" s="110" t="s">
        <v>328</v>
      </c>
      <c r="C4057" s="111" t="s">
        <v>232</v>
      </c>
      <c r="D4057" s="112" t="s">
        <v>228</v>
      </c>
      <c r="E4057" s="113" t="s">
        <v>17</v>
      </c>
      <c r="F4057" s="114" t="s">
        <v>15</v>
      </c>
      <c r="G4057" s="115" t="s">
        <v>21</v>
      </c>
      <c r="H4057" s="116">
        <v>6.97</v>
      </c>
      <c r="I4057" s="125">
        <v>12</v>
      </c>
      <c r="J4057" s="32">
        <f>32+5+35+35+11+32+11</f>
        <v>161</v>
      </c>
      <c r="K4057" s="117">
        <f t="shared" si="482"/>
        <v>13.466040000000001</v>
      </c>
      <c r="L4057" s="118"/>
      <c r="M4057" s="111">
        <f>118+43</f>
        <v>161</v>
      </c>
      <c r="N4057" s="117">
        <f t="shared" si="483"/>
        <v>13.46604</v>
      </c>
      <c r="O4057" s="119">
        <f t="shared" si="484"/>
        <v>0</v>
      </c>
      <c r="P4057" s="120">
        <f t="shared" si="485"/>
        <v>0</v>
      </c>
      <c r="Q4057" s="111"/>
      <c r="R4057" s="32"/>
      <c r="S4057" s="32"/>
    </row>
    <row r="4058" spans="2:19" ht="15.6">
      <c r="B4058" s="110" t="s">
        <v>328</v>
      </c>
      <c r="C4058" s="111" t="s">
        <v>232</v>
      </c>
      <c r="D4058" s="112" t="s">
        <v>228</v>
      </c>
      <c r="E4058" s="113" t="s">
        <v>17</v>
      </c>
      <c r="F4058" s="114" t="s">
        <v>15</v>
      </c>
      <c r="G4058" s="115" t="s">
        <v>21</v>
      </c>
      <c r="H4058" s="116">
        <v>6.97</v>
      </c>
      <c r="I4058" s="125">
        <v>8.1</v>
      </c>
      <c r="J4058" s="32">
        <v>1</v>
      </c>
      <c r="K4058" s="117">
        <f t="shared" si="482"/>
        <v>5.6456999999999993E-2</v>
      </c>
      <c r="L4058" s="118"/>
      <c r="M4058" s="111">
        <v>1</v>
      </c>
      <c r="N4058" s="117">
        <f t="shared" si="483"/>
        <v>5.6456999999999993E-2</v>
      </c>
      <c r="O4058" s="119">
        <f t="shared" si="484"/>
        <v>0</v>
      </c>
      <c r="P4058" s="120">
        <f t="shared" si="485"/>
        <v>0</v>
      </c>
      <c r="Q4058" s="104">
        <v>7.6</v>
      </c>
      <c r="R4058" s="101">
        <v>1</v>
      </c>
      <c r="S4058" s="101" t="s">
        <v>634</v>
      </c>
    </row>
    <row r="4059" spans="2:19" ht="15.6">
      <c r="B4059" s="110" t="s">
        <v>328</v>
      </c>
      <c r="C4059" s="111" t="s">
        <v>232</v>
      </c>
      <c r="D4059" s="112" t="s">
        <v>228</v>
      </c>
      <c r="E4059" s="113" t="s">
        <v>17</v>
      </c>
      <c r="F4059" s="114" t="s">
        <v>15</v>
      </c>
      <c r="G4059" s="115" t="s">
        <v>21</v>
      </c>
      <c r="H4059" s="116">
        <v>6.97</v>
      </c>
      <c r="I4059" s="125">
        <v>9.4</v>
      </c>
      <c r="J4059" s="32">
        <v>2</v>
      </c>
      <c r="K4059" s="117">
        <f t="shared" si="482"/>
        <v>0.13103600000000001</v>
      </c>
      <c r="L4059" s="118"/>
      <c r="M4059" s="111">
        <v>2</v>
      </c>
      <c r="N4059" s="117">
        <f t="shared" si="483"/>
        <v>0.13103600000000001</v>
      </c>
      <c r="O4059" s="119">
        <f t="shared" si="484"/>
        <v>0</v>
      </c>
      <c r="P4059" s="120">
        <f t="shared" si="485"/>
        <v>0</v>
      </c>
      <c r="Q4059" s="104">
        <v>9.1</v>
      </c>
      <c r="R4059" s="101">
        <v>2</v>
      </c>
      <c r="S4059" s="101" t="s">
        <v>634</v>
      </c>
    </row>
    <row r="4060" spans="2:19" ht="15.6">
      <c r="B4060" s="110" t="s">
        <v>328</v>
      </c>
      <c r="C4060" s="111" t="s">
        <v>232</v>
      </c>
      <c r="D4060" s="112" t="s">
        <v>228</v>
      </c>
      <c r="E4060" s="113" t="s">
        <v>17</v>
      </c>
      <c r="F4060" s="114" t="s">
        <v>15</v>
      </c>
      <c r="G4060" s="115" t="s">
        <v>21</v>
      </c>
      <c r="H4060" s="116">
        <v>6.97</v>
      </c>
      <c r="I4060" s="125">
        <v>10.4</v>
      </c>
      <c r="J4060" s="32">
        <v>1</v>
      </c>
      <c r="K4060" s="117">
        <f t="shared" si="482"/>
        <v>7.2487999999999997E-2</v>
      </c>
      <c r="L4060" s="118"/>
      <c r="M4060" s="111">
        <v>1</v>
      </c>
      <c r="N4060" s="117">
        <f t="shared" si="483"/>
        <v>7.2487999999999997E-2</v>
      </c>
      <c r="O4060" s="119">
        <f t="shared" si="484"/>
        <v>0</v>
      </c>
      <c r="P4060" s="120">
        <f t="shared" si="485"/>
        <v>0</v>
      </c>
      <c r="Q4060" s="104">
        <v>9.1</v>
      </c>
      <c r="R4060" s="101">
        <v>1</v>
      </c>
      <c r="S4060" s="101" t="s">
        <v>634</v>
      </c>
    </row>
    <row r="4061" spans="2:19" ht="15.6">
      <c r="B4061" s="110" t="s">
        <v>328</v>
      </c>
      <c r="C4061" s="111" t="s">
        <v>232</v>
      </c>
      <c r="D4061" s="112" t="s">
        <v>228</v>
      </c>
      <c r="E4061" s="113" t="s">
        <v>17</v>
      </c>
      <c r="F4061" s="114" t="s">
        <v>15</v>
      </c>
      <c r="G4061" s="115" t="s">
        <v>21</v>
      </c>
      <c r="H4061" s="116">
        <v>6.97</v>
      </c>
      <c r="I4061" s="125">
        <v>9.5</v>
      </c>
      <c r="J4061" s="32">
        <v>1</v>
      </c>
      <c r="K4061" s="117">
        <f t="shared" si="482"/>
        <v>6.621500000000001E-2</v>
      </c>
      <c r="L4061" s="118"/>
      <c r="M4061" s="111">
        <v>1</v>
      </c>
      <c r="N4061" s="117">
        <f t="shared" si="483"/>
        <v>6.621500000000001E-2</v>
      </c>
      <c r="O4061" s="119">
        <f t="shared" si="484"/>
        <v>0</v>
      </c>
      <c r="P4061" s="120">
        <f t="shared" si="485"/>
        <v>0</v>
      </c>
      <c r="Q4061" s="104">
        <v>9.1</v>
      </c>
      <c r="R4061" s="101">
        <v>1</v>
      </c>
      <c r="S4061" s="101" t="s">
        <v>634</v>
      </c>
    </row>
    <row r="4062" spans="2:19" ht="15.6">
      <c r="B4062" s="110" t="s">
        <v>328</v>
      </c>
      <c r="C4062" s="111" t="s">
        <v>232</v>
      </c>
      <c r="D4062" s="112" t="s">
        <v>228</v>
      </c>
      <c r="E4062" s="113" t="s">
        <v>17</v>
      </c>
      <c r="F4062" s="114" t="s">
        <v>15</v>
      </c>
      <c r="G4062" s="115" t="s">
        <v>21</v>
      </c>
      <c r="H4062" s="116">
        <v>6.97</v>
      </c>
      <c r="I4062" s="125">
        <v>8</v>
      </c>
      <c r="J4062" s="32">
        <v>2</v>
      </c>
      <c r="K4062" s="117">
        <f t="shared" si="482"/>
        <v>0.11151999999999999</v>
      </c>
      <c r="L4062" s="118"/>
      <c r="M4062" s="111">
        <v>2</v>
      </c>
      <c r="N4062" s="117">
        <f t="shared" si="483"/>
        <v>0.11151999999999999</v>
      </c>
      <c r="O4062" s="119">
        <f t="shared" si="484"/>
        <v>0</v>
      </c>
      <c r="P4062" s="120">
        <f t="shared" si="485"/>
        <v>0</v>
      </c>
      <c r="Q4062" s="104">
        <v>7.6</v>
      </c>
      <c r="R4062" s="101">
        <v>2</v>
      </c>
      <c r="S4062" s="101" t="s">
        <v>634</v>
      </c>
    </row>
    <row r="4063" spans="2:19" ht="15.6">
      <c r="B4063" s="110" t="s">
        <v>328</v>
      </c>
      <c r="C4063" s="111" t="s">
        <v>232</v>
      </c>
      <c r="D4063" s="112" t="s">
        <v>228</v>
      </c>
      <c r="E4063" s="113" t="s">
        <v>17</v>
      </c>
      <c r="F4063" s="114" t="s">
        <v>15</v>
      </c>
      <c r="G4063" s="115" t="s">
        <v>21</v>
      </c>
      <c r="H4063" s="116">
        <v>6.97</v>
      </c>
      <c r="I4063" s="125">
        <v>8.1</v>
      </c>
      <c r="J4063" s="32">
        <v>1</v>
      </c>
      <c r="K4063" s="117">
        <f t="shared" si="482"/>
        <v>5.6456999999999993E-2</v>
      </c>
      <c r="L4063" s="118"/>
      <c r="M4063" s="111">
        <v>1</v>
      </c>
      <c r="N4063" s="117">
        <f t="shared" si="483"/>
        <v>5.6456999999999993E-2</v>
      </c>
      <c r="O4063" s="119">
        <f t="shared" si="484"/>
        <v>0</v>
      </c>
      <c r="P4063" s="120">
        <f t="shared" si="485"/>
        <v>0</v>
      </c>
      <c r="Q4063" s="104">
        <v>7.6</v>
      </c>
      <c r="R4063" s="101">
        <v>1</v>
      </c>
      <c r="S4063" s="101" t="s">
        <v>634</v>
      </c>
    </row>
    <row r="4064" spans="2:19" ht="15.6">
      <c r="B4064" s="110" t="s">
        <v>328</v>
      </c>
      <c r="C4064" s="111" t="s">
        <v>232</v>
      </c>
      <c r="D4064" s="112" t="s">
        <v>228</v>
      </c>
      <c r="E4064" s="113" t="s">
        <v>17</v>
      </c>
      <c r="F4064" s="114" t="s">
        <v>15</v>
      </c>
      <c r="G4064" s="115" t="s">
        <v>21</v>
      </c>
      <c r="H4064" s="116">
        <v>6.97</v>
      </c>
      <c r="I4064" s="125">
        <v>10</v>
      </c>
      <c r="J4064" s="32">
        <v>1</v>
      </c>
      <c r="K4064" s="117">
        <f t="shared" si="482"/>
        <v>6.9699999999999998E-2</v>
      </c>
      <c r="L4064" s="118"/>
      <c r="M4064" s="111">
        <v>1</v>
      </c>
      <c r="N4064" s="117">
        <f t="shared" si="483"/>
        <v>6.9699999999999998E-2</v>
      </c>
      <c r="O4064" s="119">
        <f t="shared" si="484"/>
        <v>0</v>
      </c>
      <c r="P4064" s="120">
        <f t="shared" si="485"/>
        <v>0</v>
      </c>
      <c r="Q4064" s="104">
        <v>9.1</v>
      </c>
      <c r="R4064" s="101">
        <v>1</v>
      </c>
      <c r="S4064" s="101" t="s">
        <v>634</v>
      </c>
    </row>
    <row r="4065" spans="2:19" ht="15.6">
      <c r="B4065" s="110" t="s">
        <v>328</v>
      </c>
      <c r="C4065" s="111" t="s">
        <v>232</v>
      </c>
      <c r="D4065" s="112" t="s">
        <v>228</v>
      </c>
      <c r="E4065" s="113" t="s">
        <v>17</v>
      </c>
      <c r="F4065" s="114" t="s">
        <v>15</v>
      </c>
      <c r="G4065" s="115" t="s">
        <v>21</v>
      </c>
      <c r="H4065" s="116">
        <v>6.97</v>
      </c>
      <c r="I4065" s="125">
        <v>9.4</v>
      </c>
      <c r="J4065" s="32">
        <v>1</v>
      </c>
      <c r="K4065" s="117">
        <f t="shared" si="482"/>
        <v>6.5518000000000007E-2</v>
      </c>
      <c r="L4065" s="118"/>
      <c r="M4065" s="111">
        <v>1</v>
      </c>
      <c r="N4065" s="117">
        <f t="shared" si="483"/>
        <v>6.5518000000000007E-2</v>
      </c>
      <c r="O4065" s="119">
        <f t="shared" si="484"/>
        <v>0</v>
      </c>
      <c r="P4065" s="120">
        <f t="shared" si="485"/>
        <v>0</v>
      </c>
      <c r="Q4065" s="104">
        <v>9.1</v>
      </c>
      <c r="R4065" s="101">
        <v>1</v>
      </c>
      <c r="S4065" s="101" t="s">
        <v>634</v>
      </c>
    </row>
    <row r="4066" spans="2:19" ht="15.6">
      <c r="B4066" s="110" t="s">
        <v>328</v>
      </c>
      <c r="C4066" s="111" t="s">
        <v>232</v>
      </c>
      <c r="D4066" s="112" t="s">
        <v>228</v>
      </c>
      <c r="E4066" s="113" t="s">
        <v>17</v>
      </c>
      <c r="F4066" s="114" t="s">
        <v>15</v>
      </c>
      <c r="G4066" s="115" t="s">
        <v>21</v>
      </c>
      <c r="H4066" s="116">
        <v>6.97</v>
      </c>
      <c r="I4066" s="125">
        <v>9.1999999999999993</v>
      </c>
      <c r="J4066" s="32">
        <v>3</v>
      </c>
      <c r="K4066" s="117">
        <f t="shared" si="482"/>
        <v>0.19237199999999999</v>
      </c>
      <c r="L4066" s="118"/>
      <c r="M4066" s="111">
        <f>2+1</f>
        <v>3</v>
      </c>
      <c r="N4066" s="117">
        <f t="shared" si="483"/>
        <v>0.19237199999999999</v>
      </c>
      <c r="O4066" s="119">
        <f t="shared" si="484"/>
        <v>0</v>
      </c>
      <c r="P4066" s="120">
        <f t="shared" si="485"/>
        <v>0</v>
      </c>
      <c r="Q4066" s="104">
        <v>9.1</v>
      </c>
      <c r="R4066" s="101">
        <v>1</v>
      </c>
      <c r="S4066" s="101" t="s">
        <v>634</v>
      </c>
    </row>
    <row r="4067" spans="2:19" ht="15.6">
      <c r="B4067" s="110" t="s">
        <v>328</v>
      </c>
      <c r="C4067" s="111" t="s">
        <v>232</v>
      </c>
      <c r="D4067" s="112" t="s">
        <v>228</v>
      </c>
      <c r="E4067" s="113" t="s">
        <v>17</v>
      </c>
      <c r="F4067" s="114" t="s">
        <v>15</v>
      </c>
      <c r="G4067" s="115" t="s">
        <v>21</v>
      </c>
      <c r="H4067" s="116">
        <v>6.97</v>
      </c>
      <c r="I4067" s="125">
        <v>11.2</v>
      </c>
      <c r="J4067" s="32">
        <v>1</v>
      </c>
      <c r="K4067" s="117">
        <f t="shared" si="482"/>
        <v>7.8063999999999995E-2</v>
      </c>
      <c r="L4067" s="118"/>
      <c r="M4067" s="111">
        <v>1</v>
      </c>
      <c r="N4067" s="117">
        <f t="shared" si="483"/>
        <v>7.8063999999999995E-2</v>
      </c>
      <c r="O4067" s="119">
        <f t="shared" si="484"/>
        <v>0</v>
      </c>
      <c r="P4067" s="120">
        <f t="shared" si="485"/>
        <v>0</v>
      </c>
      <c r="Q4067" s="111"/>
      <c r="R4067" s="32"/>
      <c r="S4067" s="32"/>
    </row>
    <row r="4068" spans="2:19" ht="15.6">
      <c r="B4068" s="110" t="s">
        <v>328</v>
      </c>
      <c r="C4068" s="111" t="s">
        <v>232</v>
      </c>
      <c r="D4068" s="112" t="s">
        <v>228</v>
      </c>
      <c r="E4068" s="113" t="s">
        <v>17</v>
      </c>
      <c r="F4068" s="114" t="s">
        <v>15</v>
      </c>
      <c r="G4068" s="115" t="s">
        <v>21</v>
      </c>
      <c r="H4068" s="116">
        <v>6.97</v>
      </c>
      <c r="I4068" s="125">
        <v>10.9</v>
      </c>
      <c r="J4068" s="32">
        <v>1</v>
      </c>
      <c r="K4068" s="117">
        <f t="shared" si="482"/>
        <v>7.5972999999999999E-2</v>
      </c>
      <c r="L4068" s="118"/>
      <c r="M4068" s="111">
        <v>1</v>
      </c>
      <c r="N4068" s="117">
        <f t="shared" si="483"/>
        <v>7.5972999999999999E-2</v>
      </c>
      <c r="O4068" s="119">
        <f t="shared" si="484"/>
        <v>0</v>
      </c>
      <c r="P4068" s="120">
        <f t="shared" si="485"/>
        <v>0</v>
      </c>
      <c r="Q4068" s="111"/>
      <c r="R4068" s="32"/>
      <c r="S4068" s="32"/>
    </row>
    <row r="4069" spans="2:19" ht="15.6">
      <c r="B4069" s="110" t="s">
        <v>328</v>
      </c>
      <c r="C4069" s="111" t="s">
        <v>232</v>
      </c>
      <c r="D4069" s="112" t="s">
        <v>228</v>
      </c>
      <c r="E4069" s="113" t="s">
        <v>17</v>
      </c>
      <c r="F4069" s="114" t="s">
        <v>15</v>
      </c>
      <c r="G4069" s="115" t="s">
        <v>21</v>
      </c>
      <c r="H4069" s="116">
        <v>6.97</v>
      </c>
      <c r="I4069" s="125">
        <v>10.1</v>
      </c>
      <c r="J4069" s="32">
        <v>2</v>
      </c>
      <c r="K4069" s="117">
        <f t="shared" si="482"/>
        <v>0.14079399999999997</v>
      </c>
      <c r="L4069" s="118"/>
      <c r="M4069" s="111">
        <v>2</v>
      </c>
      <c r="N4069" s="117">
        <f t="shared" si="483"/>
        <v>0.14079399999999997</v>
      </c>
      <c r="O4069" s="119">
        <f t="shared" si="484"/>
        <v>0</v>
      </c>
      <c r="P4069" s="120">
        <f t="shared" si="485"/>
        <v>0</v>
      </c>
      <c r="Q4069" s="111"/>
      <c r="R4069" s="32"/>
      <c r="S4069" s="32"/>
    </row>
    <row r="4070" spans="2:19" ht="15.6">
      <c r="B4070" s="110" t="s">
        <v>328</v>
      </c>
      <c r="C4070" s="111" t="s">
        <v>232</v>
      </c>
      <c r="D4070" s="112" t="s">
        <v>228</v>
      </c>
      <c r="E4070" s="113" t="s">
        <v>17</v>
      </c>
      <c r="F4070" s="114" t="s">
        <v>15</v>
      </c>
      <c r="G4070" s="115" t="s">
        <v>21</v>
      </c>
      <c r="H4070" s="116">
        <v>6.97</v>
      </c>
      <c r="I4070" s="125">
        <v>10.6</v>
      </c>
      <c r="J4070" s="32">
        <v>7</v>
      </c>
      <c r="K4070" s="117">
        <f t="shared" si="482"/>
        <v>0.51717400000000002</v>
      </c>
      <c r="L4070" s="183" t="s">
        <v>399</v>
      </c>
      <c r="M4070" s="111">
        <f>5+1</f>
        <v>6</v>
      </c>
      <c r="N4070" s="117">
        <f t="shared" si="483"/>
        <v>0.44329199999999991</v>
      </c>
      <c r="O4070" s="119">
        <f t="shared" si="484"/>
        <v>1</v>
      </c>
      <c r="P4070" s="120">
        <f t="shared" si="485"/>
        <v>7.3881999999999989E-2</v>
      </c>
      <c r="Q4070" s="101" t="s">
        <v>632</v>
      </c>
      <c r="R4070" s="101">
        <v>6</v>
      </c>
      <c r="S4070" s="101" t="s">
        <v>633</v>
      </c>
    </row>
    <row r="4071" spans="2:19" ht="15.6">
      <c r="B4071" s="110" t="s">
        <v>328</v>
      </c>
      <c r="C4071" s="111" t="s">
        <v>232</v>
      </c>
      <c r="D4071" s="112" t="s">
        <v>228</v>
      </c>
      <c r="E4071" s="113" t="s">
        <v>17</v>
      </c>
      <c r="F4071" s="114" t="s">
        <v>15</v>
      </c>
      <c r="G4071" s="115" t="s">
        <v>21</v>
      </c>
      <c r="H4071" s="116">
        <v>6.97</v>
      </c>
      <c r="I4071" s="125">
        <v>10.85</v>
      </c>
      <c r="J4071" s="32">
        <v>4</v>
      </c>
      <c r="K4071" s="117">
        <f t="shared" si="482"/>
        <v>0.30249799999999999</v>
      </c>
      <c r="L4071" s="183" t="s">
        <v>399</v>
      </c>
      <c r="M4071" s="111">
        <v>4</v>
      </c>
      <c r="N4071" s="117">
        <f t="shared" si="483"/>
        <v>0.30249799999999999</v>
      </c>
      <c r="O4071" s="119">
        <f t="shared" si="484"/>
        <v>0</v>
      </c>
      <c r="P4071" s="120">
        <f t="shared" si="485"/>
        <v>0</v>
      </c>
      <c r="Q4071" s="111"/>
      <c r="R4071" s="32"/>
      <c r="S4071" s="32"/>
    </row>
    <row r="4072" spans="2:19" ht="15.6">
      <c r="B4072" s="110" t="s">
        <v>328</v>
      </c>
      <c r="C4072" s="111" t="s">
        <v>232</v>
      </c>
      <c r="D4072" s="112" t="s">
        <v>228</v>
      </c>
      <c r="E4072" s="113" t="s">
        <v>17</v>
      </c>
      <c r="F4072" s="114" t="s">
        <v>15</v>
      </c>
      <c r="G4072" s="115" t="s">
        <v>21</v>
      </c>
      <c r="H4072" s="116">
        <v>6.97</v>
      </c>
      <c r="I4072" s="125">
        <v>11.2</v>
      </c>
      <c r="J4072" s="32">
        <v>14</v>
      </c>
      <c r="K4072" s="117">
        <f t="shared" si="482"/>
        <v>1.0928959999999999</v>
      </c>
      <c r="L4072" s="183" t="s">
        <v>399</v>
      </c>
      <c r="M4072" s="111">
        <v>14</v>
      </c>
      <c r="N4072" s="117">
        <f t="shared" si="483"/>
        <v>1.0928959999999996</v>
      </c>
      <c r="O4072" s="119">
        <f>J4072-M4072</f>
        <v>0</v>
      </c>
      <c r="P4072" s="120">
        <f t="shared" si="485"/>
        <v>0</v>
      </c>
      <c r="Q4072" s="111"/>
      <c r="R4072" s="32"/>
      <c r="S4072" s="32"/>
    </row>
    <row r="4073" spans="2:19" ht="15.6">
      <c r="B4073" s="110" t="s">
        <v>328</v>
      </c>
      <c r="C4073" s="111" t="s">
        <v>232</v>
      </c>
      <c r="D4073" s="112" t="s">
        <v>228</v>
      </c>
      <c r="E4073" s="113" t="s">
        <v>17</v>
      </c>
      <c r="F4073" s="114" t="s">
        <v>15</v>
      </c>
      <c r="G4073" s="115" t="s">
        <v>21</v>
      </c>
      <c r="H4073" s="116">
        <v>6.97</v>
      </c>
      <c r="I4073" s="125">
        <v>11.8</v>
      </c>
      <c r="J4073" s="32">
        <v>2</v>
      </c>
      <c r="K4073" s="117">
        <f>I4073*H4073*J4073/1000</f>
        <v>0.164492</v>
      </c>
      <c r="L4073" s="183" t="s">
        <v>399</v>
      </c>
      <c r="M4073" s="111">
        <v>2</v>
      </c>
      <c r="N4073" s="117">
        <f t="shared" si="483"/>
        <v>0.164492</v>
      </c>
      <c r="O4073" s="119">
        <f t="shared" si="484"/>
        <v>0</v>
      </c>
      <c r="P4073" s="120">
        <f t="shared" si="485"/>
        <v>0</v>
      </c>
      <c r="Q4073" s="111"/>
      <c r="R4073" s="32"/>
      <c r="S4073" s="32"/>
    </row>
    <row r="4074" spans="2:19" ht="15.6">
      <c r="B4074" s="110" t="s">
        <v>328</v>
      </c>
      <c r="C4074" s="111" t="s">
        <v>232</v>
      </c>
      <c r="D4074" s="112" t="s">
        <v>228</v>
      </c>
      <c r="E4074" s="113" t="s">
        <v>17</v>
      </c>
      <c r="F4074" s="114" t="s">
        <v>15</v>
      </c>
      <c r="G4074" s="115" t="s">
        <v>21</v>
      </c>
      <c r="H4074" s="116">
        <v>6.97</v>
      </c>
      <c r="I4074" s="125">
        <v>12</v>
      </c>
      <c r="J4074" s="32">
        <v>4</v>
      </c>
      <c r="K4074" s="117">
        <f>I4074*H4074*J4074/1000</f>
        <v>0.33456000000000002</v>
      </c>
      <c r="L4074" s="183" t="s">
        <v>399</v>
      </c>
      <c r="M4074" s="111">
        <f>3+1</f>
        <v>4</v>
      </c>
      <c r="N4074" s="117">
        <f t="shared" si="483"/>
        <v>0.33456000000000002</v>
      </c>
      <c r="O4074" s="119">
        <f t="shared" si="484"/>
        <v>0</v>
      </c>
      <c r="P4074" s="120">
        <f t="shared" si="485"/>
        <v>0</v>
      </c>
      <c r="Q4074" s="101">
        <v>11.9</v>
      </c>
      <c r="R4074" s="101">
        <v>1</v>
      </c>
      <c r="S4074" s="101" t="s">
        <v>634</v>
      </c>
    </row>
    <row r="4075" spans="2:19" ht="15.6">
      <c r="B4075" s="110" t="s">
        <v>328</v>
      </c>
      <c r="C4075" s="111" t="s">
        <v>232</v>
      </c>
      <c r="D4075" s="112" t="s">
        <v>228</v>
      </c>
      <c r="E4075" s="113" t="s">
        <v>17</v>
      </c>
      <c r="F4075" s="114" t="s">
        <v>15</v>
      </c>
      <c r="G4075" s="115" t="s">
        <v>21</v>
      </c>
      <c r="H4075" s="116">
        <v>6.97</v>
      </c>
      <c r="I4075" s="125">
        <v>7.9</v>
      </c>
      <c r="J4075" s="32">
        <v>1</v>
      </c>
      <c r="K4075" s="117">
        <f>I4075*H4075*J4075/1000</f>
        <v>5.5063000000000001E-2</v>
      </c>
      <c r="L4075" s="183" t="s">
        <v>399</v>
      </c>
      <c r="M4075" s="111">
        <v>1</v>
      </c>
      <c r="N4075" s="117">
        <f t="shared" si="483"/>
        <v>5.5063000000000001E-2</v>
      </c>
      <c r="O4075" s="119">
        <f t="shared" si="484"/>
        <v>0</v>
      </c>
      <c r="P4075" s="120">
        <f t="shared" si="485"/>
        <v>0</v>
      </c>
      <c r="Q4075" s="104">
        <v>7.6</v>
      </c>
      <c r="R4075" s="101">
        <v>1</v>
      </c>
      <c r="S4075" s="101" t="s">
        <v>634</v>
      </c>
    </row>
    <row r="4076" spans="2:19" ht="15.6">
      <c r="B4076" s="110" t="s">
        <v>328</v>
      </c>
      <c r="C4076" s="111" t="s">
        <v>232</v>
      </c>
      <c r="D4076" s="112" t="s">
        <v>228</v>
      </c>
      <c r="E4076" s="113" t="s">
        <v>17</v>
      </c>
      <c r="F4076" s="114" t="s">
        <v>15</v>
      </c>
      <c r="G4076" s="115" t="s">
        <v>21</v>
      </c>
      <c r="H4076" s="116">
        <v>6.97</v>
      </c>
      <c r="I4076" s="125">
        <v>10.1</v>
      </c>
      <c r="J4076" s="32">
        <v>2</v>
      </c>
      <c r="K4076" s="117">
        <f>I4076*H4076*J4076/1000</f>
        <v>0.14079399999999997</v>
      </c>
      <c r="L4076" s="183" t="s">
        <v>399</v>
      </c>
      <c r="M4076" s="111">
        <v>2</v>
      </c>
      <c r="N4076" s="117">
        <f t="shared" si="483"/>
        <v>0.14079399999999997</v>
      </c>
      <c r="O4076" s="119">
        <f t="shared" si="484"/>
        <v>0</v>
      </c>
      <c r="P4076" s="120">
        <f t="shared" si="485"/>
        <v>0</v>
      </c>
      <c r="Q4076" s="104">
        <v>7.6</v>
      </c>
      <c r="R4076" s="101">
        <v>2</v>
      </c>
      <c r="S4076" s="101" t="s">
        <v>634</v>
      </c>
    </row>
    <row r="4077" spans="2:19" ht="15.6">
      <c r="B4077" s="110" t="s">
        <v>328</v>
      </c>
      <c r="C4077" s="111" t="s">
        <v>232</v>
      </c>
      <c r="D4077" s="112" t="s">
        <v>228</v>
      </c>
      <c r="E4077" s="113" t="s">
        <v>17</v>
      </c>
      <c r="F4077" s="114" t="s">
        <v>15</v>
      </c>
      <c r="G4077" s="115" t="s">
        <v>21</v>
      </c>
      <c r="H4077" s="116">
        <v>6.97</v>
      </c>
      <c r="I4077" s="125">
        <v>10.5</v>
      </c>
      <c r="J4077" s="32">
        <v>10</v>
      </c>
      <c r="K4077" s="117">
        <f>I4077*H4077*J4077/1000</f>
        <v>0.73185</v>
      </c>
      <c r="L4077" s="183" t="s">
        <v>399</v>
      </c>
      <c r="M4077" s="111">
        <v>10</v>
      </c>
      <c r="N4077" s="117">
        <f t="shared" si="483"/>
        <v>0.73185</v>
      </c>
      <c r="O4077" s="119">
        <f t="shared" si="484"/>
        <v>0</v>
      </c>
      <c r="P4077" s="120">
        <f t="shared" si="485"/>
        <v>0</v>
      </c>
      <c r="Q4077" s="111"/>
      <c r="R4077" s="32"/>
      <c r="S4077" s="32"/>
    </row>
    <row r="4078" spans="2:19">
      <c r="B4078" s="32"/>
      <c r="C4078" s="32"/>
      <c r="D4078" s="32"/>
      <c r="E4078" s="32"/>
      <c r="F4078" s="32"/>
      <c r="G4078" s="32"/>
      <c r="H4078" s="32"/>
      <c r="I4078" s="32"/>
      <c r="J4078" s="129">
        <f>SUM(J4046:J4077)</f>
        <v>569</v>
      </c>
      <c r="K4078" s="124">
        <f>SUM(K4046:K4077)</f>
        <v>43.547514499999991</v>
      </c>
      <c r="L4078" s="32"/>
      <c r="M4078" s="129">
        <f>SUM(M4046:M4077)</f>
        <v>568</v>
      </c>
      <c r="N4078" s="124">
        <f>SUM(N4046:N4077)</f>
        <v>43.473632499999994</v>
      </c>
      <c r="O4078" s="131">
        <f>SUM(O4046:O4077)</f>
        <v>1</v>
      </c>
      <c r="P4078" s="132">
        <f>SUM(P4046:P4077)</f>
        <v>7.3881999999999989E-2</v>
      </c>
      <c r="Q4078" s="32"/>
      <c r="R4078" s="171">
        <f>SUM(R4046:R4077)</f>
        <v>22</v>
      </c>
      <c r="S4078" s="32"/>
    </row>
    <row r="4080" spans="2:19">
      <c r="B4080" s="110" t="s">
        <v>472</v>
      </c>
      <c r="C4080" s="111" t="s">
        <v>227</v>
      </c>
      <c r="D4080" s="112" t="s">
        <v>228</v>
      </c>
      <c r="E4080" s="113" t="s">
        <v>20</v>
      </c>
      <c r="F4080" s="369" t="s">
        <v>15</v>
      </c>
      <c r="G4080" s="369" t="s">
        <v>21</v>
      </c>
      <c r="H4080" s="370">
        <v>6.97</v>
      </c>
      <c r="I4080" s="125">
        <v>9.5</v>
      </c>
      <c r="J4080" s="358">
        <f>41+43+38+36+25</f>
        <v>183</v>
      </c>
      <c r="K4080" s="117">
        <f t="shared" ref="K4080:K4095" si="486">I4080*H4080*J4080/1000</f>
        <v>12.117345000000002</v>
      </c>
      <c r="L4080" s="118"/>
      <c r="M4080" s="111">
        <v>183</v>
      </c>
      <c r="N4080" s="117">
        <f t="shared" ref="N4080:N4095" si="487">I4080*M4080*H4080/1000</f>
        <v>12.117344999999998</v>
      </c>
      <c r="O4080" s="119">
        <f t="shared" ref="O4080:O4095" si="488">J4080-M4080</f>
        <v>0</v>
      </c>
      <c r="P4080" s="120">
        <f t="shared" ref="P4080:P4095" si="489">I4080*O4080*H4080/1000</f>
        <v>0</v>
      </c>
      <c r="Q4080" s="111"/>
      <c r="R4080" s="32"/>
      <c r="S4080" s="32"/>
    </row>
    <row r="4081" spans="2:19">
      <c r="B4081" s="110" t="s">
        <v>472</v>
      </c>
      <c r="C4081" s="111" t="s">
        <v>227</v>
      </c>
      <c r="D4081" s="112" t="s">
        <v>228</v>
      </c>
      <c r="E4081" s="113" t="s">
        <v>20</v>
      </c>
      <c r="F4081" s="369" t="s">
        <v>15</v>
      </c>
      <c r="G4081" s="369" t="s">
        <v>21</v>
      </c>
      <c r="H4081" s="370">
        <v>6.97</v>
      </c>
      <c r="I4081" s="125">
        <v>10.5</v>
      </c>
      <c r="J4081" s="358">
        <f>36+44+4+20</f>
        <v>104</v>
      </c>
      <c r="K4081" s="117">
        <f t="shared" si="486"/>
        <v>7.6112399999999996</v>
      </c>
      <c r="L4081" s="118"/>
      <c r="M4081" s="111">
        <f>90+14</f>
        <v>104</v>
      </c>
      <c r="N4081" s="117">
        <f t="shared" si="487"/>
        <v>7.6112399999999996</v>
      </c>
      <c r="O4081" s="119">
        <f t="shared" si="488"/>
        <v>0</v>
      </c>
      <c r="P4081" s="120">
        <f t="shared" si="489"/>
        <v>0</v>
      </c>
      <c r="Q4081" s="111"/>
      <c r="R4081" s="32"/>
      <c r="S4081" s="32"/>
    </row>
    <row r="4082" spans="2:19">
      <c r="B4082" s="110" t="s">
        <v>472</v>
      </c>
      <c r="C4082" s="111" t="s">
        <v>227</v>
      </c>
      <c r="D4082" s="112" t="s">
        <v>228</v>
      </c>
      <c r="E4082" s="113" t="s">
        <v>20</v>
      </c>
      <c r="F4082" s="369" t="s">
        <v>15</v>
      </c>
      <c r="G4082" s="369" t="s">
        <v>21</v>
      </c>
      <c r="H4082" s="370">
        <v>6.97</v>
      </c>
      <c r="I4082" s="125">
        <v>11.5</v>
      </c>
      <c r="J4082" s="358">
        <f>36+36+35+36+36+35+36+17+36+35+35+35+16</f>
        <v>424</v>
      </c>
      <c r="K4082" s="117">
        <f t="shared" si="486"/>
        <v>33.985720000000001</v>
      </c>
      <c r="L4082" s="118"/>
      <c r="M4082" s="111">
        <f>424+49</f>
        <v>473</v>
      </c>
      <c r="N4082" s="117">
        <f t="shared" si="487"/>
        <v>37.913314999999997</v>
      </c>
      <c r="O4082" s="180">
        <f t="shared" si="488"/>
        <v>-49</v>
      </c>
      <c r="P4082" s="181">
        <f t="shared" si="489"/>
        <v>-3.9275949999999997</v>
      </c>
      <c r="Q4082" s="111" t="s">
        <v>253</v>
      </c>
      <c r="R4082" s="32"/>
      <c r="S4082" s="32"/>
    </row>
    <row r="4083" spans="2:19">
      <c r="B4083" s="110" t="s">
        <v>472</v>
      </c>
      <c r="C4083" s="111" t="s">
        <v>227</v>
      </c>
      <c r="D4083" s="112" t="s">
        <v>228</v>
      </c>
      <c r="E4083" s="113" t="s">
        <v>20</v>
      </c>
      <c r="F4083" s="369" t="s">
        <v>15</v>
      </c>
      <c r="G4083" s="369" t="s">
        <v>21</v>
      </c>
      <c r="H4083" s="370">
        <v>6.97</v>
      </c>
      <c r="I4083" s="125">
        <v>12</v>
      </c>
      <c r="J4083" s="358">
        <f>35+35+35+36+37+36+35+24+35+36+35+36+35+29</f>
        <v>479</v>
      </c>
      <c r="K4083" s="117">
        <f t="shared" si="486"/>
        <v>40.063559999999995</v>
      </c>
      <c r="L4083" s="118"/>
      <c r="M4083" s="111">
        <f>465+14</f>
        <v>479</v>
      </c>
      <c r="N4083" s="117">
        <f t="shared" si="487"/>
        <v>40.063559999999995</v>
      </c>
      <c r="O4083" s="119">
        <f t="shared" si="488"/>
        <v>0</v>
      </c>
      <c r="P4083" s="120">
        <f t="shared" si="489"/>
        <v>0</v>
      </c>
      <c r="Q4083" s="111"/>
      <c r="R4083" s="32"/>
      <c r="S4083" s="32"/>
    </row>
    <row r="4084" spans="2:19">
      <c r="B4084" s="110" t="s">
        <v>472</v>
      </c>
      <c r="C4084" s="111" t="s">
        <v>227</v>
      </c>
      <c r="D4084" s="112" t="s">
        <v>228</v>
      </c>
      <c r="E4084" s="113" t="s">
        <v>20</v>
      </c>
      <c r="F4084" s="369" t="s">
        <v>15</v>
      </c>
      <c r="G4084" s="369" t="s">
        <v>21</v>
      </c>
      <c r="H4084" s="370">
        <v>6.97</v>
      </c>
      <c r="I4084" s="125">
        <v>6</v>
      </c>
      <c r="J4084" s="358">
        <v>1</v>
      </c>
      <c r="K4084" s="117">
        <f t="shared" si="486"/>
        <v>4.1820000000000003E-2</v>
      </c>
      <c r="L4084" s="118"/>
      <c r="M4084" s="111">
        <v>1</v>
      </c>
      <c r="N4084" s="117">
        <f t="shared" si="487"/>
        <v>4.1820000000000003E-2</v>
      </c>
      <c r="O4084" s="119">
        <f t="shared" si="488"/>
        <v>0</v>
      </c>
      <c r="P4084" s="120">
        <f t="shared" si="489"/>
        <v>0</v>
      </c>
      <c r="Q4084" s="98">
        <v>6</v>
      </c>
      <c r="R4084" s="91">
        <v>1</v>
      </c>
      <c r="S4084" s="91" t="s">
        <v>630</v>
      </c>
    </row>
    <row r="4085" spans="2:19">
      <c r="B4085" s="110" t="s">
        <v>472</v>
      </c>
      <c r="C4085" s="111" t="s">
        <v>227</v>
      </c>
      <c r="D4085" s="112" t="s">
        <v>228</v>
      </c>
      <c r="E4085" s="113" t="s">
        <v>20</v>
      </c>
      <c r="F4085" s="369" t="s">
        <v>15</v>
      </c>
      <c r="G4085" s="369" t="s">
        <v>21</v>
      </c>
      <c r="H4085" s="370">
        <v>6.97</v>
      </c>
      <c r="I4085" s="125">
        <v>7.5</v>
      </c>
      <c r="J4085" s="358">
        <v>1</v>
      </c>
      <c r="K4085" s="117">
        <f t="shared" si="486"/>
        <v>5.2275000000000002E-2</v>
      </c>
      <c r="L4085" s="118"/>
      <c r="M4085" s="111">
        <v>1</v>
      </c>
      <c r="N4085" s="117">
        <f t="shared" si="487"/>
        <v>5.2275000000000002E-2</v>
      </c>
      <c r="O4085" s="119">
        <f t="shared" si="488"/>
        <v>0</v>
      </c>
      <c r="P4085" s="120">
        <f t="shared" si="489"/>
        <v>0</v>
      </c>
      <c r="Q4085" s="75">
        <v>7.6</v>
      </c>
      <c r="R4085" s="72">
        <v>1</v>
      </c>
      <c r="S4085" s="72" t="s">
        <v>628</v>
      </c>
    </row>
    <row r="4086" spans="2:19">
      <c r="B4086" s="110" t="s">
        <v>472</v>
      </c>
      <c r="C4086" s="111" t="s">
        <v>227</v>
      </c>
      <c r="D4086" s="112" t="s">
        <v>228</v>
      </c>
      <c r="E4086" s="113" t="s">
        <v>20</v>
      </c>
      <c r="F4086" s="369" t="s">
        <v>15</v>
      </c>
      <c r="G4086" s="369" t="s">
        <v>21</v>
      </c>
      <c r="H4086" s="370">
        <v>6.97</v>
      </c>
      <c r="I4086" s="125">
        <v>8</v>
      </c>
      <c r="J4086" s="358">
        <v>1</v>
      </c>
      <c r="K4086" s="117">
        <f t="shared" si="486"/>
        <v>5.5759999999999997E-2</v>
      </c>
      <c r="L4086" s="118"/>
      <c r="M4086" s="111">
        <v>1</v>
      </c>
      <c r="N4086" s="117">
        <f t="shared" si="487"/>
        <v>5.5759999999999997E-2</v>
      </c>
      <c r="O4086" s="119">
        <f t="shared" si="488"/>
        <v>0</v>
      </c>
      <c r="P4086" s="120">
        <f t="shared" si="489"/>
        <v>0</v>
      </c>
      <c r="Q4086" s="75">
        <v>7.6</v>
      </c>
      <c r="R4086" s="72">
        <v>1</v>
      </c>
      <c r="S4086" s="72" t="s">
        <v>628</v>
      </c>
    </row>
    <row r="4087" spans="2:19">
      <c r="B4087" s="110" t="s">
        <v>472</v>
      </c>
      <c r="C4087" s="111" t="s">
        <v>227</v>
      </c>
      <c r="D4087" s="112" t="s">
        <v>228</v>
      </c>
      <c r="E4087" s="113" t="s">
        <v>20</v>
      </c>
      <c r="F4087" s="369" t="s">
        <v>15</v>
      </c>
      <c r="G4087" s="369" t="s">
        <v>21</v>
      </c>
      <c r="H4087" s="370">
        <v>6.97</v>
      </c>
      <c r="I4087" s="125">
        <v>8.1999999999999993</v>
      </c>
      <c r="J4087" s="358">
        <v>1</v>
      </c>
      <c r="K4087" s="117">
        <f t="shared" si="486"/>
        <v>5.7153999999999996E-2</v>
      </c>
      <c r="L4087" s="118"/>
      <c r="M4087" s="111">
        <v>1</v>
      </c>
      <c r="N4087" s="117">
        <f t="shared" si="487"/>
        <v>5.7153999999999996E-2</v>
      </c>
      <c r="O4087" s="119">
        <f t="shared" si="488"/>
        <v>0</v>
      </c>
      <c r="P4087" s="120">
        <f t="shared" si="489"/>
        <v>0</v>
      </c>
      <c r="Q4087" s="75">
        <v>7.6</v>
      </c>
      <c r="R4087" s="72">
        <v>1</v>
      </c>
      <c r="S4087" s="72" t="s">
        <v>628</v>
      </c>
    </row>
    <row r="4088" spans="2:19">
      <c r="B4088" s="110" t="s">
        <v>472</v>
      </c>
      <c r="C4088" s="111" t="s">
        <v>227</v>
      </c>
      <c r="D4088" s="112" t="s">
        <v>228</v>
      </c>
      <c r="E4088" s="113" t="s">
        <v>20</v>
      </c>
      <c r="F4088" s="369" t="s">
        <v>15</v>
      </c>
      <c r="G4088" s="369" t="s">
        <v>21</v>
      </c>
      <c r="H4088" s="370">
        <v>6.97</v>
      </c>
      <c r="I4088" s="125">
        <v>8.5</v>
      </c>
      <c r="J4088" s="358">
        <v>1</v>
      </c>
      <c r="K4088" s="117">
        <f t="shared" si="486"/>
        <v>5.9244999999999999E-2</v>
      </c>
      <c r="L4088" s="118"/>
      <c r="M4088" s="111">
        <v>1</v>
      </c>
      <c r="N4088" s="117">
        <f t="shared" si="487"/>
        <v>5.9244999999999999E-2</v>
      </c>
      <c r="O4088" s="119">
        <f t="shared" si="488"/>
        <v>0</v>
      </c>
      <c r="P4088" s="120">
        <f t="shared" si="489"/>
        <v>0</v>
      </c>
      <c r="Q4088" s="75">
        <v>7.6</v>
      </c>
      <c r="R4088" s="72">
        <v>1</v>
      </c>
      <c r="S4088" s="72" t="s">
        <v>628</v>
      </c>
    </row>
    <row r="4089" spans="2:19">
      <c r="B4089" s="110" t="s">
        <v>472</v>
      </c>
      <c r="C4089" s="111" t="s">
        <v>227</v>
      </c>
      <c r="D4089" s="112" t="s">
        <v>228</v>
      </c>
      <c r="E4089" s="113" t="s">
        <v>20</v>
      </c>
      <c r="F4089" s="369" t="s">
        <v>15</v>
      </c>
      <c r="G4089" s="369" t="s">
        <v>21</v>
      </c>
      <c r="H4089" s="370">
        <v>6.97</v>
      </c>
      <c r="I4089" s="125">
        <v>9.1999999999999993</v>
      </c>
      <c r="J4089" s="358">
        <v>2</v>
      </c>
      <c r="K4089" s="117">
        <f t="shared" si="486"/>
        <v>0.128248</v>
      </c>
      <c r="L4089" s="118"/>
      <c r="M4089" s="111">
        <v>2</v>
      </c>
      <c r="N4089" s="117">
        <f t="shared" si="487"/>
        <v>0.128248</v>
      </c>
      <c r="O4089" s="119">
        <f t="shared" si="488"/>
        <v>0</v>
      </c>
      <c r="P4089" s="120">
        <f t="shared" si="489"/>
        <v>0</v>
      </c>
      <c r="Q4089" s="75">
        <v>9.1</v>
      </c>
      <c r="R4089" s="72">
        <v>2</v>
      </c>
      <c r="S4089" s="72" t="s">
        <v>628</v>
      </c>
    </row>
    <row r="4090" spans="2:19">
      <c r="B4090" s="110" t="s">
        <v>472</v>
      </c>
      <c r="C4090" s="111" t="s">
        <v>227</v>
      </c>
      <c r="D4090" s="112" t="s">
        <v>228</v>
      </c>
      <c r="E4090" s="113" t="s">
        <v>20</v>
      </c>
      <c r="F4090" s="369" t="s">
        <v>15</v>
      </c>
      <c r="G4090" s="369" t="s">
        <v>21</v>
      </c>
      <c r="H4090" s="370">
        <v>6.97</v>
      </c>
      <c r="I4090" s="125">
        <v>10.4</v>
      </c>
      <c r="J4090" s="358">
        <v>1</v>
      </c>
      <c r="K4090" s="117">
        <f t="shared" si="486"/>
        <v>7.2487999999999997E-2</v>
      </c>
      <c r="L4090" s="118"/>
      <c r="M4090" s="111">
        <v>1</v>
      </c>
      <c r="N4090" s="117">
        <f t="shared" si="487"/>
        <v>7.2487999999999997E-2</v>
      </c>
      <c r="O4090" s="119">
        <f t="shared" si="488"/>
        <v>0</v>
      </c>
      <c r="P4090" s="120">
        <f t="shared" si="489"/>
        <v>0</v>
      </c>
      <c r="Q4090" s="75">
        <v>9.1</v>
      </c>
      <c r="R4090" s="72">
        <v>1</v>
      </c>
      <c r="S4090" s="72" t="s">
        <v>628</v>
      </c>
    </row>
    <row r="4091" spans="2:19">
      <c r="B4091" s="110" t="s">
        <v>472</v>
      </c>
      <c r="C4091" s="111" t="s">
        <v>227</v>
      </c>
      <c r="D4091" s="112" t="s">
        <v>228</v>
      </c>
      <c r="E4091" s="113" t="s">
        <v>20</v>
      </c>
      <c r="F4091" s="369" t="s">
        <v>15</v>
      </c>
      <c r="G4091" s="369" t="s">
        <v>21</v>
      </c>
      <c r="H4091" s="370">
        <v>6.97</v>
      </c>
      <c r="I4091" s="125">
        <v>7.25</v>
      </c>
      <c r="J4091" s="358"/>
      <c r="K4091" s="117">
        <f t="shared" si="486"/>
        <v>0</v>
      </c>
      <c r="L4091" s="118"/>
      <c r="M4091" s="111"/>
      <c r="N4091" s="117">
        <f t="shared" si="487"/>
        <v>0</v>
      </c>
      <c r="O4091" s="119">
        <f t="shared" si="488"/>
        <v>0</v>
      </c>
      <c r="P4091" s="120">
        <f t="shared" si="489"/>
        <v>0</v>
      </c>
      <c r="Q4091" s="159"/>
      <c r="R4091" s="32"/>
      <c r="S4091" s="32"/>
    </row>
    <row r="4092" spans="2:19">
      <c r="B4092" s="110" t="s">
        <v>472</v>
      </c>
      <c r="C4092" s="111" t="s">
        <v>227</v>
      </c>
      <c r="D4092" s="112" t="s">
        <v>228</v>
      </c>
      <c r="E4092" s="113" t="s">
        <v>20</v>
      </c>
      <c r="F4092" s="369" t="s">
        <v>15</v>
      </c>
      <c r="G4092" s="369" t="s">
        <v>21</v>
      </c>
      <c r="H4092" s="370">
        <v>6.97</v>
      </c>
      <c r="I4092" s="125">
        <v>11</v>
      </c>
      <c r="J4092" s="358">
        <f>8+6</f>
        <v>14</v>
      </c>
      <c r="K4092" s="117">
        <f t="shared" si="486"/>
        <v>1.07338</v>
      </c>
      <c r="L4092" s="118"/>
      <c r="M4092" s="111">
        <f>9+3+2</f>
        <v>14</v>
      </c>
      <c r="N4092" s="117">
        <f t="shared" si="487"/>
        <v>1.0733799999999998</v>
      </c>
      <c r="O4092" s="119">
        <f t="shared" si="488"/>
        <v>0</v>
      </c>
      <c r="P4092" s="120">
        <f t="shared" si="489"/>
        <v>0</v>
      </c>
      <c r="Q4092" s="75">
        <v>9.1</v>
      </c>
      <c r="R4092" s="72">
        <v>2</v>
      </c>
      <c r="S4092" s="72" t="s">
        <v>628</v>
      </c>
    </row>
    <row r="4093" spans="2:19">
      <c r="B4093" s="110" t="s">
        <v>472</v>
      </c>
      <c r="C4093" s="111" t="s">
        <v>227</v>
      </c>
      <c r="D4093" s="112" t="s">
        <v>228</v>
      </c>
      <c r="E4093" s="113" t="s">
        <v>20</v>
      </c>
      <c r="F4093" s="369" t="s">
        <v>15</v>
      </c>
      <c r="G4093" s="369" t="s">
        <v>21</v>
      </c>
      <c r="H4093" s="370">
        <v>6.97</v>
      </c>
      <c r="I4093" s="125">
        <v>10.1</v>
      </c>
      <c r="J4093" s="358">
        <v>1</v>
      </c>
      <c r="K4093" s="117">
        <f t="shared" si="486"/>
        <v>7.0396999999999987E-2</v>
      </c>
      <c r="L4093" s="118"/>
      <c r="M4093" s="111">
        <v>1</v>
      </c>
      <c r="N4093" s="117">
        <f t="shared" si="487"/>
        <v>7.0396999999999987E-2</v>
      </c>
      <c r="O4093" s="119">
        <f t="shared" si="488"/>
        <v>0</v>
      </c>
      <c r="P4093" s="120">
        <f t="shared" si="489"/>
        <v>0</v>
      </c>
      <c r="Q4093" s="75">
        <v>9.1</v>
      </c>
      <c r="R4093" s="72">
        <v>1</v>
      </c>
      <c r="S4093" s="72" t="s">
        <v>628</v>
      </c>
    </row>
    <row r="4094" spans="2:19">
      <c r="B4094" s="110" t="s">
        <v>472</v>
      </c>
      <c r="C4094" s="111" t="s">
        <v>227</v>
      </c>
      <c r="D4094" s="112" t="s">
        <v>228</v>
      </c>
      <c r="E4094" s="113" t="s">
        <v>20</v>
      </c>
      <c r="F4094" s="369" t="s">
        <v>15</v>
      </c>
      <c r="G4094" s="369" t="s">
        <v>21</v>
      </c>
      <c r="H4094" s="370">
        <v>6.97</v>
      </c>
      <c r="I4094" s="125">
        <v>8.5</v>
      </c>
      <c r="J4094" s="358">
        <v>1</v>
      </c>
      <c r="K4094" s="117">
        <f t="shared" si="486"/>
        <v>5.9244999999999999E-2</v>
      </c>
      <c r="L4094" s="118"/>
      <c r="M4094" s="111">
        <v>1</v>
      </c>
      <c r="N4094" s="117">
        <f t="shared" si="487"/>
        <v>5.9244999999999999E-2</v>
      </c>
      <c r="O4094" s="119">
        <f t="shared" si="488"/>
        <v>0</v>
      </c>
      <c r="P4094" s="120">
        <f t="shared" si="489"/>
        <v>0</v>
      </c>
      <c r="Q4094" s="75">
        <v>7.6</v>
      </c>
      <c r="R4094" s="72">
        <v>1</v>
      </c>
      <c r="S4094" s="72" t="s">
        <v>628</v>
      </c>
    </row>
    <row r="4095" spans="2:19">
      <c r="B4095" s="110" t="s">
        <v>472</v>
      </c>
      <c r="C4095" s="111" t="s">
        <v>227</v>
      </c>
      <c r="D4095" s="112" t="s">
        <v>228</v>
      </c>
      <c r="E4095" s="113" t="s">
        <v>20</v>
      </c>
      <c r="F4095" s="369" t="s">
        <v>15</v>
      </c>
      <c r="G4095" s="369" t="s">
        <v>21</v>
      </c>
      <c r="H4095" s="370">
        <v>6.97</v>
      </c>
      <c r="I4095" s="125">
        <v>12</v>
      </c>
      <c r="J4095" s="358">
        <v>13</v>
      </c>
      <c r="K4095" s="117">
        <f t="shared" si="486"/>
        <v>1.0873199999999998</v>
      </c>
      <c r="L4095" s="118"/>
      <c r="M4095" s="111">
        <v>13</v>
      </c>
      <c r="N4095" s="117">
        <f t="shared" si="487"/>
        <v>1.0873199999999998</v>
      </c>
      <c r="O4095" s="119">
        <f t="shared" si="488"/>
        <v>0</v>
      </c>
      <c r="P4095" s="120">
        <f t="shared" si="489"/>
        <v>0</v>
      </c>
      <c r="Q4095" s="111"/>
      <c r="R4095" s="32"/>
      <c r="S4095" s="32"/>
    </row>
    <row r="4096" spans="2:19">
      <c r="B4096" s="213"/>
      <c r="C4096" s="213"/>
      <c r="D4096" s="213"/>
      <c r="E4096" s="213"/>
      <c r="F4096" s="213"/>
      <c r="G4096" s="213"/>
      <c r="H4096" s="213"/>
      <c r="I4096" s="213"/>
      <c r="J4096" s="215">
        <f>SUM(J4080:J4095)</f>
        <v>1227</v>
      </c>
      <c r="K4096" s="214">
        <f>SUM(K4080:K4095)</f>
        <v>96.535197000000011</v>
      </c>
      <c r="L4096" s="213"/>
      <c r="M4096" s="215">
        <f>SUM(M4080:M4095)</f>
        <v>1276</v>
      </c>
      <c r="N4096" s="214">
        <f>SUM(N4080:N4095)</f>
        <v>100.46279200000001</v>
      </c>
      <c r="O4096" s="78">
        <f>SUM(O4080:O4095)</f>
        <v>-49</v>
      </c>
      <c r="P4096" s="128">
        <f>SUM(P4080:P4095)</f>
        <v>-3.9275949999999997</v>
      </c>
      <c r="Q4096" s="213"/>
      <c r="R4096" s="80">
        <f>SUM(R4080:R4095)</f>
        <v>12</v>
      </c>
      <c r="S4096" s="213"/>
    </row>
    <row r="4097" spans="1:19">
      <c r="R4097" s="215">
        <f>+R4096+R4078</f>
        <v>34</v>
      </c>
    </row>
    <row r="4099" spans="1:19">
      <c r="A4099" s="45" t="s">
        <v>136</v>
      </c>
      <c r="B4099" s="48" t="s">
        <v>171</v>
      </c>
      <c r="C4099" s="32">
        <v>130</v>
      </c>
      <c r="D4099" s="32"/>
      <c r="E4099" s="48" t="s">
        <v>106</v>
      </c>
      <c r="F4099" s="48" t="s">
        <v>15</v>
      </c>
      <c r="G4099" s="48" t="s">
        <v>32</v>
      </c>
      <c r="H4099" s="11">
        <v>8.3000000000000007</v>
      </c>
      <c r="I4099" s="52">
        <v>5.6</v>
      </c>
      <c r="J4099" s="7">
        <v>1</v>
      </c>
      <c r="K4099" s="10">
        <f t="shared" ref="K4099:K4103" si="490">(H4099*I4099*J4099/1000)</f>
        <v>4.6480000000000007E-2</v>
      </c>
      <c r="L4099" s="32"/>
      <c r="M4099" s="32">
        <v>1</v>
      </c>
      <c r="N4099" s="18">
        <f t="shared" ref="N4099:N4103" si="491">I4099*M4099*H4099/1000</f>
        <v>4.6480000000000007E-2</v>
      </c>
      <c r="O4099" s="19">
        <f t="shared" ref="O4099:O4103" si="492">J4099-M4099</f>
        <v>0</v>
      </c>
      <c r="P4099" s="13">
        <f t="shared" ref="P4099:P4103" si="493">I4099*O4099*H4099/1000</f>
        <v>0</v>
      </c>
      <c r="Q4099" s="32"/>
      <c r="R4099" s="101">
        <v>1</v>
      </c>
      <c r="S4099" s="101" t="s">
        <v>456</v>
      </c>
    </row>
    <row r="4100" spans="1:19">
      <c r="A4100" s="45" t="s">
        <v>136</v>
      </c>
      <c r="B4100" s="48" t="s">
        <v>171</v>
      </c>
      <c r="C4100" s="32">
        <v>130</v>
      </c>
      <c r="D4100" s="32"/>
      <c r="E4100" s="48" t="s">
        <v>106</v>
      </c>
      <c r="F4100" s="48" t="s">
        <v>15</v>
      </c>
      <c r="G4100" s="48" t="s">
        <v>32</v>
      </c>
      <c r="H4100" s="11">
        <v>8.3000000000000007</v>
      </c>
      <c r="I4100" s="52">
        <v>9.8000000000000007</v>
      </c>
      <c r="J4100" s="7">
        <v>1</v>
      </c>
      <c r="K4100" s="10">
        <f t="shared" si="490"/>
        <v>8.1340000000000023E-2</v>
      </c>
      <c r="L4100" s="32"/>
      <c r="M4100" s="32">
        <v>1</v>
      </c>
      <c r="N4100" s="18">
        <f t="shared" si="491"/>
        <v>8.1340000000000023E-2</v>
      </c>
      <c r="O4100" s="19">
        <f t="shared" si="492"/>
        <v>0</v>
      </c>
      <c r="P4100" s="13">
        <f t="shared" si="493"/>
        <v>0</v>
      </c>
      <c r="Q4100" s="32"/>
      <c r="R4100" s="101">
        <v>1</v>
      </c>
      <c r="S4100" s="101" t="s">
        <v>456</v>
      </c>
    </row>
    <row r="4101" spans="1:19">
      <c r="A4101" s="45" t="s">
        <v>136</v>
      </c>
      <c r="B4101" s="48" t="s">
        <v>171</v>
      </c>
      <c r="C4101" s="32">
        <v>130</v>
      </c>
      <c r="D4101" s="32"/>
      <c r="E4101" s="48" t="s">
        <v>106</v>
      </c>
      <c r="F4101" s="48" t="s">
        <v>15</v>
      </c>
      <c r="G4101" s="48" t="s">
        <v>32</v>
      </c>
      <c r="H4101" s="11">
        <v>8.3000000000000007</v>
      </c>
      <c r="I4101" s="52">
        <v>7</v>
      </c>
      <c r="J4101" s="7">
        <v>1</v>
      </c>
      <c r="K4101" s="10">
        <f t="shared" si="490"/>
        <v>5.8100000000000006E-2</v>
      </c>
      <c r="L4101" s="32"/>
      <c r="M4101" s="32">
        <v>1</v>
      </c>
      <c r="N4101" s="18">
        <f t="shared" si="491"/>
        <v>5.8100000000000006E-2</v>
      </c>
      <c r="O4101" s="19">
        <f t="shared" si="492"/>
        <v>0</v>
      </c>
      <c r="P4101" s="13">
        <f t="shared" si="493"/>
        <v>0</v>
      </c>
      <c r="Q4101" s="32"/>
      <c r="R4101" s="101">
        <v>1</v>
      </c>
      <c r="S4101" s="101" t="s">
        <v>456</v>
      </c>
    </row>
    <row r="4102" spans="1:19">
      <c r="A4102" s="45" t="s">
        <v>136</v>
      </c>
      <c r="B4102" s="48" t="s">
        <v>171</v>
      </c>
      <c r="C4102" s="32">
        <v>130</v>
      </c>
      <c r="D4102" s="32"/>
      <c r="E4102" s="48" t="s">
        <v>106</v>
      </c>
      <c r="F4102" s="48" t="s">
        <v>15</v>
      </c>
      <c r="G4102" s="48" t="s">
        <v>32</v>
      </c>
      <c r="H4102" s="11">
        <v>8.3000000000000007</v>
      </c>
      <c r="I4102" s="52">
        <v>8</v>
      </c>
      <c r="J4102" s="7">
        <v>1</v>
      </c>
      <c r="K4102" s="10">
        <f t="shared" si="490"/>
        <v>6.6400000000000001E-2</v>
      </c>
      <c r="L4102" s="32"/>
      <c r="M4102" s="32">
        <v>1</v>
      </c>
      <c r="N4102" s="18">
        <f t="shared" si="491"/>
        <v>6.6400000000000001E-2</v>
      </c>
      <c r="O4102" s="19">
        <f t="shared" si="492"/>
        <v>0</v>
      </c>
      <c r="P4102" s="13">
        <f t="shared" si="493"/>
        <v>0</v>
      </c>
      <c r="Q4102" s="32"/>
      <c r="R4102" s="101">
        <v>1</v>
      </c>
      <c r="S4102" s="101" t="s">
        <v>456</v>
      </c>
    </row>
    <row r="4103" spans="1:19">
      <c r="A4103" s="45" t="s">
        <v>136</v>
      </c>
      <c r="B4103" s="48" t="s">
        <v>171</v>
      </c>
      <c r="C4103" s="32">
        <v>130</v>
      </c>
      <c r="D4103" s="32"/>
      <c r="E4103" s="48" t="s">
        <v>106</v>
      </c>
      <c r="F4103" s="48" t="s">
        <v>15</v>
      </c>
      <c r="G4103" s="48" t="s">
        <v>32</v>
      </c>
      <c r="H4103" s="11">
        <v>8.3000000000000007</v>
      </c>
      <c r="I4103" s="52">
        <v>12</v>
      </c>
      <c r="J4103" s="7">
        <v>1</v>
      </c>
      <c r="K4103" s="10">
        <f t="shared" si="490"/>
        <v>9.9600000000000008E-2</v>
      </c>
      <c r="L4103" s="32"/>
      <c r="M4103" s="32">
        <v>1</v>
      </c>
      <c r="N4103" s="18">
        <f t="shared" si="491"/>
        <v>9.9600000000000008E-2</v>
      </c>
      <c r="O4103" s="19">
        <f t="shared" si="492"/>
        <v>0</v>
      </c>
      <c r="P4103" s="13">
        <f t="shared" si="493"/>
        <v>0</v>
      </c>
      <c r="Q4103" s="32"/>
      <c r="R4103" s="101">
        <v>1</v>
      </c>
      <c r="S4103" s="101" t="s">
        <v>456</v>
      </c>
    </row>
    <row r="4106" spans="1:19">
      <c r="A4106" s="42" t="s">
        <v>90</v>
      </c>
      <c r="B4106" s="48" t="s">
        <v>148</v>
      </c>
      <c r="C4106" s="32">
        <v>67</v>
      </c>
      <c r="D4106" s="32"/>
      <c r="E4106" s="48" t="s">
        <v>106</v>
      </c>
      <c r="F4106" s="48" t="s">
        <v>15</v>
      </c>
      <c r="G4106" s="48" t="s">
        <v>34</v>
      </c>
      <c r="H4106" s="11">
        <v>9.61</v>
      </c>
      <c r="I4106" s="52">
        <v>12</v>
      </c>
      <c r="J4106" s="7">
        <v>3</v>
      </c>
      <c r="K4106" s="10">
        <v>0.34595999999999999</v>
      </c>
      <c r="L4106" s="32"/>
      <c r="M4106" s="32">
        <v>3</v>
      </c>
      <c r="N4106" s="18">
        <v>0.34595999999999999</v>
      </c>
      <c r="O4106" s="19">
        <v>0</v>
      </c>
      <c r="P4106" s="13">
        <v>0</v>
      </c>
      <c r="Q4106" s="32"/>
      <c r="R4106" s="101">
        <v>3</v>
      </c>
      <c r="S4106" s="101" t="s">
        <v>456</v>
      </c>
    </row>
    <row r="4107" spans="1:19">
      <c r="A4107" s="45" t="s">
        <v>136</v>
      </c>
      <c r="B4107" s="32" t="s">
        <v>137</v>
      </c>
      <c r="C4107" s="3">
        <v>46</v>
      </c>
      <c r="D4107" s="32"/>
      <c r="E4107" s="20" t="s">
        <v>106</v>
      </c>
      <c r="F4107" s="7" t="s">
        <v>15</v>
      </c>
      <c r="G4107" s="7" t="s">
        <v>34</v>
      </c>
      <c r="H4107" s="11">
        <v>9.61</v>
      </c>
      <c r="I4107" s="33">
        <v>8.3000000000000007</v>
      </c>
      <c r="J4107" s="40">
        <v>2</v>
      </c>
      <c r="K4107" s="10">
        <v>0.159526</v>
      </c>
      <c r="L4107" s="4"/>
      <c r="M4107" s="17">
        <v>2</v>
      </c>
      <c r="N4107" s="18">
        <v>0.159526</v>
      </c>
      <c r="O4107" s="19">
        <v>0</v>
      </c>
      <c r="P4107" s="13">
        <v>0</v>
      </c>
      <c r="Q4107" s="32"/>
      <c r="R4107" s="101">
        <v>2</v>
      </c>
      <c r="S4107" s="101" t="s">
        <v>456</v>
      </c>
    </row>
    <row r="4108" spans="1:19">
      <c r="A4108" s="45" t="s">
        <v>136</v>
      </c>
      <c r="B4108" s="32" t="s">
        <v>137</v>
      </c>
      <c r="C4108" s="3">
        <v>46</v>
      </c>
      <c r="D4108" s="32"/>
      <c r="E4108" s="20" t="s">
        <v>106</v>
      </c>
      <c r="F4108" s="7" t="s">
        <v>15</v>
      </c>
      <c r="G4108" s="7" t="s">
        <v>34</v>
      </c>
      <c r="H4108" s="11">
        <v>9.61</v>
      </c>
      <c r="I4108" s="33">
        <v>6.5</v>
      </c>
      <c r="J4108" s="40">
        <v>1</v>
      </c>
      <c r="K4108" s="10">
        <v>6.2465E-2</v>
      </c>
      <c r="L4108" s="4"/>
      <c r="M4108" s="17">
        <v>1</v>
      </c>
      <c r="N4108" s="18">
        <v>6.2465E-2</v>
      </c>
      <c r="O4108" s="19">
        <v>0</v>
      </c>
      <c r="P4108" s="13">
        <v>0</v>
      </c>
      <c r="Q4108" s="32"/>
      <c r="R4108" s="101">
        <v>1</v>
      </c>
      <c r="S4108" s="101" t="s">
        <v>456</v>
      </c>
    </row>
    <row r="4109" spans="1:19">
      <c r="A4109" s="45" t="s">
        <v>136</v>
      </c>
      <c r="B4109" s="48" t="s">
        <v>171</v>
      </c>
      <c r="C4109" s="32">
        <v>152</v>
      </c>
      <c r="D4109" s="32"/>
      <c r="E4109" s="48" t="s">
        <v>106</v>
      </c>
      <c r="F4109" s="48" t="s">
        <v>15</v>
      </c>
      <c r="G4109" s="48" t="s">
        <v>34</v>
      </c>
      <c r="H4109" s="11">
        <v>9.61</v>
      </c>
      <c r="I4109" s="50">
        <v>8.5</v>
      </c>
      <c r="J4109" s="7">
        <v>1</v>
      </c>
      <c r="K4109" s="10">
        <v>8.1685000000000008E-2</v>
      </c>
      <c r="L4109" s="32"/>
      <c r="M4109" s="32">
        <v>1</v>
      </c>
      <c r="N4109" s="18">
        <v>8.1685000000000008E-2</v>
      </c>
      <c r="O4109" s="19">
        <v>0</v>
      </c>
      <c r="P4109" s="13">
        <v>0</v>
      </c>
      <c r="Q4109" s="32"/>
      <c r="R4109" s="101">
        <v>1</v>
      </c>
      <c r="S4109" s="101" t="s">
        <v>456</v>
      </c>
    </row>
    <row r="4110" spans="1:19">
      <c r="A4110" s="45" t="s">
        <v>136</v>
      </c>
      <c r="B4110" s="48" t="s">
        <v>171</v>
      </c>
      <c r="C4110" s="32">
        <v>152</v>
      </c>
      <c r="D4110" s="32"/>
      <c r="E4110" s="48" t="s">
        <v>106</v>
      </c>
      <c r="F4110" s="48" t="s">
        <v>15</v>
      </c>
      <c r="G4110" s="48" t="s">
        <v>34</v>
      </c>
      <c r="H4110" s="11">
        <v>9.61</v>
      </c>
      <c r="I4110" s="50">
        <v>10</v>
      </c>
      <c r="J4110" s="7">
        <v>1</v>
      </c>
      <c r="K4110" s="10">
        <v>9.6099999999999991E-2</v>
      </c>
      <c r="L4110" s="32"/>
      <c r="M4110" s="32">
        <v>1</v>
      </c>
      <c r="N4110" s="18">
        <v>9.6099999999999991E-2</v>
      </c>
      <c r="O4110" s="19">
        <v>0</v>
      </c>
      <c r="P4110" s="13">
        <v>0</v>
      </c>
      <c r="Q4110" s="32"/>
      <c r="R4110" s="101">
        <v>1</v>
      </c>
      <c r="S4110" s="101" t="s">
        <v>456</v>
      </c>
    </row>
    <row r="4111" spans="1:19">
      <c r="A4111" s="45" t="s">
        <v>136</v>
      </c>
      <c r="B4111" s="48" t="s">
        <v>171</v>
      </c>
      <c r="C4111" s="32">
        <v>152</v>
      </c>
      <c r="D4111" s="32"/>
      <c r="E4111" s="48" t="s">
        <v>106</v>
      </c>
      <c r="F4111" s="48" t="s">
        <v>15</v>
      </c>
      <c r="G4111" s="48" t="s">
        <v>34</v>
      </c>
      <c r="H4111" s="11">
        <v>9.61</v>
      </c>
      <c r="I4111" s="50">
        <v>12</v>
      </c>
      <c r="J4111" s="7">
        <v>1</v>
      </c>
      <c r="K4111" s="10">
        <v>0.11531999999999999</v>
      </c>
      <c r="L4111" s="32"/>
      <c r="M4111" s="32">
        <v>1</v>
      </c>
      <c r="N4111" s="18">
        <v>0.11531999999999999</v>
      </c>
      <c r="O4111" s="19">
        <v>0</v>
      </c>
      <c r="P4111" s="13">
        <v>0</v>
      </c>
      <c r="Q4111" s="32"/>
      <c r="R4111" s="101">
        <v>1</v>
      </c>
      <c r="S4111" s="101" t="s">
        <v>456</v>
      </c>
    </row>
    <row r="4117" spans="2:18" ht="15.6">
      <c r="B4117" s="110" t="s">
        <v>365</v>
      </c>
      <c r="C4117" s="111" t="s">
        <v>232</v>
      </c>
      <c r="D4117" s="112" t="s">
        <v>228</v>
      </c>
      <c r="E4117" s="113" t="s">
        <v>17</v>
      </c>
      <c r="F4117" s="114" t="s">
        <v>15</v>
      </c>
      <c r="G4117" s="115" t="s">
        <v>42</v>
      </c>
      <c r="H4117" s="116">
        <v>19.8</v>
      </c>
      <c r="I4117" s="125">
        <v>11.6</v>
      </c>
      <c r="J4117" s="111">
        <v>15</v>
      </c>
      <c r="K4117" s="117">
        <f>I4117*H4117*J4117/1000</f>
        <v>3.4452000000000003</v>
      </c>
      <c r="L4117" s="118"/>
      <c r="M4117" s="111">
        <v>15</v>
      </c>
      <c r="N4117" s="117">
        <f t="shared" ref="N4117:N4127" si="494">I4117*M4117*H4117/1000</f>
        <v>3.4452000000000003</v>
      </c>
      <c r="O4117" s="119">
        <f t="shared" ref="O4117:O4127" si="495">J4117-M4117</f>
        <v>0</v>
      </c>
      <c r="P4117" s="120">
        <f t="shared" ref="P4117:P4127" si="496">I4117*O4117*H4117/1000</f>
        <v>0</v>
      </c>
      <c r="Q4117" s="111"/>
      <c r="R4117" s="32"/>
    </row>
    <row r="4118" spans="2:18" ht="15.6">
      <c r="B4118" s="110" t="s">
        <v>365</v>
      </c>
      <c r="C4118" s="111" t="s">
        <v>232</v>
      </c>
      <c r="D4118" s="112" t="s">
        <v>228</v>
      </c>
      <c r="E4118" s="113" t="s">
        <v>17</v>
      </c>
      <c r="F4118" s="114" t="s">
        <v>15</v>
      </c>
      <c r="G4118" s="115" t="s">
        <v>42</v>
      </c>
      <c r="H4118" s="116">
        <v>19.8</v>
      </c>
      <c r="I4118" s="125">
        <v>11.6</v>
      </c>
      <c r="J4118" s="111">
        <v>15</v>
      </c>
      <c r="K4118" s="117">
        <f t="shared" ref="K4118:K4125" si="497">I4118*H4118*J4118/1000</f>
        <v>3.4452000000000003</v>
      </c>
      <c r="L4118" s="118"/>
      <c r="M4118" s="111">
        <f>14</f>
        <v>14</v>
      </c>
      <c r="N4118" s="117">
        <f t="shared" si="494"/>
        <v>3.2155200000000006</v>
      </c>
      <c r="O4118" s="143">
        <f t="shared" si="495"/>
        <v>1</v>
      </c>
      <c r="P4118" s="144">
        <f t="shared" si="496"/>
        <v>0.22968</v>
      </c>
      <c r="Q4118" s="159"/>
      <c r="R4118" s="32"/>
    </row>
    <row r="4119" spans="2:18" ht="15.6">
      <c r="B4119" s="110" t="s">
        <v>365</v>
      </c>
      <c r="C4119" s="111" t="s">
        <v>232</v>
      </c>
      <c r="D4119" s="112" t="s">
        <v>228</v>
      </c>
      <c r="E4119" s="113" t="s">
        <v>17</v>
      </c>
      <c r="F4119" s="114" t="s">
        <v>15</v>
      </c>
      <c r="G4119" s="115" t="s">
        <v>42</v>
      </c>
      <c r="H4119" s="116">
        <v>19.8</v>
      </c>
      <c r="I4119" s="125">
        <v>12</v>
      </c>
      <c r="J4119" s="111">
        <v>1</v>
      </c>
      <c r="K4119" s="117">
        <f t="shared" si="497"/>
        <v>0.23760000000000003</v>
      </c>
      <c r="L4119" s="118"/>
      <c r="M4119" s="111">
        <v>1</v>
      </c>
      <c r="N4119" s="117">
        <f t="shared" si="494"/>
        <v>0.23760000000000003</v>
      </c>
      <c r="O4119" s="143">
        <f t="shared" si="495"/>
        <v>0</v>
      </c>
      <c r="P4119" s="144">
        <f t="shared" si="496"/>
        <v>0</v>
      </c>
      <c r="Q4119" s="111"/>
      <c r="R4119" s="32"/>
    </row>
    <row r="4120" spans="2:18" ht="15.6">
      <c r="B4120" s="110" t="s">
        <v>365</v>
      </c>
      <c r="C4120" s="111" t="s">
        <v>232</v>
      </c>
      <c r="D4120" s="112" t="s">
        <v>228</v>
      </c>
      <c r="E4120" s="113" t="s">
        <v>17</v>
      </c>
      <c r="F4120" s="114" t="s">
        <v>15</v>
      </c>
      <c r="G4120" s="115" t="s">
        <v>42</v>
      </c>
      <c r="H4120" s="116">
        <v>19.8</v>
      </c>
      <c r="I4120" s="125">
        <v>11.3</v>
      </c>
      <c r="J4120" s="111">
        <v>2</v>
      </c>
      <c r="K4120" s="117">
        <f t="shared" si="497"/>
        <v>0.44748000000000004</v>
      </c>
      <c r="L4120" s="118"/>
      <c r="M4120" s="111">
        <v>2</v>
      </c>
      <c r="N4120" s="117">
        <f t="shared" si="494"/>
        <v>0.44748000000000004</v>
      </c>
      <c r="O4120" s="143">
        <f t="shared" si="495"/>
        <v>0</v>
      </c>
      <c r="P4120" s="144">
        <f t="shared" si="496"/>
        <v>0</v>
      </c>
      <c r="Q4120" s="111"/>
      <c r="R4120" s="32"/>
    </row>
    <row r="4121" spans="2:18" ht="15.6">
      <c r="B4121" s="110" t="s">
        <v>365</v>
      </c>
      <c r="C4121" s="111" t="s">
        <v>232</v>
      </c>
      <c r="D4121" s="112" t="s">
        <v>228</v>
      </c>
      <c r="E4121" s="113" t="s">
        <v>17</v>
      </c>
      <c r="F4121" s="114" t="s">
        <v>15</v>
      </c>
      <c r="G4121" s="115" t="s">
        <v>42</v>
      </c>
      <c r="H4121" s="116">
        <v>19.8</v>
      </c>
      <c r="I4121" s="125">
        <v>10</v>
      </c>
      <c r="J4121" s="111">
        <v>7</v>
      </c>
      <c r="K4121" s="117">
        <f t="shared" si="497"/>
        <v>1.3859999999999999</v>
      </c>
      <c r="L4121" s="118"/>
      <c r="M4121" s="111">
        <v>7</v>
      </c>
      <c r="N4121" s="117">
        <f t="shared" si="494"/>
        <v>1.3859999999999999</v>
      </c>
      <c r="O4121" s="143">
        <f t="shared" si="495"/>
        <v>0</v>
      </c>
      <c r="P4121" s="144">
        <f t="shared" si="496"/>
        <v>0</v>
      </c>
      <c r="Q4121" s="111"/>
      <c r="R4121" s="32"/>
    </row>
    <row r="4122" spans="2:18" ht="15.6">
      <c r="B4122" s="110" t="s">
        <v>365</v>
      </c>
      <c r="C4122" s="111" t="s">
        <v>232</v>
      </c>
      <c r="D4122" s="112" t="s">
        <v>228</v>
      </c>
      <c r="E4122" s="113" t="s">
        <v>17</v>
      </c>
      <c r="F4122" s="114" t="s">
        <v>15</v>
      </c>
      <c r="G4122" s="115" t="s">
        <v>42</v>
      </c>
      <c r="H4122" s="116">
        <v>19.8</v>
      </c>
      <c r="I4122" s="125">
        <v>12</v>
      </c>
      <c r="J4122" s="111">
        <v>2</v>
      </c>
      <c r="K4122" s="117">
        <f t="shared" si="497"/>
        <v>0.47520000000000007</v>
      </c>
      <c r="L4122" s="118"/>
      <c r="M4122" s="111">
        <v>2</v>
      </c>
      <c r="N4122" s="117">
        <f t="shared" si="494"/>
        <v>0.47520000000000007</v>
      </c>
      <c r="O4122" s="143">
        <f t="shared" si="495"/>
        <v>0</v>
      </c>
      <c r="P4122" s="144">
        <f t="shared" si="496"/>
        <v>0</v>
      </c>
      <c r="Q4122" s="111"/>
      <c r="R4122" s="32"/>
    </row>
    <row r="4123" spans="2:18" ht="15.6">
      <c r="B4123" s="110" t="s">
        <v>365</v>
      </c>
      <c r="C4123" s="111" t="s">
        <v>232</v>
      </c>
      <c r="D4123" s="112" t="s">
        <v>228</v>
      </c>
      <c r="E4123" s="113" t="s">
        <v>17</v>
      </c>
      <c r="F4123" s="114" t="s">
        <v>15</v>
      </c>
      <c r="G4123" s="115" t="s">
        <v>42</v>
      </c>
      <c r="H4123" s="116">
        <v>19.8</v>
      </c>
      <c r="I4123" s="125">
        <v>9.6</v>
      </c>
      <c r="J4123" s="111">
        <v>2</v>
      </c>
      <c r="K4123" s="117">
        <f t="shared" si="497"/>
        <v>0.38016</v>
      </c>
      <c r="L4123" s="118"/>
      <c r="M4123" s="111">
        <v>2</v>
      </c>
      <c r="N4123" s="117">
        <f t="shared" si="494"/>
        <v>0.38016</v>
      </c>
      <c r="O4123" s="143">
        <f t="shared" si="495"/>
        <v>0</v>
      </c>
      <c r="P4123" s="144">
        <f t="shared" si="496"/>
        <v>0</v>
      </c>
      <c r="Q4123" s="111"/>
      <c r="R4123" s="32"/>
    </row>
    <row r="4124" spans="2:18" ht="15.6">
      <c r="B4124" s="110" t="s">
        <v>365</v>
      </c>
      <c r="C4124" s="111" t="s">
        <v>232</v>
      </c>
      <c r="D4124" s="112" t="s">
        <v>228</v>
      </c>
      <c r="E4124" s="113" t="s">
        <v>17</v>
      </c>
      <c r="F4124" s="114" t="s">
        <v>15</v>
      </c>
      <c r="G4124" s="115" t="s">
        <v>42</v>
      </c>
      <c r="H4124" s="116">
        <v>19.8</v>
      </c>
      <c r="I4124" s="125">
        <v>12</v>
      </c>
      <c r="J4124" s="111">
        <v>5</v>
      </c>
      <c r="K4124" s="117">
        <f t="shared" si="497"/>
        <v>1.1879999999999999</v>
      </c>
      <c r="L4124" s="118"/>
      <c r="M4124" s="111">
        <v>5</v>
      </c>
      <c r="N4124" s="117">
        <f t="shared" si="494"/>
        <v>1.1879999999999999</v>
      </c>
      <c r="O4124" s="143">
        <f t="shared" si="495"/>
        <v>0</v>
      </c>
      <c r="P4124" s="144">
        <f t="shared" si="496"/>
        <v>0</v>
      </c>
      <c r="Q4124" s="111"/>
      <c r="R4124" s="32"/>
    </row>
    <row r="4125" spans="2:18" ht="15.6">
      <c r="B4125" s="110" t="s">
        <v>365</v>
      </c>
      <c r="C4125" s="111" t="s">
        <v>232</v>
      </c>
      <c r="D4125" s="112" t="s">
        <v>228</v>
      </c>
      <c r="E4125" s="113" t="s">
        <v>17</v>
      </c>
      <c r="F4125" s="114" t="s">
        <v>15</v>
      </c>
      <c r="G4125" s="115" t="s">
        <v>42</v>
      </c>
      <c r="H4125" s="116">
        <v>19.8</v>
      </c>
      <c r="I4125" s="125">
        <v>12</v>
      </c>
      <c r="J4125" s="111">
        <v>15</v>
      </c>
      <c r="K4125" s="117">
        <f t="shared" si="497"/>
        <v>3.5640000000000005</v>
      </c>
      <c r="L4125" s="118"/>
      <c r="M4125" s="111">
        <f>13+1</f>
        <v>14</v>
      </c>
      <c r="N4125" s="117">
        <f t="shared" si="494"/>
        <v>3.3264</v>
      </c>
      <c r="O4125" s="143">
        <f t="shared" si="495"/>
        <v>1</v>
      </c>
      <c r="P4125" s="144">
        <f t="shared" si="496"/>
        <v>0.23760000000000003</v>
      </c>
      <c r="Q4125" s="111"/>
      <c r="R4125" s="32"/>
    </row>
    <row r="4126" spans="2:18" ht="15.6">
      <c r="B4126" s="110" t="s">
        <v>365</v>
      </c>
      <c r="C4126" s="111" t="s">
        <v>232</v>
      </c>
      <c r="D4126" s="112" t="s">
        <v>228</v>
      </c>
      <c r="E4126" s="113" t="s">
        <v>17</v>
      </c>
      <c r="F4126" s="114" t="s">
        <v>15</v>
      </c>
      <c r="G4126" s="115" t="s">
        <v>42</v>
      </c>
      <c r="H4126" s="116">
        <v>19.8</v>
      </c>
      <c r="I4126" s="125">
        <v>9</v>
      </c>
      <c r="J4126" s="111">
        <v>1</v>
      </c>
      <c r="K4126" s="117">
        <f>I4126*H4126*J4126/1000</f>
        <v>0.17820000000000003</v>
      </c>
      <c r="L4126" s="118" t="s">
        <v>381</v>
      </c>
      <c r="M4126" s="111"/>
      <c r="N4126" s="117">
        <f t="shared" si="494"/>
        <v>0</v>
      </c>
      <c r="O4126" s="143">
        <f t="shared" si="495"/>
        <v>1</v>
      </c>
      <c r="P4126" s="144">
        <f t="shared" si="496"/>
        <v>0.17820000000000003</v>
      </c>
      <c r="Q4126" s="111"/>
      <c r="R4126" s="32"/>
    </row>
    <row r="4127" spans="2:18" ht="15.6">
      <c r="B4127" s="110" t="s">
        <v>365</v>
      </c>
      <c r="C4127" s="111" t="s">
        <v>232</v>
      </c>
      <c r="D4127" s="112" t="s">
        <v>228</v>
      </c>
      <c r="E4127" s="113" t="s">
        <v>17</v>
      </c>
      <c r="F4127" s="114" t="s">
        <v>15</v>
      </c>
      <c r="G4127" s="115" t="s">
        <v>42</v>
      </c>
      <c r="H4127" s="116">
        <v>19.8</v>
      </c>
      <c r="I4127" s="125">
        <v>9.6</v>
      </c>
      <c r="J4127" s="111">
        <v>1</v>
      </c>
      <c r="K4127" s="117">
        <f>I4127*H4127*J4127/1000</f>
        <v>0.19008</v>
      </c>
      <c r="L4127" s="118" t="s">
        <v>381</v>
      </c>
      <c r="M4127" s="111"/>
      <c r="N4127" s="117">
        <f t="shared" si="494"/>
        <v>0</v>
      </c>
      <c r="O4127" s="143">
        <f t="shared" si="495"/>
        <v>1</v>
      </c>
      <c r="P4127" s="144">
        <f t="shared" si="496"/>
        <v>0.19008</v>
      </c>
      <c r="Q4127" s="111"/>
      <c r="R4127" s="32"/>
    </row>
    <row r="4128" spans="2:18">
      <c r="B4128" s="213"/>
      <c r="C4128" s="213"/>
      <c r="D4128" s="213"/>
      <c r="E4128" s="213"/>
      <c r="F4128" s="213"/>
      <c r="G4128" s="213"/>
      <c r="H4128" s="213"/>
      <c r="I4128" s="213"/>
      <c r="J4128" s="215">
        <f>SUM(J4117:J4127)</f>
        <v>66</v>
      </c>
      <c r="K4128" s="214">
        <f>SUM(K4117:K4127)</f>
        <v>14.93712</v>
      </c>
      <c r="L4128" s="213"/>
      <c r="M4128" s="215">
        <f>SUM(M4117:M4127)</f>
        <v>62</v>
      </c>
      <c r="N4128" s="214">
        <f>SUM(N4117:N4127)</f>
        <v>14.101560000000001</v>
      </c>
      <c r="O4128" s="78">
        <f>SUM(O4117:O4127)</f>
        <v>4</v>
      </c>
      <c r="P4128" s="214">
        <f>SUM(P4117:P4127)</f>
        <v>0.83556000000000008</v>
      </c>
      <c r="Q4128" s="213"/>
      <c r="R4128" s="213"/>
    </row>
    <row r="4131" spans="1:20">
      <c r="A4131" s="42" t="s">
        <v>77</v>
      </c>
      <c r="B4131" s="3" t="s">
        <v>68</v>
      </c>
      <c r="C4131" s="3">
        <v>144</v>
      </c>
      <c r="D4131" s="1"/>
      <c r="E4131" s="20" t="s">
        <v>24</v>
      </c>
      <c r="F4131" s="7" t="s">
        <v>14</v>
      </c>
      <c r="G4131" s="7" t="s">
        <v>36</v>
      </c>
      <c r="H4131" s="11">
        <v>10.199999999999999</v>
      </c>
      <c r="I4131" s="8">
        <v>6.9</v>
      </c>
      <c r="J4131" s="26">
        <v>24</v>
      </c>
      <c r="K4131" s="10">
        <v>1.68912</v>
      </c>
      <c r="L4131" s="4"/>
      <c r="M4131" s="17">
        <v>21</v>
      </c>
      <c r="N4131" s="18">
        <v>1.4779800000000001</v>
      </c>
      <c r="O4131" s="310">
        <v>3</v>
      </c>
      <c r="P4131" s="165">
        <v>0.21114000000000002</v>
      </c>
    </row>
    <row r="4132" spans="1:20">
      <c r="A4132" s="42" t="s">
        <v>77</v>
      </c>
      <c r="B4132" s="3" t="s">
        <v>68</v>
      </c>
      <c r="C4132" s="3">
        <v>146</v>
      </c>
      <c r="D4132" s="1"/>
      <c r="E4132" s="20" t="s">
        <v>24</v>
      </c>
      <c r="F4132" s="7" t="s">
        <v>14</v>
      </c>
      <c r="G4132" s="7" t="s">
        <v>36</v>
      </c>
      <c r="H4132" s="11">
        <v>10.199999999999999</v>
      </c>
      <c r="I4132" s="8">
        <v>6.4</v>
      </c>
      <c r="J4132" s="26">
        <v>1</v>
      </c>
      <c r="K4132" s="10">
        <v>6.5280000000000005E-2</v>
      </c>
      <c r="L4132" s="4"/>
      <c r="M4132" s="17"/>
      <c r="N4132" s="18">
        <v>0</v>
      </c>
      <c r="O4132" s="310">
        <v>1</v>
      </c>
      <c r="P4132" s="165">
        <v>6.5280000000000005E-2</v>
      </c>
    </row>
    <row r="4133" spans="1:20">
      <c r="A4133" s="42" t="s">
        <v>77</v>
      </c>
      <c r="B4133" s="3" t="s">
        <v>68</v>
      </c>
      <c r="C4133" s="3">
        <v>146</v>
      </c>
      <c r="D4133" s="1"/>
      <c r="E4133" s="20" t="s">
        <v>24</v>
      </c>
      <c r="F4133" s="7" t="s">
        <v>14</v>
      </c>
      <c r="G4133" s="7" t="s">
        <v>36</v>
      </c>
      <c r="H4133" s="11">
        <v>10.199999999999999</v>
      </c>
      <c r="I4133" s="8">
        <v>10</v>
      </c>
      <c r="J4133" s="26">
        <v>1</v>
      </c>
      <c r="K4133" s="10">
        <v>0.10199999999999999</v>
      </c>
      <c r="L4133" s="4" t="s">
        <v>104</v>
      </c>
      <c r="M4133" s="17"/>
      <c r="N4133" s="18">
        <v>0</v>
      </c>
      <c r="O4133" s="310">
        <v>1</v>
      </c>
      <c r="P4133" s="165">
        <v>0.10199999999999999</v>
      </c>
    </row>
    <row r="4134" spans="1:20">
      <c r="A4134" s="42" t="s">
        <v>77</v>
      </c>
      <c r="B4134" s="3" t="s">
        <v>68</v>
      </c>
      <c r="C4134" s="3">
        <v>146</v>
      </c>
      <c r="D4134" s="1"/>
      <c r="E4134" s="20" t="s">
        <v>24</v>
      </c>
      <c r="F4134" s="7" t="s">
        <v>14</v>
      </c>
      <c r="G4134" s="7" t="s">
        <v>36</v>
      </c>
      <c r="H4134" s="11">
        <v>10.199999999999999</v>
      </c>
      <c r="I4134" s="8">
        <v>6.4</v>
      </c>
      <c r="J4134" s="26">
        <v>1</v>
      </c>
      <c r="K4134" s="10">
        <v>6.5280000000000005E-2</v>
      </c>
      <c r="L4134" s="4"/>
      <c r="M4134" s="17"/>
      <c r="N4134" s="18">
        <v>0</v>
      </c>
      <c r="O4134" s="310">
        <v>1</v>
      </c>
      <c r="P4134" s="165">
        <v>6.5280000000000005E-2</v>
      </c>
    </row>
    <row r="4135" spans="1:20">
      <c r="A4135" s="42" t="s">
        <v>77</v>
      </c>
      <c r="B4135" s="3" t="s">
        <v>68</v>
      </c>
      <c r="C4135" s="3">
        <v>146</v>
      </c>
      <c r="D4135" s="1"/>
      <c r="E4135" s="20" t="s">
        <v>24</v>
      </c>
      <c r="F4135" s="7" t="s">
        <v>14</v>
      </c>
      <c r="G4135" s="7" t="s">
        <v>36</v>
      </c>
      <c r="H4135" s="11">
        <v>10.199999999999999</v>
      </c>
      <c r="I4135" s="8">
        <v>6.5</v>
      </c>
      <c r="J4135" s="26">
        <v>3</v>
      </c>
      <c r="K4135" s="10">
        <v>0.19889999999999997</v>
      </c>
      <c r="L4135" s="4"/>
      <c r="M4135" s="17"/>
      <c r="N4135" s="18">
        <v>0</v>
      </c>
      <c r="O4135" s="310">
        <v>3</v>
      </c>
      <c r="P4135" s="165">
        <v>0.19889999999999997</v>
      </c>
    </row>
    <row r="4136" spans="1:20">
      <c r="A4136" s="42" t="s">
        <v>77</v>
      </c>
      <c r="B4136" s="3" t="s">
        <v>68</v>
      </c>
      <c r="C4136" s="3">
        <v>156</v>
      </c>
      <c r="D4136" s="1"/>
      <c r="E4136" s="20" t="s">
        <v>24</v>
      </c>
      <c r="F4136" s="7" t="s">
        <v>14</v>
      </c>
      <c r="G4136" s="7" t="s">
        <v>36</v>
      </c>
      <c r="H4136" s="11">
        <v>10.199999999999999</v>
      </c>
      <c r="I4136" s="8">
        <v>6</v>
      </c>
      <c r="J4136" s="26">
        <v>1</v>
      </c>
      <c r="K4136" s="10">
        <v>6.1199999999999997E-2</v>
      </c>
      <c r="L4136" s="4"/>
      <c r="M4136" s="17"/>
      <c r="N4136" s="18">
        <v>0</v>
      </c>
      <c r="O4136" s="310">
        <v>1</v>
      </c>
      <c r="P4136" s="165">
        <v>6.1199999999999997E-2</v>
      </c>
    </row>
    <row r="4137" spans="1:20">
      <c r="A4137" s="42" t="s">
        <v>77</v>
      </c>
      <c r="B4137" s="3" t="s">
        <v>68</v>
      </c>
      <c r="C4137" s="3">
        <v>156</v>
      </c>
      <c r="D4137" s="1"/>
      <c r="E4137" s="20" t="s">
        <v>24</v>
      </c>
      <c r="F4137" s="7" t="s">
        <v>14</v>
      </c>
      <c r="G4137" s="7" t="s">
        <v>36</v>
      </c>
      <c r="H4137" s="11">
        <v>10.199999999999999</v>
      </c>
      <c r="I4137" s="8">
        <v>6.3</v>
      </c>
      <c r="J4137" s="26">
        <v>1</v>
      </c>
      <c r="K4137" s="10">
        <v>6.4259999999999998E-2</v>
      </c>
      <c r="L4137" s="4"/>
      <c r="M4137" s="17"/>
      <c r="N4137" s="18">
        <v>0</v>
      </c>
      <c r="O4137" s="310">
        <v>1</v>
      </c>
      <c r="P4137" s="165">
        <v>6.4259999999999998E-2</v>
      </c>
    </row>
    <row r="4138" spans="1:20">
      <c r="A4138" s="42" t="s">
        <v>77</v>
      </c>
      <c r="B4138" s="3" t="s">
        <v>68</v>
      </c>
      <c r="C4138" s="3">
        <v>156</v>
      </c>
      <c r="D4138" s="1"/>
      <c r="E4138" s="20" t="s">
        <v>24</v>
      </c>
      <c r="F4138" s="7" t="s">
        <v>14</v>
      </c>
      <c r="G4138" s="7" t="s">
        <v>36</v>
      </c>
      <c r="H4138" s="11">
        <v>10.199999999999999</v>
      </c>
      <c r="I4138" s="8">
        <v>6.5</v>
      </c>
      <c r="J4138" s="26">
        <v>2</v>
      </c>
      <c r="K4138" s="10">
        <v>0.1326</v>
      </c>
      <c r="L4138" s="4"/>
      <c r="M4138" s="17"/>
      <c r="N4138" s="18">
        <v>0</v>
      </c>
      <c r="O4138" s="310">
        <v>2</v>
      </c>
      <c r="P4138" s="165">
        <v>0.1326</v>
      </c>
    </row>
    <row r="4142" spans="1:20" ht="15.6">
      <c r="B4142" s="110" t="s">
        <v>363</v>
      </c>
      <c r="C4142" s="111" t="s">
        <v>232</v>
      </c>
      <c r="D4142" s="112" t="s">
        <v>364</v>
      </c>
      <c r="E4142" s="113" t="s">
        <v>24</v>
      </c>
      <c r="F4142" s="114" t="s">
        <v>14</v>
      </c>
      <c r="G4142" s="115" t="s">
        <v>32</v>
      </c>
      <c r="H4142" s="116">
        <v>8.32</v>
      </c>
      <c r="I4142" s="125">
        <v>12</v>
      </c>
      <c r="J4142" s="111">
        <v>36</v>
      </c>
      <c r="K4142" s="117">
        <f t="shared" ref="K4142:K4155" si="498">I4142*H4142*J4142/1000</f>
        <v>3.5942400000000001</v>
      </c>
      <c r="L4142" s="118"/>
      <c r="M4142" s="111">
        <v>36</v>
      </c>
      <c r="N4142" s="117">
        <f t="shared" ref="N4142:N4155" si="499">I4142*M4142*H4142/1000</f>
        <v>3.5942400000000001</v>
      </c>
      <c r="O4142" s="119">
        <f t="shared" ref="O4142:O4155" si="500">J4142-M4142</f>
        <v>0</v>
      </c>
      <c r="P4142" s="120">
        <f t="shared" ref="P4142:P4154" si="501">I4142*O4142*H4142/1000</f>
        <v>0</v>
      </c>
      <c r="Q4142" s="111"/>
      <c r="R4142" s="32"/>
      <c r="S4142" s="32"/>
      <c r="T4142" s="213"/>
    </row>
    <row r="4143" spans="1:20" ht="15.6">
      <c r="B4143" s="110" t="s">
        <v>363</v>
      </c>
      <c r="C4143" s="111" t="s">
        <v>232</v>
      </c>
      <c r="D4143" s="112" t="s">
        <v>364</v>
      </c>
      <c r="E4143" s="113" t="s">
        <v>24</v>
      </c>
      <c r="F4143" s="114" t="s">
        <v>14</v>
      </c>
      <c r="G4143" s="115" t="s">
        <v>32</v>
      </c>
      <c r="H4143" s="116">
        <v>8.32</v>
      </c>
      <c r="I4143" s="125">
        <v>11</v>
      </c>
      <c r="J4143" s="111">
        <v>19</v>
      </c>
      <c r="K4143" s="117">
        <f t="shared" si="498"/>
        <v>1.7388800000000002</v>
      </c>
      <c r="L4143" s="118"/>
      <c r="M4143" s="111">
        <v>19</v>
      </c>
      <c r="N4143" s="117">
        <f t="shared" si="499"/>
        <v>1.7388800000000002</v>
      </c>
      <c r="O4143" s="119">
        <f t="shared" si="500"/>
        <v>0</v>
      </c>
      <c r="P4143" s="120">
        <f t="shared" si="501"/>
        <v>0</v>
      </c>
      <c r="Q4143" s="111"/>
      <c r="R4143" s="32"/>
      <c r="S4143" s="32"/>
      <c r="T4143" s="213"/>
    </row>
    <row r="4144" spans="1:20" ht="15.6">
      <c r="B4144" s="110" t="s">
        <v>363</v>
      </c>
      <c r="C4144" s="111" t="s">
        <v>232</v>
      </c>
      <c r="D4144" s="112" t="s">
        <v>364</v>
      </c>
      <c r="E4144" s="113" t="s">
        <v>24</v>
      </c>
      <c r="F4144" s="114" t="s">
        <v>14</v>
      </c>
      <c r="G4144" s="115" t="s">
        <v>32</v>
      </c>
      <c r="H4144" s="116">
        <v>8.32</v>
      </c>
      <c r="I4144" s="125">
        <v>9</v>
      </c>
      <c r="J4144" s="111">
        <v>14</v>
      </c>
      <c r="K4144" s="117">
        <f t="shared" si="498"/>
        <v>1.0483199999999999</v>
      </c>
      <c r="L4144" s="118"/>
      <c r="M4144" s="111">
        <f>6+8</f>
        <v>14</v>
      </c>
      <c r="N4144" s="117">
        <f t="shared" si="499"/>
        <v>1.0483199999999999</v>
      </c>
      <c r="O4144" s="119">
        <f t="shared" si="500"/>
        <v>0</v>
      </c>
      <c r="P4144" s="120">
        <f t="shared" si="501"/>
        <v>0</v>
      </c>
      <c r="Q4144" s="111"/>
      <c r="R4144" s="32"/>
      <c r="S4144" s="32"/>
      <c r="T4144" s="213"/>
    </row>
    <row r="4145" spans="1:20" ht="15.6">
      <c r="B4145" s="110" t="s">
        <v>363</v>
      </c>
      <c r="C4145" s="111" t="s">
        <v>232</v>
      </c>
      <c r="D4145" s="112" t="s">
        <v>364</v>
      </c>
      <c r="E4145" s="113" t="s">
        <v>24</v>
      </c>
      <c r="F4145" s="114" t="s">
        <v>14</v>
      </c>
      <c r="G4145" s="115" t="s">
        <v>32</v>
      </c>
      <c r="H4145" s="116">
        <v>8.32</v>
      </c>
      <c r="I4145" s="125">
        <v>10</v>
      </c>
      <c r="J4145" s="111">
        <v>3</v>
      </c>
      <c r="K4145" s="117">
        <f t="shared" si="498"/>
        <v>0.24960000000000002</v>
      </c>
      <c r="L4145" s="118"/>
      <c r="M4145" s="111">
        <v>3</v>
      </c>
      <c r="N4145" s="117">
        <f t="shared" si="499"/>
        <v>0.24960000000000002</v>
      </c>
      <c r="O4145" s="119">
        <f t="shared" si="500"/>
        <v>0</v>
      </c>
      <c r="P4145" s="120">
        <f t="shared" si="501"/>
        <v>0</v>
      </c>
      <c r="Q4145" s="111"/>
      <c r="R4145" s="32"/>
      <c r="S4145" s="32"/>
      <c r="T4145" s="213"/>
    </row>
    <row r="4146" spans="1:20" ht="15.6">
      <c r="B4146" s="110" t="s">
        <v>363</v>
      </c>
      <c r="C4146" s="111" t="s">
        <v>232</v>
      </c>
      <c r="D4146" s="112" t="s">
        <v>364</v>
      </c>
      <c r="E4146" s="113" t="s">
        <v>24</v>
      </c>
      <c r="F4146" s="114" t="s">
        <v>14</v>
      </c>
      <c r="G4146" s="115" t="s">
        <v>32</v>
      </c>
      <c r="H4146" s="116">
        <v>8.32</v>
      </c>
      <c r="I4146" s="125">
        <v>10.5</v>
      </c>
      <c r="J4146" s="111">
        <v>2</v>
      </c>
      <c r="K4146" s="117">
        <f t="shared" si="498"/>
        <v>0.17471999999999999</v>
      </c>
      <c r="L4146" s="118"/>
      <c r="M4146" s="111">
        <v>2</v>
      </c>
      <c r="N4146" s="117">
        <f t="shared" si="499"/>
        <v>0.17471999999999999</v>
      </c>
      <c r="O4146" s="119">
        <f t="shared" si="500"/>
        <v>0</v>
      </c>
      <c r="P4146" s="120">
        <f t="shared" si="501"/>
        <v>0</v>
      </c>
      <c r="Q4146" s="111"/>
      <c r="R4146" s="32"/>
      <c r="S4146" s="72">
        <v>8.35</v>
      </c>
      <c r="T4146" s="458">
        <v>2</v>
      </c>
    </row>
    <row r="4147" spans="1:20" ht="15.6">
      <c r="B4147" s="110" t="s">
        <v>363</v>
      </c>
      <c r="C4147" s="111" t="s">
        <v>232</v>
      </c>
      <c r="D4147" s="112" t="s">
        <v>364</v>
      </c>
      <c r="E4147" s="113" t="s">
        <v>24</v>
      </c>
      <c r="F4147" s="114" t="s">
        <v>14</v>
      </c>
      <c r="G4147" s="115" t="s">
        <v>32</v>
      </c>
      <c r="H4147" s="116">
        <v>8.32</v>
      </c>
      <c r="I4147" s="125">
        <v>12</v>
      </c>
      <c r="J4147" s="111">
        <v>7</v>
      </c>
      <c r="K4147" s="117">
        <f t="shared" si="498"/>
        <v>0.69887999999999995</v>
      </c>
      <c r="L4147" s="118"/>
      <c r="M4147" s="111">
        <v>7</v>
      </c>
      <c r="N4147" s="117">
        <f t="shared" si="499"/>
        <v>0.69887999999999995</v>
      </c>
      <c r="O4147" s="119">
        <f t="shared" si="500"/>
        <v>0</v>
      </c>
      <c r="P4147" s="120">
        <f t="shared" si="501"/>
        <v>0</v>
      </c>
      <c r="Q4147" s="111"/>
      <c r="R4147" s="32"/>
      <c r="S4147" s="72"/>
      <c r="T4147" s="458"/>
    </row>
    <row r="4148" spans="1:20" ht="15.6">
      <c r="B4148" s="110" t="s">
        <v>363</v>
      </c>
      <c r="C4148" s="111" t="s">
        <v>232</v>
      </c>
      <c r="D4148" s="112" t="s">
        <v>364</v>
      </c>
      <c r="E4148" s="113" t="s">
        <v>24</v>
      </c>
      <c r="F4148" s="114" t="s">
        <v>14</v>
      </c>
      <c r="G4148" s="115" t="s">
        <v>32</v>
      </c>
      <c r="H4148" s="116">
        <v>8.32</v>
      </c>
      <c r="I4148" s="125">
        <v>9</v>
      </c>
      <c r="J4148" s="111">
        <v>19</v>
      </c>
      <c r="K4148" s="117">
        <f t="shared" si="498"/>
        <v>1.4227199999999998</v>
      </c>
      <c r="L4148" s="118"/>
      <c r="M4148" s="111">
        <f>17+2</f>
        <v>19</v>
      </c>
      <c r="N4148" s="117">
        <f t="shared" si="499"/>
        <v>1.42272</v>
      </c>
      <c r="O4148" s="119">
        <f t="shared" si="500"/>
        <v>0</v>
      </c>
      <c r="P4148" s="120">
        <f t="shared" si="501"/>
        <v>0</v>
      </c>
      <c r="Q4148" s="111"/>
      <c r="R4148" s="32"/>
      <c r="S4148" s="72">
        <v>8.35</v>
      </c>
      <c r="T4148" s="458">
        <v>2</v>
      </c>
    </row>
    <row r="4149" spans="1:20" ht="15.6">
      <c r="B4149" s="110" t="s">
        <v>363</v>
      </c>
      <c r="C4149" s="111" t="s">
        <v>232</v>
      </c>
      <c r="D4149" s="112" t="s">
        <v>364</v>
      </c>
      <c r="E4149" s="113" t="s">
        <v>24</v>
      </c>
      <c r="F4149" s="114" t="s">
        <v>14</v>
      </c>
      <c r="G4149" s="115" t="s">
        <v>32</v>
      </c>
      <c r="H4149" s="116">
        <v>8.32</v>
      </c>
      <c r="I4149" s="125">
        <v>10</v>
      </c>
      <c r="J4149" s="111">
        <v>19</v>
      </c>
      <c r="K4149" s="117">
        <f t="shared" si="498"/>
        <v>1.5808</v>
      </c>
      <c r="L4149" s="118"/>
      <c r="M4149" s="111">
        <f>9+5+3+2</f>
        <v>19</v>
      </c>
      <c r="N4149" s="117">
        <f t="shared" si="499"/>
        <v>1.5808</v>
      </c>
      <c r="O4149" s="119">
        <f t="shared" si="500"/>
        <v>0</v>
      </c>
      <c r="P4149" s="120">
        <f t="shared" si="501"/>
        <v>0</v>
      </c>
      <c r="Q4149" s="111"/>
      <c r="R4149" s="32"/>
      <c r="S4149" s="72">
        <v>8.35</v>
      </c>
      <c r="T4149" s="458">
        <v>2</v>
      </c>
    </row>
    <row r="4150" spans="1:20" ht="15.6">
      <c r="B4150" s="110" t="s">
        <v>363</v>
      </c>
      <c r="C4150" s="111" t="s">
        <v>232</v>
      </c>
      <c r="D4150" s="112" t="s">
        <v>364</v>
      </c>
      <c r="E4150" s="113" t="s">
        <v>24</v>
      </c>
      <c r="F4150" s="114" t="s">
        <v>14</v>
      </c>
      <c r="G4150" s="115" t="s">
        <v>32</v>
      </c>
      <c r="H4150" s="116">
        <v>8.32</v>
      </c>
      <c r="I4150" s="125">
        <v>10.5</v>
      </c>
      <c r="J4150" s="111">
        <v>18</v>
      </c>
      <c r="K4150" s="117">
        <f t="shared" si="498"/>
        <v>1.5724800000000001</v>
      </c>
      <c r="L4150" s="118"/>
      <c r="M4150" s="111">
        <f>12+6</f>
        <v>18</v>
      </c>
      <c r="N4150" s="117">
        <f t="shared" si="499"/>
        <v>1.5724800000000001</v>
      </c>
      <c r="O4150" s="119">
        <f t="shared" si="500"/>
        <v>0</v>
      </c>
      <c r="P4150" s="120">
        <f t="shared" si="501"/>
        <v>0</v>
      </c>
      <c r="Q4150" s="111"/>
      <c r="R4150" s="32"/>
      <c r="S4150" s="72"/>
      <c r="T4150" s="458"/>
    </row>
    <row r="4151" spans="1:20" ht="15.6">
      <c r="B4151" s="110" t="s">
        <v>363</v>
      </c>
      <c r="C4151" s="111" t="s">
        <v>232</v>
      </c>
      <c r="D4151" s="112" t="s">
        <v>364</v>
      </c>
      <c r="E4151" s="113" t="s">
        <v>24</v>
      </c>
      <c r="F4151" s="114" t="s">
        <v>14</v>
      </c>
      <c r="G4151" s="115" t="s">
        <v>32</v>
      </c>
      <c r="H4151" s="116">
        <v>8.32</v>
      </c>
      <c r="I4151" s="125">
        <v>11</v>
      </c>
      <c r="J4151" s="111">
        <v>9</v>
      </c>
      <c r="K4151" s="117">
        <f t="shared" si="498"/>
        <v>0.82368000000000008</v>
      </c>
      <c r="L4151" s="118"/>
      <c r="M4151" s="111">
        <f>7+2</f>
        <v>9</v>
      </c>
      <c r="N4151" s="117">
        <f t="shared" si="499"/>
        <v>0.82368000000000008</v>
      </c>
      <c r="O4151" s="119">
        <f t="shared" si="500"/>
        <v>0</v>
      </c>
      <c r="P4151" s="120">
        <f t="shared" si="501"/>
        <v>0</v>
      </c>
      <c r="Q4151" s="111"/>
      <c r="R4151" s="32"/>
      <c r="S4151" s="72">
        <v>8.35</v>
      </c>
      <c r="T4151" s="458">
        <v>2</v>
      </c>
    </row>
    <row r="4152" spans="1:20" ht="15.6">
      <c r="B4152" s="110" t="s">
        <v>363</v>
      </c>
      <c r="C4152" s="111" t="s">
        <v>232</v>
      </c>
      <c r="D4152" s="112" t="s">
        <v>364</v>
      </c>
      <c r="E4152" s="113" t="s">
        <v>24</v>
      </c>
      <c r="F4152" s="114" t="s">
        <v>14</v>
      </c>
      <c r="G4152" s="115" t="s">
        <v>32</v>
      </c>
      <c r="H4152" s="116">
        <v>8.32</v>
      </c>
      <c r="I4152" s="125">
        <v>12</v>
      </c>
      <c r="J4152" s="111">
        <v>10</v>
      </c>
      <c r="K4152" s="117">
        <f t="shared" si="498"/>
        <v>0.99840000000000007</v>
      </c>
      <c r="L4152" s="118"/>
      <c r="M4152" s="111">
        <f>5+5</f>
        <v>10</v>
      </c>
      <c r="N4152" s="117">
        <f t="shared" si="499"/>
        <v>0.99840000000000007</v>
      </c>
      <c r="O4152" s="119">
        <f t="shared" si="500"/>
        <v>0</v>
      </c>
      <c r="P4152" s="120">
        <f t="shared" si="501"/>
        <v>0</v>
      </c>
      <c r="Q4152" s="111">
        <v>10.199999999999999</v>
      </c>
      <c r="R4152" s="32">
        <v>2</v>
      </c>
      <c r="S4152" s="72">
        <v>12</v>
      </c>
      <c r="T4152" s="458">
        <v>5</v>
      </c>
    </row>
    <row r="4153" spans="1:20" ht="15.6">
      <c r="B4153" s="110" t="s">
        <v>363</v>
      </c>
      <c r="C4153" s="111" t="s">
        <v>232</v>
      </c>
      <c r="D4153" s="112" t="s">
        <v>364</v>
      </c>
      <c r="E4153" s="113" t="s">
        <v>24</v>
      </c>
      <c r="F4153" s="114" t="s">
        <v>14</v>
      </c>
      <c r="G4153" s="115" t="s">
        <v>32</v>
      </c>
      <c r="H4153" s="116">
        <v>8.32</v>
      </c>
      <c r="I4153" s="125">
        <v>12</v>
      </c>
      <c r="J4153" s="111">
        <v>21</v>
      </c>
      <c r="K4153" s="117">
        <f t="shared" si="498"/>
        <v>2.0966399999999998</v>
      </c>
      <c r="L4153" s="118"/>
      <c r="M4153" s="111">
        <v>21</v>
      </c>
      <c r="N4153" s="117">
        <f t="shared" si="499"/>
        <v>2.0966399999999998</v>
      </c>
      <c r="O4153" s="119">
        <f t="shared" si="500"/>
        <v>0</v>
      </c>
      <c r="P4153" s="120">
        <f t="shared" si="501"/>
        <v>0</v>
      </c>
      <c r="Q4153" s="111"/>
      <c r="R4153" s="32"/>
      <c r="S4153" s="72"/>
      <c r="T4153" s="458"/>
    </row>
    <row r="4154" spans="1:20" ht="15.6">
      <c r="B4154" s="110" t="s">
        <v>363</v>
      </c>
      <c r="C4154" s="111" t="s">
        <v>232</v>
      </c>
      <c r="D4154" s="112" t="s">
        <v>364</v>
      </c>
      <c r="E4154" s="113" t="s">
        <v>24</v>
      </c>
      <c r="F4154" s="114" t="s">
        <v>14</v>
      </c>
      <c r="G4154" s="115" t="s">
        <v>32</v>
      </c>
      <c r="H4154" s="116">
        <v>8.32</v>
      </c>
      <c r="I4154" s="125">
        <v>8.5</v>
      </c>
      <c r="J4154" s="111">
        <v>1</v>
      </c>
      <c r="K4154" s="117">
        <f t="shared" si="498"/>
        <v>7.0720000000000005E-2</v>
      </c>
      <c r="L4154" s="118"/>
      <c r="M4154" s="111">
        <v>1</v>
      </c>
      <c r="N4154" s="117">
        <f t="shared" si="499"/>
        <v>7.0720000000000005E-2</v>
      </c>
      <c r="O4154" s="119">
        <f t="shared" si="500"/>
        <v>0</v>
      </c>
      <c r="P4154" s="120">
        <f t="shared" si="501"/>
        <v>0</v>
      </c>
      <c r="Q4154" s="159">
        <v>7</v>
      </c>
      <c r="R4154" s="32">
        <v>1</v>
      </c>
      <c r="S4154" s="72"/>
      <c r="T4154" s="458"/>
    </row>
    <row r="4155" spans="1:20" ht="15.6">
      <c r="B4155" s="110" t="s">
        <v>363</v>
      </c>
      <c r="C4155" s="111" t="s">
        <v>232</v>
      </c>
      <c r="D4155" s="112" t="s">
        <v>364</v>
      </c>
      <c r="E4155" s="113" t="s">
        <v>24</v>
      </c>
      <c r="F4155" s="114" t="s">
        <v>14</v>
      </c>
      <c r="G4155" s="115" t="s">
        <v>32</v>
      </c>
      <c r="H4155" s="116">
        <v>8.32</v>
      </c>
      <c r="I4155" s="125">
        <v>8.6</v>
      </c>
      <c r="J4155" s="111">
        <v>2</v>
      </c>
      <c r="K4155" s="117">
        <f t="shared" si="498"/>
        <v>0.14310399999999998</v>
      </c>
      <c r="L4155" s="118"/>
      <c r="M4155" s="111">
        <v>2</v>
      </c>
      <c r="N4155" s="117">
        <f t="shared" si="499"/>
        <v>0.14310399999999998</v>
      </c>
      <c r="O4155" s="119">
        <f t="shared" si="500"/>
        <v>0</v>
      </c>
      <c r="P4155" s="120">
        <f>I4155*O4155*H4155/1000</f>
        <v>0</v>
      </c>
      <c r="Q4155" s="111"/>
      <c r="R4155" s="32"/>
      <c r="S4155" s="72">
        <v>8.35</v>
      </c>
      <c r="T4155" s="458">
        <v>2</v>
      </c>
    </row>
    <row r="4156" spans="1:20">
      <c r="B4156" s="213"/>
      <c r="C4156" s="213"/>
      <c r="D4156" s="213"/>
      <c r="E4156" s="213"/>
      <c r="F4156" s="213"/>
      <c r="G4156" s="213"/>
      <c r="H4156" s="213"/>
      <c r="I4156" s="213"/>
      <c r="J4156" s="215">
        <f>SUM(J4142:J4155)</f>
        <v>180</v>
      </c>
      <c r="K4156" s="214">
        <f>SUM(K4142:K4155)</f>
        <v>16.213184000000002</v>
      </c>
      <c r="L4156" s="213"/>
      <c r="M4156" s="215">
        <f>SUM(M4142:M4155)</f>
        <v>180</v>
      </c>
      <c r="N4156" s="128">
        <f>SUM(N4142:N4155)</f>
        <v>16.213184000000002</v>
      </c>
      <c r="O4156" s="78">
        <f>SUM(O4142:O4155)</f>
        <v>0</v>
      </c>
      <c r="P4156" s="128">
        <f>SUM(P4142:P4155)</f>
        <v>0</v>
      </c>
      <c r="Q4156" s="213"/>
      <c r="R4156" s="213"/>
      <c r="S4156" s="213"/>
      <c r="T4156" s="78">
        <f>SUM(T4142:T4155)</f>
        <v>15</v>
      </c>
    </row>
    <row r="4158" spans="1:20">
      <c r="A4158" s="42" t="s">
        <v>77</v>
      </c>
      <c r="B4158" s="3" t="s">
        <v>68</v>
      </c>
      <c r="C4158" s="3">
        <v>2</v>
      </c>
      <c r="D4158" s="1"/>
      <c r="E4158" s="20" t="s">
        <v>17</v>
      </c>
      <c r="F4158" s="7" t="s">
        <v>15</v>
      </c>
      <c r="G4158" s="7" t="s">
        <v>27</v>
      </c>
      <c r="H4158" s="11">
        <v>6.17</v>
      </c>
      <c r="I4158" s="8">
        <v>7.25</v>
      </c>
      <c r="J4158" s="26">
        <v>2</v>
      </c>
      <c r="K4158" s="10">
        <v>8.9465000000000003E-2</v>
      </c>
      <c r="L4158" s="4"/>
      <c r="M4158" s="17"/>
      <c r="N4158" s="18">
        <v>0</v>
      </c>
      <c r="O4158" s="310">
        <v>2</v>
      </c>
      <c r="P4158" s="165">
        <v>8.9465000000000003E-2</v>
      </c>
    </row>
    <row r="4159" spans="1:20">
      <c r="A4159" s="42" t="s">
        <v>78</v>
      </c>
      <c r="B4159" s="3"/>
      <c r="C4159" s="3">
        <v>39</v>
      </c>
      <c r="D4159" s="1"/>
      <c r="E4159" s="20" t="s">
        <v>17</v>
      </c>
      <c r="F4159" s="7" t="s">
        <v>15</v>
      </c>
      <c r="G4159" s="7" t="s">
        <v>27</v>
      </c>
      <c r="H4159" s="11">
        <v>6.17</v>
      </c>
      <c r="I4159" s="8">
        <v>7.5</v>
      </c>
      <c r="J4159" s="26">
        <v>1</v>
      </c>
      <c r="K4159" s="10">
        <v>4.6274999999999997E-2</v>
      </c>
      <c r="L4159" s="4"/>
      <c r="M4159" s="17"/>
      <c r="N4159" s="18">
        <v>0</v>
      </c>
      <c r="O4159" s="310">
        <v>1</v>
      </c>
      <c r="P4159" s="165">
        <v>4.6274999999999997E-2</v>
      </c>
    </row>
    <row r="4160" spans="1:20">
      <c r="A4160" s="42" t="s">
        <v>78</v>
      </c>
      <c r="B4160" s="3"/>
      <c r="C4160" s="3">
        <v>39</v>
      </c>
      <c r="D4160" s="1"/>
      <c r="E4160" s="20" t="s">
        <v>17</v>
      </c>
      <c r="F4160" s="7" t="s">
        <v>15</v>
      </c>
      <c r="G4160" s="7" t="s">
        <v>27</v>
      </c>
      <c r="H4160" s="11">
        <v>6.17</v>
      </c>
      <c r="I4160" s="8">
        <v>7</v>
      </c>
      <c r="J4160" s="26">
        <v>1</v>
      </c>
      <c r="K4160" s="10">
        <v>4.3189999999999999E-2</v>
      </c>
      <c r="L4160" s="4"/>
      <c r="M4160" s="17"/>
      <c r="N4160" s="18">
        <v>0</v>
      </c>
      <c r="O4160" s="310">
        <v>1</v>
      </c>
      <c r="P4160" s="165">
        <v>4.3189999999999999E-2</v>
      </c>
    </row>
    <row r="4161" spans="1:16">
      <c r="A4161" s="42" t="s">
        <v>78</v>
      </c>
      <c r="B4161" s="3"/>
      <c r="C4161" s="3">
        <v>10</v>
      </c>
      <c r="D4161" s="1"/>
      <c r="E4161" s="20" t="s">
        <v>17</v>
      </c>
      <c r="F4161" s="7" t="s">
        <v>15</v>
      </c>
      <c r="G4161" s="7" t="s">
        <v>27</v>
      </c>
      <c r="H4161" s="11">
        <v>6.17</v>
      </c>
      <c r="I4161" s="8">
        <v>5.5</v>
      </c>
      <c r="J4161" s="26">
        <v>1</v>
      </c>
      <c r="K4161" s="10">
        <v>3.3935E-2</v>
      </c>
      <c r="L4161" s="4"/>
      <c r="M4161" s="17"/>
      <c r="N4161" s="18">
        <v>0</v>
      </c>
      <c r="O4161" s="310">
        <v>1</v>
      </c>
      <c r="P4161" s="165">
        <v>3.3935E-2</v>
      </c>
    </row>
    <row r="4162" spans="1:16">
      <c r="A4162" s="42" t="s">
        <v>78</v>
      </c>
      <c r="B4162" s="3"/>
      <c r="C4162" s="3">
        <v>10</v>
      </c>
      <c r="D4162" s="1"/>
      <c r="E4162" s="20" t="s">
        <v>17</v>
      </c>
      <c r="F4162" s="7" t="s">
        <v>15</v>
      </c>
      <c r="G4162" s="7" t="s">
        <v>27</v>
      </c>
      <c r="H4162" s="11">
        <v>6.17</v>
      </c>
      <c r="I4162" s="8">
        <v>5.85</v>
      </c>
      <c r="J4162" s="26">
        <v>1</v>
      </c>
      <c r="K4162" s="10">
        <v>3.6094499999999995E-2</v>
      </c>
      <c r="L4162" s="4"/>
      <c r="M4162" s="17"/>
      <c r="N4162" s="18">
        <v>0</v>
      </c>
      <c r="O4162" s="310">
        <v>1</v>
      </c>
      <c r="P4162" s="165">
        <v>3.6094499999999995E-2</v>
      </c>
    </row>
    <row r="4163" spans="1:16">
      <c r="A4163" s="42" t="s">
        <v>78</v>
      </c>
      <c r="B4163" s="3"/>
      <c r="C4163" s="3">
        <v>10</v>
      </c>
      <c r="D4163" s="1"/>
      <c r="E4163" s="20" t="s">
        <v>17</v>
      </c>
      <c r="F4163" s="7" t="s">
        <v>15</v>
      </c>
      <c r="G4163" s="7" t="s">
        <v>27</v>
      </c>
      <c r="H4163" s="11">
        <v>6.17</v>
      </c>
      <c r="I4163" s="8">
        <v>6</v>
      </c>
      <c r="J4163" s="26">
        <v>1</v>
      </c>
      <c r="K4163" s="10">
        <v>3.7019999999999997E-2</v>
      </c>
      <c r="L4163" s="4"/>
      <c r="M4163" s="22"/>
      <c r="N4163" s="18">
        <v>0</v>
      </c>
      <c r="O4163" s="310">
        <v>1</v>
      </c>
      <c r="P4163" s="165">
        <v>3.7019999999999997E-2</v>
      </c>
    </row>
    <row r="4164" spans="1:16">
      <c r="A4164" s="42" t="s">
        <v>78</v>
      </c>
      <c r="B4164" s="3"/>
      <c r="C4164" s="3">
        <v>10</v>
      </c>
      <c r="D4164" s="1"/>
      <c r="E4164" s="20" t="s">
        <v>17</v>
      </c>
      <c r="F4164" s="7" t="s">
        <v>15</v>
      </c>
      <c r="G4164" s="7" t="s">
        <v>27</v>
      </c>
      <c r="H4164" s="11">
        <v>6.17</v>
      </c>
      <c r="I4164" s="8">
        <v>6.75</v>
      </c>
      <c r="J4164" s="26">
        <v>1</v>
      </c>
      <c r="K4164" s="10">
        <v>4.1647500000000004E-2</v>
      </c>
      <c r="L4164" s="4"/>
      <c r="M4164" s="22"/>
      <c r="N4164" s="18">
        <v>0</v>
      </c>
      <c r="O4164" s="310">
        <v>1</v>
      </c>
      <c r="P4164" s="165">
        <v>4.1647500000000004E-2</v>
      </c>
    </row>
    <row r="4165" spans="1:16">
      <c r="A4165" s="42" t="s">
        <v>78</v>
      </c>
      <c r="B4165" s="3"/>
      <c r="C4165" s="3">
        <v>19</v>
      </c>
      <c r="D4165" s="1"/>
      <c r="E4165" s="20" t="s">
        <v>17</v>
      </c>
      <c r="F4165" s="7" t="s">
        <v>15</v>
      </c>
      <c r="G4165" s="7" t="s">
        <v>27</v>
      </c>
      <c r="H4165" s="11">
        <v>6.17</v>
      </c>
      <c r="I4165" s="8">
        <v>6</v>
      </c>
      <c r="J4165" s="26">
        <v>1</v>
      </c>
      <c r="K4165" s="10">
        <v>3.7019999999999997E-2</v>
      </c>
      <c r="L4165" s="4"/>
      <c r="M4165" s="17"/>
      <c r="N4165" s="18">
        <v>0</v>
      </c>
      <c r="O4165" s="310">
        <v>1</v>
      </c>
      <c r="P4165" s="165">
        <v>3.7019999999999997E-2</v>
      </c>
    </row>
    <row r="4166" spans="1:16">
      <c r="A4166" s="42" t="s">
        <v>90</v>
      </c>
      <c r="B4166" s="48" t="s">
        <v>148</v>
      </c>
      <c r="C4166" s="32">
        <v>37</v>
      </c>
      <c r="D4166" s="32"/>
      <c r="E4166" s="48" t="s">
        <v>17</v>
      </c>
      <c r="F4166" s="48" t="s">
        <v>15</v>
      </c>
      <c r="G4166" s="48" t="s">
        <v>27</v>
      </c>
      <c r="H4166" s="11">
        <v>6.17</v>
      </c>
      <c r="I4166" s="52">
        <v>6.65</v>
      </c>
      <c r="J4166" s="7">
        <v>1</v>
      </c>
      <c r="K4166" s="10">
        <v>4.1030500000000004E-2</v>
      </c>
      <c r="L4166" s="32"/>
      <c r="M4166" s="32"/>
      <c r="N4166" s="18">
        <v>0</v>
      </c>
      <c r="O4166" s="310">
        <v>1</v>
      </c>
      <c r="P4166" s="165">
        <v>4.1030500000000004E-2</v>
      </c>
    </row>
    <row r="4167" spans="1:16">
      <c r="A4167" s="42" t="s">
        <v>90</v>
      </c>
      <c r="B4167" s="48" t="s">
        <v>148</v>
      </c>
      <c r="C4167" s="32">
        <v>37</v>
      </c>
      <c r="D4167" s="32"/>
      <c r="E4167" s="48" t="s">
        <v>17</v>
      </c>
      <c r="F4167" s="48" t="s">
        <v>15</v>
      </c>
      <c r="G4167" s="48" t="s">
        <v>27</v>
      </c>
      <c r="H4167" s="11">
        <v>6.17</v>
      </c>
      <c r="I4167" s="52">
        <v>11</v>
      </c>
      <c r="J4167" s="7">
        <v>1</v>
      </c>
      <c r="K4167" s="10">
        <v>6.787E-2</v>
      </c>
      <c r="L4167" s="32"/>
      <c r="M4167" s="32"/>
      <c r="N4167" s="18">
        <v>0</v>
      </c>
      <c r="O4167" s="310">
        <v>1</v>
      </c>
      <c r="P4167" s="165">
        <v>6.787E-2</v>
      </c>
    </row>
    <row r="4168" spans="1:16">
      <c r="A4168" s="47" t="s">
        <v>147</v>
      </c>
      <c r="B4168" s="48" t="s">
        <v>148</v>
      </c>
      <c r="C4168" s="32">
        <v>274</v>
      </c>
      <c r="D4168" s="32"/>
      <c r="E4168" s="48" t="s">
        <v>17</v>
      </c>
      <c r="F4168" s="48" t="s">
        <v>160</v>
      </c>
      <c r="G4168" s="48" t="s">
        <v>27</v>
      </c>
      <c r="H4168" s="11">
        <v>6.17</v>
      </c>
      <c r="I4168" s="8">
        <v>7.6</v>
      </c>
      <c r="J4168" s="7">
        <v>1</v>
      </c>
      <c r="K4168" s="10">
        <v>4.6891999999999996E-2</v>
      </c>
      <c r="L4168" s="32"/>
      <c r="M4168" s="32"/>
      <c r="N4168" s="18">
        <v>0</v>
      </c>
      <c r="O4168" s="310">
        <v>1</v>
      </c>
      <c r="P4168" s="165">
        <v>4.6891999999999996E-2</v>
      </c>
    </row>
    <row r="4169" spans="1:16">
      <c r="A4169" s="47" t="s">
        <v>147</v>
      </c>
      <c r="B4169" s="48" t="s">
        <v>148</v>
      </c>
      <c r="C4169" s="32">
        <v>274</v>
      </c>
      <c r="D4169" s="32"/>
      <c r="E4169" s="48" t="s">
        <v>17</v>
      </c>
      <c r="F4169" s="48" t="s">
        <v>160</v>
      </c>
      <c r="G4169" s="48" t="s">
        <v>27</v>
      </c>
      <c r="H4169" s="11">
        <v>6.17</v>
      </c>
      <c r="I4169" s="8">
        <v>9.9</v>
      </c>
      <c r="J4169" s="7">
        <v>1</v>
      </c>
      <c r="K4169" s="10">
        <v>6.1082999999999998E-2</v>
      </c>
      <c r="L4169" s="32"/>
      <c r="M4169" s="32"/>
      <c r="N4169" s="18">
        <v>0</v>
      </c>
      <c r="O4169" s="310">
        <v>1</v>
      </c>
      <c r="P4169" s="165">
        <v>6.1082999999999998E-2</v>
      </c>
    </row>
    <row r="4170" spans="1:16">
      <c r="A4170" s="47" t="s">
        <v>147</v>
      </c>
      <c r="B4170" s="48" t="s">
        <v>148</v>
      </c>
      <c r="C4170" s="32">
        <v>274</v>
      </c>
      <c r="D4170" s="32"/>
      <c r="E4170" s="48" t="s">
        <v>17</v>
      </c>
      <c r="F4170" s="48" t="s">
        <v>160</v>
      </c>
      <c r="G4170" s="48" t="s">
        <v>27</v>
      </c>
      <c r="H4170" s="11">
        <v>6.17</v>
      </c>
      <c r="I4170" s="8">
        <v>9.6</v>
      </c>
      <c r="J4170" s="7">
        <v>1</v>
      </c>
      <c r="K4170" s="10">
        <v>5.9232E-2</v>
      </c>
      <c r="L4170" s="32"/>
      <c r="M4170" s="32"/>
      <c r="N4170" s="18">
        <v>0</v>
      </c>
      <c r="O4170" s="310">
        <v>1</v>
      </c>
      <c r="P4170" s="165">
        <v>5.9232E-2</v>
      </c>
    </row>
    <row r="4174" spans="1:16">
      <c r="B4174" s="110" t="s">
        <v>303</v>
      </c>
      <c r="C4174" s="111" t="s">
        <v>232</v>
      </c>
      <c r="D4174" s="112" t="s">
        <v>228</v>
      </c>
      <c r="E4174" s="113" t="s">
        <v>17</v>
      </c>
      <c r="F4174" s="175" t="s">
        <v>15</v>
      </c>
      <c r="G4174" s="175" t="s">
        <v>44</v>
      </c>
      <c r="H4174" s="176">
        <v>13.4</v>
      </c>
      <c r="I4174" s="177">
        <v>7.5</v>
      </c>
      <c r="J4174" s="178">
        <f>24+11</f>
        <v>35</v>
      </c>
      <c r="K4174" s="174">
        <f t="shared" ref="K4174:K4190" si="502">(H4174*I4174*J4174/1000)</f>
        <v>3.5175000000000001</v>
      </c>
      <c r="L4174" s="118"/>
      <c r="M4174" s="111">
        <f>24+3+8</f>
        <v>35</v>
      </c>
      <c r="N4174" s="117">
        <f t="shared" ref="N4174:N4190" si="503">I4174*M4174*H4174/1000</f>
        <v>3.5175000000000001</v>
      </c>
      <c r="O4174" s="119">
        <f t="shared" ref="O4174:O4190" si="504">J4174-M4174</f>
        <v>0</v>
      </c>
      <c r="P4174" s="120">
        <f t="shared" ref="P4174:P4190" si="505">I4174*O4174*H4174/1000</f>
        <v>0</v>
      </c>
    </row>
    <row r="4175" spans="1:16">
      <c r="B4175" s="110" t="s">
        <v>303</v>
      </c>
      <c r="C4175" s="111" t="s">
        <v>232</v>
      </c>
      <c r="D4175" s="112" t="s">
        <v>228</v>
      </c>
      <c r="E4175" s="113" t="s">
        <v>17</v>
      </c>
      <c r="F4175" s="175" t="s">
        <v>15</v>
      </c>
      <c r="G4175" s="175" t="s">
        <v>44</v>
      </c>
      <c r="H4175" s="176">
        <v>13.4</v>
      </c>
      <c r="I4175" s="177">
        <v>10.5</v>
      </c>
      <c r="J4175" s="178">
        <f>22+19</f>
        <v>41</v>
      </c>
      <c r="K4175" s="174">
        <f t="shared" si="502"/>
        <v>5.7687000000000008</v>
      </c>
      <c r="L4175" s="118"/>
      <c r="M4175" s="111">
        <v>41</v>
      </c>
      <c r="N4175" s="117">
        <f t="shared" si="503"/>
        <v>5.7686999999999999</v>
      </c>
      <c r="O4175" s="119">
        <f t="shared" si="504"/>
        <v>0</v>
      </c>
      <c r="P4175" s="120">
        <f t="shared" si="505"/>
        <v>0</v>
      </c>
    </row>
    <row r="4176" spans="1:16">
      <c r="B4176" s="110" t="s">
        <v>303</v>
      </c>
      <c r="C4176" s="111" t="s">
        <v>232</v>
      </c>
      <c r="D4176" s="112" t="s">
        <v>228</v>
      </c>
      <c r="E4176" s="113" t="s">
        <v>17</v>
      </c>
      <c r="F4176" s="175" t="s">
        <v>15</v>
      </c>
      <c r="G4176" s="175" t="s">
        <v>44</v>
      </c>
      <c r="H4176" s="176">
        <v>13.4</v>
      </c>
      <c r="I4176" s="177">
        <v>12</v>
      </c>
      <c r="J4176" s="178">
        <v>14</v>
      </c>
      <c r="K4176" s="174">
        <f t="shared" si="502"/>
        <v>2.2512000000000003</v>
      </c>
      <c r="L4176" s="118"/>
      <c r="M4176" s="111">
        <f>9+4</f>
        <v>13</v>
      </c>
      <c r="N4176" s="117">
        <f t="shared" si="503"/>
        <v>2.0904000000000003</v>
      </c>
      <c r="O4176" s="143">
        <f t="shared" si="504"/>
        <v>1</v>
      </c>
      <c r="P4176" s="144">
        <f t="shared" si="505"/>
        <v>0.1608</v>
      </c>
    </row>
    <row r="4177" spans="2:16">
      <c r="B4177" s="110" t="s">
        <v>303</v>
      </c>
      <c r="C4177" s="111" t="s">
        <v>232</v>
      </c>
      <c r="D4177" s="112" t="s">
        <v>228</v>
      </c>
      <c r="E4177" s="113" t="s">
        <v>17</v>
      </c>
      <c r="F4177" s="175" t="s">
        <v>15</v>
      </c>
      <c r="G4177" s="175" t="s">
        <v>44</v>
      </c>
      <c r="H4177" s="176">
        <v>13.4</v>
      </c>
      <c r="I4177" s="177">
        <v>7.8</v>
      </c>
      <c r="J4177" s="178">
        <v>14</v>
      </c>
      <c r="K4177" s="174">
        <f t="shared" si="502"/>
        <v>1.4632799999999999</v>
      </c>
      <c r="L4177" s="118"/>
      <c r="M4177" s="111">
        <f>4+10</f>
        <v>14</v>
      </c>
      <c r="N4177" s="117">
        <f t="shared" si="503"/>
        <v>1.4632799999999999</v>
      </c>
      <c r="O4177" s="143">
        <f t="shared" si="504"/>
        <v>0</v>
      </c>
      <c r="P4177" s="144">
        <f t="shared" si="505"/>
        <v>0</v>
      </c>
    </row>
    <row r="4178" spans="2:16">
      <c r="B4178" s="110" t="s">
        <v>303</v>
      </c>
      <c r="C4178" s="111" t="s">
        <v>232</v>
      </c>
      <c r="D4178" s="112" t="s">
        <v>228</v>
      </c>
      <c r="E4178" s="113" t="s">
        <v>17</v>
      </c>
      <c r="F4178" s="175" t="s">
        <v>15</v>
      </c>
      <c r="G4178" s="175" t="s">
        <v>44</v>
      </c>
      <c r="H4178" s="176">
        <v>13.4</v>
      </c>
      <c r="I4178" s="177">
        <v>8.6</v>
      </c>
      <c r="J4178" s="178">
        <v>7</v>
      </c>
      <c r="K4178" s="174">
        <f t="shared" si="502"/>
        <v>0.80667999999999995</v>
      </c>
      <c r="L4178" s="118"/>
      <c r="M4178" s="111">
        <v>7</v>
      </c>
      <c r="N4178" s="117">
        <f t="shared" si="503"/>
        <v>0.80667999999999995</v>
      </c>
      <c r="O4178" s="143">
        <f t="shared" si="504"/>
        <v>0</v>
      </c>
      <c r="P4178" s="144">
        <f t="shared" si="505"/>
        <v>0</v>
      </c>
    </row>
    <row r="4179" spans="2:16">
      <c r="B4179" s="110" t="s">
        <v>303</v>
      </c>
      <c r="C4179" s="111" t="s">
        <v>232</v>
      </c>
      <c r="D4179" s="112" t="s">
        <v>228</v>
      </c>
      <c r="E4179" s="113" t="s">
        <v>17</v>
      </c>
      <c r="F4179" s="175" t="s">
        <v>15</v>
      </c>
      <c r="G4179" s="175" t="s">
        <v>44</v>
      </c>
      <c r="H4179" s="176">
        <v>13.4</v>
      </c>
      <c r="I4179" s="177">
        <v>11.8</v>
      </c>
      <c r="J4179" s="178">
        <v>11</v>
      </c>
      <c r="K4179" s="174">
        <f t="shared" si="502"/>
        <v>1.7393200000000002</v>
      </c>
      <c r="L4179" s="118"/>
      <c r="M4179" s="111">
        <v>11</v>
      </c>
      <c r="N4179" s="117">
        <f t="shared" si="503"/>
        <v>1.7393200000000002</v>
      </c>
      <c r="O4179" s="143">
        <f t="shared" si="504"/>
        <v>0</v>
      </c>
      <c r="P4179" s="144">
        <f t="shared" si="505"/>
        <v>0</v>
      </c>
    </row>
    <row r="4180" spans="2:16">
      <c r="B4180" s="110" t="s">
        <v>303</v>
      </c>
      <c r="C4180" s="111" t="s">
        <v>232</v>
      </c>
      <c r="D4180" s="112" t="s">
        <v>228</v>
      </c>
      <c r="E4180" s="113" t="s">
        <v>17</v>
      </c>
      <c r="F4180" s="175" t="s">
        <v>15</v>
      </c>
      <c r="G4180" s="175" t="s">
        <v>44</v>
      </c>
      <c r="H4180" s="176">
        <v>13.4</v>
      </c>
      <c r="I4180" s="177">
        <v>11.9</v>
      </c>
      <c r="J4180" s="178">
        <v>14</v>
      </c>
      <c r="K4180" s="174">
        <f t="shared" si="502"/>
        <v>2.23244</v>
      </c>
      <c r="L4180" s="118"/>
      <c r="M4180" s="111">
        <v>14</v>
      </c>
      <c r="N4180" s="117">
        <f t="shared" si="503"/>
        <v>2.23244</v>
      </c>
      <c r="O4180" s="143">
        <f t="shared" si="504"/>
        <v>0</v>
      </c>
      <c r="P4180" s="144">
        <f t="shared" si="505"/>
        <v>0</v>
      </c>
    </row>
    <row r="4181" spans="2:16">
      <c r="B4181" s="110" t="s">
        <v>303</v>
      </c>
      <c r="C4181" s="111" t="s">
        <v>232</v>
      </c>
      <c r="D4181" s="112" t="s">
        <v>228</v>
      </c>
      <c r="E4181" s="113" t="s">
        <v>17</v>
      </c>
      <c r="F4181" s="175" t="s">
        <v>15</v>
      </c>
      <c r="G4181" s="175" t="s">
        <v>44</v>
      </c>
      <c r="H4181" s="176">
        <v>13.4</v>
      </c>
      <c r="I4181" s="177">
        <v>10</v>
      </c>
      <c r="J4181" s="178">
        <v>3</v>
      </c>
      <c r="K4181" s="174">
        <f t="shared" si="502"/>
        <v>0.40200000000000002</v>
      </c>
      <c r="L4181" s="118"/>
      <c r="M4181" s="111">
        <f>2+1</f>
        <v>3</v>
      </c>
      <c r="N4181" s="117">
        <f t="shared" si="503"/>
        <v>0.40200000000000002</v>
      </c>
      <c r="O4181" s="143">
        <f t="shared" si="504"/>
        <v>0</v>
      </c>
      <c r="P4181" s="144">
        <f t="shared" si="505"/>
        <v>0</v>
      </c>
    </row>
    <row r="4182" spans="2:16">
      <c r="B4182" s="110" t="s">
        <v>303</v>
      </c>
      <c r="C4182" s="111" t="s">
        <v>232</v>
      </c>
      <c r="D4182" s="112" t="s">
        <v>228</v>
      </c>
      <c r="E4182" s="113" t="s">
        <v>17</v>
      </c>
      <c r="F4182" s="175" t="s">
        <v>15</v>
      </c>
      <c r="G4182" s="175" t="s">
        <v>44</v>
      </c>
      <c r="H4182" s="176">
        <v>13.4</v>
      </c>
      <c r="I4182" s="177">
        <v>12</v>
      </c>
      <c r="J4182" s="178">
        <v>2</v>
      </c>
      <c r="K4182" s="174">
        <f t="shared" si="502"/>
        <v>0.3216</v>
      </c>
      <c r="L4182" s="118"/>
      <c r="M4182" s="111"/>
      <c r="N4182" s="117">
        <f t="shared" si="503"/>
        <v>0</v>
      </c>
      <c r="O4182" s="143">
        <f t="shared" si="504"/>
        <v>2</v>
      </c>
      <c r="P4182" s="144">
        <f t="shared" si="505"/>
        <v>0.3216</v>
      </c>
    </row>
    <row r="4183" spans="2:16">
      <c r="B4183" s="110" t="s">
        <v>303</v>
      </c>
      <c r="C4183" s="111" t="s">
        <v>232</v>
      </c>
      <c r="D4183" s="112" t="s">
        <v>228</v>
      </c>
      <c r="E4183" s="113" t="s">
        <v>17</v>
      </c>
      <c r="F4183" s="175" t="s">
        <v>15</v>
      </c>
      <c r="G4183" s="175" t="s">
        <v>44</v>
      </c>
      <c r="H4183" s="176">
        <v>13.4</v>
      </c>
      <c r="I4183" s="177">
        <v>11.6</v>
      </c>
      <c r="J4183" s="178">
        <v>1</v>
      </c>
      <c r="K4183" s="174">
        <f t="shared" si="502"/>
        <v>0.15543999999999999</v>
      </c>
      <c r="L4183" s="118"/>
      <c r="M4183" s="111">
        <v>1</v>
      </c>
      <c r="N4183" s="117">
        <f t="shared" si="503"/>
        <v>0.15543999999999999</v>
      </c>
      <c r="O4183" s="143">
        <f t="shared" si="504"/>
        <v>0</v>
      </c>
      <c r="P4183" s="144">
        <f t="shared" si="505"/>
        <v>0</v>
      </c>
    </row>
    <row r="4184" spans="2:16">
      <c r="B4184" s="110" t="s">
        <v>303</v>
      </c>
      <c r="C4184" s="111" t="s">
        <v>232</v>
      </c>
      <c r="D4184" s="112" t="s">
        <v>228</v>
      </c>
      <c r="E4184" s="113" t="s">
        <v>17</v>
      </c>
      <c r="F4184" s="175" t="s">
        <v>15</v>
      </c>
      <c r="G4184" s="175" t="s">
        <v>44</v>
      </c>
      <c r="H4184" s="176">
        <v>13.4</v>
      </c>
      <c r="I4184" s="177">
        <v>11.5</v>
      </c>
      <c r="J4184" s="178">
        <v>1</v>
      </c>
      <c r="K4184" s="174">
        <f t="shared" si="502"/>
        <v>0.15409999999999999</v>
      </c>
      <c r="L4184" s="118"/>
      <c r="M4184" s="111">
        <v>1</v>
      </c>
      <c r="N4184" s="117">
        <f t="shared" si="503"/>
        <v>0.15409999999999999</v>
      </c>
      <c r="O4184" s="143">
        <f t="shared" si="504"/>
        <v>0</v>
      </c>
      <c r="P4184" s="144">
        <f t="shared" si="505"/>
        <v>0</v>
      </c>
    </row>
    <row r="4185" spans="2:16">
      <c r="B4185" s="110" t="s">
        <v>303</v>
      </c>
      <c r="C4185" s="111" t="s">
        <v>232</v>
      </c>
      <c r="D4185" s="112" t="s">
        <v>228</v>
      </c>
      <c r="E4185" s="113" t="s">
        <v>17</v>
      </c>
      <c r="F4185" s="175" t="s">
        <v>15</v>
      </c>
      <c r="G4185" s="175" t="s">
        <v>44</v>
      </c>
      <c r="H4185" s="176">
        <v>13.4</v>
      </c>
      <c r="I4185" s="177">
        <v>10.5</v>
      </c>
      <c r="J4185" s="178">
        <v>2</v>
      </c>
      <c r="K4185" s="174">
        <f t="shared" si="502"/>
        <v>0.28140000000000004</v>
      </c>
      <c r="L4185" s="118"/>
      <c r="M4185" s="111">
        <v>1</v>
      </c>
      <c r="N4185" s="117">
        <f t="shared" si="503"/>
        <v>0.14070000000000002</v>
      </c>
      <c r="O4185" s="143">
        <f t="shared" si="504"/>
        <v>1</v>
      </c>
      <c r="P4185" s="144">
        <f t="shared" si="505"/>
        <v>0.14070000000000002</v>
      </c>
    </row>
    <row r="4186" spans="2:16">
      <c r="B4186" s="110" t="s">
        <v>303</v>
      </c>
      <c r="C4186" s="111" t="s">
        <v>232</v>
      </c>
      <c r="D4186" s="112" t="s">
        <v>228</v>
      </c>
      <c r="E4186" s="113" t="s">
        <v>17</v>
      </c>
      <c r="F4186" s="175" t="s">
        <v>15</v>
      </c>
      <c r="G4186" s="175" t="s">
        <v>44</v>
      </c>
      <c r="H4186" s="176">
        <v>13.4</v>
      </c>
      <c r="I4186" s="177">
        <v>10.4</v>
      </c>
      <c r="J4186" s="178">
        <v>1</v>
      </c>
      <c r="K4186" s="174">
        <f t="shared" si="502"/>
        <v>0.13936000000000001</v>
      </c>
      <c r="L4186" s="118"/>
      <c r="M4186" s="111">
        <v>1</v>
      </c>
      <c r="N4186" s="117">
        <f t="shared" si="503"/>
        <v>0.13936000000000001</v>
      </c>
      <c r="O4186" s="143">
        <f t="shared" si="504"/>
        <v>0</v>
      </c>
      <c r="P4186" s="144">
        <f t="shared" si="505"/>
        <v>0</v>
      </c>
    </row>
    <row r="4187" spans="2:16">
      <c r="B4187" s="110" t="s">
        <v>303</v>
      </c>
      <c r="C4187" s="111" t="s">
        <v>232</v>
      </c>
      <c r="D4187" s="112" t="s">
        <v>228</v>
      </c>
      <c r="E4187" s="113" t="s">
        <v>17</v>
      </c>
      <c r="F4187" s="175" t="s">
        <v>15</v>
      </c>
      <c r="G4187" s="175" t="s">
        <v>44</v>
      </c>
      <c r="H4187" s="176">
        <v>13.4</v>
      </c>
      <c r="I4187" s="177">
        <v>6.9</v>
      </c>
      <c r="J4187" s="178">
        <v>1</v>
      </c>
      <c r="K4187" s="174">
        <f t="shared" si="502"/>
        <v>9.2460000000000014E-2</v>
      </c>
      <c r="L4187" s="118"/>
      <c r="M4187" s="111">
        <v>1</v>
      </c>
      <c r="N4187" s="117">
        <f t="shared" si="503"/>
        <v>9.2460000000000014E-2</v>
      </c>
      <c r="O4187" s="143">
        <f t="shared" si="504"/>
        <v>0</v>
      </c>
      <c r="P4187" s="144">
        <f t="shared" si="505"/>
        <v>0</v>
      </c>
    </row>
    <row r="4188" spans="2:16">
      <c r="B4188" s="110" t="s">
        <v>303</v>
      </c>
      <c r="C4188" s="111" t="s">
        <v>232</v>
      </c>
      <c r="D4188" s="112" t="s">
        <v>228</v>
      </c>
      <c r="E4188" s="113" t="s">
        <v>17</v>
      </c>
      <c r="F4188" s="175" t="s">
        <v>15</v>
      </c>
      <c r="G4188" s="175" t="s">
        <v>44</v>
      </c>
      <c r="H4188" s="176">
        <v>13.4</v>
      </c>
      <c r="I4188" s="177">
        <v>6.5</v>
      </c>
      <c r="J4188" s="178">
        <v>1</v>
      </c>
      <c r="K4188" s="174">
        <f t="shared" si="502"/>
        <v>8.7100000000000011E-2</v>
      </c>
      <c r="L4188" s="118"/>
      <c r="M4188" s="111">
        <v>1</v>
      </c>
      <c r="N4188" s="117">
        <f t="shared" si="503"/>
        <v>8.7100000000000011E-2</v>
      </c>
      <c r="O4188" s="143">
        <f t="shared" si="504"/>
        <v>0</v>
      </c>
      <c r="P4188" s="144">
        <f t="shared" si="505"/>
        <v>0</v>
      </c>
    </row>
    <row r="4189" spans="2:16">
      <c r="B4189" s="110" t="s">
        <v>303</v>
      </c>
      <c r="C4189" s="111" t="s">
        <v>232</v>
      </c>
      <c r="D4189" s="112" t="s">
        <v>228</v>
      </c>
      <c r="E4189" s="113" t="s">
        <v>17</v>
      </c>
      <c r="F4189" s="175" t="s">
        <v>15</v>
      </c>
      <c r="G4189" s="175" t="s">
        <v>44</v>
      </c>
      <c r="H4189" s="176">
        <v>13.4</v>
      </c>
      <c r="I4189" s="177">
        <v>7.2</v>
      </c>
      <c r="J4189" s="178">
        <v>1</v>
      </c>
      <c r="K4189" s="174">
        <f t="shared" si="502"/>
        <v>9.648000000000001E-2</v>
      </c>
      <c r="L4189" s="118"/>
      <c r="M4189" s="111"/>
      <c r="N4189" s="117">
        <f t="shared" si="503"/>
        <v>0</v>
      </c>
      <c r="O4189" s="143">
        <f t="shared" si="504"/>
        <v>1</v>
      </c>
      <c r="P4189" s="144">
        <f t="shared" si="505"/>
        <v>9.648000000000001E-2</v>
      </c>
    </row>
    <row r="4190" spans="2:16">
      <c r="B4190" s="110" t="s">
        <v>303</v>
      </c>
      <c r="C4190" s="111" t="s">
        <v>232</v>
      </c>
      <c r="D4190" s="112" t="s">
        <v>228</v>
      </c>
      <c r="E4190" s="113" t="s">
        <v>17</v>
      </c>
      <c r="F4190" s="175" t="s">
        <v>15</v>
      </c>
      <c r="G4190" s="175" t="s">
        <v>44</v>
      </c>
      <c r="H4190" s="176">
        <v>13.4</v>
      </c>
      <c r="I4190" s="177">
        <v>7.2</v>
      </c>
      <c r="J4190" s="178">
        <v>1</v>
      </c>
      <c r="K4190" s="174">
        <f t="shared" si="502"/>
        <v>9.648000000000001E-2</v>
      </c>
      <c r="L4190" s="118"/>
      <c r="M4190" s="111"/>
      <c r="N4190" s="117">
        <f t="shared" si="503"/>
        <v>0</v>
      </c>
      <c r="O4190" s="143">
        <f t="shared" si="504"/>
        <v>1</v>
      </c>
      <c r="P4190" s="144">
        <f t="shared" si="505"/>
        <v>9.648000000000001E-2</v>
      </c>
    </row>
    <row r="4191" spans="2:16">
      <c r="B4191" s="213"/>
      <c r="C4191" s="213"/>
      <c r="D4191" s="213"/>
      <c r="E4191" s="213"/>
      <c r="F4191" s="213"/>
      <c r="G4191" s="213"/>
      <c r="H4191" s="213"/>
      <c r="I4191" s="213"/>
      <c r="J4191" s="78">
        <f>SUM(J4174:J4190)</f>
        <v>150</v>
      </c>
      <c r="K4191" s="214">
        <f>SUM(K4174:K4190)</f>
        <v>19.605540000000001</v>
      </c>
      <c r="L4191" s="213"/>
      <c r="M4191" s="78">
        <f>SUM(M4174:M4190)</f>
        <v>144</v>
      </c>
      <c r="N4191" s="128">
        <f>SUM(N4174:N4190)</f>
        <v>18.789479999999998</v>
      </c>
      <c r="O4191" s="459">
        <f>SUM(O4174:O4190)</f>
        <v>6</v>
      </c>
      <c r="P4191" s="460">
        <f>SUM(P4174:P4190)</f>
        <v>0.81606000000000001</v>
      </c>
    </row>
    <row r="4193" spans="2:16">
      <c r="B4193" s="110" t="s">
        <v>549</v>
      </c>
      <c r="C4193" s="111" t="s">
        <v>505</v>
      </c>
      <c r="D4193" s="112" t="s">
        <v>449</v>
      </c>
      <c r="E4193" s="113" t="s">
        <v>17</v>
      </c>
      <c r="F4193" s="175" t="s">
        <v>15</v>
      </c>
      <c r="G4193" s="175" t="s">
        <v>44</v>
      </c>
      <c r="H4193" s="176">
        <v>13.4</v>
      </c>
      <c r="I4193" s="177">
        <v>10</v>
      </c>
      <c r="J4193" s="178">
        <v>16</v>
      </c>
      <c r="K4193" s="174">
        <f t="shared" ref="K4193:K4213" si="506">(H4193*I4193*J4193/1000)</f>
        <v>2.1440000000000001</v>
      </c>
      <c r="L4193" s="118"/>
      <c r="M4193" s="178">
        <v>16</v>
      </c>
      <c r="N4193" s="117">
        <f t="shared" ref="N4193:N4213" si="507">I4193*M4193*H4193/1000</f>
        <v>2.1440000000000001</v>
      </c>
      <c r="O4193" s="119">
        <f t="shared" ref="O4193:O4213" si="508">J4193-M4193</f>
        <v>0</v>
      </c>
      <c r="P4193" s="120">
        <f t="shared" ref="P4193:P4213" si="509">I4193*O4193*H4193/1000</f>
        <v>0</v>
      </c>
    </row>
    <row r="4194" spans="2:16">
      <c r="B4194" s="110" t="s">
        <v>549</v>
      </c>
      <c r="C4194" s="111" t="s">
        <v>505</v>
      </c>
      <c r="D4194" s="112" t="s">
        <v>449</v>
      </c>
      <c r="E4194" s="113" t="s">
        <v>17</v>
      </c>
      <c r="F4194" s="175" t="s">
        <v>15</v>
      </c>
      <c r="G4194" s="175" t="s">
        <v>44</v>
      </c>
      <c r="H4194" s="176">
        <v>13.4</v>
      </c>
      <c r="I4194" s="177">
        <v>10.5</v>
      </c>
      <c r="J4194" s="178">
        <v>17</v>
      </c>
      <c r="K4194" s="174">
        <f t="shared" si="506"/>
        <v>2.3919000000000001</v>
      </c>
      <c r="L4194" s="118"/>
      <c r="M4194" s="178">
        <v>17</v>
      </c>
      <c r="N4194" s="117">
        <f t="shared" si="507"/>
        <v>2.3919000000000001</v>
      </c>
      <c r="O4194" s="119">
        <f t="shared" si="508"/>
        <v>0</v>
      </c>
      <c r="P4194" s="120">
        <f t="shared" si="509"/>
        <v>0</v>
      </c>
    </row>
    <row r="4195" spans="2:16">
      <c r="B4195" s="110" t="s">
        <v>549</v>
      </c>
      <c r="C4195" s="111" t="s">
        <v>505</v>
      </c>
      <c r="D4195" s="112" t="s">
        <v>449</v>
      </c>
      <c r="E4195" s="113" t="s">
        <v>17</v>
      </c>
      <c r="F4195" s="175" t="s">
        <v>15</v>
      </c>
      <c r="G4195" s="175" t="s">
        <v>44</v>
      </c>
      <c r="H4195" s="176">
        <v>13.4</v>
      </c>
      <c r="I4195" s="177">
        <v>11.5</v>
      </c>
      <c r="J4195" s="178">
        <v>20</v>
      </c>
      <c r="K4195" s="174">
        <f t="shared" si="506"/>
        <v>3.0819999999999999</v>
      </c>
      <c r="L4195" s="118"/>
      <c r="M4195" s="178">
        <v>20</v>
      </c>
      <c r="N4195" s="117">
        <f t="shared" si="507"/>
        <v>3.0819999999999999</v>
      </c>
      <c r="O4195" s="119">
        <f t="shared" si="508"/>
        <v>0</v>
      </c>
      <c r="P4195" s="120">
        <f t="shared" si="509"/>
        <v>0</v>
      </c>
    </row>
    <row r="4196" spans="2:16">
      <c r="B4196" s="110" t="s">
        <v>549</v>
      </c>
      <c r="C4196" s="111" t="s">
        <v>505</v>
      </c>
      <c r="D4196" s="112" t="s">
        <v>449</v>
      </c>
      <c r="E4196" s="113" t="s">
        <v>17</v>
      </c>
      <c r="F4196" s="175" t="s">
        <v>15</v>
      </c>
      <c r="G4196" s="175" t="s">
        <v>44</v>
      </c>
      <c r="H4196" s="176">
        <v>13.4</v>
      </c>
      <c r="I4196" s="177">
        <v>11.5</v>
      </c>
      <c r="J4196" s="178">
        <v>6</v>
      </c>
      <c r="K4196" s="174">
        <f t="shared" si="506"/>
        <v>0.92459999999999987</v>
      </c>
      <c r="L4196" s="118"/>
      <c r="M4196" s="178">
        <v>6</v>
      </c>
      <c r="N4196" s="117">
        <f t="shared" si="507"/>
        <v>0.92459999999999998</v>
      </c>
      <c r="O4196" s="119">
        <f t="shared" si="508"/>
        <v>0</v>
      </c>
      <c r="P4196" s="120">
        <f t="shared" si="509"/>
        <v>0</v>
      </c>
    </row>
    <row r="4197" spans="2:16">
      <c r="B4197" s="110" t="s">
        <v>549</v>
      </c>
      <c r="C4197" s="111" t="s">
        <v>505</v>
      </c>
      <c r="D4197" s="112" t="s">
        <v>449</v>
      </c>
      <c r="E4197" s="113" t="s">
        <v>17</v>
      </c>
      <c r="F4197" s="175" t="s">
        <v>15</v>
      </c>
      <c r="G4197" s="175" t="s">
        <v>44</v>
      </c>
      <c r="H4197" s="176">
        <v>13.4</v>
      </c>
      <c r="I4197" s="177">
        <v>12</v>
      </c>
      <c r="J4197" s="178">
        <v>9</v>
      </c>
      <c r="K4197" s="174">
        <f t="shared" si="506"/>
        <v>1.4472</v>
      </c>
      <c r="L4197" s="118"/>
      <c r="M4197" s="178">
        <v>9</v>
      </c>
      <c r="N4197" s="117">
        <f t="shared" si="507"/>
        <v>1.4472</v>
      </c>
      <c r="O4197" s="119">
        <f t="shared" si="508"/>
        <v>0</v>
      </c>
      <c r="P4197" s="120">
        <f t="shared" si="509"/>
        <v>0</v>
      </c>
    </row>
    <row r="4198" spans="2:16">
      <c r="B4198" s="110" t="s">
        <v>549</v>
      </c>
      <c r="C4198" s="111" t="s">
        <v>505</v>
      </c>
      <c r="D4198" s="112" t="s">
        <v>449</v>
      </c>
      <c r="E4198" s="113" t="s">
        <v>17</v>
      </c>
      <c r="F4198" s="175" t="s">
        <v>15</v>
      </c>
      <c r="G4198" s="175" t="s">
        <v>44</v>
      </c>
      <c r="H4198" s="176">
        <v>13.4</v>
      </c>
      <c r="I4198" s="177">
        <v>12</v>
      </c>
      <c r="J4198" s="178">
        <v>20</v>
      </c>
      <c r="K4198" s="174">
        <f t="shared" si="506"/>
        <v>3.2160000000000002</v>
      </c>
      <c r="L4198" s="118"/>
      <c r="M4198" s="178">
        <v>20</v>
      </c>
      <c r="N4198" s="117">
        <f t="shared" si="507"/>
        <v>3.2160000000000002</v>
      </c>
      <c r="O4198" s="119">
        <f t="shared" si="508"/>
        <v>0</v>
      </c>
      <c r="P4198" s="120">
        <f t="shared" si="509"/>
        <v>0</v>
      </c>
    </row>
    <row r="4199" spans="2:16">
      <c r="B4199" s="110" t="s">
        <v>549</v>
      </c>
      <c r="C4199" s="111" t="s">
        <v>505</v>
      </c>
      <c r="D4199" s="112" t="s">
        <v>449</v>
      </c>
      <c r="E4199" s="113" t="s">
        <v>17</v>
      </c>
      <c r="F4199" s="175" t="s">
        <v>15</v>
      </c>
      <c r="G4199" s="175" t="s">
        <v>44</v>
      </c>
      <c r="H4199" s="176">
        <v>13.4</v>
      </c>
      <c r="I4199" s="177">
        <v>12</v>
      </c>
      <c r="J4199" s="178">
        <v>20</v>
      </c>
      <c r="K4199" s="174">
        <f t="shared" si="506"/>
        <v>3.2160000000000002</v>
      </c>
      <c r="L4199" s="118"/>
      <c r="M4199" s="178">
        <v>20</v>
      </c>
      <c r="N4199" s="117">
        <f t="shared" si="507"/>
        <v>3.2160000000000002</v>
      </c>
      <c r="O4199" s="119">
        <f t="shared" si="508"/>
        <v>0</v>
      </c>
      <c r="P4199" s="120">
        <f t="shared" si="509"/>
        <v>0</v>
      </c>
    </row>
    <row r="4200" spans="2:16">
      <c r="B4200" s="110" t="s">
        <v>549</v>
      </c>
      <c r="C4200" s="111" t="s">
        <v>505</v>
      </c>
      <c r="D4200" s="112" t="s">
        <v>449</v>
      </c>
      <c r="E4200" s="113" t="s">
        <v>17</v>
      </c>
      <c r="F4200" s="175" t="s">
        <v>15</v>
      </c>
      <c r="G4200" s="175" t="s">
        <v>44</v>
      </c>
      <c r="H4200" s="176">
        <v>13.4</v>
      </c>
      <c r="I4200" s="177">
        <v>11.5</v>
      </c>
      <c r="J4200" s="178">
        <v>1</v>
      </c>
      <c r="K4200" s="174">
        <f t="shared" si="506"/>
        <v>0.15409999999999999</v>
      </c>
      <c r="L4200" s="118"/>
      <c r="M4200" s="178">
        <v>1</v>
      </c>
      <c r="N4200" s="117">
        <f t="shared" si="507"/>
        <v>0.15409999999999999</v>
      </c>
      <c r="O4200" s="119">
        <f t="shared" si="508"/>
        <v>0</v>
      </c>
      <c r="P4200" s="120">
        <f t="shared" si="509"/>
        <v>0</v>
      </c>
    </row>
    <row r="4201" spans="2:16">
      <c r="B4201" s="110" t="s">
        <v>549</v>
      </c>
      <c r="C4201" s="111" t="s">
        <v>505</v>
      </c>
      <c r="D4201" s="112" t="s">
        <v>449</v>
      </c>
      <c r="E4201" s="113" t="s">
        <v>17</v>
      </c>
      <c r="F4201" s="175" t="s">
        <v>15</v>
      </c>
      <c r="G4201" s="175" t="s">
        <v>44</v>
      </c>
      <c r="H4201" s="176">
        <v>13.4</v>
      </c>
      <c r="I4201" s="177">
        <v>6.9</v>
      </c>
      <c r="J4201" s="178">
        <v>1</v>
      </c>
      <c r="K4201" s="174">
        <f t="shared" si="506"/>
        <v>9.2460000000000014E-2</v>
      </c>
      <c r="L4201" s="118"/>
      <c r="M4201" s="178"/>
      <c r="N4201" s="117">
        <f t="shared" si="507"/>
        <v>0</v>
      </c>
      <c r="O4201" s="143">
        <f t="shared" si="508"/>
        <v>1</v>
      </c>
      <c r="P4201" s="144">
        <f t="shared" si="509"/>
        <v>9.2460000000000014E-2</v>
      </c>
    </row>
    <row r="4202" spans="2:16">
      <c r="B4202" s="110" t="s">
        <v>549</v>
      </c>
      <c r="C4202" s="111" t="s">
        <v>505</v>
      </c>
      <c r="D4202" s="112" t="s">
        <v>449</v>
      </c>
      <c r="E4202" s="113" t="s">
        <v>17</v>
      </c>
      <c r="F4202" s="175" t="s">
        <v>15</v>
      </c>
      <c r="G4202" s="175" t="s">
        <v>44</v>
      </c>
      <c r="H4202" s="176">
        <v>13.4</v>
      </c>
      <c r="I4202" s="177">
        <v>7.1</v>
      </c>
      <c r="J4202" s="178">
        <v>1</v>
      </c>
      <c r="K4202" s="174">
        <f t="shared" si="506"/>
        <v>9.5140000000000002E-2</v>
      </c>
      <c r="L4202" s="118"/>
      <c r="M4202" s="178"/>
      <c r="N4202" s="117">
        <f t="shared" si="507"/>
        <v>0</v>
      </c>
      <c r="O4202" s="143">
        <f t="shared" si="508"/>
        <v>1</v>
      </c>
      <c r="P4202" s="144">
        <f t="shared" si="509"/>
        <v>9.5140000000000002E-2</v>
      </c>
    </row>
    <row r="4203" spans="2:16">
      <c r="B4203" s="110" t="s">
        <v>549</v>
      </c>
      <c r="C4203" s="111" t="s">
        <v>505</v>
      </c>
      <c r="D4203" s="112" t="s">
        <v>449</v>
      </c>
      <c r="E4203" s="113" t="s">
        <v>17</v>
      </c>
      <c r="F4203" s="175" t="s">
        <v>15</v>
      </c>
      <c r="G4203" s="175" t="s">
        <v>44</v>
      </c>
      <c r="H4203" s="176">
        <v>13.4</v>
      </c>
      <c r="I4203" s="177">
        <v>11.5</v>
      </c>
      <c r="J4203" s="178">
        <v>20</v>
      </c>
      <c r="K4203" s="174">
        <f t="shared" si="506"/>
        <v>3.0819999999999999</v>
      </c>
      <c r="L4203" s="118"/>
      <c r="M4203" s="178">
        <v>20</v>
      </c>
      <c r="N4203" s="117">
        <f t="shared" si="507"/>
        <v>3.0819999999999999</v>
      </c>
      <c r="O4203" s="143">
        <f t="shared" si="508"/>
        <v>0</v>
      </c>
      <c r="P4203" s="144">
        <f t="shared" si="509"/>
        <v>0</v>
      </c>
    </row>
    <row r="4204" spans="2:16">
      <c r="B4204" s="110" t="s">
        <v>549</v>
      </c>
      <c r="C4204" s="111" t="s">
        <v>505</v>
      </c>
      <c r="D4204" s="112" t="s">
        <v>449</v>
      </c>
      <c r="E4204" s="113" t="s">
        <v>17</v>
      </c>
      <c r="F4204" s="175" t="s">
        <v>15</v>
      </c>
      <c r="G4204" s="175" t="s">
        <v>44</v>
      </c>
      <c r="H4204" s="176">
        <v>13.4</v>
      </c>
      <c r="I4204" s="177">
        <v>11.5</v>
      </c>
      <c r="J4204" s="178">
        <v>20</v>
      </c>
      <c r="K4204" s="174">
        <f t="shared" si="506"/>
        <v>3.0819999999999999</v>
      </c>
      <c r="L4204" s="118"/>
      <c r="M4204" s="178">
        <v>20</v>
      </c>
      <c r="N4204" s="117">
        <f t="shared" si="507"/>
        <v>3.0819999999999999</v>
      </c>
      <c r="O4204" s="143">
        <f t="shared" si="508"/>
        <v>0</v>
      </c>
      <c r="P4204" s="144">
        <f t="shared" si="509"/>
        <v>0</v>
      </c>
    </row>
    <row r="4205" spans="2:16">
      <c r="B4205" s="110" t="s">
        <v>549</v>
      </c>
      <c r="C4205" s="111" t="s">
        <v>505</v>
      </c>
      <c r="D4205" s="112" t="s">
        <v>449</v>
      </c>
      <c r="E4205" s="113" t="s">
        <v>17</v>
      </c>
      <c r="F4205" s="175" t="s">
        <v>15</v>
      </c>
      <c r="G4205" s="175" t="s">
        <v>44</v>
      </c>
      <c r="H4205" s="176">
        <v>13.4</v>
      </c>
      <c r="I4205" s="177">
        <v>10.5</v>
      </c>
      <c r="J4205" s="178">
        <v>21</v>
      </c>
      <c r="K4205" s="174">
        <f t="shared" si="506"/>
        <v>2.9547000000000003</v>
      </c>
      <c r="L4205" s="118"/>
      <c r="M4205" s="178">
        <v>21</v>
      </c>
      <c r="N4205" s="117">
        <f t="shared" si="507"/>
        <v>2.9547000000000003</v>
      </c>
      <c r="O4205" s="143">
        <f t="shared" si="508"/>
        <v>0</v>
      </c>
      <c r="P4205" s="144">
        <f t="shared" si="509"/>
        <v>0</v>
      </c>
    </row>
    <row r="4206" spans="2:16">
      <c r="B4206" s="110" t="s">
        <v>549</v>
      </c>
      <c r="C4206" s="111" t="s">
        <v>505</v>
      </c>
      <c r="D4206" s="112" t="s">
        <v>449</v>
      </c>
      <c r="E4206" s="113" t="s">
        <v>17</v>
      </c>
      <c r="F4206" s="175" t="s">
        <v>15</v>
      </c>
      <c r="G4206" s="175" t="s">
        <v>44</v>
      </c>
      <c r="H4206" s="176">
        <v>13.4</v>
      </c>
      <c r="I4206" s="177">
        <v>12</v>
      </c>
      <c r="J4206" s="178">
        <v>21</v>
      </c>
      <c r="K4206" s="174">
        <f t="shared" si="506"/>
        <v>3.3768000000000002</v>
      </c>
      <c r="L4206" s="118"/>
      <c r="M4206" s="178">
        <v>21</v>
      </c>
      <c r="N4206" s="117">
        <f t="shared" si="507"/>
        <v>3.3768000000000002</v>
      </c>
      <c r="O4206" s="143">
        <f t="shared" si="508"/>
        <v>0</v>
      </c>
      <c r="P4206" s="144">
        <f t="shared" si="509"/>
        <v>0</v>
      </c>
    </row>
    <row r="4207" spans="2:16">
      <c r="B4207" s="110" t="s">
        <v>549</v>
      </c>
      <c r="C4207" s="111" t="s">
        <v>505</v>
      </c>
      <c r="D4207" s="112" t="s">
        <v>449</v>
      </c>
      <c r="E4207" s="113" t="s">
        <v>17</v>
      </c>
      <c r="F4207" s="175" t="s">
        <v>15</v>
      </c>
      <c r="G4207" s="175" t="s">
        <v>44</v>
      </c>
      <c r="H4207" s="176">
        <v>13.4</v>
      </c>
      <c r="I4207" s="177">
        <v>12</v>
      </c>
      <c r="J4207" s="178">
        <v>2</v>
      </c>
      <c r="K4207" s="174">
        <f t="shared" si="506"/>
        <v>0.3216</v>
      </c>
      <c r="L4207" s="118"/>
      <c r="M4207" s="178">
        <v>2</v>
      </c>
      <c r="N4207" s="117">
        <f t="shared" si="507"/>
        <v>0.3216</v>
      </c>
      <c r="O4207" s="143">
        <f t="shared" si="508"/>
        <v>0</v>
      </c>
      <c r="P4207" s="144">
        <f t="shared" si="509"/>
        <v>0</v>
      </c>
    </row>
    <row r="4208" spans="2:16">
      <c r="B4208" s="110" t="s">
        <v>549</v>
      </c>
      <c r="C4208" s="111" t="s">
        <v>505</v>
      </c>
      <c r="D4208" s="112" t="s">
        <v>449</v>
      </c>
      <c r="E4208" s="113" t="s">
        <v>17</v>
      </c>
      <c r="F4208" s="175" t="s">
        <v>15</v>
      </c>
      <c r="G4208" s="175" t="s">
        <v>44</v>
      </c>
      <c r="H4208" s="176">
        <v>13.4</v>
      </c>
      <c r="I4208" s="177">
        <v>11.5</v>
      </c>
      <c r="J4208" s="178">
        <v>18</v>
      </c>
      <c r="K4208" s="174">
        <f t="shared" si="506"/>
        <v>2.7737999999999996</v>
      </c>
      <c r="L4208" s="118"/>
      <c r="M4208" s="178">
        <v>18</v>
      </c>
      <c r="N4208" s="117">
        <f t="shared" si="507"/>
        <v>2.7738</v>
      </c>
      <c r="O4208" s="143">
        <f t="shared" si="508"/>
        <v>0</v>
      </c>
      <c r="P4208" s="144">
        <f t="shared" si="509"/>
        <v>0</v>
      </c>
    </row>
    <row r="4209" spans="1:18">
      <c r="B4209" s="110" t="s">
        <v>549</v>
      </c>
      <c r="C4209" s="111" t="s">
        <v>505</v>
      </c>
      <c r="D4209" s="112" t="s">
        <v>449</v>
      </c>
      <c r="E4209" s="113" t="s">
        <v>17</v>
      </c>
      <c r="F4209" s="175" t="s">
        <v>15</v>
      </c>
      <c r="G4209" s="175" t="s">
        <v>44</v>
      </c>
      <c r="H4209" s="176">
        <v>13.4</v>
      </c>
      <c r="I4209" s="177">
        <v>10.5</v>
      </c>
      <c r="J4209" s="178">
        <v>13</v>
      </c>
      <c r="K4209" s="174">
        <f t="shared" si="506"/>
        <v>1.8291000000000002</v>
      </c>
      <c r="L4209" s="118"/>
      <c r="M4209" s="178">
        <v>10</v>
      </c>
      <c r="N4209" s="117">
        <f t="shared" si="507"/>
        <v>1.407</v>
      </c>
      <c r="O4209" s="143">
        <f t="shared" si="508"/>
        <v>3</v>
      </c>
      <c r="P4209" s="144">
        <f t="shared" si="509"/>
        <v>0.42210000000000003</v>
      </c>
    </row>
    <row r="4210" spans="1:18">
      <c r="B4210" s="110" t="s">
        <v>549</v>
      </c>
      <c r="C4210" s="111" t="s">
        <v>505</v>
      </c>
      <c r="D4210" s="112" t="s">
        <v>449</v>
      </c>
      <c r="E4210" s="113" t="s">
        <v>17</v>
      </c>
      <c r="F4210" s="175" t="s">
        <v>15</v>
      </c>
      <c r="G4210" s="175" t="s">
        <v>44</v>
      </c>
      <c r="H4210" s="176">
        <v>13.4</v>
      </c>
      <c r="I4210" s="177">
        <v>10</v>
      </c>
      <c r="J4210" s="178">
        <v>10</v>
      </c>
      <c r="K4210" s="174">
        <f t="shared" si="506"/>
        <v>1.34</v>
      </c>
      <c r="L4210" s="118"/>
      <c r="M4210" s="178">
        <v>9</v>
      </c>
      <c r="N4210" s="117">
        <f t="shared" si="507"/>
        <v>1.206</v>
      </c>
      <c r="O4210" s="143">
        <f t="shared" si="508"/>
        <v>1</v>
      </c>
      <c r="P4210" s="144">
        <f t="shared" si="509"/>
        <v>0.13400000000000001</v>
      </c>
    </row>
    <row r="4211" spans="1:18">
      <c r="B4211" s="110" t="s">
        <v>549</v>
      </c>
      <c r="C4211" s="111" t="s">
        <v>505</v>
      </c>
      <c r="D4211" s="112" t="s">
        <v>449</v>
      </c>
      <c r="E4211" s="113" t="s">
        <v>17</v>
      </c>
      <c r="F4211" s="175" t="s">
        <v>15</v>
      </c>
      <c r="G4211" s="175" t="s">
        <v>44</v>
      </c>
      <c r="H4211" s="176">
        <v>13.4</v>
      </c>
      <c r="I4211" s="179">
        <v>11.5</v>
      </c>
      <c r="J4211" s="416">
        <v>1</v>
      </c>
      <c r="K4211" s="174">
        <f t="shared" si="506"/>
        <v>0.15409999999999999</v>
      </c>
      <c r="L4211" s="118"/>
      <c r="M4211" s="178">
        <v>1</v>
      </c>
      <c r="N4211" s="117">
        <f t="shared" si="507"/>
        <v>0.15409999999999999</v>
      </c>
      <c r="O4211" s="143">
        <f t="shared" si="508"/>
        <v>0</v>
      </c>
      <c r="P4211" s="144">
        <f t="shared" si="509"/>
        <v>0</v>
      </c>
    </row>
    <row r="4212" spans="1:18">
      <c r="B4212" s="110" t="s">
        <v>549</v>
      </c>
      <c r="C4212" s="111" t="s">
        <v>505</v>
      </c>
      <c r="D4212" s="112" t="s">
        <v>449</v>
      </c>
      <c r="E4212" s="113" t="s">
        <v>17</v>
      </c>
      <c r="F4212" s="175" t="s">
        <v>15</v>
      </c>
      <c r="G4212" s="175" t="s">
        <v>44</v>
      </c>
      <c r="H4212" s="176">
        <v>13.4</v>
      </c>
      <c r="I4212" s="179">
        <v>11.3</v>
      </c>
      <c r="J4212" s="416">
        <v>1</v>
      </c>
      <c r="K4212" s="174">
        <f t="shared" si="506"/>
        <v>0.15142000000000003</v>
      </c>
      <c r="L4212" s="118"/>
      <c r="M4212" s="178"/>
      <c r="N4212" s="117">
        <f t="shared" si="507"/>
        <v>0</v>
      </c>
      <c r="O4212" s="143">
        <f t="shared" si="508"/>
        <v>1</v>
      </c>
      <c r="P4212" s="144">
        <f t="shared" si="509"/>
        <v>0.15142000000000003</v>
      </c>
    </row>
    <row r="4213" spans="1:18">
      <c r="B4213" s="110" t="s">
        <v>549</v>
      </c>
      <c r="C4213" s="111" t="s">
        <v>505</v>
      </c>
      <c r="D4213" s="112" t="s">
        <v>449</v>
      </c>
      <c r="E4213" s="113" t="s">
        <v>17</v>
      </c>
      <c r="F4213" s="175" t="s">
        <v>15</v>
      </c>
      <c r="G4213" s="175" t="s">
        <v>44</v>
      </c>
      <c r="H4213" s="176">
        <v>13.4</v>
      </c>
      <c r="I4213" s="179">
        <v>9.8000000000000007</v>
      </c>
      <c r="J4213" s="416">
        <v>1</v>
      </c>
      <c r="K4213" s="174">
        <f t="shared" si="506"/>
        <v>0.13132000000000002</v>
      </c>
      <c r="L4213" s="118"/>
      <c r="M4213" s="178"/>
      <c r="N4213" s="117">
        <f t="shared" si="507"/>
        <v>0</v>
      </c>
      <c r="O4213" s="143">
        <f t="shared" si="508"/>
        <v>1</v>
      </c>
      <c r="P4213" s="144">
        <f t="shared" si="509"/>
        <v>0.13132000000000002</v>
      </c>
    </row>
    <row r="4214" spans="1:18">
      <c r="B4214" s="213"/>
      <c r="C4214" s="213"/>
      <c r="D4214" s="213"/>
      <c r="E4214" s="213"/>
      <c r="F4214" s="213"/>
      <c r="G4214" s="213"/>
      <c r="H4214" s="213"/>
      <c r="I4214" s="213"/>
      <c r="J4214" s="215">
        <f>SUM(J4193:J4213)</f>
        <v>239</v>
      </c>
      <c r="K4214" s="214">
        <f>SUM(K4193:K4213)</f>
        <v>35.960240000000006</v>
      </c>
      <c r="L4214" s="213"/>
      <c r="M4214" s="215">
        <f>SUM(M4193:M4213)</f>
        <v>231</v>
      </c>
      <c r="N4214" s="214">
        <f>SUM(N4193:N4213)</f>
        <v>34.933800000000005</v>
      </c>
      <c r="O4214" s="461">
        <f>SUM(O4193:O4213)</f>
        <v>8</v>
      </c>
      <c r="P4214" s="462">
        <f>SUM(P4193:P4213)</f>
        <v>1.02644</v>
      </c>
    </row>
    <row r="4219" spans="1:18">
      <c r="A4219" s="42" t="s">
        <v>84</v>
      </c>
      <c r="B4219" s="3" t="s">
        <v>122</v>
      </c>
      <c r="C4219" s="3">
        <v>1</v>
      </c>
      <c r="D4219" s="1"/>
      <c r="E4219" s="20" t="s">
        <v>63</v>
      </c>
      <c r="F4219" s="7" t="s">
        <v>15</v>
      </c>
      <c r="G4219" s="7" t="s">
        <v>18</v>
      </c>
      <c r="H4219" s="11">
        <v>6.86</v>
      </c>
      <c r="I4219" s="8">
        <v>9.5</v>
      </c>
      <c r="J4219" s="26">
        <v>3</v>
      </c>
      <c r="K4219" s="10">
        <f t="shared" ref="K4219:K4223" si="510">(H4219*I4219*J4219/1000)</f>
        <v>0.19550999999999999</v>
      </c>
      <c r="L4219" s="4"/>
      <c r="M4219" s="17"/>
      <c r="N4219" s="18">
        <f t="shared" ref="N4219:N4223" si="511">I4219*M4219*H4219/1000</f>
        <v>0</v>
      </c>
      <c r="O4219" s="87">
        <f t="shared" ref="O4219:O4223" si="512">J4219-M4219</f>
        <v>3</v>
      </c>
      <c r="P4219" s="88">
        <f t="shared" ref="P4219:P4223" si="513">I4219*O4219*H4219/1000</f>
        <v>0.19551000000000002</v>
      </c>
      <c r="Q4219" s="182">
        <v>9.5</v>
      </c>
      <c r="R4219">
        <v>1</v>
      </c>
    </row>
    <row r="4220" spans="1:18">
      <c r="A4220" s="42" t="s">
        <v>84</v>
      </c>
      <c r="B4220" s="3" t="s">
        <v>122</v>
      </c>
      <c r="C4220" s="3">
        <v>1</v>
      </c>
      <c r="D4220" s="1"/>
      <c r="E4220" s="20" t="s">
        <v>63</v>
      </c>
      <c r="F4220" s="7" t="s">
        <v>15</v>
      </c>
      <c r="G4220" s="7" t="s">
        <v>18</v>
      </c>
      <c r="H4220" s="11">
        <v>6.86</v>
      </c>
      <c r="I4220" s="8">
        <v>10</v>
      </c>
      <c r="J4220" s="26">
        <v>9</v>
      </c>
      <c r="K4220" s="10">
        <f t="shared" si="510"/>
        <v>0.61740000000000006</v>
      </c>
      <c r="L4220" s="4"/>
      <c r="M4220" s="17"/>
      <c r="N4220" s="18">
        <f t="shared" si="511"/>
        <v>0</v>
      </c>
      <c r="O4220" s="19">
        <f t="shared" si="512"/>
        <v>9</v>
      </c>
      <c r="P4220" s="13">
        <f t="shared" si="513"/>
        <v>0.61739999999999995</v>
      </c>
      <c r="Q4220" s="182"/>
    </row>
    <row r="4221" spans="1:18">
      <c r="A4221" s="42" t="s">
        <v>84</v>
      </c>
      <c r="B4221" s="3" t="s">
        <v>122</v>
      </c>
      <c r="C4221" s="3">
        <v>1</v>
      </c>
      <c r="D4221" s="1"/>
      <c r="E4221" s="20" t="s">
        <v>63</v>
      </c>
      <c r="F4221" s="7" t="s">
        <v>15</v>
      </c>
      <c r="G4221" s="7" t="s">
        <v>18</v>
      </c>
      <c r="H4221" s="11">
        <v>6.86</v>
      </c>
      <c r="I4221" s="8">
        <v>11</v>
      </c>
      <c r="J4221" s="26">
        <v>3</v>
      </c>
      <c r="K4221" s="10">
        <f t="shared" si="510"/>
        <v>0.22638000000000003</v>
      </c>
      <c r="L4221" s="4"/>
      <c r="M4221" s="17"/>
      <c r="N4221" s="18">
        <f t="shared" si="511"/>
        <v>0</v>
      </c>
      <c r="O4221" s="19">
        <f t="shared" si="512"/>
        <v>3</v>
      </c>
      <c r="P4221" s="13">
        <f t="shared" si="513"/>
        <v>0.22638000000000003</v>
      </c>
      <c r="Q4221" s="182"/>
    </row>
    <row r="4222" spans="1:18">
      <c r="A4222" s="42" t="s">
        <v>84</v>
      </c>
      <c r="B4222" s="3" t="s">
        <v>122</v>
      </c>
      <c r="C4222" s="3">
        <v>1</v>
      </c>
      <c r="D4222" s="1"/>
      <c r="E4222" s="20" t="s">
        <v>63</v>
      </c>
      <c r="F4222" s="7" t="s">
        <v>15</v>
      </c>
      <c r="G4222" s="7" t="s">
        <v>18</v>
      </c>
      <c r="H4222" s="11">
        <v>6.86</v>
      </c>
      <c r="I4222" s="8">
        <v>11.5</v>
      </c>
      <c r="J4222" s="26">
        <v>4</v>
      </c>
      <c r="K4222" s="10">
        <f t="shared" si="510"/>
        <v>0.31556000000000001</v>
      </c>
      <c r="L4222" s="4"/>
      <c r="M4222" s="17"/>
      <c r="N4222" s="18">
        <f t="shared" si="511"/>
        <v>0</v>
      </c>
      <c r="O4222" s="19">
        <f t="shared" si="512"/>
        <v>4</v>
      </c>
      <c r="P4222" s="13">
        <f t="shared" si="513"/>
        <v>0.31556000000000001</v>
      </c>
      <c r="Q4222" s="182"/>
    </row>
    <row r="4223" spans="1:18">
      <c r="A4223" s="42" t="s">
        <v>84</v>
      </c>
      <c r="B4223" s="3" t="s">
        <v>122</v>
      </c>
      <c r="C4223" s="3">
        <v>1</v>
      </c>
      <c r="D4223" s="1"/>
      <c r="E4223" s="20" t="s">
        <v>63</v>
      </c>
      <c r="F4223" s="7" t="s">
        <v>15</v>
      </c>
      <c r="G4223" s="7" t="s">
        <v>18</v>
      </c>
      <c r="H4223" s="11">
        <v>6.86</v>
      </c>
      <c r="I4223" s="8">
        <v>12</v>
      </c>
      <c r="J4223" s="26">
        <v>1</v>
      </c>
      <c r="K4223" s="10">
        <f t="shared" si="510"/>
        <v>8.2320000000000004E-2</v>
      </c>
      <c r="L4223" s="4"/>
      <c r="M4223" s="17"/>
      <c r="N4223" s="18">
        <f t="shared" si="511"/>
        <v>0</v>
      </c>
      <c r="O4223" s="19">
        <f t="shared" si="512"/>
        <v>1</v>
      </c>
      <c r="P4223" s="13">
        <f t="shared" si="513"/>
        <v>8.2320000000000004E-2</v>
      </c>
      <c r="Q4223" s="182"/>
    </row>
    <row r="4224" spans="1:18">
      <c r="Q4224" s="182"/>
    </row>
    <row r="4225" spans="1:18">
      <c r="Q4225" s="182"/>
    </row>
    <row r="4226" spans="1:18">
      <c r="A4226" s="42" t="s">
        <v>78</v>
      </c>
      <c r="B4226" s="3"/>
      <c r="C4226" s="3">
        <v>40</v>
      </c>
      <c r="D4226" s="1"/>
      <c r="E4226" s="20" t="s">
        <v>63</v>
      </c>
      <c r="F4226" s="7" t="s">
        <v>15</v>
      </c>
      <c r="G4226" s="7" t="s">
        <v>27</v>
      </c>
      <c r="H4226" s="11">
        <v>6.17</v>
      </c>
      <c r="I4226" s="8">
        <v>9.5</v>
      </c>
      <c r="J4226" s="26">
        <v>8</v>
      </c>
      <c r="K4226" s="10">
        <f t="shared" ref="K4226:K4227" si="514">(H4226*I4226*J4226/1000)</f>
        <v>0.46892</v>
      </c>
      <c r="L4226" s="4"/>
      <c r="M4226" s="17"/>
      <c r="N4226" s="18">
        <f t="shared" ref="N4226:N4227" si="515">I4226*M4226*H4226/1000</f>
        <v>0</v>
      </c>
      <c r="O4226" s="87">
        <f t="shared" ref="O4226:O4227" si="516">J4226-M4226</f>
        <v>8</v>
      </c>
      <c r="P4226" s="88">
        <f t="shared" ref="P4226:P4227" si="517">I4226*O4226*H4226/1000</f>
        <v>0.46892</v>
      </c>
      <c r="Q4226" s="182">
        <v>9.5</v>
      </c>
      <c r="R4226" s="213">
        <v>2</v>
      </c>
    </row>
    <row r="4227" spans="1:18">
      <c r="A4227" s="42" t="s">
        <v>78</v>
      </c>
      <c r="B4227" s="3"/>
      <c r="C4227" s="3">
        <v>40</v>
      </c>
      <c r="D4227" s="1"/>
      <c r="E4227" s="20" t="s">
        <v>63</v>
      </c>
      <c r="F4227" s="7" t="s">
        <v>15</v>
      </c>
      <c r="G4227" s="7" t="s">
        <v>27</v>
      </c>
      <c r="H4227" s="11">
        <v>6.17</v>
      </c>
      <c r="I4227" s="8">
        <v>9</v>
      </c>
      <c r="J4227" s="26">
        <v>1</v>
      </c>
      <c r="K4227" s="10">
        <f t="shared" si="514"/>
        <v>5.5530000000000003E-2</v>
      </c>
      <c r="L4227" s="4"/>
      <c r="M4227" s="17"/>
      <c r="N4227" s="18">
        <f t="shared" si="515"/>
        <v>0</v>
      </c>
      <c r="O4227" s="19">
        <f t="shared" si="516"/>
        <v>1</v>
      </c>
      <c r="P4227" s="13">
        <f t="shared" si="517"/>
        <v>5.5530000000000003E-2</v>
      </c>
      <c r="Q4227" s="9"/>
    </row>
    <row r="4230" spans="1:18">
      <c r="A4230" s="45" t="s">
        <v>136</v>
      </c>
      <c r="B4230" s="32" t="s">
        <v>137</v>
      </c>
      <c r="C4230" s="3">
        <v>51</v>
      </c>
      <c r="D4230" s="32"/>
      <c r="E4230" s="20" t="s">
        <v>106</v>
      </c>
      <c r="F4230" s="7" t="s">
        <v>15</v>
      </c>
      <c r="G4230" s="7" t="s">
        <v>25</v>
      </c>
      <c r="H4230" s="11">
        <v>7.34</v>
      </c>
      <c r="I4230" s="185">
        <v>12</v>
      </c>
      <c r="J4230" s="40">
        <v>4</v>
      </c>
      <c r="K4230" s="10">
        <f t="shared" ref="K4230" si="518">(H4230*I4230*J4230/1000)</f>
        <v>0.35231999999999997</v>
      </c>
      <c r="L4230" s="4"/>
      <c r="M4230" s="17"/>
      <c r="N4230" s="18">
        <f t="shared" ref="N4230" si="519">I4230*M4230*H4230/1000</f>
        <v>0</v>
      </c>
      <c r="O4230" s="19">
        <f t="shared" ref="O4230" si="520">J4230-M4230</f>
        <v>4</v>
      </c>
      <c r="P4230" s="13">
        <f t="shared" ref="P4230" si="521">I4230*O4230*H4230/1000</f>
        <v>0.35231999999999997</v>
      </c>
      <c r="Q4230">
        <v>12</v>
      </c>
      <c r="R4230">
        <v>2</v>
      </c>
    </row>
    <row r="4236" spans="1:18" ht="15.6">
      <c r="A4236" s="110" t="s">
        <v>324</v>
      </c>
      <c r="B4236" s="111" t="s">
        <v>232</v>
      </c>
      <c r="C4236" s="112" t="s">
        <v>228</v>
      </c>
      <c r="D4236" s="113" t="s">
        <v>24</v>
      </c>
      <c r="E4236" s="216" t="s">
        <v>14</v>
      </c>
      <c r="F4236" s="216" t="s">
        <v>28</v>
      </c>
      <c r="G4236" s="217">
        <v>12.18</v>
      </c>
      <c r="H4236" s="218">
        <v>8</v>
      </c>
      <c r="I4236" s="219">
        <v>18</v>
      </c>
      <c r="J4236" s="220">
        <f t="shared" ref="J4236:J4241" si="522">(G4236*H4236*I4236/1000)</f>
        <v>1.7539200000000001</v>
      </c>
      <c r="K4236" s="118"/>
      <c r="L4236" s="111">
        <v>18</v>
      </c>
      <c r="M4236" s="117">
        <f t="shared" ref="M4236:M4241" si="523">H4236*L4236*G4236/1000</f>
        <v>1.7539200000000001</v>
      </c>
      <c r="N4236" s="119">
        <f t="shared" ref="N4236:N4241" si="524">I4236-L4236</f>
        <v>0</v>
      </c>
      <c r="O4236" s="120">
        <f t="shared" ref="O4236:O4241" si="525">H4236*N4236*G4236/1000</f>
        <v>0</v>
      </c>
      <c r="P4236" s="111"/>
      <c r="Q4236" s="111"/>
      <c r="R4236" s="111"/>
    </row>
    <row r="4237" spans="1:18" ht="15.6">
      <c r="A4237" s="110" t="s">
        <v>324</v>
      </c>
      <c r="B4237" s="111" t="s">
        <v>232</v>
      </c>
      <c r="C4237" s="112" t="s">
        <v>228</v>
      </c>
      <c r="D4237" s="113" t="s">
        <v>24</v>
      </c>
      <c r="E4237" s="216" t="s">
        <v>14</v>
      </c>
      <c r="F4237" s="216" t="s">
        <v>28</v>
      </c>
      <c r="G4237" s="217">
        <v>12.18</v>
      </c>
      <c r="H4237" s="218">
        <v>9.5</v>
      </c>
      <c r="I4237" s="219">
        <v>8</v>
      </c>
      <c r="J4237" s="220">
        <f t="shared" si="522"/>
        <v>0.92567999999999995</v>
      </c>
      <c r="K4237" s="118"/>
      <c r="L4237" s="111">
        <v>8</v>
      </c>
      <c r="M4237" s="117">
        <f t="shared" si="523"/>
        <v>0.92567999999999995</v>
      </c>
      <c r="N4237" s="119">
        <f t="shared" si="524"/>
        <v>0</v>
      </c>
      <c r="O4237" s="120">
        <f t="shared" si="525"/>
        <v>0</v>
      </c>
      <c r="P4237" s="111"/>
      <c r="Q4237" s="111"/>
      <c r="R4237" s="111"/>
    </row>
    <row r="4238" spans="1:18" ht="15.6">
      <c r="A4238" s="110" t="s">
        <v>324</v>
      </c>
      <c r="B4238" s="111" t="s">
        <v>232</v>
      </c>
      <c r="C4238" s="112" t="s">
        <v>228</v>
      </c>
      <c r="D4238" s="113" t="s">
        <v>24</v>
      </c>
      <c r="E4238" s="216" t="s">
        <v>14</v>
      </c>
      <c r="F4238" s="216" t="s">
        <v>28</v>
      </c>
      <c r="G4238" s="217">
        <v>12.18</v>
      </c>
      <c r="H4238" s="218">
        <v>10.75</v>
      </c>
      <c r="I4238" s="219">
        <v>4</v>
      </c>
      <c r="J4238" s="220">
        <f t="shared" si="522"/>
        <v>0.52373999999999998</v>
      </c>
      <c r="K4238" s="118"/>
      <c r="L4238" s="111">
        <v>4</v>
      </c>
      <c r="M4238" s="117">
        <f t="shared" si="523"/>
        <v>0.52373999999999998</v>
      </c>
      <c r="N4238" s="119">
        <f t="shared" si="524"/>
        <v>0</v>
      </c>
      <c r="O4238" s="120">
        <f t="shared" si="525"/>
        <v>0</v>
      </c>
      <c r="P4238" s="111"/>
      <c r="Q4238" s="111"/>
      <c r="R4238" s="111"/>
    </row>
    <row r="4239" spans="1:18" ht="15.6">
      <c r="A4239" s="110" t="s">
        <v>324</v>
      </c>
      <c r="B4239" s="111" t="s">
        <v>232</v>
      </c>
      <c r="C4239" s="112" t="s">
        <v>228</v>
      </c>
      <c r="D4239" s="113" t="s">
        <v>24</v>
      </c>
      <c r="E4239" s="216" t="s">
        <v>14</v>
      </c>
      <c r="F4239" s="216" t="s">
        <v>28</v>
      </c>
      <c r="G4239" s="217">
        <v>12.18</v>
      </c>
      <c r="H4239" s="218">
        <v>11.5</v>
      </c>
      <c r="I4239" s="219">
        <v>4</v>
      </c>
      <c r="J4239" s="220">
        <f t="shared" si="522"/>
        <v>0.56028</v>
      </c>
      <c r="K4239" s="118"/>
      <c r="L4239" s="111">
        <v>4</v>
      </c>
      <c r="M4239" s="117">
        <f t="shared" si="523"/>
        <v>0.56028</v>
      </c>
      <c r="N4239" s="119">
        <f t="shared" si="524"/>
        <v>0</v>
      </c>
      <c r="O4239" s="120">
        <f t="shared" si="525"/>
        <v>0</v>
      </c>
      <c r="P4239" s="111"/>
      <c r="Q4239" s="111"/>
      <c r="R4239" s="111"/>
    </row>
    <row r="4240" spans="1:18" ht="15.6">
      <c r="A4240" s="110" t="s">
        <v>324</v>
      </c>
      <c r="B4240" s="111" t="s">
        <v>232</v>
      </c>
      <c r="C4240" s="112" t="s">
        <v>228</v>
      </c>
      <c r="D4240" s="113" t="s">
        <v>24</v>
      </c>
      <c r="E4240" s="216" t="s">
        <v>14</v>
      </c>
      <c r="F4240" s="216" t="s">
        <v>28</v>
      </c>
      <c r="G4240" s="217">
        <v>12.18</v>
      </c>
      <c r="H4240" s="218">
        <v>8</v>
      </c>
      <c r="I4240" s="219">
        <v>2</v>
      </c>
      <c r="J4240" s="220">
        <f t="shared" si="522"/>
        <v>0.19488</v>
      </c>
      <c r="K4240" s="118"/>
      <c r="L4240" s="111">
        <f>1</f>
        <v>1</v>
      </c>
      <c r="M4240" s="117">
        <f>H4240*L4240*G4240/1000</f>
        <v>9.7439999999999999E-2</v>
      </c>
      <c r="N4240" s="119">
        <f t="shared" si="524"/>
        <v>1</v>
      </c>
      <c r="O4240" s="120">
        <f t="shared" si="525"/>
        <v>9.7439999999999999E-2</v>
      </c>
      <c r="P4240" s="111"/>
      <c r="Q4240" s="111"/>
      <c r="R4240" s="111"/>
    </row>
    <row r="4241" spans="1:18" ht="15.6">
      <c r="A4241" s="110" t="s">
        <v>324</v>
      </c>
      <c r="B4241" s="111" t="s">
        <v>232</v>
      </c>
      <c r="C4241" s="112" t="s">
        <v>228</v>
      </c>
      <c r="D4241" s="113" t="s">
        <v>24</v>
      </c>
      <c r="E4241" s="216" t="s">
        <v>14</v>
      </c>
      <c r="F4241" s="216" t="s">
        <v>28</v>
      </c>
      <c r="G4241" s="217">
        <v>12.18</v>
      </c>
      <c r="H4241" s="218">
        <v>12</v>
      </c>
      <c r="I4241" s="219">
        <v>12</v>
      </c>
      <c r="J4241" s="220">
        <f t="shared" si="522"/>
        <v>1.7539200000000001</v>
      </c>
      <c r="K4241" s="118"/>
      <c r="L4241" s="111">
        <f>1+8+3</f>
        <v>12</v>
      </c>
      <c r="M4241" s="117">
        <f t="shared" si="523"/>
        <v>1.7539200000000001</v>
      </c>
      <c r="N4241" s="119">
        <f t="shared" si="524"/>
        <v>0</v>
      </c>
      <c r="O4241" s="120">
        <f t="shared" si="525"/>
        <v>0</v>
      </c>
      <c r="P4241" s="111"/>
      <c r="Q4241" s="91">
        <v>3</v>
      </c>
      <c r="R4241" s="91" t="s">
        <v>543</v>
      </c>
    </row>
    <row r="4242" spans="1:18">
      <c r="A4242" s="213"/>
      <c r="B4242" s="213"/>
      <c r="C4242" s="213"/>
      <c r="D4242" s="213"/>
      <c r="E4242" s="213"/>
      <c r="F4242" s="213"/>
      <c r="G4242" s="213"/>
      <c r="H4242" s="213"/>
      <c r="I4242" s="215">
        <f>SUM(I4236:I4241)</f>
        <v>48</v>
      </c>
      <c r="J4242" s="214">
        <f>SUM(J4236:J4241)</f>
        <v>5.7124200000000007</v>
      </c>
      <c r="K4242" s="213"/>
      <c r="L4242" s="215">
        <f>SUM(L4236:L4241)</f>
        <v>47</v>
      </c>
      <c r="M4242" s="214">
        <f>SUM(M4236:M4241)</f>
        <v>5.614980000000001</v>
      </c>
      <c r="N4242" s="215">
        <f>SUM(N4236:N4241)</f>
        <v>1</v>
      </c>
      <c r="O4242" s="128">
        <f>SUM(O4236:O4241)</f>
        <v>9.7439999999999999E-2</v>
      </c>
      <c r="P4242" s="213"/>
      <c r="Q4242" s="215">
        <f>SUM(Q4236:Q4241)</f>
        <v>3</v>
      </c>
      <c r="R4242" s="213"/>
    </row>
    <row r="4244" spans="1:18" ht="15.6">
      <c r="A4244" s="110" t="s">
        <v>324</v>
      </c>
      <c r="B4244" s="111" t="s">
        <v>232</v>
      </c>
      <c r="C4244" s="112" t="s">
        <v>228</v>
      </c>
      <c r="D4244" s="113" t="s">
        <v>326</v>
      </c>
      <c r="E4244" s="216" t="s">
        <v>14</v>
      </c>
      <c r="F4244" s="216" t="s">
        <v>28</v>
      </c>
      <c r="G4244" s="217">
        <v>12.2</v>
      </c>
      <c r="H4244" s="218">
        <v>11.9</v>
      </c>
      <c r="I4244" s="219">
        <f>19+16</f>
        <v>35</v>
      </c>
      <c r="J4244" s="220">
        <f t="shared" ref="J4244:J4249" si="526">(G4244*H4244*I4244/1000)</f>
        <v>5.0813000000000006</v>
      </c>
      <c r="K4244" s="118"/>
      <c r="L4244" s="111">
        <v>35</v>
      </c>
      <c r="M4244" s="117">
        <f t="shared" ref="M4244:M4249" si="527">H4244*L4244*G4244/1000</f>
        <v>5.0812999999999997</v>
      </c>
      <c r="N4244" s="119">
        <f t="shared" ref="N4244:N4249" si="528">I4244-L4244</f>
        <v>0</v>
      </c>
      <c r="O4244" s="120">
        <f t="shared" ref="O4244:O4249" si="529">H4244*N4244*G4244/1000</f>
        <v>0</v>
      </c>
      <c r="P4244" s="111"/>
      <c r="Q4244" s="111"/>
      <c r="R4244" s="111"/>
    </row>
    <row r="4245" spans="1:18" ht="15.6">
      <c r="A4245" s="110" t="s">
        <v>324</v>
      </c>
      <c r="B4245" s="111" t="s">
        <v>232</v>
      </c>
      <c r="C4245" s="112" t="s">
        <v>228</v>
      </c>
      <c r="D4245" s="113" t="s">
        <v>326</v>
      </c>
      <c r="E4245" s="216" t="s">
        <v>14</v>
      </c>
      <c r="F4245" s="216" t="s">
        <v>28</v>
      </c>
      <c r="G4245" s="217">
        <v>12.2</v>
      </c>
      <c r="H4245" s="218">
        <v>8</v>
      </c>
      <c r="I4245" s="219">
        <v>14</v>
      </c>
      <c r="J4245" s="220">
        <f t="shared" si="526"/>
        <v>1.3663999999999998</v>
      </c>
      <c r="K4245" s="118"/>
      <c r="L4245" s="111">
        <f>13</f>
        <v>13</v>
      </c>
      <c r="M4245" s="117">
        <f t="shared" si="527"/>
        <v>1.2687999999999999</v>
      </c>
      <c r="N4245" s="119">
        <f t="shared" si="528"/>
        <v>1</v>
      </c>
      <c r="O4245" s="120">
        <f t="shared" si="529"/>
        <v>9.7599999999999992E-2</v>
      </c>
      <c r="P4245" s="111"/>
      <c r="Q4245" s="111"/>
      <c r="R4245" s="111"/>
    </row>
    <row r="4246" spans="1:18" ht="15.6">
      <c r="A4246" s="110" t="s">
        <v>324</v>
      </c>
      <c r="B4246" s="111" t="s">
        <v>232</v>
      </c>
      <c r="C4246" s="112" t="s">
        <v>228</v>
      </c>
      <c r="D4246" s="113" t="s">
        <v>326</v>
      </c>
      <c r="E4246" s="216" t="s">
        <v>14</v>
      </c>
      <c r="F4246" s="216" t="s">
        <v>28</v>
      </c>
      <c r="G4246" s="217">
        <v>12.2</v>
      </c>
      <c r="H4246" s="218">
        <v>10.5</v>
      </c>
      <c r="I4246" s="219">
        <v>1</v>
      </c>
      <c r="J4246" s="220">
        <f t="shared" si="526"/>
        <v>0.12809999999999999</v>
      </c>
      <c r="K4246" s="118"/>
      <c r="L4246" s="111">
        <v>1</v>
      </c>
      <c r="M4246" s="117">
        <f t="shared" si="527"/>
        <v>0.12809999999999999</v>
      </c>
      <c r="N4246" s="119">
        <f t="shared" si="528"/>
        <v>0</v>
      </c>
      <c r="O4246" s="120">
        <f t="shared" si="529"/>
        <v>0</v>
      </c>
      <c r="P4246" s="111"/>
      <c r="Q4246" s="91">
        <v>1</v>
      </c>
      <c r="R4246" s="91" t="s">
        <v>540</v>
      </c>
    </row>
    <row r="4247" spans="1:18" ht="15.6">
      <c r="A4247" s="110" t="s">
        <v>324</v>
      </c>
      <c r="B4247" s="111" t="s">
        <v>232</v>
      </c>
      <c r="C4247" s="112" t="s">
        <v>228</v>
      </c>
      <c r="D4247" s="113" t="s">
        <v>326</v>
      </c>
      <c r="E4247" s="216" t="s">
        <v>14</v>
      </c>
      <c r="F4247" s="216" t="s">
        <v>28</v>
      </c>
      <c r="G4247" s="217">
        <v>12.2</v>
      </c>
      <c r="H4247" s="218">
        <v>11.5</v>
      </c>
      <c r="I4247" s="219">
        <v>1</v>
      </c>
      <c r="J4247" s="220">
        <f t="shared" si="526"/>
        <v>0.14029999999999998</v>
      </c>
      <c r="K4247" s="118"/>
      <c r="L4247" s="111">
        <v>1</v>
      </c>
      <c r="M4247" s="117">
        <f t="shared" si="527"/>
        <v>0.14029999999999998</v>
      </c>
      <c r="N4247" s="119">
        <f t="shared" si="528"/>
        <v>0</v>
      </c>
      <c r="O4247" s="120">
        <f t="shared" si="529"/>
        <v>0</v>
      </c>
      <c r="P4247" s="111"/>
      <c r="Q4247" s="91">
        <v>1</v>
      </c>
      <c r="R4247" s="91" t="s">
        <v>540</v>
      </c>
    </row>
    <row r="4248" spans="1:18" ht="15.6">
      <c r="A4248" s="110" t="s">
        <v>324</v>
      </c>
      <c r="B4248" s="111" t="s">
        <v>232</v>
      </c>
      <c r="C4248" s="112" t="s">
        <v>228</v>
      </c>
      <c r="D4248" s="113" t="s">
        <v>326</v>
      </c>
      <c r="E4248" s="216" t="s">
        <v>14</v>
      </c>
      <c r="F4248" s="216" t="s">
        <v>28</v>
      </c>
      <c r="G4248" s="217">
        <v>12.2</v>
      </c>
      <c r="H4248" s="218">
        <v>8</v>
      </c>
      <c r="I4248" s="219">
        <v>2</v>
      </c>
      <c r="J4248" s="220">
        <f t="shared" si="526"/>
        <v>0.19519999999999998</v>
      </c>
      <c r="K4248" s="118"/>
      <c r="L4248" s="111">
        <v>2</v>
      </c>
      <c r="M4248" s="117">
        <f t="shared" si="527"/>
        <v>0.19519999999999998</v>
      </c>
      <c r="N4248" s="119">
        <f t="shared" si="528"/>
        <v>0</v>
      </c>
      <c r="O4248" s="120">
        <f t="shared" si="529"/>
        <v>0</v>
      </c>
      <c r="P4248" s="111"/>
      <c r="Q4248" s="111"/>
      <c r="R4248" s="111"/>
    </row>
    <row r="4249" spans="1:18" ht="15.6">
      <c r="A4249" s="110" t="s">
        <v>324</v>
      </c>
      <c r="B4249" s="111" t="s">
        <v>232</v>
      </c>
      <c r="C4249" s="112" t="s">
        <v>228</v>
      </c>
      <c r="D4249" s="113" t="s">
        <v>326</v>
      </c>
      <c r="E4249" s="216" t="s">
        <v>14</v>
      </c>
      <c r="F4249" s="216" t="s">
        <v>28</v>
      </c>
      <c r="G4249" s="217">
        <v>12.2</v>
      </c>
      <c r="H4249" s="218">
        <v>12</v>
      </c>
      <c r="I4249" s="219">
        <v>4</v>
      </c>
      <c r="J4249" s="220">
        <f t="shared" si="526"/>
        <v>0.5855999999999999</v>
      </c>
      <c r="K4249" s="118"/>
      <c r="L4249" s="111">
        <v>4</v>
      </c>
      <c r="M4249" s="117">
        <f t="shared" si="527"/>
        <v>0.5855999999999999</v>
      </c>
      <c r="N4249" s="119">
        <f t="shared" si="528"/>
        <v>0</v>
      </c>
      <c r="O4249" s="120">
        <f t="shared" si="529"/>
        <v>0</v>
      </c>
      <c r="P4249" s="159"/>
      <c r="Q4249" s="111"/>
      <c r="R4249" s="111"/>
    </row>
    <row r="4250" spans="1:18">
      <c r="A4250" s="213"/>
      <c r="B4250" s="213"/>
      <c r="C4250" s="213"/>
      <c r="D4250" s="213"/>
      <c r="E4250" s="213"/>
      <c r="F4250" s="213"/>
      <c r="G4250" s="213"/>
      <c r="H4250" s="213"/>
      <c r="I4250" s="215">
        <f>SUM(I4244:I4249)</f>
        <v>57</v>
      </c>
      <c r="J4250" s="214">
        <f>SUM(J4244:J4249)</f>
        <v>7.4969000000000001</v>
      </c>
      <c r="K4250" s="213"/>
      <c r="L4250" s="215">
        <f>SUM(L4244:L4249)</f>
        <v>56</v>
      </c>
      <c r="M4250" s="128">
        <f>SUM(M4244:M4249)</f>
        <v>7.3992999999999984</v>
      </c>
      <c r="N4250" s="78">
        <f>SUM(N4244:N4249)</f>
        <v>1</v>
      </c>
      <c r="O4250" s="128">
        <f>SUM(O4244:O4249)</f>
        <v>9.7599999999999992E-2</v>
      </c>
      <c r="P4250" s="213"/>
      <c r="Q4250" s="80">
        <f>SUM(Q4244:Q4249)</f>
        <v>2</v>
      </c>
      <c r="R4250" s="213"/>
    </row>
    <row r="4252" spans="1:18" ht="15.6">
      <c r="A4252" s="110" t="s">
        <v>448</v>
      </c>
      <c r="B4252" s="111" t="s">
        <v>232</v>
      </c>
      <c r="C4252" s="112" t="s">
        <v>449</v>
      </c>
      <c r="D4252" s="113" t="s">
        <v>326</v>
      </c>
      <c r="E4252" s="216" t="s">
        <v>14</v>
      </c>
      <c r="F4252" s="216" t="s">
        <v>28</v>
      </c>
      <c r="G4252" s="217">
        <v>12.2</v>
      </c>
      <c r="H4252" s="218">
        <v>11.9</v>
      </c>
      <c r="I4252" s="219">
        <v>20</v>
      </c>
      <c r="J4252" s="220">
        <f t="shared" ref="J4252:J4263" si="530">(G4252*H4252*I4252/1000)</f>
        <v>2.9036000000000004</v>
      </c>
      <c r="K4252" s="118"/>
      <c r="L4252" s="219">
        <v>20</v>
      </c>
      <c r="M4252" s="117">
        <f t="shared" ref="M4252:M4263" si="531">H4252*L4252*G4252/1000</f>
        <v>2.9036</v>
      </c>
      <c r="N4252" s="119">
        <f t="shared" ref="N4252:N4261" si="532">I4252-L4252</f>
        <v>0</v>
      </c>
      <c r="O4252" s="120">
        <f t="shared" ref="O4252:O4261" si="533">H4252*N4252*G4252/1000</f>
        <v>0</v>
      </c>
      <c r="P4252" s="111"/>
      <c r="Q4252" s="111"/>
      <c r="R4252" s="111"/>
    </row>
    <row r="4253" spans="1:18" ht="15.6">
      <c r="A4253" s="110" t="s">
        <v>448</v>
      </c>
      <c r="B4253" s="111" t="s">
        <v>232</v>
      </c>
      <c r="C4253" s="112" t="s">
        <v>449</v>
      </c>
      <c r="D4253" s="113" t="s">
        <v>326</v>
      </c>
      <c r="E4253" s="216" t="s">
        <v>14</v>
      </c>
      <c r="F4253" s="216" t="s">
        <v>28</v>
      </c>
      <c r="G4253" s="217">
        <v>12.2</v>
      </c>
      <c r="H4253" s="218">
        <v>8</v>
      </c>
      <c r="I4253" s="219">
        <v>26</v>
      </c>
      <c r="J4253" s="220">
        <f t="shared" si="530"/>
        <v>2.5375999999999999</v>
      </c>
      <c r="K4253" s="118"/>
      <c r="L4253" s="219">
        <v>26</v>
      </c>
      <c r="M4253" s="117">
        <f t="shared" si="531"/>
        <v>2.5375999999999999</v>
      </c>
      <c r="N4253" s="119">
        <f t="shared" si="532"/>
        <v>0</v>
      </c>
      <c r="O4253" s="120">
        <f t="shared" si="533"/>
        <v>0</v>
      </c>
      <c r="P4253" s="111"/>
      <c r="Q4253" s="111"/>
      <c r="R4253" s="111"/>
    </row>
    <row r="4254" spans="1:18" ht="15.6">
      <c r="A4254" s="110" t="s">
        <v>448</v>
      </c>
      <c r="B4254" s="111" t="s">
        <v>232</v>
      </c>
      <c r="C4254" s="112" t="s">
        <v>449</v>
      </c>
      <c r="D4254" s="113" t="s">
        <v>326</v>
      </c>
      <c r="E4254" s="216" t="s">
        <v>14</v>
      </c>
      <c r="F4254" s="216" t="s">
        <v>28</v>
      </c>
      <c r="G4254" s="217">
        <v>12.2</v>
      </c>
      <c r="H4254" s="218">
        <v>8</v>
      </c>
      <c r="I4254" s="219">
        <v>23</v>
      </c>
      <c r="J4254" s="220">
        <f t="shared" si="530"/>
        <v>2.2447999999999997</v>
      </c>
      <c r="K4254" s="118"/>
      <c r="L4254" s="219">
        <v>23</v>
      </c>
      <c r="M4254" s="117">
        <f t="shared" si="531"/>
        <v>2.2447999999999997</v>
      </c>
      <c r="N4254" s="119">
        <f t="shared" si="532"/>
        <v>0</v>
      </c>
      <c r="O4254" s="120">
        <f t="shared" si="533"/>
        <v>0</v>
      </c>
      <c r="P4254" s="111"/>
      <c r="Q4254" s="111"/>
      <c r="R4254" s="111"/>
    </row>
    <row r="4255" spans="1:18" ht="15.6">
      <c r="A4255" s="110" t="s">
        <v>448</v>
      </c>
      <c r="B4255" s="111" t="s">
        <v>232</v>
      </c>
      <c r="C4255" s="112" t="s">
        <v>449</v>
      </c>
      <c r="D4255" s="113" t="s">
        <v>326</v>
      </c>
      <c r="E4255" s="216" t="s">
        <v>14</v>
      </c>
      <c r="F4255" s="216" t="s">
        <v>28</v>
      </c>
      <c r="G4255" s="217">
        <v>12.2</v>
      </c>
      <c r="H4255" s="218">
        <v>11.9</v>
      </c>
      <c r="I4255" s="219">
        <v>21</v>
      </c>
      <c r="J4255" s="220">
        <f t="shared" si="530"/>
        <v>3.0487800000000003</v>
      </c>
      <c r="K4255" s="118"/>
      <c r="L4255" s="219">
        <v>21</v>
      </c>
      <c r="M4255" s="117">
        <f t="shared" si="531"/>
        <v>3.0487799999999998</v>
      </c>
      <c r="N4255" s="119">
        <f t="shared" si="532"/>
        <v>0</v>
      </c>
      <c r="O4255" s="120">
        <f t="shared" si="533"/>
        <v>0</v>
      </c>
      <c r="P4255" s="111"/>
      <c r="Q4255" s="111"/>
      <c r="R4255" s="111"/>
    </row>
    <row r="4256" spans="1:18" ht="15.6">
      <c r="A4256" s="110" t="s">
        <v>448</v>
      </c>
      <c r="B4256" s="111" t="s">
        <v>232</v>
      </c>
      <c r="C4256" s="112" t="s">
        <v>449</v>
      </c>
      <c r="D4256" s="113" t="s">
        <v>326</v>
      </c>
      <c r="E4256" s="216" t="s">
        <v>14</v>
      </c>
      <c r="F4256" s="216" t="s">
        <v>28</v>
      </c>
      <c r="G4256" s="217">
        <v>12.2</v>
      </c>
      <c r="H4256" s="218">
        <v>7.5</v>
      </c>
      <c r="I4256" s="219">
        <v>2</v>
      </c>
      <c r="J4256" s="220">
        <f t="shared" si="530"/>
        <v>0.183</v>
      </c>
      <c r="K4256" s="118"/>
      <c r="L4256" s="219"/>
      <c r="M4256" s="117">
        <f t="shared" si="531"/>
        <v>0</v>
      </c>
      <c r="N4256" s="119">
        <f t="shared" si="532"/>
        <v>2</v>
      </c>
      <c r="O4256" s="120">
        <f t="shared" si="533"/>
        <v>0.183</v>
      </c>
      <c r="P4256" s="111"/>
      <c r="Q4256" s="111"/>
      <c r="R4256" s="111"/>
    </row>
    <row r="4257" spans="1:19" ht="15.6">
      <c r="A4257" s="110" t="s">
        <v>448</v>
      </c>
      <c r="B4257" s="111" t="s">
        <v>232</v>
      </c>
      <c r="C4257" s="112" t="s">
        <v>449</v>
      </c>
      <c r="D4257" s="113" t="s">
        <v>326</v>
      </c>
      <c r="E4257" s="216" t="s">
        <v>14</v>
      </c>
      <c r="F4257" s="216" t="s">
        <v>28</v>
      </c>
      <c r="G4257" s="217">
        <v>12.2</v>
      </c>
      <c r="H4257" s="218">
        <v>8.75</v>
      </c>
      <c r="I4257" s="219">
        <v>3</v>
      </c>
      <c r="J4257" s="220">
        <f t="shared" si="530"/>
        <v>0.32024999999999998</v>
      </c>
      <c r="K4257" s="118"/>
      <c r="L4257" s="219">
        <f>2</f>
        <v>2</v>
      </c>
      <c r="M4257" s="117">
        <f t="shared" si="531"/>
        <v>0.2135</v>
      </c>
      <c r="N4257" s="119">
        <f t="shared" si="532"/>
        <v>1</v>
      </c>
      <c r="O4257" s="120">
        <f t="shared" si="533"/>
        <v>0.10675</v>
      </c>
      <c r="P4257" s="111"/>
      <c r="Q4257" s="111"/>
      <c r="R4257" s="111"/>
    </row>
    <row r="4258" spans="1:19" ht="15.6">
      <c r="A4258" s="110" t="s">
        <v>448</v>
      </c>
      <c r="B4258" s="111" t="s">
        <v>232</v>
      </c>
      <c r="C4258" s="112" t="s">
        <v>449</v>
      </c>
      <c r="D4258" s="113" t="s">
        <v>326</v>
      </c>
      <c r="E4258" s="216" t="s">
        <v>14</v>
      </c>
      <c r="F4258" s="216" t="s">
        <v>28</v>
      </c>
      <c r="G4258" s="217">
        <v>12.2</v>
      </c>
      <c r="H4258" s="218">
        <v>11.5</v>
      </c>
      <c r="I4258" s="219">
        <v>1</v>
      </c>
      <c r="J4258" s="220">
        <f t="shared" si="530"/>
        <v>0.14029999999999998</v>
      </c>
      <c r="K4258" s="118"/>
      <c r="L4258" s="219">
        <v>1</v>
      </c>
      <c r="M4258" s="117">
        <f t="shared" si="531"/>
        <v>0.14029999999999998</v>
      </c>
      <c r="N4258" s="119">
        <f t="shared" si="532"/>
        <v>0</v>
      </c>
      <c r="O4258" s="120">
        <f t="shared" si="533"/>
        <v>0</v>
      </c>
      <c r="P4258" s="111"/>
      <c r="Q4258" s="91">
        <v>1</v>
      </c>
      <c r="R4258" s="91" t="s">
        <v>542</v>
      </c>
    </row>
    <row r="4259" spans="1:19" ht="15.6">
      <c r="A4259" s="110" t="s">
        <v>448</v>
      </c>
      <c r="B4259" s="111" t="s">
        <v>232</v>
      </c>
      <c r="C4259" s="112" t="s">
        <v>449</v>
      </c>
      <c r="D4259" s="113" t="s">
        <v>326</v>
      </c>
      <c r="E4259" s="216" t="s">
        <v>14</v>
      </c>
      <c r="F4259" s="216" t="s">
        <v>28</v>
      </c>
      <c r="G4259" s="217">
        <v>12.2</v>
      </c>
      <c r="H4259" s="218">
        <v>8</v>
      </c>
      <c r="I4259" s="219">
        <v>23</v>
      </c>
      <c r="J4259" s="220">
        <f t="shared" si="530"/>
        <v>2.2447999999999997</v>
      </c>
      <c r="K4259" s="118"/>
      <c r="L4259" s="219">
        <v>23</v>
      </c>
      <c r="M4259" s="117">
        <f t="shared" si="531"/>
        <v>2.2447999999999997</v>
      </c>
      <c r="N4259" s="119">
        <f t="shared" si="532"/>
        <v>0</v>
      </c>
      <c r="O4259" s="120">
        <f t="shared" si="533"/>
        <v>0</v>
      </c>
      <c r="P4259" s="111"/>
      <c r="Q4259" s="111"/>
      <c r="R4259" s="111"/>
    </row>
    <row r="4260" spans="1:19" ht="15.6">
      <c r="A4260" s="110" t="s">
        <v>448</v>
      </c>
      <c r="B4260" s="111" t="s">
        <v>232</v>
      </c>
      <c r="C4260" s="112" t="s">
        <v>449</v>
      </c>
      <c r="D4260" s="113" t="s">
        <v>326</v>
      </c>
      <c r="E4260" s="216" t="s">
        <v>14</v>
      </c>
      <c r="F4260" s="216" t="s">
        <v>28</v>
      </c>
      <c r="G4260" s="217">
        <v>12.2</v>
      </c>
      <c r="H4260" s="218">
        <v>11.9</v>
      </c>
      <c r="I4260" s="219">
        <v>6</v>
      </c>
      <c r="J4260" s="220">
        <f t="shared" si="530"/>
        <v>0.87108000000000008</v>
      </c>
      <c r="K4260" s="118"/>
      <c r="L4260" s="219">
        <v>6</v>
      </c>
      <c r="M4260" s="117">
        <f t="shared" si="531"/>
        <v>0.87108000000000008</v>
      </c>
      <c r="N4260" s="119">
        <f t="shared" si="532"/>
        <v>0</v>
      </c>
      <c r="O4260" s="120">
        <f t="shared" si="533"/>
        <v>0</v>
      </c>
      <c r="P4260" s="111"/>
      <c r="Q4260" s="111"/>
      <c r="R4260" s="111"/>
    </row>
    <row r="4261" spans="1:19" ht="15.6">
      <c r="A4261" s="110" t="s">
        <v>448</v>
      </c>
      <c r="B4261" s="111" t="s">
        <v>232</v>
      </c>
      <c r="C4261" s="112" t="s">
        <v>449</v>
      </c>
      <c r="D4261" s="113" t="s">
        <v>326</v>
      </c>
      <c r="E4261" s="216" t="s">
        <v>14</v>
      </c>
      <c r="F4261" s="216" t="s">
        <v>28</v>
      </c>
      <c r="G4261" s="217">
        <v>12.2</v>
      </c>
      <c r="H4261" s="218">
        <v>11.9</v>
      </c>
      <c r="I4261" s="219">
        <v>25</v>
      </c>
      <c r="J4261" s="220">
        <f t="shared" si="530"/>
        <v>3.6295000000000002</v>
      </c>
      <c r="K4261" s="118"/>
      <c r="L4261" s="219">
        <v>25</v>
      </c>
      <c r="M4261" s="117">
        <f t="shared" si="531"/>
        <v>3.6295000000000002</v>
      </c>
      <c r="N4261" s="119">
        <f t="shared" si="532"/>
        <v>0</v>
      </c>
      <c r="O4261" s="120">
        <f t="shared" si="533"/>
        <v>0</v>
      </c>
      <c r="P4261" s="111"/>
      <c r="Q4261" s="111"/>
      <c r="R4261" s="111"/>
    </row>
    <row r="4262" spans="1:19" ht="15.6">
      <c r="A4262" s="110" t="s">
        <v>448</v>
      </c>
      <c r="B4262" s="111" t="s">
        <v>232</v>
      </c>
      <c r="C4262" s="112" t="s">
        <v>449</v>
      </c>
      <c r="D4262" s="113" t="s">
        <v>326</v>
      </c>
      <c r="E4262" s="216" t="s">
        <v>14</v>
      </c>
      <c r="F4262" s="216" t="s">
        <v>28</v>
      </c>
      <c r="G4262" s="217">
        <v>12.2</v>
      </c>
      <c r="H4262" s="218">
        <v>8</v>
      </c>
      <c r="I4262" s="219">
        <v>9</v>
      </c>
      <c r="J4262" s="220">
        <f t="shared" si="530"/>
        <v>0.87839999999999996</v>
      </c>
      <c r="K4262" s="118"/>
      <c r="L4262" s="219">
        <v>9</v>
      </c>
      <c r="M4262" s="117">
        <f t="shared" si="531"/>
        <v>0.87839999999999996</v>
      </c>
      <c r="N4262" s="119">
        <f>I4262-L4262</f>
        <v>0</v>
      </c>
      <c r="O4262" s="120">
        <f>H4262*N4262*G4262/1000</f>
        <v>0</v>
      </c>
      <c r="P4262" s="111"/>
      <c r="Q4262" s="111"/>
      <c r="R4262" s="111"/>
    </row>
    <row r="4263" spans="1:19" ht="15.6">
      <c r="A4263" s="110" t="s">
        <v>448</v>
      </c>
      <c r="B4263" s="111" t="s">
        <v>232</v>
      </c>
      <c r="C4263" s="112" t="s">
        <v>449</v>
      </c>
      <c r="D4263" s="113" t="s">
        <v>326</v>
      </c>
      <c r="E4263" s="216" t="s">
        <v>14</v>
      </c>
      <c r="F4263" s="216" t="s">
        <v>28</v>
      </c>
      <c r="G4263" s="217">
        <v>12.2</v>
      </c>
      <c r="H4263" s="218">
        <v>11.7</v>
      </c>
      <c r="I4263" s="219">
        <v>1</v>
      </c>
      <c r="J4263" s="220">
        <f t="shared" si="530"/>
        <v>0.14273999999999998</v>
      </c>
      <c r="K4263" s="118"/>
      <c r="L4263" s="219">
        <v>1</v>
      </c>
      <c r="M4263" s="117">
        <f t="shared" si="531"/>
        <v>0.14273999999999998</v>
      </c>
      <c r="N4263" s="119">
        <f>I4263-L4263</f>
        <v>0</v>
      </c>
      <c r="O4263" s="120">
        <f>H4263*N4263*G4263/1000</f>
        <v>0</v>
      </c>
      <c r="P4263" s="111"/>
      <c r="Q4263" s="91">
        <v>1</v>
      </c>
      <c r="R4263" s="91" t="s">
        <v>542</v>
      </c>
    </row>
    <row r="4264" spans="1:19">
      <c r="A4264" s="213"/>
      <c r="B4264" s="213"/>
      <c r="C4264" s="213"/>
      <c r="D4264" s="213"/>
      <c r="E4264" s="213"/>
      <c r="F4264" s="213"/>
      <c r="G4264" s="213"/>
      <c r="H4264" s="213"/>
      <c r="I4264" s="215">
        <f>SUM(I4252:I4263)</f>
        <v>160</v>
      </c>
      <c r="J4264" s="214">
        <f>SUM(J4252:J4263)</f>
        <v>19.144849999999998</v>
      </c>
      <c r="K4264" s="213"/>
      <c r="L4264" s="215">
        <f>SUM(L4252:L4263)</f>
        <v>157</v>
      </c>
      <c r="M4264" s="214">
        <f>SUM(M4252:M4263)</f>
        <v>18.8551</v>
      </c>
      <c r="N4264" s="78">
        <f>SUM(N4252:N4263)</f>
        <v>3</v>
      </c>
      <c r="O4264" s="128">
        <f>SUM(O4252:O4263)</f>
        <v>0.28975000000000001</v>
      </c>
      <c r="P4264" s="213"/>
      <c r="Q4264" s="80">
        <f>SUM(Q4252:Q4263)</f>
        <v>2</v>
      </c>
      <c r="R4264" s="213"/>
    </row>
    <row r="4265" spans="1:19">
      <c r="Q4265" s="470">
        <f>+Q4264+Q4250+Q4242</f>
        <v>7</v>
      </c>
    </row>
    <row r="4266" spans="1:19">
      <c r="A4266" s="42" t="s">
        <v>77</v>
      </c>
      <c r="B4266" s="3" t="s">
        <v>68</v>
      </c>
      <c r="C4266" s="3">
        <v>11</v>
      </c>
      <c r="D4266" s="1"/>
      <c r="E4266" s="20" t="s">
        <v>24</v>
      </c>
      <c r="F4266" s="7" t="s">
        <v>14</v>
      </c>
      <c r="G4266" s="7" t="s">
        <v>28</v>
      </c>
      <c r="H4266" s="11">
        <v>12.18</v>
      </c>
      <c r="I4266" s="8">
        <v>5.5</v>
      </c>
      <c r="J4266" s="26">
        <v>1</v>
      </c>
      <c r="K4266" s="10">
        <v>6.6989999999999994E-2</v>
      </c>
      <c r="L4266" s="4"/>
      <c r="M4266" s="17"/>
      <c r="N4266" s="18">
        <v>0</v>
      </c>
      <c r="O4266" s="19">
        <v>1</v>
      </c>
      <c r="P4266" s="13">
        <v>6.6989999999999994E-2</v>
      </c>
      <c r="Q4266" s="9"/>
      <c r="R4266" s="2"/>
      <c r="S4266" s="2"/>
    </row>
    <row r="4267" spans="1:19">
      <c r="A4267" s="42" t="s">
        <v>77</v>
      </c>
      <c r="B4267" s="3" t="s">
        <v>68</v>
      </c>
      <c r="C4267" s="3">
        <v>11</v>
      </c>
      <c r="D4267" s="1"/>
      <c r="E4267" s="20" t="s">
        <v>24</v>
      </c>
      <c r="F4267" s="7" t="s">
        <v>14</v>
      </c>
      <c r="G4267" s="7" t="s">
        <v>28</v>
      </c>
      <c r="H4267" s="11">
        <v>12.18</v>
      </c>
      <c r="I4267" s="8">
        <v>6</v>
      </c>
      <c r="J4267" s="26">
        <v>1</v>
      </c>
      <c r="K4267" s="10">
        <v>7.3079999999999992E-2</v>
      </c>
      <c r="L4267" s="4"/>
      <c r="M4267" s="17"/>
      <c r="N4267" s="18">
        <v>0</v>
      </c>
      <c r="O4267" s="19">
        <v>1</v>
      </c>
      <c r="P4267" s="13">
        <v>7.3079999999999992E-2</v>
      </c>
      <c r="Q4267" s="9"/>
      <c r="R4267" s="2"/>
      <c r="S4267" s="2"/>
    </row>
    <row r="4268" spans="1:19">
      <c r="A4268" s="42" t="s">
        <v>77</v>
      </c>
      <c r="B4268" s="3" t="s">
        <v>68</v>
      </c>
      <c r="C4268" s="3">
        <v>11</v>
      </c>
      <c r="D4268" s="1"/>
      <c r="E4268" s="20" t="s">
        <v>24</v>
      </c>
      <c r="F4268" s="7" t="s">
        <v>14</v>
      </c>
      <c r="G4268" s="7" t="s">
        <v>28</v>
      </c>
      <c r="H4268" s="11">
        <v>12.18</v>
      </c>
      <c r="I4268" s="8">
        <v>6.3</v>
      </c>
      <c r="J4268" s="26">
        <v>2</v>
      </c>
      <c r="K4268" s="10">
        <v>0.15346799999999999</v>
      </c>
      <c r="L4268" s="4"/>
      <c r="M4268" s="17"/>
      <c r="N4268" s="18">
        <v>0</v>
      </c>
      <c r="O4268" s="19">
        <v>2</v>
      </c>
      <c r="P4268" s="13">
        <v>0.15346799999999999</v>
      </c>
      <c r="Q4268" s="9"/>
      <c r="R4268" s="2"/>
      <c r="S4268" s="2"/>
    </row>
    <row r="4269" spans="1:19">
      <c r="A4269" s="42" t="s">
        <v>77</v>
      </c>
      <c r="B4269" s="3" t="s">
        <v>68</v>
      </c>
      <c r="C4269" s="3">
        <v>11</v>
      </c>
      <c r="D4269" s="1"/>
      <c r="E4269" s="20" t="s">
        <v>24</v>
      </c>
      <c r="F4269" s="7" t="s">
        <v>14</v>
      </c>
      <c r="G4269" s="7" t="s">
        <v>28</v>
      </c>
      <c r="H4269" s="11">
        <v>12.18</v>
      </c>
      <c r="I4269" s="8">
        <v>6.4</v>
      </c>
      <c r="J4269" s="26">
        <v>1</v>
      </c>
      <c r="K4269" s="10">
        <v>7.7951999999999994E-2</v>
      </c>
      <c r="L4269" s="4"/>
      <c r="M4269" s="17"/>
      <c r="N4269" s="18">
        <v>0</v>
      </c>
      <c r="O4269" s="19">
        <v>1</v>
      </c>
      <c r="P4269" s="13">
        <v>7.7951999999999994E-2</v>
      </c>
      <c r="Q4269" s="9"/>
      <c r="R4269" s="2"/>
      <c r="S4269" s="2"/>
    </row>
    <row r="4270" spans="1:19">
      <c r="A4270" s="42" t="s">
        <v>78</v>
      </c>
      <c r="B4270" s="3" t="s">
        <v>79</v>
      </c>
      <c r="C4270" s="3">
        <v>10</v>
      </c>
      <c r="D4270" s="1"/>
      <c r="E4270" s="20" t="s">
        <v>19</v>
      </c>
      <c r="F4270" s="7" t="s">
        <v>14</v>
      </c>
      <c r="G4270" s="7" t="s">
        <v>28</v>
      </c>
      <c r="H4270" s="11">
        <v>12.18</v>
      </c>
      <c r="I4270" s="8">
        <v>12</v>
      </c>
      <c r="J4270" s="26">
        <v>2</v>
      </c>
      <c r="K4270" s="10">
        <v>0.29231999999999997</v>
      </c>
      <c r="L4270" s="4"/>
      <c r="M4270" s="17">
        <v>2</v>
      </c>
      <c r="N4270" s="18">
        <v>0.29231999999999997</v>
      </c>
      <c r="O4270" s="19">
        <v>0</v>
      </c>
      <c r="P4270" s="13">
        <v>0</v>
      </c>
      <c r="Q4270" s="9"/>
      <c r="R4270" s="74">
        <v>2</v>
      </c>
      <c r="S4270" s="74" t="s">
        <v>540</v>
      </c>
    </row>
    <row r="4271" spans="1:19">
      <c r="A4271" s="42" t="s">
        <v>78</v>
      </c>
      <c r="B4271" s="3"/>
      <c r="C4271" s="3">
        <v>8</v>
      </c>
      <c r="D4271" s="1"/>
      <c r="E4271" s="20" t="s">
        <v>19</v>
      </c>
      <c r="F4271" s="7" t="s">
        <v>14</v>
      </c>
      <c r="G4271" s="7" t="s">
        <v>28</v>
      </c>
      <c r="H4271" s="11">
        <v>12.18</v>
      </c>
      <c r="I4271" s="8">
        <v>7.1</v>
      </c>
      <c r="J4271" s="26">
        <v>1</v>
      </c>
      <c r="K4271" s="10">
        <v>8.6477999999999999E-2</v>
      </c>
      <c r="L4271" s="4"/>
      <c r="M4271" s="17"/>
      <c r="N4271" s="18">
        <v>0</v>
      </c>
      <c r="O4271" s="19">
        <v>1</v>
      </c>
      <c r="P4271" s="13">
        <v>8.6477999999999999E-2</v>
      </c>
      <c r="Q4271" s="9"/>
      <c r="R4271" s="2"/>
      <c r="S4271" s="2"/>
    </row>
    <row r="4272" spans="1:19">
      <c r="A4272" s="42" t="s">
        <v>78</v>
      </c>
      <c r="B4272" s="3"/>
      <c r="C4272" s="3">
        <v>8</v>
      </c>
      <c r="D4272" s="1"/>
      <c r="E4272" s="20" t="s">
        <v>19</v>
      </c>
      <c r="F4272" s="7" t="s">
        <v>14</v>
      </c>
      <c r="G4272" s="7" t="s">
        <v>28</v>
      </c>
      <c r="H4272" s="11">
        <v>12.18</v>
      </c>
      <c r="I4272" s="8">
        <v>7.9</v>
      </c>
      <c r="J4272" s="26">
        <v>1</v>
      </c>
      <c r="K4272" s="10">
        <v>9.6222000000000002E-2</v>
      </c>
      <c r="L4272" s="4"/>
      <c r="M4272" s="17"/>
      <c r="N4272" s="18">
        <v>0</v>
      </c>
      <c r="O4272" s="19">
        <v>1</v>
      </c>
      <c r="P4272" s="13">
        <v>9.6222000000000002E-2</v>
      </c>
      <c r="Q4272" s="9"/>
      <c r="R4272" s="2"/>
      <c r="S4272" s="2"/>
    </row>
    <row r="4273" spans="1:19">
      <c r="A4273" s="42" t="s">
        <v>78</v>
      </c>
      <c r="B4273" s="3"/>
      <c r="C4273" s="3">
        <v>8</v>
      </c>
      <c r="D4273" s="1"/>
      <c r="E4273" s="20" t="s">
        <v>24</v>
      </c>
      <c r="F4273" s="7" t="s">
        <v>14</v>
      </c>
      <c r="G4273" s="7" t="s">
        <v>28</v>
      </c>
      <c r="H4273" s="11">
        <v>12.18</v>
      </c>
      <c r="I4273" s="8">
        <v>11.5</v>
      </c>
      <c r="J4273" s="26">
        <v>1</v>
      </c>
      <c r="K4273" s="10">
        <v>0.14007</v>
      </c>
      <c r="L4273" s="4"/>
      <c r="M4273" s="17">
        <v>1</v>
      </c>
      <c r="N4273" s="18">
        <v>0.14007</v>
      </c>
      <c r="O4273" s="19">
        <v>0</v>
      </c>
      <c r="P4273" s="13">
        <v>0</v>
      </c>
      <c r="Q4273" s="9"/>
      <c r="R4273" s="74">
        <v>1</v>
      </c>
      <c r="S4273" s="74" t="s">
        <v>540</v>
      </c>
    </row>
    <row r="4274" spans="1:19">
      <c r="A4274" s="42" t="s">
        <v>78</v>
      </c>
      <c r="B4274" s="3"/>
      <c r="C4274" s="3">
        <v>8</v>
      </c>
      <c r="D4274" s="1"/>
      <c r="E4274" s="20" t="s">
        <v>24</v>
      </c>
      <c r="F4274" s="7" t="s">
        <v>14</v>
      </c>
      <c r="G4274" s="7" t="s">
        <v>28</v>
      </c>
      <c r="H4274" s="11">
        <v>12.18</v>
      </c>
      <c r="I4274" s="8">
        <v>11</v>
      </c>
      <c r="J4274" s="26">
        <v>1</v>
      </c>
      <c r="K4274" s="10">
        <v>0.13397999999999999</v>
      </c>
      <c r="L4274" s="4"/>
      <c r="M4274" s="17">
        <v>1</v>
      </c>
      <c r="N4274" s="18">
        <v>0.13397999999999999</v>
      </c>
      <c r="O4274" s="19">
        <v>0</v>
      </c>
      <c r="P4274" s="13">
        <v>0</v>
      </c>
      <c r="Q4274" s="9"/>
      <c r="R4274" s="74">
        <v>1</v>
      </c>
      <c r="S4274" s="74" t="s">
        <v>540</v>
      </c>
    </row>
    <row r="4275" spans="1:19">
      <c r="A4275" s="42" t="s">
        <v>78</v>
      </c>
      <c r="B4275" s="3"/>
      <c r="C4275" s="3">
        <v>8</v>
      </c>
      <c r="D4275" s="1"/>
      <c r="E4275" s="20" t="s">
        <v>24</v>
      </c>
      <c r="F4275" s="7" t="s">
        <v>14</v>
      </c>
      <c r="G4275" s="7" t="s">
        <v>28</v>
      </c>
      <c r="H4275" s="11">
        <v>12.18</v>
      </c>
      <c r="I4275" s="8">
        <v>6.6</v>
      </c>
      <c r="J4275" s="26">
        <v>6</v>
      </c>
      <c r="K4275" s="10">
        <v>0.48232799999999998</v>
      </c>
      <c r="L4275" s="4"/>
      <c r="M4275" s="17">
        <v>6</v>
      </c>
      <c r="N4275" s="18">
        <v>0.48232799999999992</v>
      </c>
      <c r="O4275" s="19">
        <v>0</v>
      </c>
      <c r="P4275" s="13">
        <v>0</v>
      </c>
      <c r="Q4275" s="9"/>
      <c r="R4275" s="2"/>
      <c r="S4275" s="2"/>
    </row>
    <row r="4276" spans="1:19">
      <c r="A4276" s="42" t="s">
        <v>84</v>
      </c>
      <c r="B4276" s="3" t="s">
        <v>119</v>
      </c>
      <c r="C4276" s="3">
        <v>1</v>
      </c>
      <c r="D4276" s="1"/>
      <c r="E4276" s="20" t="s">
        <v>81</v>
      </c>
      <c r="F4276" s="7" t="s">
        <v>14</v>
      </c>
      <c r="G4276" s="7" t="s">
        <v>28</v>
      </c>
      <c r="H4276" s="11">
        <v>12.18</v>
      </c>
      <c r="I4276" s="8">
        <v>11.8</v>
      </c>
      <c r="J4276" s="26">
        <v>24</v>
      </c>
      <c r="K4276" s="10">
        <v>3.449376</v>
      </c>
      <c r="L4276" s="4"/>
      <c r="M4276" s="17">
        <v>12</v>
      </c>
      <c r="N4276" s="18">
        <v>1.7246880000000002</v>
      </c>
      <c r="O4276" s="19">
        <v>12</v>
      </c>
      <c r="P4276" s="13">
        <v>1.7246880000000002</v>
      </c>
      <c r="Q4276" s="9"/>
      <c r="R4276" s="74">
        <v>4</v>
      </c>
      <c r="S4276" s="74" t="s">
        <v>540</v>
      </c>
    </row>
    <row r="4277" spans="1:19">
      <c r="A4277" s="42" t="s">
        <v>84</v>
      </c>
      <c r="B4277" s="3" t="s">
        <v>119</v>
      </c>
      <c r="C4277" s="3">
        <v>1</v>
      </c>
      <c r="D4277" s="1"/>
      <c r="E4277" s="20" t="s">
        <v>81</v>
      </c>
      <c r="F4277" s="7" t="s">
        <v>14</v>
      </c>
      <c r="G4277" s="7" t="s">
        <v>28</v>
      </c>
      <c r="H4277" s="11">
        <v>12.18</v>
      </c>
      <c r="I4277" s="8">
        <v>10.7</v>
      </c>
      <c r="J4277" s="26">
        <v>1</v>
      </c>
      <c r="K4277" s="10">
        <v>0.130326</v>
      </c>
      <c r="L4277" s="4"/>
      <c r="M4277" s="17"/>
      <c r="N4277" s="18">
        <v>0</v>
      </c>
      <c r="O4277" s="19">
        <v>1</v>
      </c>
      <c r="P4277" s="13">
        <v>0.130326</v>
      </c>
      <c r="Q4277" s="9"/>
      <c r="R4277" s="2"/>
      <c r="S4277" s="2"/>
    </row>
    <row r="4278" spans="1:19">
      <c r="A4278" s="42" t="s">
        <v>84</v>
      </c>
      <c r="B4278" s="3" t="s">
        <v>122</v>
      </c>
      <c r="C4278" s="3">
        <v>1</v>
      </c>
      <c r="D4278" s="1"/>
      <c r="E4278" s="20" t="s">
        <v>19</v>
      </c>
      <c r="F4278" s="7" t="s">
        <v>14</v>
      </c>
      <c r="G4278" s="7" t="s">
        <v>28</v>
      </c>
      <c r="H4278" s="11">
        <v>12.18</v>
      </c>
      <c r="I4278" s="8">
        <v>10.1</v>
      </c>
      <c r="J4278" s="26">
        <v>1</v>
      </c>
      <c r="K4278" s="10">
        <v>0.12301799999999999</v>
      </c>
      <c r="L4278" s="4" t="s">
        <v>123</v>
      </c>
      <c r="M4278" s="17"/>
      <c r="N4278" s="18">
        <v>0</v>
      </c>
      <c r="O4278" s="19">
        <v>1</v>
      </c>
      <c r="P4278" s="13">
        <v>0.12301799999999999</v>
      </c>
      <c r="Q4278" s="9"/>
      <c r="R4278" s="2"/>
      <c r="S4278" s="2"/>
    </row>
    <row r="4279" spans="1:19">
      <c r="A4279" s="42" t="s">
        <v>84</v>
      </c>
      <c r="B4279" s="3" t="s">
        <v>122</v>
      </c>
      <c r="C4279" s="3">
        <v>1</v>
      </c>
      <c r="D4279" s="1"/>
      <c r="E4279" s="20" t="s">
        <v>19</v>
      </c>
      <c r="F4279" s="7" t="s">
        <v>14</v>
      </c>
      <c r="G4279" s="7" t="s">
        <v>28</v>
      </c>
      <c r="H4279" s="11">
        <v>12.18</v>
      </c>
      <c r="I4279" s="8">
        <v>11.1</v>
      </c>
      <c r="J4279" s="26">
        <v>1</v>
      </c>
      <c r="K4279" s="10">
        <v>0.13519799999999998</v>
      </c>
      <c r="L4279" s="4" t="s">
        <v>123</v>
      </c>
      <c r="M4279" s="17"/>
      <c r="N4279" s="18">
        <v>0</v>
      </c>
      <c r="O4279" s="19">
        <v>1</v>
      </c>
      <c r="P4279" s="13">
        <v>0.13519799999999998</v>
      </c>
      <c r="Q4279" s="9"/>
      <c r="R4279" s="2"/>
      <c r="S4279" s="2"/>
    </row>
    <row r="4280" spans="1:19">
      <c r="A4280" s="42" t="s">
        <v>90</v>
      </c>
      <c r="B4280" s="48" t="s">
        <v>148</v>
      </c>
      <c r="C4280" s="32">
        <v>33</v>
      </c>
      <c r="D4280" s="32"/>
      <c r="E4280" s="48" t="s">
        <v>19</v>
      </c>
      <c r="F4280" s="48" t="s">
        <v>14</v>
      </c>
      <c r="G4280" s="48" t="s">
        <v>28</v>
      </c>
      <c r="H4280" s="11">
        <v>12.18</v>
      </c>
      <c r="I4280" s="52">
        <v>6.75</v>
      </c>
      <c r="J4280" s="7">
        <v>2</v>
      </c>
      <c r="K4280" s="10">
        <v>0.16443000000000002</v>
      </c>
      <c r="L4280" s="32"/>
      <c r="M4280" s="32"/>
      <c r="N4280" s="18">
        <v>0</v>
      </c>
      <c r="O4280" s="19">
        <v>2</v>
      </c>
      <c r="P4280" s="13">
        <v>0.16443000000000002</v>
      </c>
      <c r="Q4280" s="9"/>
      <c r="R4280" s="2"/>
      <c r="S4280" s="2"/>
    </row>
    <row r="4281" spans="1:19">
      <c r="A4281" s="42" t="s">
        <v>90</v>
      </c>
      <c r="B4281" s="48" t="s">
        <v>148</v>
      </c>
      <c r="C4281" s="32">
        <v>33</v>
      </c>
      <c r="D4281" s="32"/>
      <c r="E4281" s="48" t="s">
        <v>19</v>
      </c>
      <c r="F4281" s="48" t="s">
        <v>14</v>
      </c>
      <c r="G4281" s="48" t="s">
        <v>28</v>
      </c>
      <c r="H4281" s="11">
        <v>12.18</v>
      </c>
      <c r="I4281" s="52">
        <v>9</v>
      </c>
      <c r="J4281" s="7">
        <v>4</v>
      </c>
      <c r="K4281" s="10">
        <v>0.43848000000000004</v>
      </c>
      <c r="L4281" s="32"/>
      <c r="M4281" s="32">
        <v>4</v>
      </c>
      <c r="N4281" s="18">
        <v>0.43848000000000004</v>
      </c>
      <c r="O4281" s="19">
        <v>0</v>
      </c>
      <c r="P4281" s="13">
        <v>0</v>
      </c>
      <c r="Q4281" s="9"/>
      <c r="R4281" s="111"/>
      <c r="S4281" s="2"/>
    </row>
    <row r="4282" spans="1:19">
      <c r="A4282" s="42" t="s">
        <v>90</v>
      </c>
      <c r="B4282" s="48" t="s">
        <v>148</v>
      </c>
      <c r="C4282" s="32">
        <v>33</v>
      </c>
      <c r="D4282" s="32"/>
      <c r="E4282" s="48" t="s">
        <v>19</v>
      </c>
      <c r="F4282" s="48" t="s">
        <v>14</v>
      </c>
      <c r="G4282" s="48" t="s">
        <v>28</v>
      </c>
      <c r="H4282" s="11">
        <v>12.18</v>
      </c>
      <c r="I4282" s="52">
        <v>10.5</v>
      </c>
      <c r="J4282" s="7">
        <v>1</v>
      </c>
      <c r="K4282" s="10">
        <v>0.12789</v>
      </c>
      <c r="L4282" s="32"/>
      <c r="M4282" s="32">
        <v>1</v>
      </c>
      <c r="N4282" s="18">
        <v>0.12789</v>
      </c>
      <c r="O4282" s="19">
        <v>0</v>
      </c>
      <c r="P4282" s="13">
        <v>0</v>
      </c>
      <c r="Q4282" s="9"/>
      <c r="R4282" s="111"/>
      <c r="S4282" s="2"/>
    </row>
    <row r="4283" spans="1:19">
      <c r="A4283" s="44" t="s">
        <v>78</v>
      </c>
      <c r="B4283" s="3" t="s">
        <v>80</v>
      </c>
      <c r="C4283" s="3">
        <v>6</v>
      </c>
      <c r="D4283" s="1"/>
      <c r="E4283" s="20" t="s">
        <v>19</v>
      </c>
      <c r="F4283" s="7" t="s">
        <v>14</v>
      </c>
      <c r="G4283" s="7" t="s">
        <v>28</v>
      </c>
      <c r="H4283" s="11">
        <v>12.18</v>
      </c>
      <c r="I4283" s="8">
        <v>5.4</v>
      </c>
      <c r="J4283" s="26">
        <v>1</v>
      </c>
      <c r="K4283" s="10">
        <v>6.5772000000000011E-2</v>
      </c>
      <c r="L4283" s="4"/>
      <c r="M4283" s="17"/>
      <c r="N4283" s="18">
        <v>0</v>
      </c>
      <c r="O4283" s="19">
        <v>1</v>
      </c>
      <c r="P4283" s="13">
        <v>6.5772000000000011E-2</v>
      </c>
      <c r="Q4283" s="9"/>
      <c r="R4283" s="32"/>
      <c r="S4283" s="32"/>
    </row>
    <row r="4284" spans="1:19">
      <c r="A4284" s="44" t="s">
        <v>78</v>
      </c>
      <c r="B4284" s="3" t="s">
        <v>80</v>
      </c>
      <c r="C4284" s="3"/>
      <c r="D4284" s="1"/>
      <c r="E4284" s="20"/>
      <c r="F4284" s="7" t="s">
        <v>14</v>
      </c>
      <c r="G4284" s="7" t="s">
        <v>28</v>
      </c>
      <c r="H4284" s="11">
        <v>12.18</v>
      </c>
      <c r="I4284" s="8">
        <v>6.75</v>
      </c>
      <c r="J4284" s="26">
        <v>1</v>
      </c>
      <c r="K4284" s="10">
        <v>8.221500000000001E-2</v>
      </c>
      <c r="L4284" s="4"/>
      <c r="M4284" s="17"/>
      <c r="N4284" s="18">
        <v>0</v>
      </c>
      <c r="O4284" s="19">
        <v>1</v>
      </c>
      <c r="P4284" s="13">
        <v>8.221500000000001E-2</v>
      </c>
      <c r="Q4284" s="9"/>
      <c r="R4284" s="32"/>
      <c r="S4284" s="32"/>
    </row>
    <row r="4285" spans="1:19">
      <c r="A4285" s="45" t="s">
        <v>136</v>
      </c>
      <c r="B4285" s="32" t="s">
        <v>137</v>
      </c>
      <c r="C4285" s="3">
        <v>53</v>
      </c>
      <c r="D4285" s="32"/>
      <c r="E4285" s="39" t="s">
        <v>24</v>
      </c>
      <c r="F4285" s="7" t="s">
        <v>14</v>
      </c>
      <c r="G4285" s="7" t="s">
        <v>28</v>
      </c>
      <c r="H4285" s="11">
        <v>12.18</v>
      </c>
      <c r="I4285" s="33">
        <v>12</v>
      </c>
      <c r="J4285" s="40">
        <v>3</v>
      </c>
      <c r="K4285" s="10">
        <v>0.43848000000000004</v>
      </c>
      <c r="L4285" s="4"/>
      <c r="M4285" s="17">
        <v>3</v>
      </c>
      <c r="N4285" s="18">
        <v>0.43848000000000004</v>
      </c>
      <c r="O4285" s="19">
        <v>0</v>
      </c>
      <c r="P4285" s="13">
        <v>0</v>
      </c>
      <c r="Q4285" s="32"/>
      <c r="R4285" s="72">
        <v>3</v>
      </c>
      <c r="S4285" s="74" t="s">
        <v>540</v>
      </c>
    </row>
    <row r="4286" spans="1:19">
      <c r="O4286" s="215">
        <f>SUM(O4266:O4285)</f>
        <v>26</v>
      </c>
      <c r="R4286" s="215">
        <f>SUM(R4266:R4285)</f>
        <v>11</v>
      </c>
    </row>
    <row r="4287" spans="1:19">
      <c r="R4287" s="215">
        <f>+R4286+Q4265</f>
        <v>18</v>
      </c>
    </row>
    <row r="4289" spans="1:19">
      <c r="A4289" s="45" t="s">
        <v>136</v>
      </c>
      <c r="B4289" s="32" t="s">
        <v>137</v>
      </c>
      <c r="C4289" s="3">
        <v>7</v>
      </c>
      <c r="D4289" s="32"/>
      <c r="E4289" s="20" t="s">
        <v>20</v>
      </c>
      <c r="F4289" s="7" t="s">
        <v>15</v>
      </c>
      <c r="G4289" s="7" t="s">
        <v>42</v>
      </c>
      <c r="H4289" s="11">
        <v>19.72</v>
      </c>
      <c r="I4289" s="55">
        <v>6.2</v>
      </c>
      <c r="J4289" s="40">
        <v>2</v>
      </c>
      <c r="K4289" s="10">
        <v>0.244528</v>
      </c>
      <c r="L4289" s="4"/>
      <c r="M4289" s="17"/>
      <c r="N4289" s="18">
        <v>0</v>
      </c>
      <c r="O4289" s="19">
        <v>2</v>
      </c>
      <c r="P4289" s="13">
        <v>0.244528</v>
      </c>
      <c r="Q4289" s="32"/>
      <c r="R4289" s="32"/>
      <c r="S4289" s="32"/>
    </row>
    <row r="4290" spans="1:19">
      <c r="A4290" s="45" t="s">
        <v>136</v>
      </c>
      <c r="B4290" s="32" t="s">
        <v>137</v>
      </c>
      <c r="C4290" s="3">
        <v>56</v>
      </c>
      <c r="D4290" s="32"/>
      <c r="E4290" s="20" t="s">
        <v>20</v>
      </c>
      <c r="F4290" s="7" t="s">
        <v>15</v>
      </c>
      <c r="G4290" s="7" t="s">
        <v>42</v>
      </c>
      <c r="H4290" s="11">
        <v>19.72</v>
      </c>
      <c r="I4290" s="55">
        <v>6.9</v>
      </c>
      <c r="J4290" s="40">
        <v>1</v>
      </c>
      <c r="K4290" s="10">
        <v>0.13606800000000002</v>
      </c>
      <c r="L4290" s="4"/>
      <c r="M4290" s="17">
        <v>1</v>
      </c>
      <c r="N4290" s="18">
        <v>0.13606800000000002</v>
      </c>
      <c r="O4290" s="19">
        <v>0</v>
      </c>
      <c r="P4290" s="13">
        <v>0</v>
      </c>
      <c r="Q4290" s="55"/>
      <c r="R4290" s="72">
        <v>1</v>
      </c>
      <c r="S4290" s="72" t="s">
        <v>542</v>
      </c>
    </row>
    <row r="4291" spans="1:19">
      <c r="A4291" s="45" t="s">
        <v>136</v>
      </c>
      <c r="B4291" s="32" t="s">
        <v>137</v>
      </c>
      <c r="C4291" s="3">
        <v>99</v>
      </c>
      <c r="D4291" s="32"/>
      <c r="E4291" s="20" t="s">
        <v>20</v>
      </c>
      <c r="F4291" s="7" t="s">
        <v>15</v>
      </c>
      <c r="G4291" s="7" t="s">
        <v>42</v>
      </c>
      <c r="H4291" s="11">
        <v>19.72</v>
      </c>
      <c r="I4291" s="55">
        <v>5.4</v>
      </c>
      <c r="J4291" s="41">
        <v>1</v>
      </c>
      <c r="K4291" s="10">
        <v>0.106488</v>
      </c>
      <c r="L4291" s="4"/>
      <c r="M4291" s="17"/>
      <c r="N4291" s="18">
        <v>0</v>
      </c>
      <c r="O4291" s="19">
        <v>1</v>
      </c>
      <c r="P4291" s="13">
        <v>0.106488</v>
      </c>
      <c r="Q4291" s="33"/>
      <c r="R4291" s="32"/>
      <c r="S4291" s="32"/>
    </row>
    <row r="4292" spans="1:19">
      <c r="A4292" s="45" t="s">
        <v>136</v>
      </c>
      <c r="B4292" s="32" t="s">
        <v>137</v>
      </c>
      <c r="C4292" s="32">
        <v>105</v>
      </c>
      <c r="D4292" s="32"/>
      <c r="E4292" s="39" t="s">
        <v>94</v>
      </c>
      <c r="F4292" s="46" t="s">
        <v>15</v>
      </c>
      <c r="G4292" s="7" t="s">
        <v>42</v>
      </c>
      <c r="H4292" s="11">
        <v>19.72</v>
      </c>
      <c r="I4292" s="55">
        <v>11</v>
      </c>
      <c r="J4292" s="41">
        <v>1</v>
      </c>
      <c r="K4292" s="10">
        <v>0.21691999999999997</v>
      </c>
      <c r="L4292" s="4"/>
      <c r="M4292" s="17">
        <v>1</v>
      </c>
      <c r="N4292" s="18">
        <v>0.21691999999999997</v>
      </c>
      <c r="O4292" s="19">
        <v>0</v>
      </c>
      <c r="P4292" s="13">
        <v>0</v>
      </c>
      <c r="Q4292" s="33"/>
      <c r="R4292" s="72">
        <v>1</v>
      </c>
      <c r="S4292" s="72" t="s">
        <v>542</v>
      </c>
    </row>
    <row r="4293" spans="1:19">
      <c r="A4293" s="45" t="s">
        <v>136</v>
      </c>
      <c r="B4293" s="32" t="s">
        <v>137</v>
      </c>
      <c r="C4293" s="32">
        <v>105</v>
      </c>
      <c r="D4293" s="32"/>
      <c r="E4293" s="39" t="s">
        <v>94</v>
      </c>
      <c r="F4293" s="46" t="s">
        <v>15</v>
      </c>
      <c r="G4293" s="7" t="s">
        <v>42</v>
      </c>
      <c r="H4293" s="11">
        <v>19.72</v>
      </c>
      <c r="I4293" s="55">
        <v>11.3</v>
      </c>
      <c r="J4293" s="41">
        <v>5</v>
      </c>
      <c r="K4293" s="10">
        <v>1.1141800000000002</v>
      </c>
      <c r="L4293" s="4"/>
      <c r="M4293" s="17">
        <v>5</v>
      </c>
      <c r="N4293" s="18">
        <v>1.1141799999999997</v>
      </c>
      <c r="O4293" s="19">
        <v>0</v>
      </c>
      <c r="P4293" s="13">
        <v>0</v>
      </c>
      <c r="Q4293" s="33"/>
      <c r="R4293" s="72">
        <v>5</v>
      </c>
      <c r="S4293" s="72" t="s">
        <v>542</v>
      </c>
    </row>
    <row r="4294" spans="1:19">
      <c r="A4294" s="45" t="s">
        <v>136</v>
      </c>
      <c r="B4294" s="48" t="s">
        <v>171</v>
      </c>
      <c r="C4294" s="32">
        <v>116</v>
      </c>
      <c r="D4294" s="32"/>
      <c r="E4294" s="48" t="s">
        <v>96</v>
      </c>
      <c r="F4294" s="48" t="s">
        <v>15</v>
      </c>
      <c r="G4294" s="48" t="s">
        <v>42</v>
      </c>
      <c r="H4294" s="11">
        <v>19.72</v>
      </c>
      <c r="I4294" s="8">
        <v>11</v>
      </c>
      <c r="J4294" s="7">
        <v>1</v>
      </c>
      <c r="K4294" s="10">
        <v>0.21691999999999997</v>
      </c>
      <c r="L4294" s="32"/>
      <c r="M4294" s="32">
        <v>1</v>
      </c>
      <c r="N4294" s="18">
        <v>0.21691999999999997</v>
      </c>
      <c r="O4294" s="19">
        <v>0</v>
      </c>
      <c r="P4294" s="13">
        <v>0</v>
      </c>
      <c r="Q4294" s="33"/>
      <c r="R4294" s="72">
        <v>1</v>
      </c>
      <c r="S4294" s="72" t="s">
        <v>542</v>
      </c>
    </row>
    <row r="4295" spans="1:19">
      <c r="A4295" s="45" t="s">
        <v>136</v>
      </c>
      <c r="B4295" s="48" t="s">
        <v>171</v>
      </c>
      <c r="C4295" s="32">
        <v>123</v>
      </c>
      <c r="D4295" s="32"/>
      <c r="E4295" s="48" t="s">
        <v>175</v>
      </c>
      <c r="F4295" s="48" t="s">
        <v>15</v>
      </c>
      <c r="G4295" s="48" t="s">
        <v>42</v>
      </c>
      <c r="H4295" s="11">
        <v>19.72</v>
      </c>
      <c r="I4295" s="8">
        <v>11</v>
      </c>
      <c r="J4295" s="7">
        <v>4</v>
      </c>
      <c r="K4295" s="10">
        <v>0.8676799999999999</v>
      </c>
      <c r="L4295" s="32"/>
      <c r="M4295" s="32">
        <v>4</v>
      </c>
      <c r="N4295" s="18">
        <v>0.8676799999999999</v>
      </c>
      <c r="O4295" s="19">
        <v>0</v>
      </c>
      <c r="P4295" s="13">
        <v>0</v>
      </c>
      <c r="Q4295" s="32"/>
      <c r="R4295" s="72">
        <v>4</v>
      </c>
      <c r="S4295" s="72" t="s">
        <v>542</v>
      </c>
    </row>
    <row r="4296" spans="1:19">
      <c r="A4296" s="45" t="s">
        <v>136</v>
      </c>
      <c r="B4296" s="48" t="s">
        <v>171</v>
      </c>
      <c r="C4296" s="32">
        <v>148</v>
      </c>
      <c r="D4296" s="32"/>
      <c r="E4296" s="48" t="s">
        <v>89</v>
      </c>
      <c r="F4296" s="48" t="s">
        <v>15</v>
      </c>
      <c r="G4296" s="48" t="s">
        <v>42</v>
      </c>
      <c r="H4296" s="11">
        <v>19.72</v>
      </c>
      <c r="I4296" s="9">
        <v>11.2</v>
      </c>
      <c r="J4296" s="7">
        <v>1</v>
      </c>
      <c r="K4296" s="10">
        <v>0.22086399999999998</v>
      </c>
      <c r="L4296" s="32"/>
      <c r="M4296" s="32">
        <v>1</v>
      </c>
      <c r="N4296" s="18">
        <v>0.22086399999999998</v>
      </c>
      <c r="O4296" s="19">
        <v>0</v>
      </c>
      <c r="P4296" s="13">
        <v>0</v>
      </c>
      <c r="Q4296" s="32"/>
      <c r="R4296" s="72">
        <v>1</v>
      </c>
      <c r="S4296" s="72" t="s">
        <v>542</v>
      </c>
    </row>
    <row r="4297" spans="1:19">
      <c r="A4297" s="45" t="s">
        <v>136</v>
      </c>
      <c r="B4297" s="48" t="s">
        <v>171</v>
      </c>
      <c r="C4297" s="32">
        <v>159</v>
      </c>
      <c r="D4297" s="32"/>
      <c r="E4297" s="48" t="s">
        <v>89</v>
      </c>
      <c r="F4297" s="48" t="s">
        <v>15</v>
      </c>
      <c r="G4297" s="48" t="s">
        <v>42</v>
      </c>
      <c r="H4297" s="11">
        <v>19.72</v>
      </c>
      <c r="I4297" s="8">
        <v>9.5</v>
      </c>
      <c r="J4297" s="7">
        <v>1</v>
      </c>
      <c r="K4297" s="10">
        <v>0.18733999999999998</v>
      </c>
      <c r="L4297" s="32"/>
      <c r="M4297" s="32">
        <v>1</v>
      </c>
      <c r="N4297" s="18">
        <v>0.18733999999999998</v>
      </c>
      <c r="O4297" s="19">
        <v>0</v>
      </c>
      <c r="P4297" s="13">
        <v>0</v>
      </c>
      <c r="Q4297" s="32"/>
      <c r="R4297" s="72">
        <v>1</v>
      </c>
      <c r="S4297" s="72" t="s">
        <v>542</v>
      </c>
    </row>
    <row r="4298" spans="1:19">
      <c r="A4298" s="45" t="s">
        <v>136</v>
      </c>
      <c r="B4298" s="48" t="s">
        <v>171</v>
      </c>
      <c r="C4298" s="32">
        <v>159</v>
      </c>
      <c r="D4298" s="32"/>
      <c r="E4298" s="48" t="s">
        <v>89</v>
      </c>
      <c r="F4298" s="48" t="s">
        <v>15</v>
      </c>
      <c r="G4298" s="48" t="s">
        <v>42</v>
      </c>
      <c r="H4298" s="11">
        <v>19.72</v>
      </c>
      <c r="I4298" s="8">
        <v>10.5</v>
      </c>
      <c r="J4298" s="7">
        <v>1</v>
      </c>
      <c r="K4298" s="10">
        <v>0.20705999999999999</v>
      </c>
      <c r="L4298" s="32"/>
      <c r="M4298" s="32">
        <v>1</v>
      </c>
      <c r="N4298" s="18">
        <v>0.20705999999999999</v>
      </c>
      <c r="O4298" s="19">
        <v>0</v>
      </c>
      <c r="P4298" s="13">
        <v>0</v>
      </c>
      <c r="Q4298" s="32"/>
      <c r="R4298" s="72">
        <v>1</v>
      </c>
      <c r="S4298" s="72" t="s">
        <v>542</v>
      </c>
    </row>
    <row r="4299" spans="1:19">
      <c r="A4299" s="45" t="s">
        <v>136</v>
      </c>
      <c r="B4299" s="48" t="s">
        <v>171</v>
      </c>
      <c r="C4299" s="32">
        <v>159</v>
      </c>
      <c r="D4299" s="32"/>
      <c r="E4299" s="48" t="s">
        <v>89</v>
      </c>
      <c r="F4299" s="48" t="s">
        <v>15</v>
      </c>
      <c r="G4299" s="48" t="s">
        <v>42</v>
      </c>
      <c r="H4299" s="11">
        <v>19.72</v>
      </c>
      <c r="I4299" s="8">
        <v>11.3</v>
      </c>
      <c r="J4299" s="7">
        <v>1</v>
      </c>
      <c r="K4299" s="10">
        <v>0.22283600000000001</v>
      </c>
      <c r="L4299" s="32"/>
      <c r="M4299" s="32">
        <v>1</v>
      </c>
      <c r="N4299" s="18">
        <v>0.22283600000000001</v>
      </c>
      <c r="O4299" s="19">
        <v>0</v>
      </c>
      <c r="P4299" s="13">
        <v>0</v>
      </c>
      <c r="Q4299" s="32"/>
      <c r="R4299" s="72">
        <v>1</v>
      </c>
      <c r="S4299" s="72" t="s">
        <v>542</v>
      </c>
    </row>
    <row r="4300" spans="1:19">
      <c r="O4300" s="215">
        <f>SUM(O4289:O4299)</f>
        <v>3</v>
      </c>
      <c r="R4300" s="215">
        <f>SUM(R4289:R4299)</f>
        <v>16</v>
      </c>
    </row>
    <row r="4301" spans="1:19" ht="15.6">
      <c r="B4301" s="110" t="s">
        <v>638</v>
      </c>
      <c r="C4301" s="111" t="s">
        <v>505</v>
      </c>
      <c r="D4301" s="112" t="s">
        <v>449</v>
      </c>
      <c r="E4301" s="113" t="s">
        <v>17</v>
      </c>
      <c r="F4301" s="114" t="s">
        <v>15</v>
      </c>
      <c r="G4301" s="115" t="s">
        <v>42</v>
      </c>
      <c r="H4301" s="116">
        <v>19.72</v>
      </c>
      <c r="I4301" s="125">
        <v>11.1</v>
      </c>
      <c r="J4301" s="468">
        <v>2</v>
      </c>
      <c r="K4301" s="117">
        <f t="shared" ref="K4301:K4302" si="534">I4301*H4301*J4301/1000</f>
        <v>0.43778399999999995</v>
      </c>
      <c r="L4301" s="32"/>
      <c r="M4301" s="111">
        <v>2</v>
      </c>
      <c r="N4301" s="117">
        <f t="shared" ref="N4301:N4304" si="535">I4301*M4301*H4301/1000</f>
        <v>0.43778399999999995</v>
      </c>
      <c r="O4301" s="119">
        <f t="shared" ref="O4301:O4304" si="536">J4301-M4301</f>
        <v>0</v>
      </c>
      <c r="P4301" s="120">
        <f t="shared" ref="P4301:P4302" si="537">I4301*O4301*H4301/1000</f>
        <v>0</v>
      </c>
      <c r="Q4301" s="111"/>
      <c r="R4301" s="111"/>
    </row>
    <row r="4302" spans="1:19" ht="15.6">
      <c r="B4302" s="110" t="s">
        <v>638</v>
      </c>
      <c r="C4302" s="111" t="s">
        <v>505</v>
      </c>
      <c r="D4302" s="112" t="s">
        <v>449</v>
      </c>
      <c r="E4302" s="113" t="s">
        <v>17</v>
      </c>
      <c r="F4302" s="114" t="s">
        <v>15</v>
      </c>
      <c r="G4302" s="115" t="s">
        <v>42</v>
      </c>
      <c r="H4302" s="116">
        <v>19.72</v>
      </c>
      <c r="I4302" s="125">
        <v>11</v>
      </c>
      <c r="J4302" s="468">
        <v>4</v>
      </c>
      <c r="K4302" s="117">
        <f t="shared" si="534"/>
        <v>0.8676799999999999</v>
      </c>
      <c r="L4302" s="32"/>
      <c r="M4302" s="111">
        <v>4</v>
      </c>
      <c r="N4302" s="117">
        <f t="shared" si="535"/>
        <v>0.8676799999999999</v>
      </c>
      <c r="O4302" s="119">
        <f t="shared" si="536"/>
        <v>0</v>
      </c>
      <c r="P4302" s="120">
        <f t="shared" si="537"/>
        <v>0</v>
      </c>
      <c r="Q4302" s="111"/>
      <c r="R4302" s="111"/>
    </row>
    <row r="4303" spans="1:19" ht="15.6">
      <c r="B4303" s="110" t="s">
        <v>638</v>
      </c>
      <c r="C4303" s="111" t="s">
        <v>505</v>
      </c>
      <c r="D4303" s="112" t="s">
        <v>449</v>
      </c>
      <c r="E4303" s="113" t="s">
        <v>17</v>
      </c>
      <c r="F4303" s="114" t="s">
        <v>15</v>
      </c>
      <c r="G4303" s="115" t="s">
        <v>42</v>
      </c>
      <c r="H4303" s="116">
        <v>19.72</v>
      </c>
      <c r="I4303" s="125">
        <v>8</v>
      </c>
      <c r="J4303" s="468">
        <v>1</v>
      </c>
      <c r="K4303" s="117">
        <f>I4303*H4303*J4303/1000</f>
        <v>0.15775999999999998</v>
      </c>
      <c r="L4303" s="32"/>
      <c r="M4303" s="111"/>
      <c r="N4303" s="117">
        <f t="shared" si="535"/>
        <v>0</v>
      </c>
      <c r="O4303" s="145">
        <f t="shared" si="536"/>
        <v>1</v>
      </c>
      <c r="P4303" s="120">
        <f>I4303*O4303*H4303/1000</f>
        <v>0.15775999999999998</v>
      </c>
      <c r="Q4303" s="93">
        <v>1</v>
      </c>
      <c r="R4303" s="93" t="s">
        <v>631</v>
      </c>
    </row>
    <row r="4304" spans="1:19" ht="15.6">
      <c r="B4304" s="110" t="s">
        <v>638</v>
      </c>
      <c r="C4304" s="111" t="s">
        <v>505</v>
      </c>
      <c r="D4304" s="112" t="s">
        <v>449</v>
      </c>
      <c r="E4304" s="113" t="s">
        <v>17</v>
      </c>
      <c r="F4304" s="114" t="s">
        <v>15</v>
      </c>
      <c r="G4304" s="115" t="s">
        <v>42</v>
      </c>
      <c r="H4304" s="116">
        <v>19.72</v>
      </c>
      <c r="I4304" s="125">
        <v>6.8</v>
      </c>
      <c r="J4304" s="468">
        <v>1</v>
      </c>
      <c r="K4304" s="117">
        <f>I4304*H4304*J4304/1000</f>
        <v>0.13409599999999997</v>
      </c>
      <c r="L4304" s="32"/>
      <c r="M4304" s="111"/>
      <c r="N4304" s="117">
        <f t="shared" si="535"/>
        <v>0</v>
      </c>
      <c r="O4304" s="145">
        <f t="shared" si="536"/>
        <v>1</v>
      </c>
      <c r="P4304" s="120">
        <f>I4304*O4304*H4304/1000</f>
        <v>0.13409599999999997</v>
      </c>
      <c r="Q4304" s="93">
        <v>1</v>
      </c>
      <c r="R4304" s="93" t="s">
        <v>631</v>
      </c>
    </row>
    <row r="4305" spans="1:20">
      <c r="Q4305" s="76">
        <f>SUM(Q4303:Q4304)</f>
        <v>2</v>
      </c>
    </row>
    <row r="4306" spans="1:20">
      <c r="R4306" s="215">
        <f>+Q4305+R4300</f>
        <v>18</v>
      </c>
    </row>
    <row r="4307" spans="1:20">
      <c r="B4307" s="213"/>
      <c r="C4307" s="213"/>
      <c r="D4307" s="213"/>
      <c r="E4307" s="213"/>
      <c r="F4307" s="213"/>
      <c r="G4307" s="213"/>
      <c r="H4307" s="213"/>
      <c r="I4307" s="213"/>
      <c r="J4307" s="213"/>
      <c r="K4307" s="213"/>
      <c r="L4307" s="213"/>
      <c r="M4307" s="213"/>
      <c r="N4307" s="213"/>
      <c r="O4307" s="213"/>
      <c r="P4307" s="213"/>
      <c r="Q4307" s="213"/>
      <c r="R4307" s="213"/>
      <c r="S4307" s="213"/>
      <c r="T4307" s="213"/>
    </row>
    <row r="4308" spans="1:20" ht="15.6">
      <c r="B4308" s="110" t="s">
        <v>518</v>
      </c>
      <c r="C4308" s="111" t="s">
        <v>505</v>
      </c>
      <c r="D4308" s="112" t="s">
        <v>449</v>
      </c>
      <c r="E4308" s="113" t="s">
        <v>130</v>
      </c>
      <c r="F4308" s="114" t="s">
        <v>15</v>
      </c>
      <c r="G4308" s="115" t="s">
        <v>39</v>
      </c>
      <c r="H4308" s="116">
        <v>14.7</v>
      </c>
      <c r="I4308" s="126">
        <v>11.7</v>
      </c>
      <c r="J4308" s="321">
        <v>12</v>
      </c>
      <c r="K4308" s="117">
        <f t="shared" ref="K4308:K4310" si="538">I4308*H4308*J4308/1000</f>
        <v>2.0638799999999997</v>
      </c>
      <c r="L4308" s="118"/>
      <c r="M4308" s="111">
        <v>10</v>
      </c>
      <c r="N4308" s="117">
        <f t="shared" ref="N4308:N4310" si="539">I4308*M4308*H4308/1000</f>
        <v>1.7198999999999998</v>
      </c>
      <c r="O4308" s="119">
        <f t="shared" ref="O4308:O4310" si="540">J4308-M4308</f>
        <v>2</v>
      </c>
      <c r="P4308" s="120">
        <f t="shared" ref="P4308:P4310" si="541">I4308*O4308*H4308/1000</f>
        <v>0.34397999999999995</v>
      </c>
      <c r="Q4308" s="102">
        <v>11.7</v>
      </c>
      <c r="R4308" s="414">
        <v>10</v>
      </c>
      <c r="S4308" s="91" t="s">
        <v>540</v>
      </c>
      <c r="T4308" s="32"/>
    </row>
    <row r="4309" spans="1:20" ht="15.6">
      <c r="B4309" s="110" t="s">
        <v>518</v>
      </c>
      <c r="C4309" s="111" t="s">
        <v>505</v>
      </c>
      <c r="D4309" s="112" t="s">
        <v>449</v>
      </c>
      <c r="E4309" s="113" t="s">
        <v>130</v>
      </c>
      <c r="F4309" s="114" t="s">
        <v>15</v>
      </c>
      <c r="G4309" s="115" t="s">
        <v>39</v>
      </c>
      <c r="H4309" s="116">
        <v>14.7</v>
      </c>
      <c r="I4309" s="126">
        <v>11.5</v>
      </c>
      <c r="J4309" s="321">
        <v>1</v>
      </c>
      <c r="K4309" s="117">
        <f t="shared" si="538"/>
        <v>0.16904999999999998</v>
      </c>
      <c r="L4309" s="118"/>
      <c r="M4309" s="111"/>
      <c r="N4309" s="117">
        <f t="shared" si="539"/>
        <v>0</v>
      </c>
      <c r="O4309" s="119">
        <f t="shared" si="540"/>
        <v>1</v>
      </c>
      <c r="P4309" s="120">
        <f t="shared" si="541"/>
        <v>0.16904999999999998</v>
      </c>
      <c r="Q4309" s="130"/>
      <c r="R4309" s="320"/>
      <c r="S4309" s="32"/>
      <c r="T4309" s="32"/>
    </row>
    <row r="4310" spans="1:20" ht="15.6">
      <c r="B4310" s="110" t="s">
        <v>518</v>
      </c>
      <c r="C4310" s="111" t="s">
        <v>505</v>
      </c>
      <c r="D4310" s="112" t="s">
        <v>449</v>
      </c>
      <c r="E4310" s="113" t="s">
        <v>130</v>
      </c>
      <c r="F4310" s="114" t="s">
        <v>15</v>
      </c>
      <c r="G4310" s="115" t="s">
        <v>39</v>
      </c>
      <c r="H4310" s="116">
        <v>14.7</v>
      </c>
      <c r="I4310" s="126">
        <v>8.6</v>
      </c>
      <c r="J4310" s="321">
        <v>6</v>
      </c>
      <c r="K4310" s="117">
        <f t="shared" si="538"/>
        <v>0.75851999999999997</v>
      </c>
      <c r="L4310" s="118"/>
      <c r="M4310" s="111">
        <v>6</v>
      </c>
      <c r="N4310" s="117">
        <f t="shared" si="539"/>
        <v>0.75851999999999986</v>
      </c>
      <c r="O4310" s="119">
        <f t="shared" si="540"/>
        <v>0</v>
      </c>
      <c r="P4310" s="120">
        <f t="shared" si="541"/>
        <v>0</v>
      </c>
      <c r="Q4310" s="130"/>
      <c r="R4310" s="320"/>
      <c r="S4310" s="32"/>
      <c r="T4310" s="32"/>
    </row>
    <row r="4311" spans="1:20">
      <c r="B4311" s="213"/>
      <c r="C4311" s="213"/>
      <c r="D4311" s="213"/>
      <c r="E4311" s="213"/>
      <c r="F4311" s="213"/>
      <c r="G4311" s="213"/>
      <c r="H4311" s="213"/>
      <c r="I4311" s="213"/>
      <c r="J4311" s="213"/>
      <c r="K4311" s="213"/>
      <c r="L4311" s="213"/>
      <c r="M4311" s="213"/>
      <c r="N4311" s="213"/>
      <c r="O4311" s="213"/>
      <c r="P4311" s="213"/>
      <c r="Q4311" s="213"/>
      <c r="R4311" s="213"/>
      <c r="S4311" s="213"/>
      <c r="T4311" s="213"/>
    </row>
    <row r="4313" spans="1:20">
      <c r="A4313" s="213"/>
      <c r="B4313" s="213"/>
      <c r="C4313" s="213"/>
      <c r="D4313" s="213"/>
      <c r="E4313" s="213"/>
      <c r="F4313" s="213"/>
      <c r="G4313" s="213"/>
      <c r="H4313" s="213"/>
      <c r="I4313" s="213"/>
      <c r="J4313" s="213"/>
      <c r="K4313" s="213"/>
      <c r="L4313" s="213"/>
      <c r="M4313" s="213"/>
      <c r="N4313" s="213"/>
      <c r="O4313" s="213"/>
      <c r="P4313" s="213"/>
      <c r="Q4313" s="213"/>
      <c r="R4313" s="213"/>
      <c r="S4313" s="213"/>
    </row>
    <row r="4314" spans="1:20">
      <c r="A4314" s="42" t="s">
        <v>84</v>
      </c>
      <c r="B4314" s="3" t="s">
        <v>124</v>
      </c>
      <c r="C4314" s="3">
        <v>3</v>
      </c>
      <c r="D4314" s="1"/>
      <c r="E4314" s="20" t="s">
        <v>85</v>
      </c>
      <c r="F4314" s="7" t="s">
        <v>15</v>
      </c>
      <c r="G4314" s="7" t="s">
        <v>35</v>
      </c>
      <c r="H4314" s="11">
        <v>16.579999999999998</v>
      </c>
      <c r="I4314" s="8">
        <v>7.3</v>
      </c>
      <c r="J4314" s="26">
        <v>8</v>
      </c>
      <c r="K4314" s="10">
        <v>0.9682719999999998</v>
      </c>
      <c r="L4314" s="4"/>
      <c r="M4314" s="17">
        <v>6</v>
      </c>
      <c r="N4314" s="18">
        <v>0.72620399999999985</v>
      </c>
      <c r="O4314" s="19">
        <v>2</v>
      </c>
      <c r="P4314" s="13">
        <v>0.24206799999999995</v>
      </c>
      <c r="Q4314" s="9"/>
      <c r="R4314" s="2"/>
      <c r="S4314" s="2"/>
    </row>
    <row r="4315" spans="1:20">
      <c r="A4315" s="42" t="s">
        <v>84</v>
      </c>
      <c r="B4315" s="3" t="s">
        <v>124</v>
      </c>
      <c r="C4315" s="3">
        <v>6</v>
      </c>
      <c r="D4315" s="1"/>
      <c r="E4315" s="20" t="s">
        <v>76</v>
      </c>
      <c r="F4315" s="7" t="s">
        <v>15</v>
      </c>
      <c r="G4315" s="7" t="s">
        <v>35</v>
      </c>
      <c r="H4315" s="11">
        <v>16.579999999999998</v>
      </c>
      <c r="I4315" s="8">
        <v>8.15</v>
      </c>
      <c r="J4315" s="26">
        <v>15</v>
      </c>
      <c r="K4315" s="10">
        <v>2.0269049999999997</v>
      </c>
      <c r="L4315" s="4"/>
      <c r="M4315" s="17">
        <v>15</v>
      </c>
      <c r="N4315" s="18">
        <v>2.0269049999999997</v>
      </c>
      <c r="O4315" s="19">
        <v>0</v>
      </c>
      <c r="P4315" s="13">
        <v>0</v>
      </c>
      <c r="Q4315" s="73">
        <v>8.15</v>
      </c>
      <c r="R4315" s="74">
        <v>11</v>
      </c>
      <c r="S4315" s="74" t="s">
        <v>540</v>
      </c>
    </row>
    <row r="4316" spans="1:20">
      <c r="A4316" s="213"/>
      <c r="B4316" s="213"/>
      <c r="C4316" s="213"/>
      <c r="D4316" s="213"/>
      <c r="E4316" s="213"/>
      <c r="F4316" s="213"/>
      <c r="G4316" s="213"/>
      <c r="H4316" s="213"/>
      <c r="I4316" s="213"/>
      <c r="J4316" s="213"/>
      <c r="K4316" s="213"/>
      <c r="L4316" s="213"/>
      <c r="M4316" s="213"/>
      <c r="N4316" s="213"/>
      <c r="O4316" s="213"/>
      <c r="P4316" s="213"/>
      <c r="Q4316" s="213"/>
      <c r="R4316" s="213"/>
      <c r="S4316" s="213"/>
    </row>
    <row r="4318" spans="1:20">
      <c r="B4318" s="110" t="s">
        <v>303</v>
      </c>
      <c r="C4318" s="111" t="s">
        <v>232</v>
      </c>
      <c r="D4318" s="112" t="s">
        <v>228</v>
      </c>
      <c r="E4318" s="113" t="s">
        <v>24</v>
      </c>
      <c r="F4318" s="175" t="s">
        <v>14</v>
      </c>
      <c r="G4318" s="175" t="s">
        <v>35</v>
      </c>
      <c r="H4318" s="176">
        <v>16.579999999999998</v>
      </c>
      <c r="I4318" s="177">
        <v>6.75</v>
      </c>
      <c r="J4318" s="178">
        <v>7</v>
      </c>
      <c r="K4318" s="174">
        <f t="shared" ref="K4318:K4323" si="542">(H4318*I4318*J4318/1000)</f>
        <v>0.78340500000000002</v>
      </c>
      <c r="L4318" s="118"/>
      <c r="M4318" s="111">
        <v>5</v>
      </c>
      <c r="N4318" s="117">
        <f t="shared" ref="N4318:N4323" si="543">I4318*M4318*H4318/1000</f>
        <v>0.55957499999999993</v>
      </c>
      <c r="O4318" s="119">
        <f t="shared" ref="O4318:O4323" si="544">J4318-M4318</f>
        <v>2</v>
      </c>
      <c r="P4318" s="120">
        <f t="shared" ref="P4318:P4323" si="545">I4318*O4318*H4318/1000</f>
        <v>0.22382999999999997</v>
      </c>
      <c r="Q4318" s="159"/>
      <c r="R4318" s="111"/>
      <c r="S4318" s="111"/>
      <c r="T4318" s="213"/>
    </row>
    <row r="4319" spans="1:20">
      <c r="B4319" s="110" t="s">
        <v>303</v>
      </c>
      <c r="C4319" s="111" t="s">
        <v>232</v>
      </c>
      <c r="D4319" s="112" t="s">
        <v>228</v>
      </c>
      <c r="E4319" s="113" t="s">
        <v>24</v>
      </c>
      <c r="F4319" s="175" t="s">
        <v>14</v>
      </c>
      <c r="G4319" s="175" t="s">
        <v>35</v>
      </c>
      <c r="H4319" s="176">
        <v>16.579999999999998</v>
      </c>
      <c r="I4319" s="177">
        <v>8</v>
      </c>
      <c r="J4319" s="178">
        <v>5</v>
      </c>
      <c r="K4319" s="174">
        <f t="shared" si="542"/>
        <v>0.6631999999999999</v>
      </c>
      <c r="L4319" s="118"/>
      <c r="M4319" s="111">
        <v>4</v>
      </c>
      <c r="N4319" s="117">
        <f t="shared" si="543"/>
        <v>0.53055999999999992</v>
      </c>
      <c r="O4319" s="119">
        <f t="shared" si="544"/>
        <v>1</v>
      </c>
      <c r="P4319" s="120">
        <f t="shared" si="545"/>
        <v>0.13263999999999998</v>
      </c>
      <c r="Q4319" s="159"/>
      <c r="R4319" s="111"/>
      <c r="S4319" s="111"/>
      <c r="T4319" s="213"/>
    </row>
    <row r="4320" spans="1:20">
      <c r="B4320" s="110" t="s">
        <v>303</v>
      </c>
      <c r="C4320" s="111" t="s">
        <v>232</v>
      </c>
      <c r="D4320" s="112" t="s">
        <v>228</v>
      </c>
      <c r="E4320" s="113" t="s">
        <v>24</v>
      </c>
      <c r="F4320" s="175" t="s">
        <v>14</v>
      </c>
      <c r="G4320" s="175" t="s">
        <v>35</v>
      </c>
      <c r="H4320" s="176">
        <v>16.579999999999998</v>
      </c>
      <c r="I4320" s="177">
        <v>10</v>
      </c>
      <c r="J4320" s="178">
        <v>8</v>
      </c>
      <c r="K4320" s="174">
        <f t="shared" si="542"/>
        <v>1.3263999999999998</v>
      </c>
      <c r="L4320" s="118"/>
      <c r="M4320" s="111">
        <f>7+1</f>
        <v>8</v>
      </c>
      <c r="N4320" s="117">
        <f t="shared" si="543"/>
        <v>1.3263999999999998</v>
      </c>
      <c r="O4320" s="145">
        <f t="shared" si="544"/>
        <v>0</v>
      </c>
      <c r="P4320" s="120">
        <f t="shared" si="545"/>
        <v>0</v>
      </c>
      <c r="Q4320" s="98">
        <v>10</v>
      </c>
      <c r="R4320" s="91">
        <v>1</v>
      </c>
      <c r="S4320" s="91" t="s">
        <v>539</v>
      </c>
      <c r="T4320" s="213"/>
    </row>
    <row r="4321" spans="1:20">
      <c r="B4321" s="110" t="s">
        <v>303</v>
      </c>
      <c r="C4321" s="111" t="s">
        <v>232</v>
      </c>
      <c r="D4321" s="112" t="s">
        <v>228</v>
      </c>
      <c r="E4321" s="113" t="s">
        <v>24</v>
      </c>
      <c r="F4321" s="175" t="s">
        <v>14</v>
      </c>
      <c r="G4321" s="175" t="s">
        <v>35</v>
      </c>
      <c r="H4321" s="176">
        <v>16.579999999999998</v>
      </c>
      <c r="I4321" s="177">
        <v>11</v>
      </c>
      <c r="J4321" s="178">
        <v>3</v>
      </c>
      <c r="K4321" s="174">
        <f t="shared" si="542"/>
        <v>0.54713999999999996</v>
      </c>
      <c r="L4321" s="118"/>
      <c r="M4321" s="111">
        <f>1+2</f>
        <v>3</v>
      </c>
      <c r="N4321" s="117">
        <f t="shared" si="543"/>
        <v>0.54713999999999996</v>
      </c>
      <c r="O4321" s="145">
        <f t="shared" si="544"/>
        <v>0</v>
      </c>
      <c r="P4321" s="120">
        <f t="shared" si="545"/>
        <v>0</v>
      </c>
      <c r="Q4321" s="98">
        <v>11</v>
      </c>
      <c r="R4321" s="91">
        <v>2</v>
      </c>
      <c r="S4321" s="91" t="s">
        <v>539</v>
      </c>
      <c r="T4321" s="213"/>
    </row>
    <row r="4322" spans="1:20">
      <c r="B4322" s="110" t="s">
        <v>303</v>
      </c>
      <c r="C4322" s="111" t="s">
        <v>232</v>
      </c>
      <c r="D4322" s="112" t="s">
        <v>228</v>
      </c>
      <c r="E4322" s="113" t="s">
        <v>24</v>
      </c>
      <c r="F4322" s="175" t="s">
        <v>14</v>
      </c>
      <c r="G4322" s="175" t="s">
        <v>35</v>
      </c>
      <c r="H4322" s="176">
        <v>16.579999999999998</v>
      </c>
      <c r="I4322" s="177">
        <v>12</v>
      </c>
      <c r="J4322" s="178">
        <v>3</v>
      </c>
      <c r="K4322" s="174">
        <f t="shared" si="542"/>
        <v>0.59687999999999986</v>
      </c>
      <c r="L4322" s="118"/>
      <c r="M4322" s="111">
        <f>1+1+1</f>
        <v>3</v>
      </c>
      <c r="N4322" s="117">
        <f t="shared" si="543"/>
        <v>0.59687999999999986</v>
      </c>
      <c r="O4322" s="145">
        <f t="shared" si="544"/>
        <v>0</v>
      </c>
      <c r="P4322" s="120">
        <f t="shared" si="545"/>
        <v>0</v>
      </c>
      <c r="Q4322" s="98">
        <v>12</v>
      </c>
      <c r="R4322" s="91">
        <v>1</v>
      </c>
      <c r="S4322" s="91" t="s">
        <v>539</v>
      </c>
      <c r="T4322" s="213"/>
    </row>
    <row r="4323" spans="1:20">
      <c r="B4323" s="110" t="s">
        <v>303</v>
      </c>
      <c r="C4323" s="111" t="s">
        <v>232</v>
      </c>
      <c r="D4323" s="112" t="s">
        <v>228</v>
      </c>
      <c r="E4323" s="113" t="s">
        <v>24</v>
      </c>
      <c r="F4323" s="175" t="s">
        <v>14</v>
      </c>
      <c r="G4323" s="175" t="s">
        <v>35</v>
      </c>
      <c r="H4323" s="176">
        <v>16.579999999999998</v>
      </c>
      <c r="I4323" s="177">
        <v>12</v>
      </c>
      <c r="J4323" s="178">
        <v>1</v>
      </c>
      <c r="K4323" s="174">
        <f t="shared" si="542"/>
        <v>0.19895999999999997</v>
      </c>
      <c r="L4323" s="118" t="s">
        <v>235</v>
      </c>
      <c r="M4323" s="111"/>
      <c r="N4323" s="117">
        <f t="shared" si="543"/>
        <v>0</v>
      </c>
      <c r="O4323" s="119">
        <f t="shared" si="544"/>
        <v>1</v>
      </c>
      <c r="P4323" s="120">
        <f t="shared" si="545"/>
        <v>0.19895999999999997</v>
      </c>
      <c r="Q4323" s="159"/>
      <c r="R4323" s="111"/>
      <c r="S4323" s="111"/>
      <c r="T4323" s="213"/>
    </row>
    <row r="4324" spans="1:20">
      <c r="B4324" s="213"/>
      <c r="C4324" s="213"/>
      <c r="D4324" s="213"/>
      <c r="E4324" s="213"/>
      <c r="F4324" s="213"/>
      <c r="G4324" s="213"/>
      <c r="H4324" s="213"/>
      <c r="I4324" s="213"/>
      <c r="J4324" s="78">
        <f>SUM(J4318:J4323)</f>
        <v>27</v>
      </c>
      <c r="K4324" s="214">
        <f>SUM(K4318:K4323)</f>
        <v>4.1159849999999985</v>
      </c>
      <c r="L4324" s="213"/>
      <c r="M4324" s="80">
        <f>SUM(M4318:M4323)</f>
        <v>23</v>
      </c>
      <c r="N4324" s="128">
        <f>SUM(N4318:N4323)</f>
        <v>3.560554999999999</v>
      </c>
      <c r="O4324" s="78">
        <f>SUM(O4318:O4323)</f>
        <v>4</v>
      </c>
      <c r="P4324" s="214">
        <f>SUM(P4318:P4323)</f>
        <v>0.55542999999999987</v>
      </c>
      <c r="Q4324" s="213"/>
      <c r="R4324" s="80">
        <f>SUM(R4318:R4323)</f>
        <v>4</v>
      </c>
      <c r="S4324" s="213"/>
      <c r="T4324" s="213"/>
    </row>
    <row r="4326" spans="1:20">
      <c r="A4326" s="213"/>
      <c r="B4326" s="213"/>
      <c r="C4326" s="213"/>
      <c r="D4326" s="213"/>
      <c r="E4326" s="213"/>
      <c r="F4326" s="213"/>
      <c r="G4326" s="213"/>
      <c r="H4326" s="213"/>
      <c r="I4326" s="213"/>
      <c r="J4326" s="213"/>
      <c r="K4326" s="213"/>
      <c r="L4326" s="213"/>
      <c r="M4326" s="213"/>
      <c r="N4326" s="213"/>
      <c r="O4326" s="213"/>
      <c r="P4326" s="213"/>
      <c r="Q4326" s="213"/>
      <c r="R4326" s="213"/>
      <c r="S4326" s="213"/>
      <c r="T4326" s="213"/>
    </row>
    <row r="4327" spans="1:20">
      <c r="A4327" s="42" t="s">
        <v>78</v>
      </c>
      <c r="B4327" s="3"/>
      <c r="C4327" s="3">
        <v>42</v>
      </c>
      <c r="D4327" s="1"/>
      <c r="E4327" s="20" t="s">
        <v>24</v>
      </c>
      <c r="F4327" s="7" t="s">
        <v>14</v>
      </c>
      <c r="G4327" s="7" t="s">
        <v>44</v>
      </c>
      <c r="H4327" s="11">
        <v>13.4</v>
      </c>
      <c r="I4327" s="8">
        <v>12</v>
      </c>
      <c r="J4327" s="26">
        <v>13</v>
      </c>
      <c r="K4327" s="10">
        <v>2.0904000000000003</v>
      </c>
      <c r="L4327" s="4"/>
      <c r="M4327" s="17">
        <v>13</v>
      </c>
      <c r="N4327" s="18">
        <v>2.0904000000000003</v>
      </c>
      <c r="O4327" s="19">
        <v>0</v>
      </c>
      <c r="P4327" s="13">
        <v>0</v>
      </c>
      <c r="Q4327" s="9"/>
      <c r="R4327" s="2"/>
      <c r="S4327" s="2"/>
      <c r="T4327" s="213"/>
    </row>
    <row r="4328" spans="1:20">
      <c r="A4328" s="42" t="s">
        <v>78</v>
      </c>
      <c r="B4328" s="3"/>
      <c r="C4328" s="3">
        <v>43</v>
      </c>
      <c r="D4328" s="1"/>
      <c r="E4328" s="20" t="s">
        <v>24</v>
      </c>
      <c r="F4328" s="7" t="s">
        <v>14</v>
      </c>
      <c r="G4328" s="7" t="s">
        <v>44</v>
      </c>
      <c r="H4328" s="11">
        <v>13.4</v>
      </c>
      <c r="I4328" s="8">
        <v>11.2</v>
      </c>
      <c r="J4328" s="26">
        <v>3</v>
      </c>
      <c r="K4328" s="10">
        <v>0.45023999999999997</v>
      </c>
      <c r="L4328" s="4"/>
      <c r="M4328" s="17">
        <v>3</v>
      </c>
      <c r="N4328" s="18">
        <v>0.45023999999999997</v>
      </c>
      <c r="O4328" s="19">
        <v>0</v>
      </c>
      <c r="P4328" s="13">
        <v>0</v>
      </c>
      <c r="Q4328" s="9"/>
      <c r="R4328" s="47">
        <v>3</v>
      </c>
      <c r="S4328" s="47" t="s">
        <v>539</v>
      </c>
      <c r="T4328" s="213"/>
    </row>
    <row r="4329" spans="1:20">
      <c r="A4329" s="42" t="s">
        <v>78</v>
      </c>
      <c r="B4329" s="3"/>
      <c r="C4329" s="3">
        <v>43</v>
      </c>
      <c r="D4329" s="1"/>
      <c r="E4329" s="20" t="s">
        <v>24</v>
      </c>
      <c r="F4329" s="7" t="s">
        <v>14</v>
      </c>
      <c r="G4329" s="7" t="s">
        <v>44</v>
      </c>
      <c r="H4329" s="11">
        <v>13.4</v>
      </c>
      <c r="I4329" s="8">
        <v>11.6</v>
      </c>
      <c r="J4329" s="26">
        <v>1</v>
      </c>
      <c r="K4329" s="10">
        <v>0.15543999999999999</v>
      </c>
      <c r="L4329" s="4"/>
      <c r="M4329" s="17">
        <v>1</v>
      </c>
      <c r="N4329" s="18">
        <v>0.15543999999999999</v>
      </c>
      <c r="O4329" s="19">
        <v>0</v>
      </c>
      <c r="P4329" s="13">
        <v>0</v>
      </c>
      <c r="Q4329" s="9"/>
      <c r="R4329" s="47"/>
      <c r="S4329" s="47"/>
      <c r="T4329" s="213"/>
    </row>
    <row r="4330" spans="1:20">
      <c r="A4330" s="47" t="s">
        <v>147</v>
      </c>
      <c r="B4330" s="48" t="s">
        <v>148</v>
      </c>
      <c r="C4330" s="32">
        <v>271</v>
      </c>
      <c r="D4330" s="32"/>
      <c r="E4330" s="48" t="s">
        <v>19</v>
      </c>
      <c r="F4330" s="48" t="s">
        <v>14</v>
      </c>
      <c r="G4330" s="48" t="s">
        <v>44</v>
      </c>
      <c r="H4330" s="11">
        <v>13.4</v>
      </c>
      <c r="I4330" s="52">
        <v>12</v>
      </c>
      <c r="J4330" s="7">
        <v>4</v>
      </c>
      <c r="K4330" s="10">
        <v>0.64319999999999999</v>
      </c>
      <c r="L4330" s="32"/>
      <c r="M4330" s="32">
        <v>4</v>
      </c>
      <c r="N4330" s="18">
        <v>0.64319999999999999</v>
      </c>
      <c r="O4330" s="19">
        <v>0</v>
      </c>
      <c r="P4330" s="13">
        <v>0</v>
      </c>
      <c r="Q4330" s="32"/>
      <c r="R4330" s="93"/>
      <c r="S4330" s="93"/>
      <c r="T4330" s="213"/>
    </row>
    <row r="4331" spans="1:20">
      <c r="A4331" s="47" t="s">
        <v>147</v>
      </c>
      <c r="B4331" s="48" t="s">
        <v>148</v>
      </c>
      <c r="C4331" s="32">
        <v>271</v>
      </c>
      <c r="D4331" s="32"/>
      <c r="E4331" s="48" t="s">
        <v>19</v>
      </c>
      <c r="F4331" s="48" t="s">
        <v>14</v>
      </c>
      <c r="G4331" s="48" t="s">
        <v>44</v>
      </c>
      <c r="H4331" s="11">
        <v>13.4</v>
      </c>
      <c r="I4331" s="52">
        <v>11.5</v>
      </c>
      <c r="J4331" s="7">
        <v>2</v>
      </c>
      <c r="K4331" s="10">
        <v>0.30819999999999997</v>
      </c>
      <c r="L4331" s="32"/>
      <c r="M4331" s="32">
        <v>2</v>
      </c>
      <c r="N4331" s="18">
        <v>0.30819999999999997</v>
      </c>
      <c r="O4331" s="19">
        <v>0</v>
      </c>
      <c r="P4331" s="13">
        <v>0</v>
      </c>
      <c r="Q4331" s="32"/>
      <c r="R4331" s="93">
        <v>2</v>
      </c>
      <c r="S4331" s="47" t="s">
        <v>539</v>
      </c>
      <c r="T4331" s="213"/>
    </row>
    <row r="4332" spans="1:20">
      <c r="A4332" s="47" t="s">
        <v>147</v>
      </c>
      <c r="B4332" s="48" t="s">
        <v>148</v>
      </c>
      <c r="C4332" s="32">
        <v>271</v>
      </c>
      <c r="D4332" s="32"/>
      <c r="E4332" s="48" t="s">
        <v>19</v>
      </c>
      <c r="F4332" s="48" t="s">
        <v>14</v>
      </c>
      <c r="G4332" s="48" t="s">
        <v>44</v>
      </c>
      <c r="H4332" s="11">
        <v>13.4</v>
      </c>
      <c r="I4332" s="52">
        <v>11</v>
      </c>
      <c r="J4332" s="7">
        <v>3</v>
      </c>
      <c r="K4332" s="10">
        <v>0.44220000000000004</v>
      </c>
      <c r="L4332" s="32"/>
      <c r="M4332" s="32">
        <v>3</v>
      </c>
      <c r="N4332" s="18">
        <v>0.44219999999999998</v>
      </c>
      <c r="O4332" s="19">
        <v>0</v>
      </c>
      <c r="P4332" s="13">
        <v>0</v>
      </c>
      <c r="Q4332" s="32"/>
      <c r="R4332" s="93">
        <v>1</v>
      </c>
      <c r="S4332" s="47" t="s">
        <v>539</v>
      </c>
      <c r="T4332" s="213"/>
    </row>
    <row r="4333" spans="1:20">
      <c r="A4333" s="47" t="s">
        <v>147</v>
      </c>
      <c r="B4333" s="48" t="s">
        <v>148</v>
      </c>
      <c r="C4333" s="32">
        <v>278</v>
      </c>
      <c r="D4333" s="32"/>
      <c r="E4333" s="48" t="s">
        <v>19</v>
      </c>
      <c r="F4333" s="48" t="s">
        <v>14</v>
      </c>
      <c r="G4333" s="48" t="s">
        <v>44</v>
      </c>
      <c r="H4333" s="11">
        <v>13.4</v>
      </c>
      <c r="I4333" s="52">
        <v>10.4</v>
      </c>
      <c r="J4333" s="7">
        <v>2</v>
      </c>
      <c r="K4333" s="10">
        <v>0.27872000000000002</v>
      </c>
      <c r="L4333" s="32"/>
      <c r="M4333" s="32">
        <v>2</v>
      </c>
      <c r="N4333" s="18">
        <v>0.27872000000000002</v>
      </c>
      <c r="O4333" s="19">
        <v>0</v>
      </c>
      <c r="P4333" s="13">
        <v>0</v>
      </c>
      <c r="Q4333" s="32"/>
      <c r="R4333" s="93"/>
      <c r="S4333" s="93"/>
      <c r="T4333" s="213"/>
    </row>
    <row r="4334" spans="1:20">
      <c r="A4334" s="47" t="s">
        <v>147</v>
      </c>
      <c r="B4334" s="48" t="s">
        <v>148</v>
      </c>
      <c r="C4334" s="32">
        <v>362</v>
      </c>
      <c r="D4334" s="32"/>
      <c r="E4334" s="48" t="s">
        <v>24</v>
      </c>
      <c r="F4334" s="48" t="s">
        <v>14</v>
      </c>
      <c r="G4334" s="48" t="s">
        <v>44</v>
      </c>
      <c r="H4334" s="11">
        <v>13.4</v>
      </c>
      <c r="I4334" s="8">
        <v>10.199999999999999</v>
      </c>
      <c r="J4334" s="7">
        <v>3</v>
      </c>
      <c r="K4334" s="10">
        <v>0.41004000000000002</v>
      </c>
      <c r="L4334" s="32"/>
      <c r="M4334" s="32">
        <v>3</v>
      </c>
      <c r="N4334" s="18">
        <v>0.41003999999999996</v>
      </c>
      <c r="O4334" s="19">
        <v>0</v>
      </c>
      <c r="P4334" s="13">
        <v>0</v>
      </c>
      <c r="Q4334" s="32"/>
      <c r="R4334" s="93">
        <v>3</v>
      </c>
      <c r="S4334" s="47" t="s">
        <v>539</v>
      </c>
      <c r="T4334" s="213"/>
    </row>
    <row r="4335" spans="1:20">
      <c r="A4335" s="45" t="s">
        <v>136</v>
      </c>
      <c r="B4335" s="32" t="s">
        <v>137</v>
      </c>
      <c r="C4335" s="3">
        <v>67</v>
      </c>
      <c r="D4335" s="32"/>
      <c r="E4335" s="20" t="s">
        <v>145</v>
      </c>
      <c r="F4335" s="7" t="s">
        <v>14</v>
      </c>
      <c r="G4335" s="7" t="s">
        <v>44</v>
      </c>
      <c r="H4335" s="11">
        <v>13.4</v>
      </c>
      <c r="I4335" s="33">
        <v>8.4</v>
      </c>
      <c r="J4335" s="40">
        <v>1</v>
      </c>
      <c r="K4335" s="10">
        <v>0.11256000000000001</v>
      </c>
      <c r="L4335" s="4"/>
      <c r="M4335" s="17">
        <v>1</v>
      </c>
      <c r="N4335" s="18">
        <v>0.11256000000000001</v>
      </c>
      <c r="O4335" s="19">
        <v>0</v>
      </c>
      <c r="P4335" s="13">
        <v>0</v>
      </c>
      <c r="Q4335" s="32"/>
      <c r="R4335" s="32"/>
      <c r="S4335" s="32"/>
      <c r="T4335" s="213"/>
    </row>
    <row r="4336" spans="1:20">
      <c r="A4336" s="45" t="s">
        <v>136</v>
      </c>
      <c r="B4336" s="32" t="s">
        <v>137</v>
      </c>
      <c r="C4336" s="3">
        <v>67</v>
      </c>
      <c r="D4336" s="32"/>
      <c r="E4336" s="20" t="s">
        <v>145</v>
      </c>
      <c r="F4336" s="7" t="s">
        <v>14</v>
      </c>
      <c r="G4336" s="7" t="s">
        <v>44</v>
      </c>
      <c r="H4336" s="11">
        <v>13.4</v>
      </c>
      <c r="I4336" s="33">
        <v>7.1</v>
      </c>
      <c r="J4336" s="40">
        <v>1</v>
      </c>
      <c r="K4336" s="10">
        <v>9.5140000000000002E-2</v>
      </c>
      <c r="L4336" s="4"/>
      <c r="M4336" s="17">
        <v>1</v>
      </c>
      <c r="N4336" s="18">
        <v>9.5140000000000002E-2</v>
      </c>
      <c r="O4336" s="19">
        <v>0</v>
      </c>
      <c r="P4336" s="13">
        <v>0</v>
      </c>
      <c r="Q4336" s="32"/>
      <c r="R4336" s="32"/>
      <c r="S4336" s="32"/>
      <c r="T4336" s="213"/>
    </row>
    <row r="4337" spans="1:20">
      <c r="A4337" s="45" t="s">
        <v>136</v>
      </c>
      <c r="B4337" s="32" t="s">
        <v>137</v>
      </c>
      <c r="C4337" s="3">
        <v>67</v>
      </c>
      <c r="D4337" s="32"/>
      <c r="E4337" s="20" t="s">
        <v>145</v>
      </c>
      <c r="F4337" s="7" t="s">
        <v>14</v>
      </c>
      <c r="G4337" s="7" t="s">
        <v>44</v>
      </c>
      <c r="H4337" s="11">
        <v>13.4</v>
      </c>
      <c r="I4337" s="33">
        <v>7</v>
      </c>
      <c r="J4337" s="40">
        <v>2</v>
      </c>
      <c r="K4337" s="10">
        <v>0.18759999999999999</v>
      </c>
      <c r="L4337" s="4"/>
      <c r="M4337" s="17">
        <v>2</v>
      </c>
      <c r="N4337" s="18">
        <v>0.18759999999999999</v>
      </c>
      <c r="O4337" s="19">
        <v>0</v>
      </c>
      <c r="P4337" s="13">
        <v>0</v>
      </c>
      <c r="Q4337" s="32"/>
      <c r="R4337" s="32"/>
      <c r="S4337" s="32"/>
      <c r="T4337" s="213"/>
    </row>
    <row r="4338" spans="1:20">
      <c r="A4338" s="213"/>
      <c r="B4338" s="213"/>
      <c r="C4338" s="213"/>
      <c r="D4338" s="213"/>
      <c r="E4338" s="213"/>
      <c r="F4338" s="213"/>
      <c r="G4338" s="213"/>
      <c r="H4338" s="213"/>
      <c r="I4338" s="213"/>
      <c r="J4338" s="213"/>
      <c r="K4338" s="213"/>
      <c r="L4338" s="213"/>
      <c r="M4338" s="213"/>
      <c r="N4338" s="213"/>
      <c r="O4338" s="78">
        <f>SUM(O4327:O4337)</f>
        <v>0</v>
      </c>
      <c r="P4338" s="128">
        <f>SUM(P4327:P4337)</f>
        <v>0</v>
      </c>
      <c r="Q4338" s="213"/>
      <c r="R4338" s="215">
        <f>SUM(R4327:R4337)</f>
        <v>9</v>
      </c>
      <c r="S4338" s="213"/>
      <c r="T4338" s="213"/>
    </row>
    <row r="4339" spans="1:20">
      <c r="A4339" s="213"/>
      <c r="B4339" s="213"/>
      <c r="C4339" s="213"/>
      <c r="D4339" s="213"/>
      <c r="E4339" s="213"/>
      <c r="F4339" s="213"/>
      <c r="G4339" s="213"/>
      <c r="H4339" s="213"/>
      <c r="I4339" s="213"/>
      <c r="J4339" s="213"/>
      <c r="K4339" s="213"/>
      <c r="L4339" s="213"/>
      <c r="M4339" s="213"/>
      <c r="N4339" s="213"/>
      <c r="O4339" s="213"/>
      <c r="P4339" s="213"/>
      <c r="Q4339" s="213"/>
      <c r="R4339" s="213"/>
      <c r="S4339" s="213"/>
      <c r="T4339" s="213"/>
    </row>
    <row r="4340" spans="1:20">
      <c r="A4340" s="213"/>
      <c r="B4340" s="110" t="s">
        <v>303</v>
      </c>
      <c r="C4340" s="111" t="s">
        <v>232</v>
      </c>
      <c r="D4340" s="112" t="s">
        <v>228</v>
      </c>
      <c r="E4340" s="113" t="s">
        <v>24</v>
      </c>
      <c r="F4340" s="175" t="s">
        <v>14</v>
      </c>
      <c r="G4340" s="175" t="s">
        <v>44</v>
      </c>
      <c r="H4340" s="176">
        <v>13.4</v>
      </c>
      <c r="I4340" s="177">
        <v>6.25</v>
      </c>
      <c r="J4340" s="178">
        <v>15</v>
      </c>
      <c r="K4340" s="174">
        <f t="shared" ref="K4340:K4346" si="546">(H4340*I4340*J4340/1000)</f>
        <v>1.2562500000000001</v>
      </c>
      <c r="L4340" s="118"/>
      <c r="M4340" s="111">
        <v>15</v>
      </c>
      <c r="N4340" s="117">
        <f t="shared" ref="N4340:N4346" si="547">I4340*M4340*H4340/1000</f>
        <v>1.2562500000000001</v>
      </c>
      <c r="O4340" s="119">
        <f t="shared" ref="O4340:O4346" si="548">J4340-M4340</f>
        <v>0</v>
      </c>
      <c r="P4340" s="120">
        <f t="shared" ref="P4340:P4344" si="549">I4340*O4340*H4340/1000</f>
        <v>0</v>
      </c>
      <c r="Q4340" s="159"/>
      <c r="R4340" s="111"/>
      <c r="S4340" s="111"/>
      <c r="T4340" s="213"/>
    </row>
    <row r="4341" spans="1:20">
      <c r="A4341" s="213"/>
      <c r="B4341" s="110" t="s">
        <v>303</v>
      </c>
      <c r="C4341" s="111" t="s">
        <v>232</v>
      </c>
      <c r="D4341" s="112" t="s">
        <v>228</v>
      </c>
      <c r="E4341" s="113" t="s">
        <v>24</v>
      </c>
      <c r="F4341" s="175" t="s">
        <v>14</v>
      </c>
      <c r="G4341" s="175" t="s">
        <v>44</v>
      </c>
      <c r="H4341" s="176">
        <v>13.4</v>
      </c>
      <c r="I4341" s="177">
        <v>6.8</v>
      </c>
      <c r="J4341" s="178">
        <v>8</v>
      </c>
      <c r="K4341" s="174">
        <f t="shared" si="546"/>
        <v>0.72896000000000005</v>
      </c>
      <c r="L4341" s="118"/>
      <c r="M4341" s="111">
        <v>8</v>
      </c>
      <c r="N4341" s="117">
        <f t="shared" si="547"/>
        <v>0.72896000000000005</v>
      </c>
      <c r="O4341" s="119">
        <f t="shared" si="548"/>
        <v>0</v>
      </c>
      <c r="P4341" s="120">
        <f t="shared" si="549"/>
        <v>0</v>
      </c>
      <c r="Q4341" s="159"/>
      <c r="R4341" s="111"/>
      <c r="S4341" s="111"/>
      <c r="T4341" s="213"/>
    </row>
    <row r="4342" spans="1:20">
      <c r="A4342" s="213"/>
      <c r="B4342" s="110" t="s">
        <v>303</v>
      </c>
      <c r="C4342" s="111" t="s">
        <v>232</v>
      </c>
      <c r="D4342" s="112" t="s">
        <v>228</v>
      </c>
      <c r="E4342" s="113" t="s">
        <v>24</v>
      </c>
      <c r="F4342" s="175" t="s">
        <v>14</v>
      </c>
      <c r="G4342" s="175" t="s">
        <v>44</v>
      </c>
      <c r="H4342" s="176">
        <v>13.4</v>
      </c>
      <c r="I4342" s="177">
        <v>12</v>
      </c>
      <c r="J4342" s="178">
        <v>9</v>
      </c>
      <c r="K4342" s="174">
        <f t="shared" si="546"/>
        <v>1.4472</v>
      </c>
      <c r="L4342" s="118"/>
      <c r="M4342" s="111">
        <f>8+1</f>
        <v>9</v>
      </c>
      <c r="N4342" s="117">
        <f t="shared" si="547"/>
        <v>1.4472</v>
      </c>
      <c r="O4342" s="119">
        <f t="shared" si="548"/>
        <v>0</v>
      </c>
      <c r="P4342" s="120">
        <f t="shared" si="549"/>
        <v>0</v>
      </c>
      <c r="Q4342" s="159"/>
      <c r="R4342" s="111"/>
      <c r="S4342" s="111"/>
      <c r="T4342" s="213"/>
    </row>
    <row r="4343" spans="1:20">
      <c r="A4343" s="213"/>
      <c r="B4343" s="110" t="s">
        <v>303</v>
      </c>
      <c r="C4343" s="111" t="s">
        <v>232</v>
      </c>
      <c r="D4343" s="112" t="s">
        <v>228</v>
      </c>
      <c r="E4343" s="113" t="s">
        <v>24</v>
      </c>
      <c r="F4343" s="175" t="s">
        <v>14</v>
      </c>
      <c r="G4343" s="175" t="s">
        <v>44</v>
      </c>
      <c r="H4343" s="176">
        <v>13.4</v>
      </c>
      <c r="I4343" s="177">
        <v>6</v>
      </c>
      <c r="J4343" s="178">
        <v>1</v>
      </c>
      <c r="K4343" s="174">
        <f t="shared" si="546"/>
        <v>8.0399999999999999E-2</v>
      </c>
      <c r="L4343" s="118"/>
      <c r="M4343" s="111">
        <v>1</v>
      </c>
      <c r="N4343" s="117">
        <f t="shared" si="547"/>
        <v>8.0399999999999999E-2</v>
      </c>
      <c r="O4343" s="119">
        <f t="shared" si="548"/>
        <v>0</v>
      </c>
      <c r="P4343" s="120">
        <f t="shared" si="549"/>
        <v>0</v>
      </c>
      <c r="Q4343" s="75"/>
      <c r="R4343" s="72"/>
      <c r="S4343" s="72"/>
      <c r="T4343" s="213"/>
    </row>
    <row r="4344" spans="1:20">
      <c r="A4344" s="213"/>
      <c r="B4344" s="110" t="s">
        <v>303</v>
      </c>
      <c r="C4344" s="111" t="s">
        <v>232</v>
      </c>
      <c r="D4344" s="112" t="s">
        <v>228</v>
      </c>
      <c r="E4344" s="113" t="s">
        <v>24</v>
      </c>
      <c r="F4344" s="175" t="s">
        <v>14</v>
      </c>
      <c r="G4344" s="175" t="s">
        <v>44</v>
      </c>
      <c r="H4344" s="176">
        <v>13.4</v>
      </c>
      <c r="I4344" s="177">
        <v>10.9</v>
      </c>
      <c r="J4344" s="178">
        <v>1</v>
      </c>
      <c r="K4344" s="174">
        <f t="shared" si="546"/>
        <v>0.14606</v>
      </c>
      <c r="L4344" s="118"/>
      <c r="M4344" s="111">
        <v>1</v>
      </c>
      <c r="N4344" s="117">
        <f t="shared" si="547"/>
        <v>0.14606</v>
      </c>
      <c r="O4344" s="119">
        <f t="shared" si="548"/>
        <v>0</v>
      </c>
      <c r="P4344" s="120">
        <f t="shared" si="549"/>
        <v>0</v>
      </c>
      <c r="Q4344" s="75"/>
      <c r="R4344" s="72">
        <v>1</v>
      </c>
      <c r="S4344" s="72" t="s">
        <v>539</v>
      </c>
      <c r="T4344" s="213"/>
    </row>
    <row r="4345" spans="1:20">
      <c r="A4345" s="213"/>
      <c r="B4345" s="110" t="s">
        <v>303</v>
      </c>
      <c r="C4345" s="111" t="s">
        <v>232</v>
      </c>
      <c r="D4345" s="112" t="s">
        <v>228</v>
      </c>
      <c r="E4345" s="113" t="s">
        <v>24</v>
      </c>
      <c r="F4345" s="175" t="s">
        <v>14</v>
      </c>
      <c r="G4345" s="175" t="s">
        <v>44</v>
      </c>
      <c r="H4345" s="176">
        <v>13.4</v>
      </c>
      <c r="I4345" s="177">
        <v>6.8</v>
      </c>
      <c r="J4345" s="178">
        <v>2</v>
      </c>
      <c r="K4345" s="174">
        <f t="shared" si="546"/>
        <v>0.18224000000000001</v>
      </c>
      <c r="L4345" s="118"/>
      <c r="M4345" s="111">
        <v>2</v>
      </c>
      <c r="N4345" s="117">
        <f t="shared" si="547"/>
        <v>0.18224000000000001</v>
      </c>
      <c r="O4345" s="119">
        <f t="shared" si="548"/>
        <v>0</v>
      </c>
      <c r="P4345" s="120">
        <f>I4345*O4345*H4345/1000</f>
        <v>0</v>
      </c>
      <c r="Q4345" s="75"/>
      <c r="R4345" s="72">
        <v>2</v>
      </c>
      <c r="S4345" s="72" t="s">
        <v>539</v>
      </c>
      <c r="T4345" s="213"/>
    </row>
    <row r="4346" spans="1:20">
      <c r="A4346" s="213"/>
      <c r="B4346" s="110" t="s">
        <v>303</v>
      </c>
      <c r="C4346" s="111" t="s">
        <v>232</v>
      </c>
      <c r="D4346" s="112" t="s">
        <v>228</v>
      </c>
      <c r="E4346" s="113" t="s">
        <v>24</v>
      </c>
      <c r="F4346" s="175" t="s">
        <v>14</v>
      </c>
      <c r="G4346" s="175" t="s">
        <v>44</v>
      </c>
      <c r="H4346" s="176">
        <v>13.4</v>
      </c>
      <c r="I4346" s="177">
        <v>12</v>
      </c>
      <c r="J4346" s="178">
        <v>4</v>
      </c>
      <c r="K4346" s="174">
        <f t="shared" si="546"/>
        <v>0.64319999999999999</v>
      </c>
      <c r="L4346" s="118"/>
      <c r="M4346" s="111">
        <v>4</v>
      </c>
      <c r="N4346" s="117">
        <f t="shared" si="547"/>
        <v>0.64319999999999999</v>
      </c>
      <c r="O4346" s="119">
        <f t="shared" si="548"/>
        <v>0</v>
      </c>
      <c r="P4346" s="120">
        <f>I4346*O4346*H4346/1000</f>
        <v>0</v>
      </c>
      <c r="Q4346" s="75">
        <v>12</v>
      </c>
      <c r="R4346" s="72">
        <v>1</v>
      </c>
      <c r="S4346" s="72" t="s">
        <v>539</v>
      </c>
      <c r="T4346" s="213"/>
    </row>
    <row r="4347" spans="1:20">
      <c r="A4347" s="213"/>
      <c r="B4347" s="32"/>
      <c r="C4347" s="32"/>
      <c r="D4347" s="32"/>
      <c r="E4347" s="32"/>
      <c r="F4347" s="32"/>
      <c r="G4347" s="32"/>
      <c r="H4347" s="32"/>
      <c r="I4347" s="32"/>
      <c r="J4347" s="131">
        <f>SUM(J4340:J4346)</f>
        <v>40</v>
      </c>
      <c r="K4347" s="124">
        <f>SUM(K4340:K4346)</f>
        <v>4.4843099999999998</v>
      </c>
      <c r="L4347" s="123"/>
      <c r="M4347" s="171">
        <f>SUM(M4340:M4346)</f>
        <v>40</v>
      </c>
      <c r="N4347" s="124">
        <f>SUM(N4340:N4346)</f>
        <v>4.4843099999999998</v>
      </c>
      <c r="O4347" s="131">
        <f>SUM(O4340:O4346)</f>
        <v>0</v>
      </c>
      <c r="P4347" s="124">
        <f>SUM(P4340:P4346)</f>
        <v>0</v>
      </c>
      <c r="Q4347" s="32"/>
      <c r="R4347" s="171">
        <f>SUM(R4340:R4346)</f>
        <v>4</v>
      </c>
      <c r="S4347" s="32"/>
      <c r="T4347" s="213"/>
    </row>
    <row r="4348" spans="1:20">
      <c r="A4348" s="213"/>
      <c r="B4348" s="213"/>
      <c r="C4348" s="213"/>
      <c r="D4348" s="213"/>
      <c r="E4348" s="213"/>
      <c r="F4348" s="213"/>
      <c r="G4348" s="213"/>
      <c r="H4348" s="213"/>
      <c r="I4348" s="213"/>
      <c r="J4348" s="213"/>
      <c r="K4348" s="213"/>
      <c r="L4348" s="213"/>
      <c r="M4348" s="213"/>
      <c r="N4348" s="213"/>
      <c r="O4348" s="213"/>
      <c r="P4348" s="213"/>
      <c r="Q4348" s="213"/>
      <c r="R4348" s="213"/>
      <c r="S4348" s="213"/>
      <c r="T4348" s="213"/>
    </row>
    <row r="4350" spans="1:20">
      <c r="A4350" s="213"/>
      <c r="B4350" s="213"/>
      <c r="C4350" s="213"/>
      <c r="D4350" s="213"/>
      <c r="E4350" s="213"/>
      <c r="F4350" s="213"/>
      <c r="G4350" s="213"/>
      <c r="H4350" s="213"/>
      <c r="I4350" s="213"/>
      <c r="J4350" s="213"/>
      <c r="K4350" s="213"/>
      <c r="L4350" s="213"/>
      <c r="M4350" s="213"/>
      <c r="N4350" s="213"/>
      <c r="O4350" s="213"/>
      <c r="P4350" s="213"/>
      <c r="Q4350" s="213"/>
      <c r="R4350" s="213"/>
      <c r="S4350" s="213"/>
    </row>
    <row r="4351" spans="1:20">
      <c r="A4351" s="48" t="s">
        <v>179</v>
      </c>
      <c r="B4351" s="48" t="s">
        <v>180</v>
      </c>
      <c r="C4351" s="32"/>
      <c r="D4351" s="32"/>
      <c r="E4351" s="48" t="s">
        <v>152</v>
      </c>
      <c r="F4351" s="48" t="s">
        <v>15</v>
      </c>
      <c r="G4351" s="48" t="s">
        <v>64</v>
      </c>
      <c r="H4351" s="11">
        <v>40.1</v>
      </c>
      <c r="I4351" s="9">
        <v>8.1999999999999993</v>
      </c>
      <c r="J4351" s="7">
        <v>1</v>
      </c>
      <c r="K4351" s="10">
        <v>0.32882</v>
      </c>
      <c r="L4351" s="32"/>
      <c r="M4351" s="32">
        <v>1</v>
      </c>
      <c r="N4351" s="18">
        <v>0.32882</v>
      </c>
      <c r="O4351" s="19">
        <v>0</v>
      </c>
      <c r="P4351" s="13">
        <v>0</v>
      </c>
      <c r="Q4351" s="102">
        <v>8.1999999999999993</v>
      </c>
      <c r="R4351" s="91">
        <v>1</v>
      </c>
      <c r="S4351" s="91" t="s">
        <v>543</v>
      </c>
    </row>
    <row r="4352" spans="1:20">
      <c r="A4352" s="44" t="s">
        <v>78</v>
      </c>
      <c r="B4352" s="32" t="s">
        <v>111</v>
      </c>
      <c r="C4352" s="3">
        <v>7</v>
      </c>
      <c r="D4352" s="1"/>
      <c r="E4352" s="20" t="s">
        <v>20</v>
      </c>
      <c r="F4352" s="7" t="s">
        <v>15</v>
      </c>
      <c r="G4352" s="7" t="s">
        <v>64</v>
      </c>
      <c r="H4352" s="11">
        <v>40.1</v>
      </c>
      <c r="I4352" s="33">
        <v>8.5</v>
      </c>
      <c r="J4352" s="40">
        <v>1</v>
      </c>
      <c r="K4352" s="10">
        <v>0.34085000000000004</v>
      </c>
      <c r="L4352" s="4"/>
      <c r="M4352" s="17">
        <v>1</v>
      </c>
      <c r="N4352" s="18">
        <v>0.34085000000000004</v>
      </c>
      <c r="O4352" s="19">
        <v>0</v>
      </c>
      <c r="P4352" s="13">
        <v>0</v>
      </c>
      <c r="Q4352" s="102">
        <v>8.5</v>
      </c>
      <c r="R4352" s="91">
        <v>1</v>
      </c>
      <c r="S4352" s="91" t="s">
        <v>543</v>
      </c>
    </row>
    <row r="4353" spans="1:19">
      <c r="A4353" s="213"/>
      <c r="B4353" s="213"/>
      <c r="C4353" s="213"/>
      <c r="D4353" s="213"/>
      <c r="E4353" s="213"/>
      <c r="F4353" s="213"/>
      <c r="G4353" s="213"/>
      <c r="H4353" s="213"/>
      <c r="I4353" s="213"/>
      <c r="J4353" s="213"/>
      <c r="K4353" s="213"/>
      <c r="L4353" s="213"/>
      <c r="M4353" s="213"/>
      <c r="N4353" s="213"/>
      <c r="O4353" s="213"/>
      <c r="P4353" s="213"/>
      <c r="Q4353" s="213"/>
      <c r="R4353" s="76">
        <f>SUM(R4351:R4352)</f>
        <v>2</v>
      </c>
      <c r="S4353" s="213"/>
    </row>
    <row r="4354" spans="1:19">
      <c r="A4354" s="213"/>
      <c r="B4354" s="213"/>
      <c r="C4354" s="213"/>
      <c r="D4354" s="213"/>
      <c r="E4354" s="213"/>
      <c r="F4354" s="213"/>
      <c r="G4354" s="213"/>
      <c r="H4354" s="213"/>
      <c r="I4354" s="213"/>
      <c r="J4354" s="213"/>
      <c r="K4354" s="213"/>
      <c r="L4354" s="213"/>
      <c r="M4354" s="213"/>
      <c r="N4354" s="213"/>
      <c r="O4354" s="213"/>
      <c r="P4354" s="213"/>
      <c r="Q4354" s="213"/>
      <c r="R4354" s="213"/>
      <c r="S4354" s="213"/>
    </row>
    <row r="4355" spans="1:19">
      <c r="A4355" s="213"/>
      <c r="B4355" s="213"/>
      <c r="C4355" s="213"/>
      <c r="D4355" s="213"/>
      <c r="E4355" s="213"/>
      <c r="F4355" s="213"/>
      <c r="G4355" s="213"/>
      <c r="H4355" s="213"/>
      <c r="I4355" s="213"/>
      <c r="J4355" s="213"/>
      <c r="K4355" s="213"/>
      <c r="L4355" s="213"/>
      <c r="M4355" s="213"/>
      <c r="N4355" s="213"/>
      <c r="O4355" s="213"/>
      <c r="P4355" s="213"/>
      <c r="Q4355" s="213"/>
      <c r="R4355" s="213"/>
      <c r="S4355" s="213"/>
    </row>
    <row r="4356" spans="1:19">
      <c r="A4356" s="110" t="s">
        <v>426</v>
      </c>
      <c r="B4356" s="111" t="s">
        <v>297</v>
      </c>
      <c r="C4356" s="112" t="s">
        <v>228</v>
      </c>
      <c r="D4356" s="113" t="s">
        <v>20</v>
      </c>
      <c r="E4356" s="175" t="s">
        <v>15</v>
      </c>
      <c r="F4356" s="175" t="s">
        <v>54</v>
      </c>
      <c r="G4356" s="176">
        <v>31.6</v>
      </c>
      <c r="H4356" s="177">
        <v>9.6999999999999993</v>
      </c>
      <c r="I4356" s="178">
        <v>3</v>
      </c>
      <c r="J4356" s="174">
        <f t="shared" ref="J4356:J4358" si="550">(G4356*H4356*I4356/1000)</f>
        <v>0.91955999999999993</v>
      </c>
      <c r="K4356" s="118"/>
      <c r="L4356" s="111">
        <v>3</v>
      </c>
      <c r="M4356" s="117">
        <f t="shared" ref="M4356:M4358" si="551">H4356*L4356*G4356/1000</f>
        <v>0.91955999999999993</v>
      </c>
      <c r="N4356" s="119">
        <f t="shared" ref="N4356:N4358" si="552">I4356-L4356</f>
        <v>0</v>
      </c>
      <c r="O4356" s="120">
        <f t="shared" ref="O4356:O4358" si="553">H4356*N4356*G4356/1000</f>
        <v>0</v>
      </c>
      <c r="P4356" s="32"/>
      <c r="Q4356" s="91">
        <v>3</v>
      </c>
      <c r="R4356" s="91" t="s">
        <v>540</v>
      </c>
      <c r="S4356" s="213"/>
    </row>
    <row r="4357" spans="1:19">
      <c r="A4357" s="110" t="s">
        <v>426</v>
      </c>
      <c r="B4357" s="111" t="s">
        <v>297</v>
      </c>
      <c r="C4357" s="112" t="s">
        <v>228</v>
      </c>
      <c r="D4357" s="113" t="s">
        <v>20</v>
      </c>
      <c r="E4357" s="175" t="s">
        <v>15</v>
      </c>
      <c r="F4357" s="175" t="s">
        <v>54</v>
      </c>
      <c r="G4357" s="176">
        <v>31.6</v>
      </c>
      <c r="H4357" s="177">
        <v>9.5</v>
      </c>
      <c r="I4357" s="178">
        <v>3</v>
      </c>
      <c r="J4357" s="174">
        <f t="shared" si="550"/>
        <v>0.90059999999999996</v>
      </c>
      <c r="K4357" s="118"/>
      <c r="L4357" s="111">
        <v>3</v>
      </c>
      <c r="M4357" s="117">
        <f t="shared" si="551"/>
        <v>0.90060000000000007</v>
      </c>
      <c r="N4357" s="119">
        <f t="shared" si="552"/>
        <v>0</v>
      </c>
      <c r="O4357" s="120">
        <f t="shared" si="553"/>
        <v>0</v>
      </c>
      <c r="P4357" s="32"/>
      <c r="Q4357" s="91">
        <v>3</v>
      </c>
      <c r="R4357" s="91" t="s">
        <v>540</v>
      </c>
      <c r="S4357" s="213"/>
    </row>
    <row r="4358" spans="1:19">
      <c r="A4358" s="110" t="s">
        <v>426</v>
      </c>
      <c r="B4358" s="111" t="s">
        <v>297</v>
      </c>
      <c r="C4358" s="112" t="s">
        <v>228</v>
      </c>
      <c r="D4358" s="113" t="s">
        <v>20</v>
      </c>
      <c r="E4358" s="175" t="s">
        <v>15</v>
      </c>
      <c r="F4358" s="175" t="s">
        <v>54</v>
      </c>
      <c r="G4358" s="176">
        <v>31.6</v>
      </c>
      <c r="H4358" s="177">
        <v>9.6999999999999993</v>
      </c>
      <c r="I4358" s="178">
        <v>1</v>
      </c>
      <c r="J4358" s="174">
        <f t="shared" si="550"/>
        <v>0.30651999999999996</v>
      </c>
      <c r="K4358" s="118"/>
      <c r="L4358" s="111">
        <v>1</v>
      </c>
      <c r="M4358" s="117">
        <f t="shared" si="551"/>
        <v>0.30651999999999996</v>
      </c>
      <c r="N4358" s="119">
        <f t="shared" si="552"/>
        <v>0</v>
      </c>
      <c r="O4358" s="120">
        <f t="shared" si="553"/>
        <v>0</v>
      </c>
      <c r="P4358" s="32"/>
      <c r="Q4358" s="91">
        <v>1</v>
      </c>
      <c r="R4358" s="91" t="s">
        <v>540</v>
      </c>
      <c r="S4358" s="213"/>
    </row>
    <row r="4359" spans="1:19">
      <c r="A4359" s="213"/>
      <c r="B4359" s="213"/>
      <c r="C4359" s="213"/>
      <c r="D4359" s="213"/>
      <c r="E4359" s="213"/>
      <c r="F4359" s="213"/>
      <c r="G4359" s="213"/>
      <c r="H4359" s="213"/>
      <c r="I4359" s="213"/>
      <c r="J4359" s="213"/>
      <c r="K4359" s="213"/>
      <c r="L4359" s="213"/>
      <c r="M4359" s="213"/>
      <c r="N4359" s="213"/>
      <c r="O4359" s="213"/>
      <c r="P4359" s="213"/>
      <c r="Q4359" s="76">
        <f>SUM(Q4356:Q4358)</f>
        <v>7</v>
      </c>
      <c r="R4359" s="213"/>
      <c r="S4359" s="213"/>
    </row>
    <row r="4360" spans="1:19">
      <c r="A4360" s="213"/>
      <c r="B4360" s="213"/>
      <c r="C4360" s="213"/>
      <c r="D4360" s="213"/>
      <c r="E4360" s="213"/>
      <c r="F4360" s="213"/>
      <c r="G4360" s="213"/>
      <c r="H4360" s="213"/>
      <c r="I4360" s="213"/>
      <c r="J4360" s="213"/>
      <c r="K4360" s="213"/>
      <c r="L4360" s="213"/>
      <c r="M4360" s="213"/>
      <c r="N4360" s="213"/>
      <c r="O4360" s="213"/>
      <c r="P4360" s="213"/>
      <c r="Q4360" s="213"/>
      <c r="R4360" s="213"/>
      <c r="S4360" s="213"/>
    </row>
    <row r="4361" spans="1:19">
      <c r="A4361" s="110" t="s">
        <v>308</v>
      </c>
      <c r="B4361" s="111" t="s">
        <v>297</v>
      </c>
      <c r="C4361" s="112" t="s">
        <v>228</v>
      </c>
      <c r="D4361" s="113" t="s">
        <v>20</v>
      </c>
      <c r="E4361" s="175" t="s">
        <v>15</v>
      </c>
      <c r="F4361" s="175" t="s">
        <v>54</v>
      </c>
      <c r="G4361" s="176">
        <v>31.6</v>
      </c>
      <c r="H4361" s="177">
        <v>11.9</v>
      </c>
      <c r="I4361" s="178">
        <f>9+5</f>
        <v>14</v>
      </c>
      <c r="J4361" s="174">
        <f t="shared" ref="J4361:J4369" si="554">(G4361*H4361*I4361/1000)</f>
        <v>5.2645600000000004</v>
      </c>
      <c r="K4361" s="118"/>
      <c r="L4361" s="111">
        <v>14</v>
      </c>
      <c r="M4361" s="117">
        <f t="shared" ref="M4361:M4369" si="555">H4361*L4361*G4361/1000</f>
        <v>5.2645600000000004</v>
      </c>
      <c r="N4361" s="119">
        <f t="shared" ref="N4361:N4369" si="556">I4361-L4361</f>
        <v>0</v>
      </c>
      <c r="O4361" s="120">
        <f t="shared" ref="O4361:O4365" si="557">H4361*N4361*G4361/1000</f>
        <v>0</v>
      </c>
      <c r="P4361" s="111"/>
      <c r="Q4361" s="111"/>
      <c r="R4361" s="111"/>
      <c r="S4361" s="213"/>
    </row>
    <row r="4362" spans="1:19">
      <c r="A4362" s="110" t="s">
        <v>308</v>
      </c>
      <c r="B4362" s="111" t="s">
        <v>297</v>
      </c>
      <c r="C4362" s="112" t="s">
        <v>228</v>
      </c>
      <c r="D4362" s="113" t="s">
        <v>20</v>
      </c>
      <c r="E4362" s="175" t="s">
        <v>15</v>
      </c>
      <c r="F4362" s="175" t="s">
        <v>54</v>
      </c>
      <c r="G4362" s="176">
        <v>31.6</v>
      </c>
      <c r="H4362" s="177">
        <v>10.1</v>
      </c>
      <c r="I4362" s="178">
        <f>10+10+11+10+10+10+9+9+9+9+9+9+9+10+11+11+4+10</f>
        <v>170</v>
      </c>
      <c r="J4362" s="174">
        <f t="shared" si="554"/>
        <v>54.257200000000005</v>
      </c>
      <c r="K4362" s="118"/>
      <c r="L4362" s="111">
        <f>160+3+7</f>
        <v>170</v>
      </c>
      <c r="M4362" s="117">
        <f t="shared" si="555"/>
        <v>54.257200000000005</v>
      </c>
      <c r="N4362" s="119">
        <f t="shared" si="556"/>
        <v>0</v>
      </c>
      <c r="O4362" s="120">
        <f t="shared" si="557"/>
        <v>0</v>
      </c>
      <c r="P4362" s="159"/>
      <c r="Q4362" s="111"/>
      <c r="R4362" s="111"/>
      <c r="S4362" s="213"/>
    </row>
    <row r="4363" spans="1:19">
      <c r="A4363" s="110" t="s">
        <v>308</v>
      </c>
      <c r="B4363" s="111" t="s">
        <v>297</v>
      </c>
      <c r="C4363" s="112" t="s">
        <v>228</v>
      </c>
      <c r="D4363" s="113" t="s">
        <v>20</v>
      </c>
      <c r="E4363" s="175" t="s">
        <v>15</v>
      </c>
      <c r="F4363" s="175" t="s">
        <v>54</v>
      </c>
      <c r="G4363" s="176">
        <v>31.6</v>
      </c>
      <c r="H4363" s="177">
        <v>11.6</v>
      </c>
      <c r="I4363" s="178">
        <v>4</v>
      </c>
      <c r="J4363" s="174">
        <f t="shared" si="554"/>
        <v>1.46624</v>
      </c>
      <c r="K4363" s="118"/>
      <c r="L4363" s="111">
        <v>4</v>
      </c>
      <c r="M4363" s="117">
        <f t="shared" si="555"/>
        <v>1.46624</v>
      </c>
      <c r="N4363" s="119">
        <f t="shared" si="556"/>
        <v>0</v>
      </c>
      <c r="O4363" s="120">
        <f t="shared" si="557"/>
        <v>0</v>
      </c>
      <c r="P4363" s="159"/>
      <c r="Q4363" s="111"/>
      <c r="R4363" s="111"/>
      <c r="S4363" s="213"/>
    </row>
    <row r="4364" spans="1:19">
      <c r="A4364" s="110" t="s">
        <v>308</v>
      </c>
      <c r="B4364" s="111" t="s">
        <v>297</v>
      </c>
      <c r="C4364" s="112" t="s">
        <v>228</v>
      </c>
      <c r="D4364" s="113" t="s">
        <v>20</v>
      </c>
      <c r="E4364" s="175" t="s">
        <v>15</v>
      </c>
      <c r="F4364" s="175" t="s">
        <v>54</v>
      </c>
      <c r="G4364" s="176">
        <v>31.6</v>
      </c>
      <c r="H4364" s="177">
        <v>11.8</v>
      </c>
      <c r="I4364" s="178">
        <v>1</v>
      </c>
      <c r="J4364" s="174">
        <f t="shared" si="554"/>
        <v>0.37288000000000004</v>
      </c>
      <c r="K4364" s="118"/>
      <c r="L4364" s="111">
        <v>1</v>
      </c>
      <c r="M4364" s="117">
        <f t="shared" si="555"/>
        <v>0.37288000000000004</v>
      </c>
      <c r="N4364" s="119">
        <f t="shared" si="556"/>
        <v>0</v>
      </c>
      <c r="O4364" s="120">
        <f t="shared" si="557"/>
        <v>0</v>
      </c>
      <c r="P4364" s="159"/>
      <c r="Q4364" s="111"/>
      <c r="R4364" s="111"/>
      <c r="S4364" s="213"/>
    </row>
    <row r="4365" spans="1:19">
      <c r="A4365" s="110" t="s">
        <v>308</v>
      </c>
      <c r="B4365" s="111" t="s">
        <v>297</v>
      </c>
      <c r="C4365" s="112" t="s">
        <v>228</v>
      </c>
      <c r="D4365" s="113" t="s">
        <v>20</v>
      </c>
      <c r="E4365" s="175" t="s">
        <v>15</v>
      </c>
      <c r="F4365" s="175" t="s">
        <v>54</v>
      </c>
      <c r="G4365" s="176">
        <v>31.6</v>
      </c>
      <c r="H4365" s="177">
        <v>11.7</v>
      </c>
      <c r="I4365" s="178">
        <v>1</v>
      </c>
      <c r="J4365" s="174">
        <f t="shared" si="554"/>
        <v>0.36971999999999999</v>
      </c>
      <c r="K4365" s="118"/>
      <c r="L4365" s="111">
        <v>1</v>
      </c>
      <c r="M4365" s="117">
        <f t="shared" si="555"/>
        <v>0.36971999999999999</v>
      </c>
      <c r="N4365" s="119">
        <f t="shared" si="556"/>
        <v>0</v>
      </c>
      <c r="O4365" s="120">
        <f t="shared" si="557"/>
        <v>0</v>
      </c>
      <c r="P4365" s="159"/>
      <c r="Q4365" s="111"/>
      <c r="R4365" s="111"/>
      <c r="S4365" s="213"/>
    </row>
    <row r="4366" spans="1:19">
      <c r="A4366" s="110" t="s">
        <v>308</v>
      </c>
      <c r="B4366" s="111" t="s">
        <v>297</v>
      </c>
      <c r="C4366" s="112" t="s">
        <v>228</v>
      </c>
      <c r="D4366" s="113" t="s">
        <v>20</v>
      </c>
      <c r="E4366" s="175" t="s">
        <v>15</v>
      </c>
      <c r="F4366" s="175" t="s">
        <v>54</v>
      </c>
      <c r="G4366" s="176">
        <v>31.6</v>
      </c>
      <c r="H4366" s="177">
        <v>9.3000000000000007</v>
      </c>
      <c r="I4366" s="178">
        <v>1</v>
      </c>
      <c r="J4366" s="174">
        <f t="shared" si="554"/>
        <v>0.29388000000000003</v>
      </c>
      <c r="K4366" s="118"/>
      <c r="L4366" s="111">
        <v>1</v>
      </c>
      <c r="M4366" s="117">
        <f t="shared" si="555"/>
        <v>0.29388000000000003</v>
      </c>
      <c r="N4366" s="119">
        <f t="shared" si="556"/>
        <v>0</v>
      </c>
      <c r="O4366" s="120">
        <f>H4366*N4366*G4366/1000</f>
        <v>0</v>
      </c>
      <c r="P4366" s="111"/>
      <c r="Q4366" s="91">
        <v>1</v>
      </c>
      <c r="R4366" s="91" t="s">
        <v>543</v>
      </c>
      <c r="S4366" s="213"/>
    </row>
    <row r="4367" spans="1:19">
      <c r="A4367" s="110" t="s">
        <v>308</v>
      </c>
      <c r="B4367" s="111" t="s">
        <v>297</v>
      </c>
      <c r="C4367" s="112" t="s">
        <v>228</v>
      </c>
      <c r="D4367" s="113" t="s">
        <v>20</v>
      </c>
      <c r="E4367" s="175" t="s">
        <v>15</v>
      </c>
      <c r="F4367" s="175" t="s">
        <v>54</v>
      </c>
      <c r="G4367" s="176">
        <v>31.6</v>
      </c>
      <c r="H4367" s="177">
        <v>9.5</v>
      </c>
      <c r="I4367" s="178">
        <v>1</v>
      </c>
      <c r="J4367" s="174">
        <f t="shared" si="554"/>
        <v>0.30019999999999997</v>
      </c>
      <c r="K4367" s="118"/>
      <c r="L4367" s="111">
        <v>1</v>
      </c>
      <c r="M4367" s="117">
        <f t="shared" si="555"/>
        <v>0.30019999999999997</v>
      </c>
      <c r="N4367" s="119">
        <f t="shared" si="556"/>
        <v>0</v>
      </c>
      <c r="O4367" s="120">
        <f>H4367*N4367*G4367/1000</f>
        <v>0</v>
      </c>
      <c r="P4367" s="111"/>
      <c r="Q4367" s="91">
        <v>1</v>
      </c>
      <c r="R4367" s="91" t="s">
        <v>543</v>
      </c>
      <c r="S4367" s="213"/>
    </row>
    <row r="4368" spans="1:19">
      <c r="A4368" s="110" t="s">
        <v>308</v>
      </c>
      <c r="B4368" s="111" t="s">
        <v>297</v>
      </c>
      <c r="C4368" s="112" t="s">
        <v>228</v>
      </c>
      <c r="D4368" s="113" t="s">
        <v>20</v>
      </c>
      <c r="E4368" s="175" t="s">
        <v>15</v>
      </c>
      <c r="F4368" s="175" t="s">
        <v>54</v>
      </c>
      <c r="G4368" s="176">
        <v>31.6</v>
      </c>
      <c r="H4368" s="177">
        <v>9.6999999999999993</v>
      </c>
      <c r="I4368" s="178">
        <v>1</v>
      </c>
      <c r="J4368" s="174">
        <f t="shared" si="554"/>
        <v>0.30651999999999996</v>
      </c>
      <c r="K4368" s="118"/>
      <c r="L4368" s="111">
        <v>1</v>
      </c>
      <c r="M4368" s="117">
        <f t="shared" si="555"/>
        <v>0.30651999999999996</v>
      </c>
      <c r="N4368" s="119">
        <f t="shared" si="556"/>
        <v>0</v>
      </c>
      <c r="O4368" s="120">
        <f>H4368*N4368*G4368/1000</f>
        <v>0</v>
      </c>
      <c r="P4368" s="159"/>
      <c r="Q4368" s="111"/>
      <c r="R4368" s="111"/>
      <c r="S4368" s="213"/>
    </row>
    <row r="4369" spans="1:19">
      <c r="A4369" s="110" t="s">
        <v>308</v>
      </c>
      <c r="B4369" s="111" t="s">
        <v>297</v>
      </c>
      <c r="C4369" s="112" t="s">
        <v>228</v>
      </c>
      <c r="D4369" s="113" t="s">
        <v>20</v>
      </c>
      <c r="E4369" s="175" t="s">
        <v>15</v>
      </c>
      <c r="F4369" s="175" t="s">
        <v>54</v>
      </c>
      <c r="G4369" s="176">
        <v>31.6</v>
      </c>
      <c r="H4369" s="177">
        <v>9.9</v>
      </c>
      <c r="I4369" s="178">
        <v>2</v>
      </c>
      <c r="J4369" s="174">
        <f t="shared" si="554"/>
        <v>0.62568000000000001</v>
      </c>
      <c r="K4369" s="118"/>
      <c r="L4369" s="111">
        <v>2</v>
      </c>
      <c r="M4369" s="117">
        <f t="shared" si="555"/>
        <v>0.62568000000000001</v>
      </c>
      <c r="N4369" s="119">
        <f t="shared" si="556"/>
        <v>0</v>
      </c>
      <c r="O4369" s="120">
        <f>H4369*N4369*G4369/1000</f>
        <v>0</v>
      </c>
      <c r="P4369" s="159"/>
      <c r="Q4369" s="111"/>
      <c r="R4369" s="111"/>
      <c r="S4369" s="213"/>
    </row>
    <row r="4370" spans="1:19">
      <c r="A4370" s="213"/>
      <c r="B4370" s="213"/>
      <c r="C4370" s="213"/>
      <c r="D4370" s="213"/>
      <c r="E4370" s="213"/>
      <c r="F4370" s="213"/>
      <c r="G4370" s="213"/>
      <c r="H4370" s="213"/>
      <c r="I4370" s="78">
        <f>SUM(I4361:I4369)</f>
        <v>195</v>
      </c>
      <c r="J4370" s="214">
        <f>SUM(J4361:J4369)</f>
        <v>63.25688000000001</v>
      </c>
      <c r="K4370" s="213"/>
      <c r="L4370" s="80">
        <f>SUM(L4361:L4369)</f>
        <v>195</v>
      </c>
      <c r="M4370" s="128">
        <f>SUM(M4361:M4369)</f>
        <v>63.25688000000001</v>
      </c>
      <c r="N4370" s="78">
        <f>SUM(N4361:N4369)</f>
        <v>0</v>
      </c>
      <c r="O4370" s="128">
        <f>SUM(O4361:O4369)</f>
        <v>0</v>
      </c>
      <c r="P4370" s="213"/>
      <c r="Q4370" s="80">
        <f>SUM(Q4361:Q4369)</f>
        <v>2</v>
      </c>
      <c r="R4370" s="213"/>
      <c r="S4370" s="213"/>
    </row>
    <row r="4371" spans="1:19">
      <c r="A4371" s="213"/>
      <c r="B4371" s="213"/>
      <c r="C4371" s="213"/>
      <c r="D4371" s="213"/>
      <c r="E4371" s="213"/>
      <c r="F4371" s="213"/>
      <c r="G4371" s="213"/>
      <c r="H4371" s="213"/>
      <c r="I4371" s="213"/>
      <c r="J4371" s="213"/>
      <c r="K4371" s="213"/>
      <c r="L4371" s="213"/>
      <c r="M4371" s="213"/>
      <c r="N4371" s="213"/>
      <c r="O4371" s="213"/>
      <c r="P4371" s="213"/>
      <c r="Q4371" s="213"/>
      <c r="R4371" s="213"/>
      <c r="S4371" s="213"/>
    </row>
    <row r="4372" spans="1:19">
      <c r="A4372" s="110" t="s">
        <v>308</v>
      </c>
      <c r="B4372" s="111" t="s">
        <v>309</v>
      </c>
      <c r="C4372" s="112" t="s">
        <v>228</v>
      </c>
      <c r="D4372" s="118" t="s">
        <v>17</v>
      </c>
      <c r="E4372" s="175" t="s">
        <v>15</v>
      </c>
      <c r="F4372" s="175" t="s">
        <v>54</v>
      </c>
      <c r="G4372" s="176">
        <v>31.6</v>
      </c>
      <c r="H4372" s="177">
        <v>10</v>
      </c>
      <c r="I4372" s="178">
        <v>6</v>
      </c>
      <c r="J4372" s="174">
        <f t="shared" ref="J4372:J4376" si="558">(G4372*H4372*I4372/1000)</f>
        <v>1.8959999999999999</v>
      </c>
      <c r="K4372" s="118"/>
      <c r="L4372" s="111">
        <v>6</v>
      </c>
      <c r="M4372" s="117">
        <f t="shared" ref="M4372:M4376" si="559">H4372*L4372*G4372/1000</f>
        <v>1.8959999999999999</v>
      </c>
      <c r="N4372" s="119">
        <f t="shared" ref="N4372:N4376" si="560">I4372-L4372</f>
        <v>0</v>
      </c>
      <c r="O4372" s="120">
        <f t="shared" ref="O4372:O4376" si="561">H4372*N4372*G4372/1000</f>
        <v>0</v>
      </c>
      <c r="P4372" s="111"/>
      <c r="Q4372" s="111"/>
      <c r="R4372" s="111"/>
      <c r="S4372" s="213"/>
    </row>
    <row r="4373" spans="1:19">
      <c r="A4373" s="110" t="s">
        <v>308</v>
      </c>
      <c r="B4373" s="111" t="s">
        <v>309</v>
      </c>
      <c r="C4373" s="112" t="s">
        <v>228</v>
      </c>
      <c r="D4373" s="118" t="s">
        <v>17</v>
      </c>
      <c r="E4373" s="175" t="s">
        <v>15</v>
      </c>
      <c r="F4373" s="175" t="s">
        <v>54</v>
      </c>
      <c r="G4373" s="176">
        <v>31.6</v>
      </c>
      <c r="H4373" s="177">
        <v>10.5</v>
      </c>
      <c r="I4373" s="178">
        <v>8</v>
      </c>
      <c r="J4373" s="174">
        <f t="shared" si="558"/>
        <v>2.6543999999999999</v>
      </c>
      <c r="K4373" s="118"/>
      <c r="L4373" s="111">
        <v>8</v>
      </c>
      <c r="M4373" s="117">
        <f t="shared" si="559"/>
        <v>2.6543999999999999</v>
      </c>
      <c r="N4373" s="119">
        <f t="shared" si="560"/>
        <v>0</v>
      </c>
      <c r="O4373" s="120">
        <f t="shared" si="561"/>
        <v>0</v>
      </c>
      <c r="P4373" s="111"/>
      <c r="Q4373" s="111"/>
      <c r="R4373" s="111"/>
      <c r="S4373" s="213"/>
    </row>
    <row r="4374" spans="1:19">
      <c r="A4374" s="110" t="s">
        <v>308</v>
      </c>
      <c r="B4374" s="111" t="s">
        <v>309</v>
      </c>
      <c r="C4374" s="112" t="s">
        <v>228</v>
      </c>
      <c r="D4374" s="118" t="s">
        <v>17</v>
      </c>
      <c r="E4374" s="175" t="s">
        <v>15</v>
      </c>
      <c r="F4374" s="175" t="s">
        <v>54</v>
      </c>
      <c r="G4374" s="176">
        <v>31.6</v>
      </c>
      <c r="H4374" s="177">
        <v>9.6</v>
      </c>
      <c r="I4374" s="178">
        <v>1</v>
      </c>
      <c r="J4374" s="174">
        <f t="shared" si="558"/>
        <v>0.30336000000000002</v>
      </c>
      <c r="K4374" s="118"/>
      <c r="L4374" s="111">
        <v>1</v>
      </c>
      <c r="M4374" s="117">
        <f t="shared" si="559"/>
        <v>0.30336000000000002</v>
      </c>
      <c r="N4374" s="119">
        <f t="shared" si="560"/>
        <v>0</v>
      </c>
      <c r="O4374" s="120">
        <f t="shared" si="561"/>
        <v>0</v>
      </c>
      <c r="P4374" s="111"/>
      <c r="Q4374" s="72">
        <v>1</v>
      </c>
      <c r="R4374" s="72" t="s">
        <v>542</v>
      </c>
      <c r="S4374" s="213"/>
    </row>
    <row r="4375" spans="1:19">
      <c r="A4375" s="110" t="s">
        <v>308</v>
      </c>
      <c r="B4375" s="111" t="s">
        <v>309</v>
      </c>
      <c r="C4375" s="112" t="s">
        <v>228</v>
      </c>
      <c r="D4375" s="118" t="s">
        <v>17</v>
      </c>
      <c r="E4375" s="175" t="s">
        <v>15</v>
      </c>
      <c r="F4375" s="175" t="s">
        <v>54</v>
      </c>
      <c r="G4375" s="176">
        <v>31.6</v>
      </c>
      <c r="H4375" s="177">
        <v>10.5</v>
      </c>
      <c r="I4375" s="178">
        <v>2</v>
      </c>
      <c r="J4375" s="174">
        <f t="shared" si="558"/>
        <v>0.66359999999999997</v>
      </c>
      <c r="K4375" s="118"/>
      <c r="L4375" s="111">
        <v>2</v>
      </c>
      <c r="M4375" s="117">
        <f t="shared" si="559"/>
        <v>0.66359999999999997</v>
      </c>
      <c r="N4375" s="119">
        <f t="shared" si="560"/>
        <v>0</v>
      </c>
      <c r="O4375" s="120">
        <f t="shared" si="561"/>
        <v>0</v>
      </c>
      <c r="P4375" s="111"/>
      <c r="Q4375" s="111"/>
      <c r="R4375" s="111"/>
      <c r="S4375" s="213"/>
    </row>
    <row r="4376" spans="1:19">
      <c r="A4376" s="110" t="s">
        <v>308</v>
      </c>
      <c r="B4376" s="111" t="s">
        <v>309</v>
      </c>
      <c r="C4376" s="112" t="s">
        <v>228</v>
      </c>
      <c r="D4376" s="118" t="s">
        <v>17</v>
      </c>
      <c r="E4376" s="175" t="s">
        <v>15</v>
      </c>
      <c r="F4376" s="175" t="s">
        <v>54</v>
      </c>
      <c r="G4376" s="176">
        <v>31.6</v>
      </c>
      <c r="H4376" s="177">
        <v>10</v>
      </c>
      <c r="I4376" s="178">
        <v>1</v>
      </c>
      <c r="J4376" s="174">
        <f t="shared" si="558"/>
        <v>0.316</v>
      </c>
      <c r="K4376" s="118"/>
      <c r="L4376" s="111"/>
      <c r="M4376" s="117">
        <f t="shared" si="559"/>
        <v>0</v>
      </c>
      <c r="N4376" s="119">
        <f t="shared" si="560"/>
        <v>1</v>
      </c>
      <c r="O4376" s="120">
        <f t="shared" si="561"/>
        <v>0.316</v>
      </c>
      <c r="P4376" s="111"/>
      <c r="Q4376" s="111"/>
      <c r="R4376" s="111"/>
      <c r="S4376" s="213"/>
    </row>
    <row r="4377" spans="1:19">
      <c r="A4377" s="213"/>
      <c r="B4377" s="213"/>
      <c r="C4377" s="213"/>
      <c r="D4377" s="213"/>
      <c r="E4377" s="213"/>
      <c r="F4377" s="213"/>
      <c r="G4377" s="213"/>
      <c r="H4377" s="213"/>
      <c r="I4377" s="78">
        <f>SUM(I4372:I4376)</f>
        <v>18</v>
      </c>
      <c r="J4377" s="214">
        <f>SUM(J4372:J4376)</f>
        <v>5.833359999999999</v>
      </c>
      <c r="K4377" s="213"/>
      <c r="L4377" s="80">
        <f>SUM(L4372:L4376)</f>
        <v>17</v>
      </c>
      <c r="M4377" s="214">
        <f>SUM(M4372:M4376)</f>
        <v>5.5173599999999992</v>
      </c>
      <c r="N4377" s="78">
        <f>SUM(N4372:N4376)</f>
        <v>1</v>
      </c>
      <c r="O4377" s="128">
        <f>SUM(O4372:O4376)</f>
        <v>0.316</v>
      </c>
      <c r="P4377" s="213"/>
      <c r="Q4377" s="80">
        <f>SUM(Q4372:Q4376)</f>
        <v>1</v>
      </c>
      <c r="R4377" s="213"/>
      <c r="S4377" s="213"/>
    </row>
    <row r="4378" spans="1:19">
      <c r="A4378" s="213"/>
      <c r="B4378" s="213"/>
      <c r="C4378" s="213"/>
      <c r="D4378" s="213"/>
      <c r="E4378" s="213"/>
      <c r="F4378" s="213"/>
      <c r="G4378" s="213"/>
      <c r="H4378" s="213"/>
      <c r="I4378" s="213"/>
      <c r="J4378" s="213"/>
      <c r="K4378" s="213"/>
      <c r="L4378" s="213"/>
      <c r="M4378" s="213"/>
      <c r="N4378" s="213"/>
      <c r="O4378" s="213"/>
      <c r="P4378" s="213"/>
      <c r="Q4378" s="80">
        <f>+Q4377+Q4370+Q4359</f>
        <v>10</v>
      </c>
      <c r="R4378" s="213"/>
      <c r="S4378" s="213"/>
    </row>
    <row r="4379" spans="1:19">
      <c r="A4379" s="110" t="s">
        <v>426</v>
      </c>
      <c r="B4379" s="111" t="s">
        <v>428</v>
      </c>
      <c r="C4379" s="112" t="s">
        <v>228</v>
      </c>
      <c r="D4379" s="113" t="s">
        <v>20</v>
      </c>
      <c r="E4379" s="175" t="s">
        <v>15</v>
      </c>
      <c r="F4379" s="175" t="s">
        <v>53</v>
      </c>
      <c r="G4379" s="176">
        <v>35.9</v>
      </c>
      <c r="H4379" s="177">
        <v>11.3</v>
      </c>
      <c r="I4379" s="178">
        <v>7</v>
      </c>
      <c r="J4379" s="174">
        <f t="shared" ref="J4379:J4385" si="562">(G4379*H4379*I4379/1000)</f>
        <v>2.83969</v>
      </c>
      <c r="K4379" s="118"/>
      <c r="L4379" s="111">
        <v>7</v>
      </c>
      <c r="M4379" s="117">
        <f t="shared" ref="M4379:M4385" si="563">H4379*L4379*G4379/1000</f>
        <v>2.83969</v>
      </c>
      <c r="N4379" s="119">
        <f t="shared" ref="N4379:N4385" si="564">I4379-L4379</f>
        <v>0</v>
      </c>
      <c r="O4379" s="120">
        <f t="shared" ref="O4379:O4385" si="565">H4379*N4379*G4379/1000</f>
        <v>0</v>
      </c>
      <c r="P4379" s="32"/>
      <c r="Q4379" s="32"/>
      <c r="R4379" s="32"/>
      <c r="S4379" s="213"/>
    </row>
    <row r="4380" spans="1:19">
      <c r="A4380" s="110" t="s">
        <v>426</v>
      </c>
      <c r="B4380" s="111" t="s">
        <v>428</v>
      </c>
      <c r="C4380" s="112" t="s">
        <v>228</v>
      </c>
      <c r="D4380" s="113" t="s">
        <v>20</v>
      </c>
      <c r="E4380" s="175" t="s">
        <v>15</v>
      </c>
      <c r="F4380" s="175" t="s">
        <v>53</v>
      </c>
      <c r="G4380" s="176">
        <v>35.9</v>
      </c>
      <c r="H4380" s="177">
        <v>11.7</v>
      </c>
      <c r="I4380" s="178">
        <f>7+7+7+105</f>
        <v>126</v>
      </c>
      <c r="J4380" s="174">
        <f t="shared" si="562"/>
        <v>52.923780000000001</v>
      </c>
      <c r="K4380" s="118"/>
      <c r="L4380" s="111">
        <f>119+7</f>
        <v>126</v>
      </c>
      <c r="M4380" s="117">
        <f t="shared" si="563"/>
        <v>52.923779999999994</v>
      </c>
      <c r="N4380" s="119">
        <f t="shared" si="564"/>
        <v>0</v>
      </c>
      <c r="O4380" s="120">
        <f t="shared" si="565"/>
        <v>0</v>
      </c>
      <c r="P4380" s="32"/>
      <c r="Q4380" s="32"/>
      <c r="R4380" s="32"/>
      <c r="S4380" s="213"/>
    </row>
    <row r="4381" spans="1:19">
      <c r="A4381" s="110" t="s">
        <v>426</v>
      </c>
      <c r="B4381" s="111" t="s">
        <v>428</v>
      </c>
      <c r="C4381" s="112" t="s">
        <v>228</v>
      </c>
      <c r="D4381" s="113" t="s">
        <v>20</v>
      </c>
      <c r="E4381" s="175" t="s">
        <v>15</v>
      </c>
      <c r="F4381" s="175" t="s">
        <v>53</v>
      </c>
      <c r="G4381" s="176">
        <v>35.9</v>
      </c>
      <c r="H4381" s="177">
        <v>12</v>
      </c>
      <c r="I4381" s="178">
        <f>7+7+7+8+63</f>
        <v>92</v>
      </c>
      <c r="J4381" s="174">
        <f t="shared" si="562"/>
        <v>39.633600000000001</v>
      </c>
      <c r="K4381" s="118"/>
      <c r="L4381" s="111">
        <f>82+2</f>
        <v>84</v>
      </c>
      <c r="M4381" s="117">
        <f t="shared" si="563"/>
        <v>36.187199999999997</v>
      </c>
      <c r="N4381" s="119">
        <f t="shared" si="564"/>
        <v>8</v>
      </c>
      <c r="O4381" s="120">
        <f t="shared" si="565"/>
        <v>3.4463999999999997</v>
      </c>
      <c r="P4381" s="91">
        <v>12</v>
      </c>
      <c r="Q4381" s="91">
        <v>2</v>
      </c>
      <c r="R4381" s="91" t="s">
        <v>543</v>
      </c>
      <c r="S4381" s="213"/>
    </row>
    <row r="4382" spans="1:19">
      <c r="A4382" s="110" t="s">
        <v>426</v>
      </c>
      <c r="B4382" s="111" t="s">
        <v>428</v>
      </c>
      <c r="C4382" s="112" t="s">
        <v>228</v>
      </c>
      <c r="D4382" s="113" t="s">
        <v>20</v>
      </c>
      <c r="E4382" s="175" t="s">
        <v>15</v>
      </c>
      <c r="F4382" s="175" t="s">
        <v>53</v>
      </c>
      <c r="G4382" s="176">
        <v>35.9</v>
      </c>
      <c r="H4382" s="177">
        <v>12</v>
      </c>
      <c r="I4382" s="178">
        <v>1</v>
      </c>
      <c r="J4382" s="174">
        <f t="shared" si="562"/>
        <v>0.43079999999999996</v>
      </c>
      <c r="K4382" s="118" t="s">
        <v>429</v>
      </c>
      <c r="L4382" s="111"/>
      <c r="M4382" s="117">
        <f t="shared" si="563"/>
        <v>0</v>
      </c>
      <c r="N4382" s="119">
        <f t="shared" si="564"/>
        <v>1</v>
      </c>
      <c r="O4382" s="120">
        <f t="shared" si="565"/>
        <v>0.43079999999999996</v>
      </c>
      <c r="P4382" s="32"/>
      <c r="Q4382" s="32"/>
      <c r="R4382" s="32"/>
      <c r="S4382" s="213"/>
    </row>
    <row r="4383" spans="1:19">
      <c r="A4383" s="110" t="s">
        <v>426</v>
      </c>
      <c r="B4383" s="111" t="s">
        <v>428</v>
      </c>
      <c r="C4383" s="112" t="s">
        <v>228</v>
      </c>
      <c r="D4383" s="113" t="s">
        <v>20</v>
      </c>
      <c r="E4383" s="175" t="s">
        <v>15</v>
      </c>
      <c r="F4383" s="175" t="s">
        <v>53</v>
      </c>
      <c r="G4383" s="176">
        <v>35.9</v>
      </c>
      <c r="H4383" s="177">
        <v>10.8</v>
      </c>
      <c r="I4383" s="178">
        <v>1</v>
      </c>
      <c r="J4383" s="174">
        <f t="shared" si="562"/>
        <v>0.38772000000000001</v>
      </c>
      <c r="K4383" s="118" t="s">
        <v>252</v>
      </c>
      <c r="L4383" s="111"/>
      <c r="M4383" s="117">
        <f t="shared" si="563"/>
        <v>0</v>
      </c>
      <c r="N4383" s="119">
        <f t="shared" si="564"/>
        <v>1</v>
      </c>
      <c r="O4383" s="120">
        <f t="shared" si="565"/>
        <v>0.38772000000000001</v>
      </c>
      <c r="P4383" s="32"/>
      <c r="Q4383" s="32"/>
      <c r="R4383" s="32"/>
      <c r="S4383" s="213"/>
    </row>
    <row r="4384" spans="1:19">
      <c r="A4384" s="110" t="s">
        <v>426</v>
      </c>
      <c r="B4384" s="111" t="s">
        <v>428</v>
      </c>
      <c r="C4384" s="112" t="s">
        <v>228</v>
      </c>
      <c r="D4384" s="113" t="s">
        <v>20</v>
      </c>
      <c r="E4384" s="175" t="s">
        <v>15</v>
      </c>
      <c r="F4384" s="175" t="s">
        <v>53</v>
      </c>
      <c r="G4384" s="176">
        <v>35.9</v>
      </c>
      <c r="H4384" s="177">
        <v>11.7</v>
      </c>
      <c r="I4384" s="178">
        <v>2</v>
      </c>
      <c r="J4384" s="174">
        <f t="shared" si="562"/>
        <v>0.84005999999999992</v>
      </c>
      <c r="K4384" s="118" t="s">
        <v>252</v>
      </c>
      <c r="L4384" s="111">
        <v>2</v>
      </c>
      <c r="M4384" s="117">
        <f t="shared" si="563"/>
        <v>0.84005999999999992</v>
      </c>
      <c r="N4384" s="119">
        <f t="shared" si="564"/>
        <v>0</v>
      </c>
      <c r="O4384" s="120">
        <f t="shared" si="565"/>
        <v>0</v>
      </c>
      <c r="P4384" s="32"/>
      <c r="Q4384" s="32"/>
      <c r="R4384" s="32"/>
      <c r="S4384" s="213"/>
    </row>
    <row r="4385" spans="1:19">
      <c r="A4385" s="110" t="s">
        <v>426</v>
      </c>
      <c r="B4385" s="111" t="s">
        <v>428</v>
      </c>
      <c r="C4385" s="112" t="s">
        <v>228</v>
      </c>
      <c r="D4385" s="113" t="s">
        <v>20</v>
      </c>
      <c r="E4385" s="175" t="s">
        <v>15</v>
      </c>
      <c r="F4385" s="175" t="s">
        <v>53</v>
      </c>
      <c r="G4385" s="176">
        <v>35.9</v>
      </c>
      <c r="H4385" s="177">
        <v>12</v>
      </c>
      <c r="I4385" s="178">
        <v>3</v>
      </c>
      <c r="J4385" s="174">
        <f t="shared" si="562"/>
        <v>1.2923999999999998</v>
      </c>
      <c r="K4385" s="118" t="s">
        <v>252</v>
      </c>
      <c r="L4385" s="111">
        <v>2</v>
      </c>
      <c r="M4385" s="117">
        <f t="shared" si="563"/>
        <v>0.86159999999999992</v>
      </c>
      <c r="N4385" s="119">
        <f t="shared" si="564"/>
        <v>1</v>
      </c>
      <c r="O4385" s="120">
        <f t="shared" si="565"/>
        <v>0.43079999999999996</v>
      </c>
      <c r="P4385" s="32"/>
      <c r="Q4385" s="32"/>
      <c r="R4385" s="32"/>
      <c r="S4385" s="213"/>
    </row>
    <row r="4386" spans="1:19">
      <c r="A4386" s="213"/>
      <c r="B4386" s="213"/>
      <c r="C4386" s="213"/>
      <c r="D4386" s="213"/>
      <c r="E4386" s="213"/>
      <c r="F4386" s="213"/>
      <c r="G4386" s="213"/>
      <c r="H4386" s="213"/>
      <c r="I4386" s="78">
        <f>SUM(I4379:I4385)</f>
        <v>232</v>
      </c>
      <c r="J4386" s="214">
        <f>SUM(J4379:J4385)</f>
        <v>98.348050000000001</v>
      </c>
      <c r="K4386" s="213"/>
      <c r="L4386" s="78">
        <f>SUM(L4379:L4385)</f>
        <v>221</v>
      </c>
      <c r="M4386" s="214">
        <f>SUM(M4379:M4385)</f>
        <v>93.652329999999978</v>
      </c>
      <c r="N4386" s="78">
        <f>SUM(N4379:N4385)</f>
        <v>11</v>
      </c>
      <c r="O4386" s="214">
        <f>SUM(O4379:O4385)</f>
        <v>4.6957199999999997</v>
      </c>
      <c r="P4386" s="213"/>
      <c r="Q4386" s="80">
        <f>SUM(Q4379:Q4385)</f>
        <v>2</v>
      </c>
      <c r="R4386" s="213"/>
      <c r="S4386" s="213"/>
    </row>
    <row r="4387" spans="1:19">
      <c r="A4387" s="213"/>
      <c r="B4387" s="213"/>
      <c r="C4387" s="213"/>
      <c r="D4387" s="213"/>
      <c r="E4387" s="213"/>
      <c r="F4387" s="213"/>
      <c r="G4387" s="213"/>
      <c r="H4387" s="213"/>
      <c r="I4387" s="213"/>
      <c r="J4387" s="213"/>
      <c r="K4387" s="213"/>
      <c r="L4387" s="213"/>
      <c r="M4387" s="213"/>
      <c r="N4387" s="213"/>
      <c r="O4387" s="213"/>
      <c r="P4387" s="213"/>
      <c r="Q4387" s="213"/>
      <c r="R4387" s="213"/>
      <c r="S4387" s="213"/>
    </row>
    <row r="4388" spans="1:19">
      <c r="A4388" s="110" t="s">
        <v>308</v>
      </c>
      <c r="B4388" s="111" t="s">
        <v>309</v>
      </c>
      <c r="C4388" s="112" t="s">
        <v>228</v>
      </c>
      <c r="D4388" s="118" t="s">
        <v>17</v>
      </c>
      <c r="E4388" s="175" t="s">
        <v>15</v>
      </c>
      <c r="F4388" s="175" t="s">
        <v>65</v>
      </c>
      <c r="G4388" s="176">
        <v>44.12</v>
      </c>
      <c r="H4388" s="177">
        <v>7.8</v>
      </c>
      <c r="I4388" s="178">
        <v>1</v>
      </c>
      <c r="J4388" s="174">
        <f t="shared" ref="J4388:J4399" si="566">(G4388*H4388*I4388/1000)</f>
        <v>0.34413599999999994</v>
      </c>
      <c r="K4388" s="118"/>
      <c r="L4388" s="111">
        <v>1</v>
      </c>
      <c r="M4388" s="117">
        <f t="shared" ref="M4388:M4399" si="567">H4388*L4388*G4388/1000</f>
        <v>0.34413599999999994</v>
      </c>
      <c r="N4388" s="119">
        <f t="shared" ref="N4388:N4399" si="568">I4388-L4388</f>
        <v>0</v>
      </c>
      <c r="O4388" s="120">
        <f t="shared" ref="O4388:O4399" si="569">H4388*N4388*G4388/1000</f>
        <v>0</v>
      </c>
      <c r="P4388" s="111"/>
      <c r="Q4388" s="111"/>
      <c r="R4388" s="111"/>
      <c r="S4388" s="213"/>
    </row>
    <row r="4389" spans="1:19">
      <c r="A4389" s="110" t="s">
        <v>308</v>
      </c>
      <c r="B4389" s="111" t="s">
        <v>309</v>
      </c>
      <c r="C4389" s="112" t="s">
        <v>228</v>
      </c>
      <c r="D4389" s="118" t="s">
        <v>17</v>
      </c>
      <c r="E4389" s="175" t="s">
        <v>15</v>
      </c>
      <c r="F4389" s="175" t="s">
        <v>65</v>
      </c>
      <c r="G4389" s="176">
        <v>44.12</v>
      </c>
      <c r="H4389" s="177">
        <v>7.7</v>
      </c>
      <c r="I4389" s="178">
        <f>9+9+6+8+10+9+9+10+3+1</f>
        <v>74</v>
      </c>
      <c r="J4389" s="174">
        <f t="shared" si="566"/>
        <v>25.139576000000002</v>
      </c>
      <c r="K4389" s="118"/>
      <c r="L4389" s="111">
        <v>70</v>
      </c>
      <c r="M4389" s="117">
        <f t="shared" si="567"/>
        <v>23.78068</v>
      </c>
      <c r="N4389" s="119">
        <f t="shared" si="568"/>
        <v>4</v>
      </c>
      <c r="O4389" s="120">
        <f t="shared" si="569"/>
        <v>1.3588959999999999</v>
      </c>
      <c r="P4389" s="111"/>
      <c r="Q4389" s="111"/>
      <c r="R4389" s="111"/>
      <c r="S4389" s="213"/>
    </row>
    <row r="4390" spans="1:19">
      <c r="A4390" s="110" t="s">
        <v>308</v>
      </c>
      <c r="B4390" s="111" t="s">
        <v>309</v>
      </c>
      <c r="C4390" s="112" t="s">
        <v>228</v>
      </c>
      <c r="D4390" s="118" t="s">
        <v>17</v>
      </c>
      <c r="E4390" s="175" t="s">
        <v>15</v>
      </c>
      <c r="F4390" s="175" t="s">
        <v>65</v>
      </c>
      <c r="G4390" s="176">
        <v>44.12</v>
      </c>
      <c r="H4390" s="177">
        <v>10</v>
      </c>
      <c r="I4390" s="178">
        <f>7+4+4</f>
        <v>15</v>
      </c>
      <c r="J4390" s="174">
        <f t="shared" si="566"/>
        <v>6.6180000000000003</v>
      </c>
      <c r="K4390" s="118"/>
      <c r="L4390" s="111">
        <v>15</v>
      </c>
      <c r="M4390" s="117">
        <f t="shared" si="567"/>
        <v>6.6180000000000003</v>
      </c>
      <c r="N4390" s="119">
        <f t="shared" si="568"/>
        <v>0</v>
      </c>
      <c r="O4390" s="120">
        <f t="shared" si="569"/>
        <v>0</v>
      </c>
      <c r="P4390" s="111"/>
      <c r="Q4390" s="111"/>
      <c r="R4390" s="111"/>
      <c r="S4390" s="213"/>
    </row>
    <row r="4391" spans="1:19">
      <c r="A4391" s="110" t="s">
        <v>308</v>
      </c>
      <c r="B4391" s="111" t="s">
        <v>309</v>
      </c>
      <c r="C4391" s="112" t="s">
        <v>228</v>
      </c>
      <c r="D4391" s="118" t="s">
        <v>17</v>
      </c>
      <c r="E4391" s="175" t="s">
        <v>15</v>
      </c>
      <c r="F4391" s="175" t="s">
        <v>65</v>
      </c>
      <c r="G4391" s="176">
        <v>44.12</v>
      </c>
      <c r="H4391" s="177">
        <v>9.5</v>
      </c>
      <c r="I4391" s="178">
        <f>8+6+1+7+5+4+1</f>
        <v>32</v>
      </c>
      <c r="J4391" s="174">
        <f t="shared" si="566"/>
        <v>13.41248</v>
      </c>
      <c r="K4391" s="118"/>
      <c r="L4391" s="111">
        <v>32</v>
      </c>
      <c r="M4391" s="117">
        <f t="shared" si="567"/>
        <v>13.41248</v>
      </c>
      <c r="N4391" s="119">
        <f t="shared" si="568"/>
        <v>0</v>
      </c>
      <c r="O4391" s="120">
        <f t="shared" si="569"/>
        <v>0</v>
      </c>
      <c r="P4391" s="111"/>
      <c r="Q4391" s="111"/>
      <c r="R4391" s="111"/>
      <c r="S4391" s="213"/>
    </row>
    <row r="4392" spans="1:19">
      <c r="A4392" s="110" t="s">
        <v>308</v>
      </c>
      <c r="B4392" s="111" t="s">
        <v>309</v>
      </c>
      <c r="C4392" s="112" t="s">
        <v>228</v>
      </c>
      <c r="D4392" s="118" t="s">
        <v>17</v>
      </c>
      <c r="E4392" s="175" t="s">
        <v>15</v>
      </c>
      <c r="F4392" s="175" t="s">
        <v>65</v>
      </c>
      <c r="G4392" s="176">
        <v>44.12</v>
      </c>
      <c r="H4392" s="177">
        <v>6.6</v>
      </c>
      <c r="I4392" s="178">
        <v>2</v>
      </c>
      <c r="J4392" s="174">
        <f t="shared" si="566"/>
        <v>0.5823839999999999</v>
      </c>
      <c r="K4392" s="118"/>
      <c r="L4392" s="111">
        <v>2</v>
      </c>
      <c r="M4392" s="117">
        <f t="shared" si="567"/>
        <v>0.5823839999999999</v>
      </c>
      <c r="N4392" s="119">
        <f t="shared" si="568"/>
        <v>0</v>
      </c>
      <c r="O4392" s="120">
        <f t="shared" si="569"/>
        <v>0</v>
      </c>
      <c r="P4392" s="111"/>
      <c r="Q4392" s="111"/>
      <c r="R4392" s="111"/>
      <c r="S4392" s="213"/>
    </row>
    <row r="4393" spans="1:19">
      <c r="A4393" s="110" t="s">
        <v>308</v>
      </c>
      <c r="B4393" s="111" t="s">
        <v>309</v>
      </c>
      <c r="C4393" s="112" t="s">
        <v>228</v>
      </c>
      <c r="D4393" s="118" t="s">
        <v>17</v>
      </c>
      <c r="E4393" s="175" t="s">
        <v>15</v>
      </c>
      <c r="F4393" s="175" t="s">
        <v>65</v>
      </c>
      <c r="G4393" s="176">
        <v>44.12</v>
      </c>
      <c r="H4393" s="177">
        <v>7.8</v>
      </c>
      <c r="I4393" s="178">
        <v>1</v>
      </c>
      <c r="J4393" s="174">
        <f t="shared" si="566"/>
        <v>0.34413599999999994</v>
      </c>
      <c r="K4393" s="118"/>
      <c r="L4393" s="111">
        <v>1</v>
      </c>
      <c r="M4393" s="117">
        <f t="shared" si="567"/>
        <v>0.34413599999999994</v>
      </c>
      <c r="N4393" s="119">
        <f t="shared" si="568"/>
        <v>0</v>
      </c>
      <c r="O4393" s="120">
        <f t="shared" si="569"/>
        <v>0</v>
      </c>
      <c r="P4393" s="111"/>
      <c r="Q4393" s="111"/>
      <c r="R4393" s="111"/>
      <c r="S4393" s="213"/>
    </row>
    <row r="4394" spans="1:19">
      <c r="A4394" s="110" t="s">
        <v>308</v>
      </c>
      <c r="B4394" s="111" t="s">
        <v>309</v>
      </c>
      <c r="C4394" s="112" t="s">
        <v>228</v>
      </c>
      <c r="D4394" s="118" t="s">
        <v>17</v>
      </c>
      <c r="E4394" s="175" t="s">
        <v>15</v>
      </c>
      <c r="F4394" s="175" t="s">
        <v>65</v>
      </c>
      <c r="G4394" s="176">
        <v>44.12</v>
      </c>
      <c r="H4394" s="177">
        <v>9.3000000000000007</v>
      </c>
      <c r="I4394" s="178">
        <v>1</v>
      </c>
      <c r="J4394" s="174">
        <f t="shared" si="566"/>
        <v>0.41031600000000001</v>
      </c>
      <c r="K4394" s="118"/>
      <c r="L4394" s="111">
        <v>1</v>
      </c>
      <c r="M4394" s="117">
        <f t="shared" si="567"/>
        <v>0.41031600000000001</v>
      </c>
      <c r="N4394" s="119">
        <f t="shared" si="568"/>
        <v>0</v>
      </c>
      <c r="O4394" s="120">
        <f t="shared" si="569"/>
        <v>0</v>
      </c>
      <c r="P4394" s="111"/>
      <c r="Q4394" s="111"/>
      <c r="R4394" s="111"/>
      <c r="S4394" s="213"/>
    </row>
    <row r="4395" spans="1:19">
      <c r="A4395" s="110" t="s">
        <v>308</v>
      </c>
      <c r="B4395" s="111" t="s">
        <v>309</v>
      </c>
      <c r="C4395" s="112" t="s">
        <v>228</v>
      </c>
      <c r="D4395" s="118" t="s">
        <v>17</v>
      </c>
      <c r="E4395" s="175" t="s">
        <v>15</v>
      </c>
      <c r="F4395" s="175" t="s">
        <v>65</v>
      </c>
      <c r="G4395" s="176">
        <v>44.12</v>
      </c>
      <c r="H4395" s="177">
        <v>11.5</v>
      </c>
      <c r="I4395" s="178">
        <v>3</v>
      </c>
      <c r="J4395" s="174">
        <f t="shared" si="566"/>
        <v>1.5221399999999998</v>
      </c>
      <c r="K4395" s="118"/>
      <c r="L4395" s="111">
        <f>1+2</f>
        <v>3</v>
      </c>
      <c r="M4395" s="117">
        <f t="shared" si="567"/>
        <v>1.5221399999999998</v>
      </c>
      <c r="N4395" s="145">
        <f t="shared" si="568"/>
        <v>0</v>
      </c>
      <c r="O4395" s="120">
        <f t="shared" si="569"/>
        <v>0</v>
      </c>
      <c r="P4395" s="111"/>
      <c r="Q4395" s="72">
        <v>2</v>
      </c>
      <c r="R4395" s="72" t="s">
        <v>540</v>
      </c>
      <c r="S4395" s="213"/>
    </row>
    <row r="4396" spans="1:19">
      <c r="A4396" s="110" t="s">
        <v>308</v>
      </c>
      <c r="B4396" s="111" t="s">
        <v>309</v>
      </c>
      <c r="C4396" s="112" t="s">
        <v>228</v>
      </c>
      <c r="D4396" s="118" t="s">
        <v>17</v>
      </c>
      <c r="E4396" s="175" t="s">
        <v>15</v>
      </c>
      <c r="F4396" s="175" t="s">
        <v>65</v>
      </c>
      <c r="G4396" s="176">
        <v>44.12</v>
      </c>
      <c r="H4396" s="177">
        <v>12</v>
      </c>
      <c r="I4396" s="178">
        <v>3</v>
      </c>
      <c r="J4396" s="174">
        <f t="shared" si="566"/>
        <v>1.5883199999999997</v>
      </c>
      <c r="K4396" s="118"/>
      <c r="L4396" s="111">
        <v>3</v>
      </c>
      <c r="M4396" s="117">
        <f t="shared" si="567"/>
        <v>1.58832</v>
      </c>
      <c r="N4396" s="145">
        <f t="shared" si="568"/>
        <v>0</v>
      </c>
      <c r="O4396" s="120">
        <f t="shared" si="569"/>
        <v>0</v>
      </c>
      <c r="P4396" s="111"/>
      <c r="Q4396" s="72">
        <v>3</v>
      </c>
      <c r="R4396" s="72" t="s">
        <v>540</v>
      </c>
      <c r="S4396" s="213"/>
    </row>
    <row r="4397" spans="1:19">
      <c r="A4397" s="110" t="s">
        <v>308</v>
      </c>
      <c r="B4397" s="111" t="s">
        <v>309</v>
      </c>
      <c r="C4397" s="112" t="s">
        <v>228</v>
      </c>
      <c r="D4397" s="118" t="s">
        <v>17</v>
      </c>
      <c r="E4397" s="175" t="s">
        <v>15</v>
      </c>
      <c r="F4397" s="175" t="s">
        <v>65</v>
      </c>
      <c r="G4397" s="176">
        <v>44.12</v>
      </c>
      <c r="H4397" s="177">
        <v>6.7</v>
      </c>
      <c r="I4397" s="178">
        <v>3</v>
      </c>
      <c r="J4397" s="174">
        <f t="shared" si="566"/>
        <v>0.88681199999999993</v>
      </c>
      <c r="K4397" s="118"/>
      <c r="L4397" s="111">
        <v>2</v>
      </c>
      <c r="M4397" s="117">
        <f t="shared" si="567"/>
        <v>0.59120799999999996</v>
      </c>
      <c r="N4397" s="119">
        <f t="shared" si="568"/>
        <v>1</v>
      </c>
      <c r="O4397" s="120">
        <f t="shared" si="569"/>
        <v>0.29560399999999998</v>
      </c>
      <c r="P4397" s="111"/>
      <c r="Q4397" s="111"/>
      <c r="R4397" s="111"/>
      <c r="S4397" s="213"/>
    </row>
    <row r="4398" spans="1:19">
      <c r="A4398" s="110" t="s">
        <v>308</v>
      </c>
      <c r="B4398" s="111" t="s">
        <v>309</v>
      </c>
      <c r="C4398" s="112" t="s">
        <v>228</v>
      </c>
      <c r="D4398" s="118" t="s">
        <v>17</v>
      </c>
      <c r="E4398" s="175" t="s">
        <v>15</v>
      </c>
      <c r="F4398" s="175" t="s">
        <v>65</v>
      </c>
      <c r="G4398" s="176">
        <v>44.12</v>
      </c>
      <c r="H4398" s="177">
        <v>6</v>
      </c>
      <c r="I4398" s="178">
        <v>2</v>
      </c>
      <c r="J4398" s="174">
        <f t="shared" si="566"/>
        <v>0.52943999999999991</v>
      </c>
      <c r="K4398" s="118"/>
      <c r="L4398" s="111"/>
      <c r="M4398" s="117">
        <f t="shared" si="567"/>
        <v>0</v>
      </c>
      <c r="N4398" s="119">
        <f t="shared" si="568"/>
        <v>2</v>
      </c>
      <c r="O4398" s="120">
        <f t="shared" si="569"/>
        <v>0.52943999999999991</v>
      </c>
      <c r="P4398" s="111"/>
      <c r="Q4398" s="111"/>
      <c r="R4398" s="111"/>
      <c r="S4398" s="213"/>
    </row>
    <row r="4399" spans="1:19">
      <c r="A4399" s="110" t="s">
        <v>308</v>
      </c>
      <c r="B4399" s="111" t="s">
        <v>309</v>
      </c>
      <c r="C4399" s="112" t="s">
        <v>228</v>
      </c>
      <c r="D4399" s="118" t="s">
        <v>17</v>
      </c>
      <c r="E4399" s="175" t="s">
        <v>15</v>
      </c>
      <c r="F4399" s="175" t="s">
        <v>65</v>
      </c>
      <c r="G4399" s="176">
        <v>44.12</v>
      </c>
      <c r="H4399" s="177">
        <v>5.8</v>
      </c>
      <c r="I4399" s="178">
        <v>1</v>
      </c>
      <c r="J4399" s="174">
        <f t="shared" si="566"/>
        <v>0.25589600000000001</v>
      </c>
      <c r="K4399" s="118"/>
      <c r="L4399" s="111"/>
      <c r="M4399" s="117">
        <f t="shared" si="567"/>
        <v>0</v>
      </c>
      <c r="N4399" s="119">
        <f t="shared" si="568"/>
        <v>1</v>
      </c>
      <c r="O4399" s="120">
        <f t="shared" si="569"/>
        <v>0.25589600000000001</v>
      </c>
      <c r="P4399" s="111"/>
      <c r="Q4399" s="111"/>
      <c r="R4399" s="111"/>
      <c r="S4399" s="213"/>
    </row>
    <row r="4400" spans="1:19">
      <c r="A4400" s="213"/>
      <c r="B4400" s="213"/>
      <c r="C4400" s="213"/>
      <c r="D4400" s="213"/>
      <c r="E4400" s="213"/>
      <c r="F4400" s="213"/>
      <c r="G4400" s="213"/>
      <c r="H4400" s="213"/>
      <c r="I4400" s="78">
        <f>SUM(I4388:I4399)</f>
        <v>138</v>
      </c>
      <c r="J4400" s="214">
        <f>SUM(J4388:J4399)</f>
        <v>51.633636000000003</v>
      </c>
      <c r="K4400" s="213"/>
      <c r="L4400" s="78">
        <f>SUM(L4388:L4399)</f>
        <v>130</v>
      </c>
      <c r="M4400" s="214">
        <f>SUM(M4388:M4399)</f>
        <v>49.193800000000003</v>
      </c>
      <c r="N4400" s="78">
        <f>SUM(N4388:N4399)</f>
        <v>8</v>
      </c>
      <c r="O4400" s="128">
        <f>SUM(O4388:O4399)</f>
        <v>2.4398359999999997</v>
      </c>
      <c r="P4400" s="213"/>
      <c r="Q4400" s="80">
        <f>SUM(Q4388:Q4399)</f>
        <v>5</v>
      </c>
      <c r="R4400" s="213"/>
      <c r="S4400" s="213"/>
    </row>
    <row r="4404" spans="1:19">
      <c r="A4404" s="48" t="s">
        <v>179</v>
      </c>
      <c r="B4404" s="48" t="s">
        <v>169</v>
      </c>
      <c r="C4404" s="32"/>
      <c r="D4404" s="32"/>
      <c r="E4404" s="69" t="s">
        <v>152</v>
      </c>
      <c r="F4404" s="69" t="s">
        <v>15</v>
      </c>
      <c r="G4404" s="69" t="s">
        <v>144</v>
      </c>
      <c r="H4404" s="105">
        <v>5.38</v>
      </c>
      <c r="I4404" s="99">
        <v>10</v>
      </c>
      <c r="J4404" s="60">
        <v>1</v>
      </c>
      <c r="K4404" s="62">
        <v>5.3800000000000001E-2</v>
      </c>
      <c r="L4404" s="254" t="s">
        <v>46</v>
      </c>
      <c r="M4404" s="67"/>
      <c r="N4404" s="63">
        <v>0</v>
      </c>
      <c r="O4404" s="64">
        <v>1</v>
      </c>
      <c r="P4404" s="65">
        <v>5.3800000000000001E-2</v>
      </c>
      <c r="Q4404" s="58"/>
      <c r="R4404" s="32"/>
      <c r="S4404" s="32"/>
    </row>
    <row r="4405" spans="1:19">
      <c r="A4405" s="42" t="s">
        <v>90</v>
      </c>
      <c r="B4405" s="48" t="s">
        <v>148</v>
      </c>
      <c r="C4405" s="32">
        <v>7</v>
      </c>
      <c r="D4405" s="32"/>
      <c r="E4405" s="90" t="s">
        <v>150</v>
      </c>
      <c r="F4405" s="48" t="s">
        <v>15</v>
      </c>
      <c r="G4405" s="48" t="s">
        <v>144</v>
      </c>
      <c r="H4405" s="49">
        <v>5.38</v>
      </c>
      <c r="I4405" s="52">
        <v>11</v>
      </c>
      <c r="J4405" s="7">
        <v>2</v>
      </c>
      <c r="K4405" s="10">
        <v>0.11835999999999999</v>
      </c>
      <c r="L4405" s="32"/>
      <c r="M4405" s="32"/>
      <c r="N4405" s="18">
        <v>0</v>
      </c>
      <c r="O4405" s="19">
        <v>2</v>
      </c>
      <c r="P4405" s="13">
        <v>0.11835999999999999</v>
      </c>
      <c r="Q4405" s="32"/>
      <c r="R4405" s="32"/>
      <c r="S4405" s="32"/>
    </row>
    <row r="4406" spans="1:19">
      <c r="A4406" s="42" t="s">
        <v>90</v>
      </c>
      <c r="B4406" s="48" t="s">
        <v>148</v>
      </c>
      <c r="C4406" s="32">
        <v>14</v>
      </c>
      <c r="D4406" s="32"/>
      <c r="E4406" s="90" t="s">
        <v>150</v>
      </c>
      <c r="F4406" s="48" t="s">
        <v>15</v>
      </c>
      <c r="G4406" s="48" t="s">
        <v>144</v>
      </c>
      <c r="H4406" s="49">
        <v>5.38</v>
      </c>
      <c r="I4406" s="52">
        <v>10.5</v>
      </c>
      <c r="J4406" s="7">
        <v>5</v>
      </c>
      <c r="K4406" s="10">
        <v>0.28244999999999998</v>
      </c>
      <c r="L4406" s="32"/>
      <c r="M4406" s="32"/>
      <c r="N4406" s="18">
        <v>0</v>
      </c>
      <c r="O4406" s="19">
        <v>5</v>
      </c>
      <c r="P4406" s="13">
        <v>0.28244999999999998</v>
      </c>
      <c r="Q4406" s="32"/>
      <c r="R4406" s="32"/>
      <c r="S4406" s="32"/>
    </row>
    <row r="4407" spans="1:19">
      <c r="A4407" s="42" t="s">
        <v>90</v>
      </c>
      <c r="B4407" s="48" t="s">
        <v>148</v>
      </c>
      <c r="C4407" s="32">
        <v>15</v>
      </c>
      <c r="D4407" s="32"/>
      <c r="E4407" s="48" t="s">
        <v>151</v>
      </c>
      <c r="F4407" s="48" t="s">
        <v>15</v>
      </c>
      <c r="G4407" s="48" t="s">
        <v>144</v>
      </c>
      <c r="H4407" s="49">
        <v>5.38</v>
      </c>
      <c r="I4407" s="52">
        <v>7.5</v>
      </c>
      <c r="J4407" s="7">
        <v>3</v>
      </c>
      <c r="K4407" s="10">
        <v>0.12105</v>
      </c>
      <c r="L4407" s="32"/>
      <c r="M4407" s="32">
        <v>3</v>
      </c>
      <c r="N4407" s="18">
        <v>0.12104999999999999</v>
      </c>
      <c r="O4407" s="19">
        <v>0</v>
      </c>
      <c r="P4407" s="13">
        <v>0</v>
      </c>
      <c r="Q4407" s="102">
        <v>6.6</v>
      </c>
      <c r="R4407" s="91">
        <v>3</v>
      </c>
      <c r="S4407" s="91" t="s">
        <v>604</v>
      </c>
    </row>
    <row r="4408" spans="1:19">
      <c r="A4408" s="42" t="s">
        <v>90</v>
      </c>
      <c r="B4408" s="48" t="s">
        <v>148</v>
      </c>
      <c r="C4408" s="32">
        <v>15</v>
      </c>
      <c r="D4408" s="32"/>
      <c r="E4408" s="48" t="s">
        <v>151</v>
      </c>
      <c r="F4408" s="48" t="s">
        <v>15</v>
      </c>
      <c r="G4408" s="48" t="s">
        <v>144</v>
      </c>
      <c r="H4408" s="49">
        <v>5.38</v>
      </c>
      <c r="I4408" s="52">
        <v>6.7</v>
      </c>
      <c r="J4408" s="7">
        <v>1</v>
      </c>
      <c r="K4408" s="10">
        <v>3.6046000000000002E-2</v>
      </c>
      <c r="L4408" s="32"/>
      <c r="M4408" s="32">
        <v>1</v>
      </c>
      <c r="N4408" s="18">
        <v>3.6046000000000002E-2</v>
      </c>
      <c r="O4408" s="19">
        <v>0</v>
      </c>
      <c r="P4408" s="13">
        <v>0</v>
      </c>
      <c r="Q4408" s="102">
        <v>6.6</v>
      </c>
      <c r="R4408" s="91">
        <v>1</v>
      </c>
      <c r="S4408" s="91" t="s">
        <v>604</v>
      </c>
    </row>
    <row r="4409" spans="1:19">
      <c r="A4409" s="42" t="s">
        <v>90</v>
      </c>
      <c r="B4409" s="48" t="s">
        <v>148</v>
      </c>
      <c r="C4409" s="32">
        <v>22</v>
      </c>
      <c r="D4409" s="32"/>
      <c r="E4409" s="48" t="s">
        <v>151</v>
      </c>
      <c r="F4409" s="48" t="s">
        <v>15</v>
      </c>
      <c r="G4409" s="48" t="s">
        <v>144</v>
      </c>
      <c r="H4409" s="49">
        <v>5.38</v>
      </c>
      <c r="I4409" s="52">
        <v>12</v>
      </c>
      <c r="J4409" s="7">
        <v>8</v>
      </c>
      <c r="K4409" s="10">
        <v>0.51648000000000005</v>
      </c>
      <c r="L4409" s="32"/>
      <c r="M4409" s="32">
        <v>8</v>
      </c>
      <c r="N4409" s="18">
        <v>0.51648000000000005</v>
      </c>
      <c r="O4409" s="19">
        <v>0</v>
      </c>
      <c r="P4409" s="13">
        <v>0</v>
      </c>
      <c r="Q4409" s="102">
        <v>12</v>
      </c>
      <c r="R4409" s="91">
        <v>8</v>
      </c>
      <c r="S4409" s="91" t="s">
        <v>651</v>
      </c>
    </row>
    <row r="4410" spans="1:19">
      <c r="A4410" s="42" t="s">
        <v>90</v>
      </c>
      <c r="B4410" s="48" t="s">
        <v>148</v>
      </c>
      <c r="C4410" s="32">
        <v>22</v>
      </c>
      <c r="D4410" s="32"/>
      <c r="E4410" s="48" t="s">
        <v>151</v>
      </c>
      <c r="F4410" s="48" t="s">
        <v>15</v>
      </c>
      <c r="G4410" s="48" t="s">
        <v>144</v>
      </c>
      <c r="H4410" s="49">
        <v>5.38</v>
      </c>
      <c r="I4410" s="52">
        <v>9</v>
      </c>
      <c r="J4410" s="7">
        <v>2</v>
      </c>
      <c r="K4410" s="10">
        <v>9.6840000000000009E-2</v>
      </c>
      <c r="L4410" s="32"/>
      <c r="M4410" s="32">
        <v>2</v>
      </c>
      <c r="N4410" s="18">
        <v>9.6840000000000009E-2</v>
      </c>
      <c r="O4410" s="19">
        <v>0</v>
      </c>
      <c r="P4410" s="13">
        <v>0</v>
      </c>
      <c r="Q4410" s="102">
        <v>8</v>
      </c>
      <c r="R4410" s="91">
        <v>2</v>
      </c>
      <c r="S4410" s="91" t="s">
        <v>651</v>
      </c>
    </row>
    <row r="4411" spans="1:19">
      <c r="A4411" s="47" t="s">
        <v>147</v>
      </c>
      <c r="B4411" s="48" t="s">
        <v>148</v>
      </c>
      <c r="C4411" s="32">
        <v>365</v>
      </c>
      <c r="D4411" s="257" t="s">
        <v>143</v>
      </c>
      <c r="E4411" s="90" t="s">
        <v>163</v>
      </c>
      <c r="F4411" s="48" t="s">
        <v>160</v>
      </c>
      <c r="G4411" s="48" t="s">
        <v>144</v>
      </c>
      <c r="H4411" s="49">
        <v>5.38</v>
      </c>
      <c r="I4411" s="52">
        <v>10</v>
      </c>
      <c r="J4411" s="7">
        <v>6</v>
      </c>
      <c r="K4411" s="10">
        <v>0.32279999999999998</v>
      </c>
      <c r="L4411" s="32"/>
      <c r="M4411" s="32"/>
      <c r="N4411" s="18">
        <v>0</v>
      </c>
      <c r="O4411" s="19">
        <v>6</v>
      </c>
      <c r="P4411" s="13">
        <v>0.32280000000000003</v>
      </c>
      <c r="Q4411" s="32"/>
      <c r="R4411" s="32"/>
      <c r="S4411" s="32"/>
    </row>
    <row r="4412" spans="1:19">
      <c r="A4412" s="47" t="s">
        <v>147</v>
      </c>
      <c r="B4412" s="48" t="s">
        <v>148</v>
      </c>
      <c r="C4412" s="32">
        <v>365</v>
      </c>
      <c r="D4412" s="257" t="s">
        <v>143</v>
      </c>
      <c r="E4412" s="90" t="s">
        <v>89</v>
      </c>
      <c r="F4412" s="48" t="s">
        <v>160</v>
      </c>
      <c r="G4412" s="48" t="s">
        <v>144</v>
      </c>
      <c r="H4412" s="49">
        <v>5.38</v>
      </c>
      <c r="I4412" s="52">
        <v>9.5</v>
      </c>
      <c r="J4412" s="7">
        <v>4</v>
      </c>
      <c r="K4412" s="10">
        <v>0.20444000000000001</v>
      </c>
      <c r="L4412" s="32"/>
      <c r="M4412" s="32"/>
      <c r="N4412" s="18">
        <v>0</v>
      </c>
      <c r="O4412" s="19">
        <v>4</v>
      </c>
      <c r="P4412" s="13">
        <v>0.20444000000000001</v>
      </c>
      <c r="Q4412" s="32"/>
      <c r="R4412" s="32"/>
      <c r="S4412" s="32"/>
    </row>
    <row r="4413" spans="1:19">
      <c r="A4413" s="47" t="s">
        <v>147</v>
      </c>
      <c r="B4413" s="48" t="s">
        <v>148</v>
      </c>
      <c r="C4413" s="32">
        <v>365</v>
      </c>
      <c r="D4413" s="257" t="s">
        <v>143</v>
      </c>
      <c r="E4413" s="90" t="s">
        <v>89</v>
      </c>
      <c r="F4413" s="48" t="s">
        <v>160</v>
      </c>
      <c r="G4413" s="48" t="s">
        <v>144</v>
      </c>
      <c r="H4413" s="49">
        <v>5.38</v>
      </c>
      <c r="I4413" s="52">
        <v>9</v>
      </c>
      <c r="J4413" s="7">
        <v>3</v>
      </c>
      <c r="K4413" s="10">
        <v>0.14526</v>
      </c>
      <c r="L4413" s="32"/>
      <c r="M4413" s="32"/>
      <c r="N4413" s="18">
        <v>0</v>
      </c>
      <c r="O4413" s="19">
        <v>3</v>
      </c>
      <c r="P4413" s="13">
        <v>0.14526</v>
      </c>
      <c r="Q4413" s="32"/>
      <c r="R4413" s="32"/>
      <c r="S4413" s="32"/>
    </row>
    <row r="4414" spans="1:19">
      <c r="A4414" s="47" t="s">
        <v>147</v>
      </c>
      <c r="B4414" s="48" t="s">
        <v>148</v>
      </c>
      <c r="C4414" s="32">
        <v>365</v>
      </c>
      <c r="D4414" s="257" t="s">
        <v>143</v>
      </c>
      <c r="E4414" s="90" t="s">
        <v>89</v>
      </c>
      <c r="F4414" s="48" t="s">
        <v>160</v>
      </c>
      <c r="G4414" s="48" t="s">
        <v>144</v>
      </c>
      <c r="H4414" s="49">
        <v>5.38</v>
      </c>
      <c r="I4414" s="52">
        <v>8.5</v>
      </c>
      <c r="J4414" s="7">
        <v>1</v>
      </c>
      <c r="K4414" s="10">
        <v>4.573E-2</v>
      </c>
      <c r="L4414" s="32"/>
      <c r="M4414" s="32"/>
      <c r="N4414" s="18">
        <v>0</v>
      </c>
      <c r="O4414" s="19">
        <v>1</v>
      </c>
      <c r="P4414" s="13">
        <v>4.573E-2</v>
      </c>
      <c r="Q4414" s="32"/>
      <c r="R4414" s="32"/>
      <c r="S4414" s="32"/>
    </row>
    <row r="4415" spans="1:19">
      <c r="A4415" s="47" t="s">
        <v>147</v>
      </c>
      <c r="B4415" s="48" t="s">
        <v>148</v>
      </c>
      <c r="C4415" s="32">
        <v>365</v>
      </c>
      <c r="D4415" s="257" t="s">
        <v>143</v>
      </c>
      <c r="E4415" s="90" t="s">
        <v>89</v>
      </c>
      <c r="F4415" s="48" t="s">
        <v>160</v>
      </c>
      <c r="G4415" s="48" t="s">
        <v>144</v>
      </c>
      <c r="H4415" s="49">
        <v>5.38</v>
      </c>
      <c r="I4415" s="52">
        <v>7.8</v>
      </c>
      <c r="J4415" s="7">
        <v>1</v>
      </c>
      <c r="K4415" s="10">
        <v>4.1964000000000001E-2</v>
      </c>
      <c r="L4415" s="32"/>
      <c r="M4415" s="32"/>
      <c r="N4415" s="18">
        <v>0</v>
      </c>
      <c r="O4415" s="19">
        <v>1</v>
      </c>
      <c r="P4415" s="13">
        <v>4.1964000000000001E-2</v>
      </c>
      <c r="Q4415" s="32"/>
      <c r="R4415" s="32"/>
      <c r="S4415" s="32"/>
    </row>
    <row r="4416" spans="1:19">
      <c r="A4416" s="45" t="s">
        <v>136</v>
      </c>
      <c r="B4416" s="32" t="s">
        <v>137</v>
      </c>
      <c r="C4416" s="3">
        <v>49</v>
      </c>
      <c r="D4416" s="257" t="s">
        <v>143</v>
      </c>
      <c r="E4416" s="475" t="s">
        <v>89</v>
      </c>
      <c r="F4416" s="7" t="s">
        <v>15</v>
      </c>
      <c r="G4416" s="7" t="s">
        <v>144</v>
      </c>
      <c r="H4416" s="49">
        <v>5.38</v>
      </c>
      <c r="I4416" s="33">
        <v>9.5</v>
      </c>
      <c r="J4416" s="40">
        <v>14</v>
      </c>
      <c r="K4416" s="10">
        <v>0.71553999999999995</v>
      </c>
      <c r="L4416" s="4"/>
      <c r="M4416" s="17"/>
      <c r="N4416" s="18">
        <v>0</v>
      </c>
      <c r="O4416" s="19">
        <v>14</v>
      </c>
      <c r="P4416" s="13">
        <v>0.71553999999999995</v>
      </c>
      <c r="Q4416" s="32"/>
      <c r="R4416" s="32"/>
      <c r="S4416" s="32"/>
    </row>
    <row r="4417" spans="1:19">
      <c r="A4417" s="45" t="s">
        <v>136</v>
      </c>
      <c r="B4417" s="32" t="s">
        <v>137</v>
      </c>
      <c r="C4417" s="3">
        <v>49</v>
      </c>
      <c r="D4417" s="257" t="s">
        <v>143</v>
      </c>
      <c r="E4417" s="475" t="s">
        <v>89</v>
      </c>
      <c r="F4417" s="7" t="s">
        <v>15</v>
      </c>
      <c r="G4417" s="7" t="s">
        <v>144</v>
      </c>
      <c r="H4417" s="49">
        <v>5.38</v>
      </c>
      <c r="I4417" s="33">
        <v>9.3000000000000007</v>
      </c>
      <c r="J4417" s="40">
        <v>1</v>
      </c>
      <c r="K4417" s="10">
        <v>5.0034000000000009E-2</v>
      </c>
      <c r="L4417" s="4"/>
      <c r="M4417" s="17"/>
      <c r="N4417" s="18">
        <v>0</v>
      </c>
      <c r="O4417" s="19">
        <v>1</v>
      </c>
      <c r="P4417" s="13">
        <v>5.0034000000000009E-2</v>
      </c>
      <c r="Q4417" s="32"/>
      <c r="R4417" s="32"/>
      <c r="S4417" s="32"/>
    </row>
    <row r="4418" spans="1:19">
      <c r="A4418" s="45" t="s">
        <v>136</v>
      </c>
      <c r="B4418" s="32" t="s">
        <v>137</v>
      </c>
      <c r="C4418" s="3">
        <v>49</v>
      </c>
      <c r="D4418" s="257" t="s">
        <v>143</v>
      </c>
      <c r="E4418" s="475" t="s">
        <v>89</v>
      </c>
      <c r="F4418" s="7" t="s">
        <v>15</v>
      </c>
      <c r="G4418" s="7" t="s">
        <v>144</v>
      </c>
      <c r="H4418" s="49">
        <v>5.38</v>
      </c>
      <c r="I4418" s="33">
        <v>9</v>
      </c>
      <c r="J4418" s="40">
        <v>1</v>
      </c>
      <c r="K4418" s="10">
        <v>4.8420000000000005E-2</v>
      </c>
      <c r="L4418" s="4"/>
      <c r="M4418" s="17"/>
      <c r="N4418" s="18">
        <v>0</v>
      </c>
      <c r="O4418" s="19">
        <v>1</v>
      </c>
      <c r="P4418" s="13">
        <v>4.8420000000000005E-2</v>
      </c>
      <c r="Q4418" s="32"/>
      <c r="R4418" s="32"/>
      <c r="S4418" s="32"/>
    </row>
    <row r="4419" spans="1:19">
      <c r="A4419" s="45" t="s">
        <v>136</v>
      </c>
      <c r="B4419" s="32" t="s">
        <v>137</v>
      </c>
      <c r="C4419" s="3">
        <v>49</v>
      </c>
      <c r="D4419" s="257" t="s">
        <v>143</v>
      </c>
      <c r="E4419" s="475" t="s">
        <v>89</v>
      </c>
      <c r="F4419" s="7" t="s">
        <v>15</v>
      </c>
      <c r="G4419" s="7" t="s">
        <v>144</v>
      </c>
      <c r="H4419" s="49">
        <v>5.38</v>
      </c>
      <c r="I4419" s="33">
        <v>8.9</v>
      </c>
      <c r="J4419" s="40">
        <v>2</v>
      </c>
      <c r="K4419" s="10">
        <v>9.5764000000000002E-2</v>
      </c>
      <c r="L4419" s="4"/>
      <c r="M4419" s="17"/>
      <c r="N4419" s="18">
        <v>0</v>
      </c>
      <c r="O4419" s="19">
        <v>2</v>
      </c>
      <c r="P4419" s="13">
        <v>9.5764000000000002E-2</v>
      </c>
      <c r="Q4419" s="32"/>
      <c r="R4419" s="32"/>
      <c r="S4419" s="32"/>
    </row>
    <row r="4420" spans="1:19">
      <c r="O4420" s="78">
        <f>SUM(O4404:O4419)</f>
        <v>41</v>
      </c>
      <c r="P4420" s="128">
        <f>SUM(P4404:P4419)</f>
        <v>2.1245619999999996</v>
      </c>
      <c r="R4420" s="215">
        <f>SUM(R4404:R4419)</f>
        <v>14</v>
      </c>
    </row>
    <row r="4422" spans="1:19">
      <c r="A4422" s="48" t="s">
        <v>168</v>
      </c>
      <c r="B4422" s="48" t="s">
        <v>169</v>
      </c>
      <c r="C4422" s="32">
        <v>13</v>
      </c>
      <c r="D4422" s="32"/>
      <c r="E4422" s="48" t="s">
        <v>20</v>
      </c>
      <c r="F4422" s="48" t="s">
        <v>15</v>
      </c>
      <c r="G4422" s="48" t="s">
        <v>149</v>
      </c>
      <c r="H4422" s="49">
        <v>6.39</v>
      </c>
      <c r="I4422" s="52">
        <v>6.5</v>
      </c>
      <c r="J4422" s="7">
        <v>1</v>
      </c>
      <c r="K4422" s="10">
        <v>4.1534999999999996E-2</v>
      </c>
      <c r="L4422" s="32" t="s">
        <v>104</v>
      </c>
      <c r="M4422" s="32"/>
      <c r="N4422" s="18">
        <v>0</v>
      </c>
      <c r="O4422" s="19">
        <v>1</v>
      </c>
      <c r="P4422" s="13">
        <v>4.1534999999999996E-2</v>
      </c>
      <c r="Q4422" s="32"/>
      <c r="R4422" s="32"/>
      <c r="S4422" s="32"/>
    </row>
    <row r="4423" spans="1:19">
      <c r="A4423" s="42" t="s">
        <v>90</v>
      </c>
      <c r="B4423" s="48" t="s">
        <v>148</v>
      </c>
      <c r="C4423" s="32">
        <v>6</v>
      </c>
      <c r="D4423" s="32"/>
      <c r="E4423" s="90" t="s">
        <v>150</v>
      </c>
      <c r="F4423" s="48" t="s">
        <v>15</v>
      </c>
      <c r="G4423" s="48" t="s">
        <v>149</v>
      </c>
      <c r="H4423" s="49">
        <v>6.39</v>
      </c>
      <c r="I4423" s="52">
        <v>11.5</v>
      </c>
      <c r="J4423" s="7">
        <v>1</v>
      </c>
      <c r="K4423" s="10">
        <v>7.3484999999999995E-2</v>
      </c>
      <c r="L4423" s="32"/>
      <c r="M4423" s="32"/>
      <c r="N4423" s="18">
        <v>0</v>
      </c>
      <c r="O4423" s="19">
        <v>1</v>
      </c>
      <c r="P4423" s="13">
        <v>7.3484999999999995E-2</v>
      </c>
      <c r="Q4423" s="32"/>
      <c r="R4423" s="32"/>
      <c r="S4423" s="32"/>
    </row>
    <row r="4424" spans="1:19">
      <c r="A4424" s="42" t="s">
        <v>90</v>
      </c>
      <c r="B4424" s="48" t="s">
        <v>148</v>
      </c>
      <c r="C4424" s="32">
        <v>6</v>
      </c>
      <c r="D4424" s="32"/>
      <c r="E4424" s="90" t="s">
        <v>150</v>
      </c>
      <c r="F4424" s="48" t="s">
        <v>15</v>
      </c>
      <c r="G4424" s="48" t="s">
        <v>149</v>
      </c>
      <c r="H4424" s="49">
        <v>6.39</v>
      </c>
      <c r="I4424" s="52">
        <v>12</v>
      </c>
      <c r="J4424" s="7">
        <v>10</v>
      </c>
      <c r="K4424" s="10">
        <v>0.76679999999999993</v>
      </c>
      <c r="L4424" s="32"/>
      <c r="M4424" s="32"/>
      <c r="N4424" s="18">
        <v>0</v>
      </c>
      <c r="O4424" s="19">
        <v>10</v>
      </c>
      <c r="P4424" s="13">
        <v>0.76679999999999993</v>
      </c>
      <c r="Q4424" s="32"/>
      <c r="R4424" s="32"/>
      <c r="S4424" s="32"/>
    </row>
    <row r="4425" spans="1:19">
      <c r="A4425" s="42" t="s">
        <v>90</v>
      </c>
      <c r="B4425" s="48" t="s">
        <v>148</v>
      </c>
      <c r="C4425" s="32">
        <v>19</v>
      </c>
      <c r="D4425" s="32"/>
      <c r="E4425" s="48" t="s">
        <v>151</v>
      </c>
      <c r="F4425" s="48" t="s">
        <v>15</v>
      </c>
      <c r="G4425" s="48" t="s">
        <v>149</v>
      </c>
      <c r="H4425" s="49">
        <v>6.39</v>
      </c>
      <c r="I4425" s="52">
        <v>12</v>
      </c>
      <c r="J4425" s="7">
        <v>6</v>
      </c>
      <c r="K4425" s="10">
        <v>0.46007999999999993</v>
      </c>
      <c r="L4425" s="32"/>
      <c r="M4425" s="32">
        <v>6</v>
      </c>
      <c r="N4425" s="18">
        <v>0.46007999999999999</v>
      </c>
      <c r="O4425" s="19">
        <v>0</v>
      </c>
      <c r="P4425" s="13">
        <v>0</v>
      </c>
      <c r="Q4425" s="94">
        <v>12</v>
      </c>
      <c r="R4425" s="93">
        <v>6</v>
      </c>
      <c r="S4425" s="93" t="s">
        <v>653</v>
      </c>
    </row>
    <row r="4426" spans="1:19">
      <c r="A4426" s="42" t="s">
        <v>90</v>
      </c>
      <c r="B4426" s="48" t="s">
        <v>148</v>
      </c>
      <c r="C4426" s="32">
        <v>19</v>
      </c>
      <c r="D4426" s="32"/>
      <c r="E4426" s="48" t="s">
        <v>151</v>
      </c>
      <c r="F4426" s="48" t="s">
        <v>15</v>
      </c>
      <c r="G4426" s="48" t="s">
        <v>149</v>
      </c>
      <c r="H4426" s="49">
        <v>6.39</v>
      </c>
      <c r="I4426" s="52">
        <v>10.75</v>
      </c>
      <c r="J4426" s="7">
        <v>1</v>
      </c>
      <c r="K4426" s="10">
        <v>6.869249999999999E-2</v>
      </c>
      <c r="L4426" s="32"/>
      <c r="M4426" s="32">
        <v>1</v>
      </c>
      <c r="N4426" s="18">
        <v>6.869249999999999E-2</v>
      </c>
      <c r="O4426" s="19">
        <v>0</v>
      </c>
      <c r="P4426" s="13">
        <v>0</v>
      </c>
      <c r="Q4426" s="94">
        <v>10</v>
      </c>
      <c r="R4426" s="93">
        <v>1</v>
      </c>
      <c r="S4426" s="93" t="s">
        <v>652</v>
      </c>
    </row>
    <row r="4427" spans="1:19">
      <c r="A4427" s="47" t="s">
        <v>147</v>
      </c>
      <c r="B4427" s="48" t="s">
        <v>148</v>
      </c>
      <c r="C4427" s="32">
        <v>362</v>
      </c>
      <c r="D4427" s="32"/>
      <c r="E4427" s="90" t="s">
        <v>163</v>
      </c>
      <c r="F4427" s="48" t="s">
        <v>160</v>
      </c>
      <c r="G4427" s="48" t="s">
        <v>149</v>
      </c>
      <c r="H4427" s="49">
        <v>6.39</v>
      </c>
      <c r="I4427" s="52">
        <v>6.5</v>
      </c>
      <c r="J4427" s="7">
        <v>1</v>
      </c>
      <c r="K4427" s="10">
        <v>4.1534999999999996E-2</v>
      </c>
      <c r="L4427" s="32" t="s">
        <v>26</v>
      </c>
      <c r="M4427" s="32"/>
      <c r="N4427" s="18">
        <v>0</v>
      </c>
      <c r="O4427" s="19">
        <v>1</v>
      </c>
      <c r="P4427" s="13">
        <v>4.1534999999999996E-2</v>
      </c>
      <c r="Q4427" s="32"/>
      <c r="R4427" s="32"/>
      <c r="S4427" s="32"/>
    </row>
    <row r="4428" spans="1:19">
      <c r="A4428" s="47" t="s">
        <v>147</v>
      </c>
      <c r="B4428" s="48" t="s">
        <v>148</v>
      </c>
      <c r="C4428" s="32">
        <v>362</v>
      </c>
      <c r="D4428" s="32"/>
      <c r="E4428" s="90" t="s">
        <v>163</v>
      </c>
      <c r="F4428" s="48" t="s">
        <v>160</v>
      </c>
      <c r="G4428" s="48" t="s">
        <v>149</v>
      </c>
      <c r="H4428" s="49">
        <v>6.39</v>
      </c>
      <c r="I4428" s="52">
        <v>8</v>
      </c>
      <c r="J4428" s="7">
        <v>1</v>
      </c>
      <c r="K4428" s="10">
        <v>5.1119999999999999E-2</v>
      </c>
      <c r="L4428" s="32" t="s">
        <v>26</v>
      </c>
      <c r="M4428" s="32"/>
      <c r="N4428" s="18">
        <v>0</v>
      </c>
      <c r="O4428" s="19">
        <v>1</v>
      </c>
      <c r="P4428" s="13">
        <v>5.1119999999999999E-2</v>
      </c>
      <c r="Q4428" s="32"/>
      <c r="R4428" s="32"/>
      <c r="S4428" s="32"/>
    </row>
    <row r="4429" spans="1:19">
      <c r="A4429" s="47" t="s">
        <v>147</v>
      </c>
      <c r="B4429" s="48" t="s">
        <v>148</v>
      </c>
      <c r="C4429" s="32">
        <v>362</v>
      </c>
      <c r="D4429" s="32"/>
      <c r="E4429" s="90" t="s">
        <v>163</v>
      </c>
      <c r="F4429" s="48" t="s">
        <v>160</v>
      </c>
      <c r="G4429" s="48" t="s">
        <v>149</v>
      </c>
      <c r="H4429" s="49">
        <v>6.39</v>
      </c>
      <c r="I4429" s="52">
        <v>9</v>
      </c>
      <c r="J4429" s="7">
        <v>1</v>
      </c>
      <c r="K4429" s="10">
        <v>5.7509999999999999E-2</v>
      </c>
      <c r="L4429" s="32" t="s">
        <v>26</v>
      </c>
      <c r="M4429" s="32"/>
      <c r="N4429" s="18">
        <v>0</v>
      </c>
      <c r="O4429" s="19">
        <v>1</v>
      </c>
      <c r="P4429" s="13">
        <v>5.7509999999999999E-2</v>
      </c>
      <c r="Q4429" s="32"/>
      <c r="R4429" s="32"/>
      <c r="S4429" s="32"/>
    </row>
    <row r="4430" spans="1:19">
      <c r="A4430" s="47" t="s">
        <v>147</v>
      </c>
      <c r="B4430" s="48" t="s">
        <v>148</v>
      </c>
      <c r="C4430" s="32">
        <v>362</v>
      </c>
      <c r="D4430" s="32"/>
      <c r="E4430" s="90" t="s">
        <v>163</v>
      </c>
      <c r="F4430" s="48" t="s">
        <v>160</v>
      </c>
      <c r="G4430" s="48" t="s">
        <v>149</v>
      </c>
      <c r="H4430" s="49">
        <v>6.39</v>
      </c>
      <c r="I4430" s="52">
        <v>10.5</v>
      </c>
      <c r="J4430" s="7">
        <v>2</v>
      </c>
      <c r="K4430" s="10">
        <v>0.13419</v>
      </c>
      <c r="L4430" s="32" t="s">
        <v>26</v>
      </c>
      <c r="M4430" s="32"/>
      <c r="N4430" s="18">
        <v>0</v>
      </c>
      <c r="O4430" s="19">
        <v>2</v>
      </c>
      <c r="P4430" s="13">
        <v>0.13419</v>
      </c>
      <c r="Q4430" s="32"/>
      <c r="R4430" s="32"/>
      <c r="S4430" s="32"/>
    </row>
    <row r="4431" spans="1:19">
      <c r="A4431" s="47" t="s">
        <v>147</v>
      </c>
      <c r="B4431" s="48" t="s">
        <v>148</v>
      </c>
      <c r="C4431" s="32">
        <v>362</v>
      </c>
      <c r="D4431" s="32"/>
      <c r="E4431" s="90" t="s">
        <v>163</v>
      </c>
      <c r="F4431" s="48" t="s">
        <v>160</v>
      </c>
      <c r="G4431" s="48" t="s">
        <v>149</v>
      </c>
      <c r="H4431" s="49">
        <v>6.39</v>
      </c>
      <c r="I4431" s="52">
        <v>12</v>
      </c>
      <c r="J4431" s="7">
        <v>2</v>
      </c>
      <c r="K4431" s="10">
        <v>0.15336</v>
      </c>
      <c r="L4431" s="32" t="s">
        <v>26</v>
      </c>
      <c r="M4431" s="32"/>
      <c r="N4431" s="18">
        <v>0</v>
      </c>
      <c r="O4431" s="19">
        <v>2</v>
      </c>
      <c r="P4431" s="13">
        <v>0.15336</v>
      </c>
      <c r="Q4431" s="32"/>
      <c r="R4431" s="32"/>
      <c r="S4431" s="32"/>
    </row>
    <row r="4432" spans="1:19">
      <c r="O4432" s="78">
        <f>SUM(O4422:O4431)</f>
        <v>19</v>
      </c>
      <c r="R4432" s="215">
        <f>SUM(R4422:R4431)</f>
        <v>7</v>
      </c>
    </row>
    <row r="4434" spans="1:19">
      <c r="A4434" s="42" t="s">
        <v>90</v>
      </c>
      <c r="B4434" s="48" t="s">
        <v>148</v>
      </c>
      <c r="C4434" s="32">
        <v>3</v>
      </c>
      <c r="D4434" s="32"/>
      <c r="E4434" s="48" t="s">
        <v>19</v>
      </c>
      <c r="F4434" s="48" t="s">
        <v>14</v>
      </c>
      <c r="G4434" s="48" t="s">
        <v>144</v>
      </c>
      <c r="H4434" s="49">
        <v>5.38</v>
      </c>
      <c r="I4434" s="52">
        <v>8.25</v>
      </c>
      <c r="J4434" s="7">
        <v>1</v>
      </c>
      <c r="K4434" s="10">
        <v>4.4385000000000001E-2</v>
      </c>
      <c r="L4434" s="32"/>
      <c r="M4434" s="32">
        <v>1</v>
      </c>
      <c r="N4434" s="18">
        <v>4.4385000000000001E-2</v>
      </c>
      <c r="O4434" s="106">
        <v>0</v>
      </c>
      <c r="P4434" s="13">
        <v>0</v>
      </c>
      <c r="Q4434" s="93">
        <v>7.95</v>
      </c>
      <c r="R4434" s="93">
        <v>1</v>
      </c>
      <c r="S4434" s="93" t="s">
        <v>657</v>
      </c>
    </row>
    <row r="4435" spans="1:19">
      <c r="A4435" s="42" t="s">
        <v>90</v>
      </c>
      <c r="B4435" s="48" t="s">
        <v>148</v>
      </c>
      <c r="C4435" s="32">
        <v>3</v>
      </c>
      <c r="D4435" s="32"/>
      <c r="E4435" s="48" t="s">
        <v>19</v>
      </c>
      <c r="F4435" s="48" t="s">
        <v>14</v>
      </c>
      <c r="G4435" s="48" t="s">
        <v>144</v>
      </c>
      <c r="H4435" s="49">
        <v>5.38</v>
      </c>
      <c r="I4435" s="52">
        <v>8.6999999999999993</v>
      </c>
      <c r="J4435" s="7">
        <v>2</v>
      </c>
      <c r="K4435" s="10">
        <v>9.3612000000000001E-2</v>
      </c>
      <c r="L4435" s="32"/>
      <c r="M4435" s="32">
        <v>2</v>
      </c>
      <c r="N4435" s="18">
        <v>9.3612000000000001E-2</v>
      </c>
      <c r="O4435" s="106">
        <v>0</v>
      </c>
      <c r="P4435" s="13">
        <v>0</v>
      </c>
      <c r="Q4435" s="93">
        <v>7.95</v>
      </c>
      <c r="R4435" s="93">
        <v>2</v>
      </c>
      <c r="S4435" s="93" t="s">
        <v>657</v>
      </c>
    </row>
    <row r="4436" spans="1:19">
      <c r="A4436" s="42" t="s">
        <v>90</v>
      </c>
      <c r="B4436" s="48" t="s">
        <v>148</v>
      </c>
      <c r="C4436" s="32">
        <v>3</v>
      </c>
      <c r="D4436" s="32"/>
      <c r="E4436" s="48" t="s">
        <v>19</v>
      </c>
      <c r="F4436" s="48" t="s">
        <v>14</v>
      </c>
      <c r="G4436" s="48" t="s">
        <v>144</v>
      </c>
      <c r="H4436" s="49">
        <v>5.38</v>
      </c>
      <c r="I4436" s="52">
        <v>9</v>
      </c>
      <c r="J4436" s="7">
        <v>8</v>
      </c>
      <c r="K4436" s="10">
        <v>0.38736000000000004</v>
      </c>
      <c r="L4436" s="32"/>
      <c r="M4436" s="32">
        <v>8</v>
      </c>
      <c r="N4436" s="18">
        <v>0.38736000000000004</v>
      </c>
      <c r="O4436" s="106">
        <v>0</v>
      </c>
      <c r="P4436" s="13">
        <v>0</v>
      </c>
      <c r="Q4436" s="93" t="s">
        <v>656</v>
      </c>
      <c r="R4436" s="93">
        <v>8</v>
      </c>
      <c r="S4436" s="93" t="s">
        <v>631</v>
      </c>
    </row>
    <row r="4437" spans="1:19">
      <c r="A4437" s="42" t="s">
        <v>90</v>
      </c>
      <c r="B4437" s="48" t="s">
        <v>148</v>
      </c>
      <c r="C4437" s="32">
        <v>3</v>
      </c>
      <c r="D4437" s="32"/>
      <c r="E4437" s="48" t="s">
        <v>19</v>
      </c>
      <c r="F4437" s="48" t="s">
        <v>14</v>
      </c>
      <c r="G4437" s="48" t="s">
        <v>144</v>
      </c>
      <c r="H4437" s="49">
        <v>5.38</v>
      </c>
      <c r="I4437" s="52">
        <v>9.1</v>
      </c>
      <c r="J4437" s="7">
        <v>1</v>
      </c>
      <c r="K4437" s="10">
        <v>4.8958000000000002E-2</v>
      </c>
      <c r="L4437" s="32"/>
      <c r="M4437" s="32">
        <v>1</v>
      </c>
      <c r="N4437" s="18">
        <v>4.8958000000000002E-2</v>
      </c>
      <c r="O4437" s="106">
        <v>0</v>
      </c>
      <c r="P4437" s="13">
        <v>0</v>
      </c>
      <c r="Q4437" s="93">
        <v>7.95</v>
      </c>
      <c r="R4437" s="93">
        <v>1</v>
      </c>
      <c r="S4437" s="93" t="s">
        <v>657</v>
      </c>
    </row>
    <row r="4438" spans="1:19">
      <c r="A4438" s="42" t="s">
        <v>90</v>
      </c>
      <c r="B4438" s="48" t="s">
        <v>148</v>
      </c>
      <c r="C4438" s="32">
        <v>3</v>
      </c>
      <c r="D4438" s="32"/>
      <c r="E4438" s="48" t="s">
        <v>19</v>
      </c>
      <c r="F4438" s="48" t="s">
        <v>14</v>
      </c>
      <c r="G4438" s="48" t="s">
        <v>144</v>
      </c>
      <c r="H4438" s="49">
        <v>5.38</v>
      </c>
      <c r="I4438" s="52">
        <v>9.1999999999999993</v>
      </c>
      <c r="J4438" s="7">
        <v>2</v>
      </c>
      <c r="K4438" s="10">
        <v>9.8991999999999997E-2</v>
      </c>
      <c r="L4438" s="32"/>
      <c r="M4438" s="32">
        <v>2</v>
      </c>
      <c r="N4438" s="18">
        <v>9.8991999999999997E-2</v>
      </c>
      <c r="O4438" s="106">
        <v>0</v>
      </c>
      <c r="P4438" s="13">
        <v>0</v>
      </c>
      <c r="Q4438" s="93">
        <v>7.95</v>
      </c>
      <c r="R4438" s="93">
        <v>2</v>
      </c>
      <c r="S4438" s="93" t="s">
        <v>657</v>
      </c>
    </row>
    <row r="4439" spans="1:19">
      <c r="A4439" s="42" t="s">
        <v>90</v>
      </c>
      <c r="B4439" s="48" t="s">
        <v>148</v>
      </c>
      <c r="C4439" s="32">
        <v>3</v>
      </c>
      <c r="D4439" s="32"/>
      <c r="E4439" s="48" t="s">
        <v>19</v>
      </c>
      <c r="F4439" s="48" t="s">
        <v>14</v>
      </c>
      <c r="G4439" s="48" t="s">
        <v>144</v>
      </c>
      <c r="H4439" s="49">
        <v>5.38</v>
      </c>
      <c r="I4439" s="52">
        <v>9.35</v>
      </c>
      <c r="J4439" s="7">
        <v>1</v>
      </c>
      <c r="K4439" s="10">
        <v>5.0303E-2</v>
      </c>
      <c r="L4439" s="32"/>
      <c r="M4439" s="32">
        <v>1</v>
      </c>
      <c r="N4439" s="18">
        <v>5.0303E-2</v>
      </c>
      <c r="O4439" s="106">
        <v>0</v>
      </c>
      <c r="P4439" s="13">
        <v>0</v>
      </c>
      <c r="Q4439" s="93">
        <v>7.95</v>
      </c>
      <c r="R4439" s="93">
        <v>1</v>
      </c>
      <c r="S4439" s="93" t="s">
        <v>657</v>
      </c>
    </row>
    <row r="4440" spans="1:19">
      <c r="A4440" s="42" t="s">
        <v>90</v>
      </c>
      <c r="B4440" s="48" t="s">
        <v>148</v>
      </c>
      <c r="C4440" s="32">
        <v>3</v>
      </c>
      <c r="D4440" s="32"/>
      <c r="E4440" s="48" t="s">
        <v>19</v>
      </c>
      <c r="F4440" s="48" t="s">
        <v>14</v>
      </c>
      <c r="G4440" s="48" t="s">
        <v>144</v>
      </c>
      <c r="H4440" s="49">
        <v>5.38</v>
      </c>
      <c r="I4440" s="52">
        <v>9.4499999999999993</v>
      </c>
      <c r="J4440" s="7">
        <v>2</v>
      </c>
      <c r="K4440" s="10">
        <v>0.10168199999999999</v>
      </c>
      <c r="L4440" s="32"/>
      <c r="M4440" s="32">
        <v>2</v>
      </c>
      <c r="N4440" s="18">
        <v>0.10168199999999999</v>
      </c>
      <c r="O4440" s="106">
        <v>0</v>
      </c>
      <c r="P4440" s="13">
        <v>0</v>
      </c>
      <c r="Q4440" s="93">
        <v>7.95</v>
      </c>
      <c r="R4440" s="93">
        <v>2</v>
      </c>
      <c r="S4440" s="93" t="s">
        <v>657</v>
      </c>
    </row>
    <row r="4441" spans="1:19">
      <c r="A4441" s="42" t="s">
        <v>90</v>
      </c>
      <c r="B4441" s="48" t="s">
        <v>148</v>
      </c>
      <c r="C4441" s="32">
        <v>8</v>
      </c>
      <c r="D4441" s="32"/>
      <c r="E4441" s="48" t="s">
        <v>19</v>
      </c>
      <c r="F4441" s="48" t="s">
        <v>14</v>
      </c>
      <c r="G4441" s="48" t="s">
        <v>144</v>
      </c>
      <c r="H4441" s="49">
        <v>5.38</v>
      </c>
      <c r="I4441" s="52">
        <v>7</v>
      </c>
      <c r="J4441" s="7">
        <v>1</v>
      </c>
      <c r="K4441" s="10">
        <v>3.7659999999999999E-2</v>
      </c>
      <c r="L4441" s="32"/>
      <c r="M4441" s="32"/>
      <c r="N4441" s="18">
        <v>0</v>
      </c>
      <c r="O4441" s="19">
        <v>1</v>
      </c>
      <c r="P4441" s="13">
        <v>3.7659999999999999E-2</v>
      </c>
      <c r="Q4441" s="32"/>
      <c r="R4441" s="32"/>
      <c r="S4441" s="32"/>
    </row>
    <row r="4442" spans="1:19">
      <c r="A4442" s="42" t="s">
        <v>90</v>
      </c>
      <c r="B4442" s="48" t="s">
        <v>148</v>
      </c>
      <c r="C4442" s="32">
        <v>8</v>
      </c>
      <c r="D4442" s="32"/>
      <c r="E4442" s="48" t="s">
        <v>19</v>
      </c>
      <c r="F4442" s="48" t="s">
        <v>14</v>
      </c>
      <c r="G4442" s="48" t="s">
        <v>144</v>
      </c>
      <c r="H4442" s="49">
        <v>5.38</v>
      </c>
      <c r="I4442" s="52">
        <v>8</v>
      </c>
      <c r="J4442" s="7">
        <v>1</v>
      </c>
      <c r="K4442" s="10">
        <v>4.3040000000000002E-2</v>
      </c>
      <c r="L4442" s="32"/>
      <c r="M4442" s="32">
        <v>1</v>
      </c>
      <c r="N4442" s="18">
        <v>4.3040000000000002E-2</v>
      </c>
      <c r="O4442" s="106">
        <v>0</v>
      </c>
      <c r="P4442" s="13">
        <v>0</v>
      </c>
      <c r="Q4442" s="93">
        <v>7.95</v>
      </c>
      <c r="R4442" s="93">
        <v>1</v>
      </c>
      <c r="S4442" s="93" t="s">
        <v>657</v>
      </c>
    </row>
    <row r="4443" spans="1:19">
      <c r="A4443" s="42" t="s">
        <v>90</v>
      </c>
      <c r="B4443" s="48" t="s">
        <v>148</v>
      </c>
      <c r="C4443" s="32">
        <v>8</v>
      </c>
      <c r="D4443" s="32"/>
      <c r="E4443" s="48" t="s">
        <v>19</v>
      </c>
      <c r="F4443" s="48" t="s">
        <v>14</v>
      </c>
      <c r="G4443" s="48" t="s">
        <v>144</v>
      </c>
      <c r="H4443" s="49">
        <v>5.38</v>
      </c>
      <c r="I4443" s="52">
        <v>9</v>
      </c>
      <c r="J4443" s="7">
        <v>9</v>
      </c>
      <c r="K4443" s="10">
        <v>0.43578000000000006</v>
      </c>
      <c r="L4443" s="32"/>
      <c r="M4443" s="32">
        <v>9</v>
      </c>
      <c r="N4443" s="18">
        <v>0.43577999999999995</v>
      </c>
      <c r="O4443" s="106">
        <v>0</v>
      </c>
      <c r="P4443" s="13">
        <v>0</v>
      </c>
      <c r="Q4443" s="93">
        <v>7.95</v>
      </c>
      <c r="R4443" s="93">
        <v>9</v>
      </c>
      <c r="S4443" s="93" t="s">
        <v>657</v>
      </c>
    </row>
    <row r="4444" spans="1:19">
      <c r="A4444" s="42" t="s">
        <v>90</v>
      </c>
      <c r="B4444" s="48" t="s">
        <v>148</v>
      </c>
      <c r="C4444" s="32">
        <v>8</v>
      </c>
      <c r="D4444" s="32"/>
      <c r="E4444" s="48" t="s">
        <v>19</v>
      </c>
      <c r="F4444" s="48" t="s">
        <v>14</v>
      </c>
      <c r="G4444" s="48" t="s">
        <v>144</v>
      </c>
      <c r="H4444" s="49">
        <v>5.38</v>
      </c>
      <c r="I4444" s="52">
        <v>7.75</v>
      </c>
      <c r="J4444" s="7">
        <v>1</v>
      </c>
      <c r="K4444" s="10">
        <v>4.1695000000000003E-2</v>
      </c>
      <c r="L4444" s="32"/>
      <c r="M4444" s="32"/>
      <c r="N4444" s="18">
        <v>0</v>
      </c>
      <c r="O4444" s="19">
        <v>1</v>
      </c>
      <c r="P4444" s="13">
        <v>4.1695000000000003E-2</v>
      </c>
      <c r="Q4444" s="32"/>
      <c r="R4444" s="32"/>
      <c r="S4444" s="32"/>
    </row>
    <row r="4445" spans="1:19">
      <c r="A4445" s="42" t="s">
        <v>90</v>
      </c>
      <c r="B4445" s="48" t="s">
        <v>148</v>
      </c>
      <c r="C4445" s="32">
        <v>8</v>
      </c>
      <c r="D4445" s="32"/>
      <c r="E4445" s="48" t="s">
        <v>19</v>
      </c>
      <c r="F4445" s="48" t="s">
        <v>14</v>
      </c>
      <c r="G4445" s="48" t="s">
        <v>144</v>
      </c>
      <c r="H4445" s="49">
        <v>5.38</v>
      </c>
      <c r="I4445" s="52">
        <v>8.5</v>
      </c>
      <c r="J4445" s="7">
        <v>9</v>
      </c>
      <c r="K4445" s="10">
        <v>0.41156999999999999</v>
      </c>
      <c r="L4445" s="32"/>
      <c r="M4445" s="32">
        <v>9</v>
      </c>
      <c r="N4445" s="18">
        <v>0.41156999999999999</v>
      </c>
      <c r="O4445" s="106">
        <v>0</v>
      </c>
      <c r="P4445" s="13">
        <v>0</v>
      </c>
      <c r="Q4445" s="93">
        <v>7.95</v>
      </c>
      <c r="R4445" s="93">
        <v>9</v>
      </c>
      <c r="S4445" s="93" t="s">
        <v>657</v>
      </c>
    </row>
    <row r="4446" spans="1:19">
      <c r="A4446" s="42" t="s">
        <v>90</v>
      </c>
      <c r="B4446" s="48" t="s">
        <v>148</v>
      </c>
      <c r="C4446" s="32">
        <v>8</v>
      </c>
      <c r="D4446" s="32"/>
      <c r="E4446" s="48" t="s">
        <v>19</v>
      </c>
      <c r="F4446" s="48" t="s">
        <v>14</v>
      </c>
      <c r="G4446" s="48" t="s">
        <v>144</v>
      </c>
      <c r="H4446" s="49">
        <v>5.38</v>
      </c>
      <c r="I4446" s="52">
        <v>9.4</v>
      </c>
      <c r="J4446" s="7">
        <v>2</v>
      </c>
      <c r="K4446" s="10">
        <v>0.10114400000000001</v>
      </c>
      <c r="L4446" s="32"/>
      <c r="M4446" s="32">
        <v>2</v>
      </c>
      <c r="N4446" s="18">
        <v>0.10114400000000001</v>
      </c>
      <c r="O4446" s="106">
        <v>0</v>
      </c>
      <c r="P4446" s="13">
        <v>0</v>
      </c>
      <c r="Q4446" s="93">
        <v>7.95</v>
      </c>
      <c r="R4446" s="93">
        <v>2</v>
      </c>
      <c r="S4446" s="93" t="s">
        <v>657</v>
      </c>
    </row>
    <row r="4447" spans="1:19">
      <c r="A4447" s="42" t="s">
        <v>90</v>
      </c>
      <c r="B4447" s="48" t="s">
        <v>148</v>
      </c>
      <c r="C4447" s="32">
        <v>8</v>
      </c>
      <c r="D4447" s="32"/>
      <c r="E4447" s="48" t="s">
        <v>19</v>
      </c>
      <c r="F4447" s="48" t="s">
        <v>14</v>
      </c>
      <c r="G4447" s="48" t="s">
        <v>144</v>
      </c>
      <c r="H4447" s="49">
        <v>5.38</v>
      </c>
      <c r="I4447" s="52">
        <v>7.6</v>
      </c>
      <c r="J4447" s="7">
        <v>1</v>
      </c>
      <c r="K4447" s="10">
        <v>4.0888000000000001E-2</v>
      </c>
      <c r="L4447" s="32"/>
      <c r="M4447" s="32"/>
      <c r="N4447" s="18">
        <v>0</v>
      </c>
      <c r="O4447" s="19">
        <v>1</v>
      </c>
      <c r="P4447" s="13">
        <v>4.0888000000000001E-2</v>
      </c>
      <c r="Q4447" s="32"/>
      <c r="R4447" s="32"/>
      <c r="S4447" s="32"/>
    </row>
    <row r="4448" spans="1:19">
      <c r="A4448" s="42" t="s">
        <v>90</v>
      </c>
      <c r="B4448" s="48" t="s">
        <v>148</v>
      </c>
      <c r="C4448" s="32">
        <v>10</v>
      </c>
      <c r="D4448" s="32"/>
      <c r="E4448" s="48" t="s">
        <v>19</v>
      </c>
      <c r="F4448" s="48" t="s">
        <v>14</v>
      </c>
      <c r="G4448" s="48" t="s">
        <v>144</v>
      </c>
      <c r="H4448" s="49">
        <v>5.38</v>
      </c>
      <c r="I4448" s="52">
        <v>10.5</v>
      </c>
      <c r="J4448" s="7">
        <v>8</v>
      </c>
      <c r="K4448" s="10">
        <v>0.45191999999999999</v>
      </c>
      <c r="L4448" s="32"/>
      <c r="M4448" s="32">
        <v>8</v>
      </c>
      <c r="N4448" s="18">
        <v>0.45191999999999999</v>
      </c>
      <c r="O4448" s="19">
        <v>0</v>
      </c>
      <c r="P4448" s="13">
        <v>0</v>
      </c>
      <c r="Q4448" s="93">
        <v>10.5</v>
      </c>
      <c r="R4448" s="93">
        <v>8</v>
      </c>
      <c r="S4448" s="93" t="s">
        <v>654</v>
      </c>
    </row>
    <row r="4449" spans="1:19">
      <c r="A4449" s="42" t="s">
        <v>90</v>
      </c>
      <c r="B4449" s="48" t="s">
        <v>148</v>
      </c>
      <c r="C4449" s="32">
        <v>10</v>
      </c>
      <c r="D4449" s="32"/>
      <c r="E4449" s="48" t="s">
        <v>19</v>
      </c>
      <c r="F4449" s="48" t="s">
        <v>14</v>
      </c>
      <c r="G4449" s="48" t="s">
        <v>144</v>
      </c>
      <c r="H4449" s="49">
        <v>5.38</v>
      </c>
      <c r="I4449" s="52">
        <v>6</v>
      </c>
      <c r="J4449" s="7">
        <v>1</v>
      </c>
      <c r="K4449" s="10">
        <v>3.2280000000000003E-2</v>
      </c>
      <c r="L4449" s="32"/>
      <c r="M4449" s="32"/>
      <c r="N4449" s="18">
        <v>0</v>
      </c>
      <c r="O4449" s="19">
        <v>1</v>
      </c>
      <c r="P4449" s="13">
        <v>3.2280000000000003E-2</v>
      </c>
      <c r="Q4449" s="32"/>
      <c r="R4449" s="32"/>
      <c r="S4449" s="32"/>
    </row>
    <row r="4450" spans="1:19">
      <c r="A4450" s="42" t="s">
        <v>90</v>
      </c>
      <c r="B4450" s="48" t="s">
        <v>148</v>
      </c>
      <c r="C4450" s="32">
        <v>10</v>
      </c>
      <c r="D4450" s="32"/>
      <c r="E4450" s="48" t="s">
        <v>19</v>
      </c>
      <c r="F4450" s="48" t="s">
        <v>14</v>
      </c>
      <c r="G4450" s="48" t="s">
        <v>144</v>
      </c>
      <c r="H4450" s="49">
        <v>5.38</v>
      </c>
      <c r="I4450" s="52">
        <v>10</v>
      </c>
      <c r="J4450" s="7">
        <v>2</v>
      </c>
      <c r="K4450" s="10">
        <v>0.1076</v>
      </c>
      <c r="L4450" s="32"/>
      <c r="M4450" s="32">
        <v>2</v>
      </c>
      <c r="N4450" s="18">
        <v>0.1076</v>
      </c>
      <c r="O4450" s="19">
        <v>0</v>
      </c>
      <c r="P4450" s="13">
        <v>0</v>
      </c>
      <c r="Q4450" s="168">
        <v>10</v>
      </c>
      <c r="R4450" s="93">
        <v>2</v>
      </c>
      <c r="S4450" s="93" t="s">
        <v>654</v>
      </c>
    </row>
    <row r="4451" spans="1:19">
      <c r="A4451" s="42" t="s">
        <v>90</v>
      </c>
      <c r="B4451" s="48" t="s">
        <v>148</v>
      </c>
      <c r="C4451" s="32">
        <v>16</v>
      </c>
      <c r="D4451" s="32"/>
      <c r="E4451" s="48" t="s">
        <v>19</v>
      </c>
      <c r="F4451" s="48" t="s">
        <v>14</v>
      </c>
      <c r="G4451" s="48" t="s">
        <v>144</v>
      </c>
      <c r="H4451" s="49">
        <v>5.38</v>
      </c>
      <c r="I4451" s="52">
        <v>8.1999999999999993</v>
      </c>
      <c r="J4451" s="7">
        <v>1</v>
      </c>
      <c r="K4451" s="10">
        <v>4.4115999999999995E-2</v>
      </c>
      <c r="L4451" s="32"/>
      <c r="M4451" s="32">
        <v>1</v>
      </c>
      <c r="N4451" s="18">
        <v>4.4115999999999995E-2</v>
      </c>
      <c r="O4451" s="106">
        <v>0</v>
      </c>
      <c r="P4451" s="13">
        <v>0</v>
      </c>
      <c r="Q4451" s="93">
        <v>7.95</v>
      </c>
      <c r="R4451" s="93">
        <v>1</v>
      </c>
      <c r="S4451" s="93" t="s">
        <v>657</v>
      </c>
    </row>
    <row r="4452" spans="1:19">
      <c r="A4452" s="42" t="s">
        <v>90</v>
      </c>
      <c r="B4452" s="48" t="s">
        <v>148</v>
      </c>
      <c r="C4452" s="32">
        <v>16</v>
      </c>
      <c r="D4452" s="32"/>
      <c r="E4452" s="48" t="s">
        <v>19</v>
      </c>
      <c r="F4452" s="48" t="s">
        <v>14</v>
      </c>
      <c r="G4452" s="48" t="s">
        <v>144</v>
      </c>
      <c r="H4452" s="49">
        <v>5.38</v>
      </c>
      <c r="I4452" s="52">
        <v>5.9</v>
      </c>
      <c r="J4452" s="7">
        <v>1</v>
      </c>
      <c r="K4452" s="10">
        <v>3.1741999999999999E-2</v>
      </c>
      <c r="L4452" s="32"/>
      <c r="M4452" s="32"/>
      <c r="N4452" s="18">
        <v>0</v>
      </c>
      <c r="O4452" s="19">
        <v>1</v>
      </c>
      <c r="P4452" s="13">
        <v>3.1741999999999999E-2</v>
      </c>
      <c r="Q4452" s="32"/>
      <c r="R4452" s="32"/>
      <c r="S4452" s="32"/>
    </row>
    <row r="4453" spans="1:19">
      <c r="A4453" s="42" t="s">
        <v>90</v>
      </c>
      <c r="B4453" s="48" t="s">
        <v>148</v>
      </c>
      <c r="C4453" s="32">
        <v>17</v>
      </c>
      <c r="D4453" s="32"/>
      <c r="E4453" s="48" t="s">
        <v>19</v>
      </c>
      <c r="F4453" s="48" t="s">
        <v>14</v>
      </c>
      <c r="G4453" s="48" t="s">
        <v>144</v>
      </c>
      <c r="H4453" s="49">
        <v>5.38</v>
      </c>
      <c r="I4453" s="52">
        <v>11</v>
      </c>
      <c r="J4453" s="7">
        <v>2</v>
      </c>
      <c r="K4453" s="10">
        <v>0.11835999999999999</v>
      </c>
      <c r="L4453" s="32"/>
      <c r="M4453" s="32">
        <v>2</v>
      </c>
      <c r="N4453" s="18">
        <v>0.11835999999999999</v>
      </c>
      <c r="O4453" s="19">
        <v>0</v>
      </c>
      <c r="P4453" s="13">
        <v>0</v>
      </c>
      <c r="Q4453" s="94">
        <v>11</v>
      </c>
      <c r="R4453" s="93">
        <v>2</v>
      </c>
      <c r="S4453" s="93" t="s">
        <v>654</v>
      </c>
    </row>
    <row r="4454" spans="1:19">
      <c r="A4454" s="42" t="s">
        <v>90</v>
      </c>
      <c r="B4454" s="48" t="s">
        <v>148</v>
      </c>
      <c r="C4454" s="32">
        <v>17</v>
      </c>
      <c r="D4454" s="32"/>
      <c r="E4454" s="48" t="s">
        <v>19</v>
      </c>
      <c r="F4454" s="48" t="s">
        <v>14</v>
      </c>
      <c r="G4454" s="48" t="s">
        <v>144</v>
      </c>
      <c r="H4454" s="49">
        <v>5.38</v>
      </c>
      <c r="I4454" s="52">
        <v>11.3</v>
      </c>
      <c r="J4454" s="7">
        <v>1</v>
      </c>
      <c r="K4454" s="10">
        <v>6.0794000000000001E-2</v>
      </c>
      <c r="L4454" s="32"/>
      <c r="M4454" s="32">
        <v>1</v>
      </c>
      <c r="N4454" s="18">
        <v>6.0794000000000001E-2</v>
      </c>
      <c r="O4454" s="19">
        <v>0</v>
      </c>
      <c r="P4454" s="13">
        <v>0</v>
      </c>
      <c r="Q4454" s="94">
        <v>11</v>
      </c>
      <c r="R4454" s="93">
        <v>1</v>
      </c>
      <c r="S4454" s="93" t="s">
        <v>654</v>
      </c>
    </row>
    <row r="4455" spans="1:19">
      <c r="A4455" s="42" t="s">
        <v>90</v>
      </c>
      <c r="B4455" s="48" t="s">
        <v>148</v>
      </c>
      <c r="C4455" s="32">
        <v>17</v>
      </c>
      <c r="D4455" s="32"/>
      <c r="E4455" s="48" t="s">
        <v>19</v>
      </c>
      <c r="F4455" s="48" t="s">
        <v>14</v>
      </c>
      <c r="G4455" s="48" t="s">
        <v>144</v>
      </c>
      <c r="H4455" s="49">
        <v>5.38</v>
      </c>
      <c r="I4455" s="52">
        <v>12</v>
      </c>
      <c r="J4455" s="7">
        <v>14</v>
      </c>
      <c r="K4455" s="10">
        <v>0.90383999999999998</v>
      </c>
      <c r="L4455" s="32"/>
      <c r="M4455" s="32">
        <v>14</v>
      </c>
      <c r="N4455" s="18">
        <v>0.90383999999999998</v>
      </c>
      <c r="O4455" s="19">
        <v>0</v>
      </c>
      <c r="P4455" s="13">
        <v>0</v>
      </c>
      <c r="Q4455" s="94">
        <v>12</v>
      </c>
      <c r="R4455" s="93">
        <v>14</v>
      </c>
      <c r="S4455" s="93" t="s">
        <v>631</v>
      </c>
    </row>
    <row r="4456" spans="1:19">
      <c r="A4456" s="42" t="s">
        <v>90</v>
      </c>
      <c r="B4456" s="48" t="s">
        <v>148</v>
      </c>
      <c r="C4456" s="32">
        <v>21</v>
      </c>
      <c r="D4456" s="32"/>
      <c r="E4456" s="48" t="s">
        <v>19</v>
      </c>
      <c r="F4456" s="48" t="s">
        <v>14</v>
      </c>
      <c r="G4456" s="48" t="s">
        <v>144</v>
      </c>
      <c r="H4456" s="49">
        <v>5.38</v>
      </c>
      <c r="I4456" s="52">
        <v>8</v>
      </c>
      <c r="J4456" s="7">
        <v>1</v>
      </c>
      <c r="K4456" s="10">
        <v>4.3040000000000002E-2</v>
      </c>
      <c r="L4456" s="32" t="s">
        <v>26</v>
      </c>
      <c r="M4456" s="32">
        <v>1</v>
      </c>
      <c r="N4456" s="18">
        <v>4.3040000000000002E-2</v>
      </c>
      <c r="O4456" s="19">
        <v>0</v>
      </c>
      <c r="P4456" s="13">
        <v>0</v>
      </c>
      <c r="Q4456" s="32" t="s">
        <v>498</v>
      </c>
      <c r="R4456" s="32"/>
      <c r="S4456" s="32"/>
    </row>
    <row r="4457" spans="1:19">
      <c r="A4457" s="42" t="s">
        <v>90</v>
      </c>
      <c r="B4457" s="48" t="s">
        <v>148</v>
      </c>
      <c r="C4457" s="32">
        <v>21</v>
      </c>
      <c r="D4457" s="32"/>
      <c r="E4457" s="48" t="s">
        <v>19</v>
      </c>
      <c r="F4457" s="48" t="s">
        <v>14</v>
      </c>
      <c r="G4457" s="48" t="s">
        <v>144</v>
      </c>
      <c r="H4457" s="49">
        <v>5.38</v>
      </c>
      <c r="I4457" s="52">
        <v>8.4</v>
      </c>
      <c r="J4457" s="7">
        <v>1</v>
      </c>
      <c r="K4457" s="10">
        <v>4.5192000000000003E-2</v>
      </c>
      <c r="L4457" s="32" t="s">
        <v>26</v>
      </c>
      <c r="M4457" s="32">
        <v>1</v>
      </c>
      <c r="N4457" s="18">
        <v>4.5192000000000003E-2</v>
      </c>
      <c r="O4457" s="19">
        <v>0</v>
      </c>
      <c r="P4457" s="13">
        <v>0</v>
      </c>
      <c r="Q4457" s="32" t="s">
        <v>498</v>
      </c>
      <c r="R4457" s="32"/>
      <c r="S4457" s="32"/>
    </row>
    <row r="4458" spans="1:19">
      <c r="A4458" s="42" t="s">
        <v>90</v>
      </c>
      <c r="B4458" s="48" t="s">
        <v>148</v>
      </c>
      <c r="C4458" s="32">
        <v>21</v>
      </c>
      <c r="D4458" s="32"/>
      <c r="E4458" s="48" t="s">
        <v>19</v>
      </c>
      <c r="F4458" s="48" t="s">
        <v>14</v>
      </c>
      <c r="G4458" s="48" t="s">
        <v>144</v>
      </c>
      <c r="H4458" s="49">
        <v>5.38</v>
      </c>
      <c r="I4458" s="52">
        <v>8.5</v>
      </c>
      <c r="J4458" s="7">
        <v>2</v>
      </c>
      <c r="K4458" s="10">
        <v>9.146E-2</v>
      </c>
      <c r="L4458" s="32" t="s">
        <v>26</v>
      </c>
      <c r="M4458" s="32">
        <v>2</v>
      </c>
      <c r="N4458" s="18">
        <v>9.146E-2</v>
      </c>
      <c r="O4458" s="19">
        <v>0</v>
      </c>
      <c r="P4458" s="13">
        <v>0</v>
      </c>
      <c r="Q4458" s="32" t="s">
        <v>498</v>
      </c>
      <c r="R4458" s="32"/>
      <c r="S4458" s="32"/>
    </row>
    <row r="4459" spans="1:19">
      <c r="A4459" s="42" t="s">
        <v>90</v>
      </c>
      <c r="B4459" s="48" t="s">
        <v>148</v>
      </c>
      <c r="C4459" s="32">
        <v>21</v>
      </c>
      <c r="D4459" s="32"/>
      <c r="E4459" s="48" t="s">
        <v>19</v>
      </c>
      <c r="F4459" s="48" t="s">
        <v>14</v>
      </c>
      <c r="G4459" s="48" t="s">
        <v>144</v>
      </c>
      <c r="H4459" s="49">
        <v>5.38</v>
      </c>
      <c r="I4459" s="52">
        <v>8.25</v>
      </c>
      <c r="J4459" s="7">
        <v>1</v>
      </c>
      <c r="K4459" s="10">
        <v>4.4385000000000001E-2</v>
      </c>
      <c r="L4459" s="32" t="s">
        <v>26</v>
      </c>
      <c r="M4459" s="32">
        <v>1</v>
      </c>
      <c r="N4459" s="18">
        <v>4.4385000000000001E-2</v>
      </c>
      <c r="O4459" s="19">
        <v>0</v>
      </c>
      <c r="P4459" s="13">
        <v>0</v>
      </c>
      <c r="Q4459" s="32" t="s">
        <v>498</v>
      </c>
      <c r="R4459" s="32"/>
      <c r="S4459" s="32"/>
    </row>
    <row r="4460" spans="1:19">
      <c r="A4460" s="42" t="s">
        <v>90</v>
      </c>
      <c r="B4460" s="48" t="s">
        <v>148</v>
      </c>
      <c r="C4460" s="32">
        <v>21</v>
      </c>
      <c r="D4460" s="32"/>
      <c r="E4460" s="48" t="s">
        <v>19</v>
      </c>
      <c r="F4460" s="48" t="s">
        <v>14</v>
      </c>
      <c r="G4460" s="48" t="s">
        <v>144</v>
      </c>
      <c r="H4460" s="49">
        <v>5.38</v>
      </c>
      <c r="I4460" s="52">
        <v>5.4</v>
      </c>
      <c r="J4460" s="7">
        <v>1</v>
      </c>
      <c r="K4460" s="10">
        <v>2.9051999999999998E-2</v>
      </c>
      <c r="L4460" s="32" t="s">
        <v>26</v>
      </c>
      <c r="M4460" s="32">
        <v>1</v>
      </c>
      <c r="N4460" s="18">
        <v>2.9051999999999998E-2</v>
      </c>
      <c r="O4460" s="19">
        <v>0</v>
      </c>
      <c r="P4460" s="13">
        <v>0</v>
      </c>
      <c r="Q4460" s="32" t="s">
        <v>498</v>
      </c>
      <c r="R4460" s="32"/>
      <c r="S4460" s="32"/>
    </row>
    <row r="4461" spans="1:19">
      <c r="A4461" s="42" t="s">
        <v>90</v>
      </c>
      <c r="B4461" s="48" t="s">
        <v>148</v>
      </c>
      <c r="C4461" s="32">
        <v>21</v>
      </c>
      <c r="D4461" s="32"/>
      <c r="E4461" s="48" t="s">
        <v>19</v>
      </c>
      <c r="F4461" s="48" t="s">
        <v>14</v>
      </c>
      <c r="G4461" s="48" t="s">
        <v>144</v>
      </c>
      <c r="H4461" s="49">
        <v>5.38</v>
      </c>
      <c r="I4461" s="52">
        <v>12</v>
      </c>
      <c r="J4461" s="7">
        <v>1</v>
      </c>
      <c r="K4461" s="10">
        <v>6.4560000000000006E-2</v>
      </c>
      <c r="L4461" s="32" t="s">
        <v>26</v>
      </c>
      <c r="M4461" s="32">
        <v>1</v>
      </c>
      <c r="N4461" s="18">
        <v>6.4560000000000006E-2</v>
      </c>
      <c r="O4461" s="19">
        <v>0</v>
      </c>
      <c r="P4461" s="13">
        <v>0</v>
      </c>
      <c r="Q4461" s="32" t="s">
        <v>498</v>
      </c>
      <c r="R4461" s="32"/>
      <c r="S4461" s="32"/>
    </row>
    <row r="4462" spans="1:19">
      <c r="A4462" s="42" t="s">
        <v>90</v>
      </c>
      <c r="B4462" s="48" t="s">
        <v>148</v>
      </c>
      <c r="C4462" s="32">
        <v>28</v>
      </c>
      <c r="D4462" s="32"/>
      <c r="E4462" s="48" t="s">
        <v>19</v>
      </c>
      <c r="F4462" s="48" t="s">
        <v>14</v>
      </c>
      <c r="G4462" s="48" t="s">
        <v>144</v>
      </c>
      <c r="H4462" s="49">
        <v>5.38</v>
      </c>
      <c r="I4462" s="52">
        <v>10.5</v>
      </c>
      <c r="J4462" s="7">
        <v>2</v>
      </c>
      <c r="K4462" s="10">
        <v>0.11298</v>
      </c>
      <c r="L4462" s="32"/>
      <c r="M4462" s="32">
        <v>2</v>
      </c>
      <c r="N4462" s="18">
        <v>0.11298</v>
      </c>
      <c r="O4462" s="19">
        <v>0</v>
      </c>
      <c r="P4462" s="13">
        <v>0</v>
      </c>
      <c r="Q4462" s="94">
        <v>10.5</v>
      </c>
      <c r="R4462" s="93">
        <v>2</v>
      </c>
      <c r="S4462" s="93" t="s">
        <v>654</v>
      </c>
    </row>
    <row r="4463" spans="1:19">
      <c r="A4463" s="42" t="s">
        <v>90</v>
      </c>
      <c r="B4463" s="48" t="s">
        <v>148</v>
      </c>
      <c r="C4463" s="32">
        <v>50</v>
      </c>
      <c r="D4463" s="32"/>
      <c r="E4463" s="48" t="s">
        <v>19</v>
      </c>
      <c r="F4463" s="48" t="s">
        <v>14</v>
      </c>
      <c r="G4463" s="48" t="s">
        <v>144</v>
      </c>
      <c r="H4463" s="49">
        <v>5.38</v>
      </c>
      <c r="I4463" s="52">
        <v>12</v>
      </c>
      <c r="J4463" s="7">
        <v>3</v>
      </c>
      <c r="K4463" s="10">
        <v>0.19368000000000002</v>
      </c>
      <c r="L4463" s="32"/>
      <c r="M4463" s="32">
        <v>3</v>
      </c>
      <c r="N4463" s="18">
        <v>0.19368000000000002</v>
      </c>
      <c r="O4463" s="19">
        <v>0</v>
      </c>
      <c r="P4463" s="13">
        <v>0</v>
      </c>
      <c r="Q4463" s="94">
        <v>12</v>
      </c>
      <c r="R4463" s="93">
        <v>3</v>
      </c>
      <c r="S4463" s="93" t="s">
        <v>655</v>
      </c>
    </row>
    <row r="4464" spans="1:19">
      <c r="O4464" s="215">
        <f>SUM(O4434:O4463)</f>
        <v>5</v>
      </c>
      <c r="R4464" s="215">
        <f>SUM(R4434:R4463)</f>
        <v>71</v>
      </c>
    </row>
    <row r="4468" spans="1:19">
      <c r="A4468" s="42" t="s">
        <v>77</v>
      </c>
      <c r="B4468" s="3" t="s">
        <v>68</v>
      </c>
      <c r="C4468" s="3">
        <v>144</v>
      </c>
      <c r="D4468" s="1"/>
      <c r="E4468" s="20" t="s">
        <v>24</v>
      </c>
      <c r="F4468" s="7" t="s">
        <v>14</v>
      </c>
      <c r="G4468" s="7" t="s">
        <v>36</v>
      </c>
      <c r="H4468" s="11">
        <v>10.199999999999999</v>
      </c>
      <c r="I4468" s="8">
        <v>6.9</v>
      </c>
      <c r="J4468" s="26">
        <v>24</v>
      </c>
      <c r="K4468" s="10">
        <v>1.68912</v>
      </c>
      <c r="L4468" s="4"/>
      <c r="M4468" s="17">
        <v>21</v>
      </c>
      <c r="N4468" s="18">
        <v>1.4779800000000001</v>
      </c>
      <c r="O4468" s="19">
        <v>3</v>
      </c>
      <c r="P4468" s="13">
        <v>0.21114000000000002</v>
      </c>
      <c r="Q4468" s="92">
        <v>6.9</v>
      </c>
      <c r="R4468" s="47">
        <v>3</v>
      </c>
      <c r="S4468" s="47" t="s">
        <v>661</v>
      </c>
    </row>
    <row r="4469" spans="1:19">
      <c r="A4469" s="42" t="s">
        <v>77</v>
      </c>
      <c r="B4469" s="3" t="s">
        <v>68</v>
      </c>
      <c r="C4469" s="3">
        <v>146</v>
      </c>
      <c r="D4469" s="1"/>
      <c r="E4469" s="20" t="s">
        <v>24</v>
      </c>
      <c r="F4469" s="7" t="s">
        <v>14</v>
      </c>
      <c r="G4469" s="7" t="s">
        <v>36</v>
      </c>
      <c r="H4469" s="11">
        <v>10.199999999999999</v>
      </c>
      <c r="I4469" s="8">
        <v>6.4</v>
      </c>
      <c r="J4469" s="26">
        <v>1</v>
      </c>
      <c r="K4469" s="10">
        <v>6.5280000000000005E-2</v>
      </c>
      <c r="L4469" s="4"/>
      <c r="M4469" s="17"/>
      <c r="N4469" s="18">
        <v>0</v>
      </c>
      <c r="O4469" s="19">
        <v>1</v>
      </c>
      <c r="P4469" s="13">
        <v>6.5280000000000005E-2</v>
      </c>
      <c r="Q4469" s="92">
        <v>6.4</v>
      </c>
      <c r="R4469" s="47">
        <v>1</v>
      </c>
      <c r="S4469" s="47" t="s">
        <v>661</v>
      </c>
    </row>
    <row r="4470" spans="1:19">
      <c r="A4470" s="42" t="s">
        <v>77</v>
      </c>
      <c r="B4470" s="3" t="s">
        <v>68</v>
      </c>
      <c r="C4470" s="3">
        <v>146</v>
      </c>
      <c r="D4470" s="1"/>
      <c r="E4470" s="20" t="s">
        <v>24</v>
      </c>
      <c r="F4470" s="7" t="s">
        <v>14</v>
      </c>
      <c r="G4470" s="7" t="s">
        <v>36</v>
      </c>
      <c r="H4470" s="11">
        <v>10.199999999999999</v>
      </c>
      <c r="I4470" s="8">
        <v>10</v>
      </c>
      <c r="J4470" s="26">
        <v>1</v>
      </c>
      <c r="K4470" s="10">
        <v>0.10199999999999999</v>
      </c>
      <c r="L4470" s="4" t="s">
        <v>104</v>
      </c>
      <c r="M4470" s="17"/>
      <c r="N4470" s="18">
        <v>0</v>
      </c>
      <c r="O4470" s="19">
        <v>1</v>
      </c>
      <c r="P4470" s="13">
        <v>0.10199999999999999</v>
      </c>
      <c r="Q4470" s="9"/>
      <c r="R4470" s="2"/>
      <c r="S4470" s="2"/>
    </row>
    <row r="4471" spans="1:19">
      <c r="A4471" s="42" t="s">
        <v>77</v>
      </c>
      <c r="B4471" s="3" t="s">
        <v>68</v>
      </c>
      <c r="C4471" s="3">
        <v>146</v>
      </c>
      <c r="D4471" s="1"/>
      <c r="E4471" s="20" t="s">
        <v>24</v>
      </c>
      <c r="F4471" s="7" t="s">
        <v>14</v>
      </c>
      <c r="G4471" s="7" t="s">
        <v>36</v>
      </c>
      <c r="H4471" s="11">
        <v>10.199999999999999</v>
      </c>
      <c r="I4471" s="8">
        <v>6.4</v>
      </c>
      <c r="J4471" s="26">
        <v>1</v>
      </c>
      <c r="K4471" s="10">
        <v>6.5280000000000005E-2</v>
      </c>
      <c r="L4471" s="4"/>
      <c r="M4471" s="17"/>
      <c r="N4471" s="18">
        <v>0</v>
      </c>
      <c r="O4471" s="19">
        <v>1</v>
      </c>
      <c r="P4471" s="13">
        <v>6.5280000000000005E-2</v>
      </c>
      <c r="Q4471" s="92">
        <v>6.4</v>
      </c>
      <c r="R4471" s="47">
        <v>1</v>
      </c>
      <c r="S4471" s="47" t="s">
        <v>661</v>
      </c>
    </row>
    <row r="4472" spans="1:19">
      <c r="A4472" s="42" t="s">
        <v>77</v>
      </c>
      <c r="B4472" s="3" t="s">
        <v>68</v>
      </c>
      <c r="C4472" s="3">
        <v>146</v>
      </c>
      <c r="D4472" s="1"/>
      <c r="E4472" s="20" t="s">
        <v>24</v>
      </c>
      <c r="F4472" s="7" t="s">
        <v>14</v>
      </c>
      <c r="G4472" s="7" t="s">
        <v>36</v>
      </c>
      <c r="H4472" s="11">
        <v>10.199999999999999</v>
      </c>
      <c r="I4472" s="8">
        <v>6.5</v>
      </c>
      <c r="J4472" s="26">
        <v>3</v>
      </c>
      <c r="K4472" s="10">
        <v>0.19889999999999997</v>
      </c>
      <c r="L4472" s="4"/>
      <c r="M4472" s="17"/>
      <c r="N4472" s="18">
        <v>0</v>
      </c>
      <c r="O4472" s="19">
        <v>3</v>
      </c>
      <c r="P4472" s="13">
        <v>0.19889999999999997</v>
      </c>
      <c r="Q4472" s="92">
        <v>6.5</v>
      </c>
      <c r="R4472" s="47">
        <v>3</v>
      </c>
      <c r="S4472" s="47" t="s">
        <v>661</v>
      </c>
    </row>
    <row r="4473" spans="1:19">
      <c r="A4473" s="42" t="s">
        <v>77</v>
      </c>
      <c r="B4473" s="3" t="s">
        <v>68</v>
      </c>
      <c r="C4473" s="3">
        <v>156</v>
      </c>
      <c r="D4473" s="1"/>
      <c r="E4473" s="20" t="s">
        <v>24</v>
      </c>
      <c r="F4473" s="7" t="s">
        <v>14</v>
      </c>
      <c r="G4473" s="7" t="s">
        <v>36</v>
      </c>
      <c r="H4473" s="11">
        <v>10.199999999999999</v>
      </c>
      <c r="I4473" s="8">
        <v>6</v>
      </c>
      <c r="J4473" s="26">
        <v>1</v>
      </c>
      <c r="K4473" s="10">
        <v>6.1199999999999997E-2</v>
      </c>
      <c r="L4473" s="4"/>
      <c r="M4473" s="17"/>
      <c r="N4473" s="18">
        <v>0</v>
      </c>
      <c r="O4473" s="19">
        <v>1</v>
      </c>
      <c r="P4473" s="13">
        <v>6.1199999999999997E-2</v>
      </c>
      <c r="Q4473" s="9"/>
      <c r="R4473" s="2"/>
      <c r="S4473" s="2"/>
    </row>
    <row r="4474" spans="1:19">
      <c r="A4474" s="42" t="s">
        <v>77</v>
      </c>
      <c r="B4474" s="3" t="s">
        <v>68</v>
      </c>
      <c r="C4474" s="3">
        <v>156</v>
      </c>
      <c r="D4474" s="1"/>
      <c r="E4474" s="20" t="s">
        <v>24</v>
      </c>
      <c r="F4474" s="7" t="s">
        <v>14</v>
      </c>
      <c r="G4474" s="7" t="s">
        <v>36</v>
      </c>
      <c r="H4474" s="11">
        <v>10.199999999999999</v>
      </c>
      <c r="I4474" s="8">
        <v>6.3</v>
      </c>
      <c r="J4474" s="26">
        <v>1</v>
      </c>
      <c r="K4474" s="10">
        <v>6.4259999999999998E-2</v>
      </c>
      <c r="L4474" s="4"/>
      <c r="M4474" s="17"/>
      <c r="N4474" s="18">
        <v>0</v>
      </c>
      <c r="O4474" s="19">
        <v>1</v>
      </c>
      <c r="P4474" s="13">
        <v>6.4259999999999998E-2</v>
      </c>
      <c r="Q4474" s="9"/>
      <c r="R4474" s="2"/>
      <c r="S4474" s="2"/>
    </row>
    <row r="4475" spans="1:19">
      <c r="A4475" s="42" t="s">
        <v>77</v>
      </c>
      <c r="B4475" s="3" t="s">
        <v>68</v>
      </c>
      <c r="C4475" s="3">
        <v>156</v>
      </c>
      <c r="D4475" s="1"/>
      <c r="E4475" s="20" t="s">
        <v>24</v>
      </c>
      <c r="F4475" s="7" t="s">
        <v>14</v>
      </c>
      <c r="G4475" s="7" t="s">
        <v>36</v>
      </c>
      <c r="H4475" s="11">
        <v>10.199999999999999</v>
      </c>
      <c r="I4475" s="8">
        <v>6.5</v>
      </c>
      <c r="J4475" s="26">
        <v>2</v>
      </c>
      <c r="K4475" s="10">
        <v>0.1326</v>
      </c>
      <c r="L4475" s="4"/>
      <c r="M4475" s="17"/>
      <c r="N4475" s="18">
        <v>0</v>
      </c>
      <c r="O4475" s="19">
        <v>2</v>
      </c>
      <c r="P4475" s="13">
        <v>0.1326</v>
      </c>
      <c r="Q4475" s="92">
        <v>6.5</v>
      </c>
      <c r="R4475" s="47">
        <v>2</v>
      </c>
      <c r="S4475" s="47" t="s">
        <v>661</v>
      </c>
    </row>
    <row r="4476" spans="1:19">
      <c r="O4476" s="215">
        <f>SUM(O4468:O4475)</f>
        <v>13</v>
      </c>
      <c r="R4476" s="215">
        <f>SUM(R4468:R4475)</f>
        <v>10</v>
      </c>
    </row>
    <row r="4478" spans="1:19" ht="15.6">
      <c r="A4478" s="110" t="s">
        <v>365</v>
      </c>
      <c r="B4478" s="111" t="s">
        <v>232</v>
      </c>
      <c r="C4478" s="112" t="s">
        <v>228</v>
      </c>
      <c r="D4478" s="113" t="s">
        <v>24</v>
      </c>
      <c r="E4478" s="114" t="s">
        <v>14</v>
      </c>
      <c r="F4478" s="115" t="s">
        <v>49</v>
      </c>
      <c r="G4478" s="116">
        <v>17.82</v>
      </c>
      <c r="H4478" s="125">
        <v>12</v>
      </c>
      <c r="I4478" s="111">
        <v>15</v>
      </c>
      <c r="J4478" s="117">
        <f t="shared" ref="J4478:J4479" si="570">H4478*G4478*I4478/1000</f>
        <v>3.2075999999999998</v>
      </c>
      <c r="K4478" s="118"/>
      <c r="L4478" s="111">
        <v>11</v>
      </c>
      <c r="M4478" s="117">
        <f t="shared" ref="M4478:M4479" si="571">H4478*L4478*G4478/1000</f>
        <v>2.3522400000000001</v>
      </c>
      <c r="N4478" s="119">
        <f t="shared" ref="N4478:N4479" si="572">I4478-L4478</f>
        <v>4</v>
      </c>
      <c r="O4478" s="120">
        <f t="shared" ref="O4478:O4479" si="573">H4478*N4478*G4478/1000</f>
        <v>0.85536000000000001</v>
      </c>
      <c r="P4478" s="111"/>
      <c r="Q4478" s="32"/>
      <c r="R4478" s="213"/>
    </row>
    <row r="4479" spans="1:19" ht="15.6">
      <c r="A4479" s="110" t="s">
        <v>365</v>
      </c>
      <c r="B4479" s="111" t="s">
        <v>232</v>
      </c>
      <c r="C4479" s="112" t="s">
        <v>228</v>
      </c>
      <c r="D4479" s="113" t="s">
        <v>24</v>
      </c>
      <c r="E4479" s="114" t="s">
        <v>14</v>
      </c>
      <c r="F4479" s="115" t="s">
        <v>49</v>
      </c>
      <c r="G4479" s="116">
        <v>17.82</v>
      </c>
      <c r="H4479" s="125">
        <v>12</v>
      </c>
      <c r="I4479" s="111">
        <v>7</v>
      </c>
      <c r="J4479" s="117">
        <f t="shared" si="570"/>
        <v>1.4968800000000002</v>
      </c>
      <c r="K4479" s="118"/>
      <c r="L4479" s="111"/>
      <c r="M4479" s="117">
        <f t="shared" si="571"/>
        <v>0</v>
      </c>
      <c r="N4479" s="119">
        <f t="shared" si="572"/>
        <v>7</v>
      </c>
      <c r="O4479" s="120">
        <f t="shared" si="573"/>
        <v>1.4968800000000002</v>
      </c>
      <c r="P4479" s="111"/>
      <c r="Q4479" s="91">
        <v>2</v>
      </c>
      <c r="R4479" s="156" t="s">
        <v>662</v>
      </c>
      <c r="S4479" s="156"/>
    </row>
    <row r="4480" spans="1:19">
      <c r="A4480" s="32"/>
      <c r="B4480" s="32"/>
      <c r="C4480" s="32"/>
      <c r="D4480" s="32"/>
      <c r="E4480" s="32"/>
      <c r="F4480" s="32"/>
      <c r="G4480" s="32"/>
      <c r="H4480" s="32"/>
      <c r="I4480" s="129">
        <f>SUM(I4478:I4479)</f>
        <v>22</v>
      </c>
      <c r="J4480" s="124">
        <f>SUM(J4478:J4479)</f>
        <v>4.7044800000000002</v>
      </c>
      <c r="K4480" s="32"/>
      <c r="L4480" s="129">
        <f>SUM(L4478:L4479)</f>
        <v>11</v>
      </c>
      <c r="M4480" s="124">
        <f>SUM(M4478:M4479)</f>
        <v>2.3522400000000001</v>
      </c>
      <c r="N4480" s="129">
        <f>SUM(N4478:N4479)</f>
        <v>11</v>
      </c>
      <c r="O4480" s="124">
        <f>SUM(O4478:O4479)</f>
        <v>2.3522400000000001</v>
      </c>
      <c r="P4480" s="32"/>
      <c r="Q4480" s="32"/>
      <c r="R4480" s="213"/>
    </row>
    <row r="4483" spans="1:19">
      <c r="A4483" s="42" t="s">
        <v>77</v>
      </c>
      <c r="B4483" s="3" t="s">
        <v>68</v>
      </c>
      <c r="C4483" s="3">
        <v>33</v>
      </c>
      <c r="D4483" s="1"/>
      <c r="E4483" s="20" t="s">
        <v>24</v>
      </c>
      <c r="F4483" s="7" t="s">
        <v>14</v>
      </c>
      <c r="G4483" s="7" t="s">
        <v>32</v>
      </c>
      <c r="H4483" s="11">
        <v>8.3000000000000007</v>
      </c>
      <c r="I4483" s="8">
        <v>6.1</v>
      </c>
      <c r="J4483" s="26">
        <v>1</v>
      </c>
      <c r="K4483" s="10">
        <v>5.0630000000000001E-2</v>
      </c>
      <c r="L4483" s="4"/>
      <c r="M4483" s="17"/>
      <c r="N4483" s="18">
        <v>0</v>
      </c>
      <c r="O4483" s="19">
        <v>1</v>
      </c>
      <c r="P4483" s="13">
        <v>5.0630000000000001E-2</v>
      </c>
      <c r="Q4483" s="9"/>
      <c r="R4483" s="90">
        <v>1</v>
      </c>
      <c r="S4483" s="90" t="s">
        <v>663</v>
      </c>
    </row>
    <row r="4484" spans="1:19">
      <c r="A4484" s="42" t="s">
        <v>77</v>
      </c>
      <c r="B4484" s="3" t="s">
        <v>68</v>
      </c>
      <c r="C4484" s="3">
        <v>33</v>
      </c>
      <c r="D4484" s="1"/>
      <c r="E4484" s="20" t="s">
        <v>24</v>
      </c>
      <c r="F4484" s="7" t="s">
        <v>14</v>
      </c>
      <c r="G4484" s="7" t="s">
        <v>32</v>
      </c>
      <c r="H4484" s="11">
        <v>8.3000000000000007</v>
      </c>
      <c r="I4484" s="8">
        <v>6.4</v>
      </c>
      <c r="J4484" s="26">
        <v>2</v>
      </c>
      <c r="K4484" s="10">
        <v>0.10624000000000001</v>
      </c>
      <c r="L4484" s="4"/>
      <c r="M4484" s="17"/>
      <c r="N4484" s="18">
        <v>0</v>
      </c>
      <c r="O4484" s="19">
        <v>2</v>
      </c>
      <c r="P4484" s="13">
        <v>0.10624000000000001</v>
      </c>
      <c r="Q4484" s="9"/>
      <c r="R4484" s="90">
        <v>2</v>
      </c>
      <c r="S4484" s="90" t="s">
        <v>663</v>
      </c>
    </row>
    <row r="4485" spans="1:19">
      <c r="A4485" s="47" t="s">
        <v>147</v>
      </c>
      <c r="B4485" s="48" t="s">
        <v>148</v>
      </c>
      <c r="C4485" s="32">
        <v>276</v>
      </c>
      <c r="D4485" s="32"/>
      <c r="E4485" s="48" t="s">
        <v>24</v>
      </c>
      <c r="F4485" s="48" t="s">
        <v>14</v>
      </c>
      <c r="G4485" s="48" t="s">
        <v>32</v>
      </c>
      <c r="H4485" s="11">
        <v>8.3000000000000007</v>
      </c>
      <c r="I4485" s="8">
        <v>6.1</v>
      </c>
      <c r="J4485" s="7">
        <v>2</v>
      </c>
      <c r="K4485" s="10">
        <v>0.10126</v>
      </c>
      <c r="L4485" s="32"/>
      <c r="M4485" s="32"/>
      <c r="N4485" s="18">
        <v>0</v>
      </c>
      <c r="O4485" s="19">
        <v>2</v>
      </c>
      <c r="P4485" s="13">
        <v>0.10126</v>
      </c>
      <c r="Q4485" s="32"/>
      <c r="R4485" s="91">
        <v>2</v>
      </c>
      <c r="S4485" s="90" t="s">
        <v>663</v>
      </c>
    </row>
    <row r="4486" spans="1:19">
      <c r="A4486" s="47" t="s">
        <v>147</v>
      </c>
      <c r="B4486" s="48" t="s">
        <v>148</v>
      </c>
      <c r="C4486" s="32">
        <v>305</v>
      </c>
      <c r="D4486" s="32"/>
      <c r="E4486" s="48" t="s">
        <v>24</v>
      </c>
      <c r="F4486" s="48" t="s">
        <v>14</v>
      </c>
      <c r="G4486" s="48" t="s">
        <v>32</v>
      </c>
      <c r="H4486" s="11">
        <v>8.3000000000000007</v>
      </c>
      <c r="I4486" s="8">
        <v>6.3</v>
      </c>
      <c r="J4486" s="7">
        <v>1</v>
      </c>
      <c r="K4486" s="10">
        <v>5.2290000000000003E-2</v>
      </c>
      <c r="L4486" s="32"/>
      <c r="M4486" s="32"/>
      <c r="N4486" s="18">
        <v>0</v>
      </c>
      <c r="O4486" s="19">
        <v>1</v>
      </c>
      <c r="P4486" s="13">
        <v>5.2290000000000003E-2</v>
      </c>
      <c r="Q4486" s="32"/>
      <c r="R4486" s="91">
        <v>1</v>
      </c>
      <c r="S4486" s="90" t="s">
        <v>663</v>
      </c>
    </row>
    <row r="4487" spans="1:19">
      <c r="A4487" s="47" t="s">
        <v>147</v>
      </c>
      <c r="B4487" s="48" t="s">
        <v>148</v>
      </c>
      <c r="C4487" s="32">
        <v>305</v>
      </c>
      <c r="D4487" s="32"/>
      <c r="E4487" s="48" t="s">
        <v>24</v>
      </c>
      <c r="F4487" s="48" t="s">
        <v>14</v>
      </c>
      <c r="G4487" s="48" t="s">
        <v>32</v>
      </c>
      <c r="H4487" s="11">
        <v>8.3000000000000007</v>
      </c>
      <c r="I4487" s="8">
        <v>6.5</v>
      </c>
      <c r="J4487" s="7">
        <v>1</v>
      </c>
      <c r="K4487" s="10">
        <v>5.3950000000000005E-2</v>
      </c>
      <c r="L4487" s="32"/>
      <c r="M4487" s="32"/>
      <c r="N4487" s="18">
        <v>0</v>
      </c>
      <c r="O4487" s="19">
        <v>1</v>
      </c>
      <c r="P4487" s="13">
        <v>5.3950000000000005E-2</v>
      </c>
      <c r="Q4487" s="32"/>
      <c r="R4487" s="91">
        <v>1</v>
      </c>
      <c r="S4487" s="90" t="s">
        <v>663</v>
      </c>
    </row>
    <row r="4488" spans="1:19">
      <c r="A4488" s="47" t="s">
        <v>147</v>
      </c>
      <c r="B4488" s="48" t="s">
        <v>148</v>
      </c>
      <c r="C4488" s="32">
        <v>305</v>
      </c>
      <c r="D4488" s="32"/>
      <c r="E4488" s="48" t="s">
        <v>24</v>
      </c>
      <c r="F4488" s="48" t="s">
        <v>14</v>
      </c>
      <c r="G4488" s="48" t="s">
        <v>32</v>
      </c>
      <c r="H4488" s="11">
        <v>8.3000000000000007</v>
      </c>
      <c r="I4488" s="8">
        <v>6.9</v>
      </c>
      <c r="J4488" s="7">
        <v>1</v>
      </c>
      <c r="K4488" s="10">
        <v>5.7270000000000008E-2</v>
      </c>
      <c r="L4488" s="32"/>
      <c r="M4488" s="32"/>
      <c r="N4488" s="18">
        <v>0</v>
      </c>
      <c r="O4488" s="19">
        <v>1</v>
      </c>
      <c r="P4488" s="13">
        <v>5.7270000000000008E-2</v>
      </c>
      <c r="Q4488" s="32"/>
      <c r="R4488" s="91">
        <v>1</v>
      </c>
      <c r="S4488" s="90" t="s">
        <v>663</v>
      </c>
    </row>
    <row r="4489" spans="1:19">
      <c r="R4489" s="76">
        <f>SUM(R4483:R4488)</f>
        <v>8</v>
      </c>
    </row>
    <row r="4491" spans="1:19" ht="15.6">
      <c r="A4491" s="110" t="s">
        <v>366</v>
      </c>
      <c r="B4491" s="111" t="s">
        <v>232</v>
      </c>
      <c r="C4491" s="112" t="s">
        <v>228</v>
      </c>
      <c r="D4491" s="113" t="s">
        <v>17</v>
      </c>
      <c r="E4491" s="114" t="s">
        <v>15</v>
      </c>
      <c r="F4491" s="115" t="s">
        <v>27</v>
      </c>
      <c r="G4491" s="116">
        <v>6.17</v>
      </c>
      <c r="H4491" s="125">
        <v>6.5</v>
      </c>
      <c r="I4491" s="111">
        <v>2</v>
      </c>
      <c r="J4491" s="117">
        <f t="shared" ref="J4491:J4496" si="574">H4491*G4491*I4491/1000</f>
        <v>8.020999999999999E-2</v>
      </c>
      <c r="K4491" s="118"/>
      <c r="L4491" s="111"/>
      <c r="M4491" s="117">
        <f t="shared" ref="M4491:M4496" si="575">H4491*L4491*G4491/1000</f>
        <v>0</v>
      </c>
      <c r="N4491" s="119">
        <f t="shared" ref="N4491:N4496" si="576">I4491-L4491</f>
        <v>2</v>
      </c>
      <c r="O4491" s="120">
        <f t="shared" ref="O4491" si="577">H4491*N4491*G4491/1000</f>
        <v>8.020999999999999E-2</v>
      </c>
      <c r="P4491" s="111"/>
      <c r="Q4491" s="93">
        <v>2</v>
      </c>
      <c r="R4491" s="93" t="s">
        <v>664</v>
      </c>
      <c r="S4491" s="170"/>
    </row>
    <row r="4492" spans="1:19" ht="15.6">
      <c r="A4492" s="110" t="s">
        <v>366</v>
      </c>
      <c r="B4492" s="111" t="s">
        <v>232</v>
      </c>
      <c r="C4492" s="112" t="s">
        <v>228</v>
      </c>
      <c r="D4492" s="113" t="s">
        <v>17</v>
      </c>
      <c r="E4492" s="114" t="s">
        <v>15</v>
      </c>
      <c r="F4492" s="115" t="s">
        <v>27</v>
      </c>
      <c r="G4492" s="116">
        <v>6.17</v>
      </c>
      <c r="H4492" s="125">
        <v>6.5</v>
      </c>
      <c r="I4492" s="111">
        <v>1</v>
      </c>
      <c r="J4492" s="117">
        <f t="shared" si="574"/>
        <v>4.0104999999999995E-2</v>
      </c>
      <c r="K4492" s="118"/>
      <c r="L4492" s="111"/>
      <c r="M4492" s="117">
        <f t="shared" si="575"/>
        <v>0</v>
      </c>
      <c r="N4492" s="119">
        <f t="shared" si="576"/>
        <v>1</v>
      </c>
      <c r="O4492" s="120">
        <f>H4492*N4492*G4492/1000</f>
        <v>4.0104999999999995E-2</v>
      </c>
      <c r="P4492" s="111"/>
      <c r="Q4492" s="93">
        <v>1</v>
      </c>
      <c r="R4492" s="93" t="s">
        <v>664</v>
      </c>
      <c r="S4492" s="170"/>
    </row>
    <row r="4493" spans="1:19" ht="15.6">
      <c r="A4493" s="110" t="s">
        <v>366</v>
      </c>
      <c r="B4493" s="111" t="s">
        <v>232</v>
      </c>
      <c r="C4493" s="112" t="s">
        <v>228</v>
      </c>
      <c r="D4493" s="113" t="s">
        <v>17</v>
      </c>
      <c r="E4493" s="114" t="s">
        <v>15</v>
      </c>
      <c r="F4493" s="115" t="s">
        <v>27</v>
      </c>
      <c r="G4493" s="116">
        <v>6.17</v>
      </c>
      <c r="H4493" s="125">
        <v>7.2</v>
      </c>
      <c r="I4493" s="111">
        <v>2</v>
      </c>
      <c r="J4493" s="117">
        <f t="shared" si="574"/>
        <v>8.8847999999999996E-2</v>
      </c>
      <c r="K4493" s="118"/>
      <c r="L4493" s="111"/>
      <c r="M4493" s="117">
        <f t="shared" si="575"/>
        <v>0</v>
      </c>
      <c r="N4493" s="119">
        <f t="shared" si="576"/>
        <v>2</v>
      </c>
      <c r="O4493" s="120">
        <f>H4493*N4493*G4493/1000</f>
        <v>8.8847999999999996E-2</v>
      </c>
      <c r="P4493" s="111"/>
      <c r="Q4493" s="93">
        <v>2</v>
      </c>
      <c r="R4493" s="93" t="s">
        <v>664</v>
      </c>
      <c r="S4493" s="170"/>
    </row>
    <row r="4494" spans="1:19" ht="15.6">
      <c r="A4494" s="110" t="s">
        <v>493</v>
      </c>
      <c r="B4494" s="111" t="s">
        <v>227</v>
      </c>
      <c r="C4494" s="112" t="s">
        <v>228</v>
      </c>
      <c r="D4494" s="113" t="s">
        <v>17</v>
      </c>
      <c r="E4494" s="114" t="s">
        <v>15</v>
      </c>
      <c r="F4494" s="115" t="s">
        <v>27</v>
      </c>
      <c r="G4494" s="116">
        <v>6.17</v>
      </c>
      <c r="H4494" s="125">
        <v>6</v>
      </c>
      <c r="I4494" s="111">
        <v>2</v>
      </c>
      <c r="J4494" s="117">
        <f t="shared" si="574"/>
        <v>7.4039999999999995E-2</v>
      </c>
      <c r="K4494" s="118"/>
      <c r="L4494" s="111"/>
      <c r="M4494" s="117">
        <f t="shared" si="575"/>
        <v>0</v>
      </c>
      <c r="N4494" s="145">
        <f t="shared" si="576"/>
        <v>2</v>
      </c>
      <c r="O4494" s="120">
        <f t="shared" ref="O4494:O4496" si="578">H4494*N4494*G4494/1000</f>
        <v>7.4039999999999995E-2</v>
      </c>
      <c r="P4494" s="111"/>
      <c r="Q4494" s="91">
        <v>2</v>
      </c>
      <c r="R4494" s="91" t="s">
        <v>664</v>
      </c>
    </row>
    <row r="4495" spans="1:19" ht="15.6">
      <c r="A4495" s="110" t="s">
        <v>493</v>
      </c>
      <c r="B4495" s="111" t="s">
        <v>227</v>
      </c>
      <c r="C4495" s="112" t="s">
        <v>228</v>
      </c>
      <c r="D4495" s="113" t="s">
        <v>17</v>
      </c>
      <c r="E4495" s="114" t="s">
        <v>15</v>
      </c>
      <c r="F4495" s="115" t="s">
        <v>27</v>
      </c>
      <c r="G4495" s="116">
        <v>6.17</v>
      </c>
      <c r="H4495" s="125">
        <v>8.6999999999999993</v>
      </c>
      <c r="I4495" s="111">
        <v>1</v>
      </c>
      <c r="J4495" s="117">
        <f t="shared" si="574"/>
        <v>5.3678999999999998E-2</v>
      </c>
      <c r="K4495" s="118"/>
      <c r="L4495" s="111"/>
      <c r="M4495" s="117">
        <f t="shared" si="575"/>
        <v>0</v>
      </c>
      <c r="N4495" s="145">
        <f t="shared" si="576"/>
        <v>1</v>
      </c>
      <c r="O4495" s="120">
        <f t="shared" si="578"/>
        <v>5.3678999999999998E-2</v>
      </c>
      <c r="P4495" s="111"/>
      <c r="Q4495" s="91">
        <v>1</v>
      </c>
      <c r="R4495" s="91" t="s">
        <v>664</v>
      </c>
    </row>
    <row r="4496" spans="1:19" ht="15.6">
      <c r="A4496" s="110" t="s">
        <v>493</v>
      </c>
      <c r="B4496" s="111" t="s">
        <v>227</v>
      </c>
      <c r="C4496" s="112" t="s">
        <v>228</v>
      </c>
      <c r="D4496" s="113" t="s">
        <v>17</v>
      </c>
      <c r="E4496" s="114" t="s">
        <v>15</v>
      </c>
      <c r="F4496" s="115" t="s">
        <v>27</v>
      </c>
      <c r="G4496" s="116">
        <v>6.17</v>
      </c>
      <c r="H4496" s="125">
        <v>7.8</v>
      </c>
      <c r="I4496" s="111">
        <v>2</v>
      </c>
      <c r="J4496" s="117">
        <f t="shared" si="574"/>
        <v>9.625199999999999E-2</v>
      </c>
      <c r="K4496" s="118"/>
      <c r="L4496" s="111"/>
      <c r="M4496" s="117">
        <f t="shared" si="575"/>
        <v>0</v>
      </c>
      <c r="N4496" s="145">
        <f t="shared" si="576"/>
        <v>2</v>
      </c>
      <c r="O4496" s="120">
        <f t="shared" si="578"/>
        <v>9.625199999999999E-2</v>
      </c>
      <c r="P4496" s="111"/>
      <c r="Q4496" s="91">
        <v>2</v>
      </c>
      <c r="R4496" s="91" t="s">
        <v>664</v>
      </c>
    </row>
    <row r="4497" spans="1:20">
      <c r="Q4497" s="76">
        <f>SUM(Q4491:Q4496)</f>
        <v>10</v>
      </c>
    </row>
    <row r="4499" spans="1:20">
      <c r="A4499" s="42" t="s">
        <v>90</v>
      </c>
      <c r="B4499" s="48" t="s">
        <v>148</v>
      </c>
      <c r="C4499" s="32">
        <v>37</v>
      </c>
      <c r="D4499" s="32"/>
      <c r="E4499" s="48" t="s">
        <v>17</v>
      </c>
      <c r="F4499" s="48" t="s">
        <v>15</v>
      </c>
      <c r="G4499" s="48" t="s">
        <v>27</v>
      </c>
      <c r="H4499" s="11">
        <v>6.17</v>
      </c>
      <c r="I4499" s="8">
        <v>6.65</v>
      </c>
      <c r="J4499" s="7">
        <v>1</v>
      </c>
      <c r="K4499" s="10">
        <v>4.1030500000000004E-2</v>
      </c>
      <c r="L4499" s="32"/>
      <c r="M4499" s="32"/>
      <c r="N4499" s="18">
        <v>0</v>
      </c>
      <c r="O4499" s="106">
        <v>1</v>
      </c>
      <c r="P4499" s="13">
        <v>4.1030500000000004E-2</v>
      </c>
      <c r="Q4499" s="9"/>
      <c r="R4499" s="91">
        <v>1</v>
      </c>
      <c r="S4499" s="90" t="s">
        <v>664</v>
      </c>
    </row>
    <row r="4500" spans="1:20">
      <c r="A4500" s="42" t="s">
        <v>90</v>
      </c>
      <c r="B4500" s="48" t="s">
        <v>148</v>
      </c>
      <c r="C4500" s="32">
        <v>37</v>
      </c>
      <c r="D4500" s="32"/>
      <c r="E4500" s="48" t="s">
        <v>17</v>
      </c>
      <c r="F4500" s="48" t="s">
        <v>15</v>
      </c>
      <c r="G4500" s="48" t="s">
        <v>27</v>
      </c>
      <c r="H4500" s="11">
        <v>6.17</v>
      </c>
      <c r="I4500" s="8">
        <v>11</v>
      </c>
      <c r="J4500" s="7">
        <v>1</v>
      </c>
      <c r="K4500" s="10">
        <v>6.787E-2</v>
      </c>
      <c r="L4500" s="32"/>
      <c r="M4500" s="32"/>
      <c r="N4500" s="18">
        <v>0</v>
      </c>
      <c r="O4500" s="106">
        <v>1</v>
      </c>
      <c r="P4500" s="13">
        <v>6.787E-2</v>
      </c>
      <c r="Q4500" s="55"/>
      <c r="R4500" s="91">
        <v>1</v>
      </c>
      <c r="S4500" s="90" t="s">
        <v>664</v>
      </c>
    </row>
    <row r="4501" spans="1:20">
      <c r="A4501" s="472" t="s">
        <v>147</v>
      </c>
      <c r="B4501" s="48" t="s">
        <v>148</v>
      </c>
      <c r="C4501" s="32">
        <v>274</v>
      </c>
      <c r="D4501" s="32"/>
      <c r="E4501" s="48" t="s">
        <v>17</v>
      </c>
      <c r="F4501" s="48" t="s">
        <v>160</v>
      </c>
      <c r="G4501" s="48" t="s">
        <v>27</v>
      </c>
      <c r="H4501" s="11">
        <v>6.17</v>
      </c>
      <c r="I4501" s="8">
        <v>7.6</v>
      </c>
      <c r="J4501" s="7">
        <v>1</v>
      </c>
      <c r="K4501" s="10">
        <v>4.6891999999999996E-2</v>
      </c>
      <c r="L4501" s="32"/>
      <c r="M4501" s="32"/>
      <c r="N4501" s="18">
        <v>0</v>
      </c>
      <c r="O4501" s="106">
        <v>1</v>
      </c>
      <c r="P4501" s="13">
        <v>4.6891999999999996E-2</v>
      </c>
      <c r="Q4501" s="9"/>
      <c r="R4501" s="91">
        <v>1</v>
      </c>
      <c r="S4501" s="90" t="s">
        <v>664</v>
      </c>
    </row>
    <row r="4502" spans="1:20">
      <c r="A4502" s="472" t="s">
        <v>147</v>
      </c>
      <c r="B4502" s="48" t="s">
        <v>148</v>
      </c>
      <c r="C4502" s="32">
        <v>274</v>
      </c>
      <c r="D4502" s="32"/>
      <c r="E4502" s="48" t="s">
        <v>17</v>
      </c>
      <c r="F4502" s="48" t="s">
        <v>160</v>
      </c>
      <c r="G4502" s="48" t="s">
        <v>27</v>
      </c>
      <c r="H4502" s="11">
        <v>6.17</v>
      </c>
      <c r="I4502" s="8">
        <v>9.9</v>
      </c>
      <c r="J4502" s="7">
        <v>1</v>
      </c>
      <c r="K4502" s="10">
        <v>6.1082999999999998E-2</v>
      </c>
      <c r="L4502" s="32"/>
      <c r="M4502" s="32"/>
      <c r="N4502" s="18">
        <v>0</v>
      </c>
      <c r="O4502" s="106">
        <v>1</v>
      </c>
      <c r="P4502" s="13">
        <v>6.1082999999999998E-2</v>
      </c>
      <c r="Q4502" s="55"/>
      <c r="R4502" s="91">
        <v>1</v>
      </c>
      <c r="S4502" s="90" t="s">
        <v>664</v>
      </c>
    </row>
    <row r="4503" spans="1:20">
      <c r="A4503" s="472" t="s">
        <v>147</v>
      </c>
      <c r="B4503" s="48" t="s">
        <v>148</v>
      </c>
      <c r="C4503" s="32">
        <v>274</v>
      </c>
      <c r="D4503" s="32"/>
      <c r="E4503" s="48" t="s">
        <v>17</v>
      </c>
      <c r="F4503" s="48" t="s">
        <v>160</v>
      </c>
      <c r="G4503" s="48" t="s">
        <v>27</v>
      </c>
      <c r="H4503" s="11">
        <v>6.17</v>
      </c>
      <c r="I4503" s="8">
        <v>9.6</v>
      </c>
      <c r="J4503" s="7">
        <v>1</v>
      </c>
      <c r="K4503" s="10">
        <v>5.9232E-2</v>
      </c>
      <c r="L4503" s="32"/>
      <c r="M4503" s="32"/>
      <c r="N4503" s="18">
        <v>0</v>
      </c>
      <c r="O4503" s="106">
        <v>1</v>
      </c>
      <c r="P4503" s="13">
        <v>5.9232E-2</v>
      </c>
      <c r="Q4503" s="55"/>
      <c r="R4503" s="91">
        <v>1</v>
      </c>
      <c r="S4503" s="90" t="s">
        <v>664</v>
      </c>
    </row>
    <row r="4506" spans="1:20">
      <c r="A4506" s="110" t="s">
        <v>649</v>
      </c>
      <c r="B4506" s="111" t="s">
        <v>505</v>
      </c>
      <c r="C4506" s="112" t="s">
        <v>449</v>
      </c>
      <c r="D4506" s="113" t="s">
        <v>17</v>
      </c>
      <c r="E4506" s="175" t="s">
        <v>15</v>
      </c>
      <c r="F4506" s="175" t="s">
        <v>44</v>
      </c>
      <c r="G4506" s="176">
        <v>13.4</v>
      </c>
      <c r="H4506" s="177">
        <v>10.85</v>
      </c>
      <c r="I4506" s="178">
        <v>19</v>
      </c>
      <c r="J4506" s="174">
        <f t="shared" ref="J4506:J4509" si="579">(G4506*H4506*I4506/1000)</f>
        <v>2.76241</v>
      </c>
      <c r="K4506" s="118"/>
      <c r="L4506" s="178">
        <v>5</v>
      </c>
      <c r="M4506" s="117">
        <f t="shared" ref="M4506:M4509" si="580">H4506*L4506*G4506/1000</f>
        <v>0.7269500000000001</v>
      </c>
      <c r="N4506" s="145">
        <f t="shared" ref="N4506:N4509" si="581">I4506-L4506</f>
        <v>14</v>
      </c>
      <c r="O4506" s="146">
        <f t="shared" ref="O4506:O4509" si="582">H4506*N4506*G4506/1000</f>
        <v>2.03546</v>
      </c>
      <c r="P4506" s="159">
        <v>10</v>
      </c>
      <c r="Q4506" s="156">
        <v>14</v>
      </c>
      <c r="R4506" s="156" t="s">
        <v>663</v>
      </c>
      <c r="S4506" s="213"/>
      <c r="T4506" s="213"/>
    </row>
    <row r="4507" spans="1:20">
      <c r="A4507" s="110" t="s">
        <v>649</v>
      </c>
      <c r="B4507" s="111" t="s">
        <v>505</v>
      </c>
      <c r="C4507" s="112" t="s">
        <v>449</v>
      </c>
      <c r="D4507" s="113" t="s">
        <v>17</v>
      </c>
      <c r="E4507" s="175" t="s">
        <v>15</v>
      </c>
      <c r="F4507" s="175" t="s">
        <v>44</v>
      </c>
      <c r="G4507" s="176">
        <v>13.4</v>
      </c>
      <c r="H4507" s="177">
        <v>11.5</v>
      </c>
      <c r="I4507" s="178">
        <v>20</v>
      </c>
      <c r="J4507" s="174">
        <f t="shared" si="579"/>
        <v>3.0819999999999999</v>
      </c>
      <c r="K4507" s="118"/>
      <c r="L4507" s="178">
        <v>20</v>
      </c>
      <c r="M4507" s="117">
        <f t="shared" si="580"/>
        <v>3.0819999999999999</v>
      </c>
      <c r="N4507" s="119">
        <f t="shared" si="581"/>
        <v>0</v>
      </c>
      <c r="O4507" s="120">
        <f t="shared" si="582"/>
        <v>0</v>
      </c>
      <c r="P4507" s="159"/>
      <c r="Q4507" s="111"/>
      <c r="R4507" s="111"/>
      <c r="S4507" s="213"/>
      <c r="T4507" s="213"/>
    </row>
    <row r="4508" spans="1:20">
      <c r="A4508" s="110" t="s">
        <v>649</v>
      </c>
      <c r="B4508" s="111" t="s">
        <v>505</v>
      </c>
      <c r="C4508" s="112" t="s">
        <v>449</v>
      </c>
      <c r="D4508" s="113" t="s">
        <v>17</v>
      </c>
      <c r="E4508" s="175" t="s">
        <v>15</v>
      </c>
      <c r="F4508" s="175" t="s">
        <v>44</v>
      </c>
      <c r="G4508" s="176">
        <v>13.4</v>
      </c>
      <c r="H4508" s="177">
        <v>11.5</v>
      </c>
      <c r="I4508" s="178">
        <v>20</v>
      </c>
      <c r="J4508" s="174">
        <f t="shared" si="579"/>
        <v>3.0819999999999999</v>
      </c>
      <c r="K4508" s="118"/>
      <c r="L4508" s="178">
        <v>20</v>
      </c>
      <c r="M4508" s="117">
        <f t="shared" si="580"/>
        <v>3.0819999999999999</v>
      </c>
      <c r="N4508" s="119">
        <f t="shared" si="581"/>
        <v>0</v>
      </c>
      <c r="O4508" s="120">
        <f t="shared" si="582"/>
        <v>0</v>
      </c>
      <c r="P4508" s="159"/>
      <c r="Q4508" s="111"/>
      <c r="R4508" s="111"/>
      <c r="S4508" s="213"/>
      <c r="T4508" s="213"/>
    </row>
    <row r="4509" spans="1:20">
      <c r="A4509" s="110" t="s">
        <v>649</v>
      </c>
      <c r="B4509" s="111" t="s">
        <v>505</v>
      </c>
      <c r="C4509" s="112" t="s">
        <v>449</v>
      </c>
      <c r="D4509" s="113" t="s">
        <v>17</v>
      </c>
      <c r="E4509" s="175" t="s">
        <v>15</v>
      </c>
      <c r="F4509" s="175" t="s">
        <v>44</v>
      </c>
      <c r="G4509" s="176">
        <v>13.4</v>
      </c>
      <c r="H4509" s="177">
        <v>11.5</v>
      </c>
      <c r="I4509" s="178">
        <v>20</v>
      </c>
      <c r="J4509" s="174">
        <f t="shared" si="579"/>
        <v>3.0819999999999999</v>
      </c>
      <c r="K4509" s="118"/>
      <c r="L4509" s="178">
        <v>20</v>
      </c>
      <c r="M4509" s="117">
        <f t="shared" si="580"/>
        <v>3.0819999999999999</v>
      </c>
      <c r="N4509" s="119">
        <f t="shared" si="581"/>
        <v>0</v>
      </c>
      <c r="O4509" s="120">
        <f t="shared" si="582"/>
        <v>0</v>
      </c>
      <c r="P4509" s="159"/>
      <c r="Q4509" s="111"/>
      <c r="R4509" s="111"/>
      <c r="S4509" s="213"/>
      <c r="T4509" s="213"/>
    </row>
    <row r="4514" spans="1:19">
      <c r="A4514" s="42" t="s">
        <v>84</v>
      </c>
      <c r="B4514" s="3" t="s">
        <v>122</v>
      </c>
      <c r="C4514" s="3">
        <v>1</v>
      </c>
      <c r="D4514" s="1"/>
      <c r="E4514" s="20" t="s">
        <v>63</v>
      </c>
      <c r="F4514" s="7" t="s">
        <v>15</v>
      </c>
      <c r="G4514" s="7" t="s">
        <v>18</v>
      </c>
      <c r="H4514" s="11">
        <v>6.86</v>
      </c>
      <c r="I4514" s="8">
        <v>9.5</v>
      </c>
      <c r="J4514" s="26">
        <v>3</v>
      </c>
      <c r="K4514" s="10">
        <v>0.19550999999999999</v>
      </c>
      <c r="L4514" s="4"/>
      <c r="M4514" s="17"/>
      <c r="N4514" s="18">
        <v>0</v>
      </c>
      <c r="O4514" s="19">
        <v>3</v>
      </c>
      <c r="P4514" s="13">
        <v>0.19551000000000002</v>
      </c>
      <c r="Q4514" s="9"/>
      <c r="R4514" s="2"/>
      <c r="S4514" s="2"/>
    </row>
    <row r="4515" spans="1:19">
      <c r="A4515" s="42" t="s">
        <v>84</v>
      </c>
      <c r="B4515" s="3" t="s">
        <v>122</v>
      </c>
      <c r="C4515" s="3">
        <v>1</v>
      </c>
      <c r="D4515" s="1"/>
      <c r="E4515" s="20" t="s">
        <v>63</v>
      </c>
      <c r="F4515" s="7" t="s">
        <v>15</v>
      </c>
      <c r="G4515" s="7" t="s">
        <v>18</v>
      </c>
      <c r="H4515" s="11">
        <v>6.86</v>
      </c>
      <c r="I4515" s="8">
        <v>10</v>
      </c>
      <c r="J4515" s="26">
        <v>9</v>
      </c>
      <c r="K4515" s="10">
        <v>0.61740000000000006</v>
      </c>
      <c r="L4515" s="4"/>
      <c r="M4515" s="17"/>
      <c r="N4515" s="18">
        <v>0</v>
      </c>
      <c r="O4515" s="19">
        <v>9</v>
      </c>
      <c r="P4515" s="13">
        <v>0.61739999999999995</v>
      </c>
      <c r="Q4515" s="9"/>
      <c r="R4515" s="2"/>
      <c r="S4515" s="2"/>
    </row>
    <row r="4516" spans="1:19">
      <c r="A4516" s="42" t="s">
        <v>84</v>
      </c>
      <c r="B4516" s="3" t="s">
        <v>122</v>
      </c>
      <c r="C4516" s="3">
        <v>1</v>
      </c>
      <c r="D4516" s="1"/>
      <c r="E4516" s="20" t="s">
        <v>63</v>
      </c>
      <c r="F4516" s="7" t="s">
        <v>15</v>
      </c>
      <c r="G4516" s="7" t="s">
        <v>18</v>
      </c>
      <c r="H4516" s="11">
        <v>6.86</v>
      </c>
      <c r="I4516" s="8">
        <v>11</v>
      </c>
      <c r="J4516" s="26">
        <v>3</v>
      </c>
      <c r="K4516" s="10">
        <v>0.22638000000000003</v>
      </c>
      <c r="L4516" s="4"/>
      <c r="M4516" s="17"/>
      <c r="N4516" s="18">
        <v>0</v>
      </c>
      <c r="O4516" s="19">
        <v>3</v>
      </c>
      <c r="P4516" s="13">
        <v>0.22638000000000003</v>
      </c>
      <c r="Q4516" s="9"/>
      <c r="R4516" s="2"/>
      <c r="S4516" s="2"/>
    </row>
    <row r="4517" spans="1:19">
      <c r="A4517" s="42" t="s">
        <v>84</v>
      </c>
      <c r="B4517" s="3" t="s">
        <v>122</v>
      </c>
      <c r="C4517" s="3">
        <v>1</v>
      </c>
      <c r="D4517" s="1"/>
      <c r="E4517" s="20" t="s">
        <v>63</v>
      </c>
      <c r="F4517" s="7" t="s">
        <v>15</v>
      </c>
      <c r="G4517" s="7" t="s">
        <v>18</v>
      </c>
      <c r="H4517" s="11">
        <v>6.86</v>
      </c>
      <c r="I4517" s="8">
        <v>11.5</v>
      </c>
      <c r="J4517" s="26">
        <v>4</v>
      </c>
      <c r="K4517" s="10">
        <v>0.31556000000000001</v>
      </c>
      <c r="L4517" s="4"/>
      <c r="M4517" s="17"/>
      <c r="N4517" s="18">
        <v>0</v>
      </c>
      <c r="O4517" s="19">
        <v>4</v>
      </c>
      <c r="P4517" s="13">
        <v>0.31556000000000001</v>
      </c>
      <c r="Q4517" s="9"/>
      <c r="R4517" s="2"/>
      <c r="S4517" s="2"/>
    </row>
    <row r="4518" spans="1:19">
      <c r="A4518" s="42" t="s">
        <v>84</v>
      </c>
      <c r="B4518" s="3" t="s">
        <v>122</v>
      </c>
      <c r="C4518" s="3">
        <v>1</v>
      </c>
      <c r="D4518" s="1"/>
      <c r="E4518" s="20" t="s">
        <v>63</v>
      </c>
      <c r="F4518" s="7" t="s">
        <v>15</v>
      </c>
      <c r="G4518" s="7" t="s">
        <v>18</v>
      </c>
      <c r="H4518" s="11">
        <v>6.86</v>
      </c>
      <c r="I4518" s="8">
        <v>12</v>
      </c>
      <c r="J4518" s="26">
        <v>1</v>
      </c>
      <c r="K4518" s="10">
        <v>8.2320000000000004E-2</v>
      </c>
      <c r="L4518" s="4"/>
      <c r="M4518" s="17"/>
      <c r="N4518" s="18">
        <v>0</v>
      </c>
      <c r="O4518" s="19">
        <v>1</v>
      </c>
      <c r="P4518" s="13">
        <v>8.2320000000000004E-2</v>
      </c>
      <c r="Q4518" s="9"/>
      <c r="R4518" s="2"/>
      <c r="S4518" s="2"/>
    </row>
    <row r="4519" spans="1:19">
      <c r="A4519" s="45" t="s">
        <v>136</v>
      </c>
      <c r="B4519" s="48" t="s">
        <v>171</v>
      </c>
      <c r="C4519" s="32">
        <v>145</v>
      </c>
      <c r="D4519" s="32"/>
      <c r="E4519" s="48" t="s">
        <v>106</v>
      </c>
      <c r="F4519" s="48" t="s">
        <v>15</v>
      </c>
      <c r="G4519" s="48" t="s">
        <v>18</v>
      </c>
      <c r="H4519" s="11">
        <v>6.86</v>
      </c>
      <c r="I4519" s="8">
        <v>9</v>
      </c>
      <c r="J4519" s="7">
        <v>2</v>
      </c>
      <c r="K4519" s="10">
        <v>0.12348000000000001</v>
      </c>
      <c r="L4519" s="32"/>
      <c r="M4519" s="32"/>
      <c r="N4519" s="18">
        <v>0</v>
      </c>
      <c r="O4519" s="19">
        <v>2</v>
      </c>
      <c r="P4519" s="13">
        <v>0.12348000000000001</v>
      </c>
      <c r="Q4519" s="32"/>
      <c r="R4519" s="32"/>
      <c r="S4519" s="32"/>
    </row>
    <row r="4520" spans="1:19">
      <c r="A4520" s="45" t="s">
        <v>136</v>
      </c>
      <c r="B4520" s="48" t="s">
        <v>171</v>
      </c>
      <c r="C4520" s="32">
        <v>145</v>
      </c>
      <c r="D4520" s="32"/>
      <c r="E4520" s="48" t="s">
        <v>106</v>
      </c>
      <c r="F4520" s="48" t="s">
        <v>15</v>
      </c>
      <c r="G4520" s="48" t="s">
        <v>18</v>
      </c>
      <c r="H4520" s="11">
        <v>6.86</v>
      </c>
      <c r="I4520" s="9">
        <v>9.5</v>
      </c>
      <c r="J4520" s="7">
        <v>2</v>
      </c>
      <c r="K4520" s="10">
        <v>0.13034000000000001</v>
      </c>
      <c r="L4520" s="32"/>
      <c r="M4520" s="32"/>
      <c r="N4520" s="18">
        <v>0</v>
      </c>
      <c r="O4520" s="19">
        <v>2</v>
      </c>
      <c r="P4520" s="13">
        <v>0.13034000000000001</v>
      </c>
      <c r="Q4520" s="32"/>
      <c r="R4520" s="32"/>
      <c r="S4520" s="32"/>
    </row>
    <row r="4521" spans="1:19">
      <c r="A4521" s="45" t="s">
        <v>136</v>
      </c>
      <c r="B4521" s="48" t="s">
        <v>171</v>
      </c>
      <c r="C4521" s="32">
        <v>145</v>
      </c>
      <c r="D4521" s="32"/>
      <c r="E4521" s="48" t="s">
        <v>106</v>
      </c>
      <c r="F4521" s="48" t="s">
        <v>15</v>
      </c>
      <c r="G4521" s="48" t="s">
        <v>18</v>
      </c>
      <c r="H4521" s="11">
        <v>6.86</v>
      </c>
      <c r="I4521" s="9">
        <v>9.6999999999999993</v>
      </c>
      <c r="J4521" s="7">
        <v>5</v>
      </c>
      <c r="K4521" s="10">
        <v>0.33271000000000006</v>
      </c>
      <c r="L4521" s="32"/>
      <c r="M4521" s="32"/>
      <c r="N4521" s="18">
        <v>0</v>
      </c>
      <c r="O4521" s="19">
        <v>5</v>
      </c>
      <c r="P4521" s="13">
        <v>0.33271000000000006</v>
      </c>
      <c r="Q4521" s="32"/>
      <c r="R4521" s="32"/>
      <c r="S4521" s="32"/>
    </row>
    <row r="4524" spans="1:19">
      <c r="A4524" s="42" t="s">
        <v>78</v>
      </c>
      <c r="B4524" s="3"/>
      <c r="C4524" s="3">
        <v>40</v>
      </c>
      <c r="D4524" s="1"/>
      <c r="E4524" s="20" t="s">
        <v>63</v>
      </c>
      <c r="F4524" s="7" t="s">
        <v>15</v>
      </c>
      <c r="G4524" s="7" t="s">
        <v>27</v>
      </c>
      <c r="H4524" s="11">
        <v>6.17</v>
      </c>
      <c r="I4524" s="8">
        <v>9.5</v>
      </c>
      <c r="J4524" s="26">
        <v>8</v>
      </c>
      <c r="K4524" s="10">
        <f t="shared" ref="K4524:K4525" si="583">(H4524*I4524*J4524/1000)</f>
        <v>0.46892</v>
      </c>
      <c r="L4524" s="4"/>
      <c r="M4524" s="17"/>
      <c r="N4524" s="18">
        <f t="shared" ref="N4524:N4525" si="584">I4524*M4524*H4524/1000</f>
        <v>0</v>
      </c>
      <c r="O4524" s="19">
        <f t="shared" ref="O4524:O4525" si="585">J4524-M4524</f>
        <v>8</v>
      </c>
      <c r="P4524" s="13">
        <f t="shared" ref="P4524:P4525" si="586">I4524*O4524*H4524/1000</f>
        <v>0.46892</v>
      </c>
      <c r="Q4524" s="9"/>
    </row>
    <row r="4525" spans="1:19">
      <c r="A4525" s="42" t="s">
        <v>78</v>
      </c>
      <c r="B4525" s="3"/>
      <c r="C4525" s="3">
        <v>40</v>
      </c>
      <c r="D4525" s="1"/>
      <c r="E4525" s="20" t="s">
        <v>63</v>
      </c>
      <c r="F4525" s="7" t="s">
        <v>15</v>
      </c>
      <c r="G4525" s="7" t="s">
        <v>27</v>
      </c>
      <c r="H4525" s="11">
        <v>6.17</v>
      </c>
      <c r="I4525" s="8">
        <v>9</v>
      </c>
      <c r="J4525" s="26">
        <v>1</v>
      </c>
      <c r="K4525" s="10">
        <f t="shared" si="583"/>
        <v>5.5530000000000003E-2</v>
      </c>
      <c r="L4525" s="4"/>
      <c r="M4525" s="17"/>
      <c r="N4525" s="18">
        <f t="shared" si="584"/>
        <v>0</v>
      </c>
      <c r="O4525" s="19">
        <f t="shared" si="585"/>
        <v>1</v>
      </c>
      <c r="P4525" s="13">
        <f t="shared" si="586"/>
        <v>5.5530000000000003E-2</v>
      </c>
      <c r="Q4525" s="9"/>
    </row>
    <row r="4528" spans="1:19">
      <c r="A4528" s="45" t="s">
        <v>136</v>
      </c>
      <c r="B4528" s="32" t="s">
        <v>137</v>
      </c>
      <c r="C4528" s="3">
        <v>51</v>
      </c>
      <c r="D4528" s="32"/>
      <c r="E4528" s="20" t="s">
        <v>106</v>
      </c>
      <c r="F4528" s="7" t="s">
        <v>15</v>
      </c>
      <c r="G4528" s="7" t="s">
        <v>25</v>
      </c>
      <c r="H4528" s="11">
        <v>7.34</v>
      </c>
      <c r="I4528" s="185">
        <v>12</v>
      </c>
      <c r="J4528" s="40">
        <v>4</v>
      </c>
      <c r="K4528" s="10">
        <f t="shared" ref="K4528" si="587">(H4528*I4528*J4528/1000)</f>
        <v>0.35231999999999997</v>
      </c>
      <c r="L4528" s="4"/>
      <c r="M4528" s="17"/>
      <c r="N4528" s="18">
        <f t="shared" ref="N4528" si="588">I4528*M4528*H4528/1000</f>
        <v>0</v>
      </c>
      <c r="O4528" s="19">
        <f t="shared" ref="O4528" si="589">J4528-M4528</f>
        <v>4</v>
      </c>
      <c r="P4528" s="13">
        <f t="shared" ref="P4528" si="590">I4528*O4528*H4528/1000</f>
        <v>0.35231999999999997</v>
      </c>
      <c r="Q4528" s="32"/>
    </row>
    <row r="4533" spans="1:19">
      <c r="A4533" s="48" t="s">
        <v>168</v>
      </c>
      <c r="B4533" s="48" t="s">
        <v>169</v>
      </c>
      <c r="C4533" s="32">
        <v>6</v>
      </c>
      <c r="D4533" s="32"/>
      <c r="E4533" s="48" t="s">
        <v>19</v>
      </c>
      <c r="F4533" s="48" t="s">
        <v>14</v>
      </c>
      <c r="G4533" s="48" t="s">
        <v>39</v>
      </c>
      <c r="H4533" s="11">
        <v>14.66</v>
      </c>
      <c r="I4533" s="52">
        <v>8.6999999999999993</v>
      </c>
      <c r="J4533" s="7">
        <v>1</v>
      </c>
      <c r="K4533" s="10">
        <v>0.12754199999999999</v>
      </c>
      <c r="L4533" s="32" t="s">
        <v>104</v>
      </c>
      <c r="M4533" s="32">
        <v>1</v>
      </c>
      <c r="N4533" s="18">
        <v>0.12754199999999999</v>
      </c>
      <c r="O4533" s="19">
        <v>0</v>
      </c>
      <c r="P4533" s="13">
        <v>0</v>
      </c>
      <c r="Q4533" s="32"/>
      <c r="R4533" s="91">
        <v>1</v>
      </c>
      <c r="S4533" s="91" t="s">
        <v>631</v>
      </c>
    </row>
    <row r="4534" spans="1:19">
      <c r="A4534" s="42" t="s">
        <v>90</v>
      </c>
      <c r="B4534" s="48" t="s">
        <v>148</v>
      </c>
      <c r="C4534" s="32">
        <v>88</v>
      </c>
      <c r="D4534" s="32"/>
      <c r="E4534" s="48" t="s">
        <v>24</v>
      </c>
      <c r="F4534" s="48" t="s">
        <v>14</v>
      </c>
      <c r="G4534" s="48" t="s">
        <v>39</v>
      </c>
      <c r="H4534" s="11">
        <v>14.66</v>
      </c>
      <c r="I4534" s="52">
        <v>7</v>
      </c>
      <c r="J4534" s="7">
        <v>2</v>
      </c>
      <c r="K4534" s="10">
        <v>0.20524000000000001</v>
      </c>
      <c r="L4534" s="32"/>
      <c r="M4534" s="32">
        <v>2</v>
      </c>
      <c r="N4534" s="18">
        <v>0.20524000000000001</v>
      </c>
      <c r="O4534" s="19">
        <v>0</v>
      </c>
      <c r="P4534" s="13">
        <v>0</v>
      </c>
      <c r="Q4534" s="32"/>
      <c r="R4534" s="91">
        <v>2</v>
      </c>
      <c r="S4534" s="91" t="s">
        <v>631</v>
      </c>
    </row>
    <row r="4535" spans="1:19">
      <c r="A4535" s="42" t="s">
        <v>90</v>
      </c>
      <c r="B4535" s="48" t="s">
        <v>148</v>
      </c>
      <c r="C4535" s="32">
        <v>88</v>
      </c>
      <c r="D4535" s="32"/>
      <c r="E4535" s="48" t="s">
        <v>24</v>
      </c>
      <c r="F4535" s="48" t="s">
        <v>14</v>
      </c>
      <c r="G4535" s="48" t="s">
        <v>39</v>
      </c>
      <c r="H4535" s="11">
        <v>14.66</v>
      </c>
      <c r="I4535" s="52">
        <v>7.4</v>
      </c>
      <c r="J4535" s="7">
        <v>1</v>
      </c>
      <c r="K4535" s="10">
        <v>0.10848400000000001</v>
      </c>
      <c r="L4535" s="32"/>
      <c r="M4535" s="32">
        <v>1</v>
      </c>
      <c r="N4535" s="18">
        <v>0.10848400000000001</v>
      </c>
      <c r="O4535" s="19">
        <v>0</v>
      </c>
      <c r="P4535" s="13">
        <v>0</v>
      </c>
      <c r="Q4535" s="32"/>
      <c r="R4535" s="91">
        <v>1</v>
      </c>
      <c r="S4535" s="91" t="s">
        <v>631</v>
      </c>
    </row>
    <row r="4536" spans="1:19">
      <c r="A4536" s="47" t="s">
        <v>147</v>
      </c>
      <c r="B4536" s="48" t="s">
        <v>148</v>
      </c>
      <c r="C4536" s="32">
        <v>288</v>
      </c>
      <c r="D4536" s="32"/>
      <c r="E4536" s="69" t="s">
        <v>19</v>
      </c>
      <c r="F4536" s="69" t="s">
        <v>14</v>
      </c>
      <c r="G4536" s="69" t="s">
        <v>39</v>
      </c>
      <c r="H4536" s="61">
        <v>14.66</v>
      </c>
      <c r="I4536" s="70">
        <v>9.4</v>
      </c>
      <c r="J4536" s="60">
        <v>1</v>
      </c>
      <c r="K4536" s="62">
        <v>0.13780400000000001</v>
      </c>
      <c r="L4536" s="256" t="s">
        <v>46</v>
      </c>
      <c r="M4536" s="67"/>
      <c r="N4536" s="63">
        <v>0</v>
      </c>
      <c r="O4536" s="64">
        <v>1</v>
      </c>
      <c r="P4536" s="65">
        <v>0.13780400000000001</v>
      </c>
      <c r="Q4536" s="32"/>
      <c r="R4536" s="32"/>
      <c r="S4536" s="32"/>
    </row>
    <row r="4537" spans="1:19">
      <c r="A4537" s="47" t="s">
        <v>147</v>
      </c>
      <c r="B4537" s="48" t="s">
        <v>148</v>
      </c>
      <c r="C4537" s="32">
        <v>290</v>
      </c>
      <c r="D4537" s="32"/>
      <c r="E4537" s="48" t="s">
        <v>19</v>
      </c>
      <c r="F4537" s="48" t="s">
        <v>14</v>
      </c>
      <c r="G4537" s="48" t="s">
        <v>39</v>
      </c>
      <c r="H4537" s="11">
        <v>14.66</v>
      </c>
      <c r="I4537" s="52">
        <v>7.4</v>
      </c>
      <c r="J4537" s="7">
        <v>1</v>
      </c>
      <c r="K4537" s="10">
        <v>0.10848400000000001</v>
      </c>
      <c r="L4537" s="32"/>
      <c r="M4537" s="32">
        <v>1</v>
      </c>
      <c r="N4537" s="18">
        <v>0.10848400000000001</v>
      </c>
      <c r="O4537" s="19">
        <v>0</v>
      </c>
      <c r="P4537" s="13">
        <v>0</v>
      </c>
      <c r="Q4537" s="32"/>
      <c r="R4537" s="91">
        <v>1</v>
      </c>
      <c r="S4537" s="91" t="s">
        <v>631</v>
      </c>
    </row>
    <row r="4538" spans="1:19">
      <c r="A4538" s="45" t="s">
        <v>136</v>
      </c>
      <c r="B4538" s="32" t="s">
        <v>137</v>
      </c>
      <c r="C4538" s="3">
        <v>87</v>
      </c>
      <c r="D4538" s="32"/>
      <c r="E4538" s="20" t="s">
        <v>19</v>
      </c>
      <c r="F4538" s="7" t="s">
        <v>14</v>
      </c>
      <c r="G4538" s="7" t="s">
        <v>39</v>
      </c>
      <c r="H4538" s="11">
        <v>14.66</v>
      </c>
      <c r="I4538" s="33">
        <v>6.5</v>
      </c>
      <c r="J4538" s="40">
        <v>1</v>
      </c>
      <c r="K4538" s="10">
        <v>9.529E-2</v>
      </c>
      <c r="L4538" s="4"/>
      <c r="M4538" s="17">
        <v>1</v>
      </c>
      <c r="N4538" s="18">
        <v>9.529E-2</v>
      </c>
      <c r="O4538" s="19">
        <v>0</v>
      </c>
      <c r="P4538" s="13">
        <v>0</v>
      </c>
      <c r="Q4538" s="32"/>
      <c r="R4538" s="91">
        <v>1</v>
      </c>
      <c r="S4538" s="91" t="s">
        <v>631</v>
      </c>
    </row>
    <row r="4539" spans="1:19">
      <c r="A4539" s="45" t="s">
        <v>136</v>
      </c>
      <c r="B4539" s="32" t="s">
        <v>137</v>
      </c>
      <c r="C4539" s="3">
        <v>87</v>
      </c>
      <c r="D4539" s="32"/>
      <c r="E4539" s="20" t="s">
        <v>19</v>
      </c>
      <c r="F4539" s="7" t="s">
        <v>14</v>
      </c>
      <c r="G4539" s="7" t="s">
        <v>39</v>
      </c>
      <c r="H4539" s="11">
        <v>14.66</v>
      </c>
      <c r="I4539" s="33">
        <v>6.7</v>
      </c>
      <c r="J4539" s="40">
        <v>1</v>
      </c>
      <c r="K4539" s="10">
        <v>9.8222000000000004E-2</v>
      </c>
      <c r="L4539" s="4"/>
      <c r="M4539" s="17">
        <v>1</v>
      </c>
      <c r="N4539" s="18">
        <v>9.8222000000000004E-2</v>
      </c>
      <c r="O4539" s="19">
        <v>0</v>
      </c>
      <c r="P4539" s="13">
        <v>0</v>
      </c>
      <c r="Q4539" s="32"/>
      <c r="R4539" s="91">
        <v>1</v>
      </c>
      <c r="S4539" s="91" t="s">
        <v>631</v>
      </c>
    </row>
    <row r="4540" spans="1:19">
      <c r="A4540" s="45" t="s">
        <v>136</v>
      </c>
      <c r="B4540" s="32" t="s">
        <v>137</v>
      </c>
      <c r="C4540" s="3">
        <v>87</v>
      </c>
      <c r="D4540" s="32"/>
      <c r="E4540" s="20" t="s">
        <v>19</v>
      </c>
      <c r="F4540" s="7" t="s">
        <v>14</v>
      </c>
      <c r="G4540" s="7" t="s">
        <v>39</v>
      </c>
      <c r="H4540" s="11">
        <v>14.66</v>
      </c>
      <c r="I4540" s="33">
        <v>7.2</v>
      </c>
      <c r="J4540" s="40">
        <v>1</v>
      </c>
      <c r="K4540" s="10">
        <v>0.10555200000000001</v>
      </c>
      <c r="L4540" s="4"/>
      <c r="M4540" s="17">
        <v>1</v>
      </c>
      <c r="N4540" s="18">
        <v>0.10555200000000001</v>
      </c>
      <c r="O4540" s="19">
        <v>0</v>
      </c>
      <c r="P4540" s="13">
        <v>0</v>
      </c>
      <c r="Q4540" s="32"/>
      <c r="R4540" s="91">
        <v>1</v>
      </c>
      <c r="S4540" s="91" t="s">
        <v>631</v>
      </c>
    </row>
    <row r="4541" spans="1:19">
      <c r="A4541" s="45" t="s">
        <v>136</v>
      </c>
      <c r="B4541" s="32" t="s">
        <v>137</v>
      </c>
      <c r="C4541" s="3">
        <v>87</v>
      </c>
      <c r="D4541" s="32"/>
      <c r="E4541" s="20" t="s">
        <v>19</v>
      </c>
      <c r="F4541" s="7" t="s">
        <v>14</v>
      </c>
      <c r="G4541" s="7" t="s">
        <v>39</v>
      </c>
      <c r="H4541" s="11">
        <v>14.66</v>
      </c>
      <c r="I4541" s="33">
        <v>8.4</v>
      </c>
      <c r="J4541" s="40">
        <v>1</v>
      </c>
      <c r="K4541" s="10">
        <v>0.123144</v>
      </c>
      <c r="L4541" s="4"/>
      <c r="M4541" s="17">
        <v>1</v>
      </c>
      <c r="N4541" s="18">
        <v>0.123144</v>
      </c>
      <c r="O4541" s="19">
        <v>0</v>
      </c>
      <c r="P4541" s="13">
        <v>0</v>
      </c>
      <c r="Q4541" s="32"/>
      <c r="R4541" s="91">
        <v>1</v>
      </c>
      <c r="S4541" s="91" t="s">
        <v>631</v>
      </c>
    </row>
    <row r="4542" spans="1:19">
      <c r="A4542" s="45" t="s">
        <v>136</v>
      </c>
      <c r="B4542" s="32" t="s">
        <v>137</v>
      </c>
      <c r="C4542" s="3">
        <v>88</v>
      </c>
      <c r="D4542" s="32"/>
      <c r="E4542" s="20" t="s">
        <v>19</v>
      </c>
      <c r="F4542" s="7" t="s">
        <v>14</v>
      </c>
      <c r="G4542" s="7" t="s">
        <v>39</v>
      </c>
      <c r="H4542" s="11">
        <v>14.66</v>
      </c>
      <c r="I4542" s="33">
        <v>6.4</v>
      </c>
      <c r="J4542" s="40">
        <v>1</v>
      </c>
      <c r="K4542" s="10">
        <v>9.3824000000000018E-2</v>
      </c>
      <c r="L4542" s="4"/>
      <c r="M4542" s="17">
        <v>1</v>
      </c>
      <c r="N4542" s="18">
        <v>9.3824000000000018E-2</v>
      </c>
      <c r="O4542" s="19">
        <v>0</v>
      </c>
      <c r="P4542" s="13">
        <v>0</v>
      </c>
      <c r="Q4542" s="32"/>
      <c r="R4542" s="91">
        <v>1</v>
      </c>
      <c r="S4542" s="91" t="s">
        <v>631</v>
      </c>
    </row>
    <row r="4543" spans="1:19">
      <c r="A4543" s="45" t="s">
        <v>136</v>
      </c>
      <c r="B4543" s="32" t="s">
        <v>137</v>
      </c>
      <c r="C4543" s="3">
        <v>88</v>
      </c>
      <c r="D4543" s="32"/>
      <c r="E4543" s="20" t="s">
        <v>19</v>
      </c>
      <c r="F4543" s="7" t="s">
        <v>14</v>
      </c>
      <c r="G4543" s="7" t="s">
        <v>39</v>
      </c>
      <c r="H4543" s="11">
        <v>14.66</v>
      </c>
      <c r="I4543" s="33">
        <v>7.7</v>
      </c>
      <c r="J4543" s="40">
        <v>1</v>
      </c>
      <c r="K4543" s="10">
        <v>0.11288200000000001</v>
      </c>
      <c r="L4543" s="4"/>
      <c r="M4543" s="17">
        <v>1</v>
      </c>
      <c r="N4543" s="18">
        <v>0.11288200000000001</v>
      </c>
      <c r="O4543" s="19">
        <v>0</v>
      </c>
      <c r="P4543" s="13">
        <v>0</v>
      </c>
      <c r="Q4543" s="32"/>
      <c r="R4543" s="91">
        <v>1</v>
      </c>
      <c r="S4543" s="91" t="s">
        <v>631</v>
      </c>
    </row>
    <row r="4544" spans="1:19">
      <c r="A4544" s="45" t="s">
        <v>136</v>
      </c>
      <c r="B4544" s="32" t="s">
        <v>137</v>
      </c>
      <c r="C4544" s="3">
        <v>88</v>
      </c>
      <c r="D4544" s="32"/>
      <c r="E4544" s="20" t="s">
        <v>19</v>
      </c>
      <c r="F4544" s="7" t="s">
        <v>14</v>
      </c>
      <c r="G4544" s="7" t="s">
        <v>39</v>
      </c>
      <c r="H4544" s="11">
        <v>14.66</v>
      </c>
      <c r="I4544" s="33">
        <v>8</v>
      </c>
      <c r="J4544" s="40">
        <v>2</v>
      </c>
      <c r="K4544" s="10">
        <v>0.23455999999999999</v>
      </c>
      <c r="L4544" s="4"/>
      <c r="M4544" s="17">
        <v>2</v>
      </c>
      <c r="N4544" s="18">
        <v>0.23455999999999999</v>
      </c>
      <c r="O4544" s="19">
        <v>0</v>
      </c>
      <c r="P4544" s="13">
        <v>0</v>
      </c>
      <c r="Q4544" s="32"/>
      <c r="R4544" s="91">
        <v>2</v>
      </c>
      <c r="S4544" s="91" t="s">
        <v>631</v>
      </c>
    </row>
    <row r="4545" spans="1:20">
      <c r="A4545" s="45" t="s">
        <v>136</v>
      </c>
      <c r="B4545" s="32" t="s">
        <v>137</v>
      </c>
      <c r="C4545" s="3">
        <v>88</v>
      </c>
      <c r="D4545" s="32"/>
      <c r="E4545" s="20" t="s">
        <v>19</v>
      </c>
      <c r="F4545" s="7" t="s">
        <v>14</v>
      </c>
      <c r="G4545" s="7" t="s">
        <v>39</v>
      </c>
      <c r="H4545" s="11">
        <v>14.66</v>
      </c>
      <c r="I4545" s="33">
        <v>8.1</v>
      </c>
      <c r="J4545" s="40">
        <v>1</v>
      </c>
      <c r="K4545" s="10">
        <v>0.11874599999999999</v>
      </c>
      <c r="L4545" s="4"/>
      <c r="M4545" s="17">
        <v>1</v>
      </c>
      <c r="N4545" s="18">
        <v>0.11874599999999999</v>
      </c>
      <c r="O4545" s="19">
        <v>0</v>
      </c>
      <c r="P4545" s="13">
        <v>0</v>
      </c>
      <c r="Q4545" s="32"/>
      <c r="R4545" s="91">
        <v>1</v>
      </c>
      <c r="S4545" s="91" t="s">
        <v>631</v>
      </c>
    </row>
    <row r="4546" spans="1:20">
      <c r="A4546" s="45" t="s">
        <v>136</v>
      </c>
      <c r="B4546" s="32" t="s">
        <v>137</v>
      </c>
      <c r="C4546" s="3">
        <v>89</v>
      </c>
      <c r="D4546" s="32"/>
      <c r="E4546" s="20" t="s">
        <v>19</v>
      </c>
      <c r="F4546" s="7" t="s">
        <v>14</v>
      </c>
      <c r="G4546" s="7" t="s">
        <v>39</v>
      </c>
      <c r="H4546" s="11">
        <v>14.66</v>
      </c>
      <c r="I4546" s="33">
        <v>8.8000000000000007</v>
      </c>
      <c r="J4546" s="40">
        <v>3</v>
      </c>
      <c r="K4546" s="10">
        <v>0.38702399999999998</v>
      </c>
      <c r="L4546" s="4"/>
      <c r="M4546" s="17">
        <v>3</v>
      </c>
      <c r="N4546" s="18">
        <v>0.38702400000000003</v>
      </c>
      <c r="O4546" s="19">
        <v>0</v>
      </c>
      <c r="P4546" s="13">
        <v>0</v>
      </c>
      <c r="Q4546" s="32"/>
      <c r="R4546" s="91">
        <v>3</v>
      </c>
      <c r="S4546" s="91" t="s">
        <v>631</v>
      </c>
    </row>
    <row r="4547" spans="1:20">
      <c r="O4547" s="78">
        <f>SUM(O4533:O4546)</f>
        <v>1</v>
      </c>
    </row>
    <row r="4548" spans="1:20" ht="15.6">
      <c r="B4548" s="110" t="s">
        <v>644</v>
      </c>
      <c r="C4548" s="111" t="s">
        <v>232</v>
      </c>
      <c r="D4548" s="112" t="s">
        <v>449</v>
      </c>
      <c r="E4548" s="113" t="s">
        <v>19</v>
      </c>
      <c r="F4548" s="114" t="s">
        <v>14</v>
      </c>
      <c r="G4548" s="115" t="s">
        <v>39</v>
      </c>
      <c r="H4548" s="116">
        <v>14.7</v>
      </c>
      <c r="I4548" s="125">
        <v>9.1</v>
      </c>
      <c r="J4548" s="111">
        <v>23</v>
      </c>
      <c r="K4548" s="117">
        <f t="shared" ref="K4548:K4555" si="591">I4548*H4548*J4548/1000</f>
        <v>3.0767099999999994</v>
      </c>
      <c r="L4548" s="118"/>
      <c r="M4548" s="111">
        <v>23</v>
      </c>
      <c r="N4548" s="117">
        <f t="shared" ref="N4548:N4555" si="592">I4548*M4548*H4548/1000</f>
        <v>3.0767099999999994</v>
      </c>
      <c r="O4548" s="119">
        <f t="shared" ref="O4548:O4555" si="593">J4548-M4548</f>
        <v>0</v>
      </c>
      <c r="P4548" s="120">
        <f t="shared" ref="P4548:P4555" si="594">I4548*O4548*H4548/1000</f>
        <v>0</v>
      </c>
      <c r="Q4548" s="130"/>
      <c r="R4548" s="320"/>
      <c r="S4548" s="32"/>
      <c r="T4548" s="32"/>
    </row>
    <row r="4549" spans="1:20" ht="15.6">
      <c r="B4549" s="110" t="s">
        <v>644</v>
      </c>
      <c r="C4549" s="111" t="s">
        <v>232</v>
      </c>
      <c r="D4549" s="112" t="s">
        <v>449</v>
      </c>
      <c r="E4549" s="113" t="s">
        <v>19</v>
      </c>
      <c r="F4549" s="114" t="s">
        <v>14</v>
      </c>
      <c r="G4549" s="115" t="s">
        <v>39</v>
      </c>
      <c r="H4549" s="116">
        <v>14.7</v>
      </c>
      <c r="I4549" s="125">
        <v>9.1</v>
      </c>
      <c r="J4549" s="111">
        <v>23</v>
      </c>
      <c r="K4549" s="117">
        <f t="shared" si="591"/>
        <v>3.0767099999999994</v>
      </c>
      <c r="L4549" s="118"/>
      <c r="M4549" s="111">
        <v>23</v>
      </c>
      <c r="N4549" s="117">
        <f t="shared" si="592"/>
        <v>3.0767099999999994</v>
      </c>
      <c r="O4549" s="119">
        <f t="shared" si="593"/>
        <v>0</v>
      </c>
      <c r="P4549" s="120">
        <f t="shared" si="594"/>
        <v>0</v>
      </c>
      <c r="Q4549" s="130"/>
      <c r="R4549" s="320"/>
      <c r="S4549" s="32"/>
      <c r="T4549" s="32"/>
    </row>
    <row r="4550" spans="1:20" ht="15.6">
      <c r="B4550" s="110" t="s">
        <v>644</v>
      </c>
      <c r="C4550" s="111" t="s">
        <v>232</v>
      </c>
      <c r="D4550" s="112" t="s">
        <v>449</v>
      </c>
      <c r="E4550" s="113" t="s">
        <v>19</v>
      </c>
      <c r="F4550" s="114" t="s">
        <v>14</v>
      </c>
      <c r="G4550" s="115" t="s">
        <v>39</v>
      </c>
      <c r="H4550" s="116">
        <v>14.7</v>
      </c>
      <c r="I4550" s="125">
        <v>9.1</v>
      </c>
      <c r="J4550" s="111">
        <v>23</v>
      </c>
      <c r="K4550" s="117">
        <f t="shared" si="591"/>
        <v>3.0767099999999994</v>
      </c>
      <c r="L4550" s="118"/>
      <c r="M4550" s="111">
        <v>23</v>
      </c>
      <c r="N4550" s="117">
        <f t="shared" si="592"/>
        <v>3.0767099999999994</v>
      </c>
      <c r="O4550" s="119">
        <f t="shared" si="593"/>
        <v>0</v>
      </c>
      <c r="P4550" s="120">
        <f t="shared" si="594"/>
        <v>0</v>
      </c>
      <c r="Q4550" s="130"/>
      <c r="R4550" s="320"/>
      <c r="S4550" s="32"/>
      <c r="T4550" s="32"/>
    </row>
    <row r="4551" spans="1:20" ht="15.6">
      <c r="B4551" s="110" t="s">
        <v>644</v>
      </c>
      <c r="C4551" s="111" t="s">
        <v>232</v>
      </c>
      <c r="D4551" s="112" t="s">
        <v>449</v>
      </c>
      <c r="E4551" s="113" t="s">
        <v>19</v>
      </c>
      <c r="F4551" s="114" t="s">
        <v>14</v>
      </c>
      <c r="G4551" s="115" t="s">
        <v>39</v>
      </c>
      <c r="H4551" s="116">
        <v>14.7</v>
      </c>
      <c r="I4551" s="125">
        <v>9.1</v>
      </c>
      <c r="J4551" s="111">
        <v>6</v>
      </c>
      <c r="K4551" s="117">
        <f t="shared" si="591"/>
        <v>0.80261999999999989</v>
      </c>
      <c r="L4551" s="118"/>
      <c r="M4551" s="111">
        <v>6</v>
      </c>
      <c r="N4551" s="117">
        <f t="shared" si="592"/>
        <v>0.80261999999999989</v>
      </c>
      <c r="O4551" s="119">
        <f t="shared" si="593"/>
        <v>0</v>
      </c>
      <c r="P4551" s="120">
        <f t="shared" si="594"/>
        <v>0</v>
      </c>
      <c r="Q4551" s="130"/>
      <c r="R4551" s="320"/>
      <c r="S4551" s="32"/>
      <c r="T4551" s="32"/>
    </row>
    <row r="4552" spans="1:20" ht="15.6">
      <c r="B4552" s="110" t="s">
        <v>644</v>
      </c>
      <c r="C4552" s="111" t="s">
        <v>232</v>
      </c>
      <c r="D4552" s="112" t="s">
        <v>449</v>
      </c>
      <c r="E4552" s="113" t="s">
        <v>19</v>
      </c>
      <c r="F4552" s="114" t="s">
        <v>14</v>
      </c>
      <c r="G4552" s="115" t="s">
        <v>39</v>
      </c>
      <c r="H4552" s="116">
        <v>14.7</v>
      </c>
      <c r="I4552" s="125">
        <v>9.1</v>
      </c>
      <c r="J4552" s="111">
        <v>8</v>
      </c>
      <c r="K4552" s="117">
        <f t="shared" si="591"/>
        <v>1.0701599999999998</v>
      </c>
      <c r="L4552" s="118"/>
      <c r="M4552" s="111">
        <v>8</v>
      </c>
      <c r="N4552" s="117">
        <f t="shared" si="592"/>
        <v>1.0701599999999998</v>
      </c>
      <c r="O4552" s="119">
        <f t="shared" si="593"/>
        <v>0</v>
      </c>
      <c r="P4552" s="120">
        <f t="shared" si="594"/>
        <v>0</v>
      </c>
      <c r="Q4552" s="130"/>
      <c r="R4552" s="320"/>
      <c r="S4552" s="32"/>
      <c r="T4552" s="32"/>
    </row>
    <row r="4553" spans="1:20" ht="15.6">
      <c r="B4553" s="110" t="s">
        <v>644</v>
      </c>
      <c r="C4553" s="111" t="s">
        <v>232</v>
      </c>
      <c r="D4553" s="112" t="s">
        <v>449</v>
      </c>
      <c r="E4553" s="113" t="s">
        <v>19</v>
      </c>
      <c r="F4553" s="114" t="s">
        <v>14</v>
      </c>
      <c r="G4553" s="115" t="s">
        <v>39</v>
      </c>
      <c r="H4553" s="116">
        <v>14.7</v>
      </c>
      <c r="I4553" s="125">
        <v>8.5</v>
      </c>
      <c r="J4553" s="111">
        <v>1</v>
      </c>
      <c r="K4553" s="117">
        <f t="shared" si="591"/>
        <v>0.12494999999999999</v>
      </c>
      <c r="L4553" s="118"/>
      <c r="M4553" s="111">
        <v>1</v>
      </c>
      <c r="N4553" s="117">
        <f t="shared" si="592"/>
        <v>0.12494999999999999</v>
      </c>
      <c r="O4553" s="119">
        <f t="shared" si="593"/>
        <v>0</v>
      </c>
      <c r="P4553" s="120">
        <f t="shared" si="594"/>
        <v>0</v>
      </c>
      <c r="Q4553" s="130"/>
      <c r="R4553" s="320">
        <v>1</v>
      </c>
      <c r="S4553" s="91" t="s">
        <v>631</v>
      </c>
      <c r="T4553" s="32"/>
    </row>
    <row r="4554" spans="1:20" ht="15.6">
      <c r="B4554" s="110" t="s">
        <v>644</v>
      </c>
      <c r="C4554" s="111" t="s">
        <v>232</v>
      </c>
      <c r="D4554" s="112" t="s">
        <v>449</v>
      </c>
      <c r="E4554" s="113" t="s">
        <v>19</v>
      </c>
      <c r="F4554" s="114" t="s">
        <v>14</v>
      </c>
      <c r="G4554" s="115" t="s">
        <v>39</v>
      </c>
      <c r="H4554" s="116">
        <v>14.7</v>
      </c>
      <c r="I4554" s="125">
        <v>8.6999999999999993</v>
      </c>
      <c r="J4554" s="111">
        <v>1</v>
      </c>
      <c r="K4554" s="117">
        <f t="shared" si="591"/>
        <v>0.12788999999999998</v>
      </c>
      <c r="L4554" s="118"/>
      <c r="M4554" s="111">
        <v>1</v>
      </c>
      <c r="N4554" s="117">
        <f t="shared" si="592"/>
        <v>0.12788999999999998</v>
      </c>
      <c r="O4554" s="119">
        <f t="shared" si="593"/>
        <v>0</v>
      </c>
      <c r="P4554" s="120">
        <f t="shared" si="594"/>
        <v>0</v>
      </c>
      <c r="Q4554" s="130"/>
      <c r="R4554" s="320">
        <v>1</v>
      </c>
      <c r="S4554" s="91" t="s">
        <v>631</v>
      </c>
      <c r="T4554" s="32"/>
    </row>
    <row r="4555" spans="1:20" ht="15.6">
      <c r="B4555" s="110" t="s">
        <v>644</v>
      </c>
      <c r="C4555" s="111" t="s">
        <v>232</v>
      </c>
      <c r="D4555" s="112" t="s">
        <v>449</v>
      </c>
      <c r="E4555" s="113" t="s">
        <v>19</v>
      </c>
      <c r="F4555" s="114" t="s">
        <v>14</v>
      </c>
      <c r="G4555" s="115" t="s">
        <v>39</v>
      </c>
      <c r="H4555" s="116">
        <v>14.7</v>
      </c>
      <c r="I4555" s="125">
        <v>9.1</v>
      </c>
      <c r="J4555" s="111">
        <v>26</v>
      </c>
      <c r="K4555" s="117">
        <f t="shared" si="591"/>
        <v>3.4780199999999994</v>
      </c>
      <c r="L4555" s="118"/>
      <c r="M4555" s="111">
        <v>26</v>
      </c>
      <c r="N4555" s="117">
        <f t="shared" si="592"/>
        <v>3.4780199999999994</v>
      </c>
      <c r="O4555" s="119">
        <f t="shared" si="593"/>
        <v>0</v>
      </c>
      <c r="P4555" s="120">
        <f t="shared" si="594"/>
        <v>0</v>
      </c>
      <c r="Q4555" s="130"/>
      <c r="R4555" s="320"/>
      <c r="S4555" s="32"/>
      <c r="T4555" s="32"/>
    </row>
    <row r="4556" spans="1:20">
      <c r="R4556" s="411">
        <f>SUM(R4553:R4555)</f>
        <v>2</v>
      </c>
    </row>
    <row r="4558" spans="1:20">
      <c r="A4558" s="213"/>
      <c r="B4558" s="213"/>
      <c r="C4558" s="213"/>
      <c r="D4558" s="213"/>
      <c r="E4558" s="213"/>
      <c r="F4558" s="213"/>
      <c r="G4558" s="213"/>
      <c r="H4558" s="213"/>
      <c r="I4558" s="213"/>
      <c r="J4558" s="213"/>
      <c r="K4558" s="213"/>
      <c r="L4558" s="213"/>
      <c r="M4558" s="213"/>
      <c r="N4558" s="213"/>
      <c r="O4558" s="213"/>
      <c r="P4558" s="213"/>
      <c r="Q4558" s="213"/>
      <c r="R4558" s="213"/>
      <c r="S4558" s="213"/>
    </row>
    <row r="4559" spans="1:20" ht="15.6">
      <c r="A4559" s="213"/>
      <c r="B4559" s="110" t="s">
        <v>339</v>
      </c>
      <c r="C4559" s="111" t="s">
        <v>232</v>
      </c>
      <c r="D4559" s="112" t="s">
        <v>228</v>
      </c>
      <c r="E4559" s="113" t="s">
        <v>17</v>
      </c>
      <c r="F4559" s="114" t="s">
        <v>15</v>
      </c>
      <c r="G4559" s="115" t="s">
        <v>37</v>
      </c>
      <c r="H4559" s="116">
        <v>18.149999999999999</v>
      </c>
      <c r="I4559" s="125">
        <v>6</v>
      </c>
      <c r="J4559" s="111">
        <f>10+1</f>
        <v>11</v>
      </c>
      <c r="K4559" s="117">
        <f t="shared" ref="K4559:K4569" si="595">I4559*H4559*J4559/1000</f>
        <v>1.1979</v>
      </c>
      <c r="L4559" s="118"/>
      <c r="M4559" s="111">
        <f>10+1</f>
        <v>11</v>
      </c>
      <c r="N4559" s="117">
        <f t="shared" ref="N4559:N4569" si="596">I4559*M4559*H4559/1000</f>
        <v>1.1979</v>
      </c>
      <c r="O4559" s="119">
        <f t="shared" ref="O4559:O4569" si="597">J4559-M4559</f>
        <v>0</v>
      </c>
      <c r="P4559" s="120">
        <f t="shared" ref="P4559:P4569" si="598">I4559*O4559*H4559/1000</f>
        <v>0</v>
      </c>
      <c r="Q4559" s="111"/>
      <c r="R4559" s="72">
        <v>1</v>
      </c>
      <c r="S4559" s="77" t="s">
        <v>540</v>
      </c>
    </row>
    <row r="4560" spans="1:20" ht="15.6">
      <c r="A4560" s="213"/>
      <c r="B4560" s="110" t="s">
        <v>339</v>
      </c>
      <c r="C4560" s="111" t="s">
        <v>232</v>
      </c>
      <c r="D4560" s="112" t="s">
        <v>228</v>
      </c>
      <c r="E4560" s="113" t="s">
        <v>17</v>
      </c>
      <c r="F4560" s="114" t="s">
        <v>15</v>
      </c>
      <c r="G4560" s="115" t="s">
        <v>37</v>
      </c>
      <c r="H4560" s="116">
        <v>18.149999999999999</v>
      </c>
      <c r="I4560" s="125">
        <v>9.5</v>
      </c>
      <c r="J4560" s="111">
        <v>8</v>
      </c>
      <c r="K4560" s="117">
        <f t="shared" si="595"/>
        <v>1.3794</v>
      </c>
      <c r="L4560" s="118"/>
      <c r="M4560" s="111">
        <v>8</v>
      </c>
      <c r="N4560" s="117">
        <f t="shared" si="596"/>
        <v>1.3794</v>
      </c>
      <c r="O4560" s="119">
        <f t="shared" si="597"/>
        <v>0</v>
      </c>
      <c r="P4560" s="120">
        <f t="shared" si="598"/>
        <v>0</v>
      </c>
      <c r="Q4560" s="111"/>
      <c r="R4560" s="72"/>
      <c r="S4560" s="77"/>
    </row>
    <row r="4561" spans="1:19" ht="15.6">
      <c r="A4561" s="213"/>
      <c r="B4561" s="110" t="s">
        <v>339</v>
      </c>
      <c r="C4561" s="111" t="s">
        <v>232</v>
      </c>
      <c r="D4561" s="112" t="s">
        <v>228</v>
      </c>
      <c r="E4561" s="113" t="s">
        <v>17</v>
      </c>
      <c r="F4561" s="114" t="s">
        <v>15</v>
      </c>
      <c r="G4561" s="115" t="s">
        <v>37</v>
      </c>
      <c r="H4561" s="116">
        <v>18.149999999999999</v>
      </c>
      <c r="I4561" s="125">
        <v>12</v>
      </c>
      <c r="J4561" s="111">
        <v>8</v>
      </c>
      <c r="K4561" s="117">
        <f t="shared" si="595"/>
        <v>1.7423999999999999</v>
      </c>
      <c r="L4561" s="118"/>
      <c r="M4561" s="111">
        <v>8</v>
      </c>
      <c r="N4561" s="117">
        <f t="shared" si="596"/>
        <v>1.7423999999999999</v>
      </c>
      <c r="O4561" s="119">
        <f t="shared" si="597"/>
        <v>0</v>
      </c>
      <c r="P4561" s="120">
        <f t="shared" si="598"/>
        <v>0</v>
      </c>
      <c r="Q4561" s="111"/>
      <c r="R4561" s="72"/>
      <c r="S4561" s="77"/>
    </row>
    <row r="4562" spans="1:19" ht="15.6">
      <c r="A4562" s="213"/>
      <c r="B4562" s="110" t="s">
        <v>339</v>
      </c>
      <c r="C4562" s="111" t="s">
        <v>232</v>
      </c>
      <c r="D4562" s="112" t="s">
        <v>228</v>
      </c>
      <c r="E4562" s="113" t="s">
        <v>17</v>
      </c>
      <c r="F4562" s="114" t="s">
        <v>15</v>
      </c>
      <c r="G4562" s="115" t="s">
        <v>37</v>
      </c>
      <c r="H4562" s="116">
        <v>18.149999999999999</v>
      </c>
      <c r="I4562" s="125">
        <v>6.2</v>
      </c>
      <c r="J4562" s="111">
        <v>2</v>
      </c>
      <c r="K4562" s="117">
        <f t="shared" si="595"/>
        <v>0.22506000000000001</v>
      </c>
      <c r="L4562" s="118"/>
      <c r="M4562" s="111">
        <v>2</v>
      </c>
      <c r="N4562" s="117">
        <f t="shared" si="596"/>
        <v>0.22506000000000001</v>
      </c>
      <c r="O4562" s="119">
        <f t="shared" si="597"/>
        <v>0</v>
      </c>
      <c r="P4562" s="120">
        <f t="shared" si="598"/>
        <v>0</v>
      </c>
      <c r="Q4562" s="111"/>
      <c r="R4562" s="72"/>
      <c r="S4562" s="77"/>
    </row>
    <row r="4563" spans="1:19" ht="15.6">
      <c r="A4563" s="213"/>
      <c r="B4563" s="110" t="s">
        <v>339</v>
      </c>
      <c r="C4563" s="111" t="s">
        <v>232</v>
      </c>
      <c r="D4563" s="112" t="s">
        <v>228</v>
      </c>
      <c r="E4563" s="113" t="s">
        <v>17</v>
      </c>
      <c r="F4563" s="114" t="s">
        <v>15</v>
      </c>
      <c r="G4563" s="115" t="s">
        <v>37</v>
      </c>
      <c r="H4563" s="116">
        <v>18.149999999999999</v>
      </c>
      <c r="I4563" s="125">
        <v>8.1999999999999993</v>
      </c>
      <c r="J4563" s="111">
        <f>6+15</f>
        <v>21</v>
      </c>
      <c r="K4563" s="117">
        <f t="shared" si="595"/>
        <v>3.1254299999999997</v>
      </c>
      <c r="L4563" s="118"/>
      <c r="M4563" s="111">
        <v>21</v>
      </c>
      <c r="N4563" s="117">
        <f t="shared" si="596"/>
        <v>3.1254299999999993</v>
      </c>
      <c r="O4563" s="119">
        <f t="shared" si="597"/>
        <v>0</v>
      </c>
      <c r="P4563" s="120">
        <f t="shared" si="598"/>
        <v>0</v>
      </c>
      <c r="Q4563" s="111"/>
      <c r="R4563" s="72"/>
      <c r="S4563" s="77"/>
    </row>
    <row r="4564" spans="1:19" ht="15.6">
      <c r="A4564" s="213"/>
      <c r="B4564" s="110" t="s">
        <v>339</v>
      </c>
      <c r="C4564" s="111" t="s">
        <v>232</v>
      </c>
      <c r="D4564" s="112" t="s">
        <v>228</v>
      </c>
      <c r="E4564" s="113" t="s">
        <v>17</v>
      </c>
      <c r="F4564" s="114" t="s">
        <v>15</v>
      </c>
      <c r="G4564" s="115" t="s">
        <v>37</v>
      </c>
      <c r="H4564" s="116">
        <v>18.149999999999999</v>
      </c>
      <c r="I4564" s="125">
        <v>11.7</v>
      </c>
      <c r="J4564" s="111">
        <f>9+4</f>
        <v>13</v>
      </c>
      <c r="K4564" s="117">
        <f t="shared" si="595"/>
        <v>2.7606149999999992</v>
      </c>
      <c r="L4564" s="118"/>
      <c r="M4564" s="111">
        <v>13</v>
      </c>
      <c r="N4564" s="117">
        <f t="shared" si="596"/>
        <v>2.7606149999999996</v>
      </c>
      <c r="O4564" s="119">
        <f t="shared" si="597"/>
        <v>0</v>
      </c>
      <c r="P4564" s="120">
        <f t="shared" si="598"/>
        <v>0</v>
      </c>
      <c r="Q4564" s="111"/>
      <c r="R4564" s="72"/>
      <c r="S4564" s="77"/>
    </row>
    <row r="4565" spans="1:19" ht="15.6">
      <c r="A4565" s="213"/>
      <c r="B4565" s="110" t="s">
        <v>339</v>
      </c>
      <c r="C4565" s="111" t="s">
        <v>232</v>
      </c>
      <c r="D4565" s="112" t="s">
        <v>228</v>
      </c>
      <c r="E4565" s="113" t="s">
        <v>17</v>
      </c>
      <c r="F4565" s="114" t="s">
        <v>15</v>
      </c>
      <c r="G4565" s="115" t="s">
        <v>37</v>
      </c>
      <c r="H4565" s="116">
        <v>18.149999999999999</v>
      </c>
      <c r="I4565" s="125">
        <v>10.6</v>
      </c>
      <c r="J4565" s="111">
        <v>1</v>
      </c>
      <c r="K4565" s="117">
        <f t="shared" si="595"/>
        <v>0.19238999999999998</v>
      </c>
      <c r="L4565" s="118" t="s">
        <v>233</v>
      </c>
      <c r="M4565" s="111">
        <v>1</v>
      </c>
      <c r="N4565" s="117">
        <f t="shared" si="596"/>
        <v>0.19238999999999998</v>
      </c>
      <c r="O4565" s="119">
        <f t="shared" si="597"/>
        <v>0</v>
      </c>
      <c r="P4565" s="120">
        <f t="shared" si="598"/>
        <v>0</v>
      </c>
      <c r="Q4565" s="111"/>
      <c r="R4565" s="72">
        <v>1</v>
      </c>
      <c r="S4565" s="77" t="s">
        <v>540</v>
      </c>
    </row>
    <row r="4566" spans="1:19" ht="15.6">
      <c r="A4566" s="213"/>
      <c r="B4566" s="110" t="s">
        <v>339</v>
      </c>
      <c r="C4566" s="111" t="s">
        <v>232</v>
      </c>
      <c r="D4566" s="112" t="s">
        <v>228</v>
      </c>
      <c r="E4566" s="113" t="s">
        <v>17</v>
      </c>
      <c r="F4566" s="114" t="s">
        <v>15</v>
      </c>
      <c r="G4566" s="115" t="s">
        <v>37</v>
      </c>
      <c r="H4566" s="116">
        <v>18.149999999999999</v>
      </c>
      <c r="I4566" s="125">
        <v>6.2</v>
      </c>
      <c r="J4566" s="111">
        <v>2</v>
      </c>
      <c r="K4566" s="117">
        <f t="shared" si="595"/>
        <v>0.22506000000000001</v>
      </c>
      <c r="L4566" s="118" t="s">
        <v>233</v>
      </c>
      <c r="M4566" s="111">
        <v>2</v>
      </c>
      <c r="N4566" s="117">
        <f t="shared" si="596"/>
        <v>0.22506000000000001</v>
      </c>
      <c r="O4566" s="119">
        <f t="shared" si="597"/>
        <v>0</v>
      </c>
      <c r="P4566" s="120">
        <f t="shared" si="598"/>
        <v>0</v>
      </c>
      <c r="Q4566" s="111"/>
      <c r="R4566" s="72">
        <v>2</v>
      </c>
      <c r="S4566" s="77" t="s">
        <v>540</v>
      </c>
    </row>
    <row r="4567" spans="1:19" ht="15.6">
      <c r="A4567" s="213"/>
      <c r="B4567" s="110" t="s">
        <v>339</v>
      </c>
      <c r="C4567" s="111" t="s">
        <v>232</v>
      </c>
      <c r="D4567" s="112" t="s">
        <v>228</v>
      </c>
      <c r="E4567" s="113" t="s">
        <v>17</v>
      </c>
      <c r="F4567" s="114" t="s">
        <v>15</v>
      </c>
      <c r="G4567" s="115" t="s">
        <v>37</v>
      </c>
      <c r="H4567" s="116">
        <v>18.149999999999999</v>
      </c>
      <c r="I4567" s="125">
        <v>8.1999999999999993</v>
      </c>
      <c r="J4567" s="111">
        <v>1</v>
      </c>
      <c r="K4567" s="117">
        <f t="shared" si="595"/>
        <v>0.14882999999999999</v>
      </c>
      <c r="L4567" s="118" t="s">
        <v>234</v>
      </c>
      <c r="M4567" s="111">
        <v>1</v>
      </c>
      <c r="N4567" s="117">
        <f t="shared" si="596"/>
        <v>0.14882999999999999</v>
      </c>
      <c r="O4567" s="119">
        <f t="shared" si="597"/>
        <v>0</v>
      </c>
      <c r="P4567" s="120">
        <f t="shared" si="598"/>
        <v>0</v>
      </c>
      <c r="Q4567" s="111"/>
      <c r="R4567" s="72"/>
      <c r="S4567" s="77"/>
    </row>
    <row r="4568" spans="1:19" ht="15.6">
      <c r="A4568" s="213"/>
      <c r="B4568" s="110" t="s">
        <v>339</v>
      </c>
      <c r="C4568" s="111" t="s">
        <v>232</v>
      </c>
      <c r="D4568" s="112" t="s">
        <v>228</v>
      </c>
      <c r="E4568" s="113" t="s">
        <v>17</v>
      </c>
      <c r="F4568" s="114" t="s">
        <v>15</v>
      </c>
      <c r="G4568" s="115" t="s">
        <v>37</v>
      </c>
      <c r="H4568" s="116">
        <v>18.149999999999999</v>
      </c>
      <c r="I4568" s="125">
        <v>9.5</v>
      </c>
      <c r="J4568" s="111">
        <v>1</v>
      </c>
      <c r="K4568" s="117">
        <f t="shared" si="595"/>
        <v>0.17242499999999999</v>
      </c>
      <c r="L4568" s="118" t="s">
        <v>234</v>
      </c>
      <c r="M4568" s="111">
        <v>1</v>
      </c>
      <c r="N4568" s="117">
        <f t="shared" si="596"/>
        <v>0.17242499999999999</v>
      </c>
      <c r="O4568" s="119">
        <f t="shared" si="597"/>
        <v>0</v>
      </c>
      <c r="P4568" s="120">
        <f t="shared" si="598"/>
        <v>0</v>
      </c>
      <c r="Q4568" s="111"/>
      <c r="R4568" s="72">
        <v>1</v>
      </c>
      <c r="S4568" s="77" t="s">
        <v>607</v>
      </c>
    </row>
    <row r="4569" spans="1:19" ht="15.6">
      <c r="A4569" s="213"/>
      <c r="B4569" s="110" t="s">
        <v>339</v>
      </c>
      <c r="C4569" s="111" t="s">
        <v>232</v>
      </c>
      <c r="D4569" s="112" t="s">
        <v>228</v>
      </c>
      <c r="E4569" s="113" t="s">
        <v>17</v>
      </c>
      <c r="F4569" s="114" t="s">
        <v>15</v>
      </c>
      <c r="G4569" s="115" t="s">
        <v>37</v>
      </c>
      <c r="H4569" s="116">
        <v>18.149999999999999</v>
      </c>
      <c r="I4569" s="125">
        <v>12</v>
      </c>
      <c r="J4569" s="111">
        <v>1</v>
      </c>
      <c r="K4569" s="117">
        <f t="shared" si="595"/>
        <v>0.21779999999999999</v>
      </c>
      <c r="L4569" s="118" t="s">
        <v>234</v>
      </c>
      <c r="M4569" s="111">
        <v>1</v>
      </c>
      <c r="N4569" s="117">
        <f t="shared" si="596"/>
        <v>0.21779999999999999</v>
      </c>
      <c r="O4569" s="119">
        <f t="shared" si="597"/>
        <v>0</v>
      </c>
      <c r="P4569" s="120">
        <f t="shared" si="598"/>
        <v>0</v>
      </c>
      <c r="Q4569" s="111"/>
      <c r="R4569" s="72">
        <v>1</v>
      </c>
      <c r="S4569" s="77" t="s">
        <v>607</v>
      </c>
    </row>
    <row r="4570" spans="1:19">
      <c r="A4570" s="213"/>
      <c r="B4570" s="32"/>
      <c r="C4570" s="32"/>
      <c r="D4570" s="32"/>
      <c r="E4570" s="32"/>
      <c r="F4570" s="32"/>
      <c r="G4570" s="32"/>
      <c r="H4570" s="32"/>
      <c r="I4570" s="32"/>
      <c r="J4570" s="129">
        <f>SUM(J4559:J4569)</f>
        <v>69</v>
      </c>
      <c r="K4570" s="124">
        <f>SUM(K4559:K4569)</f>
        <v>11.387309999999999</v>
      </c>
      <c r="L4570" s="32"/>
      <c r="M4570" s="129">
        <f>SUM(M4559:M4569)</f>
        <v>69</v>
      </c>
      <c r="N4570" s="124">
        <f>SUM(N4559:N4569)</f>
        <v>11.387309999999999</v>
      </c>
      <c r="O4570" s="129">
        <f>SUM(O4559:O4569)</f>
        <v>0</v>
      </c>
      <c r="P4570" s="124">
        <f>SUM(P4559:P4569)</f>
        <v>0</v>
      </c>
      <c r="Q4570" s="32"/>
      <c r="R4570" s="129">
        <f>SUM(R4559:R4569)</f>
        <v>6</v>
      </c>
      <c r="S4570" s="213"/>
    </row>
    <row r="4571" spans="1:19">
      <c r="A4571" s="213"/>
      <c r="B4571" s="213"/>
      <c r="C4571" s="213"/>
      <c r="D4571" s="213"/>
      <c r="E4571" s="213"/>
      <c r="F4571" s="213"/>
      <c r="G4571" s="213"/>
      <c r="H4571" s="213"/>
      <c r="I4571" s="213"/>
      <c r="J4571" s="213"/>
      <c r="K4571" s="213"/>
      <c r="L4571" s="213"/>
      <c r="M4571" s="213"/>
      <c r="N4571" s="213"/>
      <c r="O4571" s="213"/>
      <c r="P4571" s="213"/>
      <c r="Q4571" s="213"/>
      <c r="R4571" s="213"/>
      <c r="S4571" s="213"/>
    </row>
    <row r="4572" spans="1:19">
      <c r="A4572" s="213"/>
      <c r="B4572" s="213"/>
      <c r="C4572" s="213"/>
      <c r="D4572" s="213"/>
      <c r="E4572" s="213"/>
      <c r="F4572" s="213"/>
      <c r="G4572" s="213"/>
      <c r="H4572" s="213"/>
      <c r="I4572" s="213"/>
      <c r="J4572" s="213"/>
      <c r="K4572" s="213"/>
      <c r="L4572" s="213"/>
      <c r="M4572" s="213"/>
      <c r="N4572" s="213"/>
      <c r="O4572" s="213"/>
      <c r="P4572" s="213"/>
      <c r="Q4572" s="213"/>
      <c r="R4572" s="213"/>
      <c r="S4572" s="213"/>
    </row>
    <row r="4573" spans="1:19" ht="15.6">
      <c r="A4573" s="213"/>
      <c r="B4573" s="110" t="s">
        <v>504</v>
      </c>
      <c r="C4573" s="111" t="s">
        <v>505</v>
      </c>
      <c r="D4573" s="112" t="s">
        <v>449</v>
      </c>
      <c r="E4573" s="113" t="s">
        <v>130</v>
      </c>
      <c r="F4573" s="114" t="s">
        <v>15</v>
      </c>
      <c r="G4573" s="115" t="s">
        <v>37</v>
      </c>
      <c r="H4573" s="116">
        <v>18.2</v>
      </c>
      <c r="I4573" s="125">
        <v>11.35</v>
      </c>
      <c r="J4573" s="111">
        <v>15</v>
      </c>
      <c r="K4573" s="117">
        <f t="shared" ref="K4573:K4591" si="599">I4573*H4573*J4573/1000</f>
        <v>3.0985499999999999</v>
      </c>
      <c r="L4573" s="118"/>
      <c r="M4573" s="111">
        <v>15</v>
      </c>
      <c r="N4573" s="117">
        <f t="shared" ref="N4573:N4591" si="600">I4573*M4573*H4573/1000</f>
        <v>3.0985499999999999</v>
      </c>
      <c r="O4573" s="119">
        <f t="shared" ref="O4573:O4591" si="601">J4573-M4573</f>
        <v>0</v>
      </c>
      <c r="P4573" s="120">
        <f t="shared" ref="P4573:P4591" si="602">I4573*O4573*H4573/1000</f>
        <v>0</v>
      </c>
      <c r="Q4573" s="130"/>
      <c r="R4573" s="320"/>
      <c r="S4573" s="32"/>
    </row>
    <row r="4574" spans="1:19" ht="15.6">
      <c r="A4574" s="213"/>
      <c r="B4574" s="110" t="s">
        <v>504</v>
      </c>
      <c r="C4574" s="111" t="s">
        <v>505</v>
      </c>
      <c r="D4574" s="112" t="s">
        <v>449</v>
      </c>
      <c r="E4574" s="113" t="s">
        <v>130</v>
      </c>
      <c r="F4574" s="114" t="s">
        <v>15</v>
      </c>
      <c r="G4574" s="115" t="s">
        <v>37</v>
      </c>
      <c r="H4574" s="116">
        <v>18.2</v>
      </c>
      <c r="I4574" s="125">
        <v>11.35</v>
      </c>
      <c r="J4574" s="111">
        <v>15</v>
      </c>
      <c r="K4574" s="117">
        <f t="shared" si="599"/>
        <v>3.0985499999999999</v>
      </c>
      <c r="L4574" s="118"/>
      <c r="M4574" s="111">
        <v>15</v>
      </c>
      <c r="N4574" s="117">
        <f t="shared" si="600"/>
        <v>3.0985499999999999</v>
      </c>
      <c r="O4574" s="119">
        <f t="shared" si="601"/>
        <v>0</v>
      </c>
      <c r="P4574" s="120">
        <f t="shared" si="602"/>
        <v>0</v>
      </c>
      <c r="Q4574" s="130"/>
      <c r="R4574" s="320"/>
      <c r="S4574" s="32"/>
    </row>
    <row r="4575" spans="1:19" ht="15.6">
      <c r="A4575" s="213"/>
      <c r="B4575" s="110" t="s">
        <v>504</v>
      </c>
      <c r="C4575" s="111" t="s">
        <v>505</v>
      </c>
      <c r="D4575" s="112" t="s">
        <v>449</v>
      </c>
      <c r="E4575" s="113" t="s">
        <v>130</v>
      </c>
      <c r="F4575" s="114" t="s">
        <v>15</v>
      </c>
      <c r="G4575" s="115" t="s">
        <v>37</v>
      </c>
      <c r="H4575" s="116">
        <v>18.2</v>
      </c>
      <c r="I4575" s="125">
        <v>11.35</v>
      </c>
      <c r="J4575" s="111">
        <v>15</v>
      </c>
      <c r="K4575" s="117">
        <f t="shared" si="599"/>
        <v>3.0985499999999999</v>
      </c>
      <c r="L4575" s="118"/>
      <c r="M4575" s="111">
        <v>15</v>
      </c>
      <c r="N4575" s="117">
        <f t="shared" si="600"/>
        <v>3.0985499999999999</v>
      </c>
      <c r="O4575" s="119">
        <f t="shared" si="601"/>
        <v>0</v>
      </c>
      <c r="P4575" s="120">
        <f t="shared" si="602"/>
        <v>0</v>
      </c>
      <c r="Q4575" s="130"/>
      <c r="R4575" s="320"/>
      <c r="S4575" s="32"/>
    </row>
    <row r="4576" spans="1:19" ht="15.6">
      <c r="A4576" s="213"/>
      <c r="B4576" s="110" t="s">
        <v>504</v>
      </c>
      <c r="C4576" s="111" t="s">
        <v>505</v>
      </c>
      <c r="D4576" s="112" t="s">
        <v>449</v>
      </c>
      <c r="E4576" s="113" t="s">
        <v>130</v>
      </c>
      <c r="F4576" s="114" t="s">
        <v>15</v>
      </c>
      <c r="G4576" s="115" t="s">
        <v>37</v>
      </c>
      <c r="H4576" s="116">
        <v>18.2</v>
      </c>
      <c r="I4576" s="125">
        <v>11.35</v>
      </c>
      <c r="J4576" s="111">
        <v>15</v>
      </c>
      <c r="K4576" s="117">
        <f t="shared" si="599"/>
        <v>3.0985499999999999</v>
      </c>
      <c r="L4576" s="118"/>
      <c r="M4576" s="111">
        <v>15</v>
      </c>
      <c r="N4576" s="117">
        <f t="shared" si="600"/>
        <v>3.0985499999999999</v>
      </c>
      <c r="O4576" s="119">
        <f t="shared" si="601"/>
        <v>0</v>
      </c>
      <c r="P4576" s="120">
        <f t="shared" si="602"/>
        <v>0</v>
      </c>
      <c r="Q4576" s="130"/>
      <c r="R4576" s="320"/>
      <c r="S4576" s="32"/>
    </row>
    <row r="4577" spans="1:19" ht="15.6">
      <c r="A4577" s="213"/>
      <c r="B4577" s="110" t="s">
        <v>504</v>
      </c>
      <c r="C4577" s="111" t="s">
        <v>505</v>
      </c>
      <c r="D4577" s="112" t="s">
        <v>449</v>
      </c>
      <c r="E4577" s="113" t="s">
        <v>130</v>
      </c>
      <c r="F4577" s="114" t="s">
        <v>15</v>
      </c>
      <c r="G4577" s="115" t="s">
        <v>37</v>
      </c>
      <c r="H4577" s="116">
        <v>18.2</v>
      </c>
      <c r="I4577" s="125">
        <v>11.35</v>
      </c>
      <c r="J4577" s="111">
        <v>11</v>
      </c>
      <c r="K4577" s="117">
        <f t="shared" si="599"/>
        <v>2.2722699999999998</v>
      </c>
      <c r="L4577" s="118"/>
      <c r="M4577" s="111">
        <f>11+8</f>
        <v>19</v>
      </c>
      <c r="N4577" s="117">
        <f t="shared" si="600"/>
        <v>3.92483</v>
      </c>
      <c r="O4577" s="230">
        <f t="shared" si="601"/>
        <v>-8</v>
      </c>
      <c r="P4577" s="231">
        <f t="shared" si="602"/>
        <v>-1.65256</v>
      </c>
      <c r="Q4577" s="452" t="s">
        <v>606</v>
      </c>
      <c r="R4577" s="406"/>
      <c r="S4577" s="44"/>
    </row>
    <row r="4578" spans="1:19" ht="15.6">
      <c r="A4578" s="213"/>
      <c r="B4578" s="110" t="s">
        <v>504</v>
      </c>
      <c r="C4578" s="111" t="s">
        <v>505</v>
      </c>
      <c r="D4578" s="112" t="s">
        <v>449</v>
      </c>
      <c r="E4578" s="113" t="s">
        <v>130</v>
      </c>
      <c r="F4578" s="114" t="s">
        <v>15</v>
      </c>
      <c r="G4578" s="115" t="s">
        <v>37</v>
      </c>
      <c r="H4578" s="116">
        <v>18.2</v>
      </c>
      <c r="I4578" s="125">
        <v>10.5</v>
      </c>
      <c r="J4578" s="111">
        <v>2</v>
      </c>
      <c r="K4578" s="117">
        <f t="shared" si="599"/>
        <v>0.38219999999999998</v>
      </c>
      <c r="L4578" s="118"/>
      <c r="M4578" s="111">
        <v>2</v>
      </c>
      <c r="N4578" s="117">
        <f t="shared" si="600"/>
        <v>0.38219999999999998</v>
      </c>
      <c r="O4578" s="119">
        <f t="shared" si="601"/>
        <v>0</v>
      </c>
      <c r="P4578" s="120">
        <f t="shared" si="602"/>
        <v>0</v>
      </c>
      <c r="Q4578" s="130"/>
      <c r="R4578" s="410">
        <v>2</v>
      </c>
      <c r="S4578" s="72" t="s">
        <v>540</v>
      </c>
    </row>
    <row r="4579" spans="1:19" ht="15.6">
      <c r="A4579" s="213"/>
      <c r="B4579" s="110" t="s">
        <v>504</v>
      </c>
      <c r="C4579" s="111" t="s">
        <v>505</v>
      </c>
      <c r="D4579" s="112" t="s">
        <v>449</v>
      </c>
      <c r="E4579" s="113" t="s">
        <v>130</v>
      </c>
      <c r="F4579" s="114" t="s">
        <v>15</v>
      </c>
      <c r="G4579" s="115" t="s">
        <v>37</v>
      </c>
      <c r="H4579" s="116">
        <v>18.2</v>
      </c>
      <c r="I4579" s="125">
        <v>11</v>
      </c>
      <c r="J4579" s="111">
        <v>6</v>
      </c>
      <c r="K4579" s="117">
        <f t="shared" si="599"/>
        <v>1.2011999999999998</v>
      </c>
      <c r="L4579" s="118"/>
      <c r="M4579" s="111">
        <v>6</v>
      </c>
      <c r="N4579" s="117">
        <f t="shared" si="600"/>
        <v>1.2012</v>
      </c>
      <c r="O4579" s="119">
        <f t="shared" si="601"/>
        <v>0</v>
      </c>
      <c r="P4579" s="120">
        <f t="shared" si="602"/>
        <v>0</v>
      </c>
      <c r="Q4579" s="130"/>
      <c r="R4579" s="410">
        <v>6</v>
      </c>
      <c r="S4579" s="72" t="s">
        <v>540</v>
      </c>
    </row>
    <row r="4580" spans="1:19" ht="15.6">
      <c r="A4580" s="213"/>
      <c r="B4580" s="110" t="s">
        <v>504</v>
      </c>
      <c r="C4580" s="111" t="s">
        <v>505</v>
      </c>
      <c r="D4580" s="112" t="s">
        <v>449</v>
      </c>
      <c r="E4580" s="113" t="s">
        <v>130</v>
      </c>
      <c r="F4580" s="114" t="s">
        <v>15</v>
      </c>
      <c r="G4580" s="115" t="s">
        <v>37</v>
      </c>
      <c r="H4580" s="116">
        <v>18.2</v>
      </c>
      <c r="I4580" s="125">
        <v>11.35</v>
      </c>
      <c r="J4580" s="111">
        <v>1</v>
      </c>
      <c r="K4580" s="117">
        <f t="shared" si="599"/>
        <v>0.20657</v>
      </c>
      <c r="L4580" s="118"/>
      <c r="M4580" s="111">
        <v>1</v>
      </c>
      <c r="N4580" s="117">
        <f t="shared" si="600"/>
        <v>0.20657</v>
      </c>
      <c r="O4580" s="119">
        <f t="shared" si="601"/>
        <v>0</v>
      </c>
      <c r="P4580" s="120">
        <f t="shared" si="602"/>
        <v>0</v>
      </c>
      <c r="Q4580" s="130"/>
      <c r="R4580" s="320"/>
      <c r="S4580" s="32"/>
    </row>
    <row r="4581" spans="1:19" ht="15.6">
      <c r="A4581" s="213"/>
      <c r="B4581" s="110" t="s">
        <v>504</v>
      </c>
      <c r="C4581" s="111" t="s">
        <v>505</v>
      </c>
      <c r="D4581" s="112" t="s">
        <v>449</v>
      </c>
      <c r="E4581" s="113" t="s">
        <v>130</v>
      </c>
      <c r="F4581" s="114" t="s">
        <v>15</v>
      </c>
      <c r="G4581" s="115" t="s">
        <v>37</v>
      </c>
      <c r="H4581" s="116">
        <v>18.2</v>
      </c>
      <c r="I4581" s="125">
        <v>11.35</v>
      </c>
      <c r="J4581" s="111">
        <v>15</v>
      </c>
      <c r="K4581" s="117">
        <f t="shared" si="599"/>
        <v>3.0985499999999999</v>
      </c>
      <c r="L4581" s="118"/>
      <c r="M4581" s="111">
        <v>15</v>
      </c>
      <c r="N4581" s="117">
        <f t="shared" si="600"/>
        <v>3.0985499999999999</v>
      </c>
      <c r="O4581" s="119">
        <f t="shared" si="601"/>
        <v>0</v>
      </c>
      <c r="P4581" s="120">
        <f t="shared" si="602"/>
        <v>0</v>
      </c>
      <c r="Q4581" s="130"/>
      <c r="R4581" s="320"/>
      <c r="S4581" s="32"/>
    </row>
    <row r="4582" spans="1:19" ht="15.6">
      <c r="A4582" s="213"/>
      <c r="B4582" s="110" t="s">
        <v>504</v>
      </c>
      <c r="C4582" s="111" t="s">
        <v>505</v>
      </c>
      <c r="D4582" s="112" t="s">
        <v>449</v>
      </c>
      <c r="E4582" s="113" t="s">
        <v>130</v>
      </c>
      <c r="F4582" s="114" t="s">
        <v>15</v>
      </c>
      <c r="G4582" s="115" t="s">
        <v>37</v>
      </c>
      <c r="H4582" s="116">
        <v>18.2</v>
      </c>
      <c r="I4582" s="125">
        <v>11.35</v>
      </c>
      <c r="J4582" s="111">
        <v>15</v>
      </c>
      <c r="K4582" s="117">
        <f t="shared" si="599"/>
        <v>3.0985499999999999</v>
      </c>
      <c r="L4582" s="118"/>
      <c r="M4582" s="111">
        <v>15</v>
      </c>
      <c r="N4582" s="117">
        <f t="shared" si="600"/>
        <v>3.0985499999999999</v>
      </c>
      <c r="O4582" s="119">
        <f t="shared" si="601"/>
        <v>0</v>
      </c>
      <c r="P4582" s="120">
        <f t="shared" si="602"/>
        <v>0</v>
      </c>
      <c r="Q4582" s="130"/>
      <c r="R4582" s="320"/>
      <c r="S4582" s="32"/>
    </row>
    <row r="4583" spans="1:19" ht="15.6">
      <c r="A4583" s="213"/>
      <c r="B4583" s="110" t="s">
        <v>504</v>
      </c>
      <c r="C4583" s="111" t="s">
        <v>505</v>
      </c>
      <c r="D4583" s="112" t="s">
        <v>449</v>
      </c>
      <c r="E4583" s="113" t="s">
        <v>130</v>
      </c>
      <c r="F4583" s="114" t="s">
        <v>15</v>
      </c>
      <c r="G4583" s="115" t="s">
        <v>37</v>
      </c>
      <c r="H4583" s="116">
        <v>18.2</v>
      </c>
      <c r="I4583" s="125">
        <v>11.35</v>
      </c>
      <c r="J4583" s="111">
        <v>15</v>
      </c>
      <c r="K4583" s="117">
        <f t="shared" si="599"/>
        <v>3.0985499999999999</v>
      </c>
      <c r="L4583" s="118"/>
      <c r="M4583" s="111">
        <v>15</v>
      </c>
      <c r="N4583" s="117">
        <f t="shared" si="600"/>
        <v>3.0985499999999999</v>
      </c>
      <c r="O4583" s="119">
        <f t="shared" si="601"/>
        <v>0</v>
      </c>
      <c r="P4583" s="120">
        <f t="shared" si="602"/>
        <v>0</v>
      </c>
      <c r="Q4583" s="130"/>
      <c r="R4583" s="320"/>
      <c r="S4583" s="32"/>
    </row>
    <row r="4584" spans="1:19" ht="15.6">
      <c r="A4584" s="213"/>
      <c r="B4584" s="110" t="s">
        <v>504</v>
      </c>
      <c r="C4584" s="111" t="s">
        <v>505</v>
      </c>
      <c r="D4584" s="112" t="s">
        <v>449</v>
      </c>
      <c r="E4584" s="113" t="s">
        <v>130</v>
      </c>
      <c r="F4584" s="114" t="s">
        <v>15</v>
      </c>
      <c r="G4584" s="115" t="s">
        <v>37</v>
      </c>
      <c r="H4584" s="116">
        <v>18.2</v>
      </c>
      <c r="I4584" s="125">
        <v>11.35</v>
      </c>
      <c r="J4584" s="111">
        <v>15</v>
      </c>
      <c r="K4584" s="117">
        <f t="shared" si="599"/>
        <v>3.0985499999999999</v>
      </c>
      <c r="L4584" s="118"/>
      <c r="M4584" s="111">
        <v>15</v>
      </c>
      <c r="N4584" s="117">
        <f t="shared" si="600"/>
        <v>3.0985499999999999</v>
      </c>
      <c r="O4584" s="119">
        <f t="shared" si="601"/>
        <v>0</v>
      </c>
      <c r="P4584" s="120">
        <f t="shared" si="602"/>
        <v>0</v>
      </c>
      <c r="Q4584" s="130"/>
      <c r="R4584" s="320"/>
      <c r="S4584" s="32"/>
    </row>
    <row r="4585" spans="1:19" ht="15.6">
      <c r="A4585" s="213"/>
      <c r="B4585" s="110" t="s">
        <v>504</v>
      </c>
      <c r="C4585" s="111" t="s">
        <v>505</v>
      </c>
      <c r="D4585" s="112" t="s">
        <v>449</v>
      </c>
      <c r="E4585" s="113" t="s">
        <v>130</v>
      </c>
      <c r="F4585" s="114" t="s">
        <v>15</v>
      </c>
      <c r="G4585" s="115" t="s">
        <v>37</v>
      </c>
      <c r="H4585" s="116">
        <v>18.2</v>
      </c>
      <c r="I4585" s="125">
        <v>11.35</v>
      </c>
      <c r="J4585" s="111">
        <v>15</v>
      </c>
      <c r="K4585" s="117">
        <f t="shared" si="599"/>
        <v>3.0985499999999999</v>
      </c>
      <c r="L4585" s="118"/>
      <c r="M4585" s="111">
        <v>15</v>
      </c>
      <c r="N4585" s="117">
        <f t="shared" si="600"/>
        <v>3.0985499999999999</v>
      </c>
      <c r="O4585" s="119">
        <f t="shared" si="601"/>
        <v>0</v>
      </c>
      <c r="P4585" s="120">
        <f t="shared" si="602"/>
        <v>0</v>
      </c>
      <c r="Q4585" s="130"/>
      <c r="R4585" s="320"/>
      <c r="S4585" s="32"/>
    </row>
    <row r="4586" spans="1:19" ht="15.6">
      <c r="A4586" s="213"/>
      <c r="B4586" s="110" t="s">
        <v>504</v>
      </c>
      <c r="C4586" s="111" t="s">
        <v>505</v>
      </c>
      <c r="D4586" s="112" t="s">
        <v>449</v>
      </c>
      <c r="E4586" s="113" t="s">
        <v>130</v>
      </c>
      <c r="F4586" s="114" t="s">
        <v>15</v>
      </c>
      <c r="G4586" s="115" t="s">
        <v>37</v>
      </c>
      <c r="H4586" s="116">
        <v>18.2</v>
      </c>
      <c r="I4586" s="125">
        <v>11.35</v>
      </c>
      <c r="J4586" s="111">
        <v>15</v>
      </c>
      <c r="K4586" s="117">
        <f t="shared" si="599"/>
        <v>3.0985499999999999</v>
      </c>
      <c r="L4586" s="118"/>
      <c r="M4586" s="111">
        <v>15</v>
      </c>
      <c r="N4586" s="117">
        <f t="shared" si="600"/>
        <v>3.0985499999999999</v>
      </c>
      <c r="O4586" s="119">
        <f t="shared" si="601"/>
        <v>0</v>
      </c>
      <c r="P4586" s="120">
        <f t="shared" si="602"/>
        <v>0</v>
      </c>
      <c r="Q4586" s="130"/>
      <c r="R4586" s="320"/>
      <c r="S4586" s="32"/>
    </row>
    <row r="4587" spans="1:19" ht="15.6">
      <c r="A4587" s="213"/>
      <c r="B4587" s="110" t="s">
        <v>504</v>
      </c>
      <c r="C4587" s="111" t="s">
        <v>505</v>
      </c>
      <c r="D4587" s="112" t="s">
        <v>449</v>
      </c>
      <c r="E4587" s="113" t="s">
        <v>130</v>
      </c>
      <c r="F4587" s="114" t="s">
        <v>15</v>
      </c>
      <c r="G4587" s="115" t="s">
        <v>37</v>
      </c>
      <c r="H4587" s="116">
        <v>18.2</v>
      </c>
      <c r="I4587" s="125">
        <v>11.35</v>
      </c>
      <c r="J4587" s="111">
        <v>15</v>
      </c>
      <c r="K4587" s="117">
        <f t="shared" si="599"/>
        <v>3.0985499999999999</v>
      </c>
      <c r="L4587" s="118"/>
      <c r="M4587" s="111">
        <v>15</v>
      </c>
      <c r="N4587" s="117">
        <f t="shared" si="600"/>
        <v>3.0985499999999999</v>
      </c>
      <c r="O4587" s="119">
        <f t="shared" si="601"/>
        <v>0</v>
      </c>
      <c r="P4587" s="120">
        <f t="shared" si="602"/>
        <v>0</v>
      </c>
      <c r="Q4587" s="130"/>
      <c r="R4587" s="320"/>
      <c r="S4587" s="32"/>
    </row>
    <row r="4588" spans="1:19" ht="15.6">
      <c r="A4588" s="213"/>
      <c r="B4588" s="110" t="s">
        <v>504</v>
      </c>
      <c r="C4588" s="111" t="s">
        <v>505</v>
      </c>
      <c r="D4588" s="112" t="s">
        <v>449</v>
      </c>
      <c r="E4588" s="113" t="s">
        <v>130</v>
      </c>
      <c r="F4588" s="114" t="s">
        <v>15</v>
      </c>
      <c r="G4588" s="115" t="s">
        <v>37</v>
      </c>
      <c r="H4588" s="116">
        <v>18.2</v>
      </c>
      <c r="I4588" s="125">
        <v>11.35</v>
      </c>
      <c r="J4588" s="111">
        <v>9</v>
      </c>
      <c r="K4588" s="117">
        <f t="shared" si="599"/>
        <v>1.8591299999999999</v>
      </c>
      <c r="L4588" s="118"/>
      <c r="M4588" s="111">
        <v>9</v>
      </c>
      <c r="N4588" s="117">
        <f t="shared" si="600"/>
        <v>1.8591299999999999</v>
      </c>
      <c r="O4588" s="119">
        <f t="shared" si="601"/>
        <v>0</v>
      </c>
      <c r="P4588" s="120">
        <f t="shared" si="602"/>
        <v>0</v>
      </c>
      <c r="Q4588" s="130"/>
      <c r="R4588" s="320"/>
      <c r="S4588" s="32"/>
    </row>
    <row r="4589" spans="1:19" ht="15.6">
      <c r="A4589" s="213"/>
      <c r="B4589" s="110" t="s">
        <v>504</v>
      </c>
      <c r="C4589" s="111" t="s">
        <v>505</v>
      </c>
      <c r="D4589" s="112" t="s">
        <v>449</v>
      </c>
      <c r="E4589" s="113" t="s">
        <v>130</v>
      </c>
      <c r="F4589" s="114" t="s">
        <v>15</v>
      </c>
      <c r="G4589" s="115" t="s">
        <v>37</v>
      </c>
      <c r="H4589" s="116">
        <v>18.2</v>
      </c>
      <c r="I4589" s="125">
        <v>9.6999999999999993</v>
      </c>
      <c r="J4589" s="111">
        <v>1</v>
      </c>
      <c r="K4589" s="117">
        <f t="shared" si="599"/>
        <v>0.17654</v>
      </c>
      <c r="L4589" s="118"/>
      <c r="M4589" s="111">
        <v>1</v>
      </c>
      <c r="N4589" s="117">
        <f t="shared" si="600"/>
        <v>0.17654</v>
      </c>
      <c r="O4589" s="119">
        <f t="shared" si="601"/>
        <v>0</v>
      </c>
      <c r="P4589" s="120">
        <f t="shared" si="602"/>
        <v>0</v>
      </c>
      <c r="Q4589" s="130"/>
      <c r="R4589" s="410">
        <v>1</v>
      </c>
      <c r="S4589" s="72" t="s">
        <v>540</v>
      </c>
    </row>
    <row r="4590" spans="1:19" ht="15.6">
      <c r="A4590" s="213"/>
      <c r="B4590" s="110" t="s">
        <v>504</v>
      </c>
      <c r="C4590" s="111" t="s">
        <v>505</v>
      </c>
      <c r="D4590" s="112" t="s">
        <v>449</v>
      </c>
      <c r="E4590" s="113" t="s">
        <v>130</v>
      </c>
      <c r="F4590" s="114" t="s">
        <v>15</v>
      </c>
      <c r="G4590" s="115" t="s">
        <v>37</v>
      </c>
      <c r="H4590" s="116">
        <v>18.2</v>
      </c>
      <c r="I4590" s="125">
        <v>10.9</v>
      </c>
      <c r="J4590" s="111">
        <v>1</v>
      </c>
      <c r="K4590" s="117">
        <f t="shared" si="599"/>
        <v>0.19838</v>
      </c>
      <c r="L4590" s="118"/>
      <c r="M4590" s="111">
        <v>1</v>
      </c>
      <c r="N4590" s="117">
        <f t="shared" si="600"/>
        <v>0.19838</v>
      </c>
      <c r="O4590" s="119">
        <f t="shared" si="601"/>
        <v>0</v>
      </c>
      <c r="P4590" s="120">
        <f t="shared" si="602"/>
        <v>0</v>
      </c>
      <c r="Q4590" s="130"/>
      <c r="R4590" s="410">
        <v>1</v>
      </c>
      <c r="S4590" s="72" t="s">
        <v>540</v>
      </c>
    </row>
    <row r="4591" spans="1:19" ht="15.6">
      <c r="A4591" s="213"/>
      <c r="B4591" s="110" t="s">
        <v>504</v>
      </c>
      <c r="C4591" s="111" t="s">
        <v>505</v>
      </c>
      <c r="D4591" s="112" t="s">
        <v>449</v>
      </c>
      <c r="E4591" s="113" t="s">
        <v>130</v>
      </c>
      <c r="F4591" s="114" t="s">
        <v>15</v>
      </c>
      <c r="G4591" s="115" t="s">
        <v>37</v>
      </c>
      <c r="H4591" s="116">
        <v>18.2</v>
      </c>
      <c r="I4591" s="125">
        <v>11</v>
      </c>
      <c r="J4591" s="111">
        <v>4</v>
      </c>
      <c r="K4591" s="117">
        <f t="shared" si="599"/>
        <v>0.80079999999999996</v>
      </c>
      <c r="L4591" s="118"/>
      <c r="M4591" s="111">
        <v>4</v>
      </c>
      <c r="N4591" s="117">
        <f t="shared" si="600"/>
        <v>0.80079999999999996</v>
      </c>
      <c r="O4591" s="119">
        <f t="shared" si="601"/>
        <v>0</v>
      </c>
      <c r="P4591" s="120">
        <f t="shared" si="602"/>
        <v>0</v>
      </c>
      <c r="Q4591" s="130"/>
      <c r="R4591" s="410">
        <v>4</v>
      </c>
      <c r="S4591" s="72" t="s">
        <v>540</v>
      </c>
    </row>
    <row r="4592" spans="1:19">
      <c r="A4592" s="213"/>
      <c r="B4592" s="32"/>
      <c r="C4592" s="32"/>
      <c r="D4592" s="32"/>
      <c r="E4592" s="32"/>
      <c r="F4592" s="32"/>
      <c r="G4592" s="32"/>
      <c r="H4592" s="32"/>
      <c r="I4592" s="32"/>
      <c r="J4592" s="129">
        <f>SUM(J4573:J4591)</f>
        <v>200</v>
      </c>
      <c r="K4592" s="124">
        <f>SUM(K4573:K4591)</f>
        <v>41.181140000000006</v>
      </c>
      <c r="L4592" s="32"/>
      <c r="M4592" s="129">
        <f>SUM(M4573:M4591)</f>
        <v>208</v>
      </c>
      <c r="N4592" s="124">
        <f>SUM(N4573:N4591)</f>
        <v>42.833700000000007</v>
      </c>
      <c r="O4592" s="129">
        <f>SUM(O4573:O4591)</f>
        <v>-8</v>
      </c>
      <c r="P4592" s="124">
        <f>SUM(P4573:P4591)</f>
        <v>-1.65256</v>
      </c>
      <c r="Q4592" s="32"/>
      <c r="R4592" s="129">
        <f>SUM(R4573:R4591)</f>
        <v>14</v>
      </c>
      <c r="S4592" s="32"/>
    </row>
    <row r="4593" spans="1:19">
      <c r="A4593" s="213"/>
      <c r="B4593" s="213"/>
      <c r="C4593" s="213"/>
      <c r="D4593" s="213"/>
      <c r="E4593" s="213"/>
      <c r="F4593" s="213"/>
      <c r="G4593" s="213"/>
      <c r="H4593" s="213"/>
      <c r="I4593" s="213"/>
      <c r="J4593" s="213"/>
      <c r="K4593" s="213"/>
      <c r="L4593" s="213"/>
      <c r="M4593" s="213"/>
      <c r="N4593" s="213"/>
      <c r="O4593" s="213"/>
      <c r="P4593" s="213"/>
      <c r="Q4593" s="213"/>
      <c r="R4593" s="213"/>
      <c r="S4593" s="213"/>
    </row>
    <row r="4594" spans="1:19" ht="15.6">
      <c r="A4594" s="213"/>
      <c r="B4594" s="110" t="s">
        <v>504</v>
      </c>
      <c r="C4594" s="111" t="s">
        <v>232</v>
      </c>
      <c r="D4594" s="112" t="s">
        <v>449</v>
      </c>
      <c r="E4594" s="113" t="s">
        <v>506</v>
      </c>
      <c r="F4594" s="114" t="s">
        <v>15</v>
      </c>
      <c r="G4594" s="115" t="s">
        <v>37</v>
      </c>
      <c r="H4594" s="116">
        <v>18.2</v>
      </c>
      <c r="I4594" s="125">
        <v>7.5</v>
      </c>
      <c r="J4594" s="111">
        <v>1</v>
      </c>
      <c r="K4594" s="117">
        <f t="shared" ref="K4594:K4606" si="603">I4594*H4594*J4594/1000</f>
        <v>0.13650000000000001</v>
      </c>
      <c r="L4594" s="118"/>
      <c r="M4594" s="111">
        <v>1</v>
      </c>
      <c r="N4594" s="117">
        <f t="shared" ref="N4594:N4606" si="604">I4594*M4594*H4594/1000</f>
        <v>0.13650000000000001</v>
      </c>
      <c r="O4594" s="119">
        <f t="shared" ref="O4594:O4606" si="605">J4594-M4594</f>
        <v>0</v>
      </c>
      <c r="P4594" s="120">
        <f t="shared" ref="P4594:P4606" si="606">I4594*O4594*H4594/1000</f>
        <v>0</v>
      </c>
      <c r="Q4594" s="130"/>
      <c r="R4594" s="320"/>
      <c r="S4594" s="32"/>
    </row>
    <row r="4595" spans="1:19" ht="15.6">
      <c r="A4595" s="213"/>
      <c r="B4595" s="110" t="s">
        <v>504</v>
      </c>
      <c r="C4595" s="111" t="s">
        <v>232</v>
      </c>
      <c r="D4595" s="112" t="s">
        <v>449</v>
      </c>
      <c r="E4595" s="113" t="s">
        <v>506</v>
      </c>
      <c r="F4595" s="114" t="s">
        <v>15</v>
      </c>
      <c r="G4595" s="115" t="s">
        <v>37</v>
      </c>
      <c r="H4595" s="116">
        <v>18.2</v>
      </c>
      <c r="I4595" s="125">
        <v>6.7</v>
      </c>
      <c r="J4595" s="111">
        <v>18</v>
      </c>
      <c r="K4595" s="117">
        <f t="shared" si="603"/>
        <v>2.1949200000000002</v>
      </c>
      <c r="L4595" s="118"/>
      <c r="M4595" s="111">
        <v>18</v>
      </c>
      <c r="N4595" s="117">
        <f t="shared" si="604"/>
        <v>2.1949200000000002</v>
      </c>
      <c r="O4595" s="119">
        <f t="shared" si="605"/>
        <v>0</v>
      </c>
      <c r="P4595" s="120">
        <f t="shared" si="606"/>
        <v>0</v>
      </c>
      <c r="Q4595" s="130"/>
      <c r="R4595" s="320"/>
      <c r="S4595" s="32"/>
    </row>
    <row r="4596" spans="1:19" ht="15.6">
      <c r="A4596" s="213"/>
      <c r="B4596" s="110" t="s">
        <v>504</v>
      </c>
      <c r="C4596" s="111" t="s">
        <v>232</v>
      </c>
      <c r="D4596" s="112" t="s">
        <v>449</v>
      </c>
      <c r="E4596" s="113" t="s">
        <v>506</v>
      </c>
      <c r="F4596" s="114" t="s">
        <v>15</v>
      </c>
      <c r="G4596" s="115" t="s">
        <v>37</v>
      </c>
      <c r="H4596" s="116">
        <v>18.2</v>
      </c>
      <c r="I4596" s="125">
        <v>6.7</v>
      </c>
      <c r="J4596" s="111">
        <v>17</v>
      </c>
      <c r="K4596" s="117">
        <f t="shared" si="603"/>
        <v>2.0729799999999998</v>
      </c>
      <c r="L4596" s="118"/>
      <c r="M4596" s="111">
        <v>17</v>
      </c>
      <c r="N4596" s="117">
        <f t="shared" si="604"/>
        <v>2.0729799999999998</v>
      </c>
      <c r="O4596" s="119">
        <f t="shared" si="605"/>
        <v>0</v>
      </c>
      <c r="P4596" s="120">
        <f t="shared" si="606"/>
        <v>0</v>
      </c>
      <c r="Q4596" s="130"/>
      <c r="R4596" s="320"/>
      <c r="S4596" s="32"/>
    </row>
    <row r="4597" spans="1:19" ht="15.6">
      <c r="A4597" s="213"/>
      <c r="B4597" s="110" t="s">
        <v>504</v>
      </c>
      <c r="C4597" s="111" t="s">
        <v>232</v>
      </c>
      <c r="D4597" s="112" t="s">
        <v>449</v>
      </c>
      <c r="E4597" s="113" t="s">
        <v>506</v>
      </c>
      <c r="F4597" s="114" t="s">
        <v>15</v>
      </c>
      <c r="G4597" s="115" t="s">
        <v>37</v>
      </c>
      <c r="H4597" s="116">
        <v>18.2</v>
      </c>
      <c r="I4597" s="125">
        <v>7.5</v>
      </c>
      <c r="J4597" s="111">
        <v>6</v>
      </c>
      <c r="K4597" s="117">
        <f t="shared" si="603"/>
        <v>0.81899999999999995</v>
      </c>
      <c r="L4597" s="118"/>
      <c r="M4597" s="111">
        <v>6</v>
      </c>
      <c r="N4597" s="117">
        <f t="shared" si="604"/>
        <v>0.81899999999999995</v>
      </c>
      <c r="O4597" s="119">
        <f t="shared" si="605"/>
        <v>0</v>
      </c>
      <c r="P4597" s="120">
        <f t="shared" si="606"/>
        <v>0</v>
      </c>
      <c r="Q4597" s="130"/>
      <c r="R4597" s="320"/>
      <c r="S4597" s="32"/>
    </row>
    <row r="4598" spans="1:19" ht="15.6">
      <c r="A4598" s="213"/>
      <c r="B4598" s="110" t="s">
        <v>504</v>
      </c>
      <c r="C4598" s="111" t="s">
        <v>232</v>
      </c>
      <c r="D4598" s="112" t="s">
        <v>449</v>
      </c>
      <c r="E4598" s="113" t="s">
        <v>506</v>
      </c>
      <c r="F4598" s="114" t="s">
        <v>15</v>
      </c>
      <c r="G4598" s="115" t="s">
        <v>37</v>
      </c>
      <c r="H4598" s="116">
        <v>18.2</v>
      </c>
      <c r="I4598" s="125">
        <v>11.1</v>
      </c>
      <c r="J4598" s="111">
        <v>6</v>
      </c>
      <c r="K4598" s="117">
        <f t="shared" si="603"/>
        <v>1.2121199999999999</v>
      </c>
      <c r="L4598" s="118"/>
      <c r="M4598" s="111">
        <v>6</v>
      </c>
      <c r="N4598" s="117">
        <f t="shared" si="604"/>
        <v>1.2121199999999999</v>
      </c>
      <c r="O4598" s="119">
        <f t="shared" si="605"/>
        <v>0</v>
      </c>
      <c r="P4598" s="120">
        <f t="shared" si="606"/>
        <v>0</v>
      </c>
      <c r="Q4598" s="130"/>
      <c r="R4598" s="320"/>
      <c r="S4598" s="32"/>
    </row>
    <row r="4599" spans="1:19" ht="15.6">
      <c r="A4599" s="213"/>
      <c r="B4599" s="110" t="s">
        <v>504</v>
      </c>
      <c r="C4599" s="111" t="s">
        <v>232</v>
      </c>
      <c r="D4599" s="112" t="s">
        <v>449</v>
      </c>
      <c r="E4599" s="113" t="s">
        <v>506</v>
      </c>
      <c r="F4599" s="114" t="s">
        <v>15</v>
      </c>
      <c r="G4599" s="115" t="s">
        <v>37</v>
      </c>
      <c r="H4599" s="116">
        <v>18.2</v>
      </c>
      <c r="I4599" s="125">
        <v>6.5</v>
      </c>
      <c r="J4599" s="111">
        <v>1</v>
      </c>
      <c r="K4599" s="117">
        <f t="shared" si="603"/>
        <v>0.1183</v>
      </c>
      <c r="L4599" s="118"/>
      <c r="M4599" s="111">
        <v>1</v>
      </c>
      <c r="N4599" s="117">
        <f t="shared" si="604"/>
        <v>0.1183</v>
      </c>
      <c r="O4599" s="119">
        <f t="shared" si="605"/>
        <v>0</v>
      </c>
      <c r="P4599" s="120">
        <f t="shared" si="606"/>
        <v>0</v>
      </c>
      <c r="Q4599" s="130"/>
      <c r="R4599" s="410">
        <v>1</v>
      </c>
      <c r="S4599" s="72" t="s">
        <v>540</v>
      </c>
    </row>
    <row r="4600" spans="1:19" ht="15.6">
      <c r="A4600" s="213"/>
      <c r="B4600" s="110" t="s">
        <v>504</v>
      </c>
      <c r="C4600" s="111" t="s">
        <v>232</v>
      </c>
      <c r="D4600" s="112" t="s">
        <v>449</v>
      </c>
      <c r="E4600" s="113" t="s">
        <v>506</v>
      </c>
      <c r="F4600" s="114" t="s">
        <v>15</v>
      </c>
      <c r="G4600" s="115" t="s">
        <v>37</v>
      </c>
      <c r="H4600" s="116">
        <v>18.2</v>
      </c>
      <c r="I4600" s="125">
        <v>6.3</v>
      </c>
      <c r="J4600" s="111">
        <v>1</v>
      </c>
      <c r="K4600" s="117">
        <f t="shared" si="603"/>
        <v>0.11466</v>
      </c>
      <c r="L4600" s="118"/>
      <c r="M4600" s="111">
        <v>1</v>
      </c>
      <c r="N4600" s="117">
        <f t="shared" si="604"/>
        <v>0.11466</v>
      </c>
      <c r="O4600" s="119">
        <f t="shared" si="605"/>
        <v>0</v>
      </c>
      <c r="P4600" s="120">
        <f t="shared" si="606"/>
        <v>0</v>
      </c>
      <c r="Q4600" s="130"/>
      <c r="R4600" s="410">
        <v>1</v>
      </c>
      <c r="S4600" s="72" t="s">
        <v>540</v>
      </c>
    </row>
    <row r="4601" spans="1:19" ht="15.6">
      <c r="A4601" s="213"/>
      <c r="B4601" s="110" t="s">
        <v>504</v>
      </c>
      <c r="C4601" s="111" t="s">
        <v>232</v>
      </c>
      <c r="D4601" s="112" t="s">
        <v>449</v>
      </c>
      <c r="E4601" s="113" t="s">
        <v>506</v>
      </c>
      <c r="F4601" s="114" t="s">
        <v>15</v>
      </c>
      <c r="G4601" s="115" t="s">
        <v>37</v>
      </c>
      <c r="H4601" s="116">
        <v>18.2</v>
      </c>
      <c r="I4601" s="125">
        <v>6.7</v>
      </c>
      <c r="J4601" s="111">
        <v>13</v>
      </c>
      <c r="K4601" s="117">
        <f t="shared" si="603"/>
        <v>1.5852200000000001</v>
      </c>
      <c r="L4601" s="118"/>
      <c r="M4601" s="111">
        <v>13</v>
      </c>
      <c r="N4601" s="117">
        <f t="shared" si="604"/>
        <v>1.5852200000000001</v>
      </c>
      <c r="O4601" s="119">
        <f t="shared" si="605"/>
        <v>0</v>
      </c>
      <c r="P4601" s="120">
        <f t="shared" si="606"/>
        <v>0</v>
      </c>
      <c r="Q4601" s="130"/>
      <c r="R4601" s="320"/>
      <c r="S4601" s="32"/>
    </row>
    <row r="4602" spans="1:19" ht="15.6">
      <c r="A4602" s="213"/>
      <c r="B4602" s="110" t="s">
        <v>504</v>
      </c>
      <c r="C4602" s="111" t="s">
        <v>232</v>
      </c>
      <c r="D4602" s="112" t="s">
        <v>449</v>
      </c>
      <c r="E4602" s="113" t="s">
        <v>506</v>
      </c>
      <c r="F4602" s="114" t="s">
        <v>15</v>
      </c>
      <c r="G4602" s="115" t="s">
        <v>37</v>
      </c>
      <c r="H4602" s="116">
        <v>18.2</v>
      </c>
      <c r="I4602" s="125">
        <v>5.55</v>
      </c>
      <c r="J4602" s="111">
        <v>1</v>
      </c>
      <c r="K4602" s="117">
        <f t="shared" si="603"/>
        <v>0.10100999999999999</v>
      </c>
      <c r="L4602" s="118"/>
      <c r="M4602" s="111">
        <v>1</v>
      </c>
      <c r="N4602" s="117">
        <f t="shared" si="604"/>
        <v>0.10100999999999999</v>
      </c>
      <c r="O4602" s="119">
        <f t="shared" si="605"/>
        <v>0</v>
      </c>
      <c r="P4602" s="120">
        <f t="shared" si="606"/>
        <v>0</v>
      </c>
      <c r="Q4602" s="130"/>
      <c r="R4602" s="410">
        <v>1</v>
      </c>
      <c r="S4602" s="72" t="s">
        <v>540</v>
      </c>
    </row>
    <row r="4603" spans="1:19" ht="15.6">
      <c r="A4603" s="213"/>
      <c r="B4603" s="110" t="s">
        <v>504</v>
      </c>
      <c r="C4603" s="111" t="s">
        <v>232</v>
      </c>
      <c r="D4603" s="112" t="s">
        <v>449</v>
      </c>
      <c r="E4603" s="113" t="s">
        <v>506</v>
      </c>
      <c r="F4603" s="114" t="s">
        <v>15</v>
      </c>
      <c r="G4603" s="115" t="s">
        <v>37</v>
      </c>
      <c r="H4603" s="116">
        <v>18.2</v>
      </c>
      <c r="I4603" s="125">
        <v>5.95</v>
      </c>
      <c r="J4603" s="111">
        <v>1</v>
      </c>
      <c r="K4603" s="117">
        <f t="shared" si="603"/>
        <v>0.10829</v>
      </c>
      <c r="L4603" s="118"/>
      <c r="M4603" s="111">
        <v>1</v>
      </c>
      <c r="N4603" s="117">
        <f t="shared" si="604"/>
        <v>0.10829</v>
      </c>
      <c r="O4603" s="119">
        <f t="shared" si="605"/>
        <v>0</v>
      </c>
      <c r="P4603" s="120">
        <f t="shared" si="606"/>
        <v>0</v>
      </c>
      <c r="Q4603" s="130"/>
      <c r="R4603" s="410">
        <v>1</v>
      </c>
      <c r="S4603" s="72" t="s">
        <v>540</v>
      </c>
    </row>
    <row r="4604" spans="1:19" ht="15.6">
      <c r="A4604" s="213"/>
      <c r="B4604" s="110" t="s">
        <v>504</v>
      </c>
      <c r="C4604" s="111" t="s">
        <v>232</v>
      </c>
      <c r="D4604" s="112" t="s">
        <v>449</v>
      </c>
      <c r="E4604" s="113" t="s">
        <v>506</v>
      </c>
      <c r="F4604" s="114" t="s">
        <v>15</v>
      </c>
      <c r="G4604" s="115" t="s">
        <v>37</v>
      </c>
      <c r="H4604" s="116">
        <v>18.2</v>
      </c>
      <c r="I4604" s="125">
        <v>6</v>
      </c>
      <c r="J4604" s="111">
        <v>1</v>
      </c>
      <c r="K4604" s="117">
        <f t="shared" si="603"/>
        <v>0.10919999999999999</v>
      </c>
      <c r="L4604" s="118"/>
      <c r="M4604" s="111">
        <v>1</v>
      </c>
      <c r="N4604" s="117">
        <f t="shared" si="604"/>
        <v>0.10919999999999999</v>
      </c>
      <c r="O4604" s="119">
        <f t="shared" si="605"/>
        <v>0</v>
      </c>
      <c r="P4604" s="120">
        <f t="shared" si="606"/>
        <v>0</v>
      </c>
      <c r="Q4604" s="130"/>
      <c r="R4604" s="410">
        <v>1</v>
      </c>
      <c r="S4604" s="72" t="s">
        <v>540</v>
      </c>
    </row>
    <row r="4605" spans="1:19" ht="15.6">
      <c r="A4605" s="213"/>
      <c r="B4605" s="110" t="s">
        <v>504</v>
      </c>
      <c r="C4605" s="111" t="s">
        <v>232</v>
      </c>
      <c r="D4605" s="112" t="s">
        <v>449</v>
      </c>
      <c r="E4605" s="113" t="s">
        <v>506</v>
      </c>
      <c r="F4605" s="114" t="s">
        <v>15</v>
      </c>
      <c r="G4605" s="115" t="s">
        <v>37</v>
      </c>
      <c r="H4605" s="116">
        <v>18.2</v>
      </c>
      <c r="I4605" s="125">
        <v>10.9</v>
      </c>
      <c r="J4605" s="111">
        <v>1</v>
      </c>
      <c r="K4605" s="117">
        <f t="shared" si="603"/>
        <v>0.19838</v>
      </c>
      <c r="L4605" s="118"/>
      <c r="M4605" s="111">
        <v>1</v>
      </c>
      <c r="N4605" s="117">
        <f t="shared" si="604"/>
        <v>0.19838</v>
      </c>
      <c r="O4605" s="119">
        <f t="shared" si="605"/>
        <v>0</v>
      </c>
      <c r="P4605" s="120">
        <f t="shared" si="606"/>
        <v>0</v>
      </c>
      <c r="Q4605" s="130"/>
      <c r="R4605" s="320"/>
      <c r="S4605" s="32"/>
    </row>
    <row r="4606" spans="1:19" ht="15.6">
      <c r="A4606" s="213"/>
      <c r="B4606" s="110" t="s">
        <v>504</v>
      </c>
      <c r="C4606" s="111" t="s">
        <v>232</v>
      </c>
      <c r="D4606" s="112" t="s">
        <v>449</v>
      </c>
      <c r="E4606" s="113" t="s">
        <v>506</v>
      </c>
      <c r="F4606" s="114" t="s">
        <v>15</v>
      </c>
      <c r="G4606" s="115" t="s">
        <v>37</v>
      </c>
      <c r="H4606" s="116">
        <v>18.2</v>
      </c>
      <c r="I4606" s="125">
        <v>12</v>
      </c>
      <c r="J4606" s="111">
        <v>1</v>
      </c>
      <c r="K4606" s="117">
        <f t="shared" si="603"/>
        <v>0.21839999999999998</v>
      </c>
      <c r="L4606" s="118"/>
      <c r="M4606" s="111">
        <v>1</v>
      </c>
      <c r="N4606" s="117">
        <f t="shared" si="604"/>
        <v>0.21839999999999998</v>
      </c>
      <c r="O4606" s="119">
        <f t="shared" si="605"/>
        <v>0</v>
      </c>
      <c r="P4606" s="120">
        <f t="shared" si="606"/>
        <v>0</v>
      </c>
      <c r="Q4606" s="130"/>
      <c r="R4606" s="410">
        <v>1</v>
      </c>
      <c r="S4606" s="72" t="s">
        <v>540</v>
      </c>
    </row>
    <row r="4607" spans="1:19">
      <c r="A4607" s="213"/>
      <c r="B4607" s="213"/>
      <c r="C4607" s="213"/>
      <c r="D4607" s="213"/>
      <c r="E4607" s="213"/>
      <c r="F4607" s="213"/>
      <c r="G4607" s="213"/>
      <c r="H4607" s="213"/>
      <c r="I4607" s="213"/>
      <c r="J4607" s="80">
        <f>SUM(J4594:J4606)</f>
        <v>68</v>
      </c>
      <c r="K4607" s="128">
        <f>SUM(K4594:K4606)</f>
        <v>8.9889799999999997</v>
      </c>
      <c r="L4607" s="213"/>
      <c r="M4607" s="80">
        <f>SUM(M4594:M4606)</f>
        <v>68</v>
      </c>
      <c r="N4607" s="128">
        <f>SUM(N4594:N4606)</f>
        <v>8.9889799999999997</v>
      </c>
      <c r="O4607" s="80">
        <f>SUM(O4594:O4606)</f>
        <v>0</v>
      </c>
      <c r="P4607" s="128">
        <f>SUM(P4594:P4606)</f>
        <v>0</v>
      </c>
      <c r="Q4607" s="213"/>
      <c r="R4607" s="80">
        <f>SUM(R4594:R4606)</f>
        <v>6</v>
      </c>
      <c r="S4607" s="213"/>
    </row>
    <row r="4608" spans="1:19">
      <c r="A4608" s="213"/>
      <c r="B4608" s="213"/>
      <c r="C4608" s="213"/>
      <c r="D4608" s="213"/>
      <c r="E4608" s="213"/>
      <c r="F4608" s="213"/>
      <c r="G4608" s="213"/>
      <c r="H4608" s="213"/>
      <c r="I4608" s="213"/>
      <c r="J4608" s="213"/>
      <c r="K4608" s="213"/>
      <c r="L4608" s="213"/>
      <c r="M4608" s="213"/>
      <c r="N4608" s="213"/>
      <c r="O4608" s="213"/>
      <c r="P4608" s="213"/>
      <c r="Q4608" s="213"/>
      <c r="R4608" s="213"/>
      <c r="S4608" s="213"/>
    </row>
    <row r="4609" spans="1:19">
      <c r="A4609" s="213"/>
      <c r="B4609" s="213"/>
      <c r="C4609" s="213"/>
      <c r="D4609" s="213"/>
      <c r="E4609" s="213"/>
      <c r="F4609" s="213"/>
      <c r="G4609" s="213"/>
      <c r="H4609" s="213"/>
      <c r="I4609" s="213"/>
      <c r="J4609" s="213"/>
      <c r="K4609" s="213"/>
      <c r="L4609" s="213"/>
      <c r="M4609" s="213"/>
      <c r="N4609" s="213"/>
      <c r="O4609" s="213"/>
      <c r="P4609" s="213"/>
      <c r="Q4609" s="213"/>
      <c r="R4609" s="213"/>
      <c r="S4609" s="213"/>
    </row>
    <row r="4610" spans="1:19" ht="15.6">
      <c r="A4610" s="213"/>
      <c r="B4610" s="110" t="s">
        <v>517</v>
      </c>
      <c r="C4610" s="111" t="s">
        <v>505</v>
      </c>
      <c r="D4610" s="112" t="s">
        <v>449</v>
      </c>
      <c r="E4610" s="113" t="s">
        <v>17</v>
      </c>
      <c r="F4610" s="114" t="s">
        <v>15</v>
      </c>
      <c r="G4610" s="115" t="s">
        <v>37</v>
      </c>
      <c r="H4610" s="116">
        <v>18.149999999999999</v>
      </c>
      <c r="I4610" s="125">
        <v>12</v>
      </c>
      <c r="J4610" s="111">
        <v>14</v>
      </c>
      <c r="K4610" s="117">
        <f t="shared" ref="K4610:K4619" si="607">I4610*H4610*J4610/1000</f>
        <v>3.0491999999999999</v>
      </c>
      <c r="L4610" s="118"/>
      <c r="M4610" s="111">
        <v>14</v>
      </c>
      <c r="N4610" s="117">
        <f t="shared" ref="N4610:N4619" si="608">I4610*M4610*H4610/1000</f>
        <v>3.0491999999999999</v>
      </c>
      <c r="O4610" s="119">
        <f t="shared" ref="O4610:O4619" si="609">J4610-M4610</f>
        <v>0</v>
      </c>
      <c r="P4610" s="120">
        <f t="shared" ref="P4610:P4617" si="610">I4610*O4610*H4610/1000</f>
        <v>0</v>
      </c>
      <c r="Q4610" s="130"/>
      <c r="R4610" s="320"/>
      <c r="S4610" s="32"/>
    </row>
    <row r="4611" spans="1:19" ht="15.6">
      <c r="A4611" s="213"/>
      <c r="B4611" s="110" t="s">
        <v>517</v>
      </c>
      <c r="C4611" s="111" t="s">
        <v>505</v>
      </c>
      <c r="D4611" s="112" t="s">
        <v>449</v>
      </c>
      <c r="E4611" s="113" t="s">
        <v>17</v>
      </c>
      <c r="F4611" s="114" t="s">
        <v>15</v>
      </c>
      <c r="G4611" s="115" t="s">
        <v>37</v>
      </c>
      <c r="H4611" s="116">
        <v>18.149999999999999</v>
      </c>
      <c r="I4611" s="125">
        <v>12</v>
      </c>
      <c r="J4611" s="111">
        <v>14</v>
      </c>
      <c r="K4611" s="117">
        <f t="shared" si="607"/>
        <v>3.0491999999999999</v>
      </c>
      <c r="L4611" s="118"/>
      <c r="M4611" s="111">
        <v>14</v>
      </c>
      <c r="N4611" s="117">
        <f t="shared" si="608"/>
        <v>3.0491999999999999</v>
      </c>
      <c r="O4611" s="119">
        <f t="shared" si="609"/>
        <v>0</v>
      </c>
      <c r="P4611" s="120">
        <f t="shared" si="610"/>
        <v>0</v>
      </c>
      <c r="Q4611" s="130"/>
      <c r="R4611" s="320"/>
      <c r="S4611" s="32"/>
    </row>
    <row r="4612" spans="1:19" ht="15.6">
      <c r="A4612" s="213"/>
      <c r="B4612" s="110" t="s">
        <v>517</v>
      </c>
      <c r="C4612" s="111" t="s">
        <v>505</v>
      </c>
      <c r="D4612" s="112" t="s">
        <v>449</v>
      </c>
      <c r="E4612" s="113" t="s">
        <v>17</v>
      </c>
      <c r="F4612" s="114" t="s">
        <v>15</v>
      </c>
      <c r="G4612" s="115" t="s">
        <v>37</v>
      </c>
      <c r="H4612" s="116">
        <v>18.149999999999999</v>
      </c>
      <c r="I4612" s="125">
        <v>12</v>
      </c>
      <c r="J4612" s="111">
        <v>14</v>
      </c>
      <c r="K4612" s="117">
        <f t="shared" si="607"/>
        <v>3.0491999999999999</v>
      </c>
      <c r="L4612" s="118"/>
      <c r="M4612" s="111">
        <v>14</v>
      </c>
      <c r="N4612" s="117">
        <f t="shared" si="608"/>
        <v>3.0491999999999999</v>
      </c>
      <c r="O4612" s="119">
        <f t="shared" si="609"/>
        <v>0</v>
      </c>
      <c r="P4612" s="120">
        <f t="shared" si="610"/>
        <v>0</v>
      </c>
      <c r="Q4612" s="130"/>
      <c r="R4612" s="320"/>
      <c r="S4612" s="32"/>
    </row>
    <row r="4613" spans="1:19" ht="15.6">
      <c r="A4613" s="213"/>
      <c r="B4613" s="110" t="s">
        <v>517</v>
      </c>
      <c r="C4613" s="111" t="s">
        <v>505</v>
      </c>
      <c r="D4613" s="112" t="s">
        <v>449</v>
      </c>
      <c r="E4613" s="113" t="s">
        <v>17</v>
      </c>
      <c r="F4613" s="114" t="s">
        <v>15</v>
      </c>
      <c r="G4613" s="115" t="s">
        <v>37</v>
      </c>
      <c r="H4613" s="116">
        <v>18.149999999999999</v>
      </c>
      <c r="I4613" s="125">
        <v>12</v>
      </c>
      <c r="J4613" s="111">
        <v>14</v>
      </c>
      <c r="K4613" s="117">
        <f t="shared" si="607"/>
        <v>3.0491999999999999</v>
      </c>
      <c r="L4613" s="118"/>
      <c r="M4613" s="111">
        <v>14</v>
      </c>
      <c r="N4613" s="117">
        <f t="shared" si="608"/>
        <v>3.0491999999999999</v>
      </c>
      <c r="O4613" s="119">
        <f t="shared" si="609"/>
        <v>0</v>
      </c>
      <c r="P4613" s="120">
        <f t="shared" si="610"/>
        <v>0</v>
      </c>
      <c r="Q4613" s="130"/>
      <c r="R4613" s="320"/>
      <c r="S4613" s="32"/>
    </row>
    <row r="4614" spans="1:19" ht="15.6">
      <c r="A4614" s="213"/>
      <c r="B4614" s="110" t="s">
        <v>517</v>
      </c>
      <c r="C4614" s="111" t="s">
        <v>505</v>
      </c>
      <c r="D4614" s="112" t="s">
        <v>449</v>
      </c>
      <c r="E4614" s="113" t="s">
        <v>17</v>
      </c>
      <c r="F4614" s="114" t="s">
        <v>15</v>
      </c>
      <c r="G4614" s="115" t="s">
        <v>37</v>
      </c>
      <c r="H4614" s="116">
        <v>18.149999999999999</v>
      </c>
      <c r="I4614" s="125">
        <v>11.35</v>
      </c>
      <c r="J4614" s="111">
        <v>5</v>
      </c>
      <c r="K4614" s="117">
        <f t="shared" si="607"/>
        <v>1.0300124999999998</v>
      </c>
      <c r="L4614" s="118"/>
      <c r="M4614" s="111">
        <v>5</v>
      </c>
      <c r="N4614" s="117">
        <f t="shared" si="608"/>
        <v>1.0300124999999998</v>
      </c>
      <c r="O4614" s="119">
        <f t="shared" si="609"/>
        <v>0</v>
      </c>
      <c r="P4614" s="120">
        <f t="shared" si="610"/>
        <v>0</v>
      </c>
      <c r="Q4614" s="130"/>
      <c r="R4614" s="320"/>
      <c r="S4614" s="32"/>
    </row>
    <row r="4615" spans="1:19" ht="15.6">
      <c r="A4615" s="213"/>
      <c r="B4615" s="110" t="s">
        <v>517</v>
      </c>
      <c r="C4615" s="111" t="s">
        <v>505</v>
      </c>
      <c r="D4615" s="112" t="s">
        <v>449</v>
      </c>
      <c r="E4615" s="113" t="s">
        <v>17</v>
      </c>
      <c r="F4615" s="114" t="s">
        <v>15</v>
      </c>
      <c r="G4615" s="115" t="s">
        <v>37</v>
      </c>
      <c r="H4615" s="116">
        <v>18.149999999999999</v>
      </c>
      <c r="I4615" s="125">
        <v>12</v>
      </c>
      <c r="J4615" s="111">
        <v>15</v>
      </c>
      <c r="K4615" s="117">
        <f t="shared" si="607"/>
        <v>3.2669999999999995</v>
      </c>
      <c r="L4615" s="118"/>
      <c r="M4615" s="111">
        <v>15</v>
      </c>
      <c r="N4615" s="117">
        <f t="shared" si="608"/>
        <v>3.2669999999999995</v>
      </c>
      <c r="O4615" s="119">
        <f t="shared" si="609"/>
        <v>0</v>
      </c>
      <c r="P4615" s="120">
        <f t="shared" si="610"/>
        <v>0</v>
      </c>
      <c r="Q4615" s="130"/>
      <c r="R4615" s="320"/>
      <c r="S4615" s="32"/>
    </row>
    <row r="4616" spans="1:19" ht="15.6">
      <c r="A4616" s="213"/>
      <c r="B4616" s="110" t="s">
        <v>517</v>
      </c>
      <c r="C4616" s="111" t="s">
        <v>505</v>
      </c>
      <c r="D4616" s="112" t="s">
        <v>449</v>
      </c>
      <c r="E4616" s="113" t="s">
        <v>17</v>
      </c>
      <c r="F4616" s="114" t="s">
        <v>15</v>
      </c>
      <c r="G4616" s="115" t="s">
        <v>37</v>
      </c>
      <c r="H4616" s="116">
        <v>18.149999999999999</v>
      </c>
      <c r="I4616" s="125">
        <v>12</v>
      </c>
      <c r="J4616" s="111">
        <v>15</v>
      </c>
      <c r="K4616" s="117">
        <f t="shared" si="607"/>
        <v>3.2669999999999995</v>
      </c>
      <c r="L4616" s="118"/>
      <c r="M4616" s="111">
        <v>15</v>
      </c>
      <c r="N4616" s="117">
        <f t="shared" si="608"/>
        <v>3.2669999999999995</v>
      </c>
      <c r="O4616" s="119">
        <f t="shared" si="609"/>
        <v>0</v>
      </c>
      <c r="P4616" s="120">
        <f t="shared" si="610"/>
        <v>0</v>
      </c>
      <c r="Q4616" s="130"/>
      <c r="R4616" s="320"/>
      <c r="S4616" s="32"/>
    </row>
    <row r="4617" spans="1:19" ht="15.6">
      <c r="A4617" s="213"/>
      <c r="B4617" s="110" t="s">
        <v>517</v>
      </c>
      <c r="C4617" s="111" t="s">
        <v>505</v>
      </c>
      <c r="D4617" s="112" t="s">
        <v>449</v>
      </c>
      <c r="E4617" s="113" t="s">
        <v>17</v>
      </c>
      <c r="F4617" s="114" t="s">
        <v>15</v>
      </c>
      <c r="G4617" s="115" t="s">
        <v>37</v>
      </c>
      <c r="H4617" s="116">
        <v>18.149999999999999</v>
      </c>
      <c r="I4617" s="125">
        <v>12</v>
      </c>
      <c r="J4617" s="111">
        <v>10</v>
      </c>
      <c r="K4617" s="117">
        <f t="shared" si="607"/>
        <v>2.1779999999999999</v>
      </c>
      <c r="L4617" s="118"/>
      <c r="M4617" s="111">
        <f>8+2</f>
        <v>10</v>
      </c>
      <c r="N4617" s="117">
        <f t="shared" si="608"/>
        <v>2.1779999999999999</v>
      </c>
      <c r="O4617" s="119">
        <f t="shared" si="609"/>
        <v>0</v>
      </c>
      <c r="P4617" s="120">
        <f t="shared" si="610"/>
        <v>0</v>
      </c>
      <c r="Q4617" s="130"/>
      <c r="R4617" s="414">
        <v>2</v>
      </c>
      <c r="S4617" s="91" t="s">
        <v>540</v>
      </c>
    </row>
    <row r="4618" spans="1:19" ht="15.6">
      <c r="A4618" s="213"/>
      <c r="B4618" s="110" t="s">
        <v>517</v>
      </c>
      <c r="C4618" s="111" t="s">
        <v>505</v>
      </c>
      <c r="D4618" s="112" t="s">
        <v>449</v>
      </c>
      <c r="E4618" s="113" t="s">
        <v>17</v>
      </c>
      <c r="F4618" s="114" t="s">
        <v>15</v>
      </c>
      <c r="G4618" s="115" t="s">
        <v>37</v>
      </c>
      <c r="H4618" s="116">
        <v>18.149999999999999</v>
      </c>
      <c r="I4618" s="125">
        <v>11.3</v>
      </c>
      <c r="J4618" s="111">
        <v>3</v>
      </c>
      <c r="K4618" s="117">
        <f t="shared" si="607"/>
        <v>0.61528499999999997</v>
      </c>
      <c r="L4618" s="118"/>
      <c r="M4618" s="111">
        <v>3</v>
      </c>
      <c r="N4618" s="117">
        <f t="shared" si="608"/>
        <v>0.61528500000000008</v>
      </c>
      <c r="O4618" s="119">
        <f t="shared" si="609"/>
        <v>0</v>
      </c>
      <c r="P4618" s="120">
        <f>I4618*O4618*H4618/1000</f>
        <v>0</v>
      </c>
      <c r="Q4618" s="130"/>
      <c r="R4618" s="414"/>
      <c r="S4618" s="91"/>
    </row>
    <row r="4619" spans="1:19" ht="15.6">
      <c r="A4619" s="213"/>
      <c r="B4619" s="110" t="s">
        <v>517</v>
      </c>
      <c r="C4619" s="111" t="s">
        <v>505</v>
      </c>
      <c r="D4619" s="112" t="s">
        <v>449</v>
      </c>
      <c r="E4619" s="113" t="s">
        <v>17</v>
      </c>
      <c r="F4619" s="114" t="s">
        <v>15</v>
      </c>
      <c r="G4619" s="115" t="s">
        <v>37</v>
      </c>
      <c r="H4619" s="116">
        <v>18.149999999999999</v>
      </c>
      <c r="I4619" s="125">
        <v>11.7</v>
      </c>
      <c r="J4619" s="111">
        <v>2</v>
      </c>
      <c r="K4619" s="117">
        <f t="shared" si="607"/>
        <v>0.42470999999999992</v>
      </c>
      <c r="L4619" s="118"/>
      <c r="M4619" s="111">
        <v>2</v>
      </c>
      <c r="N4619" s="117">
        <f t="shared" si="608"/>
        <v>0.42470999999999992</v>
      </c>
      <c r="O4619" s="119">
        <f t="shared" si="609"/>
        <v>0</v>
      </c>
      <c r="P4619" s="120">
        <f>I4619*O4619*H4619/1000</f>
        <v>0</v>
      </c>
      <c r="Q4619" s="130"/>
      <c r="R4619" s="414">
        <v>2</v>
      </c>
      <c r="S4619" s="91" t="s">
        <v>540</v>
      </c>
    </row>
    <row r="4620" spans="1:19">
      <c r="A4620" s="213"/>
      <c r="B4620" s="32"/>
      <c r="C4620" s="32"/>
      <c r="D4620" s="32"/>
      <c r="E4620" s="32"/>
      <c r="F4620" s="32"/>
      <c r="G4620" s="32"/>
      <c r="H4620" s="32"/>
      <c r="I4620" s="32"/>
      <c r="J4620" s="171">
        <f>SUM(J4610:J4619)</f>
        <v>106</v>
      </c>
      <c r="K4620" s="132">
        <f>SUM(K4610:K4619)</f>
        <v>22.978807499999998</v>
      </c>
      <c r="L4620" s="32"/>
      <c r="M4620" s="171">
        <f>SUM(M4610:M4619)</f>
        <v>106</v>
      </c>
      <c r="N4620" s="132">
        <f>SUM(N4610:N4619)</f>
        <v>22.978807499999998</v>
      </c>
      <c r="O4620" s="131">
        <f>SUM(O4610:O4619)</f>
        <v>0</v>
      </c>
      <c r="P4620" s="132">
        <f>SUM(P4610:P4619)</f>
        <v>0</v>
      </c>
      <c r="Q4620" s="32"/>
      <c r="R4620" s="131">
        <f>SUM(R4610:R4619)</f>
        <v>4</v>
      </c>
      <c r="S4620" s="32"/>
    </row>
    <row r="4625" spans="1:19">
      <c r="A4625" s="48" t="s">
        <v>168</v>
      </c>
      <c r="B4625" s="48" t="s">
        <v>169</v>
      </c>
      <c r="C4625" s="32">
        <v>10</v>
      </c>
      <c r="D4625" s="32"/>
      <c r="E4625" s="48" t="s">
        <v>19</v>
      </c>
      <c r="F4625" s="48" t="s">
        <v>14</v>
      </c>
      <c r="G4625" s="48" t="s">
        <v>149</v>
      </c>
      <c r="H4625" s="49">
        <v>6.39</v>
      </c>
      <c r="I4625" s="8">
        <v>12</v>
      </c>
      <c r="J4625" s="7">
        <v>1</v>
      </c>
      <c r="K4625" s="10">
        <v>7.6679999999999998E-2</v>
      </c>
      <c r="L4625" s="32" t="s">
        <v>104</v>
      </c>
      <c r="M4625" s="32">
        <v>1</v>
      </c>
      <c r="N4625" s="18">
        <v>7.6679999999999998E-2</v>
      </c>
      <c r="O4625" s="19">
        <v>0</v>
      </c>
      <c r="P4625" s="13">
        <v>0</v>
      </c>
      <c r="Q4625" s="75">
        <v>9</v>
      </c>
      <c r="R4625" s="72">
        <v>1</v>
      </c>
      <c r="S4625" s="72"/>
    </row>
    <row r="4626" spans="1:19">
      <c r="A4626" s="42" t="s">
        <v>90</v>
      </c>
      <c r="B4626" s="48" t="s">
        <v>148</v>
      </c>
      <c r="C4626" s="32">
        <v>1</v>
      </c>
      <c r="D4626" s="32"/>
      <c r="E4626" s="48" t="s">
        <v>19</v>
      </c>
      <c r="F4626" s="48" t="s">
        <v>14</v>
      </c>
      <c r="G4626" s="48" t="s">
        <v>149</v>
      </c>
      <c r="H4626" s="49">
        <v>6.39</v>
      </c>
      <c r="I4626" s="9">
        <v>12</v>
      </c>
      <c r="J4626" s="2">
        <v>1</v>
      </c>
      <c r="K4626" s="10">
        <v>7.6679999999999998E-2</v>
      </c>
      <c r="L4626" s="32"/>
      <c r="M4626" s="32">
        <v>1</v>
      </c>
      <c r="N4626" s="18">
        <v>7.6679999999999998E-2</v>
      </c>
      <c r="O4626" s="19">
        <v>0</v>
      </c>
      <c r="P4626" s="13">
        <v>0</v>
      </c>
      <c r="Q4626" s="75">
        <v>9</v>
      </c>
      <c r="R4626" s="72">
        <v>1</v>
      </c>
      <c r="S4626" s="72"/>
    </row>
    <row r="4627" spans="1:19">
      <c r="A4627" s="42" t="s">
        <v>90</v>
      </c>
      <c r="B4627" s="48" t="s">
        <v>148</v>
      </c>
      <c r="C4627" s="32">
        <v>1</v>
      </c>
      <c r="D4627" s="32"/>
      <c r="E4627" s="48" t="s">
        <v>19</v>
      </c>
      <c r="F4627" s="48" t="s">
        <v>14</v>
      </c>
      <c r="G4627" s="48" t="s">
        <v>149</v>
      </c>
      <c r="H4627" s="49">
        <v>6.39</v>
      </c>
      <c r="I4627" s="28">
        <v>11</v>
      </c>
      <c r="J4627" s="2">
        <v>1</v>
      </c>
      <c r="K4627" s="10">
        <v>7.0289999999999991E-2</v>
      </c>
      <c r="L4627" s="32"/>
      <c r="M4627" s="32">
        <v>1</v>
      </c>
      <c r="N4627" s="18">
        <v>7.0289999999999991E-2</v>
      </c>
      <c r="O4627" s="19">
        <v>0</v>
      </c>
      <c r="P4627" s="13">
        <v>0</v>
      </c>
      <c r="Q4627" s="75">
        <v>9</v>
      </c>
      <c r="R4627" s="72">
        <v>1</v>
      </c>
      <c r="S4627" s="72"/>
    </row>
    <row r="4628" spans="1:19">
      <c r="A4628" s="42" t="s">
        <v>90</v>
      </c>
      <c r="B4628" s="48" t="s">
        <v>148</v>
      </c>
      <c r="C4628" s="32">
        <v>1</v>
      </c>
      <c r="D4628" s="32"/>
      <c r="E4628" s="48" t="s">
        <v>19</v>
      </c>
      <c r="F4628" s="48" t="s">
        <v>14</v>
      </c>
      <c r="G4628" s="48" t="s">
        <v>149</v>
      </c>
      <c r="H4628" s="49">
        <v>6.39</v>
      </c>
      <c r="I4628" s="9">
        <v>10</v>
      </c>
      <c r="J4628" s="2">
        <v>1</v>
      </c>
      <c r="K4628" s="10">
        <v>6.3899999999999998E-2</v>
      </c>
      <c r="L4628" s="32"/>
      <c r="M4628" s="32">
        <v>1</v>
      </c>
      <c r="N4628" s="18">
        <v>6.3899999999999998E-2</v>
      </c>
      <c r="O4628" s="19">
        <v>0</v>
      </c>
      <c r="P4628" s="13">
        <v>0</v>
      </c>
      <c r="Q4628" s="75">
        <v>10</v>
      </c>
      <c r="R4628" s="72">
        <v>1</v>
      </c>
      <c r="S4628" s="72"/>
    </row>
    <row r="4629" spans="1:19">
      <c r="A4629" s="42" t="s">
        <v>90</v>
      </c>
      <c r="B4629" s="48" t="s">
        <v>148</v>
      </c>
      <c r="C4629" s="32">
        <v>1</v>
      </c>
      <c r="D4629" s="32"/>
      <c r="E4629" s="48" t="s">
        <v>19</v>
      </c>
      <c r="F4629" s="48" t="s">
        <v>14</v>
      </c>
      <c r="G4629" s="48" t="s">
        <v>149</v>
      </c>
      <c r="H4629" s="49">
        <v>6.39</v>
      </c>
      <c r="I4629" s="28">
        <v>9.6999999999999993</v>
      </c>
      <c r="J4629" s="2">
        <v>1</v>
      </c>
      <c r="K4629" s="10">
        <v>6.1982999999999989E-2</v>
      </c>
      <c r="L4629" s="32"/>
      <c r="M4629" s="32">
        <v>1</v>
      </c>
      <c r="N4629" s="18">
        <v>6.1982999999999989E-2</v>
      </c>
      <c r="O4629" s="19">
        <v>0</v>
      </c>
      <c r="P4629" s="13">
        <v>0</v>
      </c>
      <c r="Q4629" s="75">
        <v>9</v>
      </c>
      <c r="R4629" s="72">
        <v>1</v>
      </c>
      <c r="S4629" s="72"/>
    </row>
    <row r="4630" spans="1:19">
      <c r="A4630" s="42" t="s">
        <v>90</v>
      </c>
      <c r="B4630" s="48" t="s">
        <v>148</v>
      </c>
      <c r="C4630" s="32">
        <v>1</v>
      </c>
      <c r="D4630" s="32"/>
      <c r="E4630" s="48" t="s">
        <v>19</v>
      </c>
      <c r="F4630" s="48" t="s">
        <v>14</v>
      </c>
      <c r="G4630" s="48" t="s">
        <v>149</v>
      </c>
      <c r="H4630" s="49">
        <v>6.39</v>
      </c>
      <c r="I4630" s="28">
        <v>9.8000000000000007</v>
      </c>
      <c r="J4630" s="3">
        <v>1</v>
      </c>
      <c r="K4630" s="10">
        <v>6.2621999999999997E-2</v>
      </c>
      <c r="L4630" s="32"/>
      <c r="M4630" s="32">
        <v>1</v>
      </c>
      <c r="N4630" s="18">
        <v>6.2621999999999997E-2</v>
      </c>
      <c r="O4630" s="19">
        <v>0</v>
      </c>
      <c r="P4630" s="13">
        <v>0</v>
      </c>
      <c r="Q4630" s="75">
        <v>9</v>
      </c>
      <c r="R4630" s="72">
        <v>1</v>
      </c>
      <c r="S4630" s="72"/>
    </row>
    <row r="4631" spans="1:19">
      <c r="A4631" s="42" t="s">
        <v>90</v>
      </c>
      <c r="B4631" s="48" t="s">
        <v>148</v>
      </c>
      <c r="C4631" s="32">
        <v>2</v>
      </c>
      <c r="D4631" s="32"/>
      <c r="E4631" s="48" t="s">
        <v>19</v>
      </c>
      <c r="F4631" s="48" t="s">
        <v>14</v>
      </c>
      <c r="G4631" s="48" t="s">
        <v>149</v>
      </c>
      <c r="H4631" s="49">
        <v>6.39</v>
      </c>
      <c r="I4631" s="28">
        <v>8</v>
      </c>
      <c r="J4631" s="3">
        <v>2</v>
      </c>
      <c r="K4631" s="10">
        <v>0.10224</v>
      </c>
      <c r="L4631" s="32"/>
      <c r="M4631" s="32">
        <v>2</v>
      </c>
      <c r="N4631" s="18">
        <v>0.10224</v>
      </c>
      <c r="O4631" s="19">
        <v>0</v>
      </c>
      <c r="P4631" s="13">
        <v>0</v>
      </c>
      <c r="Q4631" s="75">
        <v>7.25</v>
      </c>
      <c r="R4631" s="72">
        <v>2</v>
      </c>
      <c r="S4631" s="72"/>
    </row>
    <row r="4632" spans="1:19">
      <c r="A4632" s="42" t="s">
        <v>90</v>
      </c>
      <c r="B4632" s="48" t="s">
        <v>148</v>
      </c>
      <c r="C4632" s="32">
        <v>2</v>
      </c>
      <c r="D4632" s="32"/>
      <c r="E4632" s="48" t="s">
        <v>19</v>
      </c>
      <c r="F4632" s="48" t="s">
        <v>14</v>
      </c>
      <c r="G4632" s="48" t="s">
        <v>149</v>
      </c>
      <c r="H4632" s="49">
        <v>6.39</v>
      </c>
      <c r="I4632" s="28">
        <v>8.1</v>
      </c>
      <c r="J4632" s="3">
        <v>1</v>
      </c>
      <c r="K4632" s="10">
        <v>5.1758999999999993E-2</v>
      </c>
      <c r="L4632" s="32"/>
      <c r="M4632" s="32">
        <v>1</v>
      </c>
      <c r="N4632" s="18">
        <v>5.1758999999999993E-2</v>
      </c>
      <c r="O4632" s="19">
        <v>0</v>
      </c>
      <c r="P4632" s="13">
        <v>0</v>
      </c>
      <c r="Q4632" s="75">
        <v>7.25</v>
      </c>
      <c r="R4632" s="72">
        <v>1</v>
      </c>
      <c r="S4632" s="72"/>
    </row>
    <row r="4633" spans="1:19">
      <c r="A4633" s="42" t="s">
        <v>90</v>
      </c>
      <c r="B4633" s="48" t="s">
        <v>148</v>
      </c>
      <c r="C4633" s="32">
        <v>2</v>
      </c>
      <c r="D4633" s="32"/>
      <c r="E4633" s="48" t="s">
        <v>19</v>
      </c>
      <c r="F4633" s="48" t="s">
        <v>14</v>
      </c>
      <c r="G4633" s="48" t="s">
        <v>149</v>
      </c>
      <c r="H4633" s="49">
        <v>6.39</v>
      </c>
      <c r="I4633" s="28">
        <v>8.1999999999999993</v>
      </c>
      <c r="J4633" s="3">
        <v>3</v>
      </c>
      <c r="K4633" s="10">
        <v>0.157194</v>
      </c>
      <c r="L4633" s="32"/>
      <c r="M4633" s="32">
        <v>3</v>
      </c>
      <c r="N4633" s="18">
        <v>0.157194</v>
      </c>
      <c r="O4633" s="19">
        <v>0</v>
      </c>
      <c r="P4633" s="13">
        <v>0</v>
      </c>
      <c r="Q4633" s="75">
        <v>7.25</v>
      </c>
      <c r="R4633" s="72">
        <v>3</v>
      </c>
      <c r="S4633" s="72"/>
    </row>
    <row r="4634" spans="1:19">
      <c r="A4634" s="42" t="s">
        <v>90</v>
      </c>
      <c r="B4634" s="48" t="s">
        <v>148</v>
      </c>
      <c r="C4634" s="32">
        <v>2</v>
      </c>
      <c r="D4634" s="32"/>
      <c r="E4634" s="48" t="s">
        <v>19</v>
      </c>
      <c r="F4634" s="48" t="s">
        <v>14</v>
      </c>
      <c r="G4634" s="48" t="s">
        <v>149</v>
      </c>
      <c r="H4634" s="49">
        <v>6.39</v>
      </c>
      <c r="I4634" s="28">
        <v>9</v>
      </c>
      <c r="J4634" s="3">
        <v>2</v>
      </c>
      <c r="K4634" s="10">
        <v>0.11502</v>
      </c>
      <c r="L4634" s="32"/>
      <c r="M4634" s="32">
        <v>2</v>
      </c>
      <c r="N4634" s="18">
        <v>0.11502</v>
      </c>
      <c r="O4634" s="19">
        <v>0</v>
      </c>
      <c r="P4634" s="13">
        <v>0</v>
      </c>
      <c r="Q4634" s="75">
        <v>9</v>
      </c>
      <c r="R4634" s="72">
        <v>2</v>
      </c>
      <c r="S4634" s="72"/>
    </row>
    <row r="4635" spans="1:19">
      <c r="A4635" s="42" t="s">
        <v>90</v>
      </c>
      <c r="B4635" s="48" t="s">
        <v>148</v>
      </c>
      <c r="C4635" s="32">
        <v>2</v>
      </c>
      <c r="D4635" s="32"/>
      <c r="E4635" s="48" t="s">
        <v>19</v>
      </c>
      <c r="F4635" s="48" t="s">
        <v>14</v>
      </c>
      <c r="G4635" s="48" t="s">
        <v>149</v>
      </c>
      <c r="H4635" s="49">
        <v>6.39</v>
      </c>
      <c r="I4635" s="28">
        <v>5.5</v>
      </c>
      <c r="J4635" s="3">
        <v>1</v>
      </c>
      <c r="K4635" s="10">
        <v>3.5144999999999996E-2</v>
      </c>
      <c r="L4635" s="32"/>
      <c r="M4635" s="32"/>
      <c r="N4635" s="18">
        <v>0</v>
      </c>
      <c r="O4635" s="106">
        <v>1</v>
      </c>
      <c r="P4635" s="13">
        <v>3.5144999999999996E-2</v>
      </c>
      <c r="Q4635" s="72" t="s">
        <v>467</v>
      </c>
      <c r="R4635" s="72">
        <v>1</v>
      </c>
      <c r="S4635" s="72"/>
    </row>
    <row r="4636" spans="1:19">
      <c r="A4636" s="42" t="s">
        <v>90</v>
      </c>
      <c r="B4636" s="48" t="s">
        <v>148</v>
      </c>
      <c r="C4636" s="32">
        <v>2</v>
      </c>
      <c r="D4636" s="32"/>
      <c r="E4636" s="48" t="s">
        <v>19</v>
      </c>
      <c r="F4636" s="48" t="s">
        <v>14</v>
      </c>
      <c r="G4636" s="48" t="s">
        <v>149</v>
      </c>
      <c r="H4636" s="49">
        <v>6.39</v>
      </c>
      <c r="I4636" s="28">
        <v>5.8</v>
      </c>
      <c r="J4636" s="3">
        <v>1</v>
      </c>
      <c r="K4636" s="10">
        <v>3.7061999999999998E-2</v>
      </c>
      <c r="L4636" s="32"/>
      <c r="M4636" s="32"/>
      <c r="N4636" s="18">
        <v>0</v>
      </c>
      <c r="O4636" s="106">
        <v>1</v>
      </c>
      <c r="P4636" s="13">
        <v>3.7061999999999998E-2</v>
      </c>
      <c r="Q4636" s="72" t="s">
        <v>467</v>
      </c>
      <c r="R4636" s="72">
        <v>1</v>
      </c>
      <c r="S4636" s="72"/>
    </row>
    <row r="4637" spans="1:19">
      <c r="A4637" s="42" t="s">
        <v>90</v>
      </c>
      <c r="B4637" s="48" t="s">
        <v>148</v>
      </c>
      <c r="C4637" s="32">
        <v>2</v>
      </c>
      <c r="D4637" s="32"/>
      <c r="E4637" s="48" t="s">
        <v>19</v>
      </c>
      <c r="F4637" s="48" t="s">
        <v>14</v>
      </c>
      <c r="G4637" s="48" t="s">
        <v>149</v>
      </c>
      <c r="H4637" s="49">
        <v>6.39</v>
      </c>
      <c r="I4637" s="28">
        <v>7</v>
      </c>
      <c r="J4637" s="3">
        <v>2</v>
      </c>
      <c r="K4637" s="10">
        <v>8.9459999999999998E-2</v>
      </c>
      <c r="L4637" s="32"/>
      <c r="M4637" s="32">
        <v>2</v>
      </c>
      <c r="N4637" s="18">
        <v>8.9459999999999998E-2</v>
      </c>
      <c r="O4637" s="106">
        <v>0</v>
      </c>
      <c r="P4637" s="13">
        <v>0</v>
      </c>
      <c r="Q4637" s="338" t="s">
        <v>671</v>
      </c>
      <c r="R4637" s="72">
        <v>2</v>
      </c>
      <c r="S4637" s="72"/>
    </row>
    <row r="4638" spans="1:19">
      <c r="A4638" s="42" t="s">
        <v>90</v>
      </c>
      <c r="B4638" s="48" t="s">
        <v>148</v>
      </c>
      <c r="C4638" s="32">
        <v>2</v>
      </c>
      <c r="D4638" s="32"/>
      <c r="E4638" s="48" t="s">
        <v>19</v>
      </c>
      <c r="F4638" s="48" t="s">
        <v>14</v>
      </c>
      <c r="G4638" s="48" t="s">
        <v>149</v>
      </c>
      <c r="H4638" s="49">
        <v>6.39</v>
      </c>
      <c r="I4638" s="28">
        <v>10</v>
      </c>
      <c r="J4638" s="3">
        <v>5</v>
      </c>
      <c r="K4638" s="10">
        <v>0.31950000000000001</v>
      </c>
      <c r="L4638" s="32"/>
      <c r="M4638" s="32">
        <v>5</v>
      </c>
      <c r="N4638" s="18">
        <v>0.31950000000000001</v>
      </c>
      <c r="O4638" s="106">
        <v>0</v>
      </c>
      <c r="P4638" s="13">
        <v>0</v>
      </c>
      <c r="Q4638" s="75">
        <v>9</v>
      </c>
      <c r="R4638" s="72">
        <v>5</v>
      </c>
      <c r="S4638" s="72"/>
    </row>
    <row r="4639" spans="1:19">
      <c r="A4639" s="42" t="s">
        <v>90</v>
      </c>
      <c r="B4639" s="48" t="s">
        <v>148</v>
      </c>
      <c r="C4639" s="32">
        <v>2</v>
      </c>
      <c r="D4639" s="32"/>
      <c r="E4639" s="48" t="s">
        <v>19</v>
      </c>
      <c r="F4639" s="48" t="s">
        <v>14</v>
      </c>
      <c r="G4639" s="48" t="s">
        <v>149</v>
      </c>
      <c r="H4639" s="49">
        <v>6.39</v>
      </c>
      <c r="I4639" s="28">
        <v>9.5</v>
      </c>
      <c r="J4639" s="3">
        <v>1</v>
      </c>
      <c r="K4639" s="10">
        <v>6.0704999999999995E-2</v>
      </c>
      <c r="L4639" s="32"/>
      <c r="M4639" s="32">
        <v>1</v>
      </c>
      <c r="N4639" s="18">
        <v>6.0704999999999995E-2</v>
      </c>
      <c r="O4639" s="106">
        <v>0</v>
      </c>
      <c r="P4639" s="13">
        <v>0</v>
      </c>
      <c r="Q4639" s="75">
        <v>9</v>
      </c>
      <c r="R4639" s="72">
        <v>1</v>
      </c>
      <c r="S4639" s="72"/>
    </row>
    <row r="4640" spans="1:19">
      <c r="A4640" s="42" t="s">
        <v>90</v>
      </c>
      <c r="B4640" s="48" t="s">
        <v>148</v>
      </c>
      <c r="C4640" s="32">
        <v>2</v>
      </c>
      <c r="D4640" s="32"/>
      <c r="E4640" s="48" t="s">
        <v>19</v>
      </c>
      <c r="F4640" s="48" t="s">
        <v>14</v>
      </c>
      <c r="G4640" s="48" t="s">
        <v>149</v>
      </c>
      <c r="H4640" s="49">
        <v>6.39</v>
      </c>
      <c r="I4640" s="28">
        <v>9.75</v>
      </c>
      <c r="J4640" s="3">
        <v>1</v>
      </c>
      <c r="K4640" s="10">
        <v>6.2302499999999997E-2</v>
      </c>
      <c r="L4640" s="32"/>
      <c r="M4640" s="32">
        <v>1</v>
      </c>
      <c r="N4640" s="18">
        <v>6.2302499999999997E-2</v>
      </c>
      <c r="O4640" s="106">
        <v>0</v>
      </c>
      <c r="P4640" s="13">
        <v>0</v>
      </c>
      <c r="Q4640" s="75">
        <v>9</v>
      </c>
      <c r="R4640" s="72">
        <v>1</v>
      </c>
      <c r="S4640" s="72"/>
    </row>
    <row r="4641" spans="1:19">
      <c r="A4641" s="42" t="s">
        <v>90</v>
      </c>
      <c r="B4641" s="48" t="s">
        <v>148</v>
      </c>
      <c r="C4641" s="32">
        <v>2</v>
      </c>
      <c r="D4641" s="32"/>
      <c r="E4641" s="48" t="s">
        <v>19</v>
      </c>
      <c r="F4641" s="48" t="s">
        <v>14</v>
      </c>
      <c r="G4641" s="48" t="s">
        <v>149</v>
      </c>
      <c r="H4641" s="49">
        <v>6.39</v>
      </c>
      <c r="I4641" s="28">
        <v>7.3</v>
      </c>
      <c r="J4641" s="2">
        <v>1</v>
      </c>
      <c r="K4641" s="10">
        <v>4.6647000000000001E-2</v>
      </c>
      <c r="L4641" s="32"/>
      <c r="M4641" s="32">
        <v>1</v>
      </c>
      <c r="N4641" s="18">
        <v>4.6647000000000001E-2</v>
      </c>
      <c r="O4641" s="106">
        <v>0</v>
      </c>
      <c r="P4641" s="13">
        <v>0</v>
      </c>
      <c r="Q4641" s="75">
        <v>6.6</v>
      </c>
      <c r="R4641" s="72">
        <v>1</v>
      </c>
      <c r="S4641" s="72"/>
    </row>
    <row r="4642" spans="1:19">
      <c r="A4642" s="42" t="s">
        <v>90</v>
      </c>
      <c r="B4642" s="48" t="s">
        <v>148</v>
      </c>
      <c r="C4642" s="32">
        <v>2</v>
      </c>
      <c r="D4642" s="32"/>
      <c r="E4642" s="48" t="s">
        <v>19</v>
      </c>
      <c r="F4642" s="48" t="s">
        <v>14</v>
      </c>
      <c r="G4642" s="48" t="s">
        <v>149</v>
      </c>
      <c r="H4642" s="49">
        <v>6.39</v>
      </c>
      <c r="I4642" s="28">
        <v>7.5</v>
      </c>
      <c r="J4642" s="3">
        <v>1</v>
      </c>
      <c r="K4642" s="10">
        <v>4.7924999999999995E-2</v>
      </c>
      <c r="L4642" s="32"/>
      <c r="M4642" s="32">
        <v>1</v>
      </c>
      <c r="N4642" s="18">
        <v>4.7924999999999995E-2</v>
      </c>
      <c r="O4642" s="106">
        <v>0</v>
      </c>
      <c r="P4642" s="13">
        <v>0</v>
      </c>
      <c r="Q4642" s="75"/>
      <c r="R4642" s="72">
        <v>1</v>
      </c>
      <c r="S4642" s="72"/>
    </row>
    <row r="4643" spans="1:19">
      <c r="A4643" s="42" t="s">
        <v>90</v>
      </c>
      <c r="B4643" s="48" t="s">
        <v>148</v>
      </c>
      <c r="C4643" s="32">
        <v>2</v>
      </c>
      <c r="D4643" s="32"/>
      <c r="E4643" s="48" t="s">
        <v>19</v>
      </c>
      <c r="F4643" s="48" t="s">
        <v>14</v>
      </c>
      <c r="G4643" s="48" t="s">
        <v>149</v>
      </c>
      <c r="H4643" s="49">
        <v>6.39</v>
      </c>
      <c r="I4643" s="28">
        <v>7.7</v>
      </c>
      <c r="J4643" s="3">
        <v>1</v>
      </c>
      <c r="K4643" s="10">
        <v>4.9202999999999997E-2</v>
      </c>
      <c r="L4643" s="32"/>
      <c r="M4643" s="32">
        <v>1</v>
      </c>
      <c r="N4643" s="18">
        <v>4.9202999999999997E-2</v>
      </c>
      <c r="O4643" s="106">
        <v>0</v>
      </c>
      <c r="P4643" s="13">
        <v>0</v>
      </c>
      <c r="Q4643" s="75">
        <v>6.6</v>
      </c>
      <c r="R4643" s="72">
        <v>1</v>
      </c>
      <c r="S4643" s="72"/>
    </row>
    <row r="4644" spans="1:19">
      <c r="A4644" s="42" t="s">
        <v>90</v>
      </c>
      <c r="B4644" s="48" t="s">
        <v>148</v>
      </c>
      <c r="C4644" s="32">
        <v>2</v>
      </c>
      <c r="D4644" s="32"/>
      <c r="E4644" s="48" t="s">
        <v>19</v>
      </c>
      <c r="F4644" s="48" t="s">
        <v>14</v>
      </c>
      <c r="G4644" s="48" t="s">
        <v>149</v>
      </c>
      <c r="H4644" s="49">
        <v>6.39</v>
      </c>
      <c r="I4644" s="28">
        <v>7.8</v>
      </c>
      <c r="J4644" s="3">
        <v>1</v>
      </c>
      <c r="K4644" s="10">
        <v>4.9841999999999997E-2</v>
      </c>
      <c r="L4644" s="32"/>
      <c r="M4644" s="32">
        <v>1</v>
      </c>
      <c r="N4644" s="18">
        <v>4.9841999999999997E-2</v>
      </c>
      <c r="O4644" s="106">
        <v>0</v>
      </c>
      <c r="P4644" s="13">
        <v>0</v>
      </c>
      <c r="Q4644" s="75">
        <v>6.6</v>
      </c>
      <c r="R4644" s="72">
        <v>1</v>
      </c>
      <c r="S4644" s="72"/>
    </row>
    <row r="4645" spans="1:19">
      <c r="A4645" s="42" t="s">
        <v>90</v>
      </c>
      <c r="B4645" s="48" t="s">
        <v>148</v>
      </c>
      <c r="C4645" s="32">
        <v>2</v>
      </c>
      <c r="D4645" s="32"/>
      <c r="E4645" s="48" t="s">
        <v>19</v>
      </c>
      <c r="F4645" s="48" t="s">
        <v>14</v>
      </c>
      <c r="G4645" s="48" t="s">
        <v>149</v>
      </c>
      <c r="H4645" s="49">
        <v>6.39</v>
      </c>
      <c r="I4645" s="8">
        <v>7.9</v>
      </c>
      <c r="J4645" s="7">
        <v>1</v>
      </c>
      <c r="K4645" s="10">
        <v>5.0481000000000005E-2</v>
      </c>
      <c r="L4645" s="32"/>
      <c r="M4645" s="32">
        <v>1</v>
      </c>
      <c r="N4645" s="18">
        <v>5.0481000000000005E-2</v>
      </c>
      <c r="O4645" s="106">
        <v>0</v>
      </c>
      <c r="P4645" s="13">
        <v>0</v>
      </c>
      <c r="Q4645" s="75">
        <v>7.25</v>
      </c>
      <c r="R4645" s="72">
        <v>1</v>
      </c>
      <c r="S4645" s="72"/>
    </row>
    <row r="4646" spans="1:19">
      <c r="A4646" s="42" t="s">
        <v>90</v>
      </c>
      <c r="B4646" s="48" t="s">
        <v>148</v>
      </c>
      <c r="C4646" s="32">
        <v>4</v>
      </c>
      <c r="D4646" s="32"/>
      <c r="E4646" s="48" t="s">
        <v>19</v>
      </c>
      <c r="F4646" s="48" t="s">
        <v>14</v>
      </c>
      <c r="G4646" s="48" t="s">
        <v>149</v>
      </c>
      <c r="H4646" s="49">
        <v>6.39</v>
      </c>
      <c r="I4646" s="8">
        <v>7.8</v>
      </c>
      <c r="J4646" s="7">
        <v>1</v>
      </c>
      <c r="K4646" s="10">
        <v>4.9841999999999997E-2</v>
      </c>
      <c r="L4646" s="32"/>
      <c r="M4646" s="32">
        <v>1</v>
      </c>
      <c r="N4646" s="18">
        <v>4.9841999999999997E-2</v>
      </c>
      <c r="O4646" s="106">
        <v>0</v>
      </c>
      <c r="P4646" s="13">
        <v>0</v>
      </c>
      <c r="Q4646" s="75">
        <v>7.25</v>
      </c>
      <c r="R4646" s="72">
        <v>1</v>
      </c>
      <c r="S4646" s="72"/>
    </row>
    <row r="4647" spans="1:19">
      <c r="A4647" s="42" t="s">
        <v>90</v>
      </c>
      <c r="B4647" s="48" t="s">
        <v>148</v>
      </c>
      <c r="C4647" s="32">
        <v>4</v>
      </c>
      <c r="D4647" s="32"/>
      <c r="E4647" s="48" t="s">
        <v>19</v>
      </c>
      <c r="F4647" s="48" t="s">
        <v>14</v>
      </c>
      <c r="G4647" s="48" t="s">
        <v>149</v>
      </c>
      <c r="H4647" s="49">
        <v>6.39</v>
      </c>
      <c r="I4647" s="8">
        <v>9.5</v>
      </c>
      <c r="J4647" s="7">
        <v>9</v>
      </c>
      <c r="K4647" s="10">
        <v>0.54634500000000008</v>
      </c>
      <c r="L4647" s="32"/>
      <c r="M4647" s="32">
        <v>9</v>
      </c>
      <c r="N4647" s="18">
        <v>0.54634500000000008</v>
      </c>
      <c r="O4647" s="106">
        <v>0</v>
      </c>
      <c r="P4647" s="13">
        <v>0</v>
      </c>
      <c r="Q4647" s="75">
        <v>9</v>
      </c>
      <c r="R4647" s="72">
        <v>9</v>
      </c>
      <c r="S4647" s="72"/>
    </row>
    <row r="4648" spans="1:19">
      <c r="A4648" s="42" t="s">
        <v>90</v>
      </c>
      <c r="B4648" s="48" t="s">
        <v>148</v>
      </c>
      <c r="C4648" s="32">
        <v>4</v>
      </c>
      <c r="D4648" s="32"/>
      <c r="E4648" s="48" t="s">
        <v>19</v>
      </c>
      <c r="F4648" s="48" t="s">
        <v>14</v>
      </c>
      <c r="G4648" s="48" t="s">
        <v>149</v>
      </c>
      <c r="H4648" s="49">
        <v>6.39</v>
      </c>
      <c r="I4648" s="8">
        <v>13.1</v>
      </c>
      <c r="J4648" s="7">
        <v>2</v>
      </c>
      <c r="K4648" s="10">
        <v>0.16741799999999998</v>
      </c>
      <c r="L4648" s="32"/>
      <c r="M4648" s="32">
        <v>2</v>
      </c>
      <c r="N4648" s="18">
        <v>0.16741799999999998</v>
      </c>
      <c r="O4648" s="106">
        <v>0</v>
      </c>
      <c r="P4648" s="13">
        <v>0</v>
      </c>
      <c r="Q4648" s="75">
        <v>9</v>
      </c>
      <c r="R4648" s="72">
        <v>2</v>
      </c>
      <c r="S4648" s="72"/>
    </row>
    <row r="4649" spans="1:19">
      <c r="A4649" s="42" t="s">
        <v>90</v>
      </c>
      <c r="B4649" s="48" t="s">
        <v>148</v>
      </c>
      <c r="C4649" s="32">
        <v>4</v>
      </c>
      <c r="D4649" s="32"/>
      <c r="E4649" s="48" t="s">
        <v>19</v>
      </c>
      <c r="F4649" s="48" t="s">
        <v>14</v>
      </c>
      <c r="G4649" s="48" t="s">
        <v>149</v>
      </c>
      <c r="H4649" s="49">
        <v>6.39</v>
      </c>
      <c r="I4649" s="8">
        <v>9</v>
      </c>
      <c r="J4649" s="7">
        <v>3</v>
      </c>
      <c r="K4649" s="10">
        <v>0.17252999999999999</v>
      </c>
      <c r="L4649" s="32"/>
      <c r="M4649" s="32">
        <v>3</v>
      </c>
      <c r="N4649" s="18">
        <v>0.17252999999999999</v>
      </c>
      <c r="O4649" s="106">
        <v>0</v>
      </c>
      <c r="P4649" s="13">
        <v>0</v>
      </c>
      <c r="Q4649" s="75">
        <v>9</v>
      </c>
      <c r="R4649" s="72">
        <v>3</v>
      </c>
      <c r="S4649" s="72"/>
    </row>
    <row r="4650" spans="1:19">
      <c r="A4650" s="42" t="s">
        <v>90</v>
      </c>
      <c r="B4650" s="48" t="s">
        <v>148</v>
      </c>
      <c r="C4650" s="32">
        <v>4</v>
      </c>
      <c r="D4650" s="32"/>
      <c r="E4650" s="48" t="s">
        <v>19</v>
      </c>
      <c r="F4650" s="48" t="s">
        <v>14</v>
      </c>
      <c r="G4650" s="48" t="s">
        <v>149</v>
      </c>
      <c r="H4650" s="49">
        <v>6.39</v>
      </c>
      <c r="I4650" s="8">
        <v>10.8</v>
      </c>
      <c r="J4650" s="7">
        <v>1</v>
      </c>
      <c r="K4650" s="10">
        <v>6.9012000000000004E-2</v>
      </c>
      <c r="L4650" s="32"/>
      <c r="M4650" s="32">
        <v>1</v>
      </c>
      <c r="N4650" s="18">
        <v>6.9012000000000004E-2</v>
      </c>
      <c r="O4650" s="106">
        <v>0</v>
      </c>
      <c r="P4650" s="13">
        <v>0</v>
      </c>
      <c r="Q4650" s="75">
        <v>9</v>
      </c>
      <c r="R4650" s="72">
        <v>1</v>
      </c>
      <c r="S4650" s="72"/>
    </row>
    <row r="4651" spans="1:19">
      <c r="A4651" s="42" t="s">
        <v>90</v>
      </c>
      <c r="B4651" s="48" t="s">
        <v>148</v>
      </c>
      <c r="C4651" s="32">
        <v>4</v>
      </c>
      <c r="D4651" s="32"/>
      <c r="E4651" s="48" t="s">
        <v>19</v>
      </c>
      <c r="F4651" s="48" t="s">
        <v>14</v>
      </c>
      <c r="G4651" s="48" t="s">
        <v>149</v>
      </c>
      <c r="H4651" s="49">
        <v>6.39</v>
      </c>
      <c r="I4651" s="8">
        <v>9.4</v>
      </c>
      <c r="J4651" s="7">
        <v>1</v>
      </c>
      <c r="K4651" s="10">
        <v>6.0066000000000001E-2</v>
      </c>
      <c r="L4651" s="32"/>
      <c r="M4651" s="32">
        <v>1</v>
      </c>
      <c r="N4651" s="18">
        <v>6.0066000000000001E-2</v>
      </c>
      <c r="O4651" s="106">
        <v>0</v>
      </c>
      <c r="P4651" s="13">
        <v>0</v>
      </c>
      <c r="Q4651" s="75">
        <v>9</v>
      </c>
      <c r="R4651" s="72">
        <v>1</v>
      </c>
      <c r="S4651" s="72"/>
    </row>
    <row r="4652" spans="1:19">
      <c r="A4652" s="42" t="s">
        <v>90</v>
      </c>
      <c r="B4652" s="48" t="s">
        <v>148</v>
      </c>
      <c r="C4652" s="32">
        <v>4</v>
      </c>
      <c r="D4652" s="32"/>
      <c r="E4652" s="48" t="s">
        <v>19</v>
      </c>
      <c r="F4652" s="48" t="s">
        <v>14</v>
      </c>
      <c r="G4652" s="48" t="s">
        <v>149</v>
      </c>
      <c r="H4652" s="49">
        <v>6.39</v>
      </c>
      <c r="I4652" s="8">
        <v>13</v>
      </c>
      <c r="J4652" s="7">
        <v>2</v>
      </c>
      <c r="K4652" s="10">
        <v>0.16613999999999998</v>
      </c>
      <c r="L4652" s="32"/>
      <c r="M4652" s="32">
        <v>2</v>
      </c>
      <c r="N4652" s="18">
        <v>0.16613999999999998</v>
      </c>
      <c r="O4652" s="106">
        <v>0</v>
      </c>
      <c r="P4652" s="13">
        <v>0</v>
      </c>
      <c r="Q4652" s="75">
        <v>9</v>
      </c>
      <c r="R4652" s="72">
        <v>2</v>
      </c>
      <c r="S4652" s="72"/>
    </row>
    <row r="4653" spans="1:19">
      <c r="A4653" s="42" t="s">
        <v>90</v>
      </c>
      <c r="B4653" s="48" t="s">
        <v>148</v>
      </c>
      <c r="C4653" s="32">
        <v>5</v>
      </c>
      <c r="D4653" s="32"/>
      <c r="E4653" s="48" t="s">
        <v>19</v>
      </c>
      <c r="F4653" s="48" t="s">
        <v>14</v>
      </c>
      <c r="G4653" s="48" t="s">
        <v>149</v>
      </c>
      <c r="H4653" s="49">
        <v>6.39</v>
      </c>
      <c r="I4653" s="8">
        <v>8</v>
      </c>
      <c r="J4653" s="7">
        <v>1</v>
      </c>
      <c r="K4653" s="10">
        <v>5.1119999999999999E-2</v>
      </c>
      <c r="L4653" s="32"/>
      <c r="M4653" s="32"/>
      <c r="N4653" s="18">
        <v>0</v>
      </c>
      <c r="O4653" s="106">
        <v>1</v>
      </c>
      <c r="P4653" s="13">
        <v>5.1119999999999999E-2</v>
      </c>
      <c r="Q4653" s="72" t="s">
        <v>467</v>
      </c>
      <c r="R4653" s="72">
        <v>1</v>
      </c>
      <c r="S4653" s="72"/>
    </row>
    <row r="4654" spans="1:19">
      <c r="A4654" s="42" t="s">
        <v>90</v>
      </c>
      <c r="B4654" s="48" t="s">
        <v>148</v>
      </c>
      <c r="C4654" s="32">
        <v>5</v>
      </c>
      <c r="D4654" s="32"/>
      <c r="E4654" s="48" t="s">
        <v>19</v>
      </c>
      <c r="F4654" s="48" t="s">
        <v>14</v>
      </c>
      <c r="G4654" s="48" t="s">
        <v>149</v>
      </c>
      <c r="H4654" s="49">
        <v>6.39</v>
      </c>
      <c r="I4654" s="8">
        <v>7</v>
      </c>
      <c r="J4654" s="7">
        <v>1</v>
      </c>
      <c r="K4654" s="10">
        <v>4.4729999999999999E-2</v>
      </c>
      <c r="L4654" s="32"/>
      <c r="M4654" s="32"/>
      <c r="N4654" s="18">
        <v>0</v>
      </c>
      <c r="O4654" s="106">
        <v>1</v>
      </c>
      <c r="P4654" s="13">
        <v>4.4729999999999999E-2</v>
      </c>
      <c r="Q4654" s="72" t="s">
        <v>467</v>
      </c>
      <c r="R4654" s="72">
        <v>1</v>
      </c>
      <c r="S4654" s="72"/>
    </row>
    <row r="4655" spans="1:19">
      <c r="A4655" s="42" t="s">
        <v>90</v>
      </c>
      <c r="B4655" s="48" t="s">
        <v>148</v>
      </c>
      <c r="C4655" s="32">
        <v>5</v>
      </c>
      <c r="D4655" s="32"/>
      <c r="E4655" s="48" t="s">
        <v>19</v>
      </c>
      <c r="F4655" s="48" t="s">
        <v>14</v>
      </c>
      <c r="G4655" s="48" t="s">
        <v>149</v>
      </c>
      <c r="H4655" s="49">
        <v>6.39</v>
      </c>
      <c r="I4655" s="8">
        <v>7.3</v>
      </c>
      <c r="J4655" s="7">
        <v>1</v>
      </c>
      <c r="K4655" s="10">
        <v>4.6647000000000001E-2</v>
      </c>
      <c r="L4655" s="32"/>
      <c r="M4655" s="32"/>
      <c r="N4655" s="18">
        <v>0</v>
      </c>
      <c r="O4655" s="106">
        <v>1</v>
      </c>
      <c r="P4655" s="13">
        <v>4.6647000000000001E-2</v>
      </c>
      <c r="Q4655" s="72" t="s">
        <v>467</v>
      </c>
      <c r="R4655" s="72">
        <v>1</v>
      </c>
      <c r="S4655" s="72"/>
    </row>
    <row r="4656" spans="1:19">
      <c r="A4656" s="42" t="s">
        <v>90</v>
      </c>
      <c r="B4656" s="48" t="s">
        <v>148</v>
      </c>
      <c r="C4656" s="32">
        <v>5</v>
      </c>
      <c r="D4656" s="32"/>
      <c r="E4656" s="48" t="s">
        <v>19</v>
      </c>
      <c r="F4656" s="48" t="s">
        <v>14</v>
      </c>
      <c r="G4656" s="48" t="s">
        <v>149</v>
      </c>
      <c r="H4656" s="49">
        <v>6.39</v>
      </c>
      <c r="I4656" s="8">
        <v>5</v>
      </c>
      <c r="J4656" s="7">
        <v>1</v>
      </c>
      <c r="K4656" s="10">
        <v>3.1949999999999999E-2</v>
      </c>
      <c r="L4656" s="32"/>
      <c r="M4656" s="32"/>
      <c r="N4656" s="18">
        <v>0</v>
      </c>
      <c r="O4656" s="106">
        <v>1</v>
      </c>
      <c r="P4656" s="13">
        <v>3.1949999999999999E-2</v>
      </c>
      <c r="Q4656" s="72" t="s">
        <v>467</v>
      </c>
      <c r="R4656" s="72">
        <v>1</v>
      </c>
      <c r="S4656" s="72"/>
    </row>
    <row r="4657" spans="1:19">
      <c r="A4657" s="42" t="s">
        <v>90</v>
      </c>
      <c r="B4657" s="48" t="s">
        <v>148</v>
      </c>
      <c r="C4657" s="32">
        <v>5</v>
      </c>
      <c r="D4657" s="32"/>
      <c r="E4657" s="48" t="s">
        <v>19</v>
      </c>
      <c r="F4657" s="48" t="s">
        <v>14</v>
      </c>
      <c r="G4657" s="48" t="s">
        <v>149</v>
      </c>
      <c r="H4657" s="49">
        <v>6.39</v>
      </c>
      <c r="I4657" s="8">
        <v>5.8</v>
      </c>
      <c r="J4657" s="7">
        <v>1</v>
      </c>
      <c r="K4657" s="10">
        <v>3.7061999999999998E-2</v>
      </c>
      <c r="L4657" s="32"/>
      <c r="M4657" s="32"/>
      <c r="N4657" s="18">
        <v>0</v>
      </c>
      <c r="O4657" s="106">
        <v>1</v>
      </c>
      <c r="P4657" s="13">
        <v>3.7061999999999998E-2</v>
      </c>
      <c r="Q4657" s="72" t="s">
        <v>467</v>
      </c>
      <c r="R4657" s="72">
        <v>1</v>
      </c>
      <c r="S4657" s="72"/>
    </row>
    <row r="4658" spans="1:19">
      <c r="A4658" s="42" t="s">
        <v>90</v>
      </c>
      <c r="B4658" s="48" t="s">
        <v>148</v>
      </c>
      <c r="C4658" s="32">
        <v>5</v>
      </c>
      <c r="D4658" s="32"/>
      <c r="E4658" s="48" t="s">
        <v>19</v>
      </c>
      <c r="F4658" s="48" t="s">
        <v>14</v>
      </c>
      <c r="G4658" s="48" t="s">
        <v>149</v>
      </c>
      <c r="H4658" s="49">
        <v>6.39</v>
      </c>
      <c r="I4658" s="8">
        <v>6.2</v>
      </c>
      <c r="J4658" s="7">
        <v>1</v>
      </c>
      <c r="K4658" s="10">
        <v>3.9618E-2</v>
      </c>
      <c r="L4658" s="32"/>
      <c r="M4658" s="32"/>
      <c r="N4658" s="18">
        <v>0</v>
      </c>
      <c r="O4658" s="106">
        <v>1</v>
      </c>
      <c r="P4658" s="13">
        <v>3.9618E-2</v>
      </c>
      <c r="Q4658" s="72" t="s">
        <v>467</v>
      </c>
      <c r="R4658" s="72">
        <v>1</v>
      </c>
      <c r="S4658" s="72"/>
    </row>
    <row r="4659" spans="1:19">
      <c r="A4659" s="42" t="s">
        <v>90</v>
      </c>
      <c r="B4659" s="48" t="s">
        <v>148</v>
      </c>
      <c r="C4659" s="32">
        <v>5</v>
      </c>
      <c r="D4659" s="32"/>
      <c r="E4659" s="48" t="s">
        <v>19</v>
      </c>
      <c r="F4659" s="48" t="s">
        <v>14</v>
      </c>
      <c r="G4659" s="48" t="s">
        <v>149</v>
      </c>
      <c r="H4659" s="49">
        <v>6.39</v>
      </c>
      <c r="I4659" s="8">
        <v>6.5</v>
      </c>
      <c r="J4659" s="7">
        <v>1</v>
      </c>
      <c r="K4659" s="10">
        <v>4.1534999999999996E-2</v>
      </c>
      <c r="L4659" s="32"/>
      <c r="M4659" s="32"/>
      <c r="N4659" s="18">
        <v>0</v>
      </c>
      <c r="O4659" s="106">
        <v>1</v>
      </c>
      <c r="P4659" s="13">
        <v>4.1534999999999996E-2</v>
      </c>
      <c r="Q4659" s="72" t="s">
        <v>467</v>
      </c>
      <c r="R4659" s="72">
        <v>1</v>
      </c>
      <c r="S4659" s="72"/>
    </row>
    <row r="4660" spans="1:19">
      <c r="A4660" s="42" t="s">
        <v>90</v>
      </c>
      <c r="B4660" s="48" t="s">
        <v>148</v>
      </c>
      <c r="C4660" s="32">
        <v>5</v>
      </c>
      <c r="D4660" s="32"/>
      <c r="E4660" s="48" t="s">
        <v>19</v>
      </c>
      <c r="F4660" s="48" t="s">
        <v>14</v>
      </c>
      <c r="G4660" s="48" t="s">
        <v>149</v>
      </c>
      <c r="H4660" s="49">
        <v>6.39</v>
      </c>
      <c r="I4660" s="8">
        <v>7.5</v>
      </c>
      <c r="J4660" s="7">
        <v>5</v>
      </c>
      <c r="K4660" s="10">
        <v>0.239625</v>
      </c>
      <c r="L4660" s="32"/>
      <c r="M4660" s="32"/>
      <c r="N4660" s="18">
        <v>0</v>
      </c>
      <c r="O4660" s="106">
        <v>5</v>
      </c>
      <c r="P4660" s="13">
        <v>0.239625</v>
      </c>
      <c r="Q4660" s="72" t="s">
        <v>467</v>
      </c>
      <c r="R4660" s="72">
        <v>5</v>
      </c>
      <c r="S4660" s="72"/>
    </row>
    <row r="4661" spans="1:19">
      <c r="A4661" s="42" t="s">
        <v>90</v>
      </c>
      <c r="B4661" s="48" t="s">
        <v>148</v>
      </c>
      <c r="C4661" s="32">
        <v>9</v>
      </c>
      <c r="D4661" s="32"/>
      <c r="E4661" s="48" t="s">
        <v>19</v>
      </c>
      <c r="F4661" s="48" t="s">
        <v>14</v>
      </c>
      <c r="G4661" s="48" t="s">
        <v>149</v>
      </c>
      <c r="H4661" s="49">
        <v>6.39</v>
      </c>
      <c r="I4661" s="8">
        <v>8</v>
      </c>
      <c r="J4661" s="7">
        <v>2</v>
      </c>
      <c r="K4661" s="10">
        <v>0.10224</v>
      </c>
      <c r="L4661" s="32"/>
      <c r="M4661" s="32"/>
      <c r="N4661" s="18">
        <v>0</v>
      </c>
      <c r="O4661" s="106">
        <v>2</v>
      </c>
      <c r="P4661" s="13">
        <v>0.10224</v>
      </c>
      <c r="Q4661" s="72" t="s">
        <v>467</v>
      </c>
      <c r="R4661" s="72">
        <v>2</v>
      </c>
      <c r="S4661" s="72"/>
    </row>
    <row r="4662" spans="1:19">
      <c r="A4662" s="42" t="s">
        <v>90</v>
      </c>
      <c r="B4662" s="48" t="s">
        <v>148</v>
      </c>
      <c r="C4662" s="32">
        <v>9</v>
      </c>
      <c r="D4662" s="32"/>
      <c r="E4662" s="48" t="s">
        <v>19</v>
      </c>
      <c r="F4662" s="48" t="s">
        <v>14</v>
      </c>
      <c r="G4662" s="48" t="s">
        <v>149</v>
      </c>
      <c r="H4662" s="49">
        <v>6.39</v>
      </c>
      <c r="I4662" s="8">
        <v>6</v>
      </c>
      <c r="J4662" s="7">
        <v>1</v>
      </c>
      <c r="K4662" s="10">
        <v>3.8339999999999999E-2</v>
      </c>
      <c r="L4662" s="32"/>
      <c r="M4662" s="32"/>
      <c r="N4662" s="18">
        <v>0</v>
      </c>
      <c r="O4662" s="106">
        <v>1</v>
      </c>
      <c r="P4662" s="13">
        <v>3.8339999999999999E-2</v>
      </c>
      <c r="Q4662" s="72" t="s">
        <v>467</v>
      </c>
      <c r="R4662" s="72">
        <v>1</v>
      </c>
      <c r="S4662" s="72"/>
    </row>
    <row r="4663" spans="1:19">
      <c r="A4663" s="42" t="s">
        <v>90</v>
      </c>
      <c r="B4663" s="48" t="s">
        <v>148</v>
      </c>
      <c r="C4663" s="32">
        <v>9</v>
      </c>
      <c r="D4663" s="32"/>
      <c r="E4663" s="48" t="s">
        <v>19</v>
      </c>
      <c r="F4663" s="48" t="s">
        <v>14</v>
      </c>
      <c r="G4663" s="48" t="s">
        <v>149</v>
      </c>
      <c r="H4663" s="49">
        <v>6.39</v>
      </c>
      <c r="I4663" s="8">
        <v>7</v>
      </c>
      <c r="J4663" s="7">
        <v>2</v>
      </c>
      <c r="K4663" s="10">
        <v>8.9459999999999998E-2</v>
      </c>
      <c r="L4663" s="32"/>
      <c r="M4663" s="32"/>
      <c r="N4663" s="18">
        <v>0</v>
      </c>
      <c r="O4663" s="106">
        <v>2</v>
      </c>
      <c r="P4663" s="13">
        <v>8.9459999999999998E-2</v>
      </c>
      <c r="Q4663" s="72" t="s">
        <v>467</v>
      </c>
      <c r="R4663" s="72">
        <v>2</v>
      </c>
      <c r="S4663" s="72"/>
    </row>
    <row r="4664" spans="1:19">
      <c r="A4664" s="42" t="s">
        <v>90</v>
      </c>
      <c r="B4664" s="48" t="s">
        <v>148</v>
      </c>
      <c r="C4664" s="32">
        <v>9</v>
      </c>
      <c r="D4664" s="32"/>
      <c r="E4664" s="48" t="s">
        <v>19</v>
      </c>
      <c r="F4664" s="48" t="s">
        <v>14</v>
      </c>
      <c r="G4664" s="48" t="s">
        <v>149</v>
      </c>
      <c r="H4664" s="49">
        <v>6.39</v>
      </c>
      <c r="I4664" s="8">
        <v>7.5</v>
      </c>
      <c r="J4664" s="7">
        <v>5</v>
      </c>
      <c r="K4664" s="10">
        <v>0.239625</v>
      </c>
      <c r="L4664" s="32"/>
      <c r="M4664" s="32"/>
      <c r="N4664" s="18">
        <v>0</v>
      </c>
      <c r="O4664" s="106">
        <v>5</v>
      </c>
      <c r="P4664" s="13">
        <v>0.239625</v>
      </c>
      <c r="Q4664" s="72" t="s">
        <v>467</v>
      </c>
      <c r="R4664" s="72">
        <v>5</v>
      </c>
      <c r="S4664" s="72"/>
    </row>
    <row r="4665" spans="1:19">
      <c r="A4665" s="42" t="s">
        <v>90</v>
      </c>
      <c r="B4665" s="48" t="s">
        <v>148</v>
      </c>
      <c r="C4665" s="32">
        <v>9</v>
      </c>
      <c r="D4665" s="32"/>
      <c r="E4665" s="48" t="s">
        <v>19</v>
      </c>
      <c r="F4665" s="48" t="s">
        <v>14</v>
      </c>
      <c r="G4665" s="48" t="s">
        <v>149</v>
      </c>
      <c r="H4665" s="49">
        <v>6.39</v>
      </c>
      <c r="I4665" s="8">
        <v>7.7</v>
      </c>
      <c r="J4665" s="7">
        <v>1</v>
      </c>
      <c r="K4665" s="10">
        <v>4.9202999999999997E-2</v>
      </c>
      <c r="L4665" s="32"/>
      <c r="M4665" s="32"/>
      <c r="N4665" s="18">
        <v>0</v>
      </c>
      <c r="O4665" s="106">
        <v>1</v>
      </c>
      <c r="P4665" s="13">
        <v>4.9202999999999997E-2</v>
      </c>
      <c r="Q4665" s="72" t="s">
        <v>467</v>
      </c>
      <c r="R4665" s="72">
        <v>1</v>
      </c>
      <c r="S4665" s="72"/>
    </row>
    <row r="4666" spans="1:19">
      <c r="A4666" s="42" t="s">
        <v>90</v>
      </c>
      <c r="B4666" s="48" t="s">
        <v>148</v>
      </c>
      <c r="C4666" s="32">
        <v>11</v>
      </c>
      <c r="D4666" s="32"/>
      <c r="E4666" s="48" t="s">
        <v>19</v>
      </c>
      <c r="F4666" s="48" t="s">
        <v>14</v>
      </c>
      <c r="G4666" s="48" t="s">
        <v>149</v>
      </c>
      <c r="H4666" s="49">
        <v>6.39</v>
      </c>
      <c r="I4666" s="8">
        <v>7.5</v>
      </c>
      <c r="J4666" s="7">
        <v>10</v>
      </c>
      <c r="K4666" s="10">
        <v>0.47925000000000001</v>
      </c>
      <c r="L4666" s="32"/>
      <c r="M4666" s="32"/>
      <c r="N4666" s="18">
        <v>0</v>
      </c>
      <c r="O4666" s="106">
        <v>10</v>
      </c>
      <c r="P4666" s="13">
        <v>0.47925000000000001</v>
      </c>
      <c r="Q4666" s="72" t="s">
        <v>467</v>
      </c>
      <c r="R4666" s="72">
        <v>10</v>
      </c>
      <c r="S4666" s="72"/>
    </row>
    <row r="4667" spans="1:19">
      <c r="A4667" s="42" t="s">
        <v>90</v>
      </c>
      <c r="B4667" s="48" t="s">
        <v>148</v>
      </c>
      <c r="C4667" s="32">
        <v>11</v>
      </c>
      <c r="D4667" s="32"/>
      <c r="E4667" s="48" t="s">
        <v>19</v>
      </c>
      <c r="F4667" s="48" t="s">
        <v>14</v>
      </c>
      <c r="G4667" s="48" t="s">
        <v>149</v>
      </c>
      <c r="H4667" s="49">
        <v>6.39</v>
      </c>
      <c r="I4667" s="8">
        <v>8</v>
      </c>
      <c r="J4667" s="7">
        <v>4</v>
      </c>
      <c r="K4667" s="10">
        <v>0.20448</v>
      </c>
      <c r="L4667" s="32"/>
      <c r="M4667" s="32"/>
      <c r="N4667" s="18">
        <v>0</v>
      </c>
      <c r="O4667" s="106">
        <v>4</v>
      </c>
      <c r="P4667" s="13">
        <v>0.20448</v>
      </c>
      <c r="Q4667" s="72" t="s">
        <v>467</v>
      </c>
      <c r="R4667" s="72">
        <v>4</v>
      </c>
      <c r="S4667" s="72"/>
    </row>
    <row r="4668" spans="1:19">
      <c r="A4668" s="42" t="s">
        <v>90</v>
      </c>
      <c r="B4668" s="48" t="s">
        <v>148</v>
      </c>
      <c r="C4668" s="32">
        <v>12</v>
      </c>
      <c r="D4668" s="32"/>
      <c r="E4668" s="48" t="s">
        <v>19</v>
      </c>
      <c r="F4668" s="48" t="s">
        <v>14</v>
      </c>
      <c r="G4668" s="48" t="s">
        <v>149</v>
      </c>
      <c r="H4668" s="49">
        <v>6.39</v>
      </c>
      <c r="I4668" s="8">
        <v>8.5</v>
      </c>
      <c r="J4668" s="7">
        <v>4</v>
      </c>
      <c r="K4668" s="10">
        <v>0.21725999999999998</v>
      </c>
      <c r="L4668" s="32"/>
      <c r="M4668" s="32"/>
      <c r="N4668" s="18">
        <v>0</v>
      </c>
      <c r="O4668" s="106">
        <v>4</v>
      </c>
      <c r="P4668" s="13">
        <v>0.21725999999999998</v>
      </c>
      <c r="Q4668" s="72" t="s">
        <v>467</v>
      </c>
      <c r="R4668" s="72">
        <v>4</v>
      </c>
      <c r="S4668" s="72"/>
    </row>
    <row r="4669" spans="1:19">
      <c r="A4669" s="42" t="s">
        <v>90</v>
      </c>
      <c r="B4669" s="48" t="s">
        <v>148</v>
      </c>
      <c r="C4669" s="32">
        <v>12</v>
      </c>
      <c r="D4669" s="32"/>
      <c r="E4669" s="48" t="s">
        <v>19</v>
      </c>
      <c r="F4669" s="48" t="s">
        <v>14</v>
      </c>
      <c r="G4669" s="48" t="s">
        <v>149</v>
      </c>
      <c r="H4669" s="49">
        <v>6.39</v>
      </c>
      <c r="I4669" s="8">
        <v>8.6999999999999993</v>
      </c>
      <c r="J4669" s="7">
        <v>4</v>
      </c>
      <c r="K4669" s="10">
        <v>0.22237199999999996</v>
      </c>
      <c r="L4669" s="32"/>
      <c r="M4669" s="32"/>
      <c r="N4669" s="18">
        <v>0</v>
      </c>
      <c r="O4669" s="19">
        <v>4</v>
      </c>
      <c r="P4669" s="13">
        <v>0.22237199999999996</v>
      </c>
      <c r="Q4669" s="75"/>
      <c r="R4669" s="72"/>
      <c r="S4669" s="72"/>
    </row>
    <row r="4670" spans="1:19">
      <c r="A4670" s="42" t="s">
        <v>90</v>
      </c>
      <c r="B4670" s="48" t="s">
        <v>148</v>
      </c>
      <c r="C4670" s="32">
        <v>12</v>
      </c>
      <c r="D4670" s="32"/>
      <c r="E4670" s="48" t="s">
        <v>19</v>
      </c>
      <c r="F4670" s="48" t="s">
        <v>14</v>
      </c>
      <c r="G4670" s="48" t="s">
        <v>149</v>
      </c>
      <c r="H4670" s="49">
        <v>6.39</v>
      </c>
      <c r="I4670" s="8">
        <v>8.8000000000000007</v>
      </c>
      <c r="J4670" s="7">
        <v>7</v>
      </c>
      <c r="K4670" s="10">
        <v>0.39362400000000003</v>
      </c>
      <c r="L4670" s="32"/>
      <c r="M4670" s="32"/>
      <c r="N4670" s="18">
        <v>0</v>
      </c>
      <c r="O4670" s="19">
        <v>7</v>
      </c>
      <c r="P4670" s="13">
        <v>0.39362400000000003</v>
      </c>
      <c r="Q4670" s="75"/>
      <c r="R4670" s="72"/>
      <c r="S4670" s="72"/>
    </row>
    <row r="4671" spans="1:19">
      <c r="A4671" s="42" t="s">
        <v>90</v>
      </c>
      <c r="B4671" s="48" t="s">
        <v>148</v>
      </c>
      <c r="C4671" s="32">
        <v>12</v>
      </c>
      <c r="D4671" s="32"/>
      <c r="E4671" s="48" t="s">
        <v>19</v>
      </c>
      <c r="F4671" s="48" t="s">
        <v>14</v>
      </c>
      <c r="G4671" s="48" t="s">
        <v>149</v>
      </c>
      <c r="H4671" s="49">
        <v>6.39</v>
      </c>
      <c r="I4671" s="8">
        <v>9</v>
      </c>
      <c r="J4671" s="7">
        <v>12</v>
      </c>
      <c r="K4671" s="10">
        <v>0.69011999999999996</v>
      </c>
      <c r="L4671" s="32"/>
      <c r="M4671" s="32">
        <v>12</v>
      </c>
      <c r="N4671" s="18">
        <v>0.69011999999999996</v>
      </c>
      <c r="O4671" s="19">
        <v>0</v>
      </c>
      <c r="P4671" s="13">
        <v>0</v>
      </c>
      <c r="Q4671" s="75">
        <v>9</v>
      </c>
      <c r="R4671" s="72">
        <v>12</v>
      </c>
      <c r="S4671" s="72"/>
    </row>
    <row r="4672" spans="1:19">
      <c r="A4672" s="42" t="s">
        <v>90</v>
      </c>
      <c r="B4672" s="48" t="s">
        <v>148</v>
      </c>
      <c r="C4672" s="32">
        <v>13</v>
      </c>
      <c r="D4672" s="32"/>
      <c r="E4672" s="48" t="s">
        <v>19</v>
      </c>
      <c r="F4672" s="48" t="s">
        <v>14</v>
      </c>
      <c r="G4672" s="48" t="s">
        <v>149</v>
      </c>
      <c r="H4672" s="49">
        <v>6.39</v>
      </c>
      <c r="I4672" s="52">
        <v>10.5</v>
      </c>
      <c r="J4672" s="7">
        <v>1</v>
      </c>
      <c r="K4672" s="10">
        <v>6.7095000000000002E-2</v>
      </c>
      <c r="L4672" s="32" t="s">
        <v>26</v>
      </c>
      <c r="M4672" s="32">
        <v>1</v>
      </c>
      <c r="N4672" s="18">
        <v>6.7095000000000002E-2</v>
      </c>
      <c r="O4672" s="19">
        <v>0</v>
      </c>
      <c r="P4672" s="13">
        <v>0</v>
      </c>
      <c r="Q4672" s="72" t="s">
        <v>498</v>
      </c>
      <c r="R4672" s="72"/>
      <c r="S4672" s="72"/>
    </row>
    <row r="4673" spans="1:19">
      <c r="A4673" s="42" t="s">
        <v>90</v>
      </c>
      <c r="B4673" s="48" t="s">
        <v>148</v>
      </c>
      <c r="C4673" s="32">
        <v>13</v>
      </c>
      <c r="D4673" s="32"/>
      <c r="E4673" s="48" t="s">
        <v>19</v>
      </c>
      <c r="F4673" s="48" t="s">
        <v>14</v>
      </c>
      <c r="G4673" s="48" t="s">
        <v>149</v>
      </c>
      <c r="H4673" s="49">
        <v>6.39</v>
      </c>
      <c r="I4673" s="52">
        <v>11.4</v>
      </c>
      <c r="J4673" s="7">
        <v>1</v>
      </c>
      <c r="K4673" s="10">
        <v>7.2846000000000008E-2</v>
      </c>
      <c r="L4673" s="32" t="s">
        <v>26</v>
      </c>
      <c r="M4673" s="32">
        <v>1</v>
      </c>
      <c r="N4673" s="18">
        <v>7.2846000000000008E-2</v>
      </c>
      <c r="O4673" s="19">
        <v>0</v>
      </c>
      <c r="P4673" s="13">
        <v>0</v>
      </c>
      <c r="Q4673" s="72" t="s">
        <v>498</v>
      </c>
      <c r="R4673" s="72"/>
      <c r="S4673" s="72"/>
    </row>
    <row r="4674" spans="1:19">
      <c r="A4674" s="42" t="s">
        <v>90</v>
      </c>
      <c r="B4674" s="48" t="s">
        <v>148</v>
      </c>
      <c r="C4674" s="32">
        <v>13</v>
      </c>
      <c r="D4674" s="32"/>
      <c r="E4674" s="48" t="s">
        <v>19</v>
      </c>
      <c r="F4674" s="48" t="s">
        <v>14</v>
      </c>
      <c r="G4674" s="48" t="s">
        <v>149</v>
      </c>
      <c r="H4674" s="49">
        <v>6.39</v>
      </c>
      <c r="I4674" s="52">
        <v>13</v>
      </c>
      <c r="J4674" s="7">
        <v>1</v>
      </c>
      <c r="K4674" s="10">
        <v>8.3069999999999991E-2</v>
      </c>
      <c r="L4674" s="32" t="s">
        <v>26</v>
      </c>
      <c r="M4674" s="32">
        <v>1</v>
      </c>
      <c r="N4674" s="18">
        <v>8.3069999999999991E-2</v>
      </c>
      <c r="O4674" s="19">
        <v>0</v>
      </c>
      <c r="P4674" s="13">
        <v>0</v>
      </c>
      <c r="Q4674" s="72" t="s">
        <v>498</v>
      </c>
      <c r="R4674" s="72"/>
      <c r="S4674" s="72"/>
    </row>
    <row r="4675" spans="1:19">
      <c r="A4675" s="42" t="s">
        <v>90</v>
      </c>
      <c r="B4675" s="48" t="s">
        <v>148</v>
      </c>
      <c r="C4675" s="32">
        <v>13</v>
      </c>
      <c r="D4675" s="32"/>
      <c r="E4675" s="48" t="s">
        <v>19</v>
      </c>
      <c r="F4675" s="48" t="s">
        <v>14</v>
      </c>
      <c r="G4675" s="48" t="s">
        <v>149</v>
      </c>
      <c r="H4675" s="49">
        <v>6.39</v>
      </c>
      <c r="I4675" s="52">
        <v>11.5</v>
      </c>
      <c r="J4675" s="7">
        <v>6</v>
      </c>
      <c r="K4675" s="10">
        <v>0.44090999999999997</v>
      </c>
      <c r="L4675" s="32" t="s">
        <v>26</v>
      </c>
      <c r="M4675" s="32">
        <v>6</v>
      </c>
      <c r="N4675" s="18">
        <v>0.44090999999999997</v>
      </c>
      <c r="O4675" s="19">
        <v>0</v>
      </c>
      <c r="P4675" s="13">
        <v>0</v>
      </c>
      <c r="Q4675" s="72" t="s">
        <v>498</v>
      </c>
      <c r="R4675" s="72"/>
      <c r="S4675" s="72"/>
    </row>
    <row r="4676" spans="1:19">
      <c r="A4676" s="42" t="s">
        <v>90</v>
      </c>
      <c r="B4676" s="48" t="s">
        <v>148</v>
      </c>
      <c r="C4676" s="32">
        <v>13</v>
      </c>
      <c r="D4676" s="32"/>
      <c r="E4676" s="48" t="s">
        <v>19</v>
      </c>
      <c r="F4676" s="48" t="s">
        <v>14</v>
      </c>
      <c r="G4676" s="48" t="s">
        <v>149</v>
      </c>
      <c r="H4676" s="49">
        <v>6.39</v>
      </c>
      <c r="I4676" s="52">
        <v>11</v>
      </c>
      <c r="J4676" s="7">
        <v>1</v>
      </c>
      <c r="K4676" s="10">
        <v>7.0289999999999991E-2</v>
      </c>
      <c r="L4676" s="32" t="s">
        <v>26</v>
      </c>
      <c r="M4676" s="32">
        <v>1</v>
      </c>
      <c r="N4676" s="18">
        <v>7.0289999999999991E-2</v>
      </c>
      <c r="O4676" s="19">
        <v>0</v>
      </c>
      <c r="P4676" s="13">
        <v>0</v>
      </c>
      <c r="Q4676" s="72" t="s">
        <v>498</v>
      </c>
      <c r="R4676" s="72"/>
      <c r="S4676" s="72"/>
    </row>
    <row r="4677" spans="1:19">
      <c r="A4677" s="42" t="s">
        <v>90</v>
      </c>
      <c r="B4677" s="48" t="s">
        <v>148</v>
      </c>
      <c r="C4677" s="32">
        <v>18</v>
      </c>
      <c r="D4677" s="32"/>
      <c r="E4677" s="48" t="s">
        <v>19</v>
      </c>
      <c r="F4677" s="48" t="s">
        <v>14</v>
      </c>
      <c r="G4677" s="48" t="s">
        <v>149</v>
      </c>
      <c r="H4677" s="49">
        <v>6.39</v>
      </c>
      <c r="I4677" s="8">
        <v>6.5</v>
      </c>
      <c r="J4677" s="7">
        <v>1</v>
      </c>
      <c r="K4677" s="10">
        <v>4.1534999999999996E-2</v>
      </c>
      <c r="L4677" s="32"/>
      <c r="M4677" s="32"/>
      <c r="N4677" s="18">
        <v>0</v>
      </c>
      <c r="O4677" s="106">
        <v>1</v>
      </c>
      <c r="P4677" s="13">
        <v>4.1534999999999996E-2</v>
      </c>
      <c r="Q4677" s="72" t="s">
        <v>467</v>
      </c>
      <c r="R4677" s="72">
        <v>1</v>
      </c>
      <c r="S4677" s="72"/>
    </row>
    <row r="4678" spans="1:19">
      <c r="A4678" s="42" t="s">
        <v>90</v>
      </c>
      <c r="B4678" s="48" t="s">
        <v>148</v>
      </c>
      <c r="C4678" s="32">
        <v>18</v>
      </c>
      <c r="D4678" s="32"/>
      <c r="E4678" s="48" t="s">
        <v>19</v>
      </c>
      <c r="F4678" s="48" t="s">
        <v>14</v>
      </c>
      <c r="G4678" s="48" t="s">
        <v>149</v>
      </c>
      <c r="H4678" s="49">
        <v>6.39</v>
      </c>
      <c r="I4678" s="8">
        <v>11.8</v>
      </c>
      <c r="J4678" s="7">
        <v>2</v>
      </c>
      <c r="K4678" s="10">
        <v>0.15080399999999999</v>
      </c>
      <c r="L4678" s="32"/>
      <c r="M4678" s="32">
        <v>2</v>
      </c>
      <c r="N4678" s="18">
        <v>0.15080399999999999</v>
      </c>
      <c r="O4678" s="19">
        <v>0</v>
      </c>
      <c r="P4678" s="13">
        <v>0</v>
      </c>
      <c r="Q4678" s="75">
        <v>9</v>
      </c>
      <c r="R4678" s="72">
        <v>2</v>
      </c>
      <c r="S4678" s="72"/>
    </row>
    <row r="4679" spans="1:19">
      <c r="A4679" s="42" t="s">
        <v>90</v>
      </c>
      <c r="B4679" s="48" t="s">
        <v>148</v>
      </c>
      <c r="C4679" s="32">
        <v>18</v>
      </c>
      <c r="D4679" s="32"/>
      <c r="E4679" s="48" t="s">
        <v>19</v>
      </c>
      <c r="F4679" s="48" t="s">
        <v>14</v>
      </c>
      <c r="G4679" s="48" t="s">
        <v>149</v>
      </c>
      <c r="H4679" s="49">
        <v>6.39</v>
      </c>
      <c r="I4679" s="8">
        <v>7.5</v>
      </c>
      <c r="J4679" s="7">
        <v>1</v>
      </c>
      <c r="K4679" s="10">
        <v>4.7924999999999995E-2</v>
      </c>
      <c r="L4679" s="32"/>
      <c r="M4679" s="32"/>
      <c r="N4679" s="18">
        <v>0</v>
      </c>
      <c r="O4679" s="19">
        <v>1</v>
      </c>
      <c r="P4679" s="13">
        <v>4.7924999999999995E-2</v>
      </c>
      <c r="Q4679" s="75"/>
      <c r="R4679" s="72"/>
      <c r="S4679" s="72"/>
    </row>
    <row r="4680" spans="1:19">
      <c r="A4680" s="42" t="s">
        <v>90</v>
      </c>
      <c r="B4680" s="48" t="s">
        <v>148</v>
      </c>
      <c r="C4680" s="32">
        <v>18</v>
      </c>
      <c r="D4680" s="32"/>
      <c r="E4680" s="48" t="s">
        <v>19</v>
      </c>
      <c r="F4680" s="48" t="s">
        <v>14</v>
      </c>
      <c r="G4680" s="48" t="s">
        <v>149</v>
      </c>
      <c r="H4680" s="49">
        <v>6.39</v>
      </c>
      <c r="I4680" s="8">
        <v>12</v>
      </c>
      <c r="J4680" s="7">
        <v>5</v>
      </c>
      <c r="K4680" s="10">
        <v>0.38339999999999996</v>
      </c>
      <c r="L4680" s="32"/>
      <c r="M4680" s="32">
        <v>5</v>
      </c>
      <c r="N4680" s="18">
        <v>0.38339999999999996</v>
      </c>
      <c r="O4680" s="19">
        <v>0</v>
      </c>
      <c r="P4680" s="13">
        <v>0</v>
      </c>
      <c r="Q4680" s="75">
        <v>9</v>
      </c>
      <c r="R4680" s="72">
        <v>5</v>
      </c>
      <c r="S4680" s="72"/>
    </row>
    <row r="4681" spans="1:19">
      <c r="A4681" s="42" t="s">
        <v>90</v>
      </c>
      <c r="B4681" s="48" t="s">
        <v>148</v>
      </c>
      <c r="C4681" s="32">
        <v>20</v>
      </c>
      <c r="D4681" s="32"/>
      <c r="E4681" s="48" t="s">
        <v>19</v>
      </c>
      <c r="F4681" s="48" t="s">
        <v>14</v>
      </c>
      <c r="G4681" s="48" t="s">
        <v>149</v>
      </c>
      <c r="H4681" s="49">
        <v>6.39</v>
      </c>
      <c r="I4681" s="8">
        <v>8.5</v>
      </c>
      <c r="J4681" s="7">
        <v>1</v>
      </c>
      <c r="K4681" s="10">
        <v>5.4314999999999995E-2</v>
      </c>
      <c r="L4681" s="32"/>
      <c r="M4681" s="32"/>
      <c r="N4681" s="18">
        <v>0</v>
      </c>
      <c r="O4681" s="19">
        <v>1</v>
      </c>
      <c r="P4681" s="13">
        <v>5.4314999999999995E-2</v>
      </c>
      <c r="Q4681" s="75"/>
      <c r="R4681" s="72"/>
      <c r="S4681" s="72"/>
    </row>
    <row r="4682" spans="1:19">
      <c r="A4682" s="42" t="s">
        <v>90</v>
      </c>
      <c r="B4682" s="48" t="s">
        <v>148</v>
      </c>
      <c r="C4682" s="32">
        <v>20</v>
      </c>
      <c r="D4682" s="32"/>
      <c r="E4682" s="48" t="s">
        <v>19</v>
      </c>
      <c r="F4682" s="48" t="s">
        <v>14</v>
      </c>
      <c r="G4682" s="48" t="s">
        <v>149</v>
      </c>
      <c r="H4682" s="49">
        <v>6.39</v>
      </c>
      <c r="I4682" s="8">
        <v>8.9</v>
      </c>
      <c r="J4682" s="7">
        <v>1</v>
      </c>
      <c r="K4682" s="10">
        <v>5.6871000000000005E-2</v>
      </c>
      <c r="L4682" s="32"/>
      <c r="M4682" s="32"/>
      <c r="N4682" s="18">
        <v>0</v>
      </c>
      <c r="O4682" s="19">
        <v>1</v>
      </c>
      <c r="P4682" s="13">
        <v>5.6871000000000005E-2</v>
      </c>
      <c r="Q4682" s="75"/>
      <c r="R4682" s="72"/>
      <c r="S4682" s="72"/>
    </row>
    <row r="4683" spans="1:19">
      <c r="A4683" s="42" t="s">
        <v>90</v>
      </c>
      <c r="B4683" s="48" t="s">
        <v>148</v>
      </c>
      <c r="C4683" s="32">
        <v>20</v>
      </c>
      <c r="D4683" s="32"/>
      <c r="E4683" s="48" t="s">
        <v>19</v>
      </c>
      <c r="F4683" s="48" t="s">
        <v>14</v>
      </c>
      <c r="G4683" s="48" t="s">
        <v>149</v>
      </c>
      <c r="H4683" s="49">
        <v>6.39</v>
      </c>
      <c r="I4683" s="8">
        <v>8.3000000000000007</v>
      </c>
      <c r="J4683" s="7">
        <v>1</v>
      </c>
      <c r="K4683" s="10">
        <v>5.3037000000000001E-2</v>
      </c>
      <c r="L4683" s="32"/>
      <c r="M4683" s="32"/>
      <c r="N4683" s="18">
        <v>0</v>
      </c>
      <c r="O4683" s="19">
        <v>1</v>
      </c>
      <c r="P4683" s="13">
        <v>5.3037000000000001E-2</v>
      </c>
      <c r="Q4683" s="75"/>
      <c r="R4683" s="72"/>
      <c r="S4683" s="72"/>
    </row>
    <row r="4684" spans="1:19">
      <c r="A4684" s="42" t="s">
        <v>90</v>
      </c>
      <c r="B4684" s="48" t="s">
        <v>148</v>
      </c>
      <c r="C4684" s="32">
        <v>20</v>
      </c>
      <c r="D4684" s="32"/>
      <c r="E4684" s="48" t="s">
        <v>19</v>
      </c>
      <c r="F4684" s="48" t="s">
        <v>14</v>
      </c>
      <c r="G4684" s="48" t="s">
        <v>149</v>
      </c>
      <c r="H4684" s="49">
        <v>6.39</v>
      </c>
      <c r="I4684" s="8">
        <v>11.5</v>
      </c>
      <c r="J4684" s="7">
        <v>1</v>
      </c>
      <c r="K4684" s="10">
        <v>7.3484999999999995E-2</v>
      </c>
      <c r="L4684" s="32"/>
      <c r="M4684" s="32">
        <v>1</v>
      </c>
      <c r="N4684" s="18">
        <v>7.3484999999999995E-2</v>
      </c>
      <c r="O4684" s="19">
        <v>0</v>
      </c>
      <c r="P4684" s="13">
        <v>0</v>
      </c>
      <c r="Q4684" s="75">
        <v>9</v>
      </c>
      <c r="R4684" s="72">
        <v>1</v>
      </c>
      <c r="S4684" s="72"/>
    </row>
    <row r="4685" spans="1:19">
      <c r="A4685" s="42" t="s">
        <v>90</v>
      </c>
      <c r="B4685" s="48" t="s">
        <v>148</v>
      </c>
      <c r="C4685" s="32">
        <v>20</v>
      </c>
      <c r="D4685" s="32"/>
      <c r="E4685" s="48" t="s">
        <v>19</v>
      </c>
      <c r="F4685" s="48" t="s">
        <v>14</v>
      </c>
      <c r="G4685" s="48" t="s">
        <v>149</v>
      </c>
      <c r="H4685" s="49">
        <v>6.39</v>
      </c>
      <c r="I4685" s="8">
        <v>9.6999999999999993</v>
      </c>
      <c r="J4685" s="7">
        <v>4</v>
      </c>
      <c r="K4685" s="10">
        <v>0.24793199999999996</v>
      </c>
      <c r="L4685" s="32"/>
      <c r="M4685" s="32">
        <v>4</v>
      </c>
      <c r="N4685" s="18">
        <v>0.24793199999999996</v>
      </c>
      <c r="O4685" s="19">
        <v>0</v>
      </c>
      <c r="P4685" s="13">
        <v>0</v>
      </c>
      <c r="Q4685" s="75">
        <v>9</v>
      </c>
      <c r="R4685" s="72">
        <v>4</v>
      </c>
      <c r="S4685" s="72"/>
    </row>
    <row r="4686" spans="1:19">
      <c r="A4686" s="42" t="s">
        <v>90</v>
      </c>
      <c r="B4686" s="48" t="s">
        <v>148</v>
      </c>
      <c r="C4686" s="32">
        <v>29</v>
      </c>
      <c r="D4686" s="32"/>
      <c r="E4686" s="48" t="s">
        <v>19</v>
      </c>
      <c r="F4686" s="48" t="s">
        <v>14</v>
      </c>
      <c r="G4686" s="48" t="s">
        <v>149</v>
      </c>
      <c r="H4686" s="49">
        <v>6.39</v>
      </c>
      <c r="I4686" s="8">
        <v>9.4</v>
      </c>
      <c r="J4686" s="7">
        <v>1</v>
      </c>
      <c r="K4686" s="10">
        <v>6.0066000000000001E-2</v>
      </c>
      <c r="L4686" s="32"/>
      <c r="M4686" s="32">
        <v>1</v>
      </c>
      <c r="N4686" s="18">
        <v>6.0066000000000001E-2</v>
      </c>
      <c r="O4686" s="19">
        <v>0</v>
      </c>
      <c r="P4686" s="13">
        <v>0</v>
      </c>
      <c r="Q4686" s="75">
        <v>9</v>
      </c>
      <c r="R4686" s="72">
        <v>1</v>
      </c>
      <c r="S4686" s="72"/>
    </row>
    <row r="4687" spans="1:19">
      <c r="A4687" s="42" t="s">
        <v>90</v>
      </c>
      <c r="B4687" s="48" t="s">
        <v>148</v>
      </c>
      <c r="C4687" s="32">
        <v>29</v>
      </c>
      <c r="D4687" s="32"/>
      <c r="E4687" s="48" t="s">
        <v>19</v>
      </c>
      <c r="F4687" s="48" t="s">
        <v>14</v>
      </c>
      <c r="G4687" s="48" t="s">
        <v>149</v>
      </c>
      <c r="H4687" s="49">
        <v>6.39</v>
      </c>
      <c r="I4687" s="8">
        <v>9.8000000000000007</v>
      </c>
      <c r="J4687" s="7">
        <v>1</v>
      </c>
      <c r="K4687" s="10">
        <v>6.2621999999999997E-2</v>
      </c>
      <c r="L4687" s="32"/>
      <c r="M4687" s="32">
        <v>1</v>
      </c>
      <c r="N4687" s="18">
        <v>6.2621999999999997E-2</v>
      </c>
      <c r="O4687" s="19">
        <v>0</v>
      </c>
      <c r="P4687" s="13">
        <v>0</v>
      </c>
      <c r="Q4687" s="75">
        <v>9</v>
      </c>
      <c r="R4687" s="72">
        <v>1</v>
      </c>
      <c r="S4687" s="72"/>
    </row>
    <row r="4690" spans="1:19" s="213" customFormat="1"/>
    <row r="4691" spans="1:19" s="213" customFormat="1">
      <c r="A4691" s="48" t="s">
        <v>179</v>
      </c>
      <c r="B4691" s="48" t="s">
        <v>169</v>
      </c>
      <c r="C4691" s="32"/>
      <c r="D4691" s="32"/>
      <c r="E4691" s="69" t="s">
        <v>152</v>
      </c>
      <c r="F4691" s="69" t="s">
        <v>15</v>
      </c>
      <c r="G4691" s="69" t="s">
        <v>144</v>
      </c>
      <c r="H4691" s="105">
        <v>5.38</v>
      </c>
      <c r="I4691" s="99">
        <v>10</v>
      </c>
      <c r="J4691" s="60">
        <v>1</v>
      </c>
      <c r="K4691" s="62">
        <v>5.3800000000000001E-2</v>
      </c>
      <c r="L4691" s="254" t="s">
        <v>46</v>
      </c>
      <c r="M4691" s="67"/>
      <c r="N4691" s="63">
        <v>0</v>
      </c>
      <c r="O4691" s="64">
        <v>1</v>
      </c>
      <c r="P4691" s="65">
        <v>5.3800000000000001E-2</v>
      </c>
      <c r="Q4691" s="58"/>
      <c r="R4691" s="32"/>
      <c r="S4691" s="32"/>
    </row>
    <row r="4692" spans="1:19" s="213" customFormat="1">
      <c r="A4692" s="42" t="s">
        <v>90</v>
      </c>
      <c r="B4692" s="48" t="s">
        <v>148</v>
      </c>
      <c r="C4692" s="32">
        <v>7</v>
      </c>
      <c r="D4692" s="32"/>
      <c r="E4692" s="90" t="s">
        <v>150</v>
      </c>
      <c r="F4692" s="48" t="s">
        <v>15</v>
      </c>
      <c r="G4692" s="48" t="s">
        <v>144</v>
      </c>
      <c r="H4692" s="49">
        <v>5.38</v>
      </c>
      <c r="I4692" s="52">
        <v>11</v>
      </c>
      <c r="J4692" s="7">
        <v>2</v>
      </c>
      <c r="K4692" s="10">
        <v>0.11835999999999999</v>
      </c>
      <c r="L4692" s="32"/>
      <c r="M4692" s="32"/>
      <c r="N4692" s="18">
        <v>0</v>
      </c>
      <c r="O4692" s="19">
        <v>2</v>
      </c>
      <c r="P4692" s="13">
        <v>0.11835999999999999</v>
      </c>
      <c r="Q4692" s="32"/>
      <c r="R4692" s="32"/>
      <c r="S4692" s="32"/>
    </row>
    <row r="4693" spans="1:19" s="213" customFormat="1">
      <c r="A4693" s="42" t="s">
        <v>90</v>
      </c>
      <c r="B4693" s="48" t="s">
        <v>148</v>
      </c>
      <c r="C4693" s="32">
        <v>14</v>
      </c>
      <c r="D4693" s="32"/>
      <c r="E4693" s="90" t="s">
        <v>150</v>
      </c>
      <c r="F4693" s="48" t="s">
        <v>15</v>
      </c>
      <c r="G4693" s="48" t="s">
        <v>144</v>
      </c>
      <c r="H4693" s="49">
        <v>5.38</v>
      </c>
      <c r="I4693" s="52">
        <v>10.5</v>
      </c>
      <c r="J4693" s="7">
        <v>5</v>
      </c>
      <c r="K4693" s="10">
        <v>0.28244999999999998</v>
      </c>
      <c r="L4693" s="32"/>
      <c r="M4693" s="32"/>
      <c r="N4693" s="18">
        <v>0</v>
      </c>
      <c r="O4693" s="19">
        <v>5</v>
      </c>
      <c r="P4693" s="13">
        <v>0.28244999999999998</v>
      </c>
      <c r="Q4693" s="32"/>
      <c r="R4693" s="32"/>
      <c r="S4693" s="32"/>
    </row>
    <row r="4694" spans="1:19" s="213" customFormat="1">
      <c r="A4694" s="42" t="s">
        <v>90</v>
      </c>
      <c r="B4694" s="48" t="s">
        <v>148</v>
      </c>
      <c r="C4694" s="32">
        <v>15</v>
      </c>
      <c r="D4694" s="32"/>
      <c r="E4694" s="48" t="s">
        <v>151</v>
      </c>
      <c r="F4694" s="48" t="s">
        <v>15</v>
      </c>
      <c r="G4694" s="48" t="s">
        <v>144</v>
      </c>
      <c r="H4694" s="49">
        <v>5.38</v>
      </c>
      <c r="I4694" s="52">
        <v>7.5</v>
      </c>
      <c r="J4694" s="7">
        <v>3</v>
      </c>
      <c r="K4694" s="10">
        <v>0.12105</v>
      </c>
      <c r="L4694" s="32"/>
      <c r="M4694" s="32">
        <v>3</v>
      </c>
      <c r="N4694" s="18">
        <v>0.12104999999999999</v>
      </c>
      <c r="O4694" s="19">
        <v>0</v>
      </c>
      <c r="P4694" s="13">
        <v>0</v>
      </c>
      <c r="Q4694" s="102">
        <v>6.6</v>
      </c>
      <c r="R4694" s="91">
        <v>3</v>
      </c>
      <c r="S4694" s="91" t="s">
        <v>604</v>
      </c>
    </row>
    <row r="4695" spans="1:19" s="213" customFormat="1">
      <c r="A4695" s="42" t="s">
        <v>90</v>
      </c>
      <c r="B4695" s="48" t="s">
        <v>148</v>
      </c>
      <c r="C4695" s="32">
        <v>15</v>
      </c>
      <c r="D4695" s="32"/>
      <c r="E4695" s="48" t="s">
        <v>151</v>
      </c>
      <c r="F4695" s="48" t="s">
        <v>15</v>
      </c>
      <c r="G4695" s="48" t="s">
        <v>144</v>
      </c>
      <c r="H4695" s="49">
        <v>5.38</v>
      </c>
      <c r="I4695" s="52">
        <v>6.7</v>
      </c>
      <c r="J4695" s="7">
        <v>1</v>
      </c>
      <c r="K4695" s="10">
        <v>3.6046000000000002E-2</v>
      </c>
      <c r="L4695" s="32"/>
      <c r="M4695" s="32">
        <v>1</v>
      </c>
      <c r="N4695" s="18">
        <v>3.6046000000000002E-2</v>
      </c>
      <c r="O4695" s="19">
        <v>0</v>
      </c>
      <c r="P4695" s="13">
        <v>0</v>
      </c>
      <c r="Q4695" s="102">
        <v>6.6</v>
      </c>
      <c r="R4695" s="91">
        <v>1</v>
      </c>
      <c r="S4695" s="91" t="s">
        <v>604</v>
      </c>
    </row>
    <row r="4696" spans="1:19" s="213" customFormat="1">
      <c r="A4696" s="42" t="s">
        <v>90</v>
      </c>
      <c r="B4696" s="48" t="s">
        <v>148</v>
      </c>
      <c r="C4696" s="32">
        <v>22</v>
      </c>
      <c r="D4696" s="32"/>
      <c r="E4696" s="48" t="s">
        <v>151</v>
      </c>
      <c r="F4696" s="48" t="s">
        <v>15</v>
      </c>
      <c r="G4696" s="48" t="s">
        <v>144</v>
      </c>
      <c r="H4696" s="49">
        <v>5.38</v>
      </c>
      <c r="I4696" s="52">
        <v>12</v>
      </c>
      <c r="J4696" s="7">
        <v>8</v>
      </c>
      <c r="K4696" s="10">
        <v>0.51648000000000005</v>
      </c>
      <c r="L4696" s="32"/>
      <c r="M4696" s="32">
        <v>8</v>
      </c>
      <c r="N4696" s="18">
        <v>0.51648000000000005</v>
      </c>
      <c r="O4696" s="19">
        <v>0</v>
      </c>
      <c r="P4696" s="13">
        <v>0</v>
      </c>
      <c r="Q4696" s="102">
        <v>12</v>
      </c>
      <c r="R4696" s="91">
        <v>8</v>
      </c>
      <c r="S4696" s="91" t="s">
        <v>651</v>
      </c>
    </row>
    <row r="4697" spans="1:19" s="213" customFormat="1">
      <c r="A4697" s="42" t="s">
        <v>90</v>
      </c>
      <c r="B4697" s="48" t="s">
        <v>148</v>
      </c>
      <c r="C4697" s="32">
        <v>22</v>
      </c>
      <c r="D4697" s="32"/>
      <c r="E4697" s="48" t="s">
        <v>151</v>
      </c>
      <c r="F4697" s="48" t="s">
        <v>15</v>
      </c>
      <c r="G4697" s="48" t="s">
        <v>144</v>
      </c>
      <c r="H4697" s="49">
        <v>5.38</v>
      </c>
      <c r="I4697" s="52">
        <v>9</v>
      </c>
      <c r="J4697" s="7">
        <v>2</v>
      </c>
      <c r="K4697" s="10">
        <v>9.6840000000000009E-2</v>
      </c>
      <c r="L4697" s="32"/>
      <c r="M4697" s="32">
        <v>2</v>
      </c>
      <c r="N4697" s="18">
        <v>9.6840000000000009E-2</v>
      </c>
      <c r="O4697" s="19">
        <v>0</v>
      </c>
      <c r="P4697" s="13">
        <v>0</v>
      </c>
      <c r="Q4697" s="102">
        <v>8</v>
      </c>
      <c r="R4697" s="91">
        <v>2</v>
      </c>
      <c r="S4697" s="91" t="s">
        <v>651</v>
      </c>
    </row>
    <row r="4698" spans="1:19" s="213" customFormat="1">
      <c r="A4698" s="47" t="s">
        <v>147</v>
      </c>
      <c r="B4698" s="48" t="s">
        <v>148</v>
      </c>
      <c r="C4698" s="32">
        <v>365</v>
      </c>
      <c r="D4698" s="257" t="s">
        <v>143</v>
      </c>
      <c r="E4698" s="90" t="s">
        <v>163</v>
      </c>
      <c r="F4698" s="48" t="s">
        <v>160</v>
      </c>
      <c r="G4698" s="48" t="s">
        <v>144</v>
      </c>
      <c r="H4698" s="49">
        <v>5.38</v>
      </c>
      <c r="I4698" s="52">
        <v>10</v>
      </c>
      <c r="J4698" s="7">
        <v>6</v>
      </c>
      <c r="K4698" s="10">
        <v>0.32279999999999998</v>
      </c>
      <c r="L4698" s="32"/>
      <c r="M4698" s="32"/>
      <c r="N4698" s="18">
        <v>0</v>
      </c>
      <c r="O4698" s="19">
        <v>6</v>
      </c>
      <c r="P4698" s="13">
        <v>0.32280000000000003</v>
      </c>
      <c r="Q4698" s="32"/>
      <c r="R4698" s="32"/>
      <c r="S4698" s="32"/>
    </row>
    <row r="4699" spans="1:19" s="213" customFormat="1">
      <c r="A4699" s="47" t="s">
        <v>147</v>
      </c>
      <c r="B4699" s="48" t="s">
        <v>148</v>
      </c>
      <c r="C4699" s="32">
        <v>365</v>
      </c>
      <c r="D4699" s="257" t="s">
        <v>143</v>
      </c>
      <c r="E4699" s="90" t="s">
        <v>89</v>
      </c>
      <c r="F4699" s="48" t="s">
        <v>160</v>
      </c>
      <c r="G4699" s="48" t="s">
        <v>144</v>
      </c>
      <c r="H4699" s="49">
        <v>5.38</v>
      </c>
      <c r="I4699" s="52">
        <v>9.5</v>
      </c>
      <c r="J4699" s="7">
        <v>4</v>
      </c>
      <c r="K4699" s="10">
        <v>0.20444000000000001</v>
      </c>
      <c r="L4699" s="32"/>
      <c r="M4699" s="32"/>
      <c r="N4699" s="18">
        <v>0</v>
      </c>
      <c r="O4699" s="19">
        <v>4</v>
      </c>
      <c r="P4699" s="13">
        <v>0.20444000000000001</v>
      </c>
      <c r="Q4699" s="32"/>
      <c r="R4699" s="32"/>
      <c r="S4699" s="32"/>
    </row>
    <row r="4700" spans="1:19" s="213" customFormat="1">
      <c r="A4700" s="47" t="s">
        <v>147</v>
      </c>
      <c r="B4700" s="48" t="s">
        <v>148</v>
      </c>
      <c r="C4700" s="32">
        <v>365</v>
      </c>
      <c r="D4700" s="257" t="s">
        <v>143</v>
      </c>
      <c r="E4700" s="90" t="s">
        <v>89</v>
      </c>
      <c r="F4700" s="48" t="s">
        <v>160</v>
      </c>
      <c r="G4700" s="48" t="s">
        <v>144</v>
      </c>
      <c r="H4700" s="49">
        <v>5.38</v>
      </c>
      <c r="I4700" s="52">
        <v>9</v>
      </c>
      <c r="J4700" s="7">
        <v>3</v>
      </c>
      <c r="K4700" s="10">
        <v>0.14526</v>
      </c>
      <c r="L4700" s="32"/>
      <c r="M4700" s="32"/>
      <c r="N4700" s="18">
        <v>0</v>
      </c>
      <c r="O4700" s="19">
        <v>3</v>
      </c>
      <c r="P4700" s="13">
        <v>0.14526</v>
      </c>
      <c r="Q4700" s="32"/>
      <c r="R4700" s="32"/>
      <c r="S4700" s="32"/>
    </row>
    <row r="4701" spans="1:19" s="213" customFormat="1">
      <c r="A4701" s="47" t="s">
        <v>147</v>
      </c>
      <c r="B4701" s="48" t="s">
        <v>148</v>
      </c>
      <c r="C4701" s="32">
        <v>365</v>
      </c>
      <c r="D4701" s="257" t="s">
        <v>143</v>
      </c>
      <c r="E4701" s="90" t="s">
        <v>89</v>
      </c>
      <c r="F4701" s="48" t="s">
        <v>160</v>
      </c>
      <c r="G4701" s="48" t="s">
        <v>144</v>
      </c>
      <c r="H4701" s="49">
        <v>5.38</v>
      </c>
      <c r="I4701" s="52">
        <v>8.5</v>
      </c>
      <c r="J4701" s="7">
        <v>1</v>
      </c>
      <c r="K4701" s="10">
        <v>4.573E-2</v>
      </c>
      <c r="L4701" s="32"/>
      <c r="M4701" s="32"/>
      <c r="N4701" s="18">
        <v>0</v>
      </c>
      <c r="O4701" s="19">
        <v>1</v>
      </c>
      <c r="P4701" s="13">
        <v>4.573E-2</v>
      </c>
      <c r="Q4701" s="32"/>
      <c r="R4701" s="32"/>
      <c r="S4701" s="32"/>
    </row>
    <row r="4702" spans="1:19" s="213" customFormat="1">
      <c r="A4702" s="47" t="s">
        <v>147</v>
      </c>
      <c r="B4702" s="48" t="s">
        <v>148</v>
      </c>
      <c r="C4702" s="32">
        <v>365</v>
      </c>
      <c r="D4702" s="257" t="s">
        <v>143</v>
      </c>
      <c r="E4702" s="90" t="s">
        <v>89</v>
      </c>
      <c r="F4702" s="48" t="s">
        <v>160</v>
      </c>
      <c r="G4702" s="48" t="s">
        <v>144</v>
      </c>
      <c r="H4702" s="49">
        <v>5.38</v>
      </c>
      <c r="I4702" s="52">
        <v>7.8</v>
      </c>
      <c r="J4702" s="7">
        <v>1</v>
      </c>
      <c r="K4702" s="10">
        <v>4.1964000000000001E-2</v>
      </c>
      <c r="L4702" s="32"/>
      <c r="M4702" s="32"/>
      <c r="N4702" s="18">
        <v>0</v>
      </c>
      <c r="O4702" s="19">
        <v>1</v>
      </c>
      <c r="P4702" s="13">
        <v>4.1964000000000001E-2</v>
      </c>
      <c r="Q4702" s="32"/>
      <c r="R4702" s="32"/>
      <c r="S4702" s="32"/>
    </row>
    <row r="4703" spans="1:19" s="213" customFormat="1">
      <c r="A4703" s="45" t="s">
        <v>136</v>
      </c>
      <c r="B4703" s="32" t="s">
        <v>137</v>
      </c>
      <c r="C4703" s="3">
        <v>49</v>
      </c>
      <c r="D4703" s="257" t="s">
        <v>143</v>
      </c>
      <c r="E4703" s="475" t="s">
        <v>89</v>
      </c>
      <c r="F4703" s="7" t="s">
        <v>15</v>
      </c>
      <c r="G4703" s="7" t="s">
        <v>144</v>
      </c>
      <c r="H4703" s="49">
        <v>5.38</v>
      </c>
      <c r="I4703" s="33">
        <v>9.5</v>
      </c>
      <c r="J4703" s="40">
        <v>14</v>
      </c>
      <c r="K4703" s="10">
        <v>0.71553999999999995</v>
      </c>
      <c r="L4703" s="4"/>
      <c r="M4703" s="17"/>
      <c r="N4703" s="18">
        <v>0</v>
      </c>
      <c r="O4703" s="19">
        <v>14</v>
      </c>
      <c r="P4703" s="13">
        <v>0.71553999999999995</v>
      </c>
      <c r="Q4703" s="32"/>
      <c r="R4703" s="32"/>
      <c r="S4703" s="32"/>
    </row>
    <row r="4704" spans="1:19" s="213" customFormat="1">
      <c r="A4704" s="45" t="s">
        <v>136</v>
      </c>
      <c r="B4704" s="32" t="s">
        <v>137</v>
      </c>
      <c r="C4704" s="3">
        <v>49</v>
      </c>
      <c r="D4704" s="257" t="s">
        <v>143</v>
      </c>
      <c r="E4704" s="475" t="s">
        <v>89</v>
      </c>
      <c r="F4704" s="7" t="s">
        <v>15</v>
      </c>
      <c r="G4704" s="7" t="s">
        <v>144</v>
      </c>
      <c r="H4704" s="49">
        <v>5.38</v>
      </c>
      <c r="I4704" s="33">
        <v>9.3000000000000007</v>
      </c>
      <c r="J4704" s="40">
        <v>1</v>
      </c>
      <c r="K4704" s="10">
        <v>5.0034000000000009E-2</v>
      </c>
      <c r="L4704" s="4"/>
      <c r="M4704" s="17"/>
      <c r="N4704" s="18">
        <v>0</v>
      </c>
      <c r="O4704" s="19">
        <v>1</v>
      </c>
      <c r="P4704" s="13">
        <v>5.0034000000000009E-2</v>
      </c>
      <c r="Q4704" s="32"/>
      <c r="R4704" s="32"/>
      <c r="S4704" s="32"/>
    </row>
    <row r="4705" spans="1:19" s="213" customFormat="1">
      <c r="A4705" s="45" t="s">
        <v>136</v>
      </c>
      <c r="B4705" s="32" t="s">
        <v>137</v>
      </c>
      <c r="C4705" s="3">
        <v>49</v>
      </c>
      <c r="D4705" s="257" t="s">
        <v>143</v>
      </c>
      <c r="E4705" s="475" t="s">
        <v>89</v>
      </c>
      <c r="F4705" s="7" t="s">
        <v>15</v>
      </c>
      <c r="G4705" s="7" t="s">
        <v>144</v>
      </c>
      <c r="H4705" s="49">
        <v>5.38</v>
      </c>
      <c r="I4705" s="33">
        <v>9</v>
      </c>
      <c r="J4705" s="40">
        <v>1</v>
      </c>
      <c r="K4705" s="10">
        <v>4.8420000000000005E-2</v>
      </c>
      <c r="L4705" s="4"/>
      <c r="M4705" s="17"/>
      <c r="N4705" s="18">
        <v>0</v>
      </c>
      <c r="O4705" s="19">
        <v>1</v>
      </c>
      <c r="P4705" s="13">
        <v>4.8420000000000005E-2</v>
      </c>
      <c r="Q4705" s="32"/>
      <c r="R4705" s="32"/>
      <c r="S4705" s="32"/>
    </row>
    <row r="4706" spans="1:19" s="213" customFormat="1">
      <c r="A4706" s="45" t="s">
        <v>136</v>
      </c>
      <c r="B4706" s="32" t="s">
        <v>137</v>
      </c>
      <c r="C4706" s="3">
        <v>49</v>
      </c>
      <c r="D4706" s="257" t="s">
        <v>143</v>
      </c>
      <c r="E4706" s="475" t="s">
        <v>89</v>
      </c>
      <c r="F4706" s="7" t="s">
        <v>15</v>
      </c>
      <c r="G4706" s="7" t="s">
        <v>144</v>
      </c>
      <c r="H4706" s="49">
        <v>5.38</v>
      </c>
      <c r="I4706" s="33">
        <v>8.9</v>
      </c>
      <c r="J4706" s="40">
        <v>2</v>
      </c>
      <c r="K4706" s="10">
        <v>9.5764000000000002E-2</v>
      </c>
      <c r="L4706" s="4"/>
      <c r="M4706" s="17"/>
      <c r="N4706" s="18">
        <v>0</v>
      </c>
      <c r="O4706" s="19">
        <v>2</v>
      </c>
      <c r="P4706" s="13">
        <v>9.5764000000000002E-2</v>
      </c>
      <c r="Q4706" s="32"/>
      <c r="R4706" s="32"/>
      <c r="S4706" s="32"/>
    </row>
    <row r="4707" spans="1:19" s="213" customFormat="1">
      <c r="O4707" s="78">
        <f>SUM(O4691:O4706)</f>
        <v>41</v>
      </c>
      <c r="P4707" s="128">
        <f>SUM(P4691:P4706)</f>
        <v>2.1245619999999996</v>
      </c>
      <c r="R4707" s="215">
        <f>SUM(R4691:R4706)</f>
        <v>14</v>
      </c>
    </row>
    <row r="4708" spans="1:19" s="213" customFormat="1"/>
    <row r="4709" spans="1:19" s="213" customFormat="1">
      <c r="A4709" s="48" t="s">
        <v>168</v>
      </c>
      <c r="B4709" s="48" t="s">
        <v>169</v>
      </c>
      <c r="C4709" s="32">
        <v>13</v>
      </c>
      <c r="D4709" s="32"/>
      <c r="E4709" s="48" t="s">
        <v>20</v>
      </c>
      <c r="F4709" s="48" t="s">
        <v>15</v>
      </c>
      <c r="G4709" s="48" t="s">
        <v>149</v>
      </c>
      <c r="H4709" s="49">
        <v>6.39</v>
      </c>
      <c r="I4709" s="52">
        <v>6.5</v>
      </c>
      <c r="J4709" s="7">
        <v>1</v>
      </c>
      <c r="K4709" s="10">
        <v>4.1534999999999996E-2</v>
      </c>
      <c r="L4709" s="32" t="s">
        <v>104</v>
      </c>
      <c r="M4709" s="32"/>
      <c r="N4709" s="18">
        <v>0</v>
      </c>
      <c r="O4709" s="19">
        <v>1</v>
      </c>
      <c r="P4709" s="13">
        <v>4.1534999999999996E-2</v>
      </c>
      <c r="Q4709" s="32"/>
      <c r="R4709" s="32"/>
      <c r="S4709" s="32"/>
    </row>
    <row r="4710" spans="1:19" s="213" customFormat="1">
      <c r="A4710" s="42" t="s">
        <v>90</v>
      </c>
      <c r="B4710" s="48" t="s">
        <v>148</v>
      </c>
      <c r="C4710" s="32">
        <v>6</v>
      </c>
      <c r="D4710" s="32"/>
      <c r="E4710" s="90" t="s">
        <v>150</v>
      </c>
      <c r="F4710" s="48" t="s">
        <v>15</v>
      </c>
      <c r="G4710" s="48" t="s">
        <v>149</v>
      </c>
      <c r="H4710" s="49">
        <v>6.39</v>
      </c>
      <c r="I4710" s="52">
        <v>11.5</v>
      </c>
      <c r="J4710" s="7">
        <v>1</v>
      </c>
      <c r="K4710" s="10">
        <v>7.3484999999999995E-2</v>
      </c>
      <c r="L4710" s="32"/>
      <c r="M4710" s="32"/>
      <c r="N4710" s="18">
        <v>0</v>
      </c>
      <c r="O4710" s="19">
        <v>1</v>
      </c>
      <c r="P4710" s="13">
        <v>7.3484999999999995E-2</v>
      </c>
      <c r="Q4710" s="32"/>
      <c r="R4710" s="32"/>
      <c r="S4710" s="32"/>
    </row>
    <row r="4711" spans="1:19" s="213" customFormat="1">
      <c r="A4711" s="42" t="s">
        <v>90</v>
      </c>
      <c r="B4711" s="48" t="s">
        <v>148</v>
      </c>
      <c r="C4711" s="32">
        <v>6</v>
      </c>
      <c r="D4711" s="32"/>
      <c r="E4711" s="90" t="s">
        <v>150</v>
      </c>
      <c r="F4711" s="48" t="s">
        <v>15</v>
      </c>
      <c r="G4711" s="48" t="s">
        <v>149</v>
      </c>
      <c r="H4711" s="49">
        <v>6.39</v>
      </c>
      <c r="I4711" s="52">
        <v>12</v>
      </c>
      <c r="J4711" s="7">
        <v>10</v>
      </c>
      <c r="K4711" s="10">
        <v>0.76679999999999993</v>
      </c>
      <c r="L4711" s="32"/>
      <c r="M4711" s="32"/>
      <c r="N4711" s="18">
        <v>0</v>
      </c>
      <c r="O4711" s="19">
        <v>10</v>
      </c>
      <c r="P4711" s="13">
        <v>0.76679999999999993</v>
      </c>
      <c r="Q4711" s="32"/>
      <c r="R4711" s="32"/>
      <c r="S4711" s="32"/>
    </row>
    <row r="4712" spans="1:19" s="213" customFormat="1">
      <c r="A4712" s="42" t="s">
        <v>90</v>
      </c>
      <c r="B4712" s="48" t="s">
        <v>148</v>
      </c>
      <c r="C4712" s="32">
        <v>19</v>
      </c>
      <c r="D4712" s="32"/>
      <c r="E4712" s="48" t="s">
        <v>151</v>
      </c>
      <c r="F4712" s="48" t="s">
        <v>15</v>
      </c>
      <c r="G4712" s="48" t="s">
        <v>149</v>
      </c>
      <c r="H4712" s="49">
        <v>6.39</v>
      </c>
      <c r="I4712" s="52">
        <v>12</v>
      </c>
      <c r="J4712" s="7">
        <v>6</v>
      </c>
      <c r="K4712" s="10">
        <v>0.46007999999999993</v>
      </c>
      <c r="L4712" s="32"/>
      <c r="M4712" s="32">
        <v>6</v>
      </c>
      <c r="N4712" s="18">
        <v>0.46007999999999999</v>
      </c>
      <c r="O4712" s="19">
        <v>0</v>
      </c>
      <c r="P4712" s="13">
        <v>0</v>
      </c>
      <c r="Q4712" s="94">
        <v>12</v>
      </c>
      <c r="R4712" s="93">
        <v>6</v>
      </c>
      <c r="S4712" s="93" t="s">
        <v>653</v>
      </c>
    </row>
    <row r="4713" spans="1:19" s="213" customFormat="1">
      <c r="A4713" s="42" t="s">
        <v>90</v>
      </c>
      <c r="B4713" s="48" t="s">
        <v>148</v>
      </c>
      <c r="C4713" s="32">
        <v>19</v>
      </c>
      <c r="D4713" s="32"/>
      <c r="E4713" s="48" t="s">
        <v>151</v>
      </c>
      <c r="F4713" s="48" t="s">
        <v>15</v>
      </c>
      <c r="G4713" s="48" t="s">
        <v>149</v>
      </c>
      <c r="H4713" s="49">
        <v>6.39</v>
      </c>
      <c r="I4713" s="52">
        <v>10.75</v>
      </c>
      <c r="J4713" s="7">
        <v>1</v>
      </c>
      <c r="K4713" s="10">
        <v>6.869249999999999E-2</v>
      </c>
      <c r="L4713" s="32"/>
      <c r="M4713" s="32">
        <v>1</v>
      </c>
      <c r="N4713" s="18">
        <v>6.869249999999999E-2</v>
      </c>
      <c r="O4713" s="19">
        <v>0</v>
      </c>
      <c r="P4713" s="13">
        <v>0</v>
      </c>
      <c r="Q4713" s="94">
        <v>10</v>
      </c>
      <c r="R4713" s="93">
        <v>1</v>
      </c>
      <c r="S4713" s="93" t="s">
        <v>652</v>
      </c>
    </row>
    <row r="4714" spans="1:19" s="213" customFormat="1">
      <c r="A4714" s="47" t="s">
        <v>147</v>
      </c>
      <c r="B4714" s="48" t="s">
        <v>148</v>
      </c>
      <c r="C4714" s="32">
        <v>362</v>
      </c>
      <c r="D4714" s="32"/>
      <c r="E4714" s="90" t="s">
        <v>163</v>
      </c>
      <c r="F4714" s="48" t="s">
        <v>160</v>
      </c>
      <c r="G4714" s="48" t="s">
        <v>149</v>
      </c>
      <c r="H4714" s="49">
        <v>6.39</v>
      </c>
      <c r="I4714" s="52">
        <v>6.5</v>
      </c>
      <c r="J4714" s="7">
        <v>1</v>
      </c>
      <c r="K4714" s="10">
        <v>4.1534999999999996E-2</v>
      </c>
      <c r="L4714" s="32" t="s">
        <v>26</v>
      </c>
      <c r="M4714" s="32"/>
      <c r="N4714" s="18">
        <v>0</v>
      </c>
      <c r="O4714" s="19">
        <v>1</v>
      </c>
      <c r="P4714" s="13">
        <v>4.1534999999999996E-2</v>
      </c>
      <c r="Q4714" s="32"/>
      <c r="R4714" s="32"/>
      <c r="S4714" s="32"/>
    </row>
    <row r="4715" spans="1:19" s="213" customFormat="1">
      <c r="A4715" s="47" t="s">
        <v>147</v>
      </c>
      <c r="B4715" s="48" t="s">
        <v>148</v>
      </c>
      <c r="C4715" s="32">
        <v>362</v>
      </c>
      <c r="D4715" s="32"/>
      <c r="E4715" s="90" t="s">
        <v>163</v>
      </c>
      <c r="F4715" s="48" t="s">
        <v>160</v>
      </c>
      <c r="G4715" s="48" t="s">
        <v>149</v>
      </c>
      <c r="H4715" s="49">
        <v>6.39</v>
      </c>
      <c r="I4715" s="52">
        <v>8</v>
      </c>
      <c r="J4715" s="7">
        <v>1</v>
      </c>
      <c r="K4715" s="10">
        <v>5.1119999999999999E-2</v>
      </c>
      <c r="L4715" s="32" t="s">
        <v>26</v>
      </c>
      <c r="M4715" s="32"/>
      <c r="N4715" s="18">
        <v>0</v>
      </c>
      <c r="O4715" s="19">
        <v>1</v>
      </c>
      <c r="P4715" s="13">
        <v>5.1119999999999999E-2</v>
      </c>
      <c r="Q4715" s="32"/>
      <c r="R4715" s="32"/>
      <c r="S4715" s="32"/>
    </row>
    <row r="4716" spans="1:19" s="213" customFormat="1">
      <c r="A4716" s="47" t="s">
        <v>147</v>
      </c>
      <c r="B4716" s="48" t="s">
        <v>148</v>
      </c>
      <c r="C4716" s="32">
        <v>362</v>
      </c>
      <c r="D4716" s="32"/>
      <c r="E4716" s="90" t="s">
        <v>163</v>
      </c>
      <c r="F4716" s="48" t="s">
        <v>160</v>
      </c>
      <c r="G4716" s="48" t="s">
        <v>149</v>
      </c>
      <c r="H4716" s="49">
        <v>6.39</v>
      </c>
      <c r="I4716" s="52">
        <v>9</v>
      </c>
      <c r="J4716" s="7">
        <v>1</v>
      </c>
      <c r="K4716" s="10">
        <v>5.7509999999999999E-2</v>
      </c>
      <c r="L4716" s="32" t="s">
        <v>26</v>
      </c>
      <c r="M4716" s="32"/>
      <c r="N4716" s="18">
        <v>0</v>
      </c>
      <c r="O4716" s="19">
        <v>1</v>
      </c>
      <c r="P4716" s="13">
        <v>5.7509999999999999E-2</v>
      </c>
      <c r="Q4716" s="32"/>
      <c r="R4716" s="32"/>
      <c r="S4716" s="32"/>
    </row>
    <row r="4717" spans="1:19" s="213" customFormat="1">
      <c r="A4717" s="47" t="s">
        <v>147</v>
      </c>
      <c r="B4717" s="48" t="s">
        <v>148</v>
      </c>
      <c r="C4717" s="32">
        <v>362</v>
      </c>
      <c r="D4717" s="32"/>
      <c r="E4717" s="90" t="s">
        <v>163</v>
      </c>
      <c r="F4717" s="48" t="s">
        <v>160</v>
      </c>
      <c r="G4717" s="48" t="s">
        <v>149</v>
      </c>
      <c r="H4717" s="49">
        <v>6.39</v>
      </c>
      <c r="I4717" s="52">
        <v>10.5</v>
      </c>
      <c r="J4717" s="7">
        <v>2</v>
      </c>
      <c r="K4717" s="10">
        <v>0.13419</v>
      </c>
      <c r="L4717" s="32" t="s">
        <v>26</v>
      </c>
      <c r="M4717" s="32"/>
      <c r="N4717" s="18">
        <v>0</v>
      </c>
      <c r="O4717" s="19">
        <v>2</v>
      </c>
      <c r="P4717" s="13">
        <v>0.13419</v>
      </c>
      <c r="Q4717" s="32"/>
      <c r="R4717" s="32"/>
      <c r="S4717" s="32"/>
    </row>
    <row r="4718" spans="1:19" s="213" customFormat="1">
      <c r="A4718" s="47" t="s">
        <v>147</v>
      </c>
      <c r="B4718" s="48" t="s">
        <v>148</v>
      </c>
      <c r="C4718" s="32">
        <v>362</v>
      </c>
      <c r="D4718" s="32"/>
      <c r="E4718" s="90" t="s">
        <v>163</v>
      </c>
      <c r="F4718" s="48" t="s">
        <v>160</v>
      </c>
      <c r="G4718" s="48" t="s">
        <v>149</v>
      </c>
      <c r="H4718" s="49">
        <v>6.39</v>
      </c>
      <c r="I4718" s="52">
        <v>12</v>
      </c>
      <c r="J4718" s="7">
        <v>2</v>
      </c>
      <c r="K4718" s="10">
        <v>0.15336</v>
      </c>
      <c r="L4718" s="32" t="s">
        <v>26</v>
      </c>
      <c r="M4718" s="32"/>
      <c r="N4718" s="18">
        <v>0</v>
      </c>
      <c r="O4718" s="19">
        <v>2</v>
      </c>
      <c r="P4718" s="13">
        <v>0.15336</v>
      </c>
      <c r="Q4718" s="32"/>
      <c r="R4718" s="32"/>
      <c r="S4718" s="32"/>
    </row>
    <row r="4719" spans="1:19" s="213" customFormat="1">
      <c r="O4719" s="78">
        <f>SUM(O4709:O4718)</f>
        <v>19</v>
      </c>
      <c r="R4719" s="215">
        <f>SUM(R4709:R4718)</f>
        <v>7</v>
      </c>
    </row>
    <row r="4720" spans="1:19" s="213" customFormat="1"/>
    <row r="4721" spans="1:19" s="213" customFormat="1">
      <c r="A4721" s="42" t="s">
        <v>90</v>
      </c>
      <c r="B4721" s="48" t="s">
        <v>148</v>
      </c>
      <c r="C4721" s="32">
        <v>3</v>
      </c>
      <c r="D4721" s="32"/>
      <c r="E4721" s="48" t="s">
        <v>19</v>
      </c>
      <c r="F4721" s="48" t="s">
        <v>14</v>
      </c>
      <c r="G4721" s="48" t="s">
        <v>144</v>
      </c>
      <c r="H4721" s="49">
        <v>5.38</v>
      </c>
      <c r="I4721" s="52">
        <v>8.25</v>
      </c>
      <c r="J4721" s="7">
        <v>1</v>
      </c>
      <c r="K4721" s="10">
        <v>4.4385000000000001E-2</v>
      </c>
      <c r="L4721" s="32"/>
      <c r="M4721" s="32">
        <v>1</v>
      </c>
      <c r="N4721" s="18">
        <v>4.4385000000000001E-2</v>
      </c>
      <c r="O4721" s="106">
        <v>0</v>
      </c>
      <c r="P4721" s="13">
        <v>0</v>
      </c>
      <c r="Q4721" s="93">
        <v>7.95</v>
      </c>
      <c r="R4721" s="93">
        <v>1</v>
      </c>
      <c r="S4721" s="93" t="s">
        <v>657</v>
      </c>
    </row>
    <row r="4722" spans="1:19" s="213" customFormat="1">
      <c r="A4722" s="42" t="s">
        <v>90</v>
      </c>
      <c r="B4722" s="48" t="s">
        <v>148</v>
      </c>
      <c r="C4722" s="32">
        <v>3</v>
      </c>
      <c r="D4722" s="32"/>
      <c r="E4722" s="48" t="s">
        <v>19</v>
      </c>
      <c r="F4722" s="48" t="s">
        <v>14</v>
      </c>
      <c r="G4722" s="48" t="s">
        <v>144</v>
      </c>
      <c r="H4722" s="49">
        <v>5.38</v>
      </c>
      <c r="I4722" s="52">
        <v>8.6999999999999993</v>
      </c>
      <c r="J4722" s="7">
        <v>2</v>
      </c>
      <c r="K4722" s="10">
        <v>9.3612000000000001E-2</v>
      </c>
      <c r="L4722" s="32"/>
      <c r="M4722" s="32">
        <v>2</v>
      </c>
      <c r="N4722" s="18">
        <v>9.3612000000000001E-2</v>
      </c>
      <c r="O4722" s="106">
        <v>0</v>
      </c>
      <c r="P4722" s="13">
        <v>0</v>
      </c>
      <c r="Q4722" s="93">
        <v>7.95</v>
      </c>
      <c r="R4722" s="93">
        <v>2</v>
      </c>
      <c r="S4722" s="93" t="s">
        <v>657</v>
      </c>
    </row>
    <row r="4723" spans="1:19" s="213" customFormat="1">
      <c r="A4723" s="42" t="s">
        <v>90</v>
      </c>
      <c r="B4723" s="48" t="s">
        <v>148</v>
      </c>
      <c r="C4723" s="32">
        <v>3</v>
      </c>
      <c r="D4723" s="32"/>
      <c r="E4723" s="48" t="s">
        <v>19</v>
      </c>
      <c r="F4723" s="48" t="s">
        <v>14</v>
      </c>
      <c r="G4723" s="48" t="s">
        <v>144</v>
      </c>
      <c r="H4723" s="49">
        <v>5.38</v>
      </c>
      <c r="I4723" s="52">
        <v>9</v>
      </c>
      <c r="J4723" s="7">
        <v>8</v>
      </c>
      <c r="K4723" s="10">
        <v>0.38736000000000004</v>
      </c>
      <c r="L4723" s="32"/>
      <c r="M4723" s="32">
        <v>8</v>
      </c>
      <c r="N4723" s="18">
        <v>0.38736000000000004</v>
      </c>
      <c r="O4723" s="106">
        <v>0</v>
      </c>
      <c r="P4723" s="13">
        <v>0</v>
      </c>
      <c r="Q4723" s="93" t="s">
        <v>656</v>
      </c>
      <c r="R4723" s="93">
        <v>8</v>
      </c>
      <c r="S4723" s="93" t="s">
        <v>631</v>
      </c>
    </row>
    <row r="4724" spans="1:19" s="213" customFormat="1">
      <c r="A4724" s="42" t="s">
        <v>90</v>
      </c>
      <c r="B4724" s="48" t="s">
        <v>148</v>
      </c>
      <c r="C4724" s="32">
        <v>3</v>
      </c>
      <c r="D4724" s="32"/>
      <c r="E4724" s="48" t="s">
        <v>19</v>
      </c>
      <c r="F4724" s="48" t="s">
        <v>14</v>
      </c>
      <c r="G4724" s="48" t="s">
        <v>144</v>
      </c>
      <c r="H4724" s="49">
        <v>5.38</v>
      </c>
      <c r="I4724" s="52">
        <v>9.1</v>
      </c>
      <c r="J4724" s="7">
        <v>1</v>
      </c>
      <c r="K4724" s="10">
        <v>4.8958000000000002E-2</v>
      </c>
      <c r="L4724" s="32"/>
      <c r="M4724" s="32">
        <v>1</v>
      </c>
      <c r="N4724" s="18">
        <v>4.8958000000000002E-2</v>
      </c>
      <c r="O4724" s="106">
        <v>0</v>
      </c>
      <c r="P4724" s="13">
        <v>0</v>
      </c>
      <c r="Q4724" s="93">
        <v>7.95</v>
      </c>
      <c r="R4724" s="93">
        <v>1</v>
      </c>
      <c r="S4724" s="93" t="s">
        <v>657</v>
      </c>
    </row>
    <row r="4725" spans="1:19" s="213" customFormat="1">
      <c r="A4725" s="42" t="s">
        <v>90</v>
      </c>
      <c r="B4725" s="48" t="s">
        <v>148</v>
      </c>
      <c r="C4725" s="32">
        <v>3</v>
      </c>
      <c r="D4725" s="32"/>
      <c r="E4725" s="48" t="s">
        <v>19</v>
      </c>
      <c r="F4725" s="48" t="s">
        <v>14</v>
      </c>
      <c r="G4725" s="48" t="s">
        <v>144</v>
      </c>
      <c r="H4725" s="49">
        <v>5.38</v>
      </c>
      <c r="I4725" s="52">
        <v>9.1999999999999993</v>
      </c>
      <c r="J4725" s="7">
        <v>2</v>
      </c>
      <c r="K4725" s="10">
        <v>9.8991999999999997E-2</v>
      </c>
      <c r="L4725" s="32"/>
      <c r="M4725" s="32">
        <v>2</v>
      </c>
      <c r="N4725" s="18">
        <v>9.8991999999999997E-2</v>
      </c>
      <c r="O4725" s="106">
        <v>0</v>
      </c>
      <c r="P4725" s="13">
        <v>0</v>
      </c>
      <c r="Q4725" s="93">
        <v>7.95</v>
      </c>
      <c r="R4725" s="93">
        <v>2</v>
      </c>
      <c r="S4725" s="93" t="s">
        <v>657</v>
      </c>
    </row>
    <row r="4726" spans="1:19" s="213" customFormat="1">
      <c r="A4726" s="42" t="s">
        <v>90</v>
      </c>
      <c r="B4726" s="48" t="s">
        <v>148</v>
      </c>
      <c r="C4726" s="32">
        <v>3</v>
      </c>
      <c r="D4726" s="32"/>
      <c r="E4726" s="48" t="s">
        <v>19</v>
      </c>
      <c r="F4726" s="48" t="s">
        <v>14</v>
      </c>
      <c r="G4726" s="48" t="s">
        <v>144</v>
      </c>
      <c r="H4726" s="49">
        <v>5.38</v>
      </c>
      <c r="I4726" s="52">
        <v>9.35</v>
      </c>
      <c r="J4726" s="7">
        <v>1</v>
      </c>
      <c r="K4726" s="10">
        <v>5.0303E-2</v>
      </c>
      <c r="L4726" s="32"/>
      <c r="M4726" s="32">
        <v>1</v>
      </c>
      <c r="N4726" s="18">
        <v>5.0303E-2</v>
      </c>
      <c r="O4726" s="106">
        <v>0</v>
      </c>
      <c r="P4726" s="13">
        <v>0</v>
      </c>
      <c r="Q4726" s="93">
        <v>7.95</v>
      </c>
      <c r="R4726" s="93">
        <v>1</v>
      </c>
      <c r="S4726" s="93" t="s">
        <v>657</v>
      </c>
    </row>
    <row r="4727" spans="1:19" s="213" customFormat="1">
      <c r="A4727" s="42" t="s">
        <v>90</v>
      </c>
      <c r="B4727" s="48" t="s">
        <v>148</v>
      </c>
      <c r="C4727" s="32">
        <v>3</v>
      </c>
      <c r="D4727" s="32"/>
      <c r="E4727" s="48" t="s">
        <v>19</v>
      </c>
      <c r="F4727" s="48" t="s">
        <v>14</v>
      </c>
      <c r="G4727" s="48" t="s">
        <v>144</v>
      </c>
      <c r="H4727" s="49">
        <v>5.38</v>
      </c>
      <c r="I4727" s="52">
        <v>9.4499999999999993</v>
      </c>
      <c r="J4727" s="7">
        <v>2</v>
      </c>
      <c r="K4727" s="10">
        <v>0.10168199999999999</v>
      </c>
      <c r="L4727" s="32"/>
      <c r="M4727" s="32">
        <v>2</v>
      </c>
      <c r="N4727" s="18">
        <v>0.10168199999999999</v>
      </c>
      <c r="O4727" s="106">
        <v>0</v>
      </c>
      <c r="P4727" s="13">
        <v>0</v>
      </c>
      <c r="Q4727" s="93">
        <v>7.95</v>
      </c>
      <c r="R4727" s="93">
        <v>2</v>
      </c>
      <c r="S4727" s="93" t="s">
        <v>657</v>
      </c>
    </row>
    <row r="4728" spans="1:19" s="213" customFormat="1">
      <c r="A4728" s="42" t="s">
        <v>90</v>
      </c>
      <c r="B4728" s="48" t="s">
        <v>148</v>
      </c>
      <c r="C4728" s="32">
        <v>8</v>
      </c>
      <c r="D4728" s="32"/>
      <c r="E4728" s="48" t="s">
        <v>19</v>
      </c>
      <c r="F4728" s="48" t="s">
        <v>14</v>
      </c>
      <c r="G4728" s="48" t="s">
        <v>144</v>
      </c>
      <c r="H4728" s="49">
        <v>5.38</v>
      </c>
      <c r="I4728" s="52">
        <v>7</v>
      </c>
      <c r="J4728" s="7">
        <v>1</v>
      </c>
      <c r="K4728" s="10">
        <v>3.7659999999999999E-2</v>
      </c>
      <c r="L4728" s="32"/>
      <c r="M4728" s="32"/>
      <c r="N4728" s="18">
        <v>0</v>
      </c>
      <c r="O4728" s="19">
        <v>1</v>
      </c>
      <c r="P4728" s="13">
        <v>3.7659999999999999E-2</v>
      </c>
      <c r="Q4728" s="32"/>
      <c r="R4728" s="32"/>
      <c r="S4728" s="32"/>
    </row>
    <row r="4729" spans="1:19" s="213" customFormat="1">
      <c r="A4729" s="42" t="s">
        <v>90</v>
      </c>
      <c r="B4729" s="48" t="s">
        <v>148</v>
      </c>
      <c r="C4729" s="32">
        <v>8</v>
      </c>
      <c r="D4729" s="32"/>
      <c r="E4729" s="48" t="s">
        <v>19</v>
      </c>
      <c r="F4729" s="48" t="s">
        <v>14</v>
      </c>
      <c r="G4729" s="48" t="s">
        <v>144</v>
      </c>
      <c r="H4729" s="49">
        <v>5.38</v>
      </c>
      <c r="I4729" s="52">
        <v>8</v>
      </c>
      <c r="J4729" s="7">
        <v>1</v>
      </c>
      <c r="K4729" s="10">
        <v>4.3040000000000002E-2</v>
      </c>
      <c r="L4729" s="32"/>
      <c r="M4729" s="32">
        <v>1</v>
      </c>
      <c r="N4729" s="18">
        <v>4.3040000000000002E-2</v>
      </c>
      <c r="O4729" s="106">
        <v>0</v>
      </c>
      <c r="P4729" s="13">
        <v>0</v>
      </c>
      <c r="Q4729" s="93">
        <v>7.95</v>
      </c>
      <c r="R4729" s="93">
        <v>1</v>
      </c>
      <c r="S4729" s="93" t="s">
        <v>657</v>
      </c>
    </row>
    <row r="4730" spans="1:19" s="213" customFormat="1">
      <c r="A4730" s="42" t="s">
        <v>90</v>
      </c>
      <c r="B4730" s="48" t="s">
        <v>148</v>
      </c>
      <c r="C4730" s="32">
        <v>8</v>
      </c>
      <c r="D4730" s="32"/>
      <c r="E4730" s="48" t="s">
        <v>19</v>
      </c>
      <c r="F4730" s="48" t="s">
        <v>14</v>
      </c>
      <c r="G4730" s="48" t="s">
        <v>144</v>
      </c>
      <c r="H4730" s="49">
        <v>5.38</v>
      </c>
      <c r="I4730" s="52">
        <v>9</v>
      </c>
      <c r="J4730" s="7">
        <v>9</v>
      </c>
      <c r="K4730" s="10">
        <v>0.43578000000000006</v>
      </c>
      <c r="L4730" s="32"/>
      <c r="M4730" s="32">
        <v>9</v>
      </c>
      <c r="N4730" s="18">
        <v>0.43577999999999995</v>
      </c>
      <c r="O4730" s="106">
        <v>0</v>
      </c>
      <c r="P4730" s="13">
        <v>0</v>
      </c>
      <c r="Q4730" s="93">
        <v>7.95</v>
      </c>
      <c r="R4730" s="93">
        <v>9</v>
      </c>
      <c r="S4730" s="93" t="s">
        <v>657</v>
      </c>
    </row>
    <row r="4731" spans="1:19" s="213" customFormat="1">
      <c r="A4731" s="42" t="s">
        <v>90</v>
      </c>
      <c r="B4731" s="48" t="s">
        <v>148</v>
      </c>
      <c r="C4731" s="32">
        <v>8</v>
      </c>
      <c r="D4731" s="32"/>
      <c r="E4731" s="48" t="s">
        <v>19</v>
      </c>
      <c r="F4731" s="48" t="s">
        <v>14</v>
      </c>
      <c r="G4731" s="48" t="s">
        <v>144</v>
      </c>
      <c r="H4731" s="49">
        <v>5.38</v>
      </c>
      <c r="I4731" s="52">
        <v>7.75</v>
      </c>
      <c r="J4731" s="7">
        <v>1</v>
      </c>
      <c r="K4731" s="10">
        <v>4.1695000000000003E-2</v>
      </c>
      <c r="L4731" s="32"/>
      <c r="M4731" s="32"/>
      <c r="N4731" s="18">
        <v>0</v>
      </c>
      <c r="O4731" s="19">
        <v>1</v>
      </c>
      <c r="P4731" s="13">
        <v>4.1695000000000003E-2</v>
      </c>
      <c r="Q4731" s="32"/>
      <c r="R4731" s="32"/>
      <c r="S4731" s="32"/>
    </row>
    <row r="4732" spans="1:19" s="213" customFormat="1">
      <c r="A4732" s="42" t="s">
        <v>90</v>
      </c>
      <c r="B4732" s="48" t="s">
        <v>148</v>
      </c>
      <c r="C4732" s="32">
        <v>8</v>
      </c>
      <c r="D4732" s="32"/>
      <c r="E4732" s="48" t="s">
        <v>19</v>
      </c>
      <c r="F4732" s="48" t="s">
        <v>14</v>
      </c>
      <c r="G4732" s="48" t="s">
        <v>144</v>
      </c>
      <c r="H4732" s="49">
        <v>5.38</v>
      </c>
      <c r="I4732" s="52">
        <v>8.5</v>
      </c>
      <c r="J4732" s="7">
        <v>9</v>
      </c>
      <c r="K4732" s="10">
        <v>0.41156999999999999</v>
      </c>
      <c r="L4732" s="32"/>
      <c r="M4732" s="32">
        <v>9</v>
      </c>
      <c r="N4732" s="18">
        <v>0.41156999999999999</v>
      </c>
      <c r="O4732" s="106">
        <v>0</v>
      </c>
      <c r="P4732" s="13">
        <v>0</v>
      </c>
      <c r="Q4732" s="93">
        <v>7.95</v>
      </c>
      <c r="R4732" s="93">
        <v>9</v>
      </c>
      <c r="S4732" s="93" t="s">
        <v>657</v>
      </c>
    </row>
    <row r="4733" spans="1:19" s="213" customFormat="1">
      <c r="A4733" s="42" t="s">
        <v>90</v>
      </c>
      <c r="B4733" s="48" t="s">
        <v>148</v>
      </c>
      <c r="C4733" s="32">
        <v>8</v>
      </c>
      <c r="D4733" s="32"/>
      <c r="E4733" s="48" t="s">
        <v>19</v>
      </c>
      <c r="F4733" s="48" t="s">
        <v>14</v>
      </c>
      <c r="G4733" s="48" t="s">
        <v>144</v>
      </c>
      <c r="H4733" s="49">
        <v>5.38</v>
      </c>
      <c r="I4733" s="52">
        <v>9.4</v>
      </c>
      <c r="J4733" s="7">
        <v>2</v>
      </c>
      <c r="K4733" s="10">
        <v>0.10114400000000001</v>
      </c>
      <c r="L4733" s="32"/>
      <c r="M4733" s="32">
        <v>2</v>
      </c>
      <c r="N4733" s="18">
        <v>0.10114400000000001</v>
      </c>
      <c r="O4733" s="106">
        <v>0</v>
      </c>
      <c r="P4733" s="13">
        <v>0</v>
      </c>
      <c r="Q4733" s="93">
        <v>7.95</v>
      </c>
      <c r="R4733" s="93">
        <v>2</v>
      </c>
      <c r="S4733" s="93" t="s">
        <v>657</v>
      </c>
    </row>
    <row r="4734" spans="1:19" s="213" customFormat="1">
      <c r="A4734" s="42" t="s">
        <v>90</v>
      </c>
      <c r="B4734" s="48" t="s">
        <v>148</v>
      </c>
      <c r="C4734" s="32">
        <v>8</v>
      </c>
      <c r="D4734" s="32"/>
      <c r="E4734" s="48" t="s">
        <v>19</v>
      </c>
      <c r="F4734" s="48" t="s">
        <v>14</v>
      </c>
      <c r="G4734" s="48" t="s">
        <v>144</v>
      </c>
      <c r="H4734" s="49">
        <v>5.38</v>
      </c>
      <c r="I4734" s="52">
        <v>7.6</v>
      </c>
      <c r="J4734" s="7">
        <v>1</v>
      </c>
      <c r="K4734" s="10">
        <v>4.0888000000000001E-2</v>
      </c>
      <c r="L4734" s="32"/>
      <c r="M4734" s="32"/>
      <c r="N4734" s="18">
        <v>0</v>
      </c>
      <c r="O4734" s="19">
        <v>1</v>
      </c>
      <c r="P4734" s="13">
        <v>4.0888000000000001E-2</v>
      </c>
      <c r="Q4734" s="32"/>
      <c r="R4734" s="32"/>
      <c r="S4734" s="32"/>
    </row>
    <row r="4735" spans="1:19" s="213" customFormat="1">
      <c r="A4735" s="42" t="s">
        <v>90</v>
      </c>
      <c r="B4735" s="48" t="s">
        <v>148</v>
      </c>
      <c r="C4735" s="32">
        <v>10</v>
      </c>
      <c r="D4735" s="32"/>
      <c r="E4735" s="48" t="s">
        <v>19</v>
      </c>
      <c r="F4735" s="48" t="s">
        <v>14</v>
      </c>
      <c r="G4735" s="48" t="s">
        <v>144</v>
      </c>
      <c r="H4735" s="49">
        <v>5.38</v>
      </c>
      <c r="I4735" s="52">
        <v>10.5</v>
      </c>
      <c r="J4735" s="7">
        <v>8</v>
      </c>
      <c r="K4735" s="10">
        <v>0.45191999999999999</v>
      </c>
      <c r="L4735" s="32"/>
      <c r="M4735" s="32">
        <v>8</v>
      </c>
      <c r="N4735" s="18">
        <v>0.45191999999999999</v>
      </c>
      <c r="O4735" s="19">
        <v>0</v>
      </c>
      <c r="P4735" s="13">
        <v>0</v>
      </c>
      <c r="Q4735" s="93">
        <v>10.5</v>
      </c>
      <c r="R4735" s="93">
        <v>8</v>
      </c>
      <c r="S4735" s="93" t="s">
        <v>654</v>
      </c>
    </row>
    <row r="4736" spans="1:19" s="213" customFormat="1">
      <c r="A4736" s="42" t="s">
        <v>90</v>
      </c>
      <c r="B4736" s="48" t="s">
        <v>148</v>
      </c>
      <c r="C4736" s="32">
        <v>10</v>
      </c>
      <c r="D4736" s="32"/>
      <c r="E4736" s="48" t="s">
        <v>19</v>
      </c>
      <c r="F4736" s="48" t="s">
        <v>14</v>
      </c>
      <c r="G4736" s="48" t="s">
        <v>144</v>
      </c>
      <c r="H4736" s="49">
        <v>5.38</v>
      </c>
      <c r="I4736" s="52">
        <v>6</v>
      </c>
      <c r="J4736" s="7">
        <v>1</v>
      </c>
      <c r="K4736" s="10">
        <v>3.2280000000000003E-2</v>
      </c>
      <c r="L4736" s="32"/>
      <c r="M4736" s="32"/>
      <c r="N4736" s="18">
        <v>0</v>
      </c>
      <c r="O4736" s="19">
        <v>1</v>
      </c>
      <c r="P4736" s="13">
        <v>3.2280000000000003E-2</v>
      </c>
      <c r="Q4736" s="32"/>
      <c r="R4736" s="32"/>
      <c r="S4736" s="32"/>
    </row>
    <row r="4737" spans="1:19" s="213" customFormat="1">
      <c r="A4737" s="42" t="s">
        <v>90</v>
      </c>
      <c r="B4737" s="48" t="s">
        <v>148</v>
      </c>
      <c r="C4737" s="32">
        <v>10</v>
      </c>
      <c r="D4737" s="32"/>
      <c r="E4737" s="48" t="s">
        <v>19</v>
      </c>
      <c r="F4737" s="48" t="s">
        <v>14</v>
      </c>
      <c r="G4737" s="48" t="s">
        <v>144</v>
      </c>
      <c r="H4737" s="49">
        <v>5.38</v>
      </c>
      <c r="I4737" s="52">
        <v>10</v>
      </c>
      <c r="J4737" s="7">
        <v>2</v>
      </c>
      <c r="K4737" s="10">
        <v>0.1076</v>
      </c>
      <c r="L4737" s="32"/>
      <c r="M4737" s="32">
        <v>2</v>
      </c>
      <c r="N4737" s="18">
        <v>0.1076</v>
      </c>
      <c r="O4737" s="19">
        <v>0</v>
      </c>
      <c r="P4737" s="13">
        <v>0</v>
      </c>
      <c r="Q4737" s="168">
        <v>10</v>
      </c>
      <c r="R4737" s="93">
        <v>2</v>
      </c>
      <c r="S4737" s="93" t="s">
        <v>654</v>
      </c>
    </row>
    <row r="4738" spans="1:19" s="213" customFormat="1">
      <c r="A4738" s="42" t="s">
        <v>90</v>
      </c>
      <c r="B4738" s="48" t="s">
        <v>148</v>
      </c>
      <c r="C4738" s="32">
        <v>16</v>
      </c>
      <c r="D4738" s="32"/>
      <c r="E4738" s="48" t="s">
        <v>19</v>
      </c>
      <c r="F4738" s="48" t="s">
        <v>14</v>
      </c>
      <c r="G4738" s="48" t="s">
        <v>144</v>
      </c>
      <c r="H4738" s="49">
        <v>5.38</v>
      </c>
      <c r="I4738" s="52">
        <v>8.1999999999999993</v>
      </c>
      <c r="J4738" s="7">
        <v>1</v>
      </c>
      <c r="K4738" s="10">
        <v>4.4115999999999995E-2</v>
      </c>
      <c r="L4738" s="32"/>
      <c r="M4738" s="32">
        <v>1</v>
      </c>
      <c r="N4738" s="18">
        <v>4.4115999999999995E-2</v>
      </c>
      <c r="O4738" s="106">
        <v>0</v>
      </c>
      <c r="P4738" s="13">
        <v>0</v>
      </c>
      <c r="Q4738" s="93">
        <v>7.95</v>
      </c>
      <c r="R4738" s="93">
        <v>1</v>
      </c>
      <c r="S4738" s="93" t="s">
        <v>657</v>
      </c>
    </row>
    <row r="4739" spans="1:19" s="213" customFormat="1">
      <c r="A4739" s="42" t="s">
        <v>90</v>
      </c>
      <c r="B4739" s="48" t="s">
        <v>148</v>
      </c>
      <c r="C4739" s="32">
        <v>16</v>
      </c>
      <c r="D4739" s="32"/>
      <c r="E4739" s="48" t="s">
        <v>19</v>
      </c>
      <c r="F4739" s="48" t="s">
        <v>14</v>
      </c>
      <c r="G4739" s="48" t="s">
        <v>144</v>
      </c>
      <c r="H4739" s="49">
        <v>5.38</v>
      </c>
      <c r="I4739" s="52">
        <v>5.9</v>
      </c>
      <c r="J4739" s="7">
        <v>1</v>
      </c>
      <c r="K4739" s="10">
        <v>3.1741999999999999E-2</v>
      </c>
      <c r="L4739" s="32"/>
      <c r="M4739" s="32"/>
      <c r="N4739" s="18">
        <v>0</v>
      </c>
      <c r="O4739" s="19">
        <v>1</v>
      </c>
      <c r="P4739" s="13">
        <v>3.1741999999999999E-2</v>
      </c>
      <c r="Q4739" s="32"/>
      <c r="R4739" s="32"/>
      <c r="S4739" s="32"/>
    </row>
    <row r="4740" spans="1:19" s="213" customFormat="1">
      <c r="A4740" s="42" t="s">
        <v>90</v>
      </c>
      <c r="B4740" s="48" t="s">
        <v>148</v>
      </c>
      <c r="C4740" s="32">
        <v>17</v>
      </c>
      <c r="D4740" s="32"/>
      <c r="E4740" s="48" t="s">
        <v>19</v>
      </c>
      <c r="F4740" s="48" t="s">
        <v>14</v>
      </c>
      <c r="G4740" s="48" t="s">
        <v>144</v>
      </c>
      <c r="H4740" s="49">
        <v>5.38</v>
      </c>
      <c r="I4740" s="52">
        <v>11</v>
      </c>
      <c r="J4740" s="7">
        <v>2</v>
      </c>
      <c r="K4740" s="10">
        <v>0.11835999999999999</v>
      </c>
      <c r="L4740" s="32"/>
      <c r="M4740" s="32">
        <v>2</v>
      </c>
      <c r="N4740" s="18">
        <v>0.11835999999999999</v>
      </c>
      <c r="O4740" s="19">
        <v>0</v>
      </c>
      <c r="P4740" s="13">
        <v>0</v>
      </c>
      <c r="Q4740" s="94">
        <v>11</v>
      </c>
      <c r="R4740" s="93">
        <v>2</v>
      </c>
      <c r="S4740" s="93" t="s">
        <v>654</v>
      </c>
    </row>
    <row r="4741" spans="1:19" s="213" customFormat="1">
      <c r="A4741" s="42" t="s">
        <v>90</v>
      </c>
      <c r="B4741" s="48" t="s">
        <v>148</v>
      </c>
      <c r="C4741" s="32">
        <v>17</v>
      </c>
      <c r="D4741" s="32"/>
      <c r="E4741" s="48" t="s">
        <v>19</v>
      </c>
      <c r="F4741" s="48" t="s">
        <v>14</v>
      </c>
      <c r="G4741" s="48" t="s">
        <v>144</v>
      </c>
      <c r="H4741" s="49">
        <v>5.38</v>
      </c>
      <c r="I4741" s="52">
        <v>11.3</v>
      </c>
      <c r="J4741" s="7">
        <v>1</v>
      </c>
      <c r="K4741" s="10">
        <v>6.0794000000000001E-2</v>
      </c>
      <c r="L4741" s="32"/>
      <c r="M4741" s="32">
        <v>1</v>
      </c>
      <c r="N4741" s="18">
        <v>6.0794000000000001E-2</v>
      </c>
      <c r="O4741" s="19">
        <v>0</v>
      </c>
      <c r="P4741" s="13">
        <v>0</v>
      </c>
      <c r="Q4741" s="94">
        <v>11</v>
      </c>
      <c r="R4741" s="93">
        <v>1</v>
      </c>
      <c r="S4741" s="93" t="s">
        <v>654</v>
      </c>
    </row>
    <row r="4742" spans="1:19" s="213" customFormat="1">
      <c r="A4742" s="42" t="s">
        <v>90</v>
      </c>
      <c r="B4742" s="48" t="s">
        <v>148</v>
      </c>
      <c r="C4742" s="32">
        <v>17</v>
      </c>
      <c r="D4742" s="32"/>
      <c r="E4742" s="48" t="s">
        <v>19</v>
      </c>
      <c r="F4742" s="48" t="s">
        <v>14</v>
      </c>
      <c r="G4742" s="48" t="s">
        <v>144</v>
      </c>
      <c r="H4742" s="49">
        <v>5.38</v>
      </c>
      <c r="I4742" s="52">
        <v>12</v>
      </c>
      <c r="J4742" s="7">
        <v>14</v>
      </c>
      <c r="K4742" s="10">
        <v>0.90383999999999998</v>
      </c>
      <c r="L4742" s="32"/>
      <c r="M4742" s="32">
        <v>14</v>
      </c>
      <c r="N4742" s="18">
        <v>0.90383999999999998</v>
      </c>
      <c r="O4742" s="19">
        <v>0</v>
      </c>
      <c r="P4742" s="13">
        <v>0</v>
      </c>
      <c r="Q4742" s="94">
        <v>12</v>
      </c>
      <c r="R4742" s="93">
        <v>14</v>
      </c>
      <c r="S4742" s="93" t="s">
        <v>631</v>
      </c>
    </row>
    <row r="4743" spans="1:19" s="213" customFormat="1">
      <c r="A4743" s="42" t="s">
        <v>90</v>
      </c>
      <c r="B4743" s="48" t="s">
        <v>148</v>
      </c>
      <c r="C4743" s="32">
        <v>21</v>
      </c>
      <c r="D4743" s="32"/>
      <c r="E4743" s="48" t="s">
        <v>19</v>
      </c>
      <c r="F4743" s="48" t="s">
        <v>14</v>
      </c>
      <c r="G4743" s="48" t="s">
        <v>144</v>
      </c>
      <c r="H4743" s="49">
        <v>5.38</v>
      </c>
      <c r="I4743" s="52">
        <v>8</v>
      </c>
      <c r="J4743" s="7">
        <v>1</v>
      </c>
      <c r="K4743" s="10">
        <v>4.3040000000000002E-2</v>
      </c>
      <c r="L4743" s="32" t="s">
        <v>26</v>
      </c>
      <c r="M4743" s="32">
        <v>1</v>
      </c>
      <c r="N4743" s="18">
        <v>4.3040000000000002E-2</v>
      </c>
      <c r="O4743" s="19">
        <v>0</v>
      </c>
      <c r="P4743" s="13">
        <v>0</v>
      </c>
      <c r="Q4743" s="32" t="s">
        <v>498</v>
      </c>
      <c r="R4743" s="32"/>
      <c r="S4743" s="32"/>
    </row>
    <row r="4744" spans="1:19" s="213" customFormat="1">
      <c r="A4744" s="42" t="s">
        <v>90</v>
      </c>
      <c r="B4744" s="48" t="s">
        <v>148</v>
      </c>
      <c r="C4744" s="32">
        <v>21</v>
      </c>
      <c r="D4744" s="32"/>
      <c r="E4744" s="48" t="s">
        <v>19</v>
      </c>
      <c r="F4744" s="48" t="s">
        <v>14</v>
      </c>
      <c r="G4744" s="48" t="s">
        <v>144</v>
      </c>
      <c r="H4744" s="49">
        <v>5.38</v>
      </c>
      <c r="I4744" s="52">
        <v>8.4</v>
      </c>
      <c r="J4744" s="7">
        <v>1</v>
      </c>
      <c r="K4744" s="10">
        <v>4.5192000000000003E-2</v>
      </c>
      <c r="L4744" s="32" t="s">
        <v>26</v>
      </c>
      <c r="M4744" s="32">
        <v>1</v>
      </c>
      <c r="N4744" s="18">
        <v>4.5192000000000003E-2</v>
      </c>
      <c r="O4744" s="19">
        <v>0</v>
      </c>
      <c r="P4744" s="13">
        <v>0</v>
      </c>
      <c r="Q4744" s="32" t="s">
        <v>498</v>
      </c>
      <c r="R4744" s="32"/>
      <c r="S4744" s="32"/>
    </row>
    <row r="4745" spans="1:19" s="213" customFormat="1">
      <c r="A4745" s="42" t="s">
        <v>90</v>
      </c>
      <c r="B4745" s="48" t="s">
        <v>148</v>
      </c>
      <c r="C4745" s="32">
        <v>21</v>
      </c>
      <c r="D4745" s="32"/>
      <c r="E4745" s="48" t="s">
        <v>19</v>
      </c>
      <c r="F4745" s="48" t="s">
        <v>14</v>
      </c>
      <c r="G4745" s="48" t="s">
        <v>144</v>
      </c>
      <c r="H4745" s="49">
        <v>5.38</v>
      </c>
      <c r="I4745" s="52">
        <v>8.5</v>
      </c>
      <c r="J4745" s="7">
        <v>2</v>
      </c>
      <c r="K4745" s="10">
        <v>9.146E-2</v>
      </c>
      <c r="L4745" s="32" t="s">
        <v>26</v>
      </c>
      <c r="M4745" s="32">
        <v>2</v>
      </c>
      <c r="N4745" s="18">
        <v>9.146E-2</v>
      </c>
      <c r="O4745" s="19">
        <v>0</v>
      </c>
      <c r="P4745" s="13">
        <v>0</v>
      </c>
      <c r="Q4745" s="32" t="s">
        <v>498</v>
      </c>
      <c r="R4745" s="32"/>
      <c r="S4745" s="32"/>
    </row>
    <row r="4746" spans="1:19" s="213" customFormat="1">
      <c r="A4746" s="42" t="s">
        <v>90</v>
      </c>
      <c r="B4746" s="48" t="s">
        <v>148</v>
      </c>
      <c r="C4746" s="32">
        <v>21</v>
      </c>
      <c r="D4746" s="32"/>
      <c r="E4746" s="48" t="s">
        <v>19</v>
      </c>
      <c r="F4746" s="48" t="s">
        <v>14</v>
      </c>
      <c r="G4746" s="48" t="s">
        <v>144</v>
      </c>
      <c r="H4746" s="49">
        <v>5.38</v>
      </c>
      <c r="I4746" s="52">
        <v>8.25</v>
      </c>
      <c r="J4746" s="7">
        <v>1</v>
      </c>
      <c r="K4746" s="10">
        <v>4.4385000000000001E-2</v>
      </c>
      <c r="L4746" s="32" t="s">
        <v>26</v>
      </c>
      <c r="M4746" s="32">
        <v>1</v>
      </c>
      <c r="N4746" s="18">
        <v>4.4385000000000001E-2</v>
      </c>
      <c r="O4746" s="19">
        <v>0</v>
      </c>
      <c r="P4746" s="13">
        <v>0</v>
      </c>
      <c r="Q4746" s="32" t="s">
        <v>498</v>
      </c>
      <c r="R4746" s="32"/>
      <c r="S4746" s="32"/>
    </row>
    <row r="4747" spans="1:19" s="213" customFormat="1">
      <c r="A4747" s="42" t="s">
        <v>90</v>
      </c>
      <c r="B4747" s="48" t="s">
        <v>148</v>
      </c>
      <c r="C4747" s="32">
        <v>21</v>
      </c>
      <c r="D4747" s="32"/>
      <c r="E4747" s="48" t="s">
        <v>19</v>
      </c>
      <c r="F4747" s="48" t="s">
        <v>14</v>
      </c>
      <c r="G4747" s="48" t="s">
        <v>144</v>
      </c>
      <c r="H4747" s="49">
        <v>5.38</v>
      </c>
      <c r="I4747" s="52">
        <v>5.4</v>
      </c>
      <c r="J4747" s="7">
        <v>1</v>
      </c>
      <c r="K4747" s="10">
        <v>2.9051999999999998E-2</v>
      </c>
      <c r="L4747" s="32" t="s">
        <v>26</v>
      </c>
      <c r="M4747" s="32">
        <v>1</v>
      </c>
      <c r="N4747" s="18">
        <v>2.9051999999999998E-2</v>
      </c>
      <c r="O4747" s="19">
        <v>0</v>
      </c>
      <c r="P4747" s="13">
        <v>0</v>
      </c>
      <c r="Q4747" s="32" t="s">
        <v>498</v>
      </c>
      <c r="R4747" s="32"/>
      <c r="S4747" s="32"/>
    </row>
    <row r="4748" spans="1:19" s="213" customFormat="1">
      <c r="A4748" s="42" t="s">
        <v>90</v>
      </c>
      <c r="B4748" s="48" t="s">
        <v>148</v>
      </c>
      <c r="C4748" s="32">
        <v>21</v>
      </c>
      <c r="D4748" s="32"/>
      <c r="E4748" s="48" t="s">
        <v>19</v>
      </c>
      <c r="F4748" s="48" t="s">
        <v>14</v>
      </c>
      <c r="G4748" s="48" t="s">
        <v>144</v>
      </c>
      <c r="H4748" s="49">
        <v>5.38</v>
      </c>
      <c r="I4748" s="52">
        <v>12</v>
      </c>
      <c r="J4748" s="7">
        <v>1</v>
      </c>
      <c r="K4748" s="10">
        <v>6.4560000000000006E-2</v>
      </c>
      <c r="L4748" s="32" t="s">
        <v>26</v>
      </c>
      <c r="M4748" s="32">
        <v>1</v>
      </c>
      <c r="N4748" s="18">
        <v>6.4560000000000006E-2</v>
      </c>
      <c r="O4748" s="19">
        <v>0</v>
      </c>
      <c r="P4748" s="13">
        <v>0</v>
      </c>
      <c r="Q4748" s="32" t="s">
        <v>498</v>
      </c>
      <c r="R4748" s="32"/>
      <c r="S4748" s="32"/>
    </row>
    <row r="4749" spans="1:19" s="213" customFormat="1">
      <c r="A4749" s="42" t="s">
        <v>90</v>
      </c>
      <c r="B4749" s="48" t="s">
        <v>148</v>
      </c>
      <c r="C4749" s="32">
        <v>28</v>
      </c>
      <c r="D4749" s="32"/>
      <c r="E4749" s="48" t="s">
        <v>19</v>
      </c>
      <c r="F4749" s="48" t="s">
        <v>14</v>
      </c>
      <c r="G4749" s="48" t="s">
        <v>144</v>
      </c>
      <c r="H4749" s="49">
        <v>5.38</v>
      </c>
      <c r="I4749" s="52">
        <v>10.5</v>
      </c>
      <c r="J4749" s="7">
        <v>2</v>
      </c>
      <c r="K4749" s="10">
        <v>0.11298</v>
      </c>
      <c r="L4749" s="32"/>
      <c r="M4749" s="32">
        <v>2</v>
      </c>
      <c r="N4749" s="18">
        <v>0.11298</v>
      </c>
      <c r="O4749" s="19">
        <v>0</v>
      </c>
      <c r="P4749" s="13">
        <v>0</v>
      </c>
      <c r="Q4749" s="94">
        <v>10.5</v>
      </c>
      <c r="R4749" s="93">
        <v>2</v>
      </c>
      <c r="S4749" s="93" t="s">
        <v>654</v>
      </c>
    </row>
    <row r="4750" spans="1:19" s="213" customFormat="1">
      <c r="A4750" s="42" t="s">
        <v>90</v>
      </c>
      <c r="B4750" s="48" t="s">
        <v>148</v>
      </c>
      <c r="C4750" s="32">
        <v>50</v>
      </c>
      <c r="D4750" s="32"/>
      <c r="E4750" s="48" t="s">
        <v>19</v>
      </c>
      <c r="F4750" s="48" t="s">
        <v>14</v>
      </c>
      <c r="G4750" s="48" t="s">
        <v>144</v>
      </c>
      <c r="H4750" s="49">
        <v>5.38</v>
      </c>
      <c r="I4750" s="52">
        <v>12</v>
      </c>
      <c r="J4750" s="7">
        <v>3</v>
      </c>
      <c r="K4750" s="10">
        <v>0.19368000000000002</v>
      </c>
      <c r="L4750" s="32"/>
      <c r="M4750" s="32">
        <v>3</v>
      </c>
      <c r="N4750" s="18">
        <v>0.19368000000000002</v>
      </c>
      <c r="O4750" s="19">
        <v>0</v>
      </c>
      <c r="P4750" s="13">
        <v>0</v>
      </c>
      <c r="Q4750" s="94">
        <v>12</v>
      </c>
      <c r="R4750" s="93">
        <v>3</v>
      </c>
      <c r="S4750" s="93" t="s">
        <v>655</v>
      </c>
    </row>
    <row r="4751" spans="1:19" s="213" customFormat="1">
      <c r="O4751" s="215">
        <f>SUM(O4721:O4750)</f>
        <v>5</v>
      </c>
      <c r="R4751" s="215">
        <f>SUM(R4721:R4750)</f>
        <v>71</v>
      </c>
    </row>
    <row r="4755" spans="1:20">
      <c r="A4755" s="213"/>
      <c r="B4755" s="213"/>
      <c r="C4755" s="213"/>
      <c r="D4755" s="213"/>
      <c r="E4755" s="213"/>
      <c r="F4755" s="213"/>
      <c r="G4755" s="213"/>
      <c r="H4755" s="213"/>
      <c r="I4755" s="213"/>
      <c r="J4755" s="213"/>
      <c r="K4755" s="213"/>
      <c r="L4755" s="213"/>
      <c r="M4755" s="213"/>
      <c r="N4755" s="213"/>
      <c r="O4755" s="213"/>
      <c r="P4755" s="213"/>
      <c r="Q4755" s="213"/>
      <c r="R4755" s="213"/>
      <c r="S4755" s="213"/>
      <c r="T4755" s="213"/>
    </row>
    <row r="4756" spans="1:20">
      <c r="A4756" s="42" t="s">
        <v>77</v>
      </c>
      <c r="B4756" s="3" t="s">
        <v>68</v>
      </c>
      <c r="C4756" s="3">
        <v>234</v>
      </c>
      <c r="D4756" s="1"/>
      <c r="E4756" s="20" t="s">
        <v>17</v>
      </c>
      <c r="F4756" s="7" t="s">
        <v>15</v>
      </c>
      <c r="G4756" s="7" t="s">
        <v>60</v>
      </c>
      <c r="H4756" s="11">
        <v>22.93</v>
      </c>
      <c r="I4756" s="8">
        <v>6</v>
      </c>
      <c r="J4756" s="26">
        <v>1</v>
      </c>
      <c r="K4756" s="10">
        <f t="shared" ref="K4756:K4763" si="611">(H4756*I4756*J4756/1000)</f>
        <v>0.13757999999999998</v>
      </c>
      <c r="L4756" s="4"/>
      <c r="M4756" s="17">
        <v>1</v>
      </c>
      <c r="N4756" s="18">
        <f t="shared" ref="N4756:N4763" si="612">I4756*M4756*H4756/1000</f>
        <v>0.13757999999999998</v>
      </c>
      <c r="O4756" s="106">
        <f t="shared" ref="O4756:O4763" si="613">J4756-M4756</f>
        <v>0</v>
      </c>
      <c r="P4756" s="13">
        <f t="shared" ref="P4756:P4763" si="614">I4756*O4756*H4756/1000</f>
        <v>0</v>
      </c>
      <c r="Q4756" s="92">
        <v>6</v>
      </c>
      <c r="R4756" s="47">
        <v>1</v>
      </c>
      <c r="S4756" s="47" t="s">
        <v>531</v>
      </c>
      <c r="T4756" s="213"/>
    </row>
    <row r="4757" spans="1:20">
      <c r="A4757" s="42" t="s">
        <v>77</v>
      </c>
      <c r="B4757" s="3" t="s">
        <v>68</v>
      </c>
      <c r="C4757" s="3">
        <v>234</v>
      </c>
      <c r="D4757" s="1"/>
      <c r="E4757" s="20" t="s">
        <v>17</v>
      </c>
      <c r="F4757" s="7" t="s">
        <v>15</v>
      </c>
      <c r="G4757" s="7" t="s">
        <v>60</v>
      </c>
      <c r="H4757" s="11">
        <v>22.93</v>
      </c>
      <c r="I4757" s="8">
        <v>6.9</v>
      </c>
      <c r="J4757" s="26">
        <v>1</v>
      </c>
      <c r="K4757" s="10">
        <f t="shared" si="611"/>
        <v>0.15821700000000002</v>
      </c>
      <c r="L4757" s="4"/>
      <c r="M4757" s="17">
        <v>1</v>
      </c>
      <c r="N4757" s="18">
        <f t="shared" si="612"/>
        <v>0.15821700000000002</v>
      </c>
      <c r="O4757" s="106">
        <f t="shared" si="613"/>
        <v>0</v>
      </c>
      <c r="P4757" s="13">
        <f t="shared" si="614"/>
        <v>0</v>
      </c>
      <c r="Q4757" s="92">
        <v>6.9</v>
      </c>
      <c r="R4757" s="47">
        <v>1</v>
      </c>
      <c r="S4757" s="47" t="s">
        <v>531</v>
      </c>
      <c r="T4757" s="213"/>
    </row>
    <row r="4758" spans="1:20">
      <c r="A4758" s="42" t="s">
        <v>77</v>
      </c>
      <c r="B4758" s="3" t="s">
        <v>68</v>
      </c>
      <c r="C4758" s="3">
        <v>234</v>
      </c>
      <c r="D4758" s="1"/>
      <c r="E4758" s="20" t="s">
        <v>17</v>
      </c>
      <c r="F4758" s="7" t="s">
        <v>15</v>
      </c>
      <c r="G4758" s="7" t="s">
        <v>60</v>
      </c>
      <c r="H4758" s="11">
        <v>22.93</v>
      </c>
      <c r="I4758" s="8">
        <v>7.6</v>
      </c>
      <c r="J4758" s="26">
        <v>1</v>
      </c>
      <c r="K4758" s="10">
        <f t="shared" si="611"/>
        <v>0.17426800000000001</v>
      </c>
      <c r="L4758" s="4"/>
      <c r="M4758" s="17">
        <v>1</v>
      </c>
      <c r="N4758" s="18">
        <f t="shared" si="612"/>
        <v>0.17426800000000001</v>
      </c>
      <c r="O4758" s="19">
        <f t="shared" si="613"/>
        <v>0</v>
      </c>
      <c r="P4758" s="13">
        <f t="shared" si="614"/>
        <v>0</v>
      </c>
      <c r="Q4758" s="9"/>
      <c r="R4758" s="2"/>
      <c r="S4758" s="2"/>
      <c r="T4758" s="213"/>
    </row>
    <row r="4759" spans="1:20">
      <c r="A4759" s="42" t="s">
        <v>77</v>
      </c>
      <c r="B4759" s="3" t="s">
        <v>68</v>
      </c>
      <c r="C4759" s="3">
        <v>234</v>
      </c>
      <c r="D4759" s="1"/>
      <c r="E4759" s="20" t="s">
        <v>17</v>
      </c>
      <c r="F4759" s="7" t="s">
        <v>15</v>
      </c>
      <c r="G4759" s="7" t="s">
        <v>60</v>
      </c>
      <c r="H4759" s="11">
        <v>22.93</v>
      </c>
      <c r="I4759" s="8">
        <v>9.5</v>
      </c>
      <c r="J4759" s="26">
        <v>1</v>
      </c>
      <c r="K4759" s="10">
        <f t="shared" si="611"/>
        <v>0.217835</v>
      </c>
      <c r="L4759" s="4"/>
      <c r="M4759" s="17"/>
      <c r="N4759" s="18">
        <f t="shared" si="612"/>
        <v>0</v>
      </c>
      <c r="O4759" s="19">
        <f t="shared" si="613"/>
        <v>1</v>
      </c>
      <c r="P4759" s="13">
        <f t="shared" si="614"/>
        <v>0.217835</v>
      </c>
      <c r="Q4759" s="9"/>
      <c r="R4759" s="2"/>
      <c r="S4759" s="2"/>
      <c r="T4759" s="213"/>
    </row>
    <row r="4760" spans="1:20">
      <c r="A4760" s="42" t="s">
        <v>77</v>
      </c>
      <c r="B4760" s="3" t="s">
        <v>68</v>
      </c>
      <c r="C4760" s="3">
        <v>234</v>
      </c>
      <c r="D4760" s="1"/>
      <c r="E4760" s="20" t="s">
        <v>17</v>
      </c>
      <c r="F4760" s="7" t="s">
        <v>15</v>
      </c>
      <c r="G4760" s="7" t="s">
        <v>60</v>
      </c>
      <c r="H4760" s="11">
        <v>22.93</v>
      </c>
      <c r="I4760" s="8">
        <v>10</v>
      </c>
      <c r="J4760" s="26">
        <v>1</v>
      </c>
      <c r="K4760" s="10">
        <f t="shared" si="611"/>
        <v>0.2293</v>
      </c>
      <c r="L4760" s="4"/>
      <c r="M4760" s="17">
        <v>1</v>
      </c>
      <c r="N4760" s="18">
        <f t="shared" si="612"/>
        <v>0.2293</v>
      </c>
      <c r="O4760" s="19">
        <f t="shared" si="613"/>
        <v>0</v>
      </c>
      <c r="P4760" s="13">
        <f t="shared" si="614"/>
        <v>0</v>
      </c>
      <c r="Q4760" s="9"/>
      <c r="R4760" s="2"/>
      <c r="S4760" s="2"/>
      <c r="T4760" s="213"/>
    </row>
    <row r="4761" spans="1:20">
      <c r="A4761" s="42" t="s">
        <v>77</v>
      </c>
      <c r="B4761" s="3" t="s">
        <v>68</v>
      </c>
      <c r="C4761" s="3">
        <v>234</v>
      </c>
      <c r="D4761" s="1"/>
      <c r="E4761" s="20" t="s">
        <v>17</v>
      </c>
      <c r="F4761" s="7" t="s">
        <v>15</v>
      </c>
      <c r="G4761" s="7" t="s">
        <v>60</v>
      </c>
      <c r="H4761" s="11">
        <v>22.93</v>
      </c>
      <c r="I4761" s="8">
        <v>10.5</v>
      </c>
      <c r="J4761" s="26">
        <v>1</v>
      </c>
      <c r="K4761" s="10">
        <f t="shared" si="611"/>
        <v>0.24076499999999998</v>
      </c>
      <c r="L4761" s="4"/>
      <c r="M4761" s="17"/>
      <c r="N4761" s="18">
        <f t="shared" si="612"/>
        <v>0</v>
      </c>
      <c r="O4761" s="19">
        <f t="shared" si="613"/>
        <v>1</v>
      </c>
      <c r="P4761" s="13">
        <f t="shared" si="614"/>
        <v>0.24076499999999998</v>
      </c>
      <c r="Q4761" s="9"/>
      <c r="R4761" s="2"/>
      <c r="S4761" s="2"/>
      <c r="T4761" s="213"/>
    </row>
    <row r="4762" spans="1:20">
      <c r="A4762" s="42" t="s">
        <v>77</v>
      </c>
      <c r="B4762" s="3" t="s">
        <v>68</v>
      </c>
      <c r="C4762" s="3">
        <v>234</v>
      </c>
      <c r="D4762" s="1"/>
      <c r="E4762" s="20" t="s">
        <v>17</v>
      </c>
      <c r="F4762" s="7" t="s">
        <v>15</v>
      </c>
      <c r="G4762" s="7" t="s">
        <v>60</v>
      </c>
      <c r="H4762" s="11">
        <v>22.93</v>
      </c>
      <c r="I4762" s="8">
        <v>11.5</v>
      </c>
      <c r="J4762" s="26">
        <v>1</v>
      </c>
      <c r="K4762" s="10">
        <f t="shared" si="611"/>
        <v>0.26369500000000001</v>
      </c>
      <c r="L4762" s="4"/>
      <c r="M4762" s="17">
        <v>1</v>
      </c>
      <c r="N4762" s="18">
        <f t="shared" si="612"/>
        <v>0.26369500000000001</v>
      </c>
      <c r="O4762" s="19">
        <f t="shared" si="613"/>
        <v>0</v>
      </c>
      <c r="P4762" s="13">
        <f t="shared" si="614"/>
        <v>0</v>
      </c>
      <c r="Q4762" s="9"/>
      <c r="R4762" s="2"/>
      <c r="S4762" s="2"/>
      <c r="T4762" s="213"/>
    </row>
    <row r="4763" spans="1:20">
      <c r="A4763" s="42" t="s">
        <v>77</v>
      </c>
      <c r="B4763" s="3" t="s">
        <v>68</v>
      </c>
      <c r="C4763" s="3">
        <v>234</v>
      </c>
      <c r="D4763" s="1"/>
      <c r="E4763" s="20" t="s">
        <v>17</v>
      </c>
      <c r="F4763" s="7" t="s">
        <v>15</v>
      </c>
      <c r="G4763" s="7" t="s">
        <v>60</v>
      </c>
      <c r="H4763" s="11">
        <v>22.93</v>
      </c>
      <c r="I4763" s="8">
        <v>11.7</v>
      </c>
      <c r="J4763" s="26">
        <v>1</v>
      </c>
      <c r="K4763" s="10">
        <f t="shared" si="611"/>
        <v>0.26828099999999999</v>
      </c>
      <c r="L4763" s="4"/>
      <c r="M4763" s="17">
        <v>1</v>
      </c>
      <c r="N4763" s="18">
        <f t="shared" si="612"/>
        <v>0.26828099999999999</v>
      </c>
      <c r="O4763" s="19">
        <f t="shared" si="613"/>
        <v>0</v>
      </c>
      <c r="P4763" s="13">
        <f t="shared" si="614"/>
        <v>0</v>
      </c>
      <c r="Q4763" s="9"/>
      <c r="R4763" s="2"/>
      <c r="S4763" s="2"/>
      <c r="T4763" s="213"/>
    </row>
    <row r="4764" spans="1:20">
      <c r="A4764" s="213"/>
      <c r="B4764" s="213"/>
      <c r="C4764" s="213"/>
      <c r="D4764" s="213"/>
      <c r="E4764" s="213"/>
      <c r="F4764" s="213"/>
      <c r="G4764" s="213"/>
      <c r="H4764" s="213"/>
      <c r="I4764" s="213"/>
      <c r="J4764" s="213"/>
      <c r="K4764" s="213"/>
      <c r="L4764" s="213"/>
      <c r="M4764" s="213"/>
      <c r="N4764" s="213"/>
      <c r="O4764" s="215">
        <f>SUM(O4756:O4763)</f>
        <v>2</v>
      </c>
      <c r="P4764" s="213"/>
      <c r="Q4764" s="213"/>
      <c r="R4764" s="215">
        <f>SUM(R4756:R4763)</f>
        <v>2</v>
      </c>
      <c r="S4764" s="213"/>
      <c r="T4764" s="213"/>
    </row>
    <row r="4765" spans="1:20">
      <c r="A4765" s="213"/>
      <c r="B4765" s="213"/>
      <c r="C4765" s="213"/>
      <c r="D4765" s="213"/>
      <c r="E4765" s="213"/>
      <c r="F4765" s="213"/>
      <c r="G4765" s="213"/>
      <c r="H4765" s="213"/>
      <c r="I4765" s="213"/>
      <c r="J4765" s="213"/>
      <c r="K4765" s="213"/>
      <c r="L4765" s="213"/>
      <c r="M4765" s="213"/>
      <c r="N4765" s="213"/>
      <c r="O4765" s="213"/>
      <c r="P4765" s="213"/>
      <c r="Q4765" s="213"/>
      <c r="R4765" s="213"/>
      <c r="S4765" s="213"/>
      <c r="T4765" s="213"/>
    </row>
    <row r="4766" spans="1:20">
      <c r="A4766" s="213"/>
      <c r="B4766" s="110" t="s">
        <v>308</v>
      </c>
      <c r="C4766" s="111" t="s">
        <v>309</v>
      </c>
      <c r="D4766" s="112" t="s">
        <v>228</v>
      </c>
      <c r="E4766" s="118" t="s">
        <v>17</v>
      </c>
      <c r="F4766" s="175" t="s">
        <v>15</v>
      </c>
      <c r="G4766" s="175" t="s">
        <v>59</v>
      </c>
      <c r="H4766" s="176">
        <v>38</v>
      </c>
      <c r="I4766" s="177">
        <v>6</v>
      </c>
      <c r="J4766" s="178">
        <v>11</v>
      </c>
      <c r="K4766" s="174">
        <f t="shared" ref="K4766:K4770" si="615">(H4766*I4766*J4766/1000)</f>
        <v>2.508</v>
      </c>
      <c r="L4766" s="118"/>
      <c r="M4766" s="111">
        <v>11</v>
      </c>
      <c r="N4766" s="117">
        <f t="shared" ref="N4766:N4773" si="616">I4766*M4766*H4766/1000</f>
        <v>2.508</v>
      </c>
      <c r="O4766" s="119">
        <f t="shared" ref="O4766:O4773" si="617">J4766-M4766</f>
        <v>0</v>
      </c>
      <c r="P4766" s="120">
        <f t="shared" ref="P4766:P4769" si="618">I4766*O4766*H4766/1000</f>
        <v>0</v>
      </c>
      <c r="Q4766" s="111"/>
      <c r="R4766" s="111"/>
      <c r="S4766" s="111"/>
      <c r="T4766" s="213"/>
    </row>
    <row r="4767" spans="1:20">
      <c r="A4767" s="213"/>
      <c r="B4767" s="110" t="s">
        <v>308</v>
      </c>
      <c r="C4767" s="111" t="s">
        <v>309</v>
      </c>
      <c r="D4767" s="112" t="s">
        <v>228</v>
      </c>
      <c r="E4767" s="118" t="s">
        <v>17</v>
      </c>
      <c r="F4767" s="175" t="s">
        <v>15</v>
      </c>
      <c r="G4767" s="175" t="s">
        <v>59</v>
      </c>
      <c r="H4767" s="176">
        <v>38</v>
      </c>
      <c r="I4767" s="177">
        <v>7.5</v>
      </c>
      <c r="J4767" s="178">
        <v>2</v>
      </c>
      <c r="K4767" s="174">
        <f t="shared" si="615"/>
        <v>0.56999999999999995</v>
      </c>
      <c r="L4767" s="118"/>
      <c r="M4767" s="111">
        <v>2</v>
      </c>
      <c r="N4767" s="117">
        <f t="shared" si="616"/>
        <v>0.56999999999999995</v>
      </c>
      <c r="O4767" s="119">
        <f t="shared" si="617"/>
        <v>0</v>
      </c>
      <c r="P4767" s="120">
        <f t="shared" si="618"/>
        <v>0</v>
      </c>
      <c r="Q4767" s="111"/>
      <c r="R4767" s="111"/>
      <c r="S4767" s="111"/>
      <c r="T4767" s="213"/>
    </row>
    <row r="4768" spans="1:20">
      <c r="A4768" s="213"/>
      <c r="B4768" s="110" t="s">
        <v>308</v>
      </c>
      <c r="C4768" s="111" t="s">
        <v>309</v>
      </c>
      <c r="D4768" s="112" t="s">
        <v>228</v>
      </c>
      <c r="E4768" s="118" t="s">
        <v>17</v>
      </c>
      <c r="F4768" s="175" t="s">
        <v>15</v>
      </c>
      <c r="G4768" s="175" t="s">
        <v>59</v>
      </c>
      <c r="H4768" s="176">
        <v>38</v>
      </c>
      <c r="I4768" s="177">
        <v>6.6</v>
      </c>
      <c r="J4768" s="178">
        <v>1</v>
      </c>
      <c r="K4768" s="174">
        <f t="shared" si="615"/>
        <v>0.25079999999999997</v>
      </c>
      <c r="L4768" s="118"/>
      <c r="M4768" s="111">
        <v>1</v>
      </c>
      <c r="N4768" s="117">
        <f t="shared" si="616"/>
        <v>0.25079999999999997</v>
      </c>
      <c r="O4768" s="119">
        <f t="shared" si="617"/>
        <v>0</v>
      </c>
      <c r="P4768" s="120">
        <f t="shared" si="618"/>
        <v>0</v>
      </c>
      <c r="Q4768" s="111"/>
      <c r="R4768" s="111"/>
      <c r="S4768" s="111"/>
      <c r="T4768" s="213"/>
    </row>
    <row r="4769" spans="1:20">
      <c r="A4769" s="213"/>
      <c r="B4769" s="110" t="s">
        <v>308</v>
      </c>
      <c r="C4769" s="111" t="s">
        <v>309</v>
      </c>
      <c r="D4769" s="112" t="s">
        <v>228</v>
      </c>
      <c r="E4769" s="118" t="s">
        <v>17</v>
      </c>
      <c r="F4769" s="175" t="s">
        <v>15</v>
      </c>
      <c r="G4769" s="175" t="s">
        <v>59</v>
      </c>
      <c r="H4769" s="176">
        <v>38</v>
      </c>
      <c r="I4769" s="177">
        <v>7.6</v>
      </c>
      <c r="J4769" s="178">
        <v>1</v>
      </c>
      <c r="K4769" s="174">
        <f t="shared" si="615"/>
        <v>0.2888</v>
      </c>
      <c r="L4769" s="118"/>
      <c r="M4769" s="111">
        <v>1</v>
      </c>
      <c r="N4769" s="117">
        <f t="shared" si="616"/>
        <v>0.2888</v>
      </c>
      <c r="O4769" s="119">
        <f t="shared" si="617"/>
        <v>0</v>
      </c>
      <c r="P4769" s="120">
        <f t="shared" si="618"/>
        <v>0</v>
      </c>
      <c r="Q4769" s="111"/>
      <c r="R4769" s="111"/>
      <c r="S4769" s="111"/>
      <c r="T4769" s="213"/>
    </row>
    <row r="4770" spans="1:20">
      <c r="A4770" s="213"/>
      <c r="B4770" s="110" t="s">
        <v>308</v>
      </c>
      <c r="C4770" s="111" t="s">
        <v>309</v>
      </c>
      <c r="D4770" s="112" t="s">
        <v>228</v>
      </c>
      <c r="E4770" s="118" t="s">
        <v>17</v>
      </c>
      <c r="F4770" s="175" t="s">
        <v>15</v>
      </c>
      <c r="G4770" s="175" t="s">
        <v>59</v>
      </c>
      <c r="H4770" s="176">
        <v>38</v>
      </c>
      <c r="I4770" s="177">
        <v>7.2</v>
      </c>
      <c r="J4770" s="178">
        <v>2</v>
      </c>
      <c r="K4770" s="174">
        <f t="shared" si="615"/>
        <v>0.54720000000000002</v>
      </c>
      <c r="L4770" s="118"/>
      <c r="M4770" s="111">
        <v>2</v>
      </c>
      <c r="N4770" s="117">
        <f t="shared" si="616"/>
        <v>0.54720000000000002</v>
      </c>
      <c r="O4770" s="119">
        <f t="shared" si="617"/>
        <v>0</v>
      </c>
      <c r="P4770" s="120">
        <f>I4770*O4770*H4770/1000</f>
        <v>0</v>
      </c>
      <c r="Q4770" s="79">
        <v>7.2</v>
      </c>
      <c r="R4770" s="72">
        <v>2</v>
      </c>
      <c r="S4770" s="72" t="s">
        <v>532</v>
      </c>
      <c r="T4770" s="213"/>
    </row>
    <row r="4771" spans="1:20">
      <c r="A4771" s="213"/>
      <c r="B4771" s="110" t="s">
        <v>308</v>
      </c>
      <c r="C4771" s="111" t="s">
        <v>309</v>
      </c>
      <c r="D4771" s="112" t="s">
        <v>228</v>
      </c>
      <c r="E4771" s="118" t="s">
        <v>17</v>
      </c>
      <c r="F4771" s="175" t="s">
        <v>15</v>
      </c>
      <c r="G4771" s="175" t="s">
        <v>59</v>
      </c>
      <c r="H4771" s="176">
        <v>38</v>
      </c>
      <c r="I4771" s="177">
        <v>6</v>
      </c>
      <c r="J4771" s="178">
        <v>1</v>
      </c>
      <c r="K4771" s="174">
        <f>(H4771*I4771*J4771/1000)</f>
        <v>0.22800000000000001</v>
      </c>
      <c r="L4771" s="118"/>
      <c r="M4771" s="111">
        <v>1</v>
      </c>
      <c r="N4771" s="117">
        <f t="shared" si="616"/>
        <v>0.22800000000000001</v>
      </c>
      <c r="O4771" s="119">
        <f t="shared" si="617"/>
        <v>0</v>
      </c>
      <c r="P4771" s="120">
        <f>I4771*O4771*H4771/1000</f>
        <v>0</v>
      </c>
      <c r="Q4771" s="79"/>
      <c r="R4771" s="72"/>
      <c r="S4771" s="72"/>
      <c r="T4771" s="213"/>
    </row>
    <row r="4772" spans="1:20">
      <c r="A4772" s="213"/>
      <c r="B4772" s="110" t="s">
        <v>308</v>
      </c>
      <c r="C4772" s="111" t="s">
        <v>309</v>
      </c>
      <c r="D4772" s="112" t="s">
        <v>228</v>
      </c>
      <c r="E4772" s="118" t="s">
        <v>17</v>
      </c>
      <c r="F4772" s="175" t="s">
        <v>15</v>
      </c>
      <c r="G4772" s="175" t="s">
        <v>59</v>
      </c>
      <c r="H4772" s="176">
        <v>38</v>
      </c>
      <c r="I4772" s="177">
        <v>7.5</v>
      </c>
      <c r="J4772" s="178">
        <v>1</v>
      </c>
      <c r="K4772" s="174">
        <f>(H4772*I4772*J4772/1000)</f>
        <v>0.28499999999999998</v>
      </c>
      <c r="L4772" s="118"/>
      <c r="M4772" s="111">
        <v>1</v>
      </c>
      <c r="N4772" s="117">
        <f t="shared" si="616"/>
        <v>0.28499999999999998</v>
      </c>
      <c r="O4772" s="119">
        <f t="shared" si="617"/>
        <v>0</v>
      </c>
      <c r="P4772" s="120">
        <f>I4772*O4772*H4772/1000</f>
        <v>0</v>
      </c>
      <c r="Q4772" s="79">
        <v>7.5</v>
      </c>
      <c r="R4772" s="72">
        <v>1</v>
      </c>
      <c r="S4772" s="72" t="s">
        <v>532</v>
      </c>
      <c r="T4772" s="213"/>
    </row>
    <row r="4773" spans="1:20">
      <c r="A4773" s="213"/>
      <c r="B4773" s="110" t="s">
        <v>308</v>
      </c>
      <c r="C4773" s="111" t="s">
        <v>309</v>
      </c>
      <c r="D4773" s="112" t="s">
        <v>228</v>
      </c>
      <c r="E4773" s="118" t="s">
        <v>17</v>
      </c>
      <c r="F4773" s="175" t="s">
        <v>15</v>
      </c>
      <c r="G4773" s="175" t="s">
        <v>59</v>
      </c>
      <c r="H4773" s="176">
        <v>38</v>
      </c>
      <c r="I4773" s="177">
        <v>10</v>
      </c>
      <c r="J4773" s="178">
        <v>1</v>
      </c>
      <c r="K4773" s="174">
        <f>(H4773*I4773*J4773/1000)</f>
        <v>0.38</v>
      </c>
      <c r="L4773" s="118"/>
      <c r="M4773" s="111">
        <v>1</v>
      </c>
      <c r="N4773" s="117">
        <f t="shared" si="616"/>
        <v>0.38</v>
      </c>
      <c r="O4773" s="119">
        <f t="shared" si="617"/>
        <v>0</v>
      </c>
      <c r="P4773" s="120">
        <f>I4773*O4773*H4773/1000</f>
        <v>0</v>
      </c>
      <c r="Q4773" s="79">
        <v>10</v>
      </c>
      <c r="R4773" s="72">
        <v>1</v>
      </c>
      <c r="S4773" s="72" t="s">
        <v>532</v>
      </c>
      <c r="T4773" s="213"/>
    </row>
    <row r="4774" spans="1:20">
      <c r="A4774" s="213"/>
      <c r="B4774" s="32"/>
      <c r="C4774" s="32"/>
      <c r="D4774" s="32"/>
      <c r="E4774" s="32"/>
      <c r="F4774" s="32"/>
      <c r="G4774" s="32"/>
      <c r="H4774" s="32"/>
      <c r="I4774" s="32"/>
      <c r="J4774" s="131">
        <f>SUM(J4766:J4773)</f>
        <v>20</v>
      </c>
      <c r="K4774" s="124">
        <f>SUM(K4766:K4773)</f>
        <v>5.0577999999999994</v>
      </c>
      <c r="L4774" s="32"/>
      <c r="M4774" s="171">
        <f>SUM(M4766:M4773)</f>
        <v>20</v>
      </c>
      <c r="N4774" s="132">
        <f>SUM(N4766:N4773)</f>
        <v>5.0577999999999994</v>
      </c>
      <c r="O4774" s="131">
        <f>SUM(O4766:O4773)</f>
        <v>0</v>
      </c>
      <c r="P4774" s="132">
        <f>SUM(P4766:P4773)</f>
        <v>0</v>
      </c>
      <c r="Q4774" s="32"/>
      <c r="R4774" s="171">
        <f>SUM(R4766:R4773)</f>
        <v>4</v>
      </c>
      <c r="S4774" s="32"/>
      <c r="T4774" s="213"/>
    </row>
    <row r="4775" spans="1:20">
      <c r="A4775" s="213"/>
      <c r="B4775" s="213"/>
      <c r="C4775" s="213"/>
      <c r="D4775" s="213"/>
      <c r="E4775" s="213"/>
      <c r="F4775" s="213"/>
      <c r="G4775" s="213"/>
      <c r="H4775" s="213"/>
      <c r="I4775" s="213"/>
      <c r="J4775" s="213"/>
      <c r="K4775" s="213"/>
      <c r="L4775" s="213"/>
      <c r="M4775" s="213"/>
      <c r="N4775" s="213"/>
      <c r="O4775" s="213"/>
      <c r="P4775" s="213"/>
      <c r="Q4775" s="213"/>
      <c r="R4775" s="213"/>
      <c r="S4775" s="213"/>
      <c r="T4775" s="213"/>
    </row>
    <row r="4776" spans="1:20">
      <c r="A4776" s="213"/>
      <c r="B4776" s="213"/>
      <c r="C4776" s="213"/>
      <c r="D4776" s="213"/>
      <c r="E4776" s="213"/>
      <c r="F4776" s="213"/>
      <c r="G4776" s="213"/>
      <c r="H4776" s="213"/>
      <c r="I4776" s="213"/>
      <c r="J4776" s="213"/>
      <c r="K4776" s="213"/>
      <c r="L4776" s="213"/>
      <c r="M4776" s="213"/>
      <c r="N4776" s="213"/>
      <c r="O4776" s="213"/>
      <c r="P4776" s="213"/>
      <c r="Q4776" s="213"/>
      <c r="R4776" s="213"/>
      <c r="S4776" s="213"/>
      <c r="T4776" s="213"/>
    </row>
    <row r="4777" spans="1:20">
      <c r="A4777" s="45" t="s">
        <v>136</v>
      </c>
      <c r="B4777" s="32" t="s">
        <v>137</v>
      </c>
      <c r="C4777" s="3">
        <v>1</v>
      </c>
      <c r="D4777" s="32"/>
      <c r="E4777" s="20" t="s">
        <v>96</v>
      </c>
      <c r="F4777" s="7" t="s">
        <v>15</v>
      </c>
      <c r="G4777" s="7" t="s">
        <v>64</v>
      </c>
      <c r="H4777" s="11">
        <v>40.1</v>
      </c>
      <c r="I4777" s="33">
        <v>6</v>
      </c>
      <c r="J4777" s="40">
        <v>1</v>
      </c>
      <c r="K4777" s="10">
        <v>0.24060000000000004</v>
      </c>
      <c r="L4777" s="4"/>
      <c r="M4777" s="17"/>
      <c r="N4777" s="18">
        <v>0</v>
      </c>
      <c r="O4777" s="19">
        <v>1</v>
      </c>
      <c r="P4777" s="13">
        <v>0.24060000000000004</v>
      </c>
      <c r="Q4777" s="32"/>
      <c r="R4777" s="32"/>
      <c r="S4777" s="32"/>
      <c r="T4777" s="213"/>
    </row>
    <row r="4778" spans="1:20">
      <c r="A4778" s="45" t="s">
        <v>136</v>
      </c>
      <c r="B4778" s="32" t="s">
        <v>137</v>
      </c>
      <c r="C4778" s="3">
        <v>1</v>
      </c>
      <c r="D4778" s="32"/>
      <c r="E4778" s="20" t="s">
        <v>96</v>
      </c>
      <c r="F4778" s="7" t="s">
        <v>15</v>
      </c>
      <c r="G4778" s="7" t="s">
        <v>64</v>
      </c>
      <c r="H4778" s="11">
        <v>40.1</v>
      </c>
      <c r="I4778" s="33">
        <v>6.6</v>
      </c>
      <c r="J4778" s="40">
        <v>2</v>
      </c>
      <c r="K4778" s="10">
        <v>0.5293199999999999</v>
      </c>
      <c r="L4778" s="4"/>
      <c r="M4778" s="17"/>
      <c r="N4778" s="18">
        <v>0</v>
      </c>
      <c r="O4778" s="19">
        <v>2</v>
      </c>
      <c r="P4778" s="13">
        <v>0.5293199999999999</v>
      </c>
      <c r="Q4778" s="32"/>
      <c r="R4778" s="32"/>
      <c r="S4778" s="32"/>
      <c r="T4778" s="213"/>
    </row>
    <row r="4779" spans="1:20">
      <c r="A4779" s="45" t="s">
        <v>136</v>
      </c>
      <c r="B4779" s="32" t="s">
        <v>137</v>
      </c>
      <c r="C4779" s="3">
        <v>2</v>
      </c>
      <c r="D4779" s="32"/>
      <c r="E4779" s="20" t="s">
        <v>89</v>
      </c>
      <c r="F4779" s="7" t="s">
        <v>15</v>
      </c>
      <c r="G4779" s="7" t="s">
        <v>64</v>
      </c>
      <c r="H4779" s="11">
        <v>40.1</v>
      </c>
      <c r="I4779" s="33">
        <v>9.1</v>
      </c>
      <c r="J4779" s="40">
        <v>3</v>
      </c>
      <c r="K4779" s="10">
        <v>1.09473</v>
      </c>
      <c r="L4779" s="4" t="s">
        <v>140</v>
      </c>
      <c r="M4779" s="17">
        <v>3</v>
      </c>
      <c r="N4779" s="18">
        <v>1.09473</v>
      </c>
      <c r="O4779" s="19">
        <v>0</v>
      </c>
      <c r="P4779" s="13">
        <v>0</v>
      </c>
      <c r="Q4779" s="32"/>
      <c r="R4779" s="32"/>
      <c r="S4779" s="32"/>
      <c r="T4779" s="213"/>
    </row>
    <row r="4780" spans="1:20">
      <c r="A4780" s="45" t="s">
        <v>136</v>
      </c>
      <c r="B4780" s="32" t="s">
        <v>137</v>
      </c>
      <c r="C4780" s="3">
        <v>2</v>
      </c>
      <c r="D4780" s="32"/>
      <c r="E4780" s="20" t="s">
        <v>89</v>
      </c>
      <c r="F4780" s="7" t="s">
        <v>15</v>
      </c>
      <c r="G4780" s="7" t="s">
        <v>64</v>
      </c>
      <c r="H4780" s="11">
        <v>40.1</v>
      </c>
      <c r="I4780" s="33">
        <v>9.8000000000000007</v>
      </c>
      <c r="J4780" s="40">
        <v>1</v>
      </c>
      <c r="K4780" s="10">
        <v>0.39298</v>
      </c>
      <c r="L4780" s="4" t="s">
        <v>140</v>
      </c>
      <c r="M4780" s="17"/>
      <c r="N4780" s="18">
        <v>0</v>
      </c>
      <c r="O4780" s="19">
        <v>1</v>
      </c>
      <c r="P4780" s="13">
        <v>0.39298</v>
      </c>
      <c r="Q4780" s="32"/>
      <c r="R4780" s="32"/>
      <c r="S4780" s="32"/>
      <c r="T4780" s="213"/>
    </row>
    <row r="4781" spans="1:20">
      <c r="A4781" s="45" t="s">
        <v>136</v>
      </c>
      <c r="B4781" s="32" t="s">
        <v>137</v>
      </c>
      <c r="C4781" s="3">
        <v>3</v>
      </c>
      <c r="D4781" s="32"/>
      <c r="E4781" s="20" t="s">
        <v>20</v>
      </c>
      <c r="F4781" s="7" t="s">
        <v>15</v>
      </c>
      <c r="G4781" s="7" t="s">
        <v>64</v>
      </c>
      <c r="H4781" s="11">
        <v>40.1</v>
      </c>
      <c r="I4781" s="33">
        <v>9</v>
      </c>
      <c r="J4781" s="40">
        <v>1</v>
      </c>
      <c r="K4781" s="10">
        <v>0.36090000000000005</v>
      </c>
      <c r="L4781" s="4"/>
      <c r="M4781" s="17">
        <v>1</v>
      </c>
      <c r="N4781" s="18">
        <v>0.36090000000000005</v>
      </c>
      <c r="O4781" s="106">
        <v>0</v>
      </c>
      <c r="P4781" s="13">
        <v>0</v>
      </c>
      <c r="Q4781" s="79">
        <v>9</v>
      </c>
      <c r="R4781" s="72">
        <v>1</v>
      </c>
      <c r="S4781" s="72" t="s">
        <v>533</v>
      </c>
      <c r="T4781" s="213"/>
    </row>
    <row r="4782" spans="1:20">
      <c r="A4782" s="45" t="s">
        <v>136</v>
      </c>
      <c r="B4782" s="32" t="s">
        <v>137</v>
      </c>
      <c r="C4782" s="3">
        <v>1</v>
      </c>
      <c r="D4782" s="32"/>
      <c r="E4782" s="20" t="s">
        <v>20</v>
      </c>
      <c r="F4782" s="7" t="s">
        <v>15</v>
      </c>
      <c r="G4782" s="7" t="s">
        <v>64</v>
      </c>
      <c r="H4782" s="11">
        <v>40.1</v>
      </c>
      <c r="I4782" s="33">
        <v>5</v>
      </c>
      <c r="J4782" s="40">
        <v>1</v>
      </c>
      <c r="K4782" s="10">
        <v>0.20050000000000001</v>
      </c>
      <c r="L4782" s="4"/>
      <c r="M4782" s="17"/>
      <c r="N4782" s="18">
        <v>0</v>
      </c>
      <c r="O4782" s="19">
        <v>1</v>
      </c>
      <c r="P4782" s="13">
        <v>0.20050000000000001</v>
      </c>
      <c r="Q4782" s="79"/>
      <c r="R4782" s="72"/>
      <c r="S4782" s="72"/>
      <c r="T4782" s="213"/>
    </row>
    <row r="4783" spans="1:20">
      <c r="A4783" s="45" t="s">
        <v>136</v>
      </c>
      <c r="B4783" s="32" t="s">
        <v>137</v>
      </c>
      <c r="C4783" s="3">
        <v>59</v>
      </c>
      <c r="D4783" s="32"/>
      <c r="E4783" s="20" t="s">
        <v>20</v>
      </c>
      <c r="F4783" s="7" t="s">
        <v>15</v>
      </c>
      <c r="G4783" s="7" t="s">
        <v>64</v>
      </c>
      <c r="H4783" s="11">
        <v>40.1</v>
      </c>
      <c r="I4783" s="33">
        <v>8</v>
      </c>
      <c r="J4783" s="40">
        <v>1</v>
      </c>
      <c r="K4783" s="10">
        <v>0.32080000000000003</v>
      </c>
      <c r="L4783" s="4"/>
      <c r="M4783" s="17">
        <v>1</v>
      </c>
      <c r="N4783" s="18">
        <v>0.32080000000000003</v>
      </c>
      <c r="O4783" s="106">
        <v>0</v>
      </c>
      <c r="P4783" s="13">
        <v>0</v>
      </c>
      <c r="Q4783" s="79">
        <v>8</v>
      </c>
      <c r="R4783" s="72">
        <v>1</v>
      </c>
      <c r="S4783" s="72" t="s">
        <v>533</v>
      </c>
      <c r="T4783" s="213"/>
    </row>
    <row r="4784" spans="1:20">
      <c r="A4784" s="45" t="s">
        <v>136</v>
      </c>
      <c r="B4784" s="32" t="s">
        <v>137</v>
      </c>
      <c r="C4784" s="3">
        <v>59</v>
      </c>
      <c r="D4784" s="32"/>
      <c r="E4784" s="20" t="s">
        <v>20</v>
      </c>
      <c r="F4784" s="7" t="s">
        <v>15</v>
      </c>
      <c r="G4784" s="7" t="s">
        <v>64</v>
      </c>
      <c r="H4784" s="11">
        <v>40.1</v>
      </c>
      <c r="I4784" s="33">
        <v>8.3000000000000007</v>
      </c>
      <c r="J4784" s="40">
        <v>1</v>
      </c>
      <c r="K4784" s="10">
        <v>0.33283000000000001</v>
      </c>
      <c r="L4784" s="4"/>
      <c r="M4784" s="17">
        <v>1</v>
      </c>
      <c r="N4784" s="18">
        <v>0.33283000000000001</v>
      </c>
      <c r="O4784" s="106">
        <v>0</v>
      </c>
      <c r="P4784" s="13">
        <v>0</v>
      </c>
      <c r="Q4784" s="79">
        <v>8.3000000000000007</v>
      </c>
      <c r="R4784" s="72">
        <v>1</v>
      </c>
      <c r="S4784" s="72" t="s">
        <v>533</v>
      </c>
      <c r="T4784" s="213"/>
    </row>
    <row r="4785" spans="1:20">
      <c r="A4785" s="45" t="s">
        <v>136</v>
      </c>
      <c r="B4785" s="32" t="s">
        <v>137</v>
      </c>
      <c r="C4785" s="3">
        <v>61</v>
      </c>
      <c r="D4785" s="32"/>
      <c r="E4785" s="20" t="s">
        <v>20</v>
      </c>
      <c r="F4785" s="7" t="s">
        <v>15</v>
      </c>
      <c r="G4785" s="7" t="s">
        <v>64</v>
      </c>
      <c r="H4785" s="11">
        <v>40.1</v>
      </c>
      <c r="I4785" s="33">
        <v>9.5</v>
      </c>
      <c r="J4785" s="40">
        <v>1</v>
      </c>
      <c r="K4785" s="10">
        <v>0.38095000000000001</v>
      </c>
      <c r="L4785" s="4"/>
      <c r="M4785" s="17">
        <v>1</v>
      </c>
      <c r="N4785" s="18">
        <v>0.38095000000000001</v>
      </c>
      <c r="O4785" s="106">
        <v>0</v>
      </c>
      <c r="P4785" s="13">
        <v>0</v>
      </c>
      <c r="Q4785" s="79">
        <v>9.5</v>
      </c>
      <c r="R4785" s="72">
        <v>1</v>
      </c>
      <c r="S4785" s="72" t="s">
        <v>533</v>
      </c>
      <c r="T4785" s="213"/>
    </row>
    <row r="4786" spans="1:20">
      <c r="A4786" s="45" t="s">
        <v>136</v>
      </c>
      <c r="B4786" s="32" t="s">
        <v>137</v>
      </c>
      <c r="C4786" s="3">
        <v>77</v>
      </c>
      <c r="D4786" s="32"/>
      <c r="E4786" s="20" t="s">
        <v>20</v>
      </c>
      <c r="F4786" s="7" t="s">
        <v>15</v>
      </c>
      <c r="G4786" s="7" t="s">
        <v>64</v>
      </c>
      <c r="H4786" s="11">
        <v>40.1</v>
      </c>
      <c r="I4786" s="33">
        <v>8.6999999999999993</v>
      </c>
      <c r="J4786" s="40">
        <v>1</v>
      </c>
      <c r="K4786" s="10">
        <v>0.34887000000000001</v>
      </c>
      <c r="L4786" s="4"/>
      <c r="M4786" s="17">
        <v>1</v>
      </c>
      <c r="N4786" s="18">
        <v>0.34887000000000001</v>
      </c>
      <c r="O4786" s="106">
        <v>0</v>
      </c>
      <c r="P4786" s="13">
        <v>0</v>
      </c>
      <c r="Q4786" s="79">
        <v>8.6999999999999993</v>
      </c>
      <c r="R4786" s="72">
        <v>1</v>
      </c>
      <c r="S4786" s="72" t="s">
        <v>533</v>
      </c>
      <c r="T4786" s="213"/>
    </row>
    <row r="4787" spans="1:20">
      <c r="A4787" s="213"/>
      <c r="B4787" s="213"/>
      <c r="C4787" s="213"/>
      <c r="D4787" s="213"/>
      <c r="E4787" s="213"/>
      <c r="F4787" s="213"/>
      <c r="G4787" s="213"/>
      <c r="H4787" s="213"/>
      <c r="I4787" s="213"/>
      <c r="J4787" s="213"/>
      <c r="K4787" s="213"/>
      <c r="L4787" s="213"/>
      <c r="M4787" s="213"/>
      <c r="N4787" s="213"/>
      <c r="O4787" s="78">
        <f>SUM(O4777:O4786)</f>
        <v>5</v>
      </c>
      <c r="P4787" s="213"/>
      <c r="Q4787" s="213"/>
      <c r="R4787" s="215">
        <f>SUM(R4777:R4786)</f>
        <v>5</v>
      </c>
      <c r="S4787" s="213"/>
      <c r="T4787" s="213"/>
    </row>
    <row r="4791" spans="1:20">
      <c r="A4791" s="44" t="s">
        <v>78</v>
      </c>
      <c r="B4791" s="32" t="s">
        <v>111</v>
      </c>
      <c r="C4791" s="3">
        <v>5</v>
      </c>
      <c r="D4791" s="20" t="s">
        <v>20</v>
      </c>
      <c r="E4791" s="7" t="s">
        <v>15</v>
      </c>
      <c r="F4791" s="7" t="s">
        <v>65</v>
      </c>
      <c r="G4791" s="11">
        <v>44.12</v>
      </c>
      <c r="H4791" s="55">
        <v>8.1</v>
      </c>
      <c r="I4791" s="40">
        <v>1</v>
      </c>
      <c r="J4791" s="10">
        <v>0.35737199999999997</v>
      </c>
      <c r="K4791" s="17">
        <v>1</v>
      </c>
      <c r="L4791" s="18">
        <v>0.35737199999999997</v>
      </c>
      <c r="M4791" s="19">
        <v>0</v>
      </c>
      <c r="N4791" s="13">
        <v>0</v>
      </c>
      <c r="O4791" s="72">
        <v>7.4</v>
      </c>
      <c r="P4791" s="72">
        <v>1</v>
      </c>
      <c r="Q4791" s="72" t="s">
        <v>672</v>
      </c>
    </row>
    <row r="4794" spans="1:20">
      <c r="A4794" s="110" t="s">
        <v>308</v>
      </c>
      <c r="B4794" s="111" t="s">
        <v>309</v>
      </c>
      <c r="C4794" s="112" t="s">
        <v>228</v>
      </c>
      <c r="D4794" s="118" t="s">
        <v>17</v>
      </c>
      <c r="E4794" s="175" t="s">
        <v>15</v>
      </c>
      <c r="F4794" s="175" t="s">
        <v>65</v>
      </c>
      <c r="G4794" s="176">
        <v>44.12</v>
      </c>
      <c r="H4794" s="177">
        <v>7.8</v>
      </c>
      <c r="I4794" s="178">
        <v>1</v>
      </c>
      <c r="J4794" s="174">
        <f t="shared" ref="J4794:J4805" si="619">(G4794*H4794*I4794/1000)</f>
        <v>0.34413599999999994</v>
      </c>
      <c r="K4794" s="118"/>
      <c r="L4794" s="111">
        <v>1</v>
      </c>
      <c r="M4794" s="117">
        <f t="shared" ref="M4794:M4805" si="620">H4794*L4794*G4794/1000</f>
        <v>0.34413599999999994</v>
      </c>
      <c r="N4794" s="119">
        <f t="shared" ref="N4794:N4805" si="621">I4794-L4794</f>
        <v>0</v>
      </c>
      <c r="O4794" s="120">
        <f t="shared" ref="O4794:O4805" si="622">H4794*N4794*G4794/1000</f>
        <v>0</v>
      </c>
      <c r="P4794" s="111"/>
      <c r="Q4794" s="111"/>
      <c r="R4794" s="111"/>
    </row>
    <row r="4795" spans="1:20">
      <c r="A4795" s="110" t="s">
        <v>308</v>
      </c>
      <c r="B4795" s="111" t="s">
        <v>309</v>
      </c>
      <c r="C4795" s="112" t="s">
        <v>228</v>
      </c>
      <c r="D4795" s="118" t="s">
        <v>17</v>
      </c>
      <c r="E4795" s="175" t="s">
        <v>15</v>
      </c>
      <c r="F4795" s="175" t="s">
        <v>65</v>
      </c>
      <c r="G4795" s="176">
        <v>44.12</v>
      </c>
      <c r="H4795" s="177">
        <v>7.7</v>
      </c>
      <c r="I4795" s="178">
        <f>9+9+6+8+10+9+9+10+3+1</f>
        <v>74</v>
      </c>
      <c r="J4795" s="174">
        <f t="shared" si="619"/>
        <v>25.139576000000002</v>
      </c>
      <c r="K4795" s="118"/>
      <c r="L4795" s="111">
        <f>70+1+3</f>
        <v>74</v>
      </c>
      <c r="M4795" s="117">
        <f t="shared" si="620"/>
        <v>25.139576000000002</v>
      </c>
      <c r="N4795" s="119">
        <f t="shared" si="621"/>
        <v>0</v>
      </c>
      <c r="O4795" s="120">
        <f t="shared" si="622"/>
        <v>0</v>
      </c>
      <c r="P4795" s="79">
        <v>6.3</v>
      </c>
      <c r="Q4795" s="72">
        <v>3</v>
      </c>
      <c r="R4795" s="72" t="s">
        <v>673</v>
      </c>
    </row>
    <row r="4796" spans="1:20">
      <c r="A4796" s="110" t="s">
        <v>308</v>
      </c>
      <c r="B4796" s="111" t="s">
        <v>309</v>
      </c>
      <c r="C4796" s="112" t="s">
        <v>228</v>
      </c>
      <c r="D4796" s="118" t="s">
        <v>17</v>
      </c>
      <c r="E4796" s="175" t="s">
        <v>15</v>
      </c>
      <c r="F4796" s="175" t="s">
        <v>65</v>
      </c>
      <c r="G4796" s="176">
        <v>44.12</v>
      </c>
      <c r="H4796" s="177">
        <v>10</v>
      </c>
      <c r="I4796" s="178">
        <f>7+4+4</f>
        <v>15</v>
      </c>
      <c r="J4796" s="174">
        <f t="shared" si="619"/>
        <v>6.6180000000000003</v>
      </c>
      <c r="K4796" s="118"/>
      <c r="L4796" s="111">
        <v>15</v>
      </c>
      <c r="M4796" s="117">
        <f t="shared" si="620"/>
        <v>6.6180000000000003</v>
      </c>
      <c r="N4796" s="119">
        <f t="shared" si="621"/>
        <v>0</v>
      </c>
      <c r="O4796" s="120">
        <f t="shared" si="622"/>
        <v>0</v>
      </c>
      <c r="P4796" s="72"/>
      <c r="Q4796" s="72"/>
      <c r="R4796" s="72"/>
    </row>
    <row r="4797" spans="1:20">
      <c r="A4797" s="110" t="s">
        <v>308</v>
      </c>
      <c r="B4797" s="111" t="s">
        <v>309</v>
      </c>
      <c r="C4797" s="112" t="s">
        <v>228</v>
      </c>
      <c r="D4797" s="118" t="s">
        <v>17</v>
      </c>
      <c r="E4797" s="175" t="s">
        <v>15</v>
      </c>
      <c r="F4797" s="175" t="s">
        <v>65</v>
      </c>
      <c r="G4797" s="176">
        <v>44.12</v>
      </c>
      <c r="H4797" s="177">
        <v>9.5</v>
      </c>
      <c r="I4797" s="178">
        <f>8+6+1+7+5+4+1</f>
        <v>32</v>
      </c>
      <c r="J4797" s="174">
        <f t="shared" si="619"/>
        <v>13.41248</v>
      </c>
      <c r="K4797" s="118"/>
      <c r="L4797" s="111">
        <v>32</v>
      </c>
      <c r="M4797" s="117">
        <f t="shared" si="620"/>
        <v>13.41248</v>
      </c>
      <c r="N4797" s="119">
        <f t="shared" si="621"/>
        <v>0</v>
      </c>
      <c r="O4797" s="120">
        <f t="shared" si="622"/>
        <v>0</v>
      </c>
      <c r="P4797" s="111"/>
      <c r="Q4797" s="111"/>
      <c r="R4797" s="111"/>
    </row>
    <row r="4798" spans="1:20">
      <c r="A4798" s="110" t="s">
        <v>308</v>
      </c>
      <c r="B4798" s="111" t="s">
        <v>309</v>
      </c>
      <c r="C4798" s="112" t="s">
        <v>228</v>
      </c>
      <c r="D4798" s="118" t="s">
        <v>17</v>
      </c>
      <c r="E4798" s="175" t="s">
        <v>15</v>
      </c>
      <c r="F4798" s="175" t="s">
        <v>65</v>
      </c>
      <c r="G4798" s="176">
        <v>44.12</v>
      </c>
      <c r="H4798" s="177">
        <v>6.6</v>
      </c>
      <c r="I4798" s="178">
        <v>2</v>
      </c>
      <c r="J4798" s="174">
        <f t="shared" si="619"/>
        <v>0.5823839999999999</v>
      </c>
      <c r="K4798" s="118"/>
      <c r="L4798" s="111">
        <v>2</v>
      </c>
      <c r="M4798" s="117">
        <f t="shared" si="620"/>
        <v>0.5823839999999999</v>
      </c>
      <c r="N4798" s="119">
        <f t="shared" si="621"/>
        <v>0</v>
      </c>
      <c r="O4798" s="120">
        <f t="shared" si="622"/>
        <v>0</v>
      </c>
      <c r="P4798" s="111"/>
      <c r="Q4798" s="111"/>
      <c r="R4798" s="111"/>
    </row>
    <row r="4799" spans="1:20">
      <c r="A4799" s="110" t="s">
        <v>308</v>
      </c>
      <c r="B4799" s="111" t="s">
        <v>309</v>
      </c>
      <c r="C4799" s="112" t="s">
        <v>228</v>
      </c>
      <c r="D4799" s="118" t="s">
        <v>17</v>
      </c>
      <c r="E4799" s="175" t="s">
        <v>15</v>
      </c>
      <c r="F4799" s="175" t="s">
        <v>65</v>
      </c>
      <c r="G4799" s="176">
        <v>44.12</v>
      </c>
      <c r="H4799" s="177">
        <v>7.8</v>
      </c>
      <c r="I4799" s="178">
        <v>1</v>
      </c>
      <c r="J4799" s="174">
        <f t="shared" si="619"/>
        <v>0.34413599999999994</v>
      </c>
      <c r="K4799" s="118"/>
      <c r="L4799" s="111">
        <v>1</v>
      </c>
      <c r="M4799" s="117">
        <f t="shared" si="620"/>
        <v>0.34413599999999994</v>
      </c>
      <c r="N4799" s="119">
        <f t="shared" si="621"/>
        <v>0</v>
      </c>
      <c r="O4799" s="120">
        <f t="shared" si="622"/>
        <v>0</v>
      </c>
      <c r="P4799" s="111"/>
      <c r="Q4799" s="111"/>
      <c r="R4799" s="111"/>
    </row>
    <row r="4800" spans="1:20">
      <c r="A4800" s="110" t="s">
        <v>308</v>
      </c>
      <c r="B4800" s="111" t="s">
        <v>309</v>
      </c>
      <c r="C4800" s="112" t="s">
        <v>228</v>
      </c>
      <c r="D4800" s="118" t="s">
        <v>17</v>
      </c>
      <c r="E4800" s="175" t="s">
        <v>15</v>
      </c>
      <c r="F4800" s="175" t="s">
        <v>65</v>
      </c>
      <c r="G4800" s="176">
        <v>44.12</v>
      </c>
      <c r="H4800" s="177">
        <v>9.3000000000000007</v>
      </c>
      <c r="I4800" s="178">
        <v>1</v>
      </c>
      <c r="J4800" s="174">
        <f t="shared" si="619"/>
        <v>0.41031600000000001</v>
      </c>
      <c r="K4800" s="118"/>
      <c r="L4800" s="111">
        <v>1</v>
      </c>
      <c r="M4800" s="117">
        <f t="shared" si="620"/>
        <v>0.41031600000000001</v>
      </c>
      <c r="N4800" s="119">
        <f t="shared" si="621"/>
        <v>0</v>
      </c>
      <c r="O4800" s="120">
        <f t="shared" si="622"/>
        <v>0</v>
      </c>
      <c r="P4800" s="111"/>
      <c r="Q4800" s="111"/>
      <c r="R4800" s="111"/>
    </row>
    <row r="4801" spans="1:18">
      <c r="A4801" s="110" t="s">
        <v>308</v>
      </c>
      <c r="B4801" s="111" t="s">
        <v>309</v>
      </c>
      <c r="C4801" s="112" t="s">
        <v>228</v>
      </c>
      <c r="D4801" s="118" t="s">
        <v>17</v>
      </c>
      <c r="E4801" s="175" t="s">
        <v>15</v>
      </c>
      <c r="F4801" s="175" t="s">
        <v>65</v>
      </c>
      <c r="G4801" s="176">
        <v>44.12</v>
      </c>
      <c r="H4801" s="177">
        <v>11.5</v>
      </c>
      <c r="I4801" s="178">
        <v>3</v>
      </c>
      <c r="J4801" s="174">
        <f t="shared" si="619"/>
        <v>1.5221399999999998</v>
      </c>
      <c r="K4801" s="118"/>
      <c r="L4801" s="111">
        <f>1+2</f>
        <v>3</v>
      </c>
      <c r="M4801" s="117">
        <f t="shared" si="620"/>
        <v>1.5221399999999998</v>
      </c>
      <c r="N4801" s="119">
        <f t="shared" si="621"/>
        <v>0</v>
      </c>
      <c r="O4801" s="120">
        <f t="shared" si="622"/>
        <v>0</v>
      </c>
      <c r="P4801" s="72"/>
      <c r="Q4801" s="72">
        <v>2</v>
      </c>
      <c r="R4801" s="72" t="s">
        <v>540</v>
      </c>
    </row>
    <row r="4802" spans="1:18">
      <c r="A4802" s="110" t="s">
        <v>308</v>
      </c>
      <c r="B4802" s="111" t="s">
        <v>309</v>
      </c>
      <c r="C4802" s="112" t="s">
        <v>228</v>
      </c>
      <c r="D4802" s="118" t="s">
        <v>17</v>
      </c>
      <c r="E4802" s="175" t="s">
        <v>15</v>
      </c>
      <c r="F4802" s="175" t="s">
        <v>65</v>
      </c>
      <c r="G4802" s="176">
        <v>44.12</v>
      </c>
      <c r="H4802" s="177">
        <v>12</v>
      </c>
      <c r="I4802" s="178">
        <v>3</v>
      </c>
      <c r="J4802" s="174">
        <f t="shared" si="619"/>
        <v>1.5883199999999997</v>
      </c>
      <c r="K4802" s="118"/>
      <c r="L4802" s="111">
        <v>3</v>
      </c>
      <c r="M4802" s="117">
        <f t="shared" si="620"/>
        <v>1.58832</v>
      </c>
      <c r="N4802" s="119">
        <f t="shared" si="621"/>
        <v>0</v>
      </c>
      <c r="O4802" s="120">
        <f t="shared" si="622"/>
        <v>0</v>
      </c>
      <c r="P4802" s="72"/>
      <c r="Q4802" s="72">
        <v>3</v>
      </c>
      <c r="R4802" s="72" t="s">
        <v>540</v>
      </c>
    </row>
    <row r="4803" spans="1:18">
      <c r="A4803" s="110" t="s">
        <v>308</v>
      </c>
      <c r="B4803" s="111" t="s">
        <v>309</v>
      </c>
      <c r="C4803" s="112" t="s">
        <v>228</v>
      </c>
      <c r="D4803" s="118" t="s">
        <v>17</v>
      </c>
      <c r="E4803" s="175" t="s">
        <v>15</v>
      </c>
      <c r="F4803" s="175" t="s">
        <v>65</v>
      </c>
      <c r="G4803" s="176">
        <v>44.12</v>
      </c>
      <c r="H4803" s="177">
        <v>6.7</v>
      </c>
      <c r="I4803" s="178">
        <v>3</v>
      </c>
      <c r="J4803" s="174">
        <f t="shared" si="619"/>
        <v>0.88681199999999993</v>
      </c>
      <c r="K4803" s="118"/>
      <c r="L4803" s="111">
        <f>2+1</f>
        <v>3</v>
      </c>
      <c r="M4803" s="117">
        <f t="shared" si="620"/>
        <v>0.88681200000000004</v>
      </c>
      <c r="N4803" s="119">
        <f t="shared" si="621"/>
        <v>0</v>
      </c>
      <c r="O4803" s="120">
        <f t="shared" si="622"/>
        <v>0</v>
      </c>
      <c r="P4803" s="79">
        <v>6.3</v>
      </c>
      <c r="Q4803" s="72">
        <v>1</v>
      </c>
      <c r="R4803" s="72" t="s">
        <v>673</v>
      </c>
    </row>
    <row r="4804" spans="1:18">
      <c r="A4804" s="110" t="s">
        <v>308</v>
      </c>
      <c r="B4804" s="111" t="s">
        <v>309</v>
      </c>
      <c r="C4804" s="112" t="s">
        <v>228</v>
      </c>
      <c r="D4804" s="118" t="s">
        <v>17</v>
      </c>
      <c r="E4804" s="175" t="s">
        <v>15</v>
      </c>
      <c r="F4804" s="175" t="s">
        <v>65</v>
      </c>
      <c r="G4804" s="176">
        <v>44.12</v>
      </c>
      <c r="H4804" s="177">
        <v>6</v>
      </c>
      <c r="I4804" s="178">
        <v>2</v>
      </c>
      <c r="J4804" s="174">
        <f t="shared" si="619"/>
        <v>0.52943999999999991</v>
      </c>
      <c r="K4804" s="118"/>
      <c r="L4804" s="111"/>
      <c r="M4804" s="117">
        <f t="shared" si="620"/>
        <v>0</v>
      </c>
      <c r="N4804" s="119">
        <f t="shared" si="621"/>
        <v>2</v>
      </c>
      <c r="O4804" s="120">
        <f t="shared" si="622"/>
        <v>0.52943999999999991</v>
      </c>
      <c r="P4804" s="111"/>
      <c r="Q4804" s="111"/>
      <c r="R4804" s="111"/>
    </row>
    <row r="4805" spans="1:18">
      <c r="A4805" s="110" t="s">
        <v>308</v>
      </c>
      <c r="B4805" s="111" t="s">
        <v>309</v>
      </c>
      <c r="C4805" s="112" t="s">
        <v>228</v>
      </c>
      <c r="D4805" s="118" t="s">
        <v>17</v>
      </c>
      <c r="E4805" s="175" t="s">
        <v>15</v>
      </c>
      <c r="F4805" s="175" t="s">
        <v>65</v>
      </c>
      <c r="G4805" s="176">
        <v>44.12</v>
      </c>
      <c r="H4805" s="177">
        <v>5.8</v>
      </c>
      <c r="I4805" s="178">
        <v>1</v>
      </c>
      <c r="J4805" s="174">
        <f t="shared" si="619"/>
        <v>0.25589600000000001</v>
      </c>
      <c r="K4805" s="118"/>
      <c r="L4805" s="111"/>
      <c r="M4805" s="117">
        <f t="shared" si="620"/>
        <v>0</v>
      </c>
      <c r="N4805" s="119">
        <f t="shared" si="621"/>
        <v>1</v>
      </c>
      <c r="O4805" s="120">
        <f t="shared" si="622"/>
        <v>0.25589600000000001</v>
      </c>
      <c r="P4805" s="111"/>
      <c r="Q4805" s="111"/>
      <c r="R4805" s="111"/>
    </row>
    <row r="4806" spans="1:18">
      <c r="A4806" s="213"/>
      <c r="B4806" s="213"/>
      <c r="C4806" s="213"/>
      <c r="D4806" s="213"/>
      <c r="E4806" s="213"/>
      <c r="F4806" s="213"/>
      <c r="G4806" s="213"/>
      <c r="H4806" s="213"/>
      <c r="I4806" s="78">
        <f>SUM(I4794:I4805)</f>
        <v>138</v>
      </c>
      <c r="J4806" s="214">
        <f>SUM(J4794:J4805)</f>
        <v>51.633636000000003</v>
      </c>
      <c r="K4806" s="213"/>
      <c r="L4806" s="78">
        <f>SUM(L4794:L4805)</f>
        <v>135</v>
      </c>
      <c r="M4806" s="214">
        <f>SUM(M4794:M4805)</f>
        <v>50.848300000000002</v>
      </c>
      <c r="N4806" s="78">
        <f>SUM(N4794:N4805)</f>
        <v>3</v>
      </c>
      <c r="O4806" s="128">
        <f>SUM(O4794:O4805)</f>
        <v>0.78533599999999992</v>
      </c>
      <c r="P4806" s="213"/>
      <c r="Q4806" s="80">
        <f>SUM(Q4794:Q4805)</f>
        <v>9</v>
      </c>
      <c r="R4806" s="213"/>
    </row>
    <row r="4807" spans="1:18">
      <c r="Q4807" s="215">
        <f>+Q4806+P4791</f>
        <v>10</v>
      </c>
    </row>
    <row r="4809" spans="1:18">
      <c r="A4809" s="42" t="s">
        <v>77</v>
      </c>
      <c r="B4809" s="3" t="s">
        <v>68</v>
      </c>
      <c r="C4809" s="3">
        <v>199</v>
      </c>
      <c r="D4809" s="12" t="s">
        <v>20</v>
      </c>
      <c r="E4809" s="7" t="s">
        <v>15</v>
      </c>
      <c r="F4809" s="7" t="s">
        <v>64</v>
      </c>
      <c r="G4809" s="11">
        <v>40.1</v>
      </c>
      <c r="H4809" s="8">
        <v>7</v>
      </c>
      <c r="I4809" s="26">
        <v>1</v>
      </c>
      <c r="J4809" s="10">
        <v>0.28070000000000001</v>
      </c>
      <c r="K4809" s="17"/>
      <c r="L4809" s="18">
        <v>0</v>
      </c>
      <c r="M4809" s="19">
        <v>1</v>
      </c>
      <c r="N4809" s="13">
        <v>0.28070000000000001</v>
      </c>
      <c r="O4809" s="9"/>
      <c r="P4809" s="2"/>
      <c r="Q4809" s="2"/>
    </row>
    <row r="4810" spans="1:18">
      <c r="A4810" s="42" t="s">
        <v>77</v>
      </c>
      <c r="B4810" s="3" t="s">
        <v>68</v>
      </c>
      <c r="C4810" s="3">
        <v>311</v>
      </c>
      <c r="D4810" s="20" t="s">
        <v>17</v>
      </c>
      <c r="E4810" s="7" t="s">
        <v>15</v>
      </c>
      <c r="F4810" s="7" t="s">
        <v>64</v>
      </c>
      <c r="G4810" s="11">
        <v>40.1</v>
      </c>
      <c r="H4810" s="8">
        <v>6</v>
      </c>
      <c r="I4810" s="26">
        <v>1</v>
      </c>
      <c r="J4810" s="10">
        <v>0.24060000000000004</v>
      </c>
      <c r="K4810" s="17">
        <v>1</v>
      </c>
      <c r="L4810" s="18">
        <v>0.24060000000000004</v>
      </c>
      <c r="M4810" s="19">
        <v>0</v>
      </c>
      <c r="N4810" s="13">
        <v>0</v>
      </c>
      <c r="O4810" s="9"/>
      <c r="P4810" s="2"/>
      <c r="Q4810" s="2"/>
    </row>
    <row r="4811" spans="1:18">
      <c r="A4811" s="42" t="s">
        <v>77</v>
      </c>
      <c r="B4811" s="3" t="s">
        <v>68</v>
      </c>
      <c r="C4811" s="3">
        <v>311</v>
      </c>
      <c r="D4811" s="20" t="s">
        <v>17</v>
      </c>
      <c r="E4811" s="7" t="s">
        <v>15</v>
      </c>
      <c r="F4811" s="7" t="s">
        <v>64</v>
      </c>
      <c r="G4811" s="11">
        <v>40.1</v>
      </c>
      <c r="H4811" s="8">
        <v>8.5</v>
      </c>
      <c r="I4811" s="26">
        <v>1</v>
      </c>
      <c r="J4811" s="10">
        <v>0.34085000000000004</v>
      </c>
      <c r="K4811" s="17">
        <v>1</v>
      </c>
      <c r="L4811" s="18">
        <v>0.34085000000000004</v>
      </c>
      <c r="M4811" s="19">
        <v>0</v>
      </c>
      <c r="N4811" s="13">
        <v>0</v>
      </c>
      <c r="O4811" s="9"/>
      <c r="P4811" s="2"/>
      <c r="Q4811" s="2"/>
    </row>
    <row r="4812" spans="1:18">
      <c r="A4812" s="42" t="s">
        <v>77</v>
      </c>
      <c r="B4812" s="3" t="s">
        <v>68</v>
      </c>
      <c r="C4812" s="3">
        <v>311</v>
      </c>
      <c r="D4812" s="20" t="s">
        <v>17</v>
      </c>
      <c r="E4812" s="7" t="s">
        <v>15</v>
      </c>
      <c r="F4812" s="7" t="s">
        <v>64</v>
      </c>
      <c r="G4812" s="11">
        <v>40.1</v>
      </c>
      <c r="H4812" s="8">
        <v>9.1</v>
      </c>
      <c r="I4812" s="26">
        <v>1</v>
      </c>
      <c r="J4812" s="10">
        <v>0.36491000000000001</v>
      </c>
      <c r="K4812" s="17">
        <v>1</v>
      </c>
      <c r="L4812" s="18">
        <v>0.36491000000000001</v>
      </c>
      <c r="M4812" s="19">
        <v>0</v>
      </c>
      <c r="N4812" s="13">
        <v>0</v>
      </c>
      <c r="O4812" s="9"/>
      <c r="P4812" s="2"/>
      <c r="Q4812" s="2"/>
    </row>
    <row r="4813" spans="1:18">
      <c r="A4813" s="48" t="s">
        <v>179</v>
      </c>
      <c r="B4813" s="48" t="s">
        <v>180</v>
      </c>
      <c r="C4813" s="32"/>
      <c r="D4813" s="48" t="s">
        <v>152</v>
      </c>
      <c r="E4813" s="48" t="s">
        <v>15</v>
      </c>
      <c r="F4813" s="48" t="s">
        <v>64</v>
      </c>
      <c r="G4813" s="11">
        <v>40.1</v>
      </c>
      <c r="H4813" s="9">
        <v>6.1</v>
      </c>
      <c r="I4813" s="7">
        <v>1</v>
      </c>
      <c r="J4813" s="10">
        <v>0.24460999999999999</v>
      </c>
      <c r="K4813" s="32"/>
      <c r="L4813" s="18">
        <v>0</v>
      </c>
      <c r="M4813" s="19">
        <v>1</v>
      </c>
      <c r="N4813" s="13">
        <v>0.24460999999999999</v>
      </c>
      <c r="O4813" s="32"/>
      <c r="P4813" s="32"/>
      <c r="Q4813" s="32"/>
    </row>
    <row r="4814" spans="1:18">
      <c r="A4814" s="48" t="s">
        <v>179</v>
      </c>
      <c r="B4814" s="48" t="s">
        <v>180</v>
      </c>
      <c r="C4814" s="32"/>
      <c r="D4814" s="48" t="s">
        <v>152</v>
      </c>
      <c r="E4814" s="48" t="s">
        <v>15</v>
      </c>
      <c r="F4814" s="48" t="s">
        <v>64</v>
      </c>
      <c r="G4814" s="11">
        <v>40.1</v>
      </c>
      <c r="H4814" s="9">
        <v>8.1999999999999993</v>
      </c>
      <c r="I4814" s="7">
        <v>1</v>
      </c>
      <c r="J4814" s="10">
        <v>0.32882</v>
      </c>
      <c r="K4814" s="32">
        <v>1</v>
      </c>
      <c r="L4814" s="18">
        <v>0.32882</v>
      </c>
      <c r="M4814" s="19">
        <v>0</v>
      </c>
      <c r="N4814" s="13">
        <v>0</v>
      </c>
      <c r="O4814" s="32"/>
      <c r="P4814" s="32"/>
      <c r="Q4814" s="32"/>
    </row>
    <row r="4815" spans="1:18">
      <c r="A4815" s="44" t="s">
        <v>78</v>
      </c>
      <c r="B4815" s="32" t="s">
        <v>111</v>
      </c>
      <c r="C4815" s="3">
        <v>7</v>
      </c>
      <c r="D4815" s="20" t="s">
        <v>20</v>
      </c>
      <c r="E4815" s="7" t="s">
        <v>15</v>
      </c>
      <c r="F4815" s="7" t="s">
        <v>64</v>
      </c>
      <c r="G4815" s="11">
        <v>40.1</v>
      </c>
      <c r="H4815" s="33">
        <v>8.5</v>
      </c>
      <c r="I4815" s="40">
        <v>1</v>
      </c>
      <c r="J4815" s="10">
        <v>0.34085000000000004</v>
      </c>
      <c r="K4815" s="17">
        <v>1</v>
      </c>
      <c r="L4815" s="18">
        <v>0.34085000000000004</v>
      </c>
      <c r="M4815" s="19">
        <v>0</v>
      </c>
      <c r="N4815" s="13">
        <v>0</v>
      </c>
      <c r="O4815" s="32"/>
      <c r="P4815" s="32"/>
      <c r="Q4815" s="32"/>
    </row>
    <row r="4816" spans="1:18">
      <c r="A4816" s="45" t="s">
        <v>136</v>
      </c>
      <c r="B4816" s="32" t="s">
        <v>137</v>
      </c>
      <c r="C4816" s="3">
        <v>1</v>
      </c>
      <c r="D4816" s="20" t="s">
        <v>96</v>
      </c>
      <c r="E4816" s="7" t="s">
        <v>15</v>
      </c>
      <c r="F4816" s="7" t="s">
        <v>64</v>
      </c>
      <c r="G4816" s="11">
        <v>40.1</v>
      </c>
      <c r="H4816" s="33">
        <v>6</v>
      </c>
      <c r="I4816" s="40">
        <v>1</v>
      </c>
      <c r="J4816" s="10">
        <v>0.24060000000000004</v>
      </c>
      <c r="K4816" s="17"/>
      <c r="L4816" s="18">
        <v>0</v>
      </c>
      <c r="M4816" s="19">
        <v>1</v>
      </c>
      <c r="N4816" s="13">
        <v>0.24060000000000004</v>
      </c>
      <c r="O4816" s="32"/>
      <c r="P4816" s="32"/>
      <c r="Q4816" s="32"/>
    </row>
    <row r="4817" spans="1:17">
      <c r="A4817" s="45" t="s">
        <v>136</v>
      </c>
      <c r="B4817" s="32" t="s">
        <v>137</v>
      </c>
      <c r="C4817" s="3">
        <v>1</v>
      </c>
      <c r="D4817" s="20" t="s">
        <v>96</v>
      </c>
      <c r="E4817" s="7" t="s">
        <v>15</v>
      </c>
      <c r="F4817" s="7" t="s">
        <v>64</v>
      </c>
      <c r="G4817" s="11">
        <v>40.1</v>
      </c>
      <c r="H4817" s="33">
        <v>6.6</v>
      </c>
      <c r="I4817" s="40">
        <v>2</v>
      </c>
      <c r="J4817" s="10">
        <v>0.5293199999999999</v>
      </c>
      <c r="K4817" s="17"/>
      <c r="L4817" s="18">
        <v>0</v>
      </c>
      <c r="M4817" s="19">
        <v>2</v>
      </c>
      <c r="N4817" s="13">
        <v>0.5293199999999999</v>
      </c>
      <c r="O4817" s="32"/>
      <c r="P4817" s="32"/>
      <c r="Q4817" s="32"/>
    </row>
    <row r="4818" spans="1:17">
      <c r="A4818" s="45" t="s">
        <v>136</v>
      </c>
      <c r="B4818" s="32" t="s">
        <v>137</v>
      </c>
      <c r="C4818" s="3">
        <v>2</v>
      </c>
      <c r="D4818" s="20" t="s">
        <v>89</v>
      </c>
      <c r="E4818" s="7" t="s">
        <v>15</v>
      </c>
      <c r="F4818" s="7" t="s">
        <v>64</v>
      </c>
      <c r="G4818" s="11">
        <v>40.1</v>
      </c>
      <c r="H4818" s="33">
        <v>9.1</v>
      </c>
      <c r="I4818" s="40">
        <v>3</v>
      </c>
      <c r="J4818" s="10">
        <v>1.09473</v>
      </c>
      <c r="K4818" s="22">
        <v>3</v>
      </c>
      <c r="L4818" s="63">
        <v>1.09473</v>
      </c>
      <c r="M4818" s="64">
        <v>0</v>
      </c>
      <c r="N4818" s="65">
        <v>0</v>
      </c>
      <c r="O4818" s="94">
        <v>8.8000000000000007</v>
      </c>
      <c r="P4818" s="93">
        <v>3</v>
      </c>
      <c r="Q4818" s="93" t="s">
        <v>672</v>
      </c>
    </row>
    <row r="4819" spans="1:17">
      <c r="A4819" s="45" t="s">
        <v>136</v>
      </c>
      <c r="B4819" s="32" t="s">
        <v>137</v>
      </c>
      <c r="C4819" s="3">
        <v>2</v>
      </c>
      <c r="D4819" s="20" t="s">
        <v>89</v>
      </c>
      <c r="E4819" s="7" t="s">
        <v>15</v>
      </c>
      <c r="F4819" s="7" t="s">
        <v>64</v>
      </c>
      <c r="G4819" s="11">
        <v>40.1</v>
      </c>
      <c r="H4819" s="33">
        <v>9.8000000000000007</v>
      </c>
      <c r="I4819" s="40">
        <v>1</v>
      </c>
      <c r="J4819" s="10">
        <v>0.39298</v>
      </c>
      <c r="K4819" s="22">
        <v>1</v>
      </c>
      <c r="L4819" s="63">
        <v>0.39298</v>
      </c>
      <c r="M4819" s="64">
        <v>0</v>
      </c>
      <c r="N4819" s="65">
        <v>0</v>
      </c>
      <c r="O4819" s="94">
        <v>8.8000000000000007</v>
      </c>
      <c r="P4819" s="93">
        <v>1</v>
      </c>
      <c r="Q4819" s="93" t="s">
        <v>672</v>
      </c>
    </row>
    <row r="4820" spans="1:17">
      <c r="A4820" s="45" t="s">
        <v>136</v>
      </c>
      <c r="B4820" s="32" t="s">
        <v>137</v>
      </c>
      <c r="C4820" s="3">
        <v>3</v>
      </c>
      <c r="D4820" s="20" t="s">
        <v>20</v>
      </c>
      <c r="E4820" s="7" t="s">
        <v>15</v>
      </c>
      <c r="F4820" s="7" t="s">
        <v>64</v>
      </c>
      <c r="G4820" s="11">
        <v>40.1</v>
      </c>
      <c r="H4820" s="33">
        <v>9</v>
      </c>
      <c r="I4820" s="40">
        <v>1</v>
      </c>
      <c r="J4820" s="10">
        <v>0.36090000000000005</v>
      </c>
      <c r="K4820" s="17">
        <v>1</v>
      </c>
      <c r="L4820" s="18">
        <v>0.36090000000000005</v>
      </c>
      <c r="M4820" s="19">
        <v>0</v>
      </c>
      <c r="N4820" s="13">
        <v>0</v>
      </c>
      <c r="O4820" s="94">
        <v>9</v>
      </c>
      <c r="P4820" s="93">
        <v>1</v>
      </c>
      <c r="Q4820" s="93" t="s">
        <v>533</v>
      </c>
    </row>
    <row r="4821" spans="1:17">
      <c r="A4821" s="45" t="s">
        <v>136</v>
      </c>
      <c r="B4821" s="32" t="s">
        <v>137</v>
      </c>
      <c r="C4821" s="3">
        <v>1</v>
      </c>
      <c r="D4821" s="20" t="s">
        <v>20</v>
      </c>
      <c r="E4821" s="7" t="s">
        <v>15</v>
      </c>
      <c r="F4821" s="7" t="s">
        <v>64</v>
      </c>
      <c r="G4821" s="11">
        <v>40.1</v>
      </c>
      <c r="H4821" s="33">
        <v>5</v>
      </c>
      <c r="I4821" s="40">
        <v>1</v>
      </c>
      <c r="J4821" s="10">
        <v>0.20050000000000001</v>
      </c>
      <c r="K4821" s="17"/>
      <c r="L4821" s="18">
        <v>0</v>
      </c>
      <c r="M4821" s="19">
        <v>1</v>
      </c>
      <c r="N4821" s="13">
        <v>0.20050000000000001</v>
      </c>
      <c r="O4821" s="94"/>
      <c r="P4821" s="93"/>
      <c r="Q4821" s="93"/>
    </row>
    <row r="4822" spans="1:17">
      <c r="A4822" s="45" t="s">
        <v>136</v>
      </c>
      <c r="B4822" s="32" t="s">
        <v>137</v>
      </c>
      <c r="C4822" s="3">
        <v>59</v>
      </c>
      <c r="D4822" s="20" t="s">
        <v>20</v>
      </c>
      <c r="E4822" s="7" t="s">
        <v>15</v>
      </c>
      <c r="F4822" s="7" t="s">
        <v>64</v>
      </c>
      <c r="G4822" s="11">
        <v>40.1</v>
      </c>
      <c r="H4822" s="33">
        <v>8</v>
      </c>
      <c r="I4822" s="40">
        <v>1</v>
      </c>
      <c r="J4822" s="10">
        <v>0.32080000000000003</v>
      </c>
      <c r="K4822" s="17">
        <v>1</v>
      </c>
      <c r="L4822" s="18">
        <v>0.32080000000000003</v>
      </c>
      <c r="M4822" s="19">
        <v>0</v>
      </c>
      <c r="N4822" s="13">
        <v>0</v>
      </c>
      <c r="O4822" s="94">
        <v>8</v>
      </c>
      <c r="P4822" s="93">
        <v>1</v>
      </c>
      <c r="Q4822" s="93" t="s">
        <v>533</v>
      </c>
    </row>
    <row r="4823" spans="1:17">
      <c r="A4823" s="45" t="s">
        <v>136</v>
      </c>
      <c r="B4823" s="32" t="s">
        <v>137</v>
      </c>
      <c r="C4823" s="3">
        <v>59</v>
      </c>
      <c r="D4823" s="20" t="s">
        <v>20</v>
      </c>
      <c r="E4823" s="7" t="s">
        <v>15</v>
      </c>
      <c r="F4823" s="7" t="s">
        <v>64</v>
      </c>
      <c r="G4823" s="11">
        <v>40.1</v>
      </c>
      <c r="H4823" s="33">
        <v>8.3000000000000007</v>
      </c>
      <c r="I4823" s="40">
        <v>1</v>
      </c>
      <c r="J4823" s="10">
        <v>0.33283000000000001</v>
      </c>
      <c r="K4823" s="17">
        <v>1</v>
      </c>
      <c r="L4823" s="18">
        <v>0.33283000000000001</v>
      </c>
      <c r="M4823" s="19">
        <v>0</v>
      </c>
      <c r="N4823" s="13">
        <v>0</v>
      </c>
      <c r="O4823" s="94">
        <v>8.3000000000000007</v>
      </c>
      <c r="P4823" s="93">
        <v>1</v>
      </c>
      <c r="Q4823" s="93" t="s">
        <v>533</v>
      </c>
    </row>
    <row r="4824" spans="1:17">
      <c r="A4824" s="45" t="s">
        <v>136</v>
      </c>
      <c r="B4824" s="32" t="s">
        <v>137</v>
      </c>
      <c r="C4824" s="3">
        <v>61</v>
      </c>
      <c r="D4824" s="20" t="s">
        <v>20</v>
      </c>
      <c r="E4824" s="7" t="s">
        <v>15</v>
      </c>
      <c r="F4824" s="7" t="s">
        <v>64</v>
      </c>
      <c r="G4824" s="11">
        <v>40.1</v>
      </c>
      <c r="H4824" s="33">
        <v>9.5</v>
      </c>
      <c r="I4824" s="40">
        <v>1</v>
      </c>
      <c r="J4824" s="10">
        <v>0.38095000000000001</v>
      </c>
      <c r="K4824" s="17">
        <v>1</v>
      </c>
      <c r="L4824" s="18">
        <v>0.38095000000000001</v>
      </c>
      <c r="M4824" s="19">
        <v>0</v>
      </c>
      <c r="N4824" s="13">
        <v>0</v>
      </c>
      <c r="O4824" s="94">
        <v>9.5</v>
      </c>
      <c r="P4824" s="93">
        <v>1</v>
      </c>
      <c r="Q4824" s="93" t="s">
        <v>533</v>
      </c>
    </row>
    <row r="4825" spans="1:17">
      <c r="A4825" s="45" t="s">
        <v>136</v>
      </c>
      <c r="B4825" s="32" t="s">
        <v>137</v>
      </c>
      <c r="C4825" s="3">
        <v>77</v>
      </c>
      <c r="D4825" s="20" t="s">
        <v>20</v>
      </c>
      <c r="E4825" s="7" t="s">
        <v>15</v>
      </c>
      <c r="F4825" s="7" t="s">
        <v>64</v>
      </c>
      <c r="G4825" s="11">
        <v>40.1</v>
      </c>
      <c r="H4825" s="33">
        <v>8.6999999999999993</v>
      </c>
      <c r="I4825" s="40">
        <v>1</v>
      </c>
      <c r="J4825" s="10">
        <v>0.34887000000000001</v>
      </c>
      <c r="K4825" s="17">
        <v>1</v>
      </c>
      <c r="L4825" s="18">
        <v>0.34887000000000001</v>
      </c>
      <c r="M4825" s="19">
        <v>0</v>
      </c>
      <c r="N4825" s="13">
        <v>0</v>
      </c>
      <c r="O4825" s="94">
        <v>8.6999999999999993</v>
      </c>
      <c r="P4825" s="93">
        <v>1</v>
      </c>
      <c r="Q4825" s="93" t="s">
        <v>533</v>
      </c>
    </row>
    <row r="4826" spans="1:17">
      <c r="M4826" s="215">
        <f>SUM(M4809:M4825)</f>
        <v>6</v>
      </c>
      <c r="P4826" s="215">
        <f>SUM(P4809:P4825)</f>
        <v>9</v>
      </c>
    </row>
    <row r="4829" spans="1:17">
      <c r="A4829" s="42" t="s">
        <v>77</v>
      </c>
      <c r="B4829" s="3" t="s">
        <v>68</v>
      </c>
      <c r="C4829" s="3">
        <v>156</v>
      </c>
      <c r="D4829" s="20" t="s">
        <v>17</v>
      </c>
      <c r="E4829" s="7" t="s">
        <v>15</v>
      </c>
      <c r="F4829" s="7" t="s">
        <v>53</v>
      </c>
      <c r="G4829" s="11">
        <v>35.840000000000003</v>
      </c>
      <c r="H4829" s="8">
        <v>9.5</v>
      </c>
      <c r="I4829" s="26">
        <v>1</v>
      </c>
      <c r="J4829" s="10">
        <v>0.34048</v>
      </c>
      <c r="K4829" s="17">
        <v>1</v>
      </c>
      <c r="L4829" s="18">
        <v>0.34048</v>
      </c>
      <c r="M4829" s="19">
        <v>0</v>
      </c>
      <c r="N4829" s="13">
        <v>0</v>
      </c>
      <c r="O4829" s="9"/>
      <c r="P4829" s="2"/>
      <c r="Q4829" s="2"/>
    </row>
    <row r="4830" spans="1:17">
      <c r="A4830" s="42" t="s">
        <v>77</v>
      </c>
      <c r="B4830" s="3" t="s">
        <v>68</v>
      </c>
      <c r="C4830" s="3">
        <v>156</v>
      </c>
      <c r="D4830" s="20" t="s">
        <v>17</v>
      </c>
      <c r="E4830" s="7" t="s">
        <v>15</v>
      </c>
      <c r="F4830" s="7" t="s">
        <v>53</v>
      </c>
      <c r="G4830" s="11">
        <v>35.840000000000003</v>
      </c>
      <c r="H4830" s="8">
        <v>10</v>
      </c>
      <c r="I4830" s="26">
        <v>1</v>
      </c>
      <c r="J4830" s="10">
        <v>0.35840000000000005</v>
      </c>
      <c r="K4830" s="17">
        <v>1</v>
      </c>
      <c r="L4830" s="18">
        <v>0.35840000000000005</v>
      </c>
      <c r="M4830" s="19">
        <v>0</v>
      </c>
      <c r="N4830" s="13">
        <v>0</v>
      </c>
      <c r="O4830" s="9"/>
      <c r="P4830" s="2"/>
      <c r="Q4830" s="2"/>
    </row>
    <row r="4831" spans="1:17">
      <c r="A4831" s="42" t="s">
        <v>77</v>
      </c>
      <c r="B4831" s="3" t="s">
        <v>68</v>
      </c>
      <c r="C4831" s="3">
        <v>156</v>
      </c>
      <c r="D4831" s="20" t="s">
        <v>17</v>
      </c>
      <c r="E4831" s="7" t="s">
        <v>15</v>
      </c>
      <c r="F4831" s="7" t="s">
        <v>53</v>
      </c>
      <c r="G4831" s="11">
        <v>35.840000000000003</v>
      </c>
      <c r="H4831" s="8">
        <v>11</v>
      </c>
      <c r="I4831" s="26">
        <v>2</v>
      </c>
      <c r="J4831" s="10">
        <v>0.78848000000000007</v>
      </c>
      <c r="K4831" s="17">
        <v>2</v>
      </c>
      <c r="L4831" s="18">
        <v>0.78848000000000007</v>
      </c>
      <c r="M4831" s="19">
        <v>0</v>
      </c>
      <c r="N4831" s="13">
        <v>0</v>
      </c>
      <c r="O4831" s="9"/>
      <c r="P4831" s="2"/>
      <c r="Q4831" s="2"/>
    </row>
    <row r="4832" spans="1:17">
      <c r="A4832" s="42" t="s">
        <v>77</v>
      </c>
      <c r="B4832" s="3" t="s">
        <v>68</v>
      </c>
      <c r="C4832" s="3">
        <v>211</v>
      </c>
      <c r="D4832" s="20" t="s">
        <v>63</v>
      </c>
      <c r="E4832" s="7" t="s">
        <v>15</v>
      </c>
      <c r="F4832" s="7" t="s">
        <v>53</v>
      </c>
      <c r="G4832" s="11">
        <v>35.840000000000003</v>
      </c>
      <c r="H4832" s="8">
        <v>7.4</v>
      </c>
      <c r="I4832" s="26">
        <v>1</v>
      </c>
      <c r="J4832" s="10">
        <v>0.26521600000000006</v>
      </c>
      <c r="K4832" s="17"/>
      <c r="L4832" s="18">
        <v>0</v>
      </c>
      <c r="M4832" s="19">
        <v>1</v>
      </c>
      <c r="N4832" s="13">
        <v>0.26521600000000006</v>
      </c>
      <c r="O4832" s="9"/>
      <c r="P4832" s="2"/>
      <c r="Q4832" s="2"/>
    </row>
    <row r="4833" spans="1:18">
      <c r="A4833" s="42" t="s">
        <v>77</v>
      </c>
      <c r="B4833" s="3" t="s">
        <v>68</v>
      </c>
      <c r="C4833" s="3">
        <v>211</v>
      </c>
      <c r="D4833" s="20" t="s">
        <v>63</v>
      </c>
      <c r="E4833" s="7" t="s">
        <v>15</v>
      </c>
      <c r="F4833" s="7" t="s">
        <v>53</v>
      </c>
      <c r="G4833" s="11">
        <v>35.840000000000003</v>
      </c>
      <c r="H4833" s="8">
        <v>8.1</v>
      </c>
      <c r="I4833" s="26">
        <v>1</v>
      </c>
      <c r="J4833" s="10">
        <v>0.29030400000000001</v>
      </c>
      <c r="K4833" s="17">
        <v>1</v>
      </c>
      <c r="L4833" s="18">
        <v>0.29030400000000001</v>
      </c>
      <c r="M4833" s="19">
        <v>0</v>
      </c>
      <c r="N4833" s="13">
        <v>0</v>
      </c>
      <c r="O4833" s="9"/>
      <c r="P4833" s="2"/>
      <c r="Q4833" s="2"/>
    </row>
    <row r="4834" spans="1:18">
      <c r="A4834" s="42" t="s">
        <v>77</v>
      </c>
      <c r="B4834" s="3" t="s">
        <v>68</v>
      </c>
      <c r="C4834" s="3">
        <v>211</v>
      </c>
      <c r="D4834" s="20" t="s">
        <v>63</v>
      </c>
      <c r="E4834" s="7" t="s">
        <v>15</v>
      </c>
      <c r="F4834" s="7" t="s">
        <v>53</v>
      </c>
      <c r="G4834" s="11">
        <v>35.840000000000003</v>
      </c>
      <c r="H4834" s="8">
        <v>8.4</v>
      </c>
      <c r="I4834" s="26">
        <v>2</v>
      </c>
      <c r="J4834" s="10">
        <v>0.60211200000000009</v>
      </c>
      <c r="K4834" s="17">
        <v>2</v>
      </c>
      <c r="L4834" s="18">
        <v>0.60211200000000009</v>
      </c>
      <c r="M4834" s="19">
        <v>0</v>
      </c>
      <c r="N4834" s="13">
        <v>0</v>
      </c>
      <c r="O4834" s="9"/>
      <c r="P4834" s="2"/>
      <c r="Q4834" s="2"/>
    </row>
    <row r="4835" spans="1:18">
      <c r="A4835" s="42" t="s">
        <v>77</v>
      </c>
      <c r="B4835" s="3" t="s">
        <v>68</v>
      </c>
      <c r="C4835" s="3">
        <v>216</v>
      </c>
      <c r="D4835" s="12" t="s">
        <v>73</v>
      </c>
      <c r="E4835" s="7" t="s">
        <v>15</v>
      </c>
      <c r="F4835" s="7" t="s">
        <v>53</v>
      </c>
      <c r="G4835" s="11">
        <v>35.840000000000003</v>
      </c>
      <c r="H4835" s="8">
        <v>7.4</v>
      </c>
      <c r="I4835" s="26">
        <v>1</v>
      </c>
      <c r="J4835" s="10">
        <v>0.26521600000000006</v>
      </c>
      <c r="K4835" s="17">
        <v>1</v>
      </c>
      <c r="L4835" s="18">
        <v>0.26521600000000006</v>
      </c>
      <c r="M4835" s="19">
        <v>0</v>
      </c>
      <c r="N4835" s="13">
        <v>0</v>
      </c>
      <c r="O4835" s="89">
        <v>7.05</v>
      </c>
      <c r="P4835" s="90">
        <v>1</v>
      </c>
      <c r="Q4835" s="90" t="s">
        <v>674</v>
      </c>
    </row>
    <row r="4836" spans="1:18">
      <c r="A4836" s="42" t="s">
        <v>77</v>
      </c>
      <c r="B4836" s="3" t="s">
        <v>68</v>
      </c>
      <c r="C4836" s="3">
        <v>252</v>
      </c>
      <c r="D4836" s="12" t="s">
        <v>20</v>
      </c>
      <c r="E4836" s="7" t="s">
        <v>15</v>
      </c>
      <c r="F4836" s="7" t="s">
        <v>53</v>
      </c>
      <c r="G4836" s="11">
        <v>35.840000000000003</v>
      </c>
      <c r="H4836" s="8">
        <v>6</v>
      </c>
      <c r="I4836" s="26">
        <v>1</v>
      </c>
      <c r="J4836" s="10">
        <v>0.21504000000000001</v>
      </c>
      <c r="K4836" s="17">
        <v>1</v>
      </c>
      <c r="L4836" s="18">
        <v>0.21504000000000001</v>
      </c>
      <c r="M4836" s="19">
        <v>0</v>
      </c>
      <c r="N4836" s="13">
        <v>0</v>
      </c>
      <c r="O4836" s="89">
        <v>6</v>
      </c>
      <c r="P4836" s="90">
        <v>1</v>
      </c>
      <c r="Q4836" s="90" t="s">
        <v>675</v>
      </c>
    </row>
    <row r="4837" spans="1:18">
      <c r="A4837" s="44" t="s">
        <v>78</v>
      </c>
      <c r="B4837" s="3" t="s">
        <v>80</v>
      </c>
      <c r="C4837" s="3">
        <v>15</v>
      </c>
      <c r="D4837" s="20" t="s">
        <v>76</v>
      </c>
      <c r="E4837" s="7" t="s">
        <v>15</v>
      </c>
      <c r="F4837" s="7" t="s">
        <v>53</v>
      </c>
      <c r="G4837" s="11">
        <v>35.840000000000003</v>
      </c>
      <c r="H4837" s="8">
        <v>9.3000000000000007</v>
      </c>
      <c r="I4837" s="26">
        <v>1</v>
      </c>
      <c r="J4837" s="10">
        <v>0.33331200000000005</v>
      </c>
      <c r="K4837" s="17">
        <v>1</v>
      </c>
      <c r="L4837" s="18">
        <v>0.33331200000000005</v>
      </c>
      <c r="M4837" s="19">
        <v>0</v>
      </c>
      <c r="N4837" s="13">
        <v>0</v>
      </c>
      <c r="O4837" s="9"/>
      <c r="P4837" s="32"/>
      <c r="Q4837" s="32"/>
    </row>
    <row r="4838" spans="1:18">
      <c r="A4838" s="45" t="s">
        <v>136</v>
      </c>
      <c r="B4838" s="32" t="s">
        <v>137</v>
      </c>
      <c r="C4838" s="3">
        <v>1</v>
      </c>
      <c r="D4838" s="20" t="s">
        <v>88</v>
      </c>
      <c r="E4838" s="7" t="s">
        <v>15</v>
      </c>
      <c r="F4838" s="7" t="s">
        <v>53</v>
      </c>
      <c r="G4838" s="11">
        <v>35.840000000000003</v>
      </c>
      <c r="H4838" s="33">
        <v>7.5</v>
      </c>
      <c r="I4838" s="40">
        <v>1</v>
      </c>
      <c r="J4838" s="10">
        <v>0.26880000000000004</v>
      </c>
      <c r="K4838" s="17"/>
      <c r="L4838" s="18">
        <v>0</v>
      </c>
      <c r="M4838" s="19">
        <v>1</v>
      </c>
      <c r="N4838" s="13">
        <v>0.26880000000000004</v>
      </c>
      <c r="O4838" s="32"/>
      <c r="P4838" s="32"/>
      <c r="Q4838" s="32"/>
    </row>
    <row r="4839" spans="1:18">
      <c r="A4839" s="45" t="s">
        <v>136</v>
      </c>
      <c r="B4839" s="32" t="s">
        <v>137</v>
      </c>
      <c r="C4839" s="3">
        <v>75</v>
      </c>
      <c r="D4839" s="20" t="s">
        <v>20</v>
      </c>
      <c r="E4839" s="7" t="s">
        <v>15</v>
      </c>
      <c r="F4839" s="7" t="s">
        <v>53</v>
      </c>
      <c r="G4839" s="11">
        <v>35.840000000000003</v>
      </c>
      <c r="H4839" s="55">
        <v>6.15</v>
      </c>
      <c r="I4839" s="40">
        <v>2</v>
      </c>
      <c r="J4839" s="10">
        <v>0.44083200000000006</v>
      </c>
      <c r="K4839" s="17"/>
      <c r="L4839" s="18">
        <v>0</v>
      </c>
      <c r="M4839" s="19">
        <v>2</v>
      </c>
      <c r="N4839" s="13">
        <v>0.44083200000000006</v>
      </c>
      <c r="O4839" s="32"/>
      <c r="P4839" s="32"/>
      <c r="Q4839" s="32"/>
    </row>
    <row r="4840" spans="1:18">
      <c r="A4840" s="45" t="s">
        <v>136</v>
      </c>
      <c r="B4840" s="32" t="s">
        <v>137</v>
      </c>
      <c r="C4840" s="3">
        <v>75</v>
      </c>
      <c r="D4840" s="20" t="s">
        <v>20</v>
      </c>
      <c r="E4840" s="7" t="s">
        <v>15</v>
      </c>
      <c r="F4840" s="7" t="s">
        <v>53</v>
      </c>
      <c r="G4840" s="11">
        <v>35.840000000000003</v>
      </c>
      <c r="H4840" s="55">
        <v>6.5</v>
      </c>
      <c r="I4840" s="40">
        <v>1</v>
      </c>
      <c r="J4840" s="10">
        <v>0.23296000000000003</v>
      </c>
      <c r="K4840" s="17">
        <v>1</v>
      </c>
      <c r="L4840" s="18">
        <v>0</v>
      </c>
      <c r="M4840" s="19">
        <v>0</v>
      </c>
      <c r="N4840" s="13">
        <v>0</v>
      </c>
      <c r="O4840" s="91">
        <v>6.3</v>
      </c>
      <c r="P4840" s="91">
        <v>1</v>
      </c>
      <c r="Q4840" s="72" t="s">
        <v>676</v>
      </c>
    </row>
    <row r="4841" spans="1:18">
      <c r="M4841" s="215">
        <f>SUM(M4829:M4840)</f>
        <v>4</v>
      </c>
      <c r="P4841" s="215">
        <f>SUM(P4829:P4840)</f>
        <v>3</v>
      </c>
    </row>
    <row r="4843" spans="1:18">
      <c r="A4843" s="110" t="s">
        <v>308</v>
      </c>
      <c r="B4843" s="111" t="s">
        <v>309</v>
      </c>
      <c r="C4843" s="112" t="s">
        <v>228</v>
      </c>
      <c r="D4843" s="118" t="s">
        <v>17</v>
      </c>
      <c r="E4843" s="175" t="s">
        <v>15</v>
      </c>
      <c r="F4843" s="175" t="s">
        <v>53</v>
      </c>
      <c r="G4843" s="176">
        <v>35.840000000000003</v>
      </c>
      <c r="H4843" s="177">
        <v>8</v>
      </c>
      <c r="I4843" s="178">
        <f>8+7</f>
        <v>15</v>
      </c>
      <c r="J4843" s="174">
        <f t="shared" ref="J4843:J4854" si="623">(G4843*H4843*I4843/1000)</f>
        <v>4.3008000000000006</v>
      </c>
      <c r="K4843" s="118"/>
      <c r="L4843" s="111">
        <v>15</v>
      </c>
      <c r="M4843" s="117">
        <f t="shared" ref="M4843:M4854" si="624">H4843*L4843*G4843/1000</f>
        <v>4.3008000000000006</v>
      </c>
      <c r="N4843" s="119">
        <f t="shared" ref="N4843:N4854" si="625">I4843-L4843</f>
        <v>0</v>
      </c>
      <c r="O4843" s="120">
        <f t="shared" ref="O4843:O4854" si="626">H4843*N4843*G4843/1000</f>
        <v>0</v>
      </c>
      <c r="P4843" s="111"/>
      <c r="Q4843" s="111"/>
      <c r="R4843" s="111"/>
    </row>
    <row r="4844" spans="1:18">
      <c r="A4844" s="110" t="s">
        <v>308</v>
      </c>
      <c r="B4844" s="111" t="s">
        <v>309</v>
      </c>
      <c r="C4844" s="112" t="s">
        <v>228</v>
      </c>
      <c r="D4844" s="118" t="s">
        <v>17</v>
      </c>
      <c r="E4844" s="175" t="s">
        <v>15</v>
      </c>
      <c r="F4844" s="175" t="s">
        <v>53</v>
      </c>
      <c r="G4844" s="176">
        <v>35.840000000000003</v>
      </c>
      <c r="H4844" s="177">
        <v>10</v>
      </c>
      <c r="I4844" s="178">
        <f>7+7+3+5</f>
        <v>22</v>
      </c>
      <c r="J4844" s="174">
        <f t="shared" si="623"/>
        <v>7.8848000000000011</v>
      </c>
      <c r="K4844" s="118"/>
      <c r="L4844" s="111">
        <f>17+1+4</f>
        <v>22</v>
      </c>
      <c r="M4844" s="117">
        <f t="shared" si="624"/>
        <v>7.8848000000000011</v>
      </c>
      <c r="N4844" s="119">
        <f t="shared" si="625"/>
        <v>0</v>
      </c>
      <c r="O4844" s="120">
        <f t="shared" si="626"/>
        <v>0</v>
      </c>
      <c r="P4844" s="79">
        <v>6.3</v>
      </c>
      <c r="Q4844" s="72">
        <v>4</v>
      </c>
      <c r="R4844" s="72" t="s">
        <v>676</v>
      </c>
    </row>
    <row r="4845" spans="1:18">
      <c r="A4845" s="110" t="s">
        <v>308</v>
      </c>
      <c r="B4845" s="111" t="s">
        <v>309</v>
      </c>
      <c r="C4845" s="112" t="s">
        <v>228</v>
      </c>
      <c r="D4845" s="118" t="s">
        <v>17</v>
      </c>
      <c r="E4845" s="175" t="s">
        <v>15</v>
      </c>
      <c r="F4845" s="175" t="s">
        <v>53</v>
      </c>
      <c r="G4845" s="176">
        <v>35.840000000000003</v>
      </c>
      <c r="H4845" s="177">
        <v>10.5</v>
      </c>
      <c r="I4845" s="178">
        <f>7+7+5</f>
        <v>19</v>
      </c>
      <c r="J4845" s="174">
        <f t="shared" si="623"/>
        <v>7.1500800000000009</v>
      </c>
      <c r="K4845" s="118"/>
      <c r="L4845" s="111">
        <v>19</v>
      </c>
      <c r="M4845" s="117">
        <f t="shared" si="624"/>
        <v>7.1500800000000009</v>
      </c>
      <c r="N4845" s="119">
        <f t="shared" si="625"/>
        <v>0</v>
      </c>
      <c r="O4845" s="120">
        <f t="shared" si="626"/>
        <v>0</v>
      </c>
      <c r="P4845" s="130"/>
      <c r="Q4845" s="111"/>
      <c r="R4845" s="111"/>
    </row>
    <row r="4846" spans="1:18">
      <c r="A4846" s="110" t="s">
        <v>308</v>
      </c>
      <c r="B4846" s="111" t="s">
        <v>309</v>
      </c>
      <c r="C4846" s="112" t="s">
        <v>228</v>
      </c>
      <c r="D4846" s="118" t="s">
        <v>17</v>
      </c>
      <c r="E4846" s="175" t="s">
        <v>15</v>
      </c>
      <c r="F4846" s="175" t="s">
        <v>53</v>
      </c>
      <c r="G4846" s="176">
        <v>35.840000000000003</v>
      </c>
      <c r="H4846" s="177">
        <v>10.7</v>
      </c>
      <c r="I4846" s="178">
        <v>2</v>
      </c>
      <c r="J4846" s="174">
        <f t="shared" si="623"/>
        <v>0.76697599999999999</v>
      </c>
      <c r="K4846" s="118"/>
      <c r="L4846" s="111">
        <v>2</v>
      </c>
      <c r="M4846" s="117">
        <f t="shared" si="624"/>
        <v>0.76697599999999999</v>
      </c>
      <c r="N4846" s="119">
        <f t="shared" si="625"/>
        <v>0</v>
      </c>
      <c r="O4846" s="120">
        <f t="shared" si="626"/>
        <v>0</v>
      </c>
      <c r="P4846" s="130"/>
      <c r="Q4846" s="111"/>
      <c r="R4846" s="111"/>
    </row>
    <row r="4847" spans="1:18">
      <c r="A4847" s="110" t="s">
        <v>308</v>
      </c>
      <c r="B4847" s="111" t="s">
        <v>309</v>
      </c>
      <c r="C4847" s="112" t="s">
        <v>228</v>
      </c>
      <c r="D4847" s="118" t="s">
        <v>17</v>
      </c>
      <c r="E4847" s="175" t="s">
        <v>15</v>
      </c>
      <c r="F4847" s="175" t="s">
        <v>53</v>
      </c>
      <c r="G4847" s="176">
        <v>35.840000000000003</v>
      </c>
      <c r="H4847" s="177">
        <v>10</v>
      </c>
      <c r="I4847" s="178">
        <v>2</v>
      </c>
      <c r="J4847" s="174">
        <f t="shared" si="623"/>
        <v>0.7168000000000001</v>
      </c>
      <c r="K4847" s="118"/>
      <c r="L4847" s="111">
        <v>2</v>
      </c>
      <c r="M4847" s="117">
        <f t="shared" si="624"/>
        <v>0.7168000000000001</v>
      </c>
      <c r="N4847" s="119">
        <f t="shared" si="625"/>
        <v>0</v>
      </c>
      <c r="O4847" s="120">
        <f t="shared" si="626"/>
        <v>0</v>
      </c>
      <c r="P4847" s="130"/>
      <c r="Q4847" s="111"/>
      <c r="R4847" s="111"/>
    </row>
    <row r="4848" spans="1:18">
      <c r="A4848" s="110" t="s">
        <v>308</v>
      </c>
      <c r="B4848" s="111" t="s">
        <v>309</v>
      </c>
      <c r="C4848" s="112" t="s">
        <v>228</v>
      </c>
      <c r="D4848" s="118" t="s">
        <v>17</v>
      </c>
      <c r="E4848" s="175" t="s">
        <v>15</v>
      </c>
      <c r="F4848" s="175" t="s">
        <v>53</v>
      </c>
      <c r="G4848" s="176">
        <v>35.840000000000003</v>
      </c>
      <c r="H4848" s="177">
        <v>10.5</v>
      </c>
      <c r="I4848" s="178">
        <v>1</v>
      </c>
      <c r="J4848" s="174">
        <f t="shared" si="623"/>
        <v>0.37632000000000004</v>
      </c>
      <c r="K4848" s="118"/>
      <c r="L4848" s="111">
        <v>1</v>
      </c>
      <c r="M4848" s="117">
        <f t="shared" si="624"/>
        <v>0.37632000000000004</v>
      </c>
      <c r="N4848" s="119">
        <f t="shared" si="625"/>
        <v>0</v>
      </c>
      <c r="O4848" s="120">
        <f t="shared" si="626"/>
        <v>0</v>
      </c>
      <c r="P4848" s="79">
        <v>7.05</v>
      </c>
      <c r="Q4848" s="72">
        <v>1</v>
      </c>
      <c r="R4848" s="72" t="s">
        <v>677</v>
      </c>
    </row>
    <row r="4849" spans="1:18">
      <c r="A4849" s="110" t="s">
        <v>308</v>
      </c>
      <c r="B4849" s="111" t="s">
        <v>309</v>
      </c>
      <c r="C4849" s="112" t="s">
        <v>228</v>
      </c>
      <c r="D4849" s="118" t="s">
        <v>17</v>
      </c>
      <c r="E4849" s="175" t="s">
        <v>15</v>
      </c>
      <c r="F4849" s="175" t="s">
        <v>53</v>
      </c>
      <c r="G4849" s="176">
        <v>35.840000000000003</v>
      </c>
      <c r="H4849" s="177">
        <v>6</v>
      </c>
      <c r="I4849" s="178">
        <v>4</v>
      </c>
      <c r="J4849" s="174">
        <f t="shared" si="623"/>
        <v>0.86016000000000004</v>
      </c>
      <c r="K4849" s="118"/>
      <c r="L4849" s="111">
        <v>4</v>
      </c>
      <c r="M4849" s="117">
        <f t="shared" si="624"/>
        <v>0.86016000000000004</v>
      </c>
      <c r="N4849" s="119">
        <f t="shared" si="625"/>
        <v>0</v>
      </c>
      <c r="O4849" s="120">
        <f t="shared" si="626"/>
        <v>0</v>
      </c>
      <c r="P4849" s="130"/>
      <c r="Q4849" s="111"/>
      <c r="R4849" s="111"/>
    </row>
    <row r="4850" spans="1:18">
      <c r="A4850" s="110" t="s">
        <v>308</v>
      </c>
      <c r="B4850" s="111" t="s">
        <v>309</v>
      </c>
      <c r="C4850" s="112" t="s">
        <v>228</v>
      </c>
      <c r="D4850" s="118" t="s">
        <v>17</v>
      </c>
      <c r="E4850" s="175" t="s">
        <v>15</v>
      </c>
      <c r="F4850" s="175" t="s">
        <v>53</v>
      </c>
      <c r="G4850" s="176">
        <v>35.840000000000003</v>
      </c>
      <c r="H4850" s="179">
        <v>10.5</v>
      </c>
      <c r="I4850" s="178">
        <v>4</v>
      </c>
      <c r="J4850" s="174">
        <f t="shared" si="623"/>
        <v>1.5052800000000002</v>
      </c>
      <c r="K4850" s="118"/>
      <c r="L4850" s="111">
        <v>4</v>
      </c>
      <c r="M4850" s="117">
        <f t="shared" si="624"/>
        <v>1.5052800000000002</v>
      </c>
      <c r="N4850" s="119">
        <f t="shared" si="625"/>
        <v>0</v>
      </c>
      <c r="O4850" s="120">
        <f t="shared" si="626"/>
        <v>0</v>
      </c>
      <c r="P4850" s="130"/>
      <c r="Q4850" s="111"/>
      <c r="R4850" s="111"/>
    </row>
    <row r="4851" spans="1:18">
      <c r="A4851" s="110" t="s">
        <v>308</v>
      </c>
      <c r="B4851" s="111" t="s">
        <v>309</v>
      </c>
      <c r="C4851" s="112" t="s">
        <v>228</v>
      </c>
      <c r="D4851" s="118" t="s">
        <v>17</v>
      </c>
      <c r="E4851" s="175" t="s">
        <v>15</v>
      </c>
      <c r="F4851" s="175" t="s">
        <v>53</v>
      </c>
      <c r="G4851" s="176">
        <v>35.840000000000003</v>
      </c>
      <c r="H4851" s="179">
        <v>11.3</v>
      </c>
      <c r="I4851" s="178">
        <v>2</v>
      </c>
      <c r="J4851" s="174">
        <f t="shared" si="623"/>
        <v>0.80998400000000015</v>
      </c>
      <c r="K4851" s="118"/>
      <c r="L4851" s="111">
        <v>2</v>
      </c>
      <c r="M4851" s="117">
        <f t="shared" si="624"/>
        <v>0.80998400000000015</v>
      </c>
      <c r="N4851" s="119">
        <f t="shared" si="625"/>
        <v>0</v>
      </c>
      <c r="O4851" s="120">
        <f t="shared" si="626"/>
        <v>0</v>
      </c>
      <c r="P4851" s="79">
        <v>6.3</v>
      </c>
      <c r="Q4851" s="72">
        <v>2</v>
      </c>
      <c r="R4851" s="72" t="s">
        <v>676</v>
      </c>
    </row>
    <row r="4852" spans="1:18">
      <c r="A4852" s="110" t="s">
        <v>308</v>
      </c>
      <c r="B4852" s="111" t="s">
        <v>309</v>
      </c>
      <c r="C4852" s="112" t="s">
        <v>228</v>
      </c>
      <c r="D4852" s="118" t="s">
        <v>17</v>
      </c>
      <c r="E4852" s="175" t="s">
        <v>15</v>
      </c>
      <c r="F4852" s="175" t="s">
        <v>53</v>
      </c>
      <c r="G4852" s="176">
        <v>35.840000000000003</v>
      </c>
      <c r="H4852" s="179">
        <v>6</v>
      </c>
      <c r="I4852" s="178">
        <v>1</v>
      </c>
      <c r="J4852" s="174">
        <f t="shared" si="623"/>
        <v>0.21504000000000001</v>
      </c>
      <c r="K4852" s="118"/>
      <c r="L4852" s="111"/>
      <c r="M4852" s="117">
        <f t="shared" si="624"/>
        <v>0</v>
      </c>
      <c r="N4852" s="119">
        <f t="shared" si="625"/>
        <v>1</v>
      </c>
      <c r="O4852" s="120">
        <f t="shared" si="626"/>
        <v>0.21504000000000001</v>
      </c>
      <c r="P4852" s="130"/>
      <c r="Q4852" s="111"/>
      <c r="R4852" s="111"/>
    </row>
    <row r="4853" spans="1:18">
      <c r="A4853" s="110" t="s">
        <v>308</v>
      </c>
      <c r="B4853" s="111" t="s">
        <v>309</v>
      </c>
      <c r="C4853" s="112" t="s">
        <v>228</v>
      </c>
      <c r="D4853" s="118" t="s">
        <v>17</v>
      </c>
      <c r="E4853" s="175" t="s">
        <v>15</v>
      </c>
      <c r="F4853" s="175" t="s">
        <v>53</v>
      </c>
      <c r="G4853" s="176">
        <v>35.840000000000003</v>
      </c>
      <c r="H4853" s="179">
        <v>10</v>
      </c>
      <c r="I4853" s="178">
        <v>2</v>
      </c>
      <c r="J4853" s="174">
        <f t="shared" si="623"/>
        <v>0.7168000000000001</v>
      </c>
      <c r="K4853" s="118"/>
      <c r="L4853" s="111">
        <v>2</v>
      </c>
      <c r="M4853" s="117">
        <f t="shared" si="624"/>
        <v>0.7168000000000001</v>
      </c>
      <c r="N4853" s="119">
        <f t="shared" si="625"/>
        <v>0</v>
      </c>
      <c r="O4853" s="120">
        <f t="shared" si="626"/>
        <v>0</v>
      </c>
      <c r="P4853" s="111"/>
      <c r="Q4853" s="111"/>
      <c r="R4853" s="111"/>
    </row>
    <row r="4854" spans="1:18">
      <c r="A4854" s="110" t="s">
        <v>308</v>
      </c>
      <c r="B4854" s="111" t="s">
        <v>309</v>
      </c>
      <c r="C4854" s="112" t="s">
        <v>228</v>
      </c>
      <c r="D4854" s="118" t="s">
        <v>17</v>
      </c>
      <c r="E4854" s="175" t="s">
        <v>15</v>
      </c>
      <c r="F4854" s="175" t="s">
        <v>53</v>
      </c>
      <c r="G4854" s="176">
        <v>35.840000000000003</v>
      </c>
      <c r="H4854" s="179">
        <v>11.3</v>
      </c>
      <c r="I4854" s="178">
        <v>8</v>
      </c>
      <c r="J4854" s="174">
        <f t="shared" si="623"/>
        <v>3.2399360000000006</v>
      </c>
      <c r="K4854" s="118"/>
      <c r="L4854" s="111">
        <v>8</v>
      </c>
      <c r="M4854" s="117">
        <f t="shared" si="624"/>
        <v>3.2399360000000006</v>
      </c>
      <c r="N4854" s="119">
        <f t="shared" si="625"/>
        <v>0</v>
      </c>
      <c r="O4854" s="120">
        <f t="shared" si="626"/>
        <v>0</v>
      </c>
      <c r="P4854" s="111"/>
      <c r="Q4854" s="111"/>
      <c r="R4854" s="111"/>
    </row>
    <row r="4855" spans="1:18">
      <c r="A4855" s="213"/>
      <c r="B4855" s="213"/>
      <c r="C4855" s="213"/>
      <c r="D4855" s="213"/>
      <c r="E4855" s="213"/>
      <c r="F4855" s="213"/>
      <c r="G4855" s="213"/>
      <c r="H4855" s="213"/>
      <c r="I4855" s="215">
        <f>SUM(I4843:I4854)</f>
        <v>82</v>
      </c>
      <c r="J4855" s="214">
        <f>SUM(J4843:J4854)</f>
        <v>28.542975999999999</v>
      </c>
      <c r="K4855" s="213"/>
      <c r="L4855" s="215">
        <f>SUM(L4843:L4854)</f>
        <v>81</v>
      </c>
      <c r="M4855" s="214">
        <f>SUM(M4843:M4854)</f>
        <v>28.327936000000001</v>
      </c>
      <c r="N4855" s="215">
        <f>SUM(N4843:N4854)</f>
        <v>1</v>
      </c>
      <c r="O4855" s="214">
        <f>SUM(O4843:O4854)</f>
        <v>0.21504000000000001</v>
      </c>
      <c r="P4855" s="213"/>
      <c r="Q4855" s="215">
        <f>SUM(Q4843:Q4854)</f>
        <v>7</v>
      </c>
      <c r="R4855" s="213"/>
    </row>
    <row r="4858" spans="1:18">
      <c r="A4858" s="42" t="s">
        <v>77</v>
      </c>
      <c r="B4858" s="3" t="s">
        <v>68</v>
      </c>
      <c r="C4858" s="3">
        <v>255</v>
      </c>
      <c r="D4858" s="12" t="s">
        <v>20</v>
      </c>
      <c r="E4858" s="7" t="s">
        <v>15</v>
      </c>
      <c r="F4858" s="7" t="s">
        <v>54</v>
      </c>
      <c r="G4858" s="11">
        <v>31.6</v>
      </c>
      <c r="H4858" s="8">
        <v>4</v>
      </c>
      <c r="I4858" s="26">
        <v>1</v>
      </c>
      <c r="J4858" s="10">
        <v>0.12640000000000001</v>
      </c>
      <c r="K4858" s="17"/>
      <c r="L4858" s="18">
        <v>0</v>
      </c>
      <c r="M4858" s="19">
        <v>1</v>
      </c>
      <c r="N4858" s="13">
        <v>0.12640000000000001</v>
      </c>
      <c r="O4858" s="9"/>
      <c r="P4858" s="2"/>
      <c r="Q4858" s="2"/>
    </row>
    <row r="4859" spans="1:18">
      <c r="A4859" s="42" t="s">
        <v>77</v>
      </c>
      <c r="B4859" s="3" t="s">
        <v>68</v>
      </c>
      <c r="C4859" s="3">
        <v>346</v>
      </c>
      <c r="D4859" s="20" t="s">
        <v>17</v>
      </c>
      <c r="E4859" s="7" t="s">
        <v>15</v>
      </c>
      <c r="F4859" s="7" t="s">
        <v>54</v>
      </c>
      <c r="G4859" s="11">
        <v>31.6</v>
      </c>
      <c r="H4859" s="8">
        <v>10.6</v>
      </c>
      <c r="I4859" s="26">
        <v>1</v>
      </c>
      <c r="J4859" s="10">
        <v>0.33495999999999998</v>
      </c>
      <c r="K4859" s="17">
        <v>1</v>
      </c>
      <c r="L4859" s="18">
        <v>0.33495999999999998</v>
      </c>
      <c r="M4859" s="19">
        <v>0</v>
      </c>
      <c r="N4859" s="13">
        <v>0</v>
      </c>
      <c r="O4859" s="73">
        <v>7.2</v>
      </c>
      <c r="P4859" s="74">
        <v>1</v>
      </c>
      <c r="Q4859" s="72" t="s">
        <v>673</v>
      </c>
    </row>
    <row r="4860" spans="1:18">
      <c r="A4860" s="42" t="s">
        <v>84</v>
      </c>
      <c r="B4860" s="3" t="s">
        <v>122</v>
      </c>
      <c r="C4860" s="3">
        <v>1</v>
      </c>
      <c r="D4860" s="20" t="s">
        <v>63</v>
      </c>
      <c r="E4860" s="7" t="s">
        <v>15</v>
      </c>
      <c r="F4860" s="7" t="s">
        <v>54</v>
      </c>
      <c r="G4860" s="11">
        <v>31.6</v>
      </c>
      <c r="H4860" s="8">
        <v>8.1</v>
      </c>
      <c r="I4860" s="26">
        <v>1</v>
      </c>
      <c r="J4860" s="10">
        <v>0.25596000000000002</v>
      </c>
      <c r="K4860" s="17">
        <v>1</v>
      </c>
      <c r="L4860" s="18">
        <v>0.25596000000000002</v>
      </c>
      <c r="M4860" s="19">
        <v>0</v>
      </c>
      <c r="N4860" s="13">
        <v>0</v>
      </c>
      <c r="O4860" s="73">
        <v>7.2</v>
      </c>
      <c r="P4860" s="74">
        <v>1</v>
      </c>
      <c r="Q4860" s="72" t="s">
        <v>673</v>
      </c>
    </row>
    <row r="4861" spans="1:18">
      <c r="A4861" s="42" t="s">
        <v>84</v>
      </c>
      <c r="B4861" s="3" t="s">
        <v>122</v>
      </c>
      <c r="C4861" s="3">
        <v>1</v>
      </c>
      <c r="D4861" s="20" t="s">
        <v>63</v>
      </c>
      <c r="E4861" s="7" t="s">
        <v>15</v>
      </c>
      <c r="F4861" s="7" t="s">
        <v>54</v>
      </c>
      <c r="G4861" s="11">
        <v>31.6</v>
      </c>
      <c r="H4861" s="8">
        <v>8.4</v>
      </c>
      <c r="I4861" s="26">
        <v>2</v>
      </c>
      <c r="J4861" s="10">
        <v>0.53088000000000002</v>
      </c>
      <c r="K4861" s="17">
        <v>2</v>
      </c>
      <c r="L4861" s="18">
        <v>0.53088000000000002</v>
      </c>
      <c r="M4861" s="19">
        <v>0</v>
      </c>
      <c r="N4861" s="13">
        <v>0</v>
      </c>
      <c r="O4861" s="73">
        <v>7.2</v>
      </c>
      <c r="P4861" s="74">
        <v>2</v>
      </c>
      <c r="Q4861" s="72" t="s">
        <v>673</v>
      </c>
    </row>
    <row r="4862" spans="1:18">
      <c r="A4862" s="42" t="s">
        <v>84</v>
      </c>
      <c r="B4862" s="3" t="s">
        <v>122</v>
      </c>
      <c r="C4862" s="3">
        <v>1</v>
      </c>
      <c r="D4862" s="20" t="s">
        <v>63</v>
      </c>
      <c r="E4862" s="7" t="s">
        <v>15</v>
      </c>
      <c r="F4862" s="7" t="s">
        <v>54</v>
      </c>
      <c r="G4862" s="11">
        <v>31.6</v>
      </c>
      <c r="H4862" s="8">
        <v>9.5</v>
      </c>
      <c r="I4862" s="26">
        <v>1</v>
      </c>
      <c r="J4862" s="10">
        <v>0.30019999999999997</v>
      </c>
      <c r="K4862" s="17">
        <v>1</v>
      </c>
      <c r="L4862" s="18">
        <v>0.30019999999999997</v>
      </c>
      <c r="M4862" s="19">
        <v>0</v>
      </c>
      <c r="N4862" s="13">
        <v>0</v>
      </c>
      <c r="O4862" s="73">
        <v>7.2</v>
      </c>
      <c r="P4862" s="74">
        <v>1</v>
      </c>
      <c r="Q4862" s="72" t="s">
        <v>673</v>
      </c>
    </row>
    <row r="4863" spans="1:18">
      <c r="A4863" s="45" t="s">
        <v>136</v>
      </c>
      <c r="B4863" s="32" t="s">
        <v>137</v>
      </c>
      <c r="C4863" s="3">
        <v>10</v>
      </c>
      <c r="D4863" s="39" t="s">
        <v>17</v>
      </c>
      <c r="E4863" s="7" t="s">
        <v>15</v>
      </c>
      <c r="F4863" s="7" t="s">
        <v>54</v>
      </c>
      <c r="G4863" s="11">
        <v>31.6</v>
      </c>
      <c r="H4863" s="55">
        <v>7</v>
      </c>
      <c r="I4863" s="40">
        <v>2</v>
      </c>
      <c r="J4863" s="10">
        <v>0.44240000000000002</v>
      </c>
      <c r="K4863" s="17">
        <v>1</v>
      </c>
      <c r="L4863" s="18">
        <v>0.22120000000000001</v>
      </c>
      <c r="M4863" s="19"/>
      <c r="N4863" s="13">
        <v>0</v>
      </c>
      <c r="O4863" s="73">
        <v>6</v>
      </c>
      <c r="P4863" s="74">
        <v>2</v>
      </c>
      <c r="Q4863" s="72" t="s">
        <v>678</v>
      </c>
    </row>
    <row r="4864" spans="1:18">
      <c r="A4864" s="45" t="s">
        <v>136</v>
      </c>
      <c r="B4864" s="32" t="s">
        <v>137</v>
      </c>
      <c r="C4864" s="3">
        <v>47</v>
      </c>
      <c r="D4864" s="20" t="s">
        <v>106</v>
      </c>
      <c r="E4864" s="7" t="s">
        <v>15</v>
      </c>
      <c r="F4864" s="7" t="s">
        <v>54</v>
      </c>
      <c r="G4864" s="11">
        <v>31.6</v>
      </c>
      <c r="H4864" s="33">
        <v>9.3000000000000007</v>
      </c>
      <c r="I4864" s="40">
        <v>1</v>
      </c>
      <c r="J4864" s="10">
        <v>0.29388000000000003</v>
      </c>
      <c r="K4864" s="17">
        <v>1</v>
      </c>
      <c r="L4864" s="18">
        <v>0.29388000000000003</v>
      </c>
      <c r="M4864" s="19">
        <v>0</v>
      </c>
      <c r="N4864" s="13">
        <v>0</v>
      </c>
      <c r="O4864" s="79">
        <v>7.2</v>
      </c>
      <c r="P4864" s="72">
        <v>1</v>
      </c>
      <c r="Q4864" s="72" t="s">
        <v>673</v>
      </c>
    </row>
    <row r="4865" spans="1:18">
      <c r="A4865" s="45" t="s">
        <v>136</v>
      </c>
      <c r="B4865" s="32" t="s">
        <v>137</v>
      </c>
      <c r="C4865" s="3">
        <v>47</v>
      </c>
      <c r="D4865" s="20" t="s">
        <v>106</v>
      </c>
      <c r="E4865" s="7" t="s">
        <v>15</v>
      </c>
      <c r="F4865" s="7" t="s">
        <v>54</v>
      </c>
      <c r="G4865" s="11">
        <v>31.6</v>
      </c>
      <c r="H4865" s="33">
        <v>7.4</v>
      </c>
      <c r="I4865" s="40">
        <v>1</v>
      </c>
      <c r="J4865" s="10">
        <v>0.23384000000000002</v>
      </c>
      <c r="K4865" s="17">
        <v>1</v>
      </c>
      <c r="L4865" s="18">
        <v>0.23384000000000002</v>
      </c>
      <c r="M4865" s="19">
        <v>0</v>
      </c>
      <c r="N4865" s="13">
        <v>0</v>
      </c>
      <c r="O4865" s="79">
        <v>7.2</v>
      </c>
      <c r="P4865" s="72">
        <v>1</v>
      </c>
      <c r="Q4865" s="72" t="s">
        <v>673</v>
      </c>
    </row>
    <row r="4866" spans="1:18">
      <c r="A4866" s="45" t="s">
        <v>136</v>
      </c>
      <c r="B4866" s="32" t="s">
        <v>137</v>
      </c>
      <c r="C4866" s="3">
        <v>47</v>
      </c>
      <c r="D4866" s="20" t="s">
        <v>106</v>
      </c>
      <c r="E4866" s="7" t="s">
        <v>15</v>
      </c>
      <c r="F4866" s="7" t="s">
        <v>54</v>
      </c>
      <c r="G4866" s="11">
        <v>31.6</v>
      </c>
      <c r="H4866" s="33">
        <v>7.2</v>
      </c>
      <c r="I4866" s="40">
        <v>1</v>
      </c>
      <c r="J4866" s="10">
        <v>0.22752</v>
      </c>
      <c r="K4866" s="17">
        <v>1</v>
      </c>
      <c r="L4866" s="18">
        <v>0.22752</v>
      </c>
      <c r="M4866" s="19">
        <v>0</v>
      </c>
      <c r="N4866" s="13">
        <v>0</v>
      </c>
      <c r="O4866" s="79">
        <v>7.2</v>
      </c>
      <c r="P4866" s="72">
        <v>1</v>
      </c>
      <c r="Q4866" s="72" t="s">
        <v>673</v>
      </c>
    </row>
    <row r="4867" spans="1:18">
      <c r="A4867" s="45" t="s">
        <v>136</v>
      </c>
      <c r="B4867" s="32" t="s">
        <v>137</v>
      </c>
      <c r="C4867" s="3">
        <v>94</v>
      </c>
      <c r="D4867" s="20" t="s">
        <v>20</v>
      </c>
      <c r="E4867" s="7" t="s">
        <v>15</v>
      </c>
      <c r="F4867" s="7" t="s">
        <v>146</v>
      </c>
      <c r="G4867" s="32">
        <v>32.6</v>
      </c>
      <c r="H4867" s="33">
        <v>9</v>
      </c>
      <c r="I4867" s="41">
        <v>3</v>
      </c>
      <c r="J4867" s="10">
        <v>0.88020000000000009</v>
      </c>
      <c r="K4867" s="17">
        <v>3</v>
      </c>
      <c r="L4867" s="18">
        <v>0.88020000000000009</v>
      </c>
      <c r="M4867" s="19">
        <v>0</v>
      </c>
      <c r="N4867" s="13">
        <v>0</v>
      </c>
      <c r="O4867" s="79">
        <v>7.2</v>
      </c>
      <c r="P4867" s="72">
        <v>3</v>
      </c>
      <c r="Q4867" s="72" t="s">
        <v>673</v>
      </c>
    </row>
    <row r="4868" spans="1:18">
      <c r="A4868" s="45" t="s">
        <v>136</v>
      </c>
      <c r="B4868" s="32" t="s">
        <v>137</v>
      </c>
      <c r="C4868" s="3">
        <v>94</v>
      </c>
      <c r="D4868" s="20" t="s">
        <v>20</v>
      </c>
      <c r="E4868" s="7" t="s">
        <v>15</v>
      </c>
      <c r="F4868" s="7" t="s">
        <v>146</v>
      </c>
      <c r="G4868" s="32">
        <v>32.6</v>
      </c>
      <c r="H4868" s="33">
        <v>9.6999999999999993</v>
      </c>
      <c r="I4868" s="41">
        <v>1</v>
      </c>
      <c r="J4868" s="10">
        <v>0.31621999999999995</v>
      </c>
      <c r="K4868" s="17">
        <v>1</v>
      </c>
      <c r="L4868" s="18">
        <v>0.31621999999999995</v>
      </c>
      <c r="M4868" s="19">
        <v>0</v>
      </c>
      <c r="N4868" s="13">
        <v>0</v>
      </c>
      <c r="O4868" s="79">
        <v>7.2</v>
      </c>
      <c r="P4868" s="72">
        <v>1</v>
      </c>
      <c r="Q4868" s="72" t="s">
        <v>673</v>
      </c>
    </row>
    <row r="4869" spans="1:18">
      <c r="A4869" s="45" t="s">
        <v>136</v>
      </c>
      <c r="B4869" s="32" t="s">
        <v>137</v>
      </c>
      <c r="C4869" s="32">
        <v>100</v>
      </c>
      <c r="D4869" s="20" t="s">
        <v>20</v>
      </c>
      <c r="E4869" s="7" t="s">
        <v>15</v>
      </c>
      <c r="F4869" s="7" t="s">
        <v>146</v>
      </c>
      <c r="G4869" s="32">
        <v>32.6</v>
      </c>
      <c r="H4869" s="55">
        <v>8.1</v>
      </c>
      <c r="I4869" s="41">
        <v>3</v>
      </c>
      <c r="J4869" s="10">
        <v>0.79218000000000011</v>
      </c>
      <c r="K4869" s="17">
        <v>3</v>
      </c>
      <c r="L4869" s="18">
        <v>0.79218</v>
      </c>
      <c r="M4869" s="19">
        <v>0</v>
      </c>
      <c r="N4869" s="13">
        <v>0</v>
      </c>
      <c r="O4869" s="55"/>
      <c r="P4869" s="111"/>
      <c r="Q4869" s="32"/>
    </row>
    <row r="4870" spans="1:18">
      <c r="I4870" s="76">
        <f>SUM(I4858:I4869)</f>
        <v>18</v>
      </c>
      <c r="M4870" s="470">
        <f>SUM(M4864:M4869)</f>
        <v>0</v>
      </c>
      <c r="P4870" s="76">
        <f>SUM(P4858:P4869)</f>
        <v>14</v>
      </c>
    </row>
    <row r="4872" spans="1:18">
      <c r="A4872" s="110" t="s">
        <v>308</v>
      </c>
      <c r="B4872" s="111" t="s">
        <v>309</v>
      </c>
      <c r="C4872" s="112" t="s">
        <v>228</v>
      </c>
      <c r="D4872" s="118" t="s">
        <v>17</v>
      </c>
      <c r="E4872" s="175" t="s">
        <v>15</v>
      </c>
      <c r="F4872" s="175" t="s">
        <v>54</v>
      </c>
      <c r="G4872" s="176">
        <v>31.6</v>
      </c>
      <c r="H4872" s="177">
        <v>10</v>
      </c>
      <c r="I4872" s="178">
        <v>6</v>
      </c>
      <c r="J4872" s="174">
        <f t="shared" ref="J4872:J4876" si="627">(G4872*H4872*I4872/1000)</f>
        <v>1.8959999999999999</v>
      </c>
      <c r="K4872" s="118"/>
      <c r="L4872" s="111">
        <v>6</v>
      </c>
      <c r="M4872" s="117">
        <f t="shared" ref="M4872:M4876" si="628">H4872*L4872*G4872/1000</f>
        <v>1.8959999999999999</v>
      </c>
      <c r="N4872" s="119">
        <f t="shared" ref="N4872:N4876" si="629">I4872-L4872</f>
        <v>0</v>
      </c>
      <c r="O4872" s="120">
        <f t="shared" ref="O4872:O4876" si="630">H4872*N4872*G4872/1000</f>
        <v>0</v>
      </c>
      <c r="P4872" s="111"/>
      <c r="Q4872" s="111"/>
      <c r="R4872" s="111"/>
    </row>
    <row r="4873" spans="1:18">
      <c r="A4873" s="110" t="s">
        <v>308</v>
      </c>
      <c r="B4873" s="111" t="s">
        <v>309</v>
      </c>
      <c r="C4873" s="112" t="s">
        <v>228</v>
      </c>
      <c r="D4873" s="118" t="s">
        <v>17</v>
      </c>
      <c r="E4873" s="175" t="s">
        <v>15</v>
      </c>
      <c r="F4873" s="175" t="s">
        <v>54</v>
      </c>
      <c r="G4873" s="176">
        <v>31.6</v>
      </c>
      <c r="H4873" s="177">
        <v>10.5</v>
      </c>
      <c r="I4873" s="178">
        <v>8</v>
      </c>
      <c r="J4873" s="174">
        <f t="shared" si="627"/>
        <v>2.6543999999999999</v>
      </c>
      <c r="K4873" s="118"/>
      <c r="L4873" s="111">
        <v>8</v>
      </c>
      <c r="M4873" s="117">
        <f t="shared" si="628"/>
        <v>2.6543999999999999</v>
      </c>
      <c r="N4873" s="119">
        <f t="shared" si="629"/>
        <v>0</v>
      </c>
      <c r="O4873" s="120">
        <f t="shared" si="630"/>
        <v>0</v>
      </c>
      <c r="P4873" s="111"/>
      <c r="Q4873" s="111"/>
      <c r="R4873" s="111"/>
    </row>
    <row r="4874" spans="1:18">
      <c r="A4874" s="110" t="s">
        <v>308</v>
      </c>
      <c r="B4874" s="111" t="s">
        <v>309</v>
      </c>
      <c r="C4874" s="112" t="s">
        <v>228</v>
      </c>
      <c r="D4874" s="118" t="s">
        <v>17</v>
      </c>
      <c r="E4874" s="175" t="s">
        <v>15</v>
      </c>
      <c r="F4874" s="175" t="s">
        <v>54</v>
      </c>
      <c r="G4874" s="176">
        <v>31.6</v>
      </c>
      <c r="H4874" s="177">
        <v>9.6</v>
      </c>
      <c r="I4874" s="178">
        <v>1</v>
      </c>
      <c r="J4874" s="174">
        <f t="shared" si="627"/>
        <v>0.30336000000000002</v>
      </c>
      <c r="K4874" s="118"/>
      <c r="L4874" s="111">
        <v>1</v>
      </c>
      <c r="M4874" s="117">
        <f t="shared" si="628"/>
        <v>0.30336000000000002</v>
      </c>
      <c r="N4874" s="119">
        <f t="shared" si="629"/>
        <v>0</v>
      </c>
      <c r="O4874" s="120">
        <f t="shared" si="630"/>
        <v>0</v>
      </c>
      <c r="P4874" s="111"/>
      <c r="Q4874" s="111"/>
      <c r="R4874" s="111"/>
    </row>
    <row r="4875" spans="1:18">
      <c r="A4875" s="110" t="s">
        <v>308</v>
      </c>
      <c r="B4875" s="111" t="s">
        <v>309</v>
      </c>
      <c r="C4875" s="112" t="s">
        <v>228</v>
      </c>
      <c r="D4875" s="118" t="s">
        <v>17</v>
      </c>
      <c r="E4875" s="175" t="s">
        <v>15</v>
      </c>
      <c r="F4875" s="175" t="s">
        <v>54</v>
      </c>
      <c r="G4875" s="176">
        <v>31.6</v>
      </c>
      <c r="H4875" s="177">
        <v>10.5</v>
      </c>
      <c r="I4875" s="178">
        <v>2</v>
      </c>
      <c r="J4875" s="174">
        <f t="shared" si="627"/>
        <v>0.66359999999999997</v>
      </c>
      <c r="K4875" s="118"/>
      <c r="L4875" s="111">
        <v>2</v>
      </c>
      <c r="M4875" s="117">
        <f t="shared" si="628"/>
        <v>0.66359999999999997</v>
      </c>
      <c r="N4875" s="119">
        <f t="shared" si="629"/>
        <v>0</v>
      </c>
      <c r="O4875" s="120">
        <f t="shared" si="630"/>
        <v>0</v>
      </c>
      <c r="P4875" s="111"/>
      <c r="Q4875" s="111"/>
      <c r="R4875" s="111"/>
    </row>
    <row r="4876" spans="1:18">
      <c r="A4876" s="110" t="s">
        <v>308</v>
      </c>
      <c r="B4876" s="111" t="s">
        <v>309</v>
      </c>
      <c r="C4876" s="112" t="s">
        <v>228</v>
      </c>
      <c r="D4876" s="118" t="s">
        <v>17</v>
      </c>
      <c r="E4876" s="175" t="s">
        <v>15</v>
      </c>
      <c r="F4876" s="175" t="s">
        <v>54</v>
      </c>
      <c r="G4876" s="176">
        <v>31.6</v>
      </c>
      <c r="H4876" s="177">
        <v>10</v>
      </c>
      <c r="I4876" s="178">
        <v>1</v>
      </c>
      <c r="J4876" s="174">
        <f t="shared" si="627"/>
        <v>0.316</v>
      </c>
      <c r="K4876" s="118"/>
      <c r="L4876" s="111">
        <v>1</v>
      </c>
      <c r="M4876" s="117">
        <f t="shared" si="628"/>
        <v>0.316</v>
      </c>
      <c r="N4876" s="119">
        <f t="shared" si="629"/>
        <v>0</v>
      </c>
      <c r="O4876" s="120">
        <f t="shared" si="630"/>
        <v>0</v>
      </c>
      <c r="P4876" s="79">
        <v>7.2</v>
      </c>
      <c r="Q4876" s="72">
        <v>1</v>
      </c>
      <c r="R4876" s="72" t="s">
        <v>673</v>
      </c>
    </row>
    <row r="4877" spans="1:18">
      <c r="A4877" s="213"/>
      <c r="B4877" s="213"/>
      <c r="C4877" s="213"/>
      <c r="D4877" s="213"/>
      <c r="E4877" s="213"/>
      <c r="F4877" s="213"/>
      <c r="G4877" s="213"/>
      <c r="H4877" s="213"/>
      <c r="I4877" s="78">
        <f>SUM(I4872:I4876)</f>
        <v>18</v>
      </c>
      <c r="J4877" s="214">
        <f>SUM(J4872:J4876)</f>
        <v>5.833359999999999</v>
      </c>
      <c r="K4877" s="213"/>
      <c r="L4877" s="80">
        <f>SUM(L4872:L4876)</f>
        <v>18</v>
      </c>
      <c r="M4877" s="214">
        <f>SUM(M4872:M4876)</f>
        <v>5.833359999999999</v>
      </c>
      <c r="N4877" s="78">
        <f>SUM(N4872:N4876)</f>
        <v>0</v>
      </c>
      <c r="O4877" s="128">
        <f>SUM(O4872:O4876)</f>
        <v>0</v>
      </c>
      <c r="P4877" s="213"/>
      <c r="Q4877" s="78">
        <f>SUM(Q4872:Q4876)</f>
        <v>1</v>
      </c>
      <c r="R4877" s="213"/>
    </row>
    <row r="4879" spans="1:18">
      <c r="A4879" s="42" t="s">
        <v>77</v>
      </c>
      <c r="B4879" s="3" t="s">
        <v>68</v>
      </c>
      <c r="C4879" s="3">
        <v>186</v>
      </c>
      <c r="D4879" s="20" t="s">
        <v>63</v>
      </c>
      <c r="E4879" s="7" t="s">
        <v>15</v>
      </c>
      <c r="F4879" s="7" t="s">
        <v>58</v>
      </c>
      <c r="G4879" s="11">
        <v>27.29</v>
      </c>
      <c r="H4879" s="8">
        <v>5.8</v>
      </c>
      <c r="I4879" s="26">
        <v>1</v>
      </c>
      <c r="J4879" s="10">
        <v>0.15828199999999998</v>
      </c>
      <c r="K4879" s="17"/>
      <c r="L4879" s="18">
        <v>0</v>
      </c>
      <c r="M4879" s="19">
        <v>1</v>
      </c>
      <c r="N4879" s="13">
        <v>0.15828199999999998</v>
      </c>
      <c r="O4879" s="9"/>
      <c r="P4879" s="2"/>
      <c r="Q4879" s="2"/>
    </row>
    <row r="4880" spans="1:18">
      <c r="A4880" s="42" t="s">
        <v>77</v>
      </c>
      <c r="B4880" s="3" t="s">
        <v>68</v>
      </c>
      <c r="C4880" s="3">
        <v>186</v>
      </c>
      <c r="D4880" s="20" t="s">
        <v>63</v>
      </c>
      <c r="E4880" s="7" t="s">
        <v>15</v>
      </c>
      <c r="F4880" s="7" t="s">
        <v>58</v>
      </c>
      <c r="G4880" s="11">
        <v>27.29</v>
      </c>
      <c r="H4880" s="8">
        <v>6</v>
      </c>
      <c r="I4880" s="26">
        <v>1</v>
      </c>
      <c r="J4880" s="10">
        <v>0.16374</v>
      </c>
      <c r="K4880" s="17"/>
      <c r="L4880" s="18">
        <v>0</v>
      </c>
      <c r="M4880" s="19">
        <v>1</v>
      </c>
      <c r="N4880" s="13">
        <v>0.16374</v>
      </c>
      <c r="O4880" s="9"/>
      <c r="P4880" s="2"/>
      <c r="Q4880" s="2"/>
    </row>
    <row r="4881" spans="1:17">
      <c r="A4881" s="42" t="s">
        <v>77</v>
      </c>
      <c r="B4881" s="3" t="s">
        <v>68</v>
      </c>
      <c r="C4881" s="3">
        <v>219</v>
      </c>
      <c r="D4881" s="20" t="s">
        <v>63</v>
      </c>
      <c r="E4881" s="7" t="s">
        <v>15</v>
      </c>
      <c r="F4881" s="7" t="s">
        <v>58</v>
      </c>
      <c r="G4881" s="11">
        <v>27.29</v>
      </c>
      <c r="H4881" s="8">
        <v>6</v>
      </c>
      <c r="I4881" s="26">
        <v>2</v>
      </c>
      <c r="J4881" s="10">
        <v>0.32747999999999999</v>
      </c>
      <c r="K4881" s="17"/>
      <c r="L4881" s="18">
        <v>0</v>
      </c>
      <c r="M4881" s="19">
        <v>2</v>
      </c>
      <c r="N4881" s="13">
        <v>0.32747999999999999</v>
      </c>
      <c r="O4881" s="9"/>
      <c r="P4881" s="2"/>
      <c r="Q4881" s="2"/>
    </row>
    <row r="4882" spans="1:17">
      <c r="A4882" s="48" t="s">
        <v>179</v>
      </c>
      <c r="B4882" s="48" t="s">
        <v>180</v>
      </c>
      <c r="C4882" s="32"/>
      <c r="D4882" s="48" t="s">
        <v>152</v>
      </c>
      <c r="E4882" s="48" t="s">
        <v>15</v>
      </c>
      <c r="F4882" s="48" t="s">
        <v>58</v>
      </c>
      <c r="G4882" s="11">
        <v>27.29</v>
      </c>
      <c r="H4882" s="9">
        <v>6</v>
      </c>
      <c r="I4882" s="7">
        <v>2</v>
      </c>
      <c r="J4882" s="10">
        <v>0.32747999999999999</v>
      </c>
      <c r="K4882" s="32">
        <v>2</v>
      </c>
      <c r="L4882" s="18">
        <v>0.32747999999999999</v>
      </c>
      <c r="M4882" s="19">
        <v>0</v>
      </c>
      <c r="N4882" s="13">
        <v>0</v>
      </c>
      <c r="O4882" s="79">
        <v>6</v>
      </c>
      <c r="P4882" s="72">
        <v>2</v>
      </c>
      <c r="Q4882" s="72" t="s">
        <v>680</v>
      </c>
    </row>
    <row r="4883" spans="1:17">
      <c r="A4883" s="48" t="s">
        <v>179</v>
      </c>
      <c r="B4883" s="48" t="s">
        <v>169</v>
      </c>
      <c r="C4883" s="32"/>
      <c r="D4883" s="69" t="s">
        <v>152</v>
      </c>
      <c r="E4883" s="69" t="s">
        <v>15</v>
      </c>
      <c r="F4883" s="69" t="s">
        <v>58</v>
      </c>
      <c r="G4883" s="61">
        <v>27.29</v>
      </c>
      <c r="H4883" s="99">
        <v>6.6</v>
      </c>
      <c r="I4883" s="60">
        <v>1</v>
      </c>
      <c r="J4883" s="62">
        <v>0.18011399999999997</v>
      </c>
      <c r="K4883" s="67"/>
      <c r="L4883" s="63">
        <v>0</v>
      </c>
      <c r="M4883" s="64">
        <v>1</v>
      </c>
      <c r="N4883" s="65">
        <v>0.18011399999999997</v>
      </c>
      <c r="O4883" s="100"/>
      <c r="P4883" s="67"/>
      <c r="Q4883" s="67"/>
    </row>
    <row r="4884" spans="1:17">
      <c r="A4884" s="48" t="s">
        <v>179</v>
      </c>
      <c r="B4884" s="48" t="s">
        <v>169</v>
      </c>
      <c r="C4884" s="32"/>
      <c r="D4884" s="69" t="s">
        <v>152</v>
      </c>
      <c r="E4884" s="69" t="s">
        <v>15</v>
      </c>
      <c r="F4884" s="69" t="s">
        <v>58</v>
      </c>
      <c r="G4884" s="61">
        <v>27.29</v>
      </c>
      <c r="H4884" s="99">
        <v>6.8</v>
      </c>
      <c r="I4884" s="60">
        <v>1</v>
      </c>
      <c r="J4884" s="62">
        <v>0.18557200000000001</v>
      </c>
      <c r="K4884" s="67"/>
      <c r="L4884" s="63">
        <v>0</v>
      </c>
      <c r="M4884" s="64">
        <v>1</v>
      </c>
      <c r="N4884" s="65">
        <v>0.18557200000000001</v>
      </c>
      <c r="O4884" s="100"/>
      <c r="P4884" s="67"/>
      <c r="Q4884" s="67"/>
    </row>
    <row r="4885" spans="1:17">
      <c r="A4885" s="42" t="s">
        <v>84</v>
      </c>
      <c r="B4885" s="3" t="s">
        <v>124</v>
      </c>
      <c r="C4885" s="3">
        <v>1</v>
      </c>
      <c r="D4885" s="20" t="s">
        <v>679</v>
      </c>
      <c r="E4885" s="7" t="s">
        <v>15</v>
      </c>
      <c r="F4885" s="7" t="s">
        <v>58</v>
      </c>
      <c r="G4885" s="11">
        <v>27.29</v>
      </c>
      <c r="H4885" s="8">
        <v>5.9</v>
      </c>
      <c r="I4885" s="26">
        <v>2</v>
      </c>
      <c r="J4885" s="10">
        <v>0.32202199999999997</v>
      </c>
      <c r="K4885" s="17"/>
      <c r="L4885" s="18">
        <v>0</v>
      </c>
      <c r="M4885" s="19">
        <v>2</v>
      </c>
      <c r="N4885" s="13">
        <v>0.32202199999999997</v>
      </c>
      <c r="O4885" s="9"/>
      <c r="P4885" s="2"/>
      <c r="Q4885" s="2"/>
    </row>
    <row r="4886" spans="1:17">
      <c r="A4886" s="42" t="s">
        <v>84</v>
      </c>
      <c r="B4886" s="3" t="s">
        <v>124</v>
      </c>
      <c r="C4886" s="3">
        <v>1</v>
      </c>
      <c r="D4886" s="20" t="s">
        <v>679</v>
      </c>
      <c r="E4886" s="7" t="s">
        <v>15</v>
      </c>
      <c r="F4886" s="7" t="s">
        <v>58</v>
      </c>
      <c r="G4886" s="11">
        <v>27.29</v>
      </c>
      <c r="H4886" s="8">
        <v>6</v>
      </c>
      <c r="I4886" s="26">
        <v>1</v>
      </c>
      <c r="J4886" s="10">
        <v>0.16374</v>
      </c>
      <c r="K4886" s="17"/>
      <c r="L4886" s="18">
        <v>0</v>
      </c>
      <c r="M4886" s="19">
        <v>1</v>
      </c>
      <c r="N4886" s="13">
        <v>0.16374</v>
      </c>
      <c r="O4886" s="9"/>
      <c r="P4886" s="2"/>
      <c r="Q4886" s="2"/>
    </row>
    <row r="4887" spans="1:17">
      <c r="A4887" s="44" t="s">
        <v>78</v>
      </c>
      <c r="B4887" s="32" t="s">
        <v>80</v>
      </c>
      <c r="C4887" s="3">
        <v>1</v>
      </c>
      <c r="D4887" s="20" t="s">
        <v>91</v>
      </c>
      <c r="E4887" s="7" t="s">
        <v>15</v>
      </c>
      <c r="F4887" s="7" t="s">
        <v>58</v>
      </c>
      <c r="G4887" s="11">
        <v>27.29</v>
      </c>
      <c r="H4887" s="33">
        <v>11.2</v>
      </c>
      <c r="I4887" s="40">
        <v>1</v>
      </c>
      <c r="J4887" s="10">
        <v>0.30564799999999998</v>
      </c>
      <c r="K4887" s="17">
        <v>1</v>
      </c>
      <c r="L4887" s="18">
        <v>0.30564799999999998</v>
      </c>
      <c r="M4887" s="19">
        <v>0</v>
      </c>
      <c r="N4887" s="13">
        <v>0</v>
      </c>
      <c r="O4887" s="75">
        <v>8.9</v>
      </c>
      <c r="P4887" s="72">
        <v>1</v>
      </c>
      <c r="Q4887" s="72" t="s">
        <v>672</v>
      </c>
    </row>
    <row r="4888" spans="1:17">
      <c r="A4888" s="44" t="s">
        <v>78</v>
      </c>
      <c r="B4888" s="32" t="s">
        <v>80</v>
      </c>
      <c r="C4888" s="3">
        <v>1</v>
      </c>
      <c r="D4888" s="20" t="s">
        <v>91</v>
      </c>
      <c r="E4888" s="7" t="s">
        <v>15</v>
      </c>
      <c r="F4888" s="7" t="s">
        <v>58</v>
      </c>
      <c r="G4888" s="11">
        <v>27.29</v>
      </c>
      <c r="H4888" s="33">
        <v>9.1999999999999993</v>
      </c>
      <c r="I4888" s="40">
        <v>3</v>
      </c>
      <c r="J4888" s="10">
        <v>0.75320399999999998</v>
      </c>
      <c r="K4888" s="17">
        <v>3</v>
      </c>
      <c r="L4888" s="18">
        <v>0.75320399999999998</v>
      </c>
      <c r="M4888" s="19">
        <v>0</v>
      </c>
      <c r="N4888" s="13">
        <v>0</v>
      </c>
      <c r="O4888" s="75">
        <v>8.9</v>
      </c>
      <c r="P4888" s="72">
        <v>3</v>
      </c>
      <c r="Q4888" s="72" t="s">
        <v>672</v>
      </c>
    </row>
    <row r="4889" spans="1:17">
      <c r="A4889" s="45" t="s">
        <v>136</v>
      </c>
      <c r="B4889" s="32" t="s">
        <v>137</v>
      </c>
      <c r="C4889" s="3">
        <v>1</v>
      </c>
      <c r="D4889" s="20" t="s">
        <v>88</v>
      </c>
      <c r="E4889" s="7" t="s">
        <v>15</v>
      </c>
      <c r="F4889" s="7" t="s">
        <v>58</v>
      </c>
      <c r="G4889" s="11">
        <v>27.29</v>
      </c>
      <c r="H4889" s="33">
        <v>6</v>
      </c>
      <c r="I4889" s="40">
        <v>1</v>
      </c>
      <c r="J4889" s="10">
        <v>0.16374</v>
      </c>
      <c r="K4889" s="17"/>
      <c r="L4889" s="18">
        <v>0</v>
      </c>
      <c r="M4889" s="19">
        <v>1</v>
      </c>
      <c r="N4889" s="13">
        <v>0.16374</v>
      </c>
      <c r="O4889" s="33"/>
      <c r="P4889" s="32"/>
      <c r="Q4889" s="32"/>
    </row>
    <row r="4890" spans="1:17">
      <c r="A4890" s="45" t="s">
        <v>136</v>
      </c>
      <c r="B4890" s="32" t="s">
        <v>137</v>
      </c>
      <c r="C4890" s="3">
        <v>9</v>
      </c>
      <c r="D4890" s="20" t="s">
        <v>106</v>
      </c>
      <c r="E4890" s="7" t="s">
        <v>15</v>
      </c>
      <c r="F4890" s="7" t="s">
        <v>58</v>
      </c>
      <c r="G4890" s="11">
        <v>27.29</v>
      </c>
      <c r="H4890" s="33">
        <v>6</v>
      </c>
      <c r="I4890" s="40">
        <v>1</v>
      </c>
      <c r="J4890" s="10">
        <v>0.16374</v>
      </c>
      <c r="K4890" s="17">
        <v>1</v>
      </c>
      <c r="L4890" s="18">
        <v>0.16374</v>
      </c>
      <c r="M4890" s="19">
        <v>0</v>
      </c>
      <c r="N4890" s="13">
        <v>0</v>
      </c>
      <c r="O4890" s="81">
        <v>6</v>
      </c>
      <c r="P4890" s="74">
        <v>1</v>
      </c>
      <c r="Q4890" s="74" t="s">
        <v>678</v>
      </c>
    </row>
    <row r="4891" spans="1:17">
      <c r="A4891" s="45" t="s">
        <v>136</v>
      </c>
      <c r="B4891" s="32" t="s">
        <v>137</v>
      </c>
      <c r="C4891" s="3">
        <v>9</v>
      </c>
      <c r="D4891" s="20" t="s">
        <v>106</v>
      </c>
      <c r="E4891" s="7" t="s">
        <v>15</v>
      </c>
      <c r="F4891" s="7" t="s">
        <v>58</v>
      </c>
      <c r="G4891" s="11">
        <v>27.29</v>
      </c>
      <c r="H4891" s="33">
        <v>6.5</v>
      </c>
      <c r="I4891" s="40">
        <v>1</v>
      </c>
      <c r="J4891" s="10">
        <v>0.17738499999999999</v>
      </c>
      <c r="K4891" s="17">
        <v>1</v>
      </c>
      <c r="L4891" s="18">
        <v>0.17738499999999999</v>
      </c>
      <c r="M4891" s="19">
        <v>0</v>
      </c>
      <c r="N4891" s="13">
        <v>0</v>
      </c>
      <c r="O4891" s="75">
        <v>6.3</v>
      </c>
      <c r="P4891" s="72">
        <v>1</v>
      </c>
      <c r="Q4891" s="72" t="s">
        <v>672</v>
      </c>
    </row>
    <row r="4892" spans="1:17">
      <c r="A4892" s="45" t="s">
        <v>136</v>
      </c>
      <c r="B4892" s="32" t="s">
        <v>137</v>
      </c>
      <c r="C4892" s="3">
        <v>28</v>
      </c>
      <c r="D4892" s="20" t="s">
        <v>20</v>
      </c>
      <c r="E4892" s="7" t="s">
        <v>15</v>
      </c>
      <c r="F4892" s="7" t="s">
        <v>58</v>
      </c>
      <c r="G4892" s="11">
        <v>27.29</v>
      </c>
      <c r="H4892" s="55">
        <v>6</v>
      </c>
      <c r="I4892" s="40">
        <v>2</v>
      </c>
      <c r="J4892" s="10">
        <v>0.32747999999999999</v>
      </c>
      <c r="K4892" s="17"/>
      <c r="L4892" s="18">
        <v>0</v>
      </c>
      <c r="M4892" s="19">
        <v>2</v>
      </c>
      <c r="N4892" s="13">
        <v>0.32747999999999999</v>
      </c>
      <c r="O4892" s="55"/>
      <c r="P4892" s="32"/>
      <c r="Q4892" s="32"/>
    </row>
    <row r="4893" spans="1:17">
      <c r="A4893" s="45" t="s">
        <v>136</v>
      </c>
      <c r="B4893" s="32" t="s">
        <v>137</v>
      </c>
      <c r="C4893" s="3">
        <v>29</v>
      </c>
      <c r="D4893" s="20" t="s">
        <v>20</v>
      </c>
      <c r="E4893" s="7" t="s">
        <v>15</v>
      </c>
      <c r="F4893" s="7" t="s">
        <v>58</v>
      </c>
      <c r="G4893" s="11">
        <v>27.29</v>
      </c>
      <c r="H4893" s="55">
        <v>5.6</v>
      </c>
      <c r="I4893" s="40">
        <v>1</v>
      </c>
      <c r="J4893" s="10">
        <v>0.15282399999999999</v>
      </c>
      <c r="K4893" s="17"/>
      <c r="L4893" s="18">
        <v>0</v>
      </c>
      <c r="M4893" s="19">
        <v>1</v>
      </c>
      <c r="N4893" s="13">
        <v>0.15282399999999999</v>
      </c>
      <c r="O4893" s="55"/>
      <c r="P4893" s="32"/>
      <c r="Q4893" s="32"/>
    </row>
    <row r="4894" spans="1:17">
      <c r="A4894" s="45" t="s">
        <v>136</v>
      </c>
      <c r="B4894" s="32" t="s">
        <v>137</v>
      </c>
      <c r="C4894" s="3">
        <v>29</v>
      </c>
      <c r="D4894" s="20" t="s">
        <v>20</v>
      </c>
      <c r="E4894" s="7" t="s">
        <v>15</v>
      </c>
      <c r="F4894" s="7" t="s">
        <v>58</v>
      </c>
      <c r="G4894" s="11">
        <v>27.29</v>
      </c>
      <c r="H4894" s="55">
        <v>6</v>
      </c>
      <c r="I4894" s="40">
        <v>1</v>
      </c>
      <c r="J4894" s="10">
        <v>0.16374</v>
      </c>
      <c r="K4894" s="17"/>
      <c r="L4894" s="18">
        <v>0</v>
      </c>
      <c r="M4894" s="19">
        <v>1</v>
      </c>
      <c r="N4894" s="13">
        <v>0.16374</v>
      </c>
      <c r="O4894" s="55"/>
      <c r="P4894" s="32"/>
      <c r="Q4894" s="32"/>
    </row>
    <row r="4895" spans="1:17">
      <c r="A4895" s="45" t="s">
        <v>136</v>
      </c>
      <c r="B4895" s="32" t="s">
        <v>137</v>
      </c>
      <c r="C4895" s="3">
        <v>80</v>
      </c>
      <c r="D4895" s="20" t="s">
        <v>89</v>
      </c>
      <c r="E4895" s="7" t="s">
        <v>15</v>
      </c>
      <c r="F4895" s="7" t="s">
        <v>58</v>
      </c>
      <c r="G4895" s="11">
        <v>27.29</v>
      </c>
      <c r="H4895" s="55">
        <v>6</v>
      </c>
      <c r="I4895" s="40">
        <v>1</v>
      </c>
      <c r="J4895" s="10">
        <v>0.16374</v>
      </c>
      <c r="K4895" s="17"/>
      <c r="L4895" s="18">
        <v>0</v>
      </c>
      <c r="M4895" s="19">
        <v>1</v>
      </c>
      <c r="N4895" s="13">
        <v>0.16374</v>
      </c>
      <c r="O4895" s="55"/>
      <c r="P4895" s="32"/>
      <c r="Q4895" s="32"/>
    </row>
    <row r="4896" spans="1:17">
      <c r="A4896" s="45" t="s">
        <v>136</v>
      </c>
      <c r="B4896" s="32" t="s">
        <v>137</v>
      </c>
      <c r="C4896" s="3">
        <v>80</v>
      </c>
      <c r="D4896" s="20" t="s">
        <v>89</v>
      </c>
      <c r="E4896" s="7" t="s">
        <v>15</v>
      </c>
      <c r="F4896" s="7" t="s">
        <v>58</v>
      </c>
      <c r="G4896" s="11">
        <v>27.29</v>
      </c>
      <c r="H4896" s="55">
        <v>6.2</v>
      </c>
      <c r="I4896" s="40">
        <v>1</v>
      </c>
      <c r="J4896" s="10">
        <v>0.16919800000000002</v>
      </c>
      <c r="K4896" s="17"/>
      <c r="L4896" s="18">
        <v>0</v>
      </c>
      <c r="M4896" s="19">
        <v>1</v>
      </c>
      <c r="N4896" s="13">
        <v>0.16919800000000002</v>
      </c>
      <c r="O4896" s="55"/>
      <c r="P4896" s="32"/>
      <c r="Q4896" s="32"/>
    </row>
    <row r="4897" spans="1:17">
      <c r="A4897" s="45" t="s">
        <v>136</v>
      </c>
      <c r="B4897" s="48" t="s">
        <v>171</v>
      </c>
      <c r="C4897" s="32">
        <v>121</v>
      </c>
      <c r="D4897" s="48" t="s">
        <v>106</v>
      </c>
      <c r="E4897" s="48" t="s">
        <v>15</v>
      </c>
      <c r="F4897" s="48" t="s">
        <v>58</v>
      </c>
      <c r="G4897" s="11">
        <v>27.29</v>
      </c>
      <c r="H4897" s="8">
        <v>5.8</v>
      </c>
      <c r="I4897" s="7">
        <v>1</v>
      </c>
      <c r="J4897" s="10">
        <v>0.15828199999999998</v>
      </c>
      <c r="K4897" s="32"/>
      <c r="L4897" s="18">
        <v>0</v>
      </c>
      <c r="M4897" s="19">
        <v>1</v>
      </c>
      <c r="N4897" s="13">
        <v>0.15828199999999998</v>
      </c>
      <c r="O4897" s="32"/>
      <c r="P4897" s="32"/>
      <c r="Q4897" s="32"/>
    </row>
    <row r="4898" spans="1:17">
      <c r="A4898" s="45" t="s">
        <v>136</v>
      </c>
      <c r="B4898" s="48" t="s">
        <v>171</v>
      </c>
      <c r="C4898" s="32">
        <v>121</v>
      </c>
      <c r="D4898" s="48" t="s">
        <v>106</v>
      </c>
      <c r="E4898" s="48" t="s">
        <v>15</v>
      </c>
      <c r="F4898" s="48" t="s">
        <v>58</v>
      </c>
      <c r="G4898" s="11">
        <v>27.29</v>
      </c>
      <c r="H4898" s="8">
        <v>5.9</v>
      </c>
      <c r="I4898" s="7">
        <v>1</v>
      </c>
      <c r="J4898" s="10">
        <v>0.16101099999999999</v>
      </c>
      <c r="K4898" s="32"/>
      <c r="L4898" s="18">
        <v>0</v>
      </c>
      <c r="M4898" s="19">
        <v>1</v>
      </c>
      <c r="N4898" s="13">
        <v>0.16101099999999999</v>
      </c>
      <c r="O4898" s="32"/>
      <c r="P4898" s="32"/>
      <c r="Q4898" s="32"/>
    </row>
    <row r="4899" spans="1:17">
      <c r="M4899" s="215">
        <f>SUM(M4879:M4898)</f>
        <v>18</v>
      </c>
      <c r="P4899" s="215">
        <f>SUM(P4879:P4898)</f>
        <v>8</v>
      </c>
    </row>
    <row r="4902" spans="1:17">
      <c r="A4902" s="42" t="s">
        <v>77</v>
      </c>
      <c r="B4902" s="3" t="s">
        <v>68</v>
      </c>
      <c r="C4902" s="3">
        <v>140</v>
      </c>
      <c r="D4902" s="24" t="s">
        <v>20</v>
      </c>
      <c r="E4902" s="60" t="s">
        <v>15</v>
      </c>
      <c r="F4902" s="60" t="s">
        <v>60</v>
      </c>
      <c r="G4902" s="61">
        <v>22.93</v>
      </c>
      <c r="H4902" s="21">
        <v>4.7</v>
      </c>
      <c r="I4902" s="22">
        <v>1</v>
      </c>
      <c r="J4902" s="62">
        <v>0.10777100000000001</v>
      </c>
      <c r="K4902" s="22"/>
      <c r="L4902" s="63">
        <v>0</v>
      </c>
      <c r="M4902" s="64">
        <v>1</v>
      </c>
      <c r="N4902" s="65">
        <v>0.10777100000000001</v>
      </c>
      <c r="O4902" s="9"/>
      <c r="P4902" s="2"/>
      <c r="Q4902" s="2"/>
    </row>
    <row r="4903" spans="1:17">
      <c r="A4903" s="42" t="s">
        <v>77</v>
      </c>
      <c r="B4903" s="3" t="s">
        <v>68</v>
      </c>
      <c r="C4903" s="3">
        <v>140</v>
      </c>
      <c r="D4903" s="24" t="s">
        <v>20</v>
      </c>
      <c r="E4903" s="60" t="s">
        <v>15</v>
      </c>
      <c r="F4903" s="60" t="s">
        <v>60</v>
      </c>
      <c r="G4903" s="61">
        <v>22.93</v>
      </c>
      <c r="H4903" s="21">
        <v>7.3</v>
      </c>
      <c r="I4903" s="22">
        <v>1</v>
      </c>
      <c r="J4903" s="62">
        <v>0.16738899999999998</v>
      </c>
      <c r="K4903" s="22"/>
      <c r="L4903" s="63">
        <v>0</v>
      </c>
      <c r="M4903" s="64">
        <v>1</v>
      </c>
      <c r="N4903" s="65">
        <v>0.16738899999999998</v>
      </c>
      <c r="O4903" s="9"/>
      <c r="P4903" s="2"/>
      <c r="Q4903" s="2"/>
    </row>
    <row r="4904" spans="1:17">
      <c r="A4904" s="42" t="s">
        <v>77</v>
      </c>
      <c r="B4904" s="3" t="s">
        <v>68</v>
      </c>
      <c r="C4904" s="3">
        <v>193</v>
      </c>
      <c r="D4904" s="12" t="s">
        <v>20</v>
      </c>
      <c r="E4904" s="7" t="s">
        <v>15</v>
      </c>
      <c r="F4904" s="7" t="s">
        <v>60</v>
      </c>
      <c r="G4904" s="11">
        <v>22.93</v>
      </c>
      <c r="H4904" s="8">
        <v>6.6</v>
      </c>
      <c r="I4904" s="26">
        <v>1</v>
      </c>
      <c r="J4904" s="10">
        <v>0.151338</v>
      </c>
      <c r="K4904" s="17">
        <v>1</v>
      </c>
      <c r="L4904" s="18">
        <v>0.151338</v>
      </c>
      <c r="M4904" s="19">
        <v>0</v>
      </c>
      <c r="N4904" s="13">
        <v>0</v>
      </c>
      <c r="O4904" s="9"/>
      <c r="P4904" s="2"/>
      <c r="Q4904" s="2"/>
    </row>
    <row r="4905" spans="1:17">
      <c r="A4905" s="42" t="s">
        <v>77</v>
      </c>
      <c r="B4905" s="3" t="s">
        <v>68</v>
      </c>
      <c r="C4905" s="3">
        <v>214</v>
      </c>
      <c r="D4905" s="20" t="s">
        <v>51</v>
      </c>
      <c r="E4905" s="7" t="s">
        <v>15</v>
      </c>
      <c r="F4905" s="7" t="s">
        <v>60</v>
      </c>
      <c r="G4905" s="11">
        <v>22.93</v>
      </c>
      <c r="H4905" s="8">
        <v>7.9</v>
      </c>
      <c r="I4905" s="26">
        <v>3</v>
      </c>
      <c r="J4905" s="10">
        <v>0.54344100000000006</v>
      </c>
      <c r="K4905" s="17">
        <v>3</v>
      </c>
      <c r="L4905" s="18">
        <v>0.54344100000000006</v>
      </c>
      <c r="M4905" s="19">
        <v>0</v>
      </c>
      <c r="N4905" s="13">
        <v>0</v>
      </c>
      <c r="O4905" s="89">
        <v>6</v>
      </c>
      <c r="P4905" s="90">
        <v>3</v>
      </c>
      <c r="Q4905" s="90" t="s">
        <v>681</v>
      </c>
    </row>
    <row r="4906" spans="1:17">
      <c r="A4906" s="42" t="s">
        <v>77</v>
      </c>
      <c r="B4906" s="3" t="s">
        <v>68</v>
      </c>
      <c r="C4906" s="3">
        <v>221</v>
      </c>
      <c r="D4906" s="20" t="s">
        <v>63</v>
      </c>
      <c r="E4906" s="7" t="s">
        <v>15</v>
      </c>
      <c r="F4906" s="7" t="s">
        <v>60</v>
      </c>
      <c r="G4906" s="11">
        <v>22.93</v>
      </c>
      <c r="H4906" s="8">
        <v>6.4</v>
      </c>
      <c r="I4906" s="26">
        <v>1</v>
      </c>
      <c r="J4906" s="10">
        <v>0.14675200000000002</v>
      </c>
      <c r="K4906" s="17">
        <v>1</v>
      </c>
      <c r="L4906" s="18">
        <v>0.14675200000000002</v>
      </c>
      <c r="M4906" s="19">
        <v>0</v>
      </c>
      <c r="N4906" s="13">
        <v>0</v>
      </c>
      <c r="O4906" s="9"/>
      <c r="P4906" s="2"/>
      <c r="Q4906" s="2"/>
    </row>
    <row r="4907" spans="1:17">
      <c r="A4907" s="42" t="s">
        <v>77</v>
      </c>
      <c r="B4907" s="3" t="s">
        <v>68</v>
      </c>
      <c r="C4907" s="3">
        <v>221</v>
      </c>
      <c r="D4907" s="20" t="s">
        <v>63</v>
      </c>
      <c r="E4907" s="7" t="s">
        <v>15</v>
      </c>
      <c r="F4907" s="7" t="s">
        <v>60</v>
      </c>
      <c r="G4907" s="11">
        <v>22.93</v>
      </c>
      <c r="H4907" s="8">
        <v>7</v>
      </c>
      <c r="I4907" s="26">
        <v>2</v>
      </c>
      <c r="J4907" s="10">
        <v>0.32101999999999997</v>
      </c>
      <c r="K4907" s="17">
        <v>2</v>
      </c>
      <c r="L4907" s="18">
        <v>0.32101999999999997</v>
      </c>
      <c r="M4907" s="19">
        <v>0</v>
      </c>
      <c r="N4907" s="13">
        <v>0</v>
      </c>
      <c r="O4907" s="9"/>
      <c r="P4907" s="2"/>
      <c r="Q4907" s="2"/>
    </row>
    <row r="4908" spans="1:17">
      <c r="A4908" s="42" t="s">
        <v>77</v>
      </c>
      <c r="B4908" s="3" t="s">
        <v>68</v>
      </c>
      <c r="C4908" s="3">
        <v>221</v>
      </c>
      <c r="D4908" s="20" t="s">
        <v>63</v>
      </c>
      <c r="E4908" s="7" t="s">
        <v>15</v>
      </c>
      <c r="F4908" s="7" t="s">
        <v>60</v>
      </c>
      <c r="G4908" s="11">
        <v>22.93</v>
      </c>
      <c r="H4908" s="21">
        <v>8.6999999999999993</v>
      </c>
      <c r="I4908" s="26">
        <v>2</v>
      </c>
      <c r="J4908" s="10">
        <v>0.39898199999999995</v>
      </c>
      <c r="K4908" s="17">
        <v>2</v>
      </c>
      <c r="L4908" s="18">
        <v>0.39898199999999995</v>
      </c>
      <c r="M4908" s="19">
        <v>0</v>
      </c>
      <c r="N4908" s="13">
        <v>0</v>
      </c>
      <c r="O4908" s="9"/>
      <c r="P4908" s="2"/>
      <c r="Q4908" s="2"/>
    </row>
    <row r="4909" spans="1:17">
      <c r="A4909" s="42" t="s">
        <v>77</v>
      </c>
      <c r="B4909" s="3" t="s">
        <v>68</v>
      </c>
      <c r="C4909" s="3">
        <v>221</v>
      </c>
      <c r="D4909" s="20" t="s">
        <v>63</v>
      </c>
      <c r="E4909" s="7" t="s">
        <v>15</v>
      </c>
      <c r="F4909" s="7" t="s">
        <v>60</v>
      </c>
      <c r="G4909" s="11">
        <v>22.93</v>
      </c>
      <c r="H4909" s="8">
        <v>9</v>
      </c>
      <c r="I4909" s="26">
        <v>1</v>
      </c>
      <c r="J4909" s="10">
        <v>0.20637</v>
      </c>
      <c r="K4909" s="17">
        <v>1</v>
      </c>
      <c r="L4909" s="18">
        <v>0.20637</v>
      </c>
      <c r="M4909" s="19">
        <v>0</v>
      </c>
      <c r="N4909" s="13">
        <v>0</v>
      </c>
      <c r="O4909" s="9"/>
      <c r="P4909" s="2"/>
      <c r="Q4909" s="2"/>
    </row>
    <row r="4910" spans="1:17">
      <c r="A4910" s="42" t="s">
        <v>77</v>
      </c>
      <c r="B4910" s="3" t="s">
        <v>68</v>
      </c>
      <c r="C4910" s="3">
        <v>221</v>
      </c>
      <c r="D4910" s="20" t="s">
        <v>63</v>
      </c>
      <c r="E4910" s="7" t="s">
        <v>15</v>
      </c>
      <c r="F4910" s="7" t="s">
        <v>60</v>
      </c>
      <c r="G4910" s="11">
        <v>22.93</v>
      </c>
      <c r="H4910" s="8">
        <v>10.5</v>
      </c>
      <c r="I4910" s="26">
        <v>1</v>
      </c>
      <c r="J4910" s="10">
        <v>0.24076499999999998</v>
      </c>
      <c r="K4910" s="17">
        <v>1</v>
      </c>
      <c r="L4910" s="18">
        <v>0.24076499999999998</v>
      </c>
      <c r="M4910" s="19">
        <v>0</v>
      </c>
      <c r="N4910" s="13">
        <v>0</v>
      </c>
      <c r="O4910" s="9"/>
      <c r="P4910" s="2"/>
      <c r="Q4910" s="2"/>
    </row>
    <row r="4911" spans="1:17">
      <c r="A4911" s="42" t="s">
        <v>77</v>
      </c>
      <c r="B4911" s="3" t="s">
        <v>68</v>
      </c>
      <c r="C4911" s="3">
        <v>234</v>
      </c>
      <c r="D4911" s="20" t="s">
        <v>17</v>
      </c>
      <c r="E4911" s="7" t="s">
        <v>15</v>
      </c>
      <c r="F4911" s="7" t="s">
        <v>60</v>
      </c>
      <c r="G4911" s="11">
        <v>22.93</v>
      </c>
      <c r="H4911" s="8">
        <v>6</v>
      </c>
      <c r="I4911" s="26">
        <v>1</v>
      </c>
      <c r="J4911" s="10">
        <v>0.13757999999999998</v>
      </c>
      <c r="K4911" s="17">
        <v>1</v>
      </c>
      <c r="L4911" s="18">
        <v>0.13757999999999998</v>
      </c>
      <c r="M4911" s="106">
        <v>0</v>
      </c>
      <c r="N4911" s="13">
        <v>0</v>
      </c>
      <c r="O4911" s="89">
        <v>6</v>
      </c>
      <c r="P4911" s="90">
        <v>1</v>
      </c>
      <c r="Q4911" s="90" t="s">
        <v>682</v>
      </c>
    </row>
    <row r="4912" spans="1:17">
      <c r="A4912" s="42" t="s">
        <v>77</v>
      </c>
      <c r="B4912" s="3" t="s">
        <v>68</v>
      </c>
      <c r="C4912" s="3">
        <v>234</v>
      </c>
      <c r="D4912" s="20" t="s">
        <v>17</v>
      </c>
      <c r="E4912" s="7" t="s">
        <v>15</v>
      </c>
      <c r="F4912" s="7" t="s">
        <v>60</v>
      </c>
      <c r="G4912" s="11">
        <v>22.93</v>
      </c>
      <c r="H4912" s="8">
        <v>6.9</v>
      </c>
      <c r="I4912" s="26">
        <v>1</v>
      </c>
      <c r="J4912" s="10">
        <v>0.15821700000000002</v>
      </c>
      <c r="K4912" s="17">
        <v>1</v>
      </c>
      <c r="L4912" s="18">
        <v>0.15821700000000002</v>
      </c>
      <c r="M4912" s="106">
        <v>0</v>
      </c>
      <c r="N4912" s="13">
        <v>0</v>
      </c>
      <c r="O4912" s="89">
        <v>6.9</v>
      </c>
      <c r="P4912" s="90">
        <v>1</v>
      </c>
      <c r="Q4912" s="90" t="s">
        <v>682</v>
      </c>
    </row>
    <row r="4913" spans="1:17">
      <c r="A4913" s="42" t="s">
        <v>77</v>
      </c>
      <c r="B4913" s="3" t="s">
        <v>68</v>
      </c>
      <c r="C4913" s="3">
        <v>234</v>
      </c>
      <c r="D4913" s="20" t="s">
        <v>17</v>
      </c>
      <c r="E4913" s="7" t="s">
        <v>15</v>
      </c>
      <c r="F4913" s="7" t="s">
        <v>60</v>
      </c>
      <c r="G4913" s="11">
        <v>22.93</v>
      </c>
      <c r="H4913" s="8">
        <v>7.6</v>
      </c>
      <c r="I4913" s="26">
        <v>1</v>
      </c>
      <c r="J4913" s="10">
        <v>0.17426800000000001</v>
      </c>
      <c r="K4913" s="17">
        <v>1</v>
      </c>
      <c r="L4913" s="18">
        <v>0.17426800000000001</v>
      </c>
      <c r="M4913" s="19">
        <v>0</v>
      </c>
      <c r="N4913" s="13">
        <v>0</v>
      </c>
      <c r="O4913" s="9"/>
      <c r="P4913" s="2"/>
      <c r="Q4913" s="2"/>
    </row>
    <row r="4914" spans="1:17">
      <c r="A4914" s="42" t="s">
        <v>77</v>
      </c>
      <c r="B4914" s="3" t="s">
        <v>68</v>
      </c>
      <c r="C4914" s="3">
        <v>234</v>
      </c>
      <c r="D4914" s="20" t="s">
        <v>17</v>
      </c>
      <c r="E4914" s="7" t="s">
        <v>15</v>
      </c>
      <c r="F4914" s="7" t="s">
        <v>60</v>
      </c>
      <c r="G4914" s="11">
        <v>22.93</v>
      </c>
      <c r="H4914" s="8">
        <v>10</v>
      </c>
      <c r="I4914" s="26">
        <v>1</v>
      </c>
      <c r="J4914" s="10">
        <v>0.2293</v>
      </c>
      <c r="K4914" s="17">
        <v>1</v>
      </c>
      <c r="L4914" s="18">
        <v>0.2293</v>
      </c>
      <c r="M4914" s="19">
        <v>0</v>
      </c>
      <c r="N4914" s="13">
        <v>0</v>
      </c>
      <c r="O4914" s="9"/>
      <c r="P4914" s="2"/>
      <c r="Q4914" s="2"/>
    </row>
    <row r="4915" spans="1:17">
      <c r="A4915" s="42" t="s">
        <v>77</v>
      </c>
      <c r="B4915" s="3" t="s">
        <v>68</v>
      </c>
      <c r="C4915" s="3">
        <v>234</v>
      </c>
      <c r="D4915" s="20" t="s">
        <v>17</v>
      </c>
      <c r="E4915" s="7" t="s">
        <v>15</v>
      </c>
      <c r="F4915" s="7" t="s">
        <v>60</v>
      </c>
      <c r="G4915" s="11">
        <v>22.93</v>
      </c>
      <c r="H4915" s="8">
        <v>11.5</v>
      </c>
      <c r="I4915" s="26">
        <v>1</v>
      </c>
      <c r="J4915" s="10">
        <v>0.26369500000000001</v>
      </c>
      <c r="K4915" s="17">
        <v>1</v>
      </c>
      <c r="L4915" s="18">
        <v>0.26369500000000001</v>
      </c>
      <c r="M4915" s="19">
        <v>0</v>
      </c>
      <c r="N4915" s="13">
        <v>0</v>
      </c>
      <c r="O4915" s="9"/>
      <c r="P4915" s="2"/>
      <c r="Q4915" s="2"/>
    </row>
    <row r="4916" spans="1:17">
      <c r="A4916" s="42" t="s">
        <v>77</v>
      </c>
      <c r="B4916" s="3" t="s">
        <v>68</v>
      </c>
      <c r="C4916" s="3">
        <v>234</v>
      </c>
      <c r="D4916" s="20" t="s">
        <v>17</v>
      </c>
      <c r="E4916" s="7" t="s">
        <v>15</v>
      </c>
      <c r="F4916" s="7" t="s">
        <v>60</v>
      </c>
      <c r="G4916" s="11">
        <v>22.93</v>
      </c>
      <c r="H4916" s="8">
        <v>11.7</v>
      </c>
      <c r="I4916" s="26">
        <v>1</v>
      </c>
      <c r="J4916" s="10">
        <v>0.26828099999999999</v>
      </c>
      <c r="K4916" s="17">
        <v>1</v>
      </c>
      <c r="L4916" s="18">
        <v>0.26828099999999999</v>
      </c>
      <c r="M4916" s="19">
        <v>0</v>
      </c>
      <c r="N4916" s="13">
        <v>0</v>
      </c>
      <c r="O4916" s="9"/>
      <c r="P4916" s="2"/>
      <c r="Q4916" s="2"/>
    </row>
    <row r="4917" spans="1:17">
      <c r="A4917" s="42" t="s">
        <v>77</v>
      </c>
      <c r="B4917" s="3" t="s">
        <v>68</v>
      </c>
      <c r="C4917" s="3">
        <v>235</v>
      </c>
      <c r="D4917" s="20" t="s">
        <v>17</v>
      </c>
      <c r="E4917" s="7" t="s">
        <v>15</v>
      </c>
      <c r="F4917" s="7" t="s">
        <v>60</v>
      </c>
      <c r="G4917" s="11">
        <v>22.93</v>
      </c>
      <c r="H4917" s="8">
        <v>5.25</v>
      </c>
      <c r="I4917" s="26">
        <v>1</v>
      </c>
      <c r="J4917" s="10">
        <v>0.12038249999999999</v>
      </c>
      <c r="K4917" s="17"/>
      <c r="L4917" s="18">
        <v>0</v>
      </c>
      <c r="M4917" s="19">
        <v>1</v>
      </c>
      <c r="N4917" s="13">
        <v>0.12038249999999999</v>
      </c>
      <c r="O4917" s="9"/>
      <c r="P4917" s="2"/>
      <c r="Q4917" s="2"/>
    </row>
    <row r="4918" spans="1:17">
      <c r="A4918" s="42" t="s">
        <v>77</v>
      </c>
      <c r="B4918" s="3" t="s">
        <v>68</v>
      </c>
      <c r="C4918" s="3">
        <v>235</v>
      </c>
      <c r="D4918" s="20" t="s">
        <v>17</v>
      </c>
      <c r="E4918" s="7" t="s">
        <v>15</v>
      </c>
      <c r="F4918" s="7" t="s">
        <v>60</v>
      </c>
      <c r="G4918" s="11">
        <v>22.93</v>
      </c>
      <c r="H4918" s="8">
        <v>7.6</v>
      </c>
      <c r="I4918" s="26">
        <v>3</v>
      </c>
      <c r="J4918" s="10">
        <v>0.52280399999999994</v>
      </c>
      <c r="K4918" s="17">
        <v>3</v>
      </c>
      <c r="L4918" s="18">
        <v>0.52280399999999994</v>
      </c>
      <c r="M4918" s="19">
        <v>0</v>
      </c>
      <c r="N4918" s="13">
        <v>0</v>
      </c>
      <c r="O4918" s="9"/>
      <c r="P4918" s="2"/>
      <c r="Q4918" s="2"/>
    </row>
    <row r="4919" spans="1:17">
      <c r="A4919" s="42" t="s">
        <v>77</v>
      </c>
      <c r="B4919" s="3" t="s">
        <v>68</v>
      </c>
      <c r="C4919" s="3">
        <v>235</v>
      </c>
      <c r="D4919" s="20" t="s">
        <v>17</v>
      </c>
      <c r="E4919" s="7" t="s">
        <v>15</v>
      </c>
      <c r="F4919" s="7" t="s">
        <v>60</v>
      </c>
      <c r="G4919" s="11">
        <v>22.93</v>
      </c>
      <c r="H4919" s="8">
        <v>11.7</v>
      </c>
      <c r="I4919" s="26">
        <v>1</v>
      </c>
      <c r="J4919" s="10">
        <v>0.26828099999999999</v>
      </c>
      <c r="K4919" s="17">
        <v>1</v>
      </c>
      <c r="L4919" s="18">
        <v>0.26828099999999999</v>
      </c>
      <c r="M4919" s="19">
        <v>0</v>
      </c>
      <c r="N4919" s="13">
        <v>0</v>
      </c>
      <c r="O4919" s="9"/>
      <c r="P4919" s="2"/>
      <c r="Q4919" s="2"/>
    </row>
    <row r="4920" spans="1:17">
      <c r="A4920" s="48" t="s">
        <v>179</v>
      </c>
      <c r="B4920" s="48" t="s">
        <v>180</v>
      </c>
      <c r="C4920" s="32"/>
      <c r="D4920" s="48" t="s">
        <v>63</v>
      </c>
      <c r="E4920" s="48" t="s">
        <v>15</v>
      </c>
      <c r="F4920" s="48" t="s">
        <v>60</v>
      </c>
      <c r="G4920" s="11">
        <v>22.93</v>
      </c>
      <c r="H4920" s="52">
        <v>9.5</v>
      </c>
      <c r="I4920" s="7">
        <v>1</v>
      </c>
      <c r="J4920" s="10">
        <v>0.217835</v>
      </c>
      <c r="K4920" s="32"/>
      <c r="L4920" s="18">
        <v>0</v>
      </c>
      <c r="M4920" s="19">
        <v>1</v>
      </c>
      <c r="N4920" s="13">
        <v>0.217835</v>
      </c>
      <c r="O4920" s="159"/>
      <c r="P4920" s="111"/>
      <c r="Q4920" s="2"/>
    </row>
    <row r="4921" spans="1:17">
      <c r="A4921" s="48" t="s">
        <v>179</v>
      </c>
      <c r="B4921" s="48" t="s">
        <v>180</v>
      </c>
      <c r="C4921" s="32"/>
      <c r="D4921" s="48" t="s">
        <v>63</v>
      </c>
      <c r="E4921" s="48" t="s">
        <v>15</v>
      </c>
      <c r="F4921" s="48" t="s">
        <v>60</v>
      </c>
      <c r="G4921" s="11">
        <v>22.93</v>
      </c>
      <c r="H4921" s="52">
        <v>7.3</v>
      </c>
      <c r="I4921" s="7">
        <v>1</v>
      </c>
      <c r="J4921" s="10">
        <v>0.16738899999999998</v>
      </c>
      <c r="K4921" s="32"/>
      <c r="L4921" s="18">
        <v>0</v>
      </c>
      <c r="M4921" s="19">
        <v>1</v>
      </c>
      <c r="N4921" s="13">
        <v>0.16738899999999998</v>
      </c>
      <c r="O4921" s="159"/>
      <c r="P4921" s="111"/>
      <c r="Q4921" s="2"/>
    </row>
    <row r="4922" spans="1:17">
      <c r="A4922" s="48" t="s">
        <v>179</v>
      </c>
      <c r="B4922" s="48" t="s">
        <v>180</v>
      </c>
      <c r="C4922" s="32"/>
      <c r="D4922" s="48" t="s">
        <v>152</v>
      </c>
      <c r="E4922" s="48" t="s">
        <v>15</v>
      </c>
      <c r="F4922" s="48" t="s">
        <v>60</v>
      </c>
      <c r="G4922" s="11">
        <v>22.93</v>
      </c>
      <c r="H4922" s="52">
        <v>4.9000000000000004</v>
      </c>
      <c r="I4922" s="7">
        <v>1</v>
      </c>
      <c r="J4922" s="10">
        <v>0.11235700000000001</v>
      </c>
      <c r="K4922" s="32"/>
      <c r="L4922" s="18">
        <v>0</v>
      </c>
      <c r="M4922" s="19">
        <v>1</v>
      </c>
      <c r="N4922" s="13">
        <v>0.11235700000000001</v>
      </c>
      <c r="O4922" s="32"/>
      <c r="P4922" s="32"/>
      <c r="Q4922" s="32"/>
    </row>
    <row r="4923" spans="1:17">
      <c r="A4923" s="48" t="s">
        <v>179</v>
      </c>
      <c r="B4923" s="48" t="s">
        <v>180</v>
      </c>
      <c r="C4923" s="32"/>
      <c r="D4923" s="48" t="s">
        <v>152</v>
      </c>
      <c r="E4923" s="48" t="s">
        <v>15</v>
      </c>
      <c r="F4923" s="48" t="s">
        <v>60</v>
      </c>
      <c r="G4923" s="11">
        <v>22.93</v>
      </c>
      <c r="H4923" s="52">
        <v>6.1</v>
      </c>
      <c r="I4923" s="7">
        <v>1</v>
      </c>
      <c r="J4923" s="10">
        <v>0.139873</v>
      </c>
      <c r="K4923" s="32">
        <v>1</v>
      </c>
      <c r="L4923" s="18">
        <v>0.139873</v>
      </c>
      <c r="M4923" s="19">
        <v>0</v>
      </c>
      <c r="N4923" s="13">
        <v>0</v>
      </c>
      <c r="O4923" s="32"/>
      <c r="P4923" s="32"/>
      <c r="Q4923" s="2"/>
    </row>
    <row r="4924" spans="1:17">
      <c r="A4924" s="48" t="s">
        <v>179</v>
      </c>
      <c r="B4924" s="48" t="s">
        <v>180</v>
      </c>
      <c r="C4924" s="32"/>
      <c r="D4924" s="48" t="s">
        <v>181</v>
      </c>
      <c r="E4924" s="48" t="s">
        <v>15</v>
      </c>
      <c r="F4924" s="48" t="s">
        <v>60</v>
      </c>
      <c r="G4924" s="11">
        <v>22.93</v>
      </c>
      <c r="H4924" s="9">
        <v>6</v>
      </c>
      <c r="I4924" s="7">
        <v>2</v>
      </c>
      <c r="J4924" s="10">
        <v>0.27515999999999996</v>
      </c>
      <c r="K4924" s="32"/>
      <c r="L4924" s="18">
        <v>0</v>
      </c>
      <c r="M4924" s="19">
        <v>2</v>
      </c>
      <c r="N4924" s="13">
        <v>0.27515999999999996</v>
      </c>
      <c r="O4924" s="32"/>
      <c r="P4924" s="32"/>
      <c r="Q4924" s="32"/>
    </row>
    <row r="4925" spans="1:17">
      <c r="A4925" s="48" t="s">
        <v>179</v>
      </c>
      <c r="B4925" s="48" t="s">
        <v>180</v>
      </c>
      <c r="C4925" s="32"/>
      <c r="D4925" s="48" t="s">
        <v>152</v>
      </c>
      <c r="E4925" s="48" t="s">
        <v>15</v>
      </c>
      <c r="F4925" s="48" t="s">
        <v>60</v>
      </c>
      <c r="G4925" s="11">
        <v>22.93</v>
      </c>
      <c r="H4925" s="9">
        <v>6</v>
      </c>
      <c r="I4925" s="7">
        <v>2</v>
      </c>
      <c r="J4925" s="10">
        <v>0.27515999999999996</v>
      </c>
      <c r="K4925" s="32"/>
      <c r="L4925" s="18">
        <v>0</v>
      </c>
      <c r="M4925" s="19">
        <v>2</v>
      </c>
      <c r="N4925" s="13">
        <v>0.27515999999999996</v>
      </c>
      <c r="O4925" s="32"/>
      <c r="P4925" s="32"/>
      <c r="Q4925" s="32"/>
    </row>
    <row r="4926" spans="1:17">
      <c r="A4926" s="48" t="s">
        <v>179</v>
      </c>
      <c r="B4926" s="48" t="s">
        <v>180</v>
      </c>
      <c r="C4926" s="32"/>
      <c r="D4926" s="48" t="s">
        <v>152</v>
      </c>
      <c r="E4926" s="48" t="s">
        <v>15</v>
      </c>
      <c r="F4926" s="48" t="s">
        <v>60</v>
      </c>
      <c r="G4926" s="11">
        <v>22.93</v>
      </c>
      <c r="H4926" s="9">
        <v>6.3</v>
      </c>
      <c r="I4926" s="7">
        <v>2</v>
      </c>
      <c r="J4926" s="10">
        <v>0.28891800000000001</v>
      </c>
      <c r="K4926" s="32">
        <v>2</v>
      </c>
      <c r="L4926" s="18">
        <v>0.28891800000000001</v>
      </c>
      <c r="M4926" s="19">
        <v>0</v>
      </c>
      <c r="N4926" s="13">
        <v>0</v>
      </c>
      <c r="O4926" s="32"/>
      <c r="P4926" s="32"/>
      <c r="Q4926" s="2"/>
    </row>
    <row r="4927" spans="1:17">
      <c r="A4927" s="44" t="s">
        <v>78</v>
      </c>
      <c r="B4927" s="3" t="s">
        <v>80</v>
      </c>
      <c r="C4927" s="3">
        <v>1</v>
      </c>
      <c r="D4927" s="20" t="s">
        <v>20</v>
      </c>
      <c r="E4927" s="7" t="s">
        <v>15</v>
      </c>
      <c r="F4927" s="7" t="s">
        <v>60</v>
      </c>
      <c r="G4927" s="11">
        <v>22.93</v>
      </c>
      <c r="H4927" s="8">
        <v>12</v>
      </c>
      <c r="I4927" s="26">
        <v>1</v>
      </c>
      <c r="J4927" s="10">
        <v>0.27515999999999996</v>
      </c>
      <c r="K4927" s="17">
        <v>1</v>
      </c>
      <c r="L4927" s="18">
        <v>0.27515999999999996</v>
      </c>
      <c r="M4927" s="19">
        <v>0</v>
      </c>
      <c r="N4927" s="13">
        <v>0</v>
      </c>
      <c r="O4927" s="89">
        <v>11</v>
      </c>
      <c r="P4927" s="91">
        <v>1</v>
      </c>
      <c r="Q4927" s="90" t="s">
        <v>673</v>
      </c>
    </row>
    <row r="4928" spans="1:17">
      <c r="A4928" s="45" t="s">
        <v>136</v>
      </c>
      <c r="B4928" s="32" t="s">
        <v>137</v>
      </c>
      <c r="C4928" s="3">
        <v>8</v>
      </c>
      <c r="D4928" s="20" t="s">
        <v>106</v>
      </c>
      <c r="E4928" s="7" t="s">
        <v>15</v>
      </c>
      <c r="F4928" s="7" t="s">
        <v>60</v>
      </c>
      <c r="G4928" s="11">
        <v>22.93</v>
      </c>
      <c r="H4928" s="33">
        <v>5.8</v>
      </c>
      <c r="I4928" s="40">
        <v>1</v>
      </c>
      <c r="J4928" s="10">
        <v>0.132994</v>
      </c>
      <c r="K4928" s="17"/>
      <c r="L4928" s="18">
        <v>0</v>
      </c>
      <c r="M4928" s="19">
        <v>1</v>
      </c>
      <c r="N4928" s="13">
        <v>0.132994</v>
      </c>
      <c r="O4928" s="32"/>
      <c r="P4928" s="32"/>
      <c r="Q4928" s="32"/>
    </row>
    <row r="4929" spans="1:20">
      <c r="A4929" s="45" t="s">
        <v>136</v>
      </c>
      <c r="B4929" s="32" t="s">
        <v>137</v>
      </c>
      <c r="C4929" s="3">
        <v>8</v>
      </c>
      <c r="D4929" s="20" t="s">
        <v>106</v>
      </c>
      <c r="E4929" s="7" t="s">
        <v>15</v>
      </c>
      <c r="F4929" s="7" t="s">
        <v>60</v>
      </c>
      <c r="G4929" s="11">
        <v>22.93</v>
      </c>
      <c r="H4929" s="33">
        <v>6.1</v>
      </c>
      <c r="I4929" s="40">
        <v>2</v>
      </c>
      <c r="J4929" s="10">
        <v>0.27974599999999999</v>
      </c>
      <c r="K4929" s="17"/>
      <c r="L4929" s="18">
        <v>0</v>
      </c>
      <c r="M4929" s="19">
        <v>2</v>
      </c>
      <c r="N4929" s="13">
        <v>0.27974599999999999</v>
      </c>
      <c r="O4929" s="32"/>
      <c r="P4929" s="32"/>
      <c r="Q4929" s="32"/>
    </row>
    <row r="4930" spans="1:20">
      <c r="A4930" s="45" t="s">
        <v>136</v>
      </c>
      <c r="B4930" s="32" t="s">
        <v>137</v>
      </c>
      <c r="C4930" s="3">
        <v>96</v>
      </c>
      <c r="D4930" s="20" t="s">
        <v>20</v>
      </c>
      <c r="E4930" s="7" t="s">
        <v>15</v>
      </c>
      <c r="F4930" s="7" t="s">
        <v>60</v>
      </c>
      <c r="G4930" s="11">
        <v>22.93</v>
      </c>
      <c r="H4930" s="33">
        <v>6</v>
      </c>
      <c r="I4930" s="41">
        <v>1</v>
      </c>
      <c r="J4930" s="10">
        <v>0.13757999999999998</v>
      </c>
      <c r="K4930" s="17">
        <v>1</v>
      </c>
      <c r="L4930" s="18">
        <v>0.13757999999999998</v>
      </c>
      <c r="M4930" s="19">
        <v>0</v>
      </c>
      <c r="N4930" s="13">
        <v>0</v>
      </c>
      <c r="O4930" s="98">
        <v>6</v>
      </c>
      <c r="P4930" s="91">
        <v>1</v>
      </c>
      <c r="Q4930" s="91" t="s">
        <v>684</v>
      </c>
    </row>
    <row r="4931" spans="1:20">
      <c r="M4931" s="215">
        <f>SUM(M4902:M4930)</f>
        <v>13</v>
      </c>
      <c r="P4931" s="215">
        <f>SUM(P4902:P4930)</f>
        <v>7</v>
      </c>
    </row>
    <row r="4933" spans="1:20">
      <c r="A4933" s="110" t="s">
        <v>308</v>
      </c>
      <c r="B4933" s="111" t="s">
        <v>309</v>
      </c>
      <c r="C4933" s="112" t="s">
        <v>228</v>
      </c>
      <c r="D4933" s="118" t="s">
        <v>17</v>
      </c>
      <c r="E4933" s="175" t="s">
        <v>15</v>
      </c>
      <c r="F4933" s="175" t="s">
        <v>60</v>
      </c>
      <c r="G4933" s="176">
        <v>22.93</v>
      </c>
      <c r="H4933" s="177">
        <v>12</v>
      </c>
      <c r="I4933" s="178">
        <f>10+10+9+9</f>
        <v>38</v>
      </c>
      <c r="J4933" s="174">
        <f t="shared" ref="J4933:J4936" si="631">(G4933*H4933*I4933/1000)</f>
        <v>10.456079999999998</v>
      </c>
      <c r="K4933" s="118"/>
      <c r="L4933" s="111">
        <v>38</v>
      </c>
      <c r="M4933" s="117">
        <f t="shared" ref="M4933:M4935" si="632">H4933*L4933*G4933/1000</f>
        <v>10.45608</v>
      </c>
      <c r="N4933" s="119">
        <f t="shared" ref="N4933:N4936" si="633">I4933-L4933</f>
        <v>0</v>
      </c>
      <c r="O4933" s="120">
        <f>H4933*N4933*G4933/1000</f>
        <v>0</v>
      </c>
      <c r="P4933" s="111"/>
      <c r="Q4933" s="111"/>
      <c r="R4933" s="111"/>
      <c r="S4933" s="186"/>
      <c r="T4933" s="213"/>
    </row>
    <row r="4934" spans="1:20">
      <c r="A4934" s="110" t="s">
        <v>308</v>
      </c>
      <c r="B4934" s="111" t="s">
        <v>309</v>
      </c>
      <c r="C4934" s="112" t="s">
        <v>228</v>
      </c>
      <c r="D4934" s="118" t="s">
        <v>17</v>
      </c>
      <c r="E4934" s="175" t="s">
        <v>15</v>
      </c>
      <c r="F4934" s="175" t="s">
        <v>60</v>
      </c>
      <c r="G4934" s="176">
        <v>22.93</v>
      </c>
      <c r="H4934" s="177">
        <v>11.25</v>
      </c>
      <c r="I4934" s="178">
        <f>1+4</f>
        <v>5</v>
      </c>
      <c r="J4934" s="174">
        <f t="shared" si="631"/>
        <v>1.2898125</v>
      </c>
      <c r="K4934" s="118"/>
      <c r="L4934" s="111">
        <v>5</v>
      </c>
      <c r="M4934" s="117">
        <f t="shared" si="632"/>
        <v>1.2898125</v>
      </c>
      <c r="N4934" s="119">
        <f t="shared" si="633"/>
        <v>0</v>
      </c>
      <c r="O4934" s="120">
        <f>H4934*N4934*G4934/1000</f>
        <v>0</v>
      </c>
      <c r="P4934" s="111"/>
      <c r="Q4934" s="111"/>
      <c r="R4934" s="111"/>
      <c r="S4934" s="186"/>
      <c r="T4934" s="213"/>
    </row>
    <row r="4935" spans="1:20">
      <c r="A4935" s="110" t="s">
        <v>308</v>
      </c>
      <c r="B4935" s="111" t="s">
        <v>309</v>
      </c>
      <c r="C4935" s="112" t="s">
        <v>228</v>
      </c>
      <c r="D4935" s="118" t="s">
        <v>17</v>
      </c>
      <c r="E4935" s="175" t="s">
        <v>15</v>
      </c>
      <c r="F4935" s="175" t="s">
        <v>60</v>
      </c>
      <c r="G4935" s="176">
        <v>22.93</v>
      </c>
      <c r="H4935" s="177">
        <v>12</v>
      </c>
      <c r="I4935" s="178">
        <f>7+10</f>
        <v>17</v>
      </c>
      <c r="J4935" s="174">
        <f t="shared" si="631"/>
        <v>4.677719999999999</v>
      </c>
      <c r="K4935" s="118"/>
      <c r="L4935" s="111">
        <f>10+7</f>
        <v>17</v>
      </c>
      <c r="M4935" s="117">
        <f t="shared" si="632"/>
        <v>4.6777199999999999</v>
      </c>
      <c r="N4935" s="119">
        <f t="shared" si="633"/>
        <v>0</v>
      </c>
      <c r="O4935" s="120">
        <f>H4935*N4935*G4935/1000</f>
        <v>0</v>
      </c>
      <c r="P4935" s="111">
        <v>11.25</v>
      </c>
      <c r="Q4935" s="111">
        <v>7</v>
      </c>
      <c r="R4935" s="111"/>
      <c r="S4935" s="186"/>
      <c r="T4935" s="213"/>
    </row>
    <row r="4936" spans="1:20">
      <c r="A4936" s="110" t="s">
        <v>308</v>
      </c>
      <c r="B4936" s="111" t="s">
        <v>309</v>
      </c>
      <c r="C4936" s="112" t="s">
        <v>228</v>
      </c>
      <c r="D4936" s="118" t="s">
        <v>17</v>
      </c>
      <c r="E4936" s="175" t="s">
        <v>15</v>
      </c>
      <c r="F4936" s="175" t="s">
        <v>60</v>
      </c>
      <c r="G4936" s="176">
        <v>22.93</v>
      </c>
      <c r="H4936" s="177">
        <v>12</v>
      </c>
      <c r="I4936" s="178">
        <v>10</v>
      </c>
      <c r="J4936" s="174">
        <f t="shared" si="631"/>
        <v>2.7515999999999994</v>
      </c>
      <c r="K4936" s="118"/>
      <c r="L4936" s="111">
        <f>7+2+1</f>
        <v>10</v>
      </c>
      <c r="M4936" s="117">
        <f>H4936*L4936*G4936/1000</f>
        <v>2.7515999999999998</v>
      </c>
      <c r="N4936" s="119">
        <f t="shared" si="633"/>
        <v>0</v>
      </c>
      <c r="O4936" s="120">
        <f>H4936*N4936*G4936/1000</f>
        <v>0</v>
      </c>
      <c r="P4936" s="111">
        <v>11.25</v>
      </c>
      <c r="Q4936" s="111">
        <v>7</v>
      </c>
      <c r="R4936" s="75">
        <v>11</v>
      </c>
      <c r="S4936" s="458">
        <v>1</v>
      </c>
      <c r="T4936" s="77" t="s">
        <v>716</v>
      </c>
    </row>
    <row r="4937" spans="1:20">
      <c r="A4937" s="213"/>
      <c r="B4937" s="213"/>
      <c r="C4937" s="213"/>
      <c r="D4937" s="213"/>
      <c r="E4937" s="213"/>
      <c r="F4937" s="213"/>
      <c r="G4937" s="213"/>
      <c r="H4937" s="213"/>
      <c r="I4937" s="215">
        <f>SUM(I4933:I4936)</f>
        <v>70</v>
      </c>
      <c r="J4937" s="214">
        <f>SUM(J4933:J4936)</f>
        <v>19.175212499999997</v>
      </c>
      <c r="K4937" s="213"/>
      <c r="L4937" s="215">
        <f>SUM(L4933:L4936)</f>
        <v>70</v>
      </c>
      <c r="M4937" s="128">
        <f>SUM(M4933:M4936)</f>
        <v>19.175212500000001</v>
      </c>
      <c r="N4937" s="78">
        <f>SUM(N4933:N4936)</f>
        <v>0</v>
      </c>
      <c r="O4937" s="128">
        <f>SUM(O4933:O4936)</f>
        <v>0</v>
      </c>
      <c r="P4937" s="213"/>
      <c r="Q4937" s="213"/>
      <c r="R4937" s="213"/>
      <c r="S4937" s="78">
        <f>SUM(S4933:S4936)</f>
        <v>1</v>
      </c>
      <c r="T4937" s="213"/>
    </row>
    <row r="4940" spans="1:20">
      <c r="A4940" s="42" t="s">
        <v>77</v>
      </c>
      <c r="B4940" s="3" t="s">
        <v>68</v>
      </c>
      <c r="C4940" s="3">
        <v>202</v>
      </c>
      <c r="D4940" s="20" t="s">
        <v>17</v>
      </c>
      <c r="E4940" s="7" t="s">
        <v>15</v>
      </c>
      <c r="F4940" s="7" t="s">
        <v>56</v>
      </c>
      <c r="G4940" s="11">
        <v>25.2</v>
      </c>
      <c r="H4940" s="8">
        <v>5.5</v>
      </c>
      <c r="I4940" s="26">
        <v>5</v>
      </c>
      <c r="J4940" s="10">
        <v>0.69299999999999995</v>
      </c>
      <c r="K4940" s="17"/>
      <c r="L4940" s="18">
        <v>0</v>
      </c>
      <c r="M4940" s="19">
        <v>5</v>
      </c>
      <c r="N4940" s="13">
        <v>0.69299999999999995</v>
      </c>
      <c r="O4940" s="9"/>
      <c r="P4940" s="2"/>
      <c r="Q4940" s="2"/>
    </row>
    <row r="4941" spans="1:20">
      <c r="A4941" s="42" t="s">
        <v>77</v>
      </c>
      <c r="B4941" s="3" t="s">
        <v>68</v>
      </c>
      <c r="C4941" s="3">
        <v>202</v>
      </c>
      <c r="D4941" s="20" t="s">
        <v>17</v>
      </c>
      <c r="E4941" s="7" t="s">
        <v>15</v>
      </c>
      <c r="F4941" s="7" t="s">
        <v>56</v>
      </c>
      <c r="G4941" s="11">
        <v>25.2</v>
      </c>
      <c r="H4941" s="8">
        <v>5.8</v>
      </c>
      <c r="I4941" s="26">
        <v>5</v>
      </c>
      <c r="J4941" s="10">
        <v>0.73080000000000001</v>
      </c>
      <c r="K4941" s="17"/>
      <c r="L4941" s="18">
        <v>0</v>
      </c>
      <c r="M4941" s="19">
        <v>5</v>
      </c>
      <c r="N4941" s="13">
        <v>0.73080000000000001</v>
      </c>
      <c r="O4941" s="9"/>
      <c r="P4941" s="2"/>
      <c r="Q4941" s="2"/>
    </row>
    <row r="4942" spans="1:20">
      <c r="A4942" s="42" t="s">
        <v>77</v>
      </c>
      <c r="B4942" s="3" t="s">
        <v>68</v>
      </c>
      <c r="C4942" s="3">
        <v>232</v>
      </c>
      <c r="D4942" s="20" t="s">
        <v>17</v>
      </c>
      <c r="E4942" s="7" t="s">
        <v>15</v>
      </c>
      <c r="F4942" s="7" t="s">
        <v>56</v>
      </c>
      <c r="G4942" s="11">
        <v>25.2</v>
      </c>
      <c r="H4942" s="8">
        <v>6</v>
      </c>
      <c r="I4942" s="26">
        <v>3</v>
      </c>
      <c r="J4942" s="10">
        <v>0.45359999999999995</v>
      </c>
      <c r="K4942" s="17"/>
      <c r="L4942" s="18">
        <v>0</v>
      </c>
      <c r="M4942" s="19">
        <v>3</v>
      </c>
      <c r="N4942" s="13">
        <v>0.45359999999999995</v>
      </c>
      <c r="O4942" s="9"/>
      <c r="P4942" s="2"/>
      <c r="Q4942" s="2"/>
    </row>
    <row r="4943" spans="1:20">
      <c r="A4943" s="42" t="s">
        <v>77</v>
      </c>
      <c r="B4943" s="3" t="s">
        <v>68</v>
      </c>
      <c r="C4943" s="3">
        <v>232</v>
      </c>
      <c r="D4943" s="20" t="s">
        <v>17</v>
      </c>
      <c r="E4943" s="7" t="s">
        <v>15</v>
      </c>
      <c r="F4943" s="7" t="s">
        <v>56</v>
      </c>
      <c r="G4943" s="11">
        <v>25.2</v>
      </c>
      <c r="H4943" s="8">
        <v>9.3000000000000007</v>
      </c>
      <c r="I4943" s="26">
        <v>1</v>
      </c>
      <c r="J4943" s="10">
        <v>0.23436000000000001</v>
      </c>
      <c r="K4943" s="17">
        <v>1</v>
      </c>
      <c r="L4943" s="18">
        <v>0.23436000000000001</v>
      </c>
      <c r="M4943" s="19">
        <v>0</v>
      </c>
      <c r="N4943" s="13">
        <v>0</v>
      </c>
      <c r="O4943" s="9"/>
      <c r="P4943" s="2"/>
      <c r="Q4943" s="2"/>
    </row>
    <row r="4944" spans="1:20">
      <c r="A4944" s="42" t="s">
        <v>77</v>
      </c>
      <c r="B4944" s="3" t="s">
        <v>68</v>
      </c>
      <c r="C4944" s="3">
        <v>312</v>
      </c>
      <c r="D4944" s="20" t="s">
        <v>17</v>
      </c>
      <c r="E4944" s="7" t="s">
        <v>15</v>
      </c>
      <c r="F4944" s="7" t="s">
        <v>56</v>
      </c>
      <c r="G4944" s="11">
        <v>25.2</v>
      </c>
      <c r="H4944" s="8">
        <v>8.5</v>
      </c>
      <c r="I4944" s="26">
        <v>1</v>
      </c>
      <c r="J4944" s="10">
        <v>0.2142</v>
      </c>
      <c r="K4944" s="17">
        <v>1</v>
      </c>
      <c r="L4944" s="18">
        <v>0.2142</v>
      </c>
      <c r="M4944" s="106">
        <v>0</v>
      </c>
      <c r="N4944" s="13">
        <v>0</v>
      </c>
      <c r="O4944" s="9"/>
      <c r="P4944" s="2"/>
      <c r="Q4944" s="2"/>
    </row>
    <row r="4945" spans="1:18">
      <c r="A4945" s="42" t="s">
        <v>77</v>
      </c>
      <c r="B4945" s="3" t="s">
        <v>68</v>
      </c>
      <c r="C4945" s="3">
        <v>312</v>
      </c>
      <c r="D4945" s="20" t="s">
        <v>17</v>
      </c>
      <c r="E4945" s="7" t="s">
        <v>15</v>
      </c>
      <c r="F4945" s="7" t="s">
        <v>56</v>
      </c>
      <c r="G4945" s="11">
        <v>25.2</v>
      </c>
      <c r="H4945" s="8">
        <v>9.1999999999999993</v>
      </c>
      <c r="I4945" s="26">
        <v>1</v>
      </c>
      <c r="J4945" s="10">
        <v>0.23183999999999996</v>
      </c>
      <c r="K4945" s="17">
        <v>1</v>
      </c>
      <c r="L4945" s="18">
        <v>0.23183999999999996</v>
      </c>
      <c r="M4945" s="19">
        <v>0</v>
      </c>
      <c r="N4945" s="13">
        <v>0</v>
      </c>
      <c r="O4945" s="9"/>
      <c r="P4945" s="2"/>
      <c r="Q4945" s="2"/>
    </row>
    <row r="4946" spans="1:18">
      <c r="A4946" s="42" t="s">
        <v>77</v>
      </c>
      <c r="B4946" s="3" t="s">
        <v>68</v>
      </c>
      <c r="C4946" s="3">
        <v>312</v>
      </c>
      <c r="D4946" s="20" t="s">
        <v>17</v>
      </c>
      <c r="E4946" s="7" t="s">
        <v>15</v>
      </c>
      <c r="F4946" s="7" t="s">
        <v>56</v>
      </c>
      <c r="G4946" s="11">
        <v>25.2</v>
      </c>
      <c r="H4946" s="8">
        <v>9.4</v>
      </c>
      <c r="I4946" s="26">
        <v>3</v>
      </c>
      <c r="J4946" s="10">
        <v>0.71063999999999994</v>
      </c>
      <c r="K4946" s="17">
        <v>3</v>
      </c>
      <c r="L4946" s="18">
        <v>0.71064000000000005</v>
      </c>
      <c r="M4946" s="19">
        <v>0</v>
      </c>
      <c r="N4946" s="13">
        <v>0</v>
      </c>
      <c r="O4946" s="9"/>
      <c r="P4946" s="2"/>
      <c r="Q4946" s="2"/>
    </row>
    <row r="4947" spans="1:18">
      <c r="A4947" s="42" t="s">
        <v>77</v>
      </c>
      <c r="B4947" s="3" t="s">
        <v>68</v>
      </c>
      <c r="C4947" s="3">
        <v>348</v>
      </c>
      <c r="D4947" s="20" t="s">
        <v>17</v>
      </c>
      <c r="E4947" s="7" t="s">
        <v>15</v>
      </c>
      <c r="F4947" s="7" t="s">
        <v>56</v>
      </c>
      <c r="G4947" s="11">
        <v>25.2</v>
      </c>
      <c r="H4947" s="8">
        <v>11.2</v>
      </c>
      <c r="I4947" s="26">
        <v>1</v>
      </c>
      <c r="J4947" s="10">
        <v>0.28223999999999994</v>
      </c>
      <c r="K4947" s="17">
        <v>1</v>
      </c>
      <c r="L4947" s="18">
        <v>0.28223999999999994</v>
      </c>
      <c r="M4947" s="19">
        <v>0</v>
      </c>
      <c r="N4947" s="13">
        <v>0</v>
      </c>
      <c r="O4947" s="9"/>
      <c r="P4947" s="2"/>
      <c r="Q4947" s="2"/>
    </row>
    <row r="4948" spans="1:18">
      <c r="A4948" s="44" t="s">
        <v>78</v>
      </c>
      <c r="B4948" s="3" t="s">
        <v>80</v>
      </c>
      <c r="C4948" s="3">
        <v>7</v>
      </c>
      <c r="D4948" s="20" t="s">
        <v>17</v>
      </c>
      <c r="E4948" s="7" t="s">
        <v>15</v>
      </c>
      <c r="F4948" s="7" t="s">
        <v>56</v>
      </c>
      <c r="G4948" s="11">
        <v>25.2</v>
      </c>
      <c r="H4948" s="8">
        <v>10.5</v>
      </c>
      <c r="I4948" s="26">
        <v>1</v>
      </c>
      <c r="J4948" s="10">
        <v>0.26459999999999995</v>
      </c>
      <c r="K4948" s="17">
        <v>1</v>
      </c>
      <c r="L4948" s="18">
        <v>0.26459999999999995</v>
      </c>
      <c r="M4948" s="19">
        <v>0</v>
      </c>
      <c r="N4948" s="13">
        <v>0</v>
      </c>
      <c r="O4948" s="89">
        <v>9.6</v>
      </c>
      <c r="P4948" s="91">
        <v>1</v>
      </c>
      <c r="Q4948" s="90" t="s">
        <v>685</v>
      </c>
    </row>
    <row r="4949" spans="1:18">
      <c r="A4949" s="44" t="s">
        <v>78</v>
      </c>
      <c r="B4949" s="3" t="s">
        <v>80</v>
      </c>
      <c r="C4949" s="3">
        <v>7</v>
      </c>
      <c r="D4949" s="20" t="s">
        <v>17</v>
      </c>
      <c r="E4949" s="7" t="s">
        <v>15</v>
      </c>
      <c r="F4949" s="7" t="s">
        <v>56</v>
      </c>
      <c r="G4949" s="11">
        <v>25.2</v>
      </c>
      <c r="H4949" s="8">
        <v>11.6</v>
      </c>
      <c r="I4949" s="26">
        <v>2</v>
      </c>
      <c r="J4949" s="10">
        <v>0.58463999999999994</v>
      </c>
      <c r="K4949" s="17">
        <v>2</v>
      </c>
      <c r="L4949" s="18">
        <v>0.58463999999999994</v>
      </c>
      <c r="M4949" s="19">
        <v>0</v>
      </c>
      <c r="N4949" s="13">
        <v>0</v>
      </c>
      <c r="O4949" s="89">
        <v>11.6</v>
      </c>
      <c r="P4949" s="91">
        <v>2</v>
      </c>
      <c r="Q4949" s="90" t="s">
        <v>685</v>
      </c>
    </row>
    <row r="4950" spans="1:18">
      <c r="A4950" s="44" t="s">
        <v>78</v>
      </c>
      <c r="B4950" s="32" t="s">
        <v>80</v>
      </c>
      <c r="C4950" s="3">
        <v>1</v>
      </c>
      <c r="D4950" s="39" t="s">
        <v>17</v>
      </c>
      <c r="E4950" s="7" t="s">
        <v>15</v>
      </c>
      <c r="F4950" s="7" t="s">
        <v>56</v>
      </c>
      <c r="G4950" s="11">
        <v>25.2</v>
      </c>
      <c r="H4950" s="55">
        <v>5.5</v>
      </c>
      <c r="I4950" s="40">
        <v>3</v>
      </c>
      <c r="J4950" s="10">
        <v>0.41579999999999995</v>
      </c>
      <c r="K4950" s="17"/>
      <c r="L4950" s="18">
        <v>0</v>
      </c>
      <c r="M4950" s="19">
        <v>3</v>
      </c>
      <c r="N4950" s="13">
        <v>0.4158</v>
      </c>
      <c r="O4950" s="32"/>
      <c r="P4950" s="32"/>
      <c r="Q4950" s="32"/>
    </row>
    <row r="4951" spans="1:18">
      <c r="A4951" s="44" t="s">
        <v>78</v>
      </c>
      <c r="B4951" s="32" t="s">
        <v>80</v>
      </c>
      <c r="C4951" s="3">
        <v>1</v>
      </c>
      <c r="D4951" s="39" t="s">
        <v>17</v>
      </c>
      <c r="E4951" s="7" t="s">
        <v>15</v>
      </c>
      <c r="F4951" s="7" t="s">
        <v>56</v>
      </c>
      <c r="G4951" s="11">
        <v>25.2</v>
      </c>
      <c r="H4951" s="55">
        <v>6</v>
      </c>
      <c r="I4951" s="40">
        <v>2</v>
      </c>
      <c r="J4951" s="10">
        <v>0.3024</v>
      </c>
      <c r="K4951" s="17"/>
      <c r="L4951" s="18">
        <v>0</v>
      </c>
      <c r="M4951" s="19">
        <v>2</v>
      </c>
      <c r="N4951" s="13">
        <v>0.3024</v>
      </c>
      <c r="O4951" s="32"/>
      <c r="P4951" s="32"/>
      <c r="Q4951" s="32"/>
    </row>
    <row r="4955" spans="1:18">
      <c r="A4955" s="110" t="s">
        <v>308</v>
      </c>
      <c r="B4955" s="111" t="s">
        <v>309</v>
      </c>
      <c r="C4955" s="112" t="s">
        <v>228</v>
      </c>
      <c r="D4955" s="118" t="s">
        <v>17</v>
      </c>
      <c r="E4955" s="175" t="s">
        <v>15</v>
      </c>
      <c r="F4955" s="175" t="s">
        <v>66</v>
      </c>
      <c r="G4955" s="176">
        <v>29.5</v>
      </c>
      <c r="H4955" s="177">
        <v>8.1999999999999993</v>
      </c>
      <c r="I4955" s="178">
        <f>7+11+10</f>
        <v>28</v>
      </c>
      <c r="J4955" s="174">
        <f t="shared" ref="J4955:J4971" si="634">(G4955*H4955*I4955/1000)</f>
        <v>6.7731999999999992</v>
      </c>
      <c r="K4955" s="118"/>
      <c r="L4955" s="111">
        <v>28</v>
      </c>
      <c r="M4955" s="117">
        <f t="shared" ref="M4955:M4971" si="635">H4955*L4955*G4955/1000</f>
        <v>6.7731999999999992</v>
      </c>
      <c r="N4955" s="119">
        <f t="shared" ref="N4955:N4971" si="636">I4955-L4955</f>
        <v>0</v>
      </c>
      <c r="O4955" s="120">
        <f t="shared" ref="O4955:O4971" si="637">H4955*N4955*G4955/1000</f>
        <v>0</v>
      </c>
      <c r="P4955" s="111"/>
      <c r="Q4955" s="111"/>
      <c r="R4955" s="111"/>
    </row>
    <row r="4956" spans="1:18">
      <c r="A4956" s="110" t="s">
        <v>308</v>
      </c>
      <c r="B4956" s="111" t="s">
        <v>309</v>
      </c>
      <c r="C4956" s="112" t="s">
        <v>228</v>
      </c>
      <c r="D4956" s="118" t="s">
        <v>17</v>
      </c>
      <c r="E4956" s="175" t="s">
        <v>15</v>
      </c>
      <c r="F4956" s="175" t="s">
        <v>66</v>
      </c>
      <c r="G4956" s="176">
        <v>29.5</v>
      </c>
      <c r="H4956" s="177">
        <v>8.4</v>
      </c>
      <c r="I4956" s="178">
        <v>2</v>
      </c>
      <c r="J4956" s="174">
        <f t="shared" si="634"/>
        <v>0.49560000000000004</v>
      </c>
      <c r="K4956" s="118"/>
      <c r="L4956" s="111">
        <v>2</v>
      </c>
      <c r="M4956" s="117">
        <f t="shared" si="635"/>
        <v>0.49560000000000004</v>
      </c>
      <c r="N4956" s="119">
        <f t="shared" si="636"/>
        <v>0</v>
      </c>
      <c r="O4956" s="120">
        <f t="shared" si="637"/>
        <v>0</v>
      </c>
      <c r="P4956" s="111"/>
      <c r="Q4956" s="111"/>
      <c r="R4956" s="111"/>
    </row>
    <row r="4957" spans="1:18">
      <c r="A4957" s="110" t="s">
        <v>308</v>
      </c>
      <c r="B4957" s="111" t="s">
        <v>309</v>
      </c>
      <c r="C4957" s="112" t="s">
        <v>228</v>
      </c>
      <c r="D4957" s="118" t="s">
        <v>17</v>
      </c>
      <c r="E4957" s="175" t="s">
        <v>15</v>
      </c>
      <c r="F4957" s="175" t="s">
        <v>66</v>
      </c>
      <c r="G4957" s="176">
        <v>29.5</v>
      </c>
      <c r="H4957" s="177">
        <v>9.6999999999999993</v>
      </c>
      <c r="I4957" s="178">
        <v>2</v>
      </c>
      <c r="J4957" s="174">
        <f t="shared" si="634"/>
        <v>0.57229999999999992</v>
      </c>
      <c r="K4957" s="118"/>
      <c r="L4957" s="111">
        <v>2</v>
      </c>
      <c r="M4957" s="117">
        <f t="shared" si="635"/>
        <v>0.57229999999999992</v>
      </c>
      <c r="N4957" s="119">
        <f t="shared" si="636"/>
        <v>0</v>
      </c>
      <c r="O4957" s="120">
        <f t="shared" si="637"/>
        <v>0</v>
      </c>
      <c r="P4957" s="111"/>
      <c r="Q4957" s="111"/>
      <c r="R4957" s="111"/>
    </row>
    <row r="4958" spans="1:18">
      <c r="A4958" s="110" t="s">
        <v>308</v>
      </c>
      <c r="B4958" s="111" t="s">
        <v>309</v>
      </c>
      <c r="C4958" s="112" t="s">
        <v>228</v>
      </c>
      <c r="D4958" s="118" t="s">
        <v>17</v>
      </c>
      <c r="E4958" s="175" t="s">
        <v>15</v>
      </c>
      <c r="F4958" s="175" t="s">
        <v>66</v>
      </c>
      <c r="G4958" s="176">
        <v>29.5</v>
      </c>
      <c r="H4958" s="177">
        <v>10</v>
      </c>
      <c r="I4958" s="178">
        <v>12</v>
      </c>
      <c r="J4958" s="174">
        <f t="shared" si="634"/>
        <v>3.54</v>
      </c>
      <c r="K4958" s="118"/>
      <c r="L4958" s="111">
        <v>12</v>
      </c>
      <c r="M4958" s="117">
        <f t="shared" si="635"/>
        <v>3.54</v>
      </c>
      <c r="N4958" s="119">
        <f t="shared" si="636"/>
        <v>0</v>
      </c>
      <c r="O4958" s="120">
        <f t="shared" si="637"/>
        <v>0</v>
      </c>
      <c r="P4958" s="111"/>
      <c r="Q4958" s="111"/>
      <c r="R4958" s="111"/>
    </row>
    <row r="4959" spans="1:18">
      <c r="A4959" s="110" t="s">
        <v>308</v>
      </c>
      <c r="B4959" s="111" t="s">
        <v>309</v>
      </c>
      <c r="C4959" s="112" t="s">
        <v>228</v>
      </c>
      <c r="D4959" s="118" t="s">
        <v>17</v>
      </c>
      <c r="E4959" s="175" t="s">
        <v>15</v>
      </c>
      <c r="F4959" s="175" t="s">
        <v>66</v>
      </c>
      <c r="G4959" s="176">
        <v>29.5</v>
      </c>
      <c r="H4959" s="177">
        <v>10.1</v>
      </c>
      <c r="I4959" s="178">
        <v>4</v>
      </c>
      <c r="J4959" s="174">
        <f t="shared" si="634"/>
        <v>1.1918</v>
      </c>
      <c r="K4959" s="118"/>
      <c r="L4959" s="111">
        <v>4</v>
      </c>
      <c r="M4959" s="117">
        <f t="shared" si="635"/>
        <v>1.1918</v>
      </c>
      <c r="N4959" s="119">
        <f t="shared" si="636"/>
        <v>0</v>
      </c>
      <c r="O4959" s="120">
        <f t="shared" si="637"/>
        <v>0</v>
      </c>
      <c r="P4959" s="111"/>
      <c r="Q4959" s="111"/>
      <c r="R4959" s="111"/>
    </row>
    <row r="4960" spans="1:18">
      <c r="A4960" s="110" t="s">
        <v>308</v>
      </c>
      <c r="B4960" s="111" t="s">
        <v>309</v>
      </c>
      <c r="C4960" s="112" t="s">
        <v>228</v>
      </c>
      <c r="D4960" s="118" t="s">
        <v>17</v>
      </c>
      <c r="E4960" s="175" t="s">
        <v>15</v>
      </c>
      <c r="F4960" s="175" t="s">
        <v>66</v>
      </c>
      <c r="G4960" s="176">
        <v>29.5</v>
      </c>
      <c r="H4960" s="177">
        <v>11.8</v>
      </c>
      <c r="I4960" s="178">
        <v>28</v>
      </c>
      <c r="J4960" s="174">
        <f t="shared" si="634"/>
        <v>9.7468000000000004</v>
      </c>
      <c r="K4960" s="118"/>
      <c r="L4960" s="111">
        <v>28</v>
      </c>
      <c r="M4960" s="117">
        <f t="shared" si="635"/>
        <v>9.7468000000000004</v>
      </c>
      <c r="N4960" s="119">
        <f t="shared" si="636"/>
        <v>0</v>
      </c>
      <c r="O4960" s="120">
        <f t="shared" si="637"/>
        <v>0</v>
      </c>
      <c r="P4960" s="111"/>
      <c r="Q4960" s="111"/>
      <c r="R4960" s="111"/>
    </row>
    <row r="4961" spans="1:18">
      <c r="A4961" s="110" t="s">
        <v>308</v>
      </c>
      <c r="B4961" s="111" t="s">
        <v>309</v>
      </c>
      <c r="C4961" s="112" t="s">
        <v>228</v>
      </c>
      <c r="D4961" s="118" t="s">
        <v>17</v>
      </c>
      <c r="E4961" s="175" t="s">
        <v>15</v>
      </c>
      <c r="F4961" s="175" t="s">
        <v>66</v>
      </c>
      <c r="G4961" s="176">
        <v>29.5</v>
      </c>
      <c r="H4961" s="177">
        <v>11.7</v>
      </c>
      <c r="I4961" s="178">
        <v>2</v>
      </c>
      <c r="J4961" s="174">
        <f t="shared" si="634"/>
        <v>0.69029999999999991</v>
      </c>
      <c r="K4961" s="118"/>
      <c r="L4961" s="111">
        <v>2</v>
      </c>
      <c r="M4961" s="117">
        <f t="shared" si="635"/>
        <v>0.69029999999999991</v>
      </c>
      <c r="N4961" s="145">
        <f t="shared" si="636"/>
        <v>0</v>
      </c>
      <c r="O4961" s="120">
        <f t="shared" si="637"/>
        <v>0</v>
      </c>
      <c r="P4961" s="111"/>
      <c r="Q4961" s="111"/>
      <c r="R4961" s="111"/>
    </row>
    <row r="4962" spans="1:18">
      <c r="A4962" s="110" t="s">
        <v>308</v>
      </c>
      <c r="B4962" s="111" t="s">
        <v>309</v>
      </c>
      <c r="C4962" s="112" t="s">
        <v>228</v>
      </c>
      <c r="D4962" s="118" t="s">
        <v>17</v>
      </c>
      <c r="E4962" s="175" t="s">
        <v>15</v>
      </c>
      <c r="F4962" s="175" t="s">
        <v>66</v>
      </c>
      <c r="G4962" s="176">
        <v>29.5</v>
      </c>
      <c r="H4962" s="177">
        <v>11.8</v>
      </c>
      <c r="I4962" s="178">
        <v>1</v>
      </c>
      <c r="J4962" s="174">
        <f t="shared" si="634"/>
        <v>0.34810000000000002</v>
      </c>
      <c r="K4962" s="118"/>
      <c r="L4962" s="111">
        <v>1</v>
      </c>
      <c r="M4962" s="117">
        <f t="shared" si="635"/>
        <v>0.34810000000000002</v>
      </c>
      <c r="N4962" s="119">
        <f t="shared" si="636"/>
        <v>0</v>
      </c>
      <c r="O4962" s="120">
        <f t="shared" si="637"/>
        <v>0</v>
      </c>
      <c r="P4962" s="111"/>
      <c r="Q4962" s="111"/>
      <c r="R4962" s="111"/>
    </row>
    <row r="4963" spans="1:18">
      <c r="A4963" s="110" t="s">
        <v>308</v>
      </c>
      <c r="B4963" s="111" t="s">
        <v>309</v>
      </c>
      <c r="C4963" s="112" t="s">
        <v>228</v>
      </c>
      <c r="D4963" s="118" t="s">
        <v>17</v>
      </c>
      <c r="E4963" s="175" t="s">
        <v>15</v>
      </c>
      <c r="F4963" s="175" t="s">
        <v>66</v>
      </c>
      <c r="G4963" s="176">
        <v>29.5</v>
      </c>
      <c r="H4963" s="177">
        <v>9.6</v>
      </c>
      <c r="I4963" s="178">
        <v>4</v>
      </c>
      <c r="J4963" s="174">
        <f t="shared" si="634"/>
        <v>1.1328</v>
      </c>
      <c r="K4963" s="118"/>
      <c r="L4963" s="111">
        <v>2</v>
      </c>
      <c r="M4963" s="117">
        <f t="shared" si="635"/>
        <v>0.56640000000000001</v>
      </c>
      <c r="N4963" s="119">
        <f t="shared" si="636"/>
        <v>2</v>
      </c>
      <c r="O4963" s="120">
        <f t="shared" si="637"/>
        <v>0.56640000000000001</v>
      </c>
      <c r="P4963" s="91">
        <v>7.3</v>
      </c>
      <c r="Q4963" s="91">
        <v>2</v>
      </c>
      <c r="R4963" s="91" t="s">
        <v>686</v>
      </c>
    </row>
    <row r="4964" spans="1:18">
      <c r="A4964" s="110" t="s">
        <v>308</v>
      </c>
      <c r="B4964" s="111" t="s">
        <v>309</v>
      </c>
      <c r="C4964" s="112" t="s">
        <v>228</v>
      </c>
      <c r="D4964" s="118" t="s">
        <v>17</v>
      </c>
      <c r="E4964" s="175" t="s">
        <v>15</v>
      </c>
      <c r="F4964" s="175" t="s">
        <v>66</v>
      </c>
      <c r="G4964" s="176">
        <v>29.5</v>
      </c>
      <c r="H4964" s="177">
        <v>10.5</v>
      </c>
      <c r="I4964" s="178">
        <v>3</v>
      </c>
      <c r="J4964" s="174">
        <f t="shared" si="634"/>
        <v>0.92925000000000002</v>
      </c>
      <c r="K4964" s="118"/>
      <c r="L4964" s="111">
        <f>2+1</f>
        <v>3</v>
      </c>
      <c r="M4964" s="117">
        <f t="shared" si="635"/>
        <v>0.92925000000000002</v>
      </c>
      <c r="N4964" s="119">
        <f t="shared" si="636"/>
        <v>0</v>
      </c>
      <c r="O4964" s="120">
        <f t="shared" si="637"/>
        <v>0</v>
      </c>
      <c r="P4964" s="111"/>
      <c r="Q4964" s="111"/>
      <c r="R4964" s="111"/>
    </row>
    <row r="4965" spans="1:18">
      <c r="A4965" s="110" t="s">
        <v>308</v>
      </c>
      <c r="B4965" s="111" t="s">
        <v>309</v>
      </c>
      <c r="C4965" s="112" t="s">
        <v>228</v>
      </c>
      <c r="D4965" s="118" t="s">
        <v>17</v>
      </c>
      <c r="E4965" s="175" t="s">
        <v>15</v>
      </c>
      <c r="F4965" s="175" t="s">
        <v>66</v>
      </c>
      <c r="G4965" s="176">
        <v>29.5</v>
      </c>
      <c r="H4965" s="177">
        <v>10.1</v>
      </c>
      <c r="I4965" s="178">
        <v>1</v>
      </c>
      <c r="J4965" s="174">
        <f t="shared" si="634"/>
        <v>0.29794999999999999</v>
      </c>
      <c r="K4965" s="118"/>
      <c r="L4965" s="111">
        <v>1</v>
      </c>
      <c r="M4965" s="117">
        <f t="shared" si="635"/>
        <v>0.29794999999999999</v>
      </c>
      <c r="N4965" s="119">
        <f t="shared" si="636"/>
        <v>0</v>
      </c>
      <c r="O4965" s="120">
        <f t="shared" si="637"/>
        <v>0</v>
      </c>
      <c r="P4965" s="111"/>
      <c r="Q4965" s="111"/>
      <c r="R4965" s="111"/>
    </row>
    <row r="4966" spans="1:18">
      <c r="A4966" s="110" t="s">
        <v>308</v>
      </c>
      <c r="B4966" s="111" t="s">
        <v>309</v>
      </c>
      <c r="C4966" s="112" t="s">
        <v>228</v>
      </c>
      <c r="D4966" s="118" t="s">
        <v>17</v>
      </c>
      <c r="E4966" s="175" t="s">
        <v>15</v>
      </c>
      <c r="F4966" s="175" t="s">
        <v>66</v>
      </c>
      <c r="G4966" s="176">
        <v>29.5</v>
      </c>
      <c r="H4966" s="177">
        <v>8.4</v>
      </c>
      <c r="I4966" s="178">
        <v>1</v>
      </c>
      <c r="J4966" s="174">
        <f t="shared" si="634"/>
        <v>0.24780000000000002</v>
      </c>
      <c r="K4966" s="118"/>
      <c r="L4966" s="111">
        <v>1</v>
      </c>
      <c r="M4966" s="117">
        <f t="shared" si="635"/>
        <v>0.24780000000000002</v>
      </c>
      <c r="N4966" s="119">
        <f t="shared" si="636"/>
        <v>0</v>
      </c>
      <c r="O4966" s="120">
        <f t="shared" si="637"/>
        <v>0</v>
      </c>
      <c r="P4966" s="111"/>
      <c r="Q4966" s="111"/>
      <c r="R4966" s="111"/>
    </row>
    <row r="4967" spans="1:18">
      <c r="A4967" s="110" t="s">
        <v>308</v>
      </c>
      <c r="B4967" s="111" t="s">
        <v>309</v>
      </c>
      <c r="C4967" s="112" t="s">
        <v>228</v>
      </c>
      <c r="D4967" s="118" t="s">
        <v>17</v>
      </c>
      <c r="E4967" s="175" t="s">
        <v>15</v>
      </c>
      <c r="F4967" s="175" t="s">
        <v>66</v>
      </c>
      <c r="G4967" s="176">
        <v>29.5</v>
      </c>
      <c r="H4967" s="177">
        <v>10.1</v>
      </c>
      <c r="I4967" s="178">
        <v>2</v>
      </c>
      <c r="J4967" s="174">
        <f t="shared" si="634"/>
        <v>0.59589999999999999</v>
      </c>
      <c r="K4967" s="118"/>
      <c r="L4967" s="111">
        <v>2</v>
      </c>
      <c r="M4967" s="117">
        <f t="shared" si="635"/>
        <v>0.59589999999999999</v>
      </c>
      <c r="N4967" s="119">
        <f t="shared" si="636"/>
        <v>0</v>
      </c>
      <c r="O4967" s="120">
        <f t="shared" si="637"/>
        <v>0</v>
      </c>
      <c r="P4967" s="111"/>
      <c r="Q4967" s="111"/>
      <c r="R4967" s="111"/>
    </row>
    <row r="4968" spans="1:18">
      <c r="A4968" s="110" t="s">
        <v>308</v>
      </c>
      <c r="B4968" s="111" t="s">
        <v>309</v>
      </c>
      <c r="C4968" s="112" t="s">
        <v>228</v>
      </c>
      <c r="D4968" s="118" t="s">
        <v>17</v>
      </c>
      <c r="E4968" s="175" t="s">
        <v>15</v>
      </c>
      <c r="F4968" s="175" t="s">
        <v>66</v>
      </c>
      <c r="G4968" s="176">
        <v>29.5</v>
      </c>
      <c r="H4968" s="177">
        <v>11.8</v>
      </c>
      <c r="I4968" s="178">
        <v>2</v>
      </c>
      <c r="J4968" s="174">
        <f t="shared" si="634"/>
        <v>0.69620000000000004</v>
      </c>
      <c r="K4968" s="118"/>
      <c r="L4968" s="111">
        <v>1</v>
      </c>
      <c r="M4968" s="117">
        <f t="shared" si="635"/>
        <v>0.34810000000000002</v>
      </c>
      <c r="N4968" s="119">
        <f t="shared" si="636"/>
        <v>1</v>
      </c>
      <c r="O4968" s="120">
        <f t="shared" si="637"/>
        <v>0.34810000000000002</v>
      </c>
      <c r="P4968" s="111"/>
      <c r="Q4968" s="111"/>
      <c r="R4968" s="111"/>
    </row>
    <row r="4969" spans="1:18">
      <c r="A4969" s="110" t="s">
        <v>308</v>
      </c>
      <c r="B4969" s="111" t="s">
        <v>309</v>
      </c>
      <c r="C4969" s="112" t="s">
        <v>228</v>
      </c>
      <c r="D4969" s="118" t="s">
        <v>17</v>
      </c>
      <c r="E4969" s="175" t="s">
        <v>15</v>
      </c>
      <c r="F4969" s="175" t="s">
        <v>66</v>
      </c>
      <c r="G4969" s="176">
        <v>29.5</v>
      </c>
      <c r="H4969" s="177">
        <v>11.7</v>
      </c>
      <c r="I4969" s="178">
        <v>1</v>
      </c>
      <c r="J4969" s="174">
        <f t="shared" si="634"/>
        <v>0.34514999999999996</v>
      </c>
      <c r="K4969" s="118"/>
      <c r="L4969" s="111"/>
      <c r="M4969" s="117">
        <f t="shared" si="635"/>
        <v>0</v>
      </c>
      <c r="N4969" s="119">
        <f t="shared" si="636"/>
        <v>1</v>
      </c>
      <c r="O4969" s="120">
        <f t="shared" si="637"/>
        <v>0.34514999999999996</v>
      </c>
      <c r="P4969" s="111"/>
      <c r="Q4969" s="111"/>
      <c r="R4969" s="111"/>
    </row>
    <row r="4970" spans="1:18">
      <c r="A4970" s="110" t="s">
        <v>308</v>
      </c>
      <c r="B4970" s="111" t="s">
        <v>309</v>
      </c>
      <c r="C4970" s="112" t="s">
        <v>228</v>
      </c>
      <c r="D4970" s="118" t="s">
        <v>17</v>
      </c>
      <c r="E4970" s="175" t="s">
        <v>15</v>
      </c>
      <c r="F4970" s="175" t="s">
        <v>66</v>
      </c>
      <c r="G4970" s="176">
        <v>29.5</v>
      </c>
      <c r="H4970" s="179">
        <v>9.4</v>
      </c>
      <c r="I4970" s="178">
        <v>2</v>
      </c>
      <c r="J4970" s="174">
        <f t="shared" si="634"/>
        <v>0.55459999999999998</v>
      </c>
      <c r="K4970" s="118"/>
      <c r="L4970" s="111">
        <v>1</v>
      </c>
      <c r="M4970" s="117">
        <f t="shared" si="635"/>
        <v>0.27729999999999999</v>
      </c>
      <c r="N4970" s="119">
        <f t="shared" si="636"/>
        <v>1</v>
      </c>
      <c r="O4970" s="120">
        <f t="shared" si="637"/>
        <v>0.27729999999999999</v>
      </c>
      <c r="P4970" s="111"/>
      <c r="Q4970" s="111"/>
      <c r="R4970" s="111"/>
    </row>
    <row r="4971" spans="1:18">
      <c r="A4971" s="110" t="s">
        <v>308</v>
      </c>
      <c r="B4971" s="111" t="s">
        <v>309</v>
      </c>
      <c r="C4971" s="112" t="s">
        <v>228</v>
      </c>
      <c r="D4971" s="118" t="s">
        <v>17</v>
      </c>
      <c r="E4971" s="175" t="s">
        <v>15</v>
      </c>
      <c r="F4971" s="175" t="s">
        <v>66</v>
      </c>
      <c r="G4971" s="176">
        <v>29.5</v>
      </c>
      <c r="H4971" s="179">
        <v>6.5</v>
      </c>
      <c r="I4971" s="178">
        <v>1</v>
      </c>
      <c r="J4971" s="174">
        <f t="shared" si="634"/>
        <v>0.19175</v>
      </c>
      <c r="K4971" s="118"/>
      <c r="L4971" s="111"/>
      <c r="M4971" s="117">
        <f t="shared" si="635"/>
        <v>0</v>
      </c>
      <c r="N4971" s="119">
        <f t="shared" si="636"/>
        <v>1</v>
      </c>
      <c r="O4971" s="120">
        <f t="shared" si="637"/>
        <v>0.19175</v>
      </c>
      <c r="P4971" s="111"/>
      <c r="Q4971" s="111"/>
      <c r="R4971" s="111"/>
    </row>
    <row r="4972" spans="1:18">
      <c r="A4972" s="213"/>
      <c r="B4972" s="213"/>
      <c r="C4972" s="213"/>
      <c r="D4972" s="213"/>
      <c r="E4972" s="213"/>
      <c r="F4972" s="213"/>
      <c r="G4972" s="213"/>
      <c r="H4972" s="213"/>
      <c r="I4972" s="78">
        <f>SUM(I4955:I4971)</f>
        <v>96</v>
      </c>
      <c r="J4972" s="214">
        <f>SUM(J4955:J4971)</f>
        <v>28.349500000000003</v>
      </c>
      <c r="K4972" s="213"/>
      <c r="L4972" s="78">
        <f>SUM(L4955:L4971)</f>
        <v>90</v>
      </c>
      <c r="M4972" s="214">
        <f>SUM(M4955:M4971)</f>
        <v>26.620800000000003</v>
      </c>
      <c r="N4972" s="78">
        <f>SUM(N4955:N4971)</f>
        <v>6</v>
      </c>
      <c r="O4972" s="214">
        <f>SUM(O4955:O4971)</f>
        <v>1.7287000000000001</v>
      </c>
      <c r="P4972" s="213"/>
      <c r="Q4972" s="213"/>
      <c r="R4972" s="213"/>
    </row>
    <row r="4976" spans="1:18">
      <c r="A4976" s="47" t="s">
        <v>147</v>
      </c>
      <c r="B4976" s="48" t="s">
        <v>148</v>
      </c>
      <c r="C4976" s="32">
        <v>344</v>
      </c>
      <c r="D4976" s="48" t="s">
        <v>19</v>
      </c>
      <c r="E4976" s="48" t="s">
        <v>14</v>
      </c>
      <c r="F4976" s="48" t="s">
        <v>16</v>
      </c>
      <c r="G4976" s="11">
        <v>5.77</v>
      </c>
      <c r="H4976" s="52">
        <v>6</v>
      </c>
      <c r="I4976" s="7">
        <v>2</v>
      </c>
      <c r="J4976" s="10">
        <v>6.9239999999999996E-2</v>
      </c>
      <c r="K4976" s="32"/>
      <c r="L4976" s="18">
        <v>0</v>
      </c>
      <c r="M4976" s="19">
        <v>2</v>
      </c>
      <c r="N4976" s="13">
        <v>6.9239999999999996E-2</v>
      </c>
      <c r="O4976" s="55"/>
      <c r="P4976" s="32"/>
      <c r="Q4976" s="32"/>
    </row>
    <row r="4977" spans="1:20">
      <c r="A4977" s="47" t="s">
        <v>147</v>
      </c>
      <c r="B4977" s="48" t="s">
        <v>148</v>
      </c>
      <c r="C4977" s="32">
        <v>278</v>
      </c>
      <c r="D4977" s="48" t="s">
        <v>24</v>
      </c>
      <c r="E4977" s="48" t="s">
        <v>14</v>
      </c>
      <c r="F4977" s="48" t="s">
        <v>16</v>
      </c>
      <c r="G4977" s="11">
        <v>5.77</v>
      </c>
      <c r="H4977" s="52">
        <v>11.65</v>
      </c>
      <c r="I4977" s="7">
        <v>1</v>
      </c>
      <c r="J4977" s="10">
        <v>6.7220500000000002E-2</v>
      </c>
      <c r="K4977" s="32"/>
      <c r="L4977" s="18">
        <v>0</v>
      </c>
      <c r="M4977" s="19">
        <v>1</v>
      </c>
      <c r="N4977" s="13">
        <v>6.7220500000000002E-2</v>
      </c>
      <c r="O4977" s="32"/>
      <c r="P4977" s="32"/>
      <c r="Q4977" s="32"/>
    </row>
    <row r="4978" spans="1:20">
      <c r="A4978" s="47" t="s">
        <v>147</v>
      </c>
      <c r="B4978" s="48" t="s">
        <v>148</v>
      </c>
      <c r="C4978" s="32">
        <v>284</v>
      </c>
      <c r="D4978" s="69" t="s">
        <v>19</v>
      </c>
      <c r="E4978" s="69" t="s">
        <v>14</v>
      </c>
      <c r="F4978" s="69" t="s">
        <v>16</v>
      </c>
      <c r="G4978" s="61">
        <v>5.77</v>
      </c>
      <c r="H4978" s="109">
        <v>12</v>
      </c>
      <c r="I4978" s="60">
        <v>1</v>
      </c>
      <c r="J4978" s="62">
        <v>6.9239999999999996E-2</v>
      </c>
      <c r="K4978" s="67"/>
      <c r="L4978" s="63">
        <v>0</v>
      </c>
      <c r="M4978" s="64">
        <v>1</v>
      </c>
      <c r="N4978" s="65">
        <v>6.9239999999999996E-2</v>
      </c>
      <c r="O4978" s="55"/>
      <c r="P4978" s="32"/>
      <c r="Q4978" s="32"/>
    </row>
    <row r="4979" spans="1:20">
      <c r="A4979" s="45" t="s">
        <v>136</v>
      </c>
      <c r="B4979" s="48" t="s">
        <v>171</v>
      </c>
      <c r="C4979" s="32">
        <v>131</v>
      </c>
      <c r="D4979" s="48" t="s">
        <v>19</v>
      </c>
      <c r="E4979" s="48" t="s">
        <v>14</v>
      </c>
      <c r="F4979" s="48" t="s">
        <v>16</v>
      </c>
      <c r="G4979" s="11">
        <v>5.77</v>
      </c>
      <c r="H4979" s="52">
        <v>10.5</v>
      </c>
      <c r="I4979" s="7">
        <v>2</v>
      </c>
      <c r="J4979" s="10">
        <v>0.12116999999999999</v>
      </c>
      <c r="K4979" s="32">
        <v>2</v>
      </c>
      <c r="L4979" s="18">
        <v>0.12116999999999999</v>
      </c>
      <c r="M4979" s="19">
        <v>0</v>
      </c>
      <c r="N4979" s="13">
        <v>0</v>
      </c>
      <c r="O4979" s="98">
        <v>7.25</v>
      </c>
      <c r="P4979" s="91">
        <v>2</v>
      </c>
      <c r="Q4979" s="91" t="s">
        <v>542</v>
      </c>
    </row>
    <row r="4980" spans="1:20">
      <c r="A4980" s="45" t="s">
        <v>136</v>
      </c>
      <c r="B4980" s="48" t="s">
        <v>171</v>
      </c>
      <c r="C4980" s="32">
        <v>131</v>
      </c>
      <c r="D4980" s="48" t="s">
        <v>19</v>
      </c>
      <c r="E4980" s="48" t="s">
        <v>14</v>
      </c>
      <c r="F4980" s="48" t="s">
        <v>16</v>
      </c>
      <c r="G4980" s="11">
        <v>5.77</v>
      </c>
      <c r="H4980" s="52">
        <v>10</v>
      </c>
      <c r="I4980" s="7">
        <v>1</v>
      </c>
      <c r="J4980" s="10">
        <v>5.7699999999999994E-2</v>
      </c>
      <c r="K4980" s="32">
        <v>1</v>
      </c>
      <c r="L4980" s="18">
        <v>5.7699999999999994E-2</v>
      </c>
      <c r="M4980" s="19">
        <v>0</v>
      </c>
      <c r="N4980" s="13">
        <v>0</v>
      </c>
      <c r="O4980" s="98">
        <v>7.25</v>
      </c>
      <c r="P4980" s="91">
        <v>1</v>
      </c>
      <c r="Q4980" s="91" t="s">
        <v>542</v>
      </c>
    </row>
    <row r="4981" spans="1:20">
      <c r="A4981" s="45" t="s">
        <v>136</v>
      </c>
      <c r="B4981" s="48" t="s">
        <v>171</v>
      </c>
      <c r="C4981" s="32">
        <v>131</v>
      </c>
      <c r="D4981" s="48" t="s">
        <v>19</v>
      </c>
      <c r="E4981" s="48" t="s">
        <v>14</v>
      </c>
      <c r="F4981" s="48" t="s">
        <v>16</v>
      </c>
      <c r="G4981" s="11">
        <v>5.77</v>
      </c>
      <c r="H4981" s="52">
        <v>6.3</v>
      </c>
      <c r="I4981" s="7">
        <v>1</v>
      </c>
      <c r="J4981" s="10">
        <v>3.6351000000000001E-2</v>
      </c>
      <c r="K4981" s="32"/>
      <c r="L4981" s="18">
        <v>0</v>
      </c>
      <c r="M4981" s="19">
        <v>1</v>
      </c>
      <c r="N4981" s="13">
        <v>3.6351000000000001E-2</v>
      </c>
      <c r="O4981" s="33"/>
      <c r="P4981" s="32"/>
      <c r="Q4981" s="32"/>
    </row>
    <row r="4982" spans="1:20">
      <c r="A4982" s="45" t="s">
        <v>136</v>
      </c>
      <c r="B4982" s="48" t="s">
        <v>171</v>
      </c>
      <c r="C4982" s="32">
        <v>146</v>
      </c>
      <c r="D4982" s="48" t="s">
        <v>19</v>
      </c>
      <c r="E4982" s="48" t="s">
        <v>14</v>
      </c>
      <c r="F4982" s="48" t="s">
        <v>16</v>
      </c>
      <c r="G4982" s="11">
        <v>5.77</v>
      </c>
      <c r="H4982" s="9">
        <v>9</v>
      </c>
      <c r="I4982" s="7">
        <v>1</v>
      </c>
      <c r="J4982" s="10">
        <v>5.192999999999999E-2</v>
      </c>
      <c r="K4982" s="32">
        <v>1</v>
      </c>
      <c r="L4982" s="18">
        <v>5.192999999999999E-2</v>
      </c>
      <c r="M4982" s="19">
        <v>0</v>
      </c>
      <c r="N4982" s="13">
        <v>0</v>
      </c>
      <c r="O4982" s="98">
        <v>7.25</v>
      </c>
      <c r="P4982" s="91">
        <v>1</v>
      </c>
      <c r="Q4982" s="91" t="s">
        <v>542</v>
      </c>
    </row>
    <row r="4983" spans="1:20">
      <c r="A4983" s="45" t="s">
        <v>136</v>
      </c>
      <c r="B4983" s="48" t="s">
        <v>171</v>
      </c>
      <c r="C4983" s="32">
        <v>146</v>
      </c>
      <c r="D4983" s="48" t="s">
        <v>19</v>
      </c>
      <c r="E4983" s="48" t="s">
        <v>14</v>
      </c>
      <c r="F4983" s="48" t="s">
        <v>16</v>
      </c>
      <c r="G4983" s="11">
        <v>5.77</v>
      </c>
      <c r="H4983" s="9">
        <v>9.5</v>
      </c>
      <c r="I4983" s="7">
        <v>1</v>
      </c>
      <c r="J4983" s="10">
        <v>5.4814999999999996E-2</v>
      </c>
      <c r="K4983" s="32">
        <v>1</v>
      </c>
      <c r="L4983" s="18">
        <v>5.4814999999999996E-2</v>
      </c>
      <c r="M4983" s="19">
        <v>0</v>
      </c>
      <c r="N4983" s="13">
        <v>0</v>
      </c>
      <c r="O4983" s="98">
        <v>7.25</v>
      </c>
      <c r="P4983" s="91">
        <v>1</v>
      </c>
      <c r="Q4983" s="91" t="s">
        <v>542</v>
      </c>
    </row>
    <row r="4984" spans="1:20">
      <c r="A4984" s="45" t="s">
        <v>136</v>
      </c>
      <c r="B4984" s="48" t="s">
        <v>171</v>
      </c>
      <c r="C4984" s="32">
        <v>146</v>
      </c>
      <c r="D4984" s="48" t="s">
        <v>19</v>
      </c>
      <c r="E4984" s="48" t="s">
        <v>14</v>
      </c>
      <c r="F4984" s="48" t="s">
        <v>16</v>
      </c>
      <c r="G4984" s="11">
        <v>5.77</v>
      </c>
      <c r="H4984" s="9">
        <v>12</v>
      </c>
      <c r="I4984" s="7">
        <v>1</v>
      </c>
      <c r="J4984" s="10">
        <v>6.9239999999999996E-2</v>
      </c>
      <c r="K4984" s="32">
        <v>1</v>
      </c>
      <c r="L4984" s="18">
        <v>6.9239999999999996E-2</v>
      </c>
      <c r="M4984" s="19">
        <v>0</v>
      </c>
      <c r="N4984" s="13">
        <v>0</v>
      </c>
      <c r="O4984" s="98">
        <v>12</v>
      </c>
      <c r="P4984" s="91">
        <v>1</v>
      </c>
      <c r="Q4984" s="91" t="s">
        <v>542</v>
      </c>
    </row>
    <row r="4985" spans="1:20">
      <c r="A4985" s="45" t="s">
        <v>136</v>
      </c>
      <c r="B4985" s="48" t="s">
        <v>171</v>
      </c>
      <c r="C4985" s="32">
        <v>146</v>
      </c>
      <c r="D4985" s="48" t="s">
        <v>19</v>
      </c>
      <c r="E4985" s="48" t="s">
        <v>14</v>
      </c>
      <c r="F4985" s="48" t="s">
        <v>16</v>
      </c>
      <c r="G4985" s="11">
        <v>5.77</v>
      </c>
      <c r="H4985" s="9">
        <v>10.8</v>
      </c>
      <c r="I4985" s="7">
        <v>1</v>
      </c>
      <c r="J4985" s="10">
        <v>6.2316000000000003E-2</v>
      </c>
      <c r="K4985" s="32">
        <v>1</v>
      </c>
      <c r="L4985" s="18">
        <v>6.2316000000000003E-2</v>
      </c>
      <c r="M4985" s="19">
        <v>0</v>
      </c>
      <c r="N4985" s="13">
        <v>0</v>
      </c>
      <c r="O4985" s="98">
        <v>7.25</v>
      </c>
      <c r="P4985" s="91">
        <v>1</v>
      </c>
      <c r="Q4985" s="91" t="s">
        <v>542</v>
      </c>
    </row>
    <row r="4986" spans="1:20">
      <c r="M4986" s="78">
        <f>SUM(M4976:M4985)</f>
        <v>5</v>
      </c>
      <c r="P4986" s="215">
        <f>SUM(P4976:P4985)</f>
        <v>7</v>
      </c>
    </row>
    <row r="4988" spans="1:20" ht="15.6">
      <c r="A4988" s="110" t="s">
        <v>391</v>
      </c>
      <c r="B4988" s="111" t="s">
        <v>227</v>
      </c>
      <c r="C4988" s="112" t="s">
        <v>430</v>
      </c>
      <c r="D4988" s="113" t="s">
        <v>24</v>
      </c>
      <c r="E4988" s="114" t="s">
        <v>14</v>
      </c>
      <c r="F4988" s="115" t="s">
        <v>16</v>
      </c>
      <c r="G4988" s="116">
        <v>5.77</v>
      </c>
      <c r="H4988" s="125">
        <v>11.5</v>
      </c>
      <c r="I4988" s="111">
        <v>2</v>
      </c>
      <c r="J4988" s="117">
        <f t="shared" ref="J4988:J5000" si="638">H4988*G4988*I4988/1000</f>
        <v>0.13270999999999997</v>
      </c>
      <c r="K4988" s="118"/>
      <c r="L4988" s="111">
        <v>2</v>
      </c>
      <c r="M4988" s="117">
        <f t="shared" ref="M4988:M5000" si="639">H4988*L4988*G4988/1000</f>
        <v>0.13270999999999997</v>
      </c>
      <c r="N4988" s="119">
        <f t="shared" ref="N4988:N5000" si="640">I4988-L4988</f>
        <v>0</v>
      </c>
      <c r="O4988" s="120">
        <f t="shared" ref="O4988:O4998" si="641">H4988*N4988*G4988/1000</f>
        <v>0</v>
      </c>
      <c r="P4988" s="32"/>
      <c r="Q4988" s="32"/>
      <c r="R4988" s="32"/>
      <c r="S4988" s="32"/>
      <c r="T4988" s="213"/>
    </row>
    <row r="4989" spans="1:20" ht="15.6">
      <c r="A4989" s="110" t="s">
        <v>391</v>
      </c>
      <c r="B4989" s="111" t="s">
        <v>227</v>
      </c>
      <c r="C4989" s="112" t="s">
        <v>430</v>
      </c>
      <c r="D4989" s="113" t="s">
        <v>24</v>
      </c>
      <c r="E4989" s="114" t="s">
        <v>14</v>
      </c>
      <c r="F4989" s="115" t="s">
        <v>16</v>
      </c>
      <c r="G4989" s="116">
        <v>5.77</v>
      </c>
      <c r="H4989" s="125">
        <v>11</v>
      </c>
      <c r="I4989" s="111">
        <v>9</v>
      </c>
      <c r="J4989" s="117">
        <f t="shared" si="638"/>
        <v>0.57123000000000002</v>
      </c>
      <c r="K4989" s="118"/>
      <c r="L4989" s="111">
        <f>5+4</f>
        <v>9</v>
      </c>
      <c r="M4989" s="117">
        <f t="shared" si="639"/>
        <v>0.5712299999999999</v>
      </c>
      <c r="N4989" s="119">
        <f t="shared" si="640"/>
        <v>0</v>
      </c>
      <c r="O4989" s="120">
        <f t="shared" si="641"/>
        <v>0</v>
      </c>
      <c r="P4989" s="32"/>
      <c r="Q4989" s="32"/>
      <c r="R4989" s="32"/>
      <c r="S4989" s="32"/>
      <c r="T4989" s="213"/>
    </row>
    <row r="4990" spans="1:20" ht="15.6">
      <c r="A4990" s="110" t="s">
        <v>391</v>
      </c>
      <c r="B4990" s="111" t="s">
        <v>227</v>
      </c>
      <c r="C4990" s="112" t="s">
        <v>430</v>
      </c>
      <c r="D4990" s="113" t="s">
        <v>24</v>
      </c>
      <c r="E4990" s="114" t="s">
        <v>14</v>
      </c>
      <c r="F4990" s="115" t="s">
        <v>16</v>
      </c>
      <c r="G4990" s="116">
        <v>5.77</v>
      </c>
      <c r="H4990" s="125">
        <v>10.5</v>
      </c>
      <c r="I4990" s="111">
        <v>3</v>
      </c>
      <c r="J4990" s="117">
        <f t="shared" si="638"/>
        <v>0.181755</v>
      </c>
      <c r="K4990" s="118"/>
      <c r="L4990" s="111">
        <v>3</v>
      </c>
      <c r="M4990" s="117">
        <f t="shared" si="639"/>
        <v>0.181755</v>
      </c>
      <c r="N4990" s="119">
        <f t="shared" si="640"/>
        <v>0</v>
      </c>
      <c r="O4990" s="120">
        <f t="shared" si="641"/>
        <v>0</v>
      </c>
      <c r="P4990" s="32"/>
      <c r="Q4990" s="32"/>
      <c r="R4990" s="32"/>
      <c r="S4990" s="32"/>
      <c r="T4990" s="213"/>
    </row>
    <row r="4991" spans="1:20" ht="15.6">
      <c r="A4991" s="110" t="s">
        <v>391</v>
      </c>
      <c r="B4991" s="111" t="s">
        <v>227</v>
      </c>
      <c r="C4991" s="112" t="s">
        <v>430</v>
      </c>
      <c r="D4991" s="113" t="s">
        <v>24</v>
      </c>
      <c r="E4991" s="114" t="s">
        <v>14</v>
      </c>
      <c r="F4991" s="115" t="s">
        <v>16</v>
      </c>
      <c r="G4991" s="116">
        <v>5.77</v>
      </c>
      <c r="H4991" s="125">
        <v>10</v>
      </c>
      <c r="I4991" s="111">
        <v>3</v>
      </c>
      <c r="J4991" s="117">
        <f t="shared" si="638"/>
        <v>0.1731</v>
      </c>
      <c r="K4991" s="118"/>
      <c r="L4991" s="111">
        <v>3</v>
      </c>
      <c r="M4991" s="117">
        <f t="shared" si="639"/>
        <v>0.1731</v>
      </c>
      <c r="N4991" s="119">
        <f t="shared" si="640"/>
        <v>0</v>
      </c>
      <c r="O4991" s="120">
        <f t="shared" si="641"/>
        <v>0</v>
      </c>
      <c r="P4991" s="32"/>
      <c r="Q4991" s="32"/>
      <c r="R4991" s="32"/>
      <c r="S4991" s="32"/>
      <c r="T4991" s="213"/>
    </row>
    <row r="4992" spans="1:20" ht="15.6">
      <c r="A4992" s="110" t="s">
        <v>391</v>
      </c>
      <c r="B4992" s="111" t="s">
        <v>227</v>
      </c>
      <c r="C4992" s="112" t="s">
        <v>430</v>
      </c>
      <c r="D4992" s="113" t="s">
        <v>24</v>
      </c>
      <c r="E4992" s="114" t="s">
        <v>14</v>
      </c>
      <c r="F4992" s="115" t="s">
        <v>16</v>
      </c>
      <c r="G4992" s="116">
        <v>5.77</v>
      </c>
      <c r="H4992" s="125">
        <v>10</v>
      </c>
      <c r="I4992" s="111">
        <v>2</v>
      </c>
      <c r="J4992" s="117">
        <f t="shared" si="638"/>
        <v>0.11539999999999999</v>
      </c>
      <c r="K4992" s="118"/>
      <c r="L4992" s="111">
        <v>2</v>
      </c>
      <c r="M4992" s="117">
        <f t="shared" si="639"/>
        <v>0.11539999999999999</v>
      </c>
      <c r="N4992" s="119">
        <f t="shared" si="640"/>
        <v>0</v>
      </c>
      <c r="O4992" s="120">
        <f t="shared" si="641"/>
        <v>0</v>
      </c>
      <c r="P4992" s="32"/>
      <c r="Q4992" s="32"/>
      <c r="R4992" s="32"/>
      <c r="S4992" s="32"/>
      <c r="T4992" s="213"/>
    </row>
    <row r="4993" spans="1:20" ht="15.6">
      <c r="A4993" s="110" t="s">
        <v>391</v>
      </c>
      <c r="B4993" s="111" t="s">
        <v>227</v>
      </c>
      <c r="C4993" s="112" t="s">
        <v>430</v>
      </c>
      <c r="D4993" s="113" t="s">
        <v>24</v>
      </c>
      <c r="E4993" s="114" t="s">
        <v>14</v>
      </c>
      <c r="F4993" s="115" t="s">
        <v>16</v>
      </c>
      <c r="G4993" s="116">
        <v>5.77</v>
      </c>
      <c r="H4993" s="125">
        <v>12</v>
      </c>
      <c r="I4993" s="111">
        <v>10</v>
      </c>
      <c r="J4993" s="117">
        <f t="shared" si="638"/>
        <v>0.69240000000000002</v>
      </c>
      <c r="K4993" s="118"/>
      <c r="L4993" s="111">
        <f>3+4+3</f>
        <v>10</v>
      </c>
      <c r="M4993" s="117">
        <f t="shared" si="639"/>
        <v>0.69240000000000002</v>
      </c>
      <c r="N4993" s="119">
        <f t="shared" si="640"/>
        <v>0</v>
      </c>
      <c r="O4993" s="120">
        <f t="shared" si="641"/>
        <v>0</v>
      </c>
      <c r="P4993" s="32">
        <v>11</v>
      </c>
      <c r="Q4993" s="32">
        <v>4</v>
      </c>
      <c r="R4993" s="94">
        <v>12</v>
      </c>
      <c r="S4993" s="93">
        <v>3</v>
      </c>
      <c r="T4993" s="170" t="s">
        <v>631</v>
      </c>
    </row>
    <row r="4994" spans="1:20" ht="15.6">
      <c r="A4994" s="110" t="s">
        <v>391</v>
      </c>
      <c r="B4994" s="111" t="s">
        <v>227</v>
      </c>
      <c r="C4994" s="112" t="s">
        <v>430</v>
      </c>
      <c r="D4994" s="113" t="s">
        <v>24</v>
      </c>
      <c r="E4994" s="114" t="s">
        <v>14</v>
      </c>
      <c r="F4994" s="115" t="s">
        <v>16</v>
      </c>
      <c r="G4994" s="116">
        <v>5.77</v>
      </c>
      <c r="H4994" s="125">
        <v>9.8000000000000007</v>
      </c>
      <c r="I4994" s="111">
        <v>1</v>
      </c>
      <c r="J4994" s="117">
        <f t="shared" si="638"/>
        <v>5.6545999999999999E-2</v>
      </c>
      <c r="K4994" s="118"/>
      <c r="L4994" s="111">
        <v>1</v>
      </c>
      <c r="M4994" s="117">
        <f t="shared" si="639"/>
        <v>5.6545999999999999E-2</v>
      </c>
      <c r="N4994" s="119">
        <f t="shared" si="640"/>
        <v>0</v>
      </c>
      <c r="O4994" s="120">
        <f t="shared" si="641"/>
        <v>0</v>
      </c>
      <c r="P4994" s="32"/>
      <c r="Q4994" s="32"/>
      <c r="R4994" s="94">
        <v>7.25</v>
      </c>
      <c r="S4994" s="93">
        <v>1</v>
      </c>
      <c r="T4994" s="170" t="s">
        <v>631</v>
      </c>
    </row>
    <row r="4995" spans="1:20" ht="15.6">
      <c r="A4995" s="110" t="s">
        <v>391</v>
      </c>
      <c r="B4995" s="111" t="s">
        <v>227</v>
      </c>
      <c r="C4995" s="112" t="s">
        <v>430</v>
      </c>
      <c r="D4995" s="113" t="s">
        <v>24</v>
      </c>
      <c r="E4995" s="114" t="s">
        <v>14</v>
      </c>
      <c r="F4995" s="115" t="s">
        <v>16</v>
      </c>
      <c r="G4995" s="116">
        <v>5.77</v>
      </c>
      <c r="H4995" s="125">
        <v>12</v>
      </c>
      <c r="I4995" s="111">
        <v>15</v>
      </c>
      <c r="J4995" s="117">
        <f t="shared" si="638"/>
        <v>1.0386</v>
      </c>
      <c r="K4995" s="118"/>
      <c r="L4995" s="111">
        <v>15</v>
      </c>
      <c r="M4995" s="117">
        <f t="shared" si="639"/>
        <v>1.0386</v>
      </c>
      <c r="N4995" s="119">
        <f t="shared" si="640"/>
        <v>0</v>
      </c>
      <c r="O4995" s="120">
        <f t="shared" si="641"/>
        <v>0</v>
      </c>
      <c r="P4995" s="32"/>
      <c r="Q4995" s="32"/>
      <c r="R4995" s="32"/>
      <c r="S4995" s="32"/>
      <c r="T4995" s="213"/>
    </row>
    <row r="4996" spans="1:20" ht="15.6">
      <c r="A4996" s="110" t="s">
        <v>391</v>
      </c>
      <c r="B4996" s="111" t="s">
        <v>227</v>
      </c>
      <c r="C4996" s="112" t="s">
        <v>430</v>
      </c>
      <c r="D4996" s="113" t="s">
        <v>24</v>
      </c>
      <c r="E4996" s="114" t="s">
        <v>14</v>
      </c>
      <c r="F4996" s="115" t="s">
        <v>16</v>
      </c>
      <c r="G4996" s="116">
        <v>5.77</v>
      </c>
      <c r="H4996" s="125">
        <v>10</v>
      </c>
      <c r="I4996" s="111">
        <v>6</v>
      </c>
      <c r="J4996" s="117">
        <f t="shared" si="638"/>
        <v>0.34620000000000001</v>
      </c>
      <c r="K4996" s="118"/>
      <c r="L4996" s="111">
        <v>6</v>
      </c>
      <c r="M4996" s="117">
        <f t="shared" si="639"/>
        <v>0.34620000000000001</v>
      </c>
      <c r="N4996" s="119">
        <f t="shared" si="640"/>
        <v>0</v>
      </c>
      <c r="O4996" s="120">
        <f t="shared" si="641"/>
        <v>0</v>
      </c>
      <c r="P4996" s="32"/>
      <c r="Q4996" s="32"/>
      <c r="R4996" s="32"/>
      <c r="S4996" s="32"/>
      <c r="T4996" s="213"/>
    </row>
    <row r="4997" spans="1:20" ht="15.6">
      <c r="A4997" s="110" t="s">
        <v>391</v>
      </c>
      <c r="B4997" s="111" t="s">
        <v>227</v>
      </c>
      <c r="C4997" s="112" t="s">
        <v>430</v>
      </c>
      <c r="D4997" s="113" t="s">
        <v>24</v>
      </c>
      <c r="E4997" s="114" t="s">
        <v>14</v>
      </c>
      <c r="F4997" s="115" t="s">
        <v>16</v>
      </c>
      <c r="G4997" s="116">
        <v>5.77</v>
      </c>
      <c r="H4997" s="125">
        <v>11</v>
      </c>
      <c r="I4997" s="111">
        <v>8</v>
      </c>
      <c r="J4997" s="117">
        <f t="shared" si="638"/>
        <v>0.50775999999999999</v>
      </c>
      <c r="K4997" s="118"/>
      <c r="L4997" s="111">
        <v>8</v>
      </c>
      <c r="M4997" s="117">
        <f t="shared" si="639"/>
        <v>0.50775999999999999</v>
      </c>
      <c r="N4997" s="119">
        <f t="shared" si="640"/>
        <v>0</v>
      </c>
      <c r="O4997" s="120">
        <f t="shared" si="641"/>
        <v>0</v>
      </c>
      <c r="P4997" s="32"/>
      <c r="Q4997" s="32"/>
      <c r="R4997" s="32"/>
      <c r="S4997" s="32"/>
      <c r="T4997" s="213"/>
    </row>
    <row r="4998" spans="1:20" ht="15.6">
      <c r="A4998" s="110" t="s">
        <v>391</v>
      </c>
      <c r="B4998" s="111" t="s">
        <v>227</v>
      </c>
      <c r="C4998" s="112" t="s">
        <v>430</v>
      </c>
      <c r="D4998" s="113" t="s">
        <v>24</v>
      </c>
      <c r="E4998" s="114" t="s">
        <v>14</v>
      </c>
      <c r="F4998" s="115" t="s">
        <v>16</v>
      </c>
      <c r="G4998" s="116">
        <v>5.77</v>
      </c>
      <c r="H4998" s="125">
        <v>10.5</v>
      </c>
      <c r="I4998" s="111">
        <v>5</v>
      </c>
      <c r="J4998" s="117">
        <f t="shared" si="638"/>
        <v>0.30292499999999994</v>
      </c>
      <c r="K4998" s="118"/>
      <c r="L4998" s="111">
        <v>5</v>
      </c>
      <c r="M4998" s="117">
        <f t="shared" si="639"/>
        <v>0.30292499999999994</v>
      </c>
      <c r="N4998" s="119">
        <f t="shared" si="640"/>
        <v>0</v>
      </c>
      <c r="O4998" s="120">
        <f t="shared" si="641"/>
        <v>0</v>
      </c>
      <c r="P4998" s="32"/>
      <c r="Q4998" s="32"/>
      <c r="R4998" s="32"/>
      <c r="S4998" s="32"/>
      <c r="T4998" s="213"/>
    </row>
    <row r="4999" spans="1:20" ht="15.6">
      <c r="A4999" s="110" t="s">
        <v>391</v>
      </c>
      <c r="B4999" s="111" t="s">
        <v>227</v>
      </c>
      <c r="C4999" s="112" t="s">
        <v>430</v>
      </c>
      <c r="D4999" s="113" t="s">
        <v>24</v>
      </c>
      <c r="E4999" s="114" t="s">
        <v>14</v>
      </c>
      <c r="F4999" s="115" t="s">
        <v>16</v>
      </c>
      <c r="G4999" s="116">
        <v>5.77</v>
      </c>
      <c r="H4999" s="125">
        <v>11.5</v>
      </c>
      <c r="I4999" s="111">
        <v>3</v>
      </c>
      <c r="J4999" s="117">
        <f t="shared" si="638"/>
        <v>0.19906499999999996</v>
      </c>
      <c r="K4999" s="118"/>
      <c r="L4999" s="111">
        <v>3</v>
      </c>
      <c r="M4999" s="117">
        <f t="shared" si="639"/>
        <v>0.19906499999999999</v>
      </c>
      <c r="N4999" s="119">
        <f t="shared" si="640"/>
        <v>0</v>
      </c>
      <c r="O4999" s="120">
        <f>H4999*N4999*G4999/1000</f>
        <v>0</v>
      </c>
      <c r="P4999" s="32"/>
      <c r="Q4999" s="32"/>
      <c r="R4999" s="32"/>
      <c r="S4999" s="32"/>
      <c r="T4999" s="213"/>
    </row>
    <row r="5000" spans="1:20" ht="15.6">
      <c r="A5000" s="110" t="s">
        <v>391</v>
      </c>
      <c r="B5000" s="111" t="s">
        <v>227</v>
      </c>
      <c r="C5000" s="112" t="s">
        <v>430</v>
      </c>
      <c r="D5000" s="113" t="s">
        <v>24</v>
      </c>
      <c r="E5000" s="114" t="s">
        <v>14</v>
      </c>
      <c r="F5000" s="115" t="s">
        <v>16</v>
      </c>
      <c r="G5000" s="116">
        <v>5.77</v>
      </c>
      <c r="H5000" s="125">
        <v>12</v>
      </c>
      <c r="I5000" s="111">
        <v>5</v>
      </c>
      <c r="J5000" s="117">
        <f t="shared" si="638"/>
        <v>0.34620000000000001</v>
      </c>
      <c r="K5000" s="118"/>
      <c r="L5000" s="111">
        <f>2+3</f>
        <v>5</v>
      </c>
      <c r="M5000" s="117">
        <f t="shared" si="639"/>
        <v>0.34620000000000001</v>
      </c>
      <c r="N5000" s="119">
        <f t="shared" si="640"/>
        <v>0</v>
      </c>
      <c r="O5000" s="120">
        <f>H5000*N5000*G5000/1000</f>
        <v>0</v>
      </c>
      <c r="P5000" s="32">
        <v>11.5</v>
      </c>
      <c r="Q5000" s="32">
        <v>2</v>
      </c>
      <c r="R5000" s="93">
        <v>12</v>
      </c>
      <c r="S5000" s="93">
        <v>3</v>
      </c>
      <c r="T5000" s="170" t="s">
        <v>631</v>
      </c>
    </row>
    <row r="5001" spans="1:20">
      <c r="A5001" s="32"/>
      <c r="B5001" s="32"/>
      <c r="C5001" s="32"/>
      <c r="D5001" s="32"/>
      <c r="E5001" s="32"/>
      <c r="F5001" s="32"/>
      <c r="G5001" s="32"/>
      <c r="H5001" s="32"/>
      <c r="I5001" s="129">
        <f>SUM(I4988:I5000)</f>
        <v>72</v>
      </c>
      <c r="J5001" s="132">
        <f>SUM(J4988:J5000)</f>
        <v>4.6638909999999996</v>
      </c>
      <c r="K5001" s="32"/>
      <c r="L5001" s="129">
        <f>SUM(L4988:L5000)</f>
        <v>72</v>
      </c>
      <c r="M5001" s="132">
        <f>SUM(M4988:M5000)</f>
        <v>4.6638909999999996</v>
      </c>
      <c r="N5001" s="131">
        <f>SUM(N4988:N5000)</f>
        <v>0</v>
      </c>
      <c r="O5001" s="132">
        <f>SUM(O4988:O5000)</f>
        <v>0</v>
      </c>
      <c r="P5001" s="32"/>
      <c r="Q5001" s="32"/>
      <c r="R5001" s="32"/>
      <c r="S5001" s="131">
        <f>SUM(S4988:S5000)</f>
        <v>7</v>
      </c>
      <c r="T5001" s="213"/>
    </row>
    <row r="5004" spans="1:20" ht="15.6">
      <c r="A5004" s="110" t="s">
        <v>503</v>
      </c>
      <c r="B5004" s="111" t="s">
        <v>227</v>
      </c>
      <c r="C5004" s="112" t="s">
        <v>449</v>
      </c>
      <c r="D5004" s="113" t="s">
        <v>326</v>
      </c>
      <c r="E5004" s="114" t="s">
        <v>14</v>
      </c>
      <c r="F5004" s="115" t="s">
        <v>16</v>
      </c>
      <c r="G5004" s="116">
        <v>5.77</v>
      </c>
      <c r="H5004" s="125">
        <v>11.5</v>
      </c>
      <c r="I5004" s="111">
        <v>1</v>
      </c>
      <c r="J5004" s="117">
        <f t="shared" ref="J5004:J5008" si="642">H5004*G5004*I5004/1000</f>
        <v>6.6354999999999983E-2</v>
      </c>
      <c r="K5004" s="118"/>
      <c r="L5004" s="111">
        <v>1</v>
      </c>
      <c r="M5004" s="117">
        <f t="shared" ref="M5004:M5008" si="643">H5004*L5004*G5004/1000</f>
        <v>6.6354999999999983E-2</v>
      </c>
      <c r="N5004" s="119">
        <f t="shared" ref="N5004:N5008" si="644">I5004-L5004</f>
        <v>0</v>
      </c>
      <c r="O5004" s="120">
        <f t="shared" ref="O5004:O5008" si="645">H5004*N5004*G5004/1000</f>
        <v>0</v>
      </c>
      <c r="P5004" s="32"/>
      <c r="Q5004" s="32"/>
      <c r="R5004" s="32"/>
      <c r="S5004" s="32"/>
      <c r="T5004" s="213"/>
    </row>
    <row r="5005" spans="1:20" ht="15.6">
      <c r="A5005" s="110" t="s">
        <v>503</v>
      </c>
      <c r="B5005" s="111" t="s">
        <v>227</v>
      </c>
      <c r="C5005" s="112" t="s">
        <v>449</v>
      </c>
      <c r="D5005" s="113" t="s">
        <v>326</v>
      </c>
      <c r="E5005" s="114" t="s">
        <v>14</v>
      </c>
      <c r="F5005" s="115" t="s">
        <v>16</v>
      </c>
      <c r="G5005" s="116">
        <v>5.77</v>
      </c>
      <c r="H5005" s="125">
        <v>12</v>
      </c>
      <c r="I5005" s="111">
        <v>25</v>
      </c>
      <c r="J5005" s="117">
        <f t="shared" si="642"/>
        <v>1.7309999999999999</v>
      </c>
      <c r="K5005" s="118"/>
      <c r="L5005" s="111">
        <f>3+14+5+3</f>
        <v>25</v>
      </c>
      <c r="M5005" s="117">
        <f t="shared" si="643"/>
        <v>1.7309999999999999</v>
      </c>
      <c r="N5005" s="119">
        <f t="shared" si="644"/>
        <v>0</v>
      </c>
      <c r="O5005" s="120">
        <f t="shared" si="645"/>
        <v>0</v>
      </c>
      <c r="P5005" s="32" t="s">
        <v>508</v>
      </c>
      <c r="Q5005" s="32">
        <v>14</v>
      </c>
      <c r="R5005" s="72">
        <v>12</v>
      </c>
      <c r="S5005" s="72">
        <v>3</v>
      </c>
      <c r="T5005" s="77" t="s">
        <v>631</v>
      </c>
    </row>
    <row r="5006" spans="1:20" ht="15.6">
      <c r="A5006" s="110" t="s">
        <v>503</v>
      </c>
      <c r="B5006" s="111" t="s">
        <v>227</v>
      </c>
      <c r="C5006" s="112" t="s">
        <v>449</v>
      </c>
      <c r="D5006" s="113" t="s">
        <v>326</v>
      </c>
      <c r="E5006" s="114" t="s">
        <v>14</v>
      </c>
      <c r="F5006" s="115" t="s">
        <v>16</v>
      </c>
      <c r="G5006" s="116">
        <v>5.77</v>
      </c>
      <c r="H5006" s="125">
        <v>10</v>
      </c>
      <c r="I5006" s="111">
        <v>8</v>
      </c>
      <c r="J5006" s="117">
        <f t="shared" si="642"/>
        <v>0.46159999999999995</v>
      </c>
      <c r="K5006" s="118"/>
      <c r="L5006" s="111">
        <v>8</v>
      </c>
      <c r="M5006" s="117">
        <f t="shared" si="643"/>
        <v>0.46159999999999995</v>
      </c>
      <c r="N5006" s="119">
        <f t="shared" si="644"/>
        <v>0</v>
      </c>
      <c r="O5006" s="120">
        <f t="shared" si="645"/>
        <v>0</v>
      </c>
      <c r="P5006" s="32"/>
      <c r="Q5006" s="32"/>
      <c r="R5006" s="32"/>
      <c r="S5006" s="32"/>
      <c r="T5006" s="213"/>
    </row>
    <row r="5007" spans="1:20" ht="15.6">
      <c r="A5007" s="110" t="s">
        <v>503</v>
      </c>
      <c r="B5007" s="111" t="s">
        <v>227</v>
      </c>
      <c r="C5007" s="112" t="s">
        <v>449</v>
      </c>
      <c r="D5007" s="113" t="s">
        <v>326</v>
      </c>
      <c r="E5007" s="114" t="s">
        <v>14</v>
      </c>
      <c r="F5007" s="115" t="s">
        <v>16</v>
      </c>
      <c r="G5007" s="116">
        <v>5.77</v>
      </c>
      <c r="H5007" s="125">
        <v>9.5</v>
      </c>
      <c r="I5007" s="111">
        <v>2</v>
      </c>
      <c r="J5007" s="117">
        <f t="shared" si="642"/>
        <v>0.10962999999999999</v>
      </c>
      <c r="K5007" s="118"/>
      <c r="L5007" s="111">
        <v>2</v>
      </c>
      <c r="M5007" s="117">
        <f t="shared" si="643"/>
        <v>0.10962999999999999</v>
      </c>
      <c r="N5007" s="119">
        <f t="shared" si="644"/>
        <v>0</v>
      </c>
      <c r="O5007" s="120">
        <f t="shared" si="645"/>
        <v>0</v>
      </c>
      <c r="P5007" s="32">
        <v>6.5</v>
      </c>
      <c r="Q5007" s="32">
        <v>2</v>
      </c>
      <c r="R5007" s="32"/>
      <c r="S5007" s="32"/>
      <c r="T5007" s="213"/>
    </row>
    <row r="5008" spans="1:20" ht="15.6">
      <c r="A5008" s="110" t="s">
        <v>503</v>
      </c>
      <c r="B5008" s="111" t="s">
        <v>227</v>
      </c>
      <c r="C5008" s="112" t="s">
        <v>449</v>
      </c>
      <c r="D5008" s="113" t="s">
        <v>326</v>
      </c>
      <c r="E5008" s="114" t="s">
        <v>14</v>
      </c>
      <c r="F5008" s="115" t="s">
        <v>16</v>
      </c>
      <c r="G5008" s="116">
        <v>5.77</v>
      </c>
      <c r="H5008" s="125">
        <v>6.5</v>
      </c>
      <c r="I5008" s="111">
        <v>3</v>
      </c>
      <c r="J5008" s="117">
        <f t="shared" si="642"/>
        <v>0.11251499999999999</v>
      </c>
      <c r="K5008" s="118"/>
      <c r="L5008" s="111">
        <v>3</v>
      </c>
      <c r="M5008" s="117">
        <f t="shared" si="643"/>
        <v>0.11251499999999999</v>
      </c>
      <c r="N5008" s="119">
        <f t="shared" si="644"/>
        <v>0</v>
      </c>
      <c r="O5008" s="120">
        <f t="shared" si="645"/>
        <v>0</v>
      </c>
      <c r="P5008" s="32"/>
      <c r="Q5008" s="32"/>
      <c r="R5008" s="32"/>
      <c r="S5008" s="32"/>
      <c r="T5008" s="213"/>
    </row>
    <row r="5009" spans="1:20">
      <c r="A5009" s="213"/>
      <c r="B5009" s="213"/>
      <c r="C5009" s="213"/>
      <c r="D5009" s="213"/>
      <c r="E5009" s="213"/>
      <c r="F5009" s="213"/>
      <c r="G5009" s="213"/>
      <c r="H5009" s="213"/>
      <c r="I5009" s="215">
        <f>SUM(I5004:I5008)</f>
        <v>39</v>
      </c>
      <c r="J5009" s="214">
        <f>SUM(J5004:J5008)</f>
        <v>2.4811000000000001</v>
      </c>
      <c r="K5009" s="213"/>
      <c r="L5009" s="215">
        <f>SUM(L5004:L5008)</f>
        <v>39</v>
      </c>
      <c r="M5009" s="214">
        <f>SUM(M5004:M5008)</f>
        <v>2.4811000000000001</v>
      </c>
      <c r="N5009" s="215">
        <f>SUM(N5004:N5008)</f>
        <v>0</v>
      </c>
      <c r="O5009" s="214">
        <f>SUM(O5004:O5008)</f>
        <v>0</v>
      </c>
      <c r="P5009" s="213"/>
      <c r="Q5009" s="213"/>
      <c r="R5009" s="213"/>
      <c r="S5009" s="215">
        <f>SUM(S5004:S5008)</f>
        <v>3</v>
      </c>
      <c r="T5009" s="213"/>
    </row>
    <row r="5012" spans="1:20" ht="15.6">
      <c r="A5012" s="110" t="s">
        <v>503</v>
      </c>
      <c r="B5012" s="111" t="s">
        <v>227</v>
      </c>
      <c r="C5012" s="112" t="s">
        <v>449</v>
      </c>
      <c r="D5012" s="113" t="s">
        <v>24</v>
      </c>
      <c r="E5012" s="114" t="s">
        <v>14</v>
      </c>
      <c r="F5012" s="115" t="s">
        <v>16</v>
      </c>
      <c r="G5012" s="116">
        <v>5.77</v>
      </c>
      <c r="H5012" s="125">
        <v>12</v>
      </c>
      <c r="I5012" s="111">
        <v>49</v>
      </c>
      <c r="J5012" s="117">
        <f t="shared" ref="J5012:J5027" si="646">H5012*G5012*I5012/1000</f>
        <v>3.3927599999999996</v>
      </c>
      <c r="K5012" s="118"/>
      <c r="L5012" s="111">
        <f>49+8</f>
        <v>57</v>
      </c>
      <c r="M5012" s="117">
        <f t="shared" ref="M5012:M5031" si="647">H5012*L5012*G5012/1000</f>
        <v>3.9466799999999997</v>
      </c>
      <c r="N5012" s="141">
        <f t="shared" ref="N5012:N5031" si="648">I5012-L5012</f>
        <v>-8</v>
      </c>
      <c r="O5012" s="142">
        <f t="shared" ref="O5012:O5030" si="649">H5012*N5012*G5012/1000</f>
        <v>-0.55391999999999997</v>
      </c>
      <c r="P5012" s="32" t="s">
        <v>253</v>
      </c>
      <c r="Q5012" s="32"/>
      <c r="R5012" s="32"/>
      <c r="S5012" s="32"/>
      <c r="T5012" s="213"/>
    </row>
    <row r="5013" spans="1:20" ht="15.6">
      <c r="A5013" s="110" t="s">
        <v>503</v>
      </c>
      <c r="B5013" s="111" t="s">
        <v>227</v>
      </c>
      <c r="C5013" s="112" t="s">
        <v>449</v>
      </c>
      <c r="D5013" s="113" t="s">
        <v>24</v>
      </c>
      <c r="E5013" s="114" t="s">
        <v>14</v>
      </c>
      <c r="F5013" s="115" t="s">
        <v>16</v>
      </c>
      <c r="G5013" s="116">
        <v>5.77</v>
      </c>
      <c r="H5013" s="125">
        <v>12</v>
      </c>
      <c r="I5013" s="111">
        <v>26</v>
      </c>
      <c r="J5013" s="117">
        <f t="shared" si="646"/>
        <v>1.8002399999999998</v>
      </c>
      <c r="K5013" s="118"/>
      <c r="L5013" s="111">
        <f>24+2</f>
        <v>26</v>
      </c>
      <c r="M5013" s="117">
        <f t="shared" si="647"/>
        <v>1.8002399999999998</v>
      </c>
      <c r="N5013" s="119">
        <f t="shared" si="648"/>
        <v>0</v>
      </c>
      <c r="O5013" s="120">
        <f t="shared" si="649"/>
        <v>0</v>
      </c>
      <c r="P5013" s="32"/>
      <c r="Q5013" s="32"/>
      <c r="R5013" s="32"/>
      <c r="S5013" s="32"/>
      <c r="T5013" s="213"/>
    </row>
    <row r="5014" spans="1:20" ht="15.6">
      <c r="A5014" s="110" t="s">
        <v>503</v>
      </c>
      <c r="B5014" s="111" t="s">
        <v>227</v>
      </c>
      <c r="C5014" s="112" t="s">
        <v>449</v>
      </c>
      <c r="D5014" s="113" t="s">
        <v>24</v>
      </c>
      <c r="E5014" s="114" t="s">
        <v>14</v>
      </c>
      <c r="F5014" s="115" t="s">
        <v>16</v>
      </c>
      <c r="G5014" s="116">
        <v>5.77</v>
      </c>
      <c r="H5014" s="125">
        <v>10.5</v>
      </c>
      <c r="I5014" s="111">
        <v>13</v>
      </c>
      <c r="J5014" s="117">
        <f t="shared" si="646"/>
        <v>0.78760499999999989</v>
      </c>
      <c r="K5014" s="118"/>
      <c r="L5014" s="111">
        <f>13+9</f>
        <v>22</v>
      </c>
      <c r="M5014" s="117">
        <f t="shared" si="647"/>
        <v>1.33287</v>
      </c>
      <c r="N5014" s="141">
        <f t="shared" si="648"/>
        <v>-9</v>
      </c>
      <c r="O5014" s="142">
        <f t="shared" si="649"/>
        <v>-0.545265</v>
      </c>
      <c r="P5014" s="32" t="s">
        <v>253</v>
      </c>
      <c r="Q5014" s="32"/>
      <c r="R5014" s="32"/>
      <c r="S5014" s="32"/>
      <c r="T5014" s="213"/>
    </row>
    <row r="5015" spans="1:20" ht="15.6">
      <c r="A5015" s="110" t="s">
        <v>503</v>
      </c>
      <c r="B5015" s="111" t="s">
        <v>227</v>
      </c>
      <c r="C5015" s="112" t="s">
        <v>449</v>
      </c>
      <c r="D5015" s="113" t="s">
        <v>24</v>
      </c>
      <c r="E5015" s="114" t="s">
        <v>14</v>
      </c>
      <c r="F5015" s="115" t="s">
        <v>16</v>
      </c>
      <c r="G5015" s="116">
        <v>5.77</v>
      </c>
      <c r="H5015" s="125">
        <v>11</v>
      </c>
      <c r="I5015" s="111">
        <v>40</v>
      </c>
      <c r="J5015" s="117">
        <f t="shared" si="646"/>
        <v>2.5388000000000002</v>
      </c>
      <c r="K5015" s="118"/>
      <c r="L5015" s="111">
        <f>24+16+38</f>
        <v>78</v>
      </c>
      <c r="M5015" s="117">
        <f t="shared" si="647"/>
        <v>4.9506600000000001</v>
      </c>
      <c r="N5015" s="141">
        <f t="shared" si="648"/>
        <v>-38</v>
      </c>
      <c r="O5015" s="142">
        <f t="shared" si="649"/>
        <v>-2.4118599999999999</v>
      </c>
      <c r="P5015" s="32" t="s">
        <v>253</v>
      </c>
      <c r="Q5015" s="32"/>
      <c r="R5015" s="32"/>
      <c r="S5015" s="32"/>
      <c r="T5015" s="213"/>
    </row>
    <row r="5016" spans="1:20" ht="15.6">
      <c r="A5016" s="110" t="s">
        <v>503</v>
      </c>
      <c r="B5016" s="111" t="s">
        <v>227</v>
      </c>
      <c r="C5016" s="112" t="s">
        <v>449</v>
      </c>
      <c r="D5016" s="113" t="s">
        <v>24</v>
      </c>
      <c r="E5016" s="114" t="s">
        <v>14</v>
      </c>
      <c r="F5016" s="115" t="s">
        <v>16</v>
      </c>
      <c r="G5016" s="116">
        <v>5.77</v>
      </c>
      <c r="H5016" s="125">
        <v>8.0500000000000007</v>
      </c>
      <c r="I5016" s="111">
        <v>11</v>
      </c>
      <c r="J5016" s="117">
        <f t="shared" si="646"/>
        <v>0.51093350000000004</v>
      </c>
      <c r="K5016" s="118"/>
      <c r="L5016" s="111">
        <f>9</f>
        <v>9</v>
      </c>
      <c r="M5016" s="117">
        <f t="shared" si="647"/>
        <v>0.41803649999999998</v>
      </c>
      <c r="N5016" s="119">
        <f t="shared" si="648"/>
        <v>2</v>
      </c>
      <c r="O5016" s="120">
        <f t="shared" si="649"/>
        <v>9.2897000000000007E-2</v>
      </c>
      <c r="P5016" s="32"/>
      <c r="Q5016" s="32"/>
      <c r="R5016" s="111"/>
      <c r="S5016" s="111"/>
      <c r="T5016" s="29"/>
    </row>
    <row r="5017" spans="1:20" ht="15.6">
      <c r="A5017" s="110" t="s">
        <v>503</v>
      </c>
      <c r="B5017" s="111" t="s">
        <v>227</v>
      </c>
      <c r="C5017" s="112" t="s">
        <v>449</v>
      </c>
      <c r="D5017" s="113" t="s">
        <v>24</v>
      </c>
      <c r="E5017" s="114" t="s">
        <v>14</v>
      </c>
      <c r="F5017" s="115" t="s">
        <v>16</v>
      </c>
      <c r="G5017" s="116">
        <v>5.77</v>
      </c>
      <c r="H5017" s="125">
        <v>7.4</v>
      </c>
      <c r="I5017" s="111">
        <v>48</v>
      </c>
      <c r="J5017" s="117">
        <f t="shared" si="646"/>
        <v>2.0495039999999998</v>
      </c>
      <c r="K5017" s="118"/>
      <c r="L5017" s="111">
        <v>48</v>
      </c>
      <c r="M5017" s="117">
        <f t="shared" si="647"/>
        <v>2.0495039999999998</v>
      </c>
      <c r="N5017" s="119">
        <f t="shared" si="648"/>
        <v>0</v>
      </c>
      <c r="O5017" s="120">
        <f t="shared" si="649"/>
        <v>0</v>
      </c>
      <c r="P5017" s="32"/>
      <c r="Q5017" s="32"/>
      <c r="R5017" s="32"/>
      <c r="S5017" s="32"/>
      <c r="T5017" s="213"/>
    </row>
    <row r="5018" spans="1:20" ht="15.6">
      <c r="A5018" s="110" t="s">
        <v>503</v>
      </c>
      <c r="B5018" s="111" t="s">
        <v>227</v>
      </c>
      <c r="C5018" s="112" t="s">
        <v>449</v>
      </c>
      <c r="D5018" s="113" t="s">
        <v>24</v>
      </c>
      <c r="E5018" s="114" t="s">
        <v>14</v>
      </c>
      <c r="F5018" s="115" t="s">
        <v>16</v>
      </c>
      <c r="G5018" s="116">
        <v>5.77</v>
      </c>
      <c r="H5018" s="125">
        <v>12</v>
      </c>
      <c r="I5018" s="111">
        <v>50</v>
      </c>
      <c r="J5018" s="117">
        <f t="shared" si="646"/>
        <v>3.4619999999999997</v>
      </c>
      <c r="K5018" s="118"/>
      <c r="L5018" s="111">
        <v>50</v>
      </c>
      <c r="M5018" s="117">
        <f t="shared" si="647"/>
        <v>3.4619999999999997</v>
      </c>
      <c r="N5018" s="119">
        <f t="shared" si="648"/>
        <v>0</v>
      </c>
      <c r="O5018" s="120">
        <f t="shared" si="649"/>
        <v>0</v>
      </c>
      <c r="P5018" s="32"/>
      <c r="Q5018" s="32"/>
      <c r="R5018" s="32"/>
      <c r="S5018" s="32"/>
      <c r="T5018" s="213"/>
    </row>
    <row r="5019" spans="1:20" ht="15.6">
      <c r="A5019" s="110" t="s">
        <v>503</v>
      </c>
      <c r="B5019" s="111" t="s">
        <v>227</v>
      </c>
      <c r="C5019" s="112" t="s">
        <v>449</v>
      </c>
      <c r="D5019" s="113" t="s">
        <v>24</v>
      </c>
      <c r="E5019" s="114" t="s">
        <v>14</v>
      </c>
      <c r="F5019" s="115" t="s">
        <v>16</v>
      </c>
      <c r="G5019" s="116">
        <v>5.77</v>
      </c>
      <c r="H5019" s="125">
        <v>10.5</v>
      </c>
      <c r="I5019" s="111">
        <v>52</v>
      </c>
      <c r="J5019" s="117">
        <f t="shared" si="646"/>
        <v>3.1504199999999996</v>
      </c>
      <c r="K5019" s="118"/>
      <c r="L5019" s="111">
        <v>52</v>
      </c>
      <c r="M5019" s="117">
        <f t="shared" si="647"/>
        <v>3.1504199999999996</v>
      </c>
      <c r="N5019" s="119">
        <f t="shared" si="648"/>
        <v>0</v>
      </c>
      <c r="O5019" s="120">
        <f t="shared" si="649"/>
        <v>0</v>
      </c>
      <c r="P5019" s="32"/>
      <c r="Q5019" s="32"/>
      <c r="R5019" s="32"/>
      <c r="S5019" s="32"/>
      <c r="T5019" s="213"/>
    </row>
    <row r="5020" spans="1:20" ht="15.6">
      <c r="A5020" s="110" t="s">
        <v>503</v>
      </c>
      <c r="B5020" s="111" t="s">
        <v>227</v>
      </c>
      <c r="C5020" s="112" t="s">
        <v>449</v>
      </c>
      <c r="D5020" s="113" t="s">
        <v>24</v>
      </c>
      <c r="E5020" s="114" t="s">
        <v>14</v>
      </c>
      <c r="F5020" s="115" t="s">
        <v>16</v>
      </c>
      <c r="G5020" s="116">
        <v>5.77</v>
      </c>
      <c r="H5020" s="125">
        <v>7.4</v>
      </c>
      <c r="I5020" s="111">
        <v>38</v>
      </c>
      <c r="J5020" s="117">
        <f t="shared" si="646"/>
        <v>1.6225240000000001</v>
      </c>
      <c r="K5020" s="118"/>
      <c r="L5020" s="111">
        <f>37+1</f>
        <v>38</v>
      </c>
      <c r="M5020" s="117">
        <f t="shared" si="647"/>
        <v>1.6225239999999999</v>
      </c>
      <c r="N5020" s="119">
        <f t="shared" si="648"/>
        <v>0</v>
      </c>
      <c r="O5020" s="120">
        <f t="shared" si="649"/>
        <v>0</v>
      </c>
      <c r="P5020" s="32"/>
      <c r="Q5020" s="32"/>
      <c r="R5020" s="72">
        <v>7.25</v>
      </c>
      <c r="S5020" s="72">
        <v>1</v>
      </c>
      <c r="T5020" s="77" t="s">
        <v>631</v>
      </c>
    </row>
    <row r="5021" spans="1:20" ht="15.6">
      <c r="A5021" s="110" t="s">
        <v>503</v>
      </c>
      <c r="B5021" s="111" t="s">
        <v>227</v>
      </c>
      <c r="C5021" s="112" t="s">
        <v>449</v>
      </c>
      <c r="D5021" s="113" t="s">
        <v>24</v>
      </c>
      <c r="E5021" s="114" t="s">
        <v>14</v>
      </c>
      <c r="F5021" s="115" t="s">
        <v>16</v>
      </c>
      <c r="G5021" s="116">
        <v>5.77</v>
      </c>
      <c r="H5021" s="125">
        <v>8.0500000000000007</v>
      </c>
      <c r="I5021" s="111">
        <v>23</v>
      </c>
      <c r="J5021" s="117">
        <f t="shared" si="646"/>
        <v>1.0683155000000002</v>
      </c>
      <c r="K5021" s="118"/>
      <c r="L5021" s="111">
        <v>23</v>
      </c>
      <c r="M5021" s="117">
        <f t="shared" si="647"/>
        <v>1.0683155</v>
      </c>
      <c r="N5021" s="119">
        <f t="shared" si="648"/>
        <v>0</v>
      </c>
      <c r="O5021" s="120">
        <f t="shared" si="649"/>
        <v>0</v>
      </c>
      <c r="P5021" s="32"/>
      <c r="Q5021" s="32"/>
      <c r="R5021" s="32"/>
      <c r="S5021" s="32"/>
      <c r="T5021" s="213"/>
    </row>
    <row r="5022" spans="1:20" ht="15.6">
      <c r="A5022" s="110" t="s">
        <v>503</v>
      </c>
      <c r="B5022" s="111" t="s">
        <v>227</v>
      </c>
      <c r="C5022" s="112" t="s">
        <v>449</v>
      </c>
      <c r="D5022" s="113" t="s">
        <v>24</v>
      </c>
      <c r="E5022" s="114" t="s">
        <v>14</v>
      </c>
      <c r="F5022" s="115" t="s">
        <v>16</v>
      </c>
      <c r="G5022" s="116">
        <v>5.77</v>
      </c>
      <c r="H5022" s="125">
        <v>11</v>
      </c>
      <c r="I5022" s="111">
        <v>36</v>
      </c>
      <c r="J5022" s="117">
        <f t="shared" si="646"/>
        <v>2.2849200000000001</v>
      </c>
      <c r="K5022" s="118"/>
      <c r="L5022" s="111">
        <f>30+6</f>
        <v>36</v>
      </c>
      <c r="M5022" s="117">
        <f t="shared" si="647"/>
        <v>2.2849199999999996</v>
      </c>
      <c r="N5022" s="119">
        <f t="shared" si="648"/>
        <v>0</v>
      </c>
      <c r="O5022" s="120">
        <f t="shared" si="649"/>
        <v>0</v>
      </c>
      <c r="P5022" s="32">
        <v>10.5</v>
      </c>
      <c r="Q5022" s="32">
        <v>30</v>
      </c>
      <c r="R5022" s="32"/>
      <c r="S5022" s="32"/>
      <c r="T5022" s="213"/>
    </row>
    <row r="5023" spans="1:20" ht="15.6">
      <c r="A5023" s="110" t="s">
        <v>503</v>
      </c>
      <c r="B5023" s="111" t="s">
        <v>227</v>
      </c>
      <c r="C5023" s="112" t="s">
        <v>449</v>
      </c>
      <c r="D5023" s="113" t="s">
        <v>24</v>
      </c>
      <c r="E5023" s="114" t="s">
        <v>14</v>
      </c>
      <c r="F5023" s="115" t="s">
        <v>16</v>
      </c>
      <c r="G5023" s="116">
        <v>5.77</v>
      </c>
      <c r="H5023" s="125">
        <v>12</v>
      </c>
      <c r="I5023" s="111">
        <v>5</v>
      </c>
      <c r="J5023" s="117">
        <f t="shared" si="646"/>
        <v>0.34620000000000001</v>
      </c>
      <c r="K5023" s="118"/>
      <c r="L5023" s="111">
        <v>5</v>
      </c>
      <c r="M5023" s="117">
        <f t="shared" si="647"/>
        <v>0.34620000000000001</v>
      </c>
      <c r="N5023" s="119">
        <f t="shared" si="648"/>
        <v>0</v>
      </c>
      <c r="O5023" s="120">
        <f t="shared" si="649"/>
        <v>0</v>
      </c>
      <c r="P5023" s="32"/>
      <c r="Q5023" s="32"/>
      <c r="R5023" s="32"/>
      <c r="S5023" s="32"/>
      <c r="T5023" s="213"/>
    </row>
    <row r="5024" spans="1:20" ht="15.6">
      <c r="A5024" s="110" t="s">
        <v>503</v>
      </c>
      <c r="B5024" s="111" t="s">
        <v>227</v>
      </c>
      <c r="C5024" s="112" t="s">
        <v>449</v>
      </c>
      <c r="D5024" s="113" t="s">
        <v>24</v>
      </c>
      <c r="E5024" s="114" t="s">
        <v>14</v>
      </c>
      <c r="F5024" s="115" t="s">
        <v>16</v>
      </c>
      <c r="G5024" s="116">
        <v>5.77</v>
      </c>
      <c r="H5024" s="125">
        <v>11.5</v>
      </c>
      <c r="I5024" s="111">
        <v>1</v>
      </c>
      <c r="J5024" s="117">
        <f t="shared" si="646"/>
        <v>6.6354999999999983E-2</v>
      </c>
      <c r="K5024" s="118"/>
      <c r="L5024" s="111">
        <v>1</v>
      </c>
      <c r="M5024" s="117">
        <f t="shared" si="647"/>
        <v>6.6354999999999983E-2</v>
      </c>
      <c r="N5024" s="119">
        <f t="shared" si="648"/>
        <v>0</v>
      </c>
      <c r="O5024" s="120">
        <f t="shared" si="649"/>
        <v>0</v>
      </c>
      <c r="P5024" s="32">
        <v>11</v>
      </c>
      <c r="Q5024" s="32">
        <v>1</v>
      </c>
      <c r="R5024" s="32"/>
      <c r="S5024" s="32"/>
      <c r="T5024" s="213"/>
    </row>
    <row r="5025" spans="1:20" ht="15.6">
      <c r="A5025" s="110" t="s">
        <v>503</v>
      </c>
      <c r="B5025" s="111" t="s">
        <v>227</v>
      </c>
      <c r="C5025" s="112" t="s">
        <v>449</v>
      </c>
      <c r="D5025" s="113" t="s">
        <v>24</v>
      </c>
      <c r="E5025" s="114" t="s">
        <v>14</v>
      </c>
      <c r="F5025" s="115" t="s">
        <v>16</v>
      </c>
      <c r="G5025" s="116">
        <v>5.77</v>
      </c>
      <c r="H5025" s="125">
        <v>11.3</v>
      </c>
      <c r="I5025" s="111">
        <v>1</v>
      </c>
      <c r="J5025" s="117">
        <f t="shared" si="646"/>
        <v>6.5200999999999995E-2</v>
      </c>
      <c r="K5025" s="118"/>
      <c r="L5025" s="111">
        <v>1</v>
      </c>
      <c r="M5025" s="117">
        <f t="shared" si="647"/>
        <v>6.5200999999999995E-2</v>
      </c>
      <c r="N5025" s="119">
        <f t="shared" si="648"/>
        <v>0</v>
      </c>
      <c r="O5025" s="120">
        <f t="shared" si="649"/>
        <v>0</v>
      </c>
      <c r="P5025" s="32">
        <v>11</v>
      </c>
      <c r="Q5025" s="32">
        <v>1</v>
      </c>
      <c r="R5025" s="32"/>
      <c r="S5025" s="32"/>
      <c r="T5025" s="213"/>
    </row>
    <row r="5026" spans="1:20" ht="15.6">
      <c r="A5026" s="110" t="s">
        <v>503</v>
      </c>
      <c r="B5026" s="111" t="s">
        <v>227</v>
      </c>
      <c r="C5026" s="112" t="s">
        <v>449</v>
      </c>
      <c r="D5026" s="113" t="s">
        <v>24</v>
      </c>
      <c r="E5026" s="114" t="s">
        <v>14</v>
      </c>
      <c r="F5026" s="115" t="s">
        <v>16</v>
      </c>
      <c r="G5026" s="116">
        <v>5.77</v>
      </c>
      <c r="H5026" s="125">
        <v>9.5</v>
      </c>
      <c r="I5026" s="111">
        <v>5</v>
      </c>
      <c r="J5026" s="117">
        <f t="shared" si="646"/>
        <v>0.27407500000000001</v>
      </c>
      <c r="K5026" s="118"/>
      <c r="L5026" s="111">
        <v>5</v>
      </c>
      <c r="M5026" s="117">
        <f t="shared" si="647"/>
        <v>0.27407500000000001</v>
      </c>
      <c r="N5026" s="119">
        <f t="shared" si="648"/>
        <v>0</v>
      </c>
      <c r="O5026" s="120">
        <f t="shared" si="649"/>
        <v>0</v>
      </c>
      <c r="P5026" s="32"/>
      <c r="Q5026" s="32"/>
      <c r="R5026" s="72">
        <v>7.25</v>
      </c>
      <c r="S5026" s="72">
        <v>5</v>
      </c>
      <c r="T5026" s="77" t="s">
        <v>631</v>
      </c>
    </row>
    <row r="5027" spans="1:20" ht="15.6">
      <c r="A5027" s="110" t="s">
        <v>503</v>
      </c>
      <c r="B5027" s="111" t="s">
        <v>227</v>
      </c>
      <c r="C5027" s="112" t="s">
        <v>449</v>
      </c>
      <c r="D5027" s="113" t="s">
        <v>24</v>
      </c>
      <c r="E5027" s="114" t="s">
        <v>14</v>
      </c>
      <c r="F5027" s="115" t="s">
        <v>16</v>
      </c>
      <c r="G5027" s="116">
        <v>5.77</v>
      </c>
      <c r="H5027" s="125">
        <v>10</v>
      </c>
      <c r="I5027" s="111">
        <v>7</v>
      </c>
      <c r="J5027" s="117">
        <f t="shared" si="646"/>
        <v>0.40389999999999998</v>
      </c>
      <c r="K5027" s="118"/>
      <c r="L5027" s="111">
        <v>7</v>
      </c>
      <c r="M5027" s="117">
        <f t="shared" si="647"/>
        <v>0.40389999999999998</v>
      </c>
      <c r="N5027" s="119">
        <f t="shared" si="648"/>
        <v>0</v>
      </c>
      <c r="O5027" s="120">
        <f t="shared" si="649"/>
        <v>0</v>
      </c>
      <c r="P5027" s="32"/>
      <c r="Q5027" s="32"/>
      <c r="R5027" s="72">
        <v>7.25</v>
      </c>
      <c r="S5027" s="72">
        <v>7</v>
      </c>
      <c r="T5027" s="77" t="s">
        <v>631</v>
      </c>
    </row>
    <row r="5028" spans="1:20" ht="15.6">
      <c r="A5028" s="110" t="s">
        <v>503</v>
      </c>
      <c r="B5028" s="111" t="s">
        <v>227</v>
      </c>
      <c r="C5028" s="112" t="s">
        <v>449</v>
      </c>
      <c r="D5028" s="113" t="s">
        <v>24</v>
      </c>
      <c r="E5028" s="114" t="s">
        <v>14</v>
      </c>
      <c r="F5028" s="115" t="s">
        <v>16</v>
      </c>
      <c r="G5028" s="116">
        <v>5.77</v>
      </c>
      <c r="H5028" s="125">
        <v>10.199999999999999</v>
      </c>
      <c r="I5028" s="111">
        <v>1</v>
      </c>
      <c r="J5028" s="117">
        <f>H5028*G5028*I5028/1000</f>
        <v>5.885399999999999E-2</v>
      </c>
      <c r="K5028" s="118"/>
      <c r="L5028" s="111">
        <v>1</v>
      </c>
      <c r="M5028" s="117">
        <f t="shared" si="647"/>
        <v>5.885399999999999E-2</v>
      </c>
      <c r="N5028" s="119">
        <f t="shared" si="648"/>
        <v>0</v>
      </c>
      <c r="O5028" s="120">
        <f t="shared" si="649"/>
        <v>0</v>
      </c>
      <c r="P5028" s="32"/>
      <c r="Q5028" s="32"/>
      <c r="R5028" s="72">
        <v>7.25</v>
      </c>
      <c r="S5028" s="72">
        <v>1</v>
      </c>
      <c r="T5028" s="77" t="s">
        <v>631</v>
      </c>
    </row>
    <row r="5029" spans="1:20" ht="15.6">
      <c r="A5029" s="110" t="s">
        <v>503</v>
      </c>
      <c r="B5029" s="111" t="s">
        <v>227</v>
      </c>
      <c r="C5029" s="112" t="s">
        <v>449</v>
      </c>
      <c r="D5029" s="113" t="s">
        <v>24</v>
      </c>
      <c r="E5029" s="114" t="s">
        <v>14</v>
      </c>
      <c r="F5029" s="115" t="s">
        <v>16</v>
      </c>
      <c r="G5029" s="116">
        <v>5.77</v>
      </c>
      <c r="H5029" s="125">
        <v>10.7</v>
      </c>
      <c r="I5029" s="111">
        <v>1</v>
      </c>
      <c r="J5029" s="117">
        <f>H5029*G5029*I5029/1000</f>
        <v>6.1738999999999988E-2</v>
      </c>
      <c r="K5029" s="118"/>
      <c r="L5029" s="111">
        <v>1</v>
      </c>
      <c r="M5029" s="117">
        <f t="shared" si="647"/>
        <v>6.1738999999999988E-2</v>
      </c>
      <c r="N5029" s="119">
        <f t="shared" si="648"/>
        <v>0</v>
      </c>
      <c r="O5029" s="120">
        <f t="shared" si="649"/>
        <v>0</v>
      </c>
      <c r="P5029" s="32">
        <v>10.5</v>
      </c>
      <c r="Q5029" s="32">
        <v>1</v>
      </c>
      <c r="R5029" s="32"/>
      <c r="S5029" s="32"/>
      <c r="T5029" s="213"/>
    </row>
    <row r="5030" spans="1:20" ht="15.6">
      <c r="A5030" s="110" t="s">
        <v>503</v>
      </c>
      <c r="B5030" s="111" t="s">
        <v>227</v>
      </c>
      <c r="C5030" s="112" t="s">
        <v>449</v>
      </c>
      <c r="D5030" s="113" t="s">
        <v>24</v>
      </c>
      <c r="E5030" s="114" t="s">
        <v>14</v>
      </c>
      <c r="F5030" s="115" t="s">
        <v>16</v>
      </c>
      <c r="G5030" s="116">
        <v>5.77</v>
      </c>
      <c r="H5030" s="125">
        <v>10.5</v>
      </c>
      <c r="I5030" s="111">
        <v>1</v>
      </c>
      <c r="J5030" s="117">
        <f>H5030*G5030*I5030/1000</f>
        <v>6.0584999999999993E-2</v>
      </c>
      <c r="K5030" s="118"/>
      <c r="L5030" s="111">
        <v>1</v>
      </c>
      <c r="M5030" s="117">
        <f t="shared" si="647"/>
        <v>6.0584999999999993E-2</v>
      </c>
      <c r="N5030" s="119">
        <f t="shared" si="648"/>
        <v>0</v>
      </c>
      <c r="O5030" s="120">
        <f t="shared" si="649"/>
        <v>0</v>
      </c>
      <c r="P5030" s="32"/>
      <c r="Q5030" s="32"/>
      <c r="R5030" s="32"/>
      <c r="S5030" s="32"/>
      <c r="T5030" s="213"/>
    </row>
    <row r="5031" spans="1:20" ht="15.6">
      <c r="A5031" s="110" t="s">
        <v>503</v>
      </c>
      <c r="B5031" s="111" t="s">
        <v>227</v>
      </c>
      <c r="C5031" s="112" t="s">
        <v>449</v>
      </c>
      <c r="D5031" s="113" t="s">
        <v>24</v>
      </c>
      <c r="E5031" s="114" t="s">
        <v>14</v>
      </c>
      <c r="F5031" s="115" t="s">
        <v>16</v>
      </c>
      <c r="G5031" s="116">
        <v>5.77</v>
      </c>
      <c r="H5031" s="125">
        <v>12</v>
      </c>
      <c r="I5031" s="111">
        <v>1</v>
      </c>
      <c r="J5031" s="117">
        <f>H5031*G5031*I5031/1000</f>
        <v>6.9239999999999996E-2</v>
      </c>
      <c r="K5031" s="118"/>
      <c r="L5031" s="111">
        <v>1</v>
      </c>
      <c r="M5031" s="117">
        <f t="shared" si="647"/>
        <v>6.9239999999999996E-2</v>
      </c>
      <c r="N5031" s="119">
        <f t="shared" si="648"/>
        <v>0</v>
      </c>
      <c r="O5031" s="120">
        <f>H5031*N5031*G5031/1000</f>
        <v>0</v>
      </c>
      <c r="P5031" s="32"/>
      <c r="Q5031" s="32"/>
      <c r="R5031" s="32"/>
      <c r="S5031" s="32"/>
      <c r="T5031" s="213"/>
    </row>
    <row r="5032" spans="1:20">
      <c r="A5032" s="32"/>
      <c r="B5032" s="32"/>
      <c r="C5032" s="32"/>
      <c r="D5032" s="32"/>
      <c r="E5032" s="32"/>
      <c r="F5032" s="32"/>
      <c r="G5032" s="32"/>
      <c r="H5032" s="32"/>
      <c r="I5032" s="129">
        <f>SUM(I5012:I5031)</f>
        <v>409</v>
      </c>
      <c r="J5032" s="132">
        <f>SUM(J5012:J5031)</f>
        <v>24.074170999999996</v>
      </c>
      <c r="K5032" s="32"/>
      <c r="L5032" s="129">
        <f>SUM(L5012:L5031)</f>
        <v>462</v>
      </c>
      <c r="M5032" s="132">
        <f>SUM(M5012:M5031)</f>
        <v>27.492318999999995</v>
      </c>
      <c r="N5032" s="129">
        <f>SUM(N5012:N5031)</f>
        <v>-53</v>
      </c>
      <c r="O5032" s="132">
        <f>SUM(O5012:O5031)</f>
        <v>-3.4181479999999995</v>
      </c>
      <c r="P5032" s="32"/>
      <c r="Q5032" s="32"/>
      <c r="R5032" s="32"/>
      <c r="S5032" s="129">
        <f>SUM(S5012:S5031)</f>
        <v>14</v>
      </c>
      <c r="T5032" s="213"/>
    </row>
    <row r="5035" spans="1:20">
      <c r="A5035" s="48" t="s">
        <v>168</v>
      </c>
      <c r="B5035" s="48" t="s">
        <v>169</v>
      </c>
      <c r="C5035" s="32">
        <v>15</v>
      </c>
      <c r="D5035" s="48" t="s">
        <v>19</v>
      </c>
      <c r="E5035" s="48" t="s">
        <v>14</v>
      </c>
      <c r="F5035" s="48" t="s">
        <v>18</v>
      </c>
      <c r="G5035" s="11">
        <v>6.86</v>
      </c>
      <c r="H5035" s="52">
        <v>6.6</v>
      </c>
      <c r="I5035" s="7">
        <v>1</v>
      </c>
      <c r="J5035" s="10">
        <v>4.5275999999999997E-2</v>
      </c>
      <c r="K5035" s="32"/>
      <c r="L5035" s="18">
        <v>0</v>
      </c>
      <c r="M5035" s="19">
        <v>1</v>
      </c>
      <c r="N5035" s="13">
        <v>4.5275999999999997E-2</v>
      </c>
      <c r="O5035" s="111"/>
      <c r="P5035" s="32"/>
      <c r="Q5035" s="32"/>
      <c r="R5035" s="213"/>
      <c r="S5035" s="213"/>
    </row>
    <row r="5036" spans="1:20">
      <c r="A5036" s="42" t="s">
        <v>78</v>
      </c>
      <c r="B5036" s="3"/>
      <c r="C5036" s="3">
        <v>24</v>
      </c>
      <c r="D5036" s="20" t="s">
        <v>19</v>
      </c>
      <c r="E5036" s="7" t="s">
        <v>14</v>
      </c>
      <c r="F5036" s="7" t="s">
        <v>18</v>
      </c>
      <c r="G5036" s="11">
        <v>6.86</v>
      </c>
      <c r="H5036" s="8">
        <v>11.5</v>
      </c>
      <c r="I5036" s="26">
        <v>12</v>
      </c>
      <c r="J5036" s="10">
        <v>0.94668000000000008</v>
      </c>
      <c r="K5036" s="17">
        <v>12</v>
      </c>
      <c r="L5036" s="18">
        <v>0.94668000000000008</v>
      </c>
      <c r="M5036" s="19">
        <v>0</v>
      </c>
      <c r="N5036" s="13">
        <v>0</v>
      </c>
      <c r="O5036" s="9">
        <v>11.5</v>
      </c>
      <c r="P5036" s="2">
        <v>11</v>
      </c>
      <c r="Q5036" s="81">
        <v>10</v>
      </c>
      <c r="R5036" s="77">
        <v>1</v>
      </c>
      <c r="S5036" s="74" t="s">
        <v>687</v>
      </c>
    </row>
    <row r="5037" spans="1:20">
      <c r="A5037" s="42" t="s">
        <v>78</v>
      </c>
      <c r="B5037" s="3"/>
      <c r="C5037" s="3">
        <v>28</v>
      </c>
      <c r="D5037" s="20" t="s">
        <v>86</v>
      </c>
      <c r="E5037" s="7" t="s">
        <v>14</v>
      </c>
      <c r="F5037" s="7" t="s">
        <v>18</v>
      </c>
      <c r="G5037" s="11">
        <v>6.86</v>
      </c>
      <c r="H5037" s="8">
        <v>10.5</v>
      </c>
      <c r="I5037" s="26">
        <v>7</v>
      </c>
      <c r="J5037" s="10">
        <v>0.50421000000000005</v>
      </c>
      <c r="K5037" s="17">
        <v>7</v>
      </c>
      <c r="L5037" s="18">
        <v>0.50421000000000005</v>
      </c>
      <c r="M5037" s="19">
        <v>0</v>
      </c>
      <c r="N5037" s="13">
        <v>0</v>
      </c>
      <c r="O5037" s="9">
        <v>10.5</v>
      </c>
      <c r="P5037" s="2">
        <v>3</v>
      </c>
      <c r="Q5037" s="81">
        <v>10</v>
      </c>
      <c r="R5037" s="77">
        <v>1</v>
      </c>
      <c r="S5037" s="74" t="s">
        <v>687</v>
      </c>
    </row>
    <row r="5038" spans="1:20">
      <c r="A5038" s="42"/>
      <c r="B5038" s="3" t="s">
        <v>124</v>
      </c>
      <c r="C5038" s="3">
        <v>4</v>
      </c>
      <c r="D5038" s="20" t="s">
        <v>86</v>
      </c>
      <c r="E5038" s="7" t="s">
        <v>14</v>
      </c>
      <c r="F5038" s="7" t="s">
        <v>18</v>
      </c>
      <c r="G5038" s="11">
        <v>6.86</v>
      </c>
      <c r="H5038" s="8">
        <v>9.3000000000000007</v>
      </c>
      <c r="I5038" s="26">
        <v>1</v>
      </c>
      <c r="J5038" s="10">
        <v>6.3798000000000007E-2</v>
      </c>
      <c r="K5038" s="17">
        <v>1</v>
      </c>
      <c r="L5038" s="18">
        <v>6.3798000000000007E-2</v>
      </c>
      <c r="M5038" s="19">
        <v>0</v>
      </c>
      <c r="N5038" s="13">
        <v>0</v>
      </c>
      <c r="O5038" s="9"/>
      <c r="P5038" s="2"/>
      <c r="Q5038" s="81">
        <v>8</v>
      </c>
      <c r="R5038" s="77">
        <v>1</v>
      </c>
      <c r="S5038" s="74" t="s">
        <v>539</v>
      </c>
    </row>
    <row r="5039" spans="1:20">
      <c r="A5039" s="47" t="s">
        <v>147</v>
      </c>
      <c r="B5039" s="48" t="s">
        <v>148</v>
      </c>
      <c r="C5039" s="32">
        <v>316</v>
      </c>
      <c r="D5039" s="48" t="s">
        <v>161</v>
      </c>
      <c r="E5039" s="48" t="s">
        <v>14</v>
      </c>
      <c r="F5039" s="48" t="s">
        <v>18</v>
      </c>
      <c r="G5039" s="11">
        <v>6.86</v>
      </c>
      <c r="H5039" s="52">
        <v>7.5</v>
      </c>
      <c r="I5039" s="7">
        <v>1</v>
      </c>
      <c r="J5039" s="10">
        <v>5.1450000000000003E-2</v>
      </c>
      <c r="K5039" s="32"/>
      <c r="L5039" s="18">
        <v>0</v>
      </c>
      <c r="M5039" s="19">
        <v>1</v>
      </c>
      <c r="N5039" s="13">
        <v>5.1450000000000003E-2</v>
      </c>
      <c r="O5039" s="111"/>
      <c r="P5039" s="32"/>
      <c r="Q5039" s="75"/>
      <c r="R5039" s="77"/>
      <c r="S5039" s="77"/>
    </row>
    <row r="5040" spans="1:20">
      <c r="A5040" s="47" t="s">
        <v>147</v>
      </c>
      <c r="B5040" s="48" t="s">
        <v>148</v>
      </c>
      <c r="C5040" s="32">
        <v>361</v>
      </c>
      <c r="D5040" s="48" t="s">
        <v>19</v>
      </c>
      <c r="E5040" s="48" t="s">
        <v>14</v>
      </c>
      <c r="F5040" s="48" t="s">
        <v>18</v>
      </c>
      <c r="G5040" s="11">
        <v>6.86</v>
      </c>
      <c r="H5040" s="52">
        <v>10.5</v>
      </c>
      <c r="I5040" s="7">
        <v>1</v>
      </c>
      <c r="J5040" s="10">
        <v>7.2029999999999997E-2</v>
      </c>
      <c r="K5040" s="32">
        <v>1</v>
      </c>
      <c r="L5040" s="18">
        <v>7.2029999999999997E-2</v>
      </c>
      <c r="M5040" s="19">
        <v>0</v>
      </c>
      <c r="N5040" s="13">
        <v>0</v>
      </c>
      <c r="O5040" s="159"/>
      <c r="P5040" s="32"/>
      <c r="Q5040" s="75">
        <v>10</v>
      </c>
      <c r="R5040" s="77">
        <v>1</v>
      </c>
      <c r="S5040" s="74" t="s">
        <v>687</v>
      </c>
    </row>
    <row r="5041" spans="1:19">
      <c r="A5041" s="47" t="s">
        <v>147</v>
      </c>
      <c r="B5041" s="48" t="s">
        <v>148</v>
      </c>
      <c r="C5041" s="32">
        <v>361</v>
      </c>
      <c r="D5041" s="48" t="s">
        <v>19</v>
      </c>
      <c r="E5041" s="48" t="s">
        <v>14</v>
      </c>
      <c r="F5041" s="48" t="s">
        <v>18</v>
      </c>
      <c r="G5041" s="11">
        <v>6.86</v>
      </c>
      <c r="H5041" s="52">
        <v>10</v>
      </c>
      <c r="I5041" s="7">
        <v>1</v>
      </c>
      <c r="J5041" s="10">
        <v>6.8600000000000008E-2</v>
      </c>
      <c r="K5041" s="32">
        <v>1</v>
      </c>
      <c r="L5041" s="18">
        <v>6.8600000000000008E-2</v>
      </c>
      <c r="M5041" s="19">
        <v>0</v>
      </c>
      <c r="N5041" s="13">
        <v>0</v>
      </c>
      <c r="O5041" s="159"/>
      <c r="P5041" s="32"/>
      <c r="Q5041" s="75">
        <v>10</v>
      </c>
      <c r="R5041" s="77">
        <v>1</v>
      </c>
      <c r="S5041" s="74" t="s">
        <v>687</v>
      </c>
    </row>
    <row r="5042" spans="1:19">
      <c r="A5042" s="45" t="s">
        <v>136</v>
      </c>
      <c r="B5042" s="48" t="s">
        <v>171</v>
      </c>
      <c r="C5042" s="32">
        <v>156</v>
      </c>
      <c r="D5042" s="48" t="s">
        <v>178</v>
      </c>
      <c r="E5042" s="48" t="s">
        <v>14</v>
      </c>
      <c r="F5042" s="48" t="s">
        <v>18</v>
      </c>
      <c r="G5042" s="11">
        <v>6.86</v>
      </c>
      <c r="H5042" s="9">
        <v>4.3</v>
      </c>
      <c r="I5042" s="7">
        <v>1</v>
      </c>
      <c r="J5042" s="10">
        <v>2.9498E-2</v>
      </c>
      <c r="K5042" s="32"/>
      <c r="L5042" s="18">
        <v>0</v>
      </c>
      <c r="M5042" s="19">
        <v>1</v>
      </c>
      <c r="N5042" s="13">
        <v>2.9498E-2</v>
      </c>
      <c r="O5042" s="111"/>
      <c r="P5042" s="32"/>
      <c r="Q5042" s="33"/>
      <c r="R5042" s="213"/>
      <c r="S5042" s="213"/>
    </row>
    <row r="5043" spans="1:19">
      <c r="M5043" s="215">
        <f>SUM(M5035:M5042)</f>
        <v>3</v>
      </c>
      <c r="R5043" s="215">
        <f>SUM(R5035:R5042)</f>
        <v>5</v>
      </c>
    </row>
    <row r="5045" spans="1:19" ht="15.6">
      <c r="A5045" s="110" t="s">
        <v>391</v>
      </c>
      <c r="B5045" s="111" t="s">
        <v>227</v>
      </c>
      <c r="C5045" s="112" t="s">
        <v>228</v>
      </c>
      <c r="D5045" s="113" t="s">
        <v>24</v>
      </c>
      <c r="E5045" s="114" t="s">
        <v>14</v>
      </c>
      <c r="F5045" s="115" t="s">
        <v>18</v>
      </c>
      <c r="G5045" s="116">
        <v>6.86</v>
      </c>
      <c r="H5045" s="125">
        <v>12</v>
      </c>
      <c r="I5045" s="111">
        <v>35</v>
      </c>
      <c r="J5045" s="117">
        <f t="shared" ref="J5045:J5058" si="650">H5045*G5045*I5045/1000</f>
        <v>2.8812000000000002</v>
      </c>
      <c r="K5045" s="118"/>
      <c r="L5045" s="111">
        <v>35</v>
      </c>
      <c r="M5045" s="117">
        <f t="shared" ref="M5045:M5058" si="651">H5045*L5045*G5045/1000</f>
        <v>2.8812000000000002</v>
      </c>
      <c r="N5045" s="119">
        <f t="shared" ref="N5045:N5058" si="652">I5045-L5045</f>
        <v>0</v>
      </c>
      <c r="O5045" s="120">
        <f t="shared" ref="O5045:O5058" si="653">H5045*N5045*G5045/1000</f>
        <v>0</v>
      </c>
      <c r="P5045" s="130"/>
      <c r="Q5045" s="111"/>
      <c r="R5045" s="111"/>
      <c r="S5045" s="111"/>
    </row>
    <row r="5046" spans="1:19" ht="15.6">
      <c r="A5046" s="110" t="s">
        <v>391</v>
      </c>
      <c r="B5046" s="111" t="s">
        <v>227</v>
      </c>
      <c r="C5046" s="112" t="s">
        <v>228</v>
      </c>
      <c r="D5046" s="113" t="s">
        <v>24</v>
      </c>
      <c r="E5046" s="114" t="s">
        <v>14</v>
      </c>
      <c r="F5046" s="115" t="s">
        <v>18</v>
      </c>
      <c r="G5046" s="116">
        <v>6.86</v>
      </c>
      <c r="H5046" s="125">
        <v>10</v>
      </c>
      <c r="I5046" s="111">
        <v>24</v>
      </c>
      <c r="J5046" s="117">
        <f t="shared" si="650"/>
        <v>1.6464000000000001</v>
      </c>
      <c r="K5046" s="118"/>
      <c r="L5046" s="111">
        <v>24</v>
      </c>
      <c r="M5046" s="117">
        <f t="shared" si="651"/>
        <v>1.6464000000000001</v>
      </c>
      <c r="N5046" s="119">
        <f t="shared" si="652"/>
        <v>0</v>
      </c>
      <c r="O5046" s="120">
        <f t="shared" si="653"/>
        <v>0</v>
      </c>
      <c r="P5046" s="130"/>
      <c r="Q5046" s="111"/>
      <c r="R5046" s="111"/>
      <c r="S5046" s="111"/>
    </row>
    <row r="5047" spans="1:19" ht="15.6">
      <c r="A5047" s="110" t="s">
        <v>391</v>
      </c>
      <c r="B5047" s="111" t="s">
        <v>227</v>
      </c>
      <c r="C5047" s="112" t="s">
        <v>228</v>
      </c>
      <c r="D5047" s="113" t="s">
        <v>24</v>
      </c>
      <c r="E5047" s="114" t="s">
        <v>14</v>
      </c>
      <c r="F5047" s="115" t="s">
        <v>18</v>
      </c>
      <c r="G5047" s="116">
        <v>6.86</v>
      </c>
      <c r="H5047" s="125">
        <v>7.75</v>
      </c>
      <c r="I5047" s="111">
        <v>9</v>
      </c>
      <c r="J5047" s="117">
        <f t="shared" si="650"/>
        <v>0.47848499999999999</v>
      </c>
      <c r="K5047" s="118"/>
      <c r="L5047" s="111">
        <v>9</v>
      </c>
      <c r="M5047" s="117">
        <f t="shared" si="651"/>
        <v>0.47848499999999999</v>
      </c>
      <c r="N5047" s="119">
        <f t="shared" si="652"/>
        <v>0</v>
      </c>
      <c r="O5047" s="120">
        <f t="shared" si="653"/>
        <v>0</v>
      </c>
      <c r="P5047" s="130"/>
      <c r="Q5047" s="111"/>
      <c r="R5047" s="111"/>
      <c r="S5047" s="111"/>
    </row>
    <row r="5048" spans="1:19" ht="15.6">
      <c r="A5048" s="110" t="s">
        <v>391</v>
      </c>
      <c r="B5048" s="111" t="s">
        <v>227</v>
      </c>
      <c r="C5048" s="112" t="s">
        <v>228</v>
      </c>
      <c r="D5048" s="113" t="s">
        <v>24</v>
      </c>
      <c r="E5048" s="114" t="s">
        <v>14</v>
      </c>
      <c r="F5048" s="115" t="s">
        <v>18</v>
      </c>
      <c r="G5048" s="116">
        <v>6.86</v>
      </c>
      <c r="H5048" s="125">
        <v>8</v>
      </c>
      <c r="I5048" s="111">
        <v>7</v>
      </c>
      <c r="J5048" s="117">
        <f t="shared" si="650"/>
        <v>0.38416</v>
      </c>
      <c r="K5048" s="118"/>
      <c r="L5048" s="111">
        <v>7</v>
      </c>
      <c r="M5048" s="117">
        <f t="shared" si="651"/>
        <v>0.38416</v>
      </c>
      <c r="N5048" s="119">
        <f t="shared" si="652"/>
        <v>0</v>
      </c>
      <c r="O5048" s="120">
        <f t="shared" si="653"/>
        <v>0</v>
      </c>
      <c r="P5048" s="130"/>
      <c r="Q5048" s="111"/>
      <c r="R5048" s="111"/>
      <c r="S5048" s="111"/>
    </row>
    <row r="5049" spans="1:19" ht="15.6">
      <c r="A5049" s="110" t="s">
        <v>391</v>
      </c>
      <c r="B5049" s="111" t="s">
        <v>227</v>
      </c>
      <c r="C5049" s="112" t="s">
        <v>228</v>
      </c>
      <c r="D5049" s="113" t="s">
        <v>24</v>
      </c>
      <c r="E5049" s="114" t="s">
        <v>14</v>
      </c>
      <c r="F5049" s="115" t="s">
        <v>18</v>
      </c>
      <c r="G5049" s="116">
        <v>6.86</v>
      </c>
      <c r="H5049" s="125">
        <v>12</v>
      </c>
      <c r="I5049" s="111">
        <v>13</v>
      </c>
      <c r="J5049" s="117">
        <f t="shared" si="650"/>
        <v>1.07016</v>
      </c>
      <c r="K5049" s="118"/>
      <c r="L5049" s="111">
        <v>13</v>
      </c>
      <c r="M5049" s="117">
        <f t="shared" si="651"/>
        <v>1.07016</v>
      </c>
      <c r="N5049" s="119">
        <f t="shared" si="652"/>
        <v>0</v>
      </c>
      <c r="O5049" s="120">
        <f t="shared" si="653"/>
        <v>0</v>
      </c>
      <c r="P5049" s="130"/>
      <c r="Q5049" s="111"/>
      <c r="R5049" s="111"/>
      <c r="S5049" s="111"/>
    </row>
    <row r="5050" spans="1:19" ht="15.6">
      <c r="A5050" s="110" t="s">
        <v>391</v>
      </c>
      <c r="B5050" s="111" t="s">
        <v>227</v>
      </c>
      <c r="C5050" s="112" t="s">
        <v>228</v>
      </c>
      <c r="D5050" s="113" t="s">
        <v>24</v>
      </c>
      <c r="E5050" s="114" t="s">
        <v>14</v>
      </c>
      <c r="F5050" s="115" t="s">
        <v>18</v>
      </c>
      <c r="G5050" s="116">
        <v>6.86</v>
      </c>
      <c r="H5050" s="125">
        <v>12</v>
      </c>
      <c r="I5050" s="111">
        <v>14</v>
      </c>
      <c r="J5050" s="117">
        <f t="shared" si="650"/>
        <v>1.1524799999999999</v>
      </c>
      <c r="K5050" s="118"/>
      <c r="L5050" s="111">
        <v>14</v>
      </c>
      <c r="M5050" s="117">
        <f t="shared" si="651"/>
        <v>1.1524799999999999</v>
      </c>
      <c r="N5050" s="119">
        <f t="shared" si="652"/>
        <v>0</v>
      </c>
      <c r="O5050" s="120">
        <f t="shared" si="653"/>
        <v>0</v>
      </c>
      <c r="P5050" s="130"/>
      <c r="Q5050" s="111"/>
      <c r="R5050" s="111"/>
      <c r="S5050" s="111"/>
    </row>
    <row r="5051" spans="1:19" ht="15.6">
      <c r="A5051" s="110" t="s">
        <v>391</v>
      </c>
      <c r="B5051" s="111" t="s">
        <v>227</v>
      </c>
      <c r="C5051" s="112" t="s">
        <v>228</v>
      </c>
      <c r="D5051" s="113" t="s">
        <v>24</v>
      </c>
      <c r="E5051" s="114" t="s">
        <v>14</v>
      </c>
      <c r="F5051" s="115" t="s">
        <v>18</v>
      </c>
      <c r="G5051" s="116">
        <v>6.86</v>
      </c>
      <c r="H5051" s="125">
        <v>12</v>
      </c>
      <c r="I5051" s="111">
        <v>8</v>
      </c>
      <c r="J5051" s="117">
        <f t="shared" si="650"/>
        <v>0.65856000000000003</v>
      </c>
      <c r="K5051" s="118"/>
      <c r="L5051" s="111">
        <v>8</v>
      </c>
      <c r="M5051" s="117">
        <f t="shared" si="651"/>
        <v>0.65856000000000003</v>
      </c>
      <c r="N5051" s="119">
        <f t="shared" si="652"/>
        <v>0</v>
      </c>
      <c r="O5051" s="120">
        <f t="shared" si="653"/>
        <v>0</v>
      </c>
      <c r="P5051" s="130"/>
      <c r="Q5051" s="111"/>
      <c r="R5051" s="111"/>
      <c r="S5051" s="111"/>
    </row>
    <row r="5052" spans="1:19" ht="15.6">
      <c r="A5052" s="110" t="s">
        <v>391</v>
      </c>
      <c r="B5052" s="111" t="s">
        <v>227</v>
      </c>
      <c r="C5052" s="112" t="s">
        <v>228</v>
      </c>
      <c r="D5052" s="113" t="s">
        <v>24</v>
      </c>
      <c r="E5052" s="114" t="s">
        <v>14</v>
      </c>
      <c r="F5052" s="115" t="s">
        <v>18</v>
      </c>
      <c r="G5052" s="116">
        <v>6.86</v>
      </c>
      <c r="H5052" s="125">
        <v>11.5</v>
      </c>
      <c r="I5052" s="111">
        <v>2</v>
      </c>
      <c r="J5052" s="117">
        <f t="shared" si="650"/>
        <v>0.15778</v>
      </c>
      <c r="K5052" s="118"/>
      <c r="L5052" s="111">
        <v>2</v>
      </c>
      <c r="M5052" s="117">
        <f t="shared" si="651"/>
        <v>0.15778</v>
      </c>
      <c r="N5052" s="119">
        <f t="shared" si="652"/>
        <v>0</v>
      </c>
      <c r="O5052" s="120">
        <f t="shared" si="653"/>
        <v>0</v>
      </c>
      <c r="P5052" s="130"/>
      <c r="Q5052" s="111"/>
      <c r="R5052" s="111"/>
      <c r="S5052" s="111"/>
    </row>
    <row r="5053" spans="1:19" ht="15.6">
      <c r="A5053" s="110" t="s">
        <v>391</v>
      </c>
      <c r="B5053" s="111" t="s">
        <v>227</v>
      </c>
      <c r="C5053" s="112" t="s">
        <v>228</v>
      </c>
      <c r="D5053" s="113" t="s">
        <v>24</v>
      </c>
      <c r="E5053" s="114" t="s">
        <v>14</v>
      </c>
      <c r="F5053" s="115" t="s">
        <v>18</v>
      </c>
      <c r="G5053" s="116">
        <v>6.86</v>
      </c>
      <c r="H5053" s="125">
        <v>11</v>
      </c>
      <c r="I5053" s="111">
        <v>1</v>
      </c>
      <c r="J5053" s="117">
        <f t="shared" si="650"/>
        <v>7.5460000000000013E-2</v>
      </c>
      <c r="K5053" s="118"/>
      <c r="L5053" s="111">
        <v>1</v>
      </c>
      <c r="M5053" s="117">
        <f t="shared" si="651"/>
        <v>7.5460000000000013E-2</v>
      </c>
      <c r="N5053" s="119">
        <f t="shared" si="652"/>
        <v>0</v>
      </c>
      <c r="O5053" s="120">
        <f t="shared" si="653"/>
        <v>0</v>
      </c>
      <c r="P5053" s="172">
        <v>10</v>
      </c>
      <c r="Q5053" s="93">
        <v>1</v>
      </c>
      <c r="R5053" s="93" t="s">
        <v>688</v>
      </c>
      <c r="S5053" s="93"/>
    </row>
    <row r="5054" spans="1:19" ht="15.6">
      <c r="A5054" s="110" t="s">
        <v>391</v>
      </c>
      <c r="B5054" s="111" t="s">
        <v>227</v>
      </c>
      <c r="C5054" s="112" t="s">
        <v>228</v>
      </c>
      <c r="D5054" s="113" t="s">
        <v>24</v>
      </c>
      <c r="E5054" s="114" t="s">
        <v>14</v>
      </c>
      <c r="F5054" s="115" t="s">
        <v>18</v>
      </c>
      <c r="G5054" s="116">
        <v>6.86</v>
      </c>
      <c r="H5054" s="125">
        <v>10</v>
      </c>
      <c r="I5054" s="111">
        <v>2</v>
      </c>
      <c r="J5054" s="117">
        <f t="shared" si="650"/>
        <v>0.13720000000000002</v>
      </c>
      <c r="K5054" s="118"/>
      <c r="L5054" s="111">
        <v>2</v>
      </c>
      <c r="M5054" s="117">
        <f t="shared" si="651"/>
        <v>0.13720000000000002</v>
      </c>
      <c r="N5054" s="119">
        <f t="shared" si="652"/>
        <v>0</v>
      </c>
      <c r="O5054" s="120">
        <f t="shared" si="653"/>
        <v>0</v>
      </c>
      <c r="P5054" s="172">
        <v>10</v>
      </c>
      <c r="Q5054" s="93">
        <v>2</v>
      </c>
      <c r="R5054" s="93" t="s">
        <v>688</v>
      </c>
      <c r="S5054" s="93"/>
    </row>
    <row r="5055" spans="1:19" ht="15.6">
      <c r="A5055" s="110" t="s">
        <v>391</v>
      </c>
      <c r="B5055" s="111" t="s">
        <v>227</v>
      </c>
      <c r="C5055" s="112" t="s">
        <v>228</v>
      </c>
      <c r="D5055" s="113" t="s">
        <v>24</v>
      </c>
      <c r="E5055" s="114" t="s">
        <v>14</v>
      </c>
      <c r="F5055" s="115" t="s">
        <v>18</v>
      </c>
      <c r="G5055" s="116">
        <v>6.86</v>
      </c>
      <c r="H5055" s="125">
        <v>7.4</v>
      </c>
      <c r="I5055" s="111">
        <v>1</v>
      </c>
      <c r="J5055" s="117">
        <f t="shared" si="650"/>
        <v>5.0764000000000004E-2</v>
      </c>
      <c r="K5055" s="118"/>
      <c r="L5055" s="111">
        <v>1</v>
      </c>
      <c r="M5055" s="117">
        <f t="shared" si="651"/>
        <v>5.0764000000000004E-2</v>
      </c>
      <c r="N5055" s="119">
        <f t="shared" si="652"/>
        <v>0</v>
      </c>
      <c r="O5055" s="120">
        <f t="shared" si="653"/>
        <v>0</v>
      </c>
      <c r="P5055" s="130"/>
      <c r="Q5055" s="111"/>
      <c r="R5055" s="111"/>
      <c r="S5055" s="111"/>
    </row>
    <row r="5056" spans="1:19" ht="15.6">
      <c r="A5056" s="110" t="s">
        <v>391</v>
      </c>
      <c r="B5056" s="111" t="s">
        <v>227</v>
      </c>
      <c r="C5056" s="112" t="s">
        <v>228</v>
      </c>
      <c r="D5056" s="113" t="s">
        <v>24</v>
      </c>
      <c r="E5056" s="114" t="s">
        <v>14</v>
      </c>
      <c r="F5056" s="115" t="s">
        <v>18</v>
      </c>
      <c r="G5056" s="116">
        <v>6.86</v>
      </c>
      <c r="H5056" s="125">
        <v>6.8</v>
      </c>
      <c r="I5056" s="111">
        <v>1</v>
      </c>
      <c r="J5056" s="117">
        <f t="shared" si="650"/>
        <v>4.6648000000000002E-2</v>
      </c>
      <c r="K5056" s="118"/>
      <c r="L5056" s="111">
        <v>1</v>
      </c>
      <c r="M5056" s="117">
        <f t="shared" si="651"/>
        <v>4.6648000000000002E-2</v>
      </c>
      <c r="N5056" s="119">
        <f t="shared" si="652"/>
        <v>0</v>
      </c>
      <c r="O5056" s="120">
        <f t="shared" si="653"/>
        <v>0</v>
      </c>
      <c r="P5056" s="130"/>
      <c r="Q5056" s="111"/>
      <c r="R5056" s="111"/>
      <c r="S5056" s="111"/>
    </row>
    <row r="5057" spans="1:20" ht="15.6">
      <c r="A5057" s="110" t="s">
        <v>391</v>
      </c>
      <c r="B5057" s="111" t="s">
        <v>227</v>
      </c>
      <c r="C5057" s="112" t="s">
        <v>228</v>
      </c>
      <c r="D5057" s="113" t="s">
        <v>24</v>
      </c>
      <c r="E5057" s="114" t="s">
        <v>14</v>
      </c>
      <c r="F5057" s="115" t="s">
        <v>18</v>
      </c>
      <c r="G5057" s="116">
        <v>6.86</v>
      </c>
      <c r="H5057" s="125">
        <v>6.5</v>
      </c>
      <c r="I5057" s="111">
        <v>1</v>
      </c>
      <c r="J5057" s="117">
        <f t="shared" si="650"/>
        <v>4.4590000000000005E-2</v>
      </c>
      <c r="K5057" s="118"/>
      <c r="L5057" s="111">
        <v>1</v>
      </c>
      <c r="M5057" s="117">
        <f t="shared" si="651"/>
        <v>4.4590000000000005E-2</v>
      </c>
      <c r="N5057" s="119">
        <f t="shared" si="652"/>
        <v>0</v>
      </c>
      <c r="O5057" s="120">
        <f t="shared" si="653"/>
        <v>0</v>
      </c>
      <c r="P5057" s="130"/>
      <c r="Q5057" s="111"/>
      <c r="R5057" s="111"/>
      <c r="S5057" s="111"/>
    </row>
    <row r="5058" spans="1:20" ht="15.6">
      <c r="A5058" s="110" t="s">
        <v>391</v>
      </c>
      <c r="B5058" s="111" t="s">
        <v>227</v>
      </c>
      <c r="C5058" s="112" t="s">
        <v>228</v>
      </c>
      <c r="D5058" s="113" t="s">
        <v>24</v>
      </c>
      <c r="E5058" s="114" t="s">
        <v>14</v>
      </c>
      <c r="F5058" s="115" t="s">
        <v>18</v>
      </c>
      <c r="G5058" s="116">
        <v>6.86</v>
      </c>
      <c r="H5058" s="126">
        <v>12</v>
      </c>
      <c r="I5058" s="111">
        <v>10</v>
      </c>
      <c r="J5058" s="117">
        <f t="shared" si="650"/>
        <v>0.82320000000000004</v>
      </c>
      <c r="K5058" s="118"/>
      <c r="L5058" s="111">
        <f>8+2</f>
        <v>10</v>
      </c>
      <c r="M5058" s="117">
        <f t="shared" si="651"/>
        <v>0.82320000000000004</v>
      </c>
      <c r="N5058" s="119">
        <f t="shared" si="652"/>
        <v>0</v>
      </c>
      <c r="O5058" s="120">
        <f t="shared" si="653"/>
        <v>0</v>
      </c>
      <c r="P5058" s="172">
        <v>12</v>
      </c>
      <c r="Q5058" s="93">
        <v>2</v>
      </c>
      <c r="R5058" s="93" t="s">
        <v>631</v>
      </c>
      <c r="S5058" s="93"/>
    </row>
    <row r="5059" spans="1:20">
      <c r="A5059" s="213"/>
      <c r="B5059" s="213"/>
      <c r="C5059" s="213"/>
      <c r="D5059" s="213"/>
      <c r="E5059" s="213"/>
      <c r="F5059" s="213"/>
      <c r="G5059" s="213"/>
      <c r="H5059" s="213"/>
      <c r="I5059" s="215">
        <f>SUM(I5045:I5058)</f>
        <v>128</v>
      </c>
      <c r="J5059" s="214">
        <f>SUM(J5045:J5058)</f>
        <v>9.6070869999999982</v>
      </c>
      <c r="K5059" s="213"/>
      <c r="L5059" s="215">
        <f>SUM(L5045:L5058)</f>
        <v>128</v>
      </c>
      <c r="M5059" s="214">
        <f>SUM(M5045:M5058)</f>
        <v>9.6070869999999982</v>
      </c>
      <c r="N5059" s="215">
        <f>SUM(N5045:N5058)</f>
        <v>0</v>
      </c>
      <c r="O5059" s="214">
        <f>SUM(O5045:O5058)</f>
        <v>0</v>
      </c>
      <c r="P5059" s="213"/>
      <c r="Q5059" s="215">
        <f>SUM(Q5045:Q5058)</f>
        <v>5</v>
      </c>
      <c r="R5059" s="213"/>
      <c r="S5059" s="213"/>
    </row>
    <row r="5061" spans="1:20" ht="15.6">
      <c r="A5061" s="110" t="s">
        <v>502</v>
      </c>
      <c r="B5061" s="111" t="s">
        <v>232</v>
      </c>
      <c r="C5061" s="112" t="s">
        <v>468</v>
      </c>
      <c r="D5061" s="113" t="s">
        <v>658</v>
      </c>
      <c r="E5061" s="114" t="s">
        <v>14</v>
      </c>
      <c r="F5061" s="115" t="s">
        <v>18</v>
      </c>
      <c r="G5061" s="116">
        <v>6.86</v>
      </c>
      <c r="H5061" s="126">
        <v>11.5</v>
      </c>
      <c r="I5061" s="111">
        <v>40</v>
      </c>
      <c r="J5061" s="117">
        <f t="shared" ref="J5061:J5069" si="654">H5061*G5061*I5061/1000</f>
        <v>3.1555999999999997</v>
      </c>
      <c r="K5061" s="118"/>
      <c r="L5061" s="111">
        <f>40+21</f>
        <v>61</v>
      </c>
      <c r="M5061" s="117">
        <f t="shared" ref="M5061:M5069" si="655">H5061*L5061*G5061/1000</f>
        <v>4.81229</v>
      </c>
      <c r="N5061" s="180">
        <f t="shared" ref="N5061:N5069" si="656">I5061-L5061</f>
        <v>-21</v>
      </c>
      <c r="O5061" s="181">
        <f t="shared" ref="O5061:O5069" si="657">H5061*N5061*G5061/1000</f>
        <v>-1.65669</v>
      </c>
      <c r="P5061" s="32" t="s">
        <v>660</v>
      </c>
      <c r="Q5061" s="67"/>
      <c r="R5061" s="98">
        <v>11.5</v>
      </c>
      <c r="S5061" s="91">
        <v>2</v>
      </c>
      <c r="T5061" s="156" t="s">
        <v>689</v>
      </c>
    </row>
    <row r="5062" spans="1:20" ht="15.6">
      <c r="A5062" s="110" t="s">
        <v>502</v>
      </c>
      <c r="B5062" s="111" t="s">
        <v>232</v>
      </c>
      <c r="C5062" s="112" t="s">
        <v>468</v>
      </c>
      <c r="D5062" s="113" t="s">
        <v>658</v>
      </c>
      <c r="E5062" s="114" t="s">
        <v>14</v>
      </c>
      <c r="F5062" s="115" t="s">
        <v>18</v>
      </c>
      <c r="G5062" s="116">
        <v>6.86</v>
      </c>
      <c r="H5062" s="126">
        <v>10</v>
      </c>
      <c r="I5062" s="111">
        <f>26+17</f>
        <v>43</v>
      </c>
      <c r="J5062" s="117">
        <f t="shared" si="654"/>
        <v>2.9498000000000002</v>
      </c>
      <c r="K5062" s="118"/>
      <c r="L5062" s="111">
        <v>43</v>
      </c>
      <c r="M5062" s="117">
        <f t="shared" si="655"/>
        <v>2.9498000000000002</v>
      </c>
      <c r="N5062" s="119">
        <f t="shared" si="656"/>
        <v>0</v>
      </c>
      <c r="O5062" s="120">
        <f t="shared" si="657"/>
        <v>0</v>
      </c>
      <c r="P5062" s="32"/>
      <c r="Q5062" s="67"/>
      <c r="R5062" s="33"/>
      <c r="S5062" s="32"/>
      <c r="T5062" s="213"/>
    </row>
    <row r="5063" spans="1:20" ht="15.6">
      <c r="A5063" s="110" t="s">
        <v>502</v>
      </c>
      <c r="B5063" s="111" t="s">
        <v>232</v>
      </c>
      <c r="C5063" s="112" t="s">
        <v>468</v>
      </c>
      <c r="D5063" s="113" t="s">
        <v>658</v>
      </c>
      <c r="E5063" s="114" t="s">
        <v>14</v>
      </c>
      <c r="F5063" s="115" t="s">
        <v>18</v>
      </c>
      <c r="G5063" s="116">
        <v>6.86</v>
      </c>
      <c r="H5063" s="126">
        <v>6.1</v>
      </c>
      <c r="I5063" s="111">
        <v>1</v>
      </c>
      <c r="J5063" s="117">
        <f t="shared" si="654"/>
        <v>4.1845999999999994E-2</v>
      </c>
      <c r="K5063" s="118"/>
      <c r="L5063" s="111">
        <v>1</v>
      </c>
      <c r="M5063" s="117">
        <f t="shared" si="655"/>
        <v>4.1845999999999994E-2</v>
      </c>
      <c r="N5063" s="119">
        <f t="shared" si="656"/>
        <v>0</v>
      </c>
      <c r="O5063" s="120">
        <f t="shared" si="657"/>
        <v>0</v>
      </c>
      <c r="P5063" s="32"/>
      <c r="Q5063" s="67"/>
      <c r="R5063" s="33"/>
      <c r="S5063" s="32"/>
      <c r="T5063" s="213"/>
    </row>
    <row r="5064" spans="1:20" ht="15.6">
      <c r="A5064" s="110" t="s">
        <v>502</v>
      </c>
      <c r="B5064" s="111" t="s">
        <v>232</v>
      </c>
      <c r="C5064" s="112" t="s">
        <v>468</v>
      </c>
      <c r="D5064" s="113" t="s">
        <v>658</v>
      </c>
      <c r="E5064" s="114" t="s">
        <v>14</v>
      </c>
      <c r="F5064" s="115" t="s">
        <v>18</v>
      </c>
      <c r="G5064" s="116">
        <v>6.86</v>
      </c>
      <c r="H5064" s="126">
        <v>8.5</v>
      </c>
      <c r="I5064" s="111">
        <v>1</v>
      </c>
      <c r="J5064" s="117">
        <f t="shared" si="654"/>
        <v>5.8310000000000001E-2</v>
      </c>
      <c r="K5064" s="118"/>
      <c r="L5064" s="111">
        <v>1</v>
      </c>
      <c r="M5064" s="117">
        <f t="shared" si="655"/>
        <v>5.8310000000000001E-2</v>
      </c>
      <c r="N5064" s="119">
        <f t="shared" si="656"/>
        <v>0</v>
      </c>
      <c r="O5064" s="120">
        <f t="shared" si="657"/>
        <v>0</v>
      </c>
      <c r="P5064" s="32">
        <v>6.1</v>
      </c>
      <c r="Q5064" s="67">
        <v>1</v>
      </c>
      <c r="R5064" s="33"/>
      <c r="S5064" s="32"/>
      <c r="T5064" s="213"/>
    </row>
    <row r="5065" spans="1:20" ht="15.6">
      <c r="A5065" s="110" t="s">
        <v>502</v>
      </c>
      <c r="B5065" s="111" t="s">
        <v>232</v>
      </c>
      <c r="C5065" s="112" t="s">
        <v>468</v>
      </c>
      <c r="D5065" s="113" t="s">
        <v>658</v>
      </c>
      <c r="E5065" s="114" t="s">
        <v>14</v>
      </c>
      <c r="F5065" s="115" t="s">
        <v>18</v>
      </c>
      <c r="G5065" s="116">
        <v>6.86</v>
      </c>
      <c r="H5065" s="126">
        <v>9.6999999999999993</v>
      </c>
      <c r="I5065" s="111">
        <v>1</v>
      </c>
      <c r="J5065" s="117">
        <f t="shared" si="654"/>
        <v>6.6542000000000004E-2</v>
      </c>
      <c r="K5065" s="118"/>
      <c r="L5065" s="111"/>
      <c r="M5065" s="117">
        <f t="shared" si="655"/>
        <v>0</v>
      </c>
      <c r="N5065" s="119">
        <f t="shared" si="656"/>
        <v>1</v>
      </c>
      <c r="O5065" s="120">
        <f t="shared" si="657"/>
        <v>6.6542000000000004E-2</v>
      </c>
      <c r="P5065" s="32"/>
      <c r="Q5065" s="67"/>
      <c r="R5065" s="33"/>
      <c r="S5065" s="32"/>
      <c r="T5065" s="213"/>
    </row>
    <row r="5066" spans="1:20" ht="15.6">
      <c r="A5066" s="110" t="s">
        <v>502</v>
      </c>
      <c r="B5066" s="111" t="s">
        <v>232</v>
      </c>
      <c r="C5066" s="112" t="s">
        <v>468</v>
      </c>
      <c r="D5066" s="113" t="s">
        <v>658</v>
      </c>
      <c r="E5066" s="114" t="s">
        <v>14</v>
      </c>
      <c r="F5066" s="115" t="s">
        <v>18</v>
      </c>
      <c r="G5066" s="116">
        <v>6.86</v>
      </c>
      <c r="H5066" s="126">
        <v>11.5</v>
      </c>
      <c r="I5066" s="111">
        <v>23</v>
      </c>
      <c r="J5066" s="117">
        <f t="shared" si="654"/>
        <v>1.81447</v>
      </c>
      <c r="K5066" s="118"/>
      <c r="L5066" s="111">
        <v>23</v>
      </c>
      <c r="M5066" s="117">
        <f t="shared" si="655"/>
        <v>1.81447</v>
      </c>
      <c r="N5066" s="119">
        <f t="shared" si="656"/>
        <v>0</v>
      </c>
      <c r="O5066" s="120">
        <f t="shared" si="657"/>
        <v>0</v>
      </c>
      <c r="P5066" s="32" t="s">
        <v>659</v>
      </c>
      <c r="Q5066" s="67"/>
      <c r="R5066" s="33"/>
      <c r="S5066" s="32"/>
      <c r="T5066" s="213"/>
    </row>
    <row r="5067" spans="1:20" ht="15.6">
      <c r="A5067" s="110" t="s">
        <v>502</v>
      </c>
      <c r="B5067" s="111" t="s">
        <v>232</v>
      </c>
      <c r="C5067" s="112" t="s">
        <v>468</v>
      </c>
      <c r="D5067" s="113" t="s">
        <v>658</v>
      </c>
      <c r="E5067" s="114" t="s">
        <v>14</v>
      </c>
      <c r="F5067" s="115" t="s">
        <v>18</v>
      </c>
      <c r="G5067" s="116">
        <v>6.86</v>
      </c>
      <c r="H5067" s="126">
        <v>6.1</v>
      </c>
      <c r="I5067" s="111">
        <v>2</v>
      </c>
      <c r="J5067" s="117">
        <f t="shared" si="654"/>
        <v>8.3691999999999989E-2</v>
      </c>
      <c r="K5067" s="118"/>
      <c r="L5067" s="111">
        <v>2</v>
      </c>
      <c r="M5067" s="117">
        <f t="shared" si="655"/>
        <v>8.3691999999999989E-2</v>
      </c>
      <c r="N5067" s="119">
        <f t="shared" si="656"/>
        <v>0</v>
      </c>
      <c r="O5067" s="120">
        <f t="shared" si="657"/>
        <v>0</v>
      </c>
      <c r="P5067" s="32"/>
      <c r="Q5067" s="67"/>
      <c r="R5067" s="33"/>
      <c r="S5067" s="32"/>
      <c r="T5067" s="213"/>
    </row>
    <row r="5068" spans="1:20" ht="15.6">
      <c r="A5068" s="110" t="s">
        <v>502</v>
      </c>
      <c r="B5068" s="111" t="s">
        <v>232</v>
      </c>
      <c r="C5068" s="112" t="s">
        <v>468</v>
      </c>
      <c r="D5068" s="113" t="s">
        <v>658</v>
      </c>
      <c r="E5068" s="114" t="s">
        <v>14</v>
      </c>
      <c r="F5068" s="115" t="s">
        <v>18</v>
      </c>
      <c r="G5068" s="116">
        <v>6.86</v>
      </c>
      <c r="H5068" s="126">
        <v>9.5</v>
      </c>
      <c r="I5068" s="111">
        <v>2</v>
      </c>
      <c r="J5068" s="117">
        <f t="shared" si="654"/>
        <v>0.13034000000000001</v>
      </c>
      <c r="K5068" s="118"/>
      <c r="L5068" s="111">
        <v>2</v>
      </c>
      <c r="M5068" s="117">
        <f t="shared" si="655"/>
        <v>0.13034000000000001</v>
      </c>
      <c r="N5068" s="119">
        <f t="shared" si="656"/>
        <v>0</v>
      </c>
      <c r="O5068" s="120">
        <f t="shared" si="657"/>
        <v>0</v>
      </c>
      <c r="P5068" s="32"/>
      <c r="Q5068" s="67"/>
      <c r="R5068" s="98">
        <v>9.5</v>
      </c>
      <c r="S5068" s="91">
        <v>2</v>
      </c>
      <c r="T5068" s="156" t="s">
        <v>689</v>
      </c>
    </row>
    <row r="5069" spans="1:20" ht="15.6">
      <c r="A5069" s="110" t="s">
        <v>502</v>
      </c>
      <c r="B5069" s="111" t="s">
        <v>232</v>
      </c>
      <c r="C5069" s="112" t="s">
        <v>468</v>
      </c>
      <c r="D5069" s="113" t="s">
        <v>658</v>
      </c>
      <c r="E5069" s="114" t="s">
        <v>14</v>
      </c>
      <c r="F5069" s="115" t="s">
        <v>18</v>
      </c>
      <c r="G5069" s="116">
        <v>6.86</v>
      </c>
      <c r="H5069" s="126">
        <v>11</v>
      </c>
      <c r="I5069" s="111">
        <v>2</v>
      </c>
      <c r="J5069" s="117">
        <f t="shared" si="654"/>
        <v>0.15092000000000003</v>
      </c>
      <c r="K5069" s="118"/>
      <c r="L5069" s="111">
        <v>2</v>
      </c>
      <c r="M5069" s="117">
        <f t="shared" si="655"/>
        <v>0.15092000000000003</v>
      </c>
      <c r="N5069" s="119">
        <f t="shared" si="656"/>
        <v>0</v>
      </c>
      <c r="O5069" s="120">
        <f t="shared" si="657"/>
        <v>0</v>
      </c>
      <c r="P5069" s="32">
        <v>10</v>
      </c>
      <c r="Q5069" s="67">
        <v>2</v>
      </c>
      <c r="R5069" s="32"/>
      <c r="S5069" s="32"/>
      <c r="T5069" s="213"/>
    </row>
    <row r="5070" spans="1:20">
      <c r="A5070" s="213"/>
      <c r="B5070" s="213"/>
      <c r="C5070" s="213"/>
      <c r="D5070" s="213"/>
      <c r="E5070" s="213"/>
      <c r="F5070" s="213"/>
      <c r="G5070" s="213"/>
      <c r="H5070" s="213"/>
      <c r="I5070" s="215">
        <f>SUM(I5061:I5069)</f>
        <v>115</v>
      </c>
      <c r="J5070" s="128">
        <f>SUM(J5061:J5069)</f>
        <v>8.4515199999999986</v>
      </c>
      <c r="K5070" s="213"/>
      <c r="L5070" s="215">
        <f>SUM(L5061:L5069)</f>
        <v>135</v>
      </c>
      <c r="M5070" s="128">
        <f>SUM(M5061:M5069)</f>
        <v>10.041667999999998</v>
      </c>
      <c r="N5070" s="215">
        <f>SUM(N5061:N5069)</f>
        <v>-20</v>
      </c>
      <c r="O5070" s="128">
        <f>SUM(O5061:O5069)</f>
        <v>-1.5901479999999999</v>
      </c>
      <c r="P5070" s="213"/>
      <c r="Q5070" s="213"/>
      <c r="R5070" s="213"/>
      <c r="S5070" s="215">
        <f>SUM(S5061:S5069)</f>
        <v>4</v>
      </c>
      <c r="T5070" s="213"/>
    </row>
    <row r="5073" spans="1:20" ht="15.6">
      <c r="A5073" s="110" t="s">
        <v>391</v>
      </c>
      <c r="B5073" s="111" t="s">
        <v>232</v>
      </c>
      <c r="C5073" s="112" t="s">
        <v>228</v>
      </c>
      <c r="D5073" s="113" t="s">
        <v>20</v>
      </c>
      <c r="E5073" s="114" t="s">
        <v>15</v>
      </c>
      <c r="F5073" s="115" t="s">
        <v>18</v>
      </c>
      <c r="G5073" s="116">
        <v>6.85</v>
      </c>
      <c r="H5073" s="125">
        <v>11.65</v>
      </c>
      <c r="I5073" s="111">
        <v>27</v>
      </c>
      <c r="J5073" s="117">
        <f t="shared" ref="J5073:J5085" si="658">H5073*G5073*I5073/1000</f>
        <v>2.1546675</v>
      </c>
      <c r="K5073" s="118"/>
      <c r="L5073" s="111">
        <v>27</v>
      </c>
      <c r="M5073" s="117">
        <f t="shared" ref="M5073:M5090" si="659">H5073*L5073*G5073/1000</f>
        <v>2.1546675</v>
      </c>
      <c r="N5073" s="119">
        <f t="shared" ref="N5073:N5090" si="660">I5073-L5073</f>
        <v>0</v>
      </c>
      <c r="O5073" s="120">
        <f t="shared" ref="O5073:O5085" si="661">H5073*N5073*G5073/1000</f>
        <v>0</v>
      </c>
      <c r="P5073" s="130"/>
      <c r="Q5073" s="111"/>
      <c r="R5073" s="111"/>
      <c r="S5073" s="111"/>
      <c r="T5073" s="213"/>
    </row>
    <row r="5074" spans="1:20" ht="15.6">
      <c r="A5074" s="110" t="s">
        <v>391</v>
      </c>
      <c r="B5074" s="111" t="s">
        <v>232</v>
      </c>
      <c r="C5074" s="112" t="s">
        <v>228</v>
      </c>
      <c r="D5074" s="113" t="s">
        <v>20</v>
      </c>
      <c r="E5074" s="114" t="s">
        <v>15</v>
      </c>
      <c r="F5074" s="115" t="s">
        <v>18</v>
      </c>
      <c r="G5074" s="116">
        <v>6.85</v>
      </c>
      <c r="H5074" s="125">
        <v>11.65</v>
      </c>
      <c r="I5074" s="111">
        <v>27</v>
      </c>
      <c r="J5074" s="117">
        <f t="shared" si="658"/>
        <v>2.1546675</v>
      </c>
      <c r="K5074" s="118"/>
      <c r="L5074" s="111">
        <v>27</v>
      </c>
      <c r="M5074" s="117">
        <f t="shared" si="659"/>
        <v>2.1546675</v>
      </c>
      <c r="N5074" s="119">
        <f t="shared" si="660"/>
        <v>0</v>
      </c>
      <c r="O5074" s="120">
        <f t="shared" si="661"/>
        <v>0</v>
      </c>
      <c r="P5074" s="130"/>
      <c r="Q5074" s="111"/>
      <c r="R5074" s="111"/>
      <c r="S5074" s="111"/>
      <c r="T5074" s="213"/>
    </row>
    <row r="5075" spans="1:20" ht="15.6">
      <c r="A5075" s="110" t="s">
        <v>391</v>
      </c>
      <c r="B5075" s="111" t="s">
        <v>232</v>
      </c>
      <c r="C5075" s="112" t="s">
        <v>228</v>
      </c>
      <c r="D5075" s="113" t="s">
        <v>20</v>
      </c>
      <c r="E5075" s="114" t="s">
        <v>15</v>
      </c>
      <c r="F5075" s="115" t="s">
        <v>18</v>
      </c>
      <c r="G5075" s="116">
        <v>6.85</v>
      </c>
      <c r="H5075" s="125">
        <v>11.65</v>
      </c>
      <c r="I5075" s="111">
        <v>43</v>
      </c>
      <c r="J5075" s="117">
        <f t="shared" si="658"/>
        <v>3.4315074999999995</v>
      </c>
      <c r="K5075" s="118"/>
      <c r="L5075" s="111">
        <f>43+9</f>
        <v>52</v>
      </c>
      <c r="M5075" s="117">
        <f t="shared" si="659"/>
        <v>4.1497300000000008</v>
      </c>
      <c r="N5075" s="228">
        <f t="shared" si="660"/>
        <v>-9</v>
      </c>
      <c r="O5075" s="229">
        <f t="shared" si="661"/>
        <v>-0.71822249999999999</v>
      </c>
      <c r="P5075" s="405" t="s">
        <v>690</v>
      </c>
      <c r="Q5075" s="111"/>
      <c r="R5075" s="111"/>
      <c r="S5075" s="111"/>
      <c r="T5075" s="213"/>
    </row>
    <row r="5076" spans="1:20" ht="15.6">
      <c r="A5076" s="110" t="s">
        <v>391</v>
      </c>
      <c r="B5076" s="111" t="s">
        <v>232</v>
      </c>
      <c r="C5076" s="112" t="s">
        <v>228</v>
      </c>
      <c r="D5076" s="113" t="s">
        <v>20</v>
      </c>
      <c r="E5076" s="114" t="s">
        <v>15</v>
      </c>
      <c r="F5076" s="115" t="s">
        <v>18</v>
      </c>
      <c r="G5076" s="116">
        <v>6.85</v>
      </c>
      <c r="H5076" s="125">
        <v>6</v>
      </c>
      <c r="I5076" s="111">
        <v>1</v>
      </c>
      <c r="J5076" s="117">
        <f t="shared" si="658"/>
        <v>4.1099999999999998E-2</v>
      </c>
      <c r="K5076" s="118"/>
      <c r="L5076" s="111">
        <v>1</v>
      </c>
      <c r="M5076" s="117">
        <f t="shared" si="659"/>
        <v>4.1099999999999998E-2</v>
      </c>
      <c r="N5076" s="119">
        <f t="shared" si="660"/>
        <v>0</v>
      </c>
      <c r="O5076" s="120">
        <f t="shared" si="661"/>
        <v>0</v>
      </c>
      <c r="P5076" s="130"/>
      <c r="Q5076" s="111"/>
      <c r="R5076" s="111"/>
      <c r="S5076" s="111"/>
      <c r="T5076" s="213"/>
    </row>
    <row r="5077" spans="1:20" ht="15.6">
      <c r="A5077" s="110" t="s">
        <v>391</v>
      </c>
      <c r="B5077" s="111" t="s">
        <v>232</v>
      </c>
      <c r="C5077" s="112" t="s">
        <v>228</v>
      </c>
      <c r="D5077" s="113" t="s">
        <v>20</v>
      </c>
      <c r="E5077" s="114" t="s">
        <v>15</v>
      </c>
      <c r="F5077" s="115" t="s">
        <v>18</v>
      </c>
      <c r="G5077" s="116">
        <v>6.85</v>
      </c>
      <c r="H5077" s="125">
        <v>10.5</v>
      </c>
      <c r="I5077" s="111">
        <v>3</v>
      </c>
      <c r="J5077" s="117">
        <f t="shared" si="658"/>
        <v>0.21577499999999997</v>
      </c>
      <c r="K5077" s="118"/>
      <c r="L5077" s="111">
        <v>3</v>
      </c>
      <c r="M5077" s="117">
        <f t="shared" si="659"/>
        <v>0.21577499999999997</v>
      </c>
      <c r="N5077" s="119">
        <f t="shared" si="660"/>
        <v>0</v>
      </c>
      <c r="O5077" s="120">
        <f t="shared" si="661"/>
        <v>0</v>
      </c>
      <c r="P5077" s="130"/>
      <c r="Q5077" s="111"/>
      <c r="R5077" s="111"/>
      <c r="S5077" s="111"/>
      <c r="T5077" s="213"/>
    </row>
    <row r="5078" spans="1:20" ht="15.6">
      <c r="A5078" s="110" t="s">
        <v>391</v>
      </c>
      <c r="B5078" s="111" t="s">
        <v>232</v>
      </c>
      <c r="C5078" s="112" t="s">
        <v>228</v>
      </c>
      <c r="D5078" s="113" t="s">
        <v>20</v>
      </c>
      <c r="E5078" s="114" t="s">
        <v>15</v>
      </c>
      <c r="F5078" s="115" t="s">
        <v>18</v>
      </c>
      <c r="G5078" s="116">
        <v>6.85</v>
      </c>
      <c r="H5078" s="125">
        <v>11.1</v>
      </c>
      <c r="I5078" s="111">
        <v>1</v>
      </c>
      <c r="J5078" s="117">
        <f t="shared" si="658"/>
        <v>7.6034999999999991E-2</v>
      </c>
      <c r="K5078" s="118"/>
      <c r="L5078" s="111"/>
      <c r="M5078" s="117">
        <f t="shared" si="659"/>
        <v>0</v>
      </c>
      <c r="N5078" s="119">
        <f t="shared" si="660"/>
        <v>1</v>
      </c>
      <c r="O5078" s="120">
        <f t="shared" si="661"/>
        <v>7.6034999999999991E-2</v>
      </c>
      <c r="P5078" s="130"/>
      <c r="Q5078" s="111"/>
      <c r="R5078" s="79">
        <v>11.1</v>
      </c>
      <c r="S5078" s="72">
        <v>1</v>
      </c>
      <c r="T5078" s="77" t="s">
        <v>691</v>
      </c>
    </row>
    <row r="5079" spans="1:20" ht="15.6">
      <c r="A5079" s="110" t="s">
        <v>391</v>
      </c>
      <c r="B5079" s="111" t="s">
        <v>232</v>
      </c>
      <c r="C5079" s="112" t="s">
        <v>228</v>
      </c>
      <c r="D5079" s="113" t="s">
        <v>20</v>
      </c>
      <c r="E5079" s="114" t="s">
        <v>15</v>
      </c>
      <c r="F5079" s="115" t="s">
        <v>18</v>
      </c>
      <c r="G5079" s="116">
        <v>6.85</v>
      </c>
      <c r="H5079" s="125">
        <v>11</v>
      </c>
      <c r="I5079" s="111">
        <v>3</v>
      </c>
      <c r="J5079" s="117">
        <f t="shared" si="658"/>
        <v>0.22604999999999997</v>
      </c>
      <c r="K5079" s="118"/>
      <c r="L5079" s="111">
        <v>3</v>
      </c>
      <c r="M5079" s="117">
        <f t="shared" si="659"/>
        <v>0.22604999999999997</v>
      </c>
      <c r="N5079" s="119">
        <f t="shared" si="660"/>
        <v>0</v>
      </c>
      <c r="O5079" s="120">
        <f t="shared" si="661"/>
        <v>0</v>
      </c>
      <c r="P5079" s="130"/>
      <c r="Q5079" s="111"/>
      <c r="R5079" s="79"/>
      <c r="S5079" s="72"/>
      <c r="T5079" s="77"/>
    </row>
    <row r="5080" spans="1:20" ht="15.6">
      <c r="A5080" s="110" t="s">
        <v>391</v>
      </c>
      <c r="B5080" s="111" t="s">
        <v>232</v>
      </c>
      <c r="C5080" s="112" t="s">
        <v>228</v>
      </c>
      <c r="D5080" s="113" t="s">
        <v>20</v>
      </c>
      <c r="E5080" s="114" t="s">
        <v>15</v>
      </c>
      <c r="F5080" s="115" t="s">
        <v>18</v>
      </c>
      <c r="G5080" s="116">
        <v>6.85</v>
      </c>
      <c r="H5080" s="125">
        <v>11.7</v>
      </c>
      <c r="I5080" s="111">
        <v>4</v>
      </c>
      <c r="J5080" s="117">
        <f t="shared" si="658"/>
        <v>0.32057999999999998</v>
      </c>
      <c r="K5080" s="118"/>
      <c r="L5080" s="111">
        <v>4</v>
      </c>
      <c r="M5080" s="117">
        <f t="shared" si="659"/>
        <v>0.32057999999999998</v>
      </c>
      <c r="N5080" s="119">
        <f t="shared" si="660"/>
        <v>0</v>
      </c>
      <c r="O5080" s="120">
        <f t="shared" si="661"/>
        <v>0</v>
      </c>
      <c r="P5080" s="130">
        <v>11.65</v>
      </c>
      <c r="Q5080" s="111">
        <v>4</v>
      </c>
      <c r="R5080" s="79"/>
      <c r="S5080" s="72"/>
      <c r="T5080" s="77"/>
    </row>
    <row r="5081" spans="1:20" ht="15.6">
      <c r="A5081" s="110" t="s">
        <v>391</v>
      </c>
      <c r="B5081" s="111" t="s">
        <v>232</v>
      </c>
      <c r="C5081" s="112" t="s">
        <v>228</v>
      </c>
      <c r="D5081" s="113" t="s">
        <v>20</v>
      </c>
      <c r="E5081" s="114" t="s">
        <v>15</v>
      </c>
      <c r="F5081" s="115" t="s">
        <v>18</v>
      </c>
      <c r="G5081" s="116">
        <v>6.85</v>
      </c>
      <c r="H5081" s="125">
        <v>9.8000000000000007</v>
      </c>
      <c r="I5081" s="111">
        <v>1</v>
      </c>
      <c r="J5081" s="117">
        <f t="shared" si="658"/>
        <v>6.7129999999999995E-2</v>
      </c>
      <c r="K5081" s="118"/>
      <c r="L5081" s="111">
        <v>1</v>
      </c>
      <c r="M5081" s="117">
        <f t="shared" si="659"/>
        <v>6.7129999999999995E-2</v>
      </c>
      <c r="N5081" s="119">
        <f t="shared" si="660"/>
        <v>0</v>
      </c>
      <c r="O5081" s="120">
        <f t="shared" si="661"/>
        <v>0</v>
      </c>
      <c r="P5081" s="130"/>
      <c r="Q5081" s="111"/>
      <c r="R5081" s="79"/>
      <c r="S5081" s="72"/>
      <c r="T5081" s="77"/>
    </row>
    <row r="5082" spans="1:20" ht="15.6">
      <c r="A5082" s="110" t="s">
        <v>391</v>
      </c>
      <c r="B5082" s="111" t="s">
        <v>232</v>
      </c>
      <c r="C5082" s="112" t="s">
        <v>228</v>
      </c>
      <c r="D5082" s="113" t="s">
        <v>20</v>
      </c>
      <c r="E5082" s="114" t="s">
        <v>15</v>
      </c>
      <c r="F5082" s="115" t="s">
        <v>18</v>
      </c>
      <c r="G5082" s="116">
        <v>6.85</v>
      </c>
      <c r="H5082" s="125">
        <v>11.65</v>
      </c>
      <c r="I5082" s="111">
        <v>20</v>
      </c>
      <c r="J5082" s="117">
        <f t="shared" si="658"/>
        <v>1.59605</v>
      </c>
      <c r="K5082" s="118"/>
      <c r="L5082" s="111">
        <v>20</v>
      </c>
      <c r="M5082" s="117">
        <f t="shared" si="659"/>
        <v>1.59605</v>
      </c>
      <c r="N5082" s="119">
        <f t="shared" si="660"/>
        <v>0</v>
      </c>
      <c r="O5082" s="120">
        <f t="shared" si="661"/>
        <v>0</v>
      </c>
      <c r="P5082" s="130"/>
      <c r="Q5082" s="111"/>
      <c r="R5082" s="79"/>
      <c r="S5082" s="72"/>
      <c r="T5082" s="77"/>
    </row>
    <row r="5083" spans="1:20" ht="15.6">
      <c r="A5083" s="110" t="s">
        <v>391</v>
      </c>
      <c r="B5083" s="111" t="s">
        <v>232</v>
      </c>
      <c r="C5083" s="112" t="s">
        <v>228</v>
      </c>
      <c r="D5083" s="113" t="s">
        <v>20</v>
      </c>
      <c r="E5083" s="114" t="s">
        <v>15</v>
      </c>
      <c r="F5083" s="115" t="s">
        <v>18</v>
      </c>
      <c r="G5083" s="116">
        <v>6.85</v>
      </c>
      <c r="H5083" s="125">
        <v>11.65</v>
      </c>
      <c r="I5083" s="111">
        <v>19</v>
      </c>
      <c r="J5083" s="117">
        <f t="shared" si="658"/>
        <v>1.5162475</v>
      </c>
      <c r="K5083" s="118"/>
      <c r="L5083" s="111">
        <v>19</v>
      </c>
      <c r="M5083" s="117">
        <f t="shared" si="659"/>
        <v>1.5162475</v>
      </c>
      <c r="N5083" s="119">
        <f t="shared" si="660"/>
        <v>0</v>
      </c>
      <c r="O5083" s="120">
        <f t="shared" si="661"/>
        <v>0</v>
      </c>
      <c r="P5083" s="130"/>
      <c r="Q5083" s="111"/>
      <c r="R5083" s="79"/>
      <c r="S5083" s="72"/>
      <c r="T5083" s="77"/>
    </row>
    <row r="5084" spans="1:20" ht="15.6">
      <c r="A5084" s="110" t="s">
        <v>391</v>
      </c>
      <c r="B5084" s="111" t="s">
        <v>232</v>
      </c>
      <c r="C5084" s="112" t="s">
        <v>228</v>
      </c>
      <c r="D5084" s="113" t="s">
        <v>20</v>
      </c>
      <c r="E5084" s="114" t="s">
        <v>15</v>
      </c>
      <c r="F5084" s="115" t="s">
        <v>18</v>
      </c>
      <c r="G5084" s="116">
        <v>6.85</v>
      </c>
      <c r="H5084" s="125">
        <v>11.65</v>
      </c>
      <c r="I5084" s="111">
        <v>20</v>
      </c>
      <c r="J5084" s="117">
        <f t="shared" si="658"/>
        <v>1.59605</v>
      </c>
      <c r="K5084" s="118"/>
      <c r="L5084" s="111">
        <v>20</v>
      </c>
      <c r="M5084" s="117">
        <f t="shared" si="659"/>
        <v>1.59605</v>
      </c>
      <c r="N5084" s="119">
        <f t="shared" si="660"/>
        <v>0</v>
      </c>
      <c r="O5084" s="120">
        <f t="shared" si="661"/>
        <v>0</v>
      </c>
      <c r="P5084" s="130"/>
      <c r="Q5084" s="111"/>
      <c r="R5084" s="79"/>
      <c r="S5084" s="72"/>
      <c r="T5084" s="77"/>
    </row>
    <row r="5085" spans="1:20" ht="15.6">
      <c r="A5085" s="110" t="s">
        <v>391</v>
      </c>
      <c r="B5085" s="111" t="s">
        <v>232</v>
      </c>
      <c r="C5085" s="112" t="s">
        <v>228</v>
      </c>
      <c r="D5085" s="113" t="s">
        <v>20</v>
      </c>
      <c r="E5085" s="114" t="s">
        <v>15</v>
      </c>
      <c r="F5085" s="115" t="s">
        <v>18</v>
      </c>
      <c r="G5085" s="116">
        <v>6.85</v>
      </c>
      <c r="H5085" s="125">
        <v>11.65</v>
      </c>
      <c r="I5085" s="111">
        <v>16</v>
      </c>
      <c r="J5085" s="117">
        <f t="shared" si="658"/>
        <v>1.27684</v>
      </c>
      <c r="K5085" s="118"/>
      <c r="L5085" s="111">
        <v>16</v>
      </c>
      <c r="M5085" s="117">
        <f t="shared" si="659"/>
        <v>1.27684</v>
      </c>
      <c r="N5085" s="119">
        <f t="shared" si="660"/>
        <v>0</v>
      </c>
      <c r="O5085" s="120">
        <f t="shared" si="661"/>
        <v>0</v>
      </c>
      <c r="P5085" s="130"/>
      <c r="Q5085" s="111"/>
      <c r="R5085" s="79"/>
      <c r="S5085" s="72"/>
      <c r="T5085" s="77"/>
    </row>
    <row r="5086" spans="1:20" ht="15.6">
      <c r="A5086" s="110" t="s">
        <v>391</v>
      </c>
      <c r="B5086" s="111" t="s">
        <v>232</v>
      </c>
      <c r="C5086" s="112" t="s">
        <v>228</v>
      </c>
      <c r="D5086" s="113" t="s">
        <v>20</v>
      </c>
      <c r="E5086" s="114" t="s">
        <v>15</v>
      </c>
      <c r="F5086" s="115" t="s">
        <v>18</v>
      </c>
      <c r="G5086" s="116">
        <v>6.85</v>
      </c>
      <c r="H5086" s="125">
        <v>10</v>
      </c>
      <c r="I5086" s="111">
        <v>1</v>
      </c>
      <c r="J5086" s="117">
        <f>H5086*G5086*I5086/1000</f>
        <v>6.8500000000000005E-2</v>
      </c>
      <c r="K5086" s="118"/>
      <c r="L5086" s="111"/>
      <c r="M5086" s="117">
        <f t="shared" si="659"/>
        <v>0</v>
      </c>
      <c r="N5086" s="119">
        <f t="shared" si="660"/>
        <v>1</v>
      </c>
      <c r="O5086" s="120">
        <f>H5086*N5086*G5086/1000</f>
        <v>6.8500000000000005E-2</v>
      </c>
      <c r="P5086" s="130"/>
      <c r="Q5086" s="111"/>
      <c r="R5086" s="79">
        <v>10</v>
      </c>
      <c r="S5086" s="72">
        <v>1</v>
      </c>
      <c r="T5086" s="77" t="s">
        <v>691</v>
      </c>
    </row>
    <row r="5087" spans="1:20" ht="15.6">
      <c r="A5087" s="110" t="s">
        <v>391</v>
      </c>
      <c r="B5087" s="111" t="s">
        <v>232</v>
      </c>
      <c r="C5087" s="112" t="s">
        <v>228</v>
      </c>
      <c r="D5087" s="113" t="s">
        <v>20</v>
      </c>
      <c r="E5087" s="114" t="s">
        <v>15</v>
      </c>
      <c r="F5087" s="115" t="s">
        <v>18</v>
      </c>
      <c r="G5087" s="116">
        <v>6.85</v>
      </c>
      <c r="H5087" s="125">
        <v>10.5</v>
      </c>
      <c r="I5087" s="111">
        <v>1</v>
      </c>
      <c r="J5087" s="117">
        <f>H5087*G5087*I5087/1000</f>
        <v>7.1925000000000003E-2</v>
      </c>
      <c r="K5087" s="118"/>
      <c r="L5087" s="111"/>
      <c r="M5087" s="117">
        <f t="shared" si="659"/>
        <v>0</v>
      </c>
      <c r="N5087" s="119">
        <f t="shared" si="660"/>
        <v>1</v>
      </c>
      <c r="O5087" s="120">
        <f>H5087*N5087*G5087/1000</f>
        <v>7.1925000000000003E-2</v>
      </c>
      <c r="P5087" s="130"/>
      <c r="Q5087" s="111"/>
      <c r="R5087" s="79">
        <v>10.5</v>
      </c>
      <c r="S5087" s="72">
        <v>1</v>
      </c>
      <c r="T5087" s="77" t="s">
        <v>691</v>
      </c>
    </row>
    <row r="5088" spans="1:20" ht="15.6">
      <c r="A5088" s="110" t="s">
        <v>391</v>
      </c>
      <c r="B5088" s="111" t="s">
        <v>232</v>
      </c>
      <c r="C5088" s="112" t="s">
        <v>228</v>
      </c>
      <c r="D5088" s="113" t="s">
        <v>20</v>
      </c>
      <c r="E5088" s="114" t="s">
        <v>15</v>
      </c>
      <c r="F5088" s="115" t="s">
        <v>18</v>
      </c>
      <c r="G5088" s="116">
        <v>6.85</v>
      </c>
      <c r="H5088" s="125">
        <v>11</v>
      </c>
      <c r="I5088" s="111">
        <v>2</v>
      </c>
      <c r="J5088" s="117">
        <f>H5088*G5088*I5088/1000</f>
        <v>0.1507</v>
      </c>
      <c r="K5088" s="118"/>
      <c r="L5088" s="111">
        <v>2</v>
      </c>
      <c r="M5088" s="117">
        <f t="shared" si="659"/>
        <v>0.1507</v>
      </c>
      <c r="N5088" s="119">
        <f t="shared" si="660"/>
        <v>0</v>
      </c>
      <c r="O5088" s="120">
        <f>H5088*N5088*G5088/1000</f>
        <v>0</v>
      </c>
      <c r="P5088" s="130"/>
      <c r="Q5088" s="111"/>
      <c r="R5088" s="79"/>
      <c r="S5088" s="72"/>
      <c r="T5088" s="77"/>
    </row>
    <row r="5089" spans="1:20" ht="15.6">
      <c r="A5089" s="110" t="s">
        <v>391</v>
      </c>
      <c r="B5089" s="111" t="s">
        <v>232</v>
      </c>
      <c r="C5089" s="112" t="s">
        <v>228</v>
      </c>
      <c r="D5089" s="113" t="s">
        <v>20</v>
      </c>
      <c r="E5089" s="114" t="s">
        <v>15</v>
      </c>
      <c r="F5089" s="115" t="s">
        <v>18</v>
      </c>
      <c r="G5089" s="116">
        <v>6.85</v>
      </c>
      <c r="H5089" s="125">
        <v>11.3</v>
      </c>
      <c r="I5089" s="111">
        <v>2</v>
      </c>
      <c r="J5089" s="117">
        <f>H5089*G5089*I5089/1000</f>
        <v>0.15481</v>
      </c>
      <c r="K5089" s="118"/>
      <c r="L5089" s="111"/>
      <c r="M5089" s="117">
        <f t="shared" si="659"/>
        <v>0</v>
      </c>
      <c r="N5089" s="119">
        <f t="shared" si="660"/>
        <v>2</v>
      </c>
      <c r="O5089" s="120">
        <f>H5089*N5089*G5089/1000</f>
        <v>0.15481</v>
      </c>
      <c r="P5089" s="130"/>
      <c r="Q5089" s="111"/>
      <c r="R5089" s="79">
        <v>11.3</v>
      </c>
      <c r="S5089" s="72">
        <v>2</v>
      </c>
      <c r="T5089" s="77" t="s">
        <v>691</v>
      </c>
    </row>
    <row r="5090" spans="1:20" ht="15.6">
      <c r="A5090" s="110" t="s">
        <v>391</v>
      </c>
      <c r="B5090" s="111" t="s">
        <v>232</v>
      </c>
      <c r="C5090" s="112" t="s">
        <v>228</v>
      </c>
      <c r="D5090" s="113" t="s">
        <v>20</v>
      </c>
      <c r="E5090" s="114" t="s">
        <v>15</v>
      </c>
      <c r="F5090" s="115" t="s">
        <v>18</v>
      </c>
      <c r="G5090" s="116">
        <v>6.85</v>
      </c>
      <c r="H5090" s="125">
        <v>11.5</v>
      </c>
      <c r="I5090" s="111">
        <v>2</v>
      </c>
      <c r="J5090" s="117">
        <f>H5090*G5090*I5090/1000</f>
        <v>0.15755</v>
      </c>
      <c r="K5090" s="118"/>
      <c r="L5090" s="111"/>
      <c r="M5090" s="117">
        <f t="shared" si="659"/>
        <v>0</v>
      </c>
      <c r="N5090" s="119">
        <f t="shared" si="660"/>
        <v>2</v>
      </c>
      <c r="O5090" s="120">
        <f>H5090*N5090*G5090/1000</f>
        <v>0.15755</v>
      </c>
      <c r="P5090" s="130"/>
      <c r="Q5090" s="111"/>
      <c r="R5090" s="79">
        <v>11.5</v>
      </c>
      <c r="S5090" s="72">
        <v>2</v>
      </c>
      <c r="T5090" s="77" t="s">
        <v>691</v>
      </c>
    </row>
    <row r="5091" spans="1:20">
      <c r="A5091" s="32"/>
      <c r="B5091" s="32"/>
      <c r="C5091" s="32"/>
      <c r="D5091" s="32"/>
      <c r="E5091" s="32"/>
      <c r="F5091" s="32"/>
      <c r="G5091" s="32"/>
      <c r="H5091" s="32"/>
      <c r="I5091" s="129">
        <f>SUM(I5073:I5090)</f>
        <v>193</v>
      </c>
      <c r="J5091" s="124">
        <f>SUM(J5073:J5090)</f>
        <v>15.276185000000002</v>
      </c>
      <c r="K5091" s="32"/>
      <c r="L5091" s="171">
        <f>SUM(L5073:L5090)</f>
        <v>195</v>
      </c>
      <c r="M5091" s="132">
        <f>SUM(M5073:M5090)</f>
        <v>15.465587500000003</v>
      </c>
      <c r="N5091" s="131">
        <f>SUM(N5073:N5090)</f>
        <v>-2</v>
      </c>
      <c r="O5091" s="132">
        <f>SUM(O5073:O5090)</f>
        <v>-0.1894025</v>
      </c>
      <c r="P5091" s="32"/>
      <c r="Q5091" s="32"/>
      <c r="R5091" s="32"/>
      <c r="S5091" s="131">
        <f>SUM(S5073:S5090)</f>
        <v>7</v>
      </c>
      <c r="T5091" s="213"/>
    </row>
    <row r="5095" spans="1:20" ht="15.6">
      <c r="A5095" s="110" t="s">
        <v>262</v>
      </c>
      <c r="B5095" s="111" t="s">
        <v>232</v>
      </c>
      <c r="C5095" s="112" t="s">
        <v>228</v>
      </c>
      <c r="D5095" s="113" t="s">
        <v>236</v>
      </c>
      <c r="E5095" s="114" t="s">
        <v>15</v>
      </c>
      <c r="F5095" s="115" t="s">
        <v>16</v>
      </c>
      <c r="G5095" s="116">
        <v>5.77</v>
      </c>
      <c r="H5095" s="125">
        <v>12</v>
      </c>
      <c r="I5095" s="111">
        <v>13</v>
      </c>
      <c r="J5095" s="117">
        <f t="shared" ref="J5095:J5100" si="662">H5095*G5095*I5095/1000</f>
        <v>0.90011999999999992</v>
      </c>
      <c r="K5095" s="118"/>
      <c r="L5095" s="111">
        <v>13</v>
      </c>
      <c r="M5095" s="117">
        <f t="shared" ref="M5095:M5100" si="663">H5095*L5095*G5095/1000</f>
        <v>0.90011999999999992</v>
      </c>
      <c r="N5095" s="119">
        <f t="shared" ref="N5095:N5100" si="664">I5095-L5095</f>
        <v>0</v>
      </c>
      <c r="O5095" s="120">
        <f t="shared" ref="O5095:O5100" si="665">H5095*N5095*G5095/1000</f>
        <v>0</v>
      </c>
      <c r="P5095" s="130"/>
      <c r="Q5095" s="111"/>
      <c r="R5095" s="111"/>
      <c r="S5095" s="111"/>
      <c r="T5095" s="213"/>
    </row>
    <row r="5096" spans="1:20" ht="15.6">
      <c r="A5096" s="110" t="s">
        <v>262</v>
      </c>
      <c r="B5096" s="111" t="s">
        <v>232</v>
      </c>
      <c r="C5096" s="112" t="s">
        <v>228</v>
      </c>
      <c r="D5096" s="113" t="s">
        <v>236</v>
      </c>
      <c r="E5096" s="114" t="s">
        <v>15</v>
      </c>
      <c r="F5096" s="115" t="s">
        <v>16</v>
      </c>
      <c r="G5096" s="116">
        <v>5.77</v>
      </c>
      <c r="H5096" s="125">
        <v>6.3</v>
      </c>
      <c r="I5096" s="111">
        <f>33+35+59+22+1</f>
        <v>150</v>
      </c>
      <c r="J5096" s="117">
        <f t="shared" si="662"/>
        <v>5.4526499999999993</v>
      </c>
      <c r="K5096" s="118"/>
      <c r="L5096" s="111">
        <v>150</v>
      </c>
      <c r="M5096" s="117">
        <f t="shared" si="663"/>
        <v>5.4526499999999993</v>
      </c>
      <c r="N5096" s="119">
        <f t="shared" si="664"/>
        <v>0</v>
      </c>
      <c r="O5096" s="120">
        <f t="shared" si="665"/>
        <v>0</v>
      </c>
      <c r="P5096" s="130"/>
      <c r="Q5096" s="111"/>
      <c r="R5096" s="111"/>
      <c r="S5096" s="111"/>
      <c r="T5096" s="213"/>
    </row>
    <row r="5097" spans="1:20" ht="15.6">
      <c r="A5097" s="110" t="s">
        <v>262</v>
      </c>
      <c r="B5097" s="111" t="s">
        <v>232</v>
      </c>
      <c r="C5097" s="112" t="s">
        <v>228</v>
      </c>
      <c r="D5097" s="113" t="s">
        <v>236</v>
      </c>
      <c r="E5097" s="114" t="s">
        <v>15</v>
      </c>
      <c r="F5097" s="115" t="s">
        <v>16</v>
      </c>
      <c r="G5097" s="116">
        <v>5.77</v>
      </c>
      <c r="H5097" s="125">
        <v>10.5</v>
      </c>
      <c r="I5097" s="111">
        <f>19+34+3+3+3</f>
        <v>62</v>
      </c>
      <c r="J5097" s="117">
        <f t="shared" si="662"/>
        <v>3.7562699999999993</v>
      </c>
      <c r="K5097" s="118"/>
      <c r="L5097" s="111">
        <f>46+12+3</f>
        <v>61</v>
      </c>
      <c r="M5097" s="117">
        <f t="shared" si="663"/>
        <v>3.6956850000000001</v>
      </c>
      <c r="N5097" s="119">
        <f t="shared" si="664"/>
        <v>1</v>
      </c>
      <c r="O5097" s="120">
        <f t="shared" si="665"/>
        <v>6.0584999999999993E-2</v>
      </c>
      <c r="P5097" s="130" t="s">
        <v>277</v>
      </c>
      <c r="Q5097" s="111"/>
      <c r="R5097" s="72">
        <v>10.5</v>
      </c>
      <c r="S5097" s="72">
        <v>3</v>
      </c>
      <c r="T5097" s="77" t="s">
        <v>692</v>
      </c>
    </row>
    <row r="5098" spans="1:20" ht="15.6">
      <c r="A5098" s="110" t="s">
        <v>262</v>
      </c>
      <c r="B5098" s="111" t="s">
        <v>232</v>
      </c>
      <c r="C5098" s="112" t="s">
        <v>228</v>
      </c>
      <c r="D5098" s="113" t="s">
        <v>236</v>
      </c>
      <c r="E5098" s="114" t="s">
        <v>15</v>
      </c>
      <c r="F5098" s="115" t="s">
        <v>16</v>
      </c>
      <c r="G5098" s="116">
        <v>5.77</v>
      </c>
      <c r="H5098" s="125">
        <v>11</v>
      </c>
      <c r="I5098" s="111">
        <f>38+6+7+23+13+6+18</f>
        <v>111</v>
      </c>
      <c r="J5098" s="117">
        <f t="shared" si="662"/>
        <v>7.0451699999999997</v>
      </c>
      <c r="K5098" s="118"/>
      <c r="L5098" s="111">
        <v>111</v>
      </c>
      <c r="M5098" s="117">
        <f t="shared" si="663"/>
        <v>7.0451699999999988</v>
      </c>
      <c r="N5098" s="119">
        <f t="shared" si="664"/>
        <v>0</v>
      </c>
      <c r="O5098" s="120">
        <f t="shared" si="665"/>
        <v>0</v>
      </c>
      <c r="P5098" s="130"/>
      <c r="Q5098" s="111"/>
      <c r="R5098" s="111"/>
      <c r="S5098" s="111"/>
      <c r="T5098" s="213"/>
    </row>
    <row r="5099" spans="1:20" ht="15.6">
      <c r="A5099" s="110" t="s">
        <v>262</v>
      </c>
      <c r="B5099" s="111" t="s">
        <v>232</v>
      </c>
      <c r="C5099" s="112" t="s">
        <v>228</v>
      </c>
      <c r="D5099" s="113" t="s">
        <v>236</v>
      </c>
      <c r="E5099" s="114" t="s">
        <v>15</v>
      </c>
      <c r="F5099" s="115" t="s">
        <v>16</v>
      </c>
      <c r="G5099" s="116">
        <v>5.77</v>
      </c>
      <c r="H5099" s="125">
        <v>11.25</v>
      </c>
      <c r="I5099" s="111">
        <f>54+45+45+42+11+3+44+47+45+47+18+42+30+6+1</f>
        <v>480</v>
      </c>
      <c r="J5099" s="117">
        <f t="shared" si="662"/>
        <v>31.157999999999998</v>
      </c>
      <c r="K5099" s="118"/>
      <c r="L5099" s="111">
        <f>438+42</f>
        <v>480</v>
      </c>
      <c r="M5099" s="117">
        <f t="shared" si="663"/>
        <v>31.157999999999998</v>
      </c>
      <c r="N5099" s="119">
        <f t="shared" si="664"/>
        <v>0</v>
      </c>
      <c r="O5099" s="120">
        <f t="shared" si="665"/>
        <v>0</v>
      </c>
      <c r="P5099" s="130">
        <v>11</v>
      </c>
      <c r="Q5099" s="111"/>
      <c r="R5099" s="111"/>
      <c r="S5099" s="111"/>
      <c r="T5099" s="213"/>
    </row>
    <row r="5100" spans="1:20" ht="15.6">
      <c r="A5100" s="110" t="s">
        <v>262</v>
      </c>
      <c r="B5100" s="111" t="s">
        <v>232</v>
      </c>
      <c r="C5100" s="112" t="s">
        <v>228</v>
      </c>
      <c r="D5100" s="113" t="s">
        <v>236</v>
      </c>
      <c r="E5100" s="114" t="s">
        <v>15</v>
      </c>
      <c r="F5100" s="115" t="s">
        <v>16</v>
      </c>
      <c r="G5100" s="116">
        <v>5.77</v>
      </c>
      <c r="H5100" s="125">
        <v>12</v>
      </c>
      <c r="I5100" s="111">
        <f>44+45+43+21+2</f>
        <v>155</v>
      </c>
      <c r="J5100" s="117">
        <f t="shared" si="662"/>
        <v>10.732199999999999</v>
      </c>
      <c r="K5100" s="118"/>
      <c r="L5100" s="111">
        <f>115+14+26</f>
        <v>155</v>
      </c>
      <c r="M5100" s="117">
        <f t="shared" si="663"/>
        <v>10.732199999999999</v>
      </c>
      <c r="N5100" s="119">
        <f t="shared" si="664"/>
        <v>0</v>
      </c>
      <c r="O5100" s="120">
        <f t="shared" si="665"/>
        <v>0</v>
      </c>
      <c r="P5100" s="130" t="s">
        <v>276</v>
      </c>
      <c r="Q5100" s="111"/>
      <c r="R5100" s="111"/>
      <c r="S5100" s="111"/>
      <c r="T5100" s="213"/>
    </row>
    <row r="5101" spans="1:20">
      <c r="S5101" s="76">
        <f>SUM(S5097:S5100)</f>
        <v>3</v>
      </c>
    </row>
    <row r="5103" spans="1:20" ht="15.6">
      <c r="A5103" s="110" t="s">
        <v>262</v>
      </c>
      <c r="B5103" s="111" t="s">
        <v>232</v>
      </c>
      <c r="C5103" s="112" t="s">
        <v>228</v>
      </c>
      <c r="D5103" s="113" t="s">
        <v>236</v>
      </c>
      <c r="E5103" s="114" t="s">
        <v>15</v>
      </c>
      <c r="F5103" s="115" t="s">
        <v>16</v>
      </c>
      <c r="G5103" s="116">
        <v>5.77</v>
      </c>
      <c r="H5103" s="125">
        <v>12</v>
      </c>
      <c r="I5103" s="111">
        <v>13</v>
      </c>
      <c r="J5103" s="117">
        <f t="shared" ref="J5103:J5111" si="666">H5103*G5103*I5103/1000</f>
        <v>0.90011999999999992</v>
      </c>
      <c r="K5103" s="118"/>
      <c r="L5103" s="111">
        <v>13</v>
      </c>
      <c r="M5103" s="117">
        <f t="shared" ref="M5103:M5111" si="667">H5103*L5103*G5103/1000</f>
        <v>0.90011999999999992</v>
      </c>
      <c r="N5103" s="119">
        <f t="shared" ref="N5103:N5111" si="668">I5103-L5103</f>
        <v>0</v>
      </c>
      <c r="O5103" s="120">
        <f t="shared" ref="O5103:O5111" si="669">H5103*N5103*G5103/1000</f>
        <v>0</v>
      </c>
      <c r="P5103" s="130"/>
      <c r="Q5103" s="111"/>
      <c r="R5103" s="111"/>
      <c r="S5103" s="111"/>
      <c r="T5103" s="213"/>
    </row>
    <row r="5104" spans="1:20" ht="15.6">
      <c r="A5104" s="110" t="s">
        <v>262</v>
      </c>
      <c r="B5104" s="111" t="s">
        <v>232</v>
      </c>
      <c r="C5104" s="112" t="s">
        <v>228</v>
      </c>
      <c r="D5104" s="113" t="s">
        <v>236</v>
      </c>
      <c r="E5104" s="114" t="s">
        <v>15</v>
      </c>
      <c r="F5104" s="115" t="s">
        <v>16</v>
      </c>
      <c r="G5104" s="116">
        <v>5.77</v>
      </c>
      <c r="H5104" s="125">
        <v>6.3</v>
      </c>
      <c r="I5104" s="111">
        <f>33+35+59+22+1</f>
        <v>150</v>
      </c>
      <c r="J5104" s="117">
        <f t="shared" si="666"/>
        <v>5.4526499999999993</v>
      </c>
      <c r="K5104" s="118"/>
      <c r="L5104" s="111">
        <v>150</v>
      </c>
      <c r="M5104" s="117">
        <f t="shared" si="667"/>
        <v>5.4526499999999993</v>
      </c>
      <c r="N5104" s="119">
        <f t="shared" si="668"/>
        <v>0</v>
      </c>
      <c r="O5104" s="120">
        <f t="shared" si="669"/>
        <v>0</v>
      </c>
      <c r="P5104" s="130"/>
      <c r="Q5104" s="111"/>
      <c r="R5104" s="111"/>
      <c r="S5104" s="111"/>
      <c r="T5104" s="213"/>
    </row>
    <row r="5105" spans="1:20" ht="15.6">
      <c r="A5105" s="110" t="s">
        <v>262</v>
      </c>
      <c r="B5105" s="111" t="s">
        <v>232</v>
      </c>
      <c r="C5105" s="112" t="s">
        <v>228</v>
      </c>
      <c r="D5105" s="113" t="s">
        <v>236</v>
      </c>
      <c r="E5105" s="114" t="s">
        <v>15</v>
      </c>
      <c r="F5105" s="115" t="s">
        <v>16</v>
      </c>
      <c r="G5105" s="116">
        <v>5.77</v>
      </c>
      <c r="H5105" s="125">
        <v>10.5</v>
      </c>
      <c r="I5105" s="111">
        <f>19+34+3+3+3</f>
        <v>62</v>
      </c>
      <c r="J5105" s="117">
        <f t="shared" si="666"/>
        <v>3.7562699999999993</v>
      </c>
      <c r="K5105" s="118"/>
      <c r="L5105" s="111">
        <f>46+12+3</f>
        <v>61</v>
      </c>
      <c r="M5105" s="117">
        <f t="shared" si="667"/>
        <v>3.6956850000000001</v>
      </c>
      <c r="N5105" s="119">
        <f t="shared" si="668"/>
        <v>1</v>
      </c>
      <c r="O5105" s="120">
        <f t="shared" si="669"/>
        <v>6.0584999999999993E-2</v>
      </c>
      <c r="P5105" s="130" t="s">
        <v>277</v>
      </c>
      <c r="Q5105" s="111"/>
      <c r="R5105" s="75">
        <v>10.5</v>
      </c>
      <c r="S5105" s="72">
        <v>3</v>
      </c>
      <c r="T5105" s="77" t="s">
        <v>692</v>
      </c>
    </row>
    <row r="5106" spans="1:20" ht="15.6">
      <c r="A5106" s="110" t="s">
        <v>262</v>
      </c>
      <c r="B5106" s="111" t="s">
        <v>232</v>
      </c>
      <c r="C5106" s="112" t="s">
        <v>228</v>
      </c>
      <c r="D5106" s="113" t="s">
        <v>236</v>
      </c>
      <c r="E5106" s="114" t="s">
        <v>15</v>
      </c>
      <c r="F5106" s="115" t="s">
        <v>16</v>
      </c>
      <c r="G5106" s="116">
        <v>5.77</v>
      </c>
      <c r="H5106" s="125">
        <v>11</v>
      </c>
      <c r="I5106" s="111">
        <f>38+6+7+23+13+6+18</f>
        <v>111</v>
      </c>
      <c r="J5106" s="117">
        <f t="shared" si="666"/>
        <v>7.0451699999999997</v>
      </c>
      <c r="K5106" s="118"/>
      <c r="L5106" s="111">
        <v>111</v>
      </c>
      <c r="M5106" s="117">
        <f t="shared" si="667"/>
        <v>7.0451699999999988</v>
      </c>
      <c r="N5106" s="119">
        <f t="shared" si="668"/>
        <v>0</v>
      </c>
      <c r="O5106" s="120">
        <f t="shared" si="669"/>
        <v>0</v>
      </c>
      <c r="P5106" s="130"/>
      <c r="Q5106" s="111"/>
      <c r="R5106" s="111"/>
      <c r="S5106" s="111"/>
      <c r="T5106" s="213"/>
    </row>
    <row r="5107" spans="1:20" ht="15.6">
      <c r="A5107" s="110" t="s">
        <v>262</v>
      </c>
      <c r="B5107" s="111" t="s">
        <v>232</v>
      </c>
      <c r="C5107" s="112" t="s">
        <v>228</v>
      </c>
      <c r="D5107" s="113" t="s">
        <v>236</v>
      </c>
      <c r="E5107" s="114" t="s">
        <v>15</v>
      </c>
      <c r="F5107" s="115" t="s">
        <v>16</v>
      </c>
      <c r="G5107" s="116">
        <v>5.77</v>
      </c>
      <c r="H5107" s="125">
        <v>11.25</v>
      </c>
      <c r="I5107" s="111">
        <f>54+45+45+42+11+3+44+47+45+47+18+42+30+6+1</f>
        <v>480</v>
      </c>
      <c r="J5107" s="117">
        <f t="shared" si="666"/>
        <v>31.157999999999998</v>
      </c>
      <c r="K5107" s="118"/>
      <c r="L5107" s="111">
        <f>438+42</f>
        <v>480</v>
      </c>
      <c r="M5107" s="117">
        <f t="shared" si="667"/>
        <v>31.157999999999998</v>
      </c>
      <c r="N5107" s="119">
        <f t="shared" si="668"/>
        <v>0</v>
      </c>
      <c r="O5107" s="120">
        <f t="shared" si="669"/>
        <v>0</v>
      </c>
      <c r="P5107" s="130"/>
      <c r="Q5107" s="111"/>
      <c r="R5107" s="111"/>
      <c r="S5107" s="111"/>
      <c r="T5107" s="213"/>
    </row>
    <row r="5108" spans="1:20" ht="15.6">
      <c r="A5108" s="110" t="s">
        <v>262</v>
      </c>
      <c r="B5108" s="111" t="s">
        <v>232</v>
      </c>
      <c r="C5108" s="112" t="s">
        <v>228</v>
      </c>
      <c r="D5108" s="113" t="s">
        <v>236</v>
      </c>
      <c r="E5108" s="114" t="s">
        <v>15</v>
      </c>
      <c r="F5108" s="115" t="s">
        <v>16</v>
      </c>
      <c r="G5108" s="116">
        <v>5.77</v>
      </c>
      <c r="H5108" s="125">
        <v>12</v>
      </c>
      <c r="I5108" s="111">
        <f>44+45+43+21+2</f>
        <v>155</v>
      </c>
      <c r="J5108" s="117">
        <f t="shared" si="666"/>
        <v>10.732199999999999</v>
      </c>
      <c r="K5108" s="118"/>
      <c r="L5108" s="111">
        <f>115+14+26</f>
        <v>155</v>
      </c>
      <c r="M5108" s="117">
        <f t="shared" si="667"/>
        <v>10.732199999999999</v>
      </c>
      <c r="N5108" s="119">
        <f t="shared" si="668"/>
        <v>0</v>
      </c>
      <c r="O5108" s="120">
        <f t="shared" si="669"/>
        <v>0</v>
      </c>
      <c r="P5108" s="130"/>
      <c r="Q5108" s="111"/>
      <c r="R5108" s="111"/>
      <c r="S5108" s="111"/>
      <c r="T5108" s="213"/>
    </row>
    <row r="5109" spans="1:20" ht="15.6">
      <c r="A5109" s="110" t="s">
        <v>262</v>
      </c>
      <c r="B5109" s="111" t="s">
        <v>232</v>
      </c>
      <c r="C5109" s="112" t="s">
        <v>228</v>
      </c>
      <c r="D5109" s="113" t="s">
        <v>236</v>
      </c>
      <c r="E5109" s="114" t="s">
        <v>15</v>
      </c>
      <c r="F5109" s="115" t="s">
        <v>16</v>
      </c>
      <c r="G5109" s="116">
        <v>5.77</v>
      </c>
      <c r="H5109" s="125">
        <v>7.5</v>
      </c>
      <c r="I5109" s="111">
        <v>1</v>
      </c>
      <c r="J5109" s="117">
        <f t="shared" si="666"/>
        <v>4.3275000000000001E-2</v>
      </c>
      <c r="K5109" s="118" t="s">
        <v>234</v>
      </c>
      <c r="L5109" s="111"/>
      <c r="M5109" s="117">
        <f t="shared" si="667"/>
        <v>0</v>
      </c>
      <c r="N5109" s="119">
        <f t="shared" si="668"/>
        <v>1</v>
      </c>
      <c r="O5109" s="120">
        <f t="shared" si="669"/>
        <v>4.3275000000000001E-2</v>
      </c>
      <c r="P5109" s="130"/>
      <c r="Q5109" s="111"/>
      <c r="R5109" s="111"/>
      <c r="S5109" s="111"/>
      <c r="T5109" s="213"/>
    </row>
    <row r="5110" spans="1:20" ht="15.6">
      <c r="A5110" s="110" t="s">
        <v>262</v>
      </c>
      <c r="B5110" s="111" t="s">
        <v>232</v>
      </c>
      <c r="C5110" s="112" t="s">
        <v>228</v>
      </c>
      <c r="D5110" s="113" t="s">
        <v>236</v>
      </c>
      <c r="E5110" s="114" t="s">
        <v>15</v>
      </c>
      <c r="F5110" s="115" t="s">
        <v>16</v>
      </c>
      <c r="G5110" s="116">
        <v>5.77</v>
      </c>
      <c r="H5110" s="125">
        <v>9</v>
      </c>
      <c r="I5110" s="111">
        <v>1</v>
      </c>
      <c r="J5110" s="117">
        <f t="shared" si="666"/>
        <v>5.192999999999999E-2</v>
      </c>
      <c r="K5110" s="118" t="s">
        <v>234</v>
      </c>
      <c r="L5110" s="111"/>
      <c r="M5110" s="117">
        <f t="shared" si="667"/>
        <v>0</v>
      </c>
      <c r="N5110" s="119">
        <f t="shared" si="668"/>
        <v>1</v>
      </c>
      <c r="O5110" s="120">
        <f t="shared" si="669"/>
        <v>5.192999999999999E-2</v>
      </c>
      <c r="P5110" s="130"/>
      <c r="Q5110" s="111"/>
      <c r="R5110" s="111"/>
      <c r="S5110" s="111"/>
      <c r="T5110" s="213"/>
    </row>
    <row r="5111" spans="1:20" ht="15.6">
      <c r="A5111" s="110" t="s">
        <v>262</v>
      </c>
      <c r="B5111" s="111" t="s">
        <v>232</v>
      </c>
      <c r="C5111" s="112" t="s">
        <v>228</v>
      </c>
      <c r="D5111" s="113" t="s">
        <v>236</v>
      </c>
      <c r="E5111" s="114" t="s">
        <v>15</v>
      </c>
      <c r="F5111" s="115" t="s">
        <v>16</v>
      </c>
      <c r="G5111" s="116">
        <v>5.77</v>
      </c>
      <c r="H5111" s="125">
        <v>9.5</v>
      </c>
      <c r="I5111" s="111">
        <v>2</v>
      </c>
      <c r="J5111" s="117">
        <f t="shared" si="666"/>
        <v>0.10962999999999999</v>
      </c>
      <c r="K5111" s="118" t="s">
        <v>234</v>
      </c>
      <c r="L5111" s="111"/>
      <c r="M5111" s="117">
        <f t="shared" si="667"/>
        <v>0</v>
      </c>
      <c r="N5111" s="119">
        <f t="shared" si="668"/>
        <v>2</v>
      </c>
      <c r="O5111" s="120">
        <f t="shared" si="669"/>
        <v>0.10962999999999999</v>
      </c>
      <c r="P5111" s="130"/>
      <c r="Q5111" s="111"/>
      <c r="R5111" s="111"/>
      <c r="S5111" s="111"/>
      <c r="T5111" s="213"/>
    </row>
    <row r="5112" spans="1:20">
      <c r="S5112" s="76">
        <f>SUM(S5105:S5111)</f>
        <v>3</v>
      </c>
    </row>
    <row r="5114" spans="1:20" ht="15.6">
      <c r="A5114" s="110" t="s">
        <v>391</v>
      </c>
      <c r="B5114" s="111" t="s">
        <v>232</v>
      </c>
      <c r="C5114" s="112" t="s">
        <v>228</v>
      </c>
      <c r="D5114" s="113" t="s">
        <v>20</v>
      </c>
      <c r="E5114" s="114" t="s">
        <v>15</v>
      </c>
      <c r="F5114" s="115" t="s">
        <v>18</v>
      </c>
      <c r="G5114" s="116">
        <v>6.85</v>
      </c>
      <c r="H5114" s="125">
        <v>11.65</v>
      </c>
      <c r="I5114" s="111">
        <v>27</v>
      </c>
      <c r="J5114" s="117">
        <f t="shared" ref="J5114:J5126" si="670">H5114*G5114*I5114/1000</f>
        <v>2.1546675</v>
      </c>
      <c r="K5114" s="118"/>
      <c r="L5114" s="111">
        <v>27</v>
      </c>
      <c r="M5114" s="117">
        <f t="shared" ref="M5114:M5131" si="671">H5114*L5114*G5114/1000</f>
        <v>2.1546675</v>
      </c>
      <c r="N5114" s="119">
        <f t="shared" ref="N5114:N5131" si="672">I5114-L5114</f>
        <v>0</v>
      </c>
      <c r="O5114" s="120">
        <f t="shared" ref="O5114:O5126" si="673">H5114*N5114*G5114/1000</f>
        <v>0</v>
      </c>
      <c r="P5114" s="130"/>
      <c r="Q5114" s="111"/>
      <c r="R5114" s="111"/>
      <c r="S5114" s="111"/>
      <c r="T5114" s="213"/>
    </row>
    <row r="5115" spans="1:20" ht="15.6">
      <c r="A5115" s="110" t="s">
        <v>391</v>
      </c>
      <c r="B5115" s="111" t="s">
        <v>232</v>
      </c>
      <c r="C5115" s="112" t="s">
        <v>228</v>
      </c>
      <c r="D5115" s="113" t="s">
        <v>20</v>
      </c>
      <c r="E5115" s="114" t="s">
        <v>15</v>
      </c>
      <c r="F5115" s="115" t="s">
        <v>18</v>
      </c>
      <c r="G5115" s="116">
        <v>6.85</v>
      </c>
      <c r="H5115" s="125">
        <v>11.65</v>
      </c>
      <c r="I5115" s="111">
        <v>27</v>
      </c>
      <c r="J5115" s="117">
        <f t="shared" si="670"/>
        <v>2.1546675</v>
      </c>
      <c r="K5115" s="118"/>
      <c r="L5115" s="111">
        <v>27</v>
      </c>
      <c r="M5115" s="117">
        <f t="shared" si="671"/>
        <v>2.1546675</v>
      </c>
      <c r="N5115" s="119">
        <f t="shared" si="672"/>
        <v>0</v>
      </c>
      <c r="O5115" s="120">
        <f t="shared" si="673"/>
        <v>0</v>
      </c>
      <c r="P5115" s="130"/>
      <c r="Q5115" s="111"/>
      <c r="R5115" s="111"/>
      <c r="S5115" s="111"/>
      <c r="T5115" s="213"/>
    </row>
    <row r="5116" spans="1:20" ht="15.6">
      <c r="A5116" s="110" t="s">
        <v>391</v>
      </c>
      <c r="B5116" s="111" t="s">
        <v>232</v>
      </c>
      <c r="C5116" s="112" t="s">
        <v>228</v>
      </c>
      <c r="D5116" s="113" t="s">
        <v>20</v>
      </c>
      <c r="E5116" s="114" t="s">
        <v>15</v>
      </c>
      <c r="F5116" s="115" t="s">
        <v>18</v>
      </c>
      <c r="G5116" s="116">
        <v>6.85</v>
      </c>
      <c r="H5116" s="125">
        <v>11.65</v>
      </c>
      <c r="I5116" s="111">
        <v>43</v>
      </c>
      <c r="J5116" s="117">
        <f t="shared" si="670"/>
        <v>3.4315074999999995</v>
      </c>
      <c r="K5116" s="118"/>
      <c r="L5116" s="111">
        <f>43+9</f>
        <v>52</v>
      </c>
      <c r="M5116" s="117">
        <f t="shared" si="671"/>
        <v>4.1497300000000008</v>
      </c>
      <c r="N5116" s="228">
        <f t="shared" si="672"/>
        <v>-9</v>
      </c>
      <c r="O5116" s="229">
        <f t="shared" si="673"/>
        <v>-0.71822249999999999</v>
      </c>
      <c r="P5116" s="405" t="s">
        <v>690</v>
      </c>
      <c r="Q5116" s="111"/>
      <c r="R5116" s="111"/>
      <c r="S5116" s="111"/>
      <c r="T5116" s="213"/>
    </row>
    <row r="5117" spans="1:20" ht="15.6">
      <c r="A5117" s="110" t="s">
        <v>391</v>
      </c>
      <c r="B5117" s="111" t="s">
        <v>232</v>
      </c>
      <c r="C5117" s="112" t="s">
        <v>228</v>
      </c>
      <c r="D5117" s="113" t="s">
        <v>20</v>
      </c>
      <c r="E5117" s="114" t="s">
        <v>15</v>
      </c>
      <c r="F5117" s="115" t="s">
        <v>18</v>
      </c>
      <c r="G5117" s="116">
        <v>6.85</v>
      </c>
      <c r="H5117" s="125">
        <v>6</v>
      </c>
      <c r="I5117" s="111">
        <v>1</v>
      </c>
      <c r="J5117" s="117">
        <f t="shared" si="670"/>
        <v>4.1099999999999998E-2</v>
      </c>
      <c r="K5117" s="118"/>
      <c r="L5117" s="111">
        <v>1</v>
      </c>
      <c r="M5117" s="117">
        <f t="shared" si="671"/>
        <v>4.1099999999999998E-2</v>
      </c>
      <c r="N5117" s="119">
        <f t="shared" si="672"/>
        <v>0</v>
      </c>
      <c r="O5117" s="120">
        <f t="shared" si="673"/>
        <v>0</v>
      </c>
      <c r="P5117" s="130"/>
      <c r="Q5117" s="111"/>
      <c r="R5117" s="111"/>
      <c r="S5117" s="111"/>
      <c r="T5117" s="213"/>
    </row>
    <row r="5118" spans="1:20" ht="15.6">
      <c r="A5118" s="110" t="s">
        <v>391</v>
      </c>
      <c r="B5118" s="111" t="s">
        <v>232</v>
      </c>
      <c r="C5118" s="112" t="s">
        <v>228</v>
      </c>
      <c r="D5118" s="113" t="s">
        <v>20</v>
      </c>
      <c r="E5118" s="114" t="s">
        <v>15</v>
      </c>
      <c r="F5118" s="115" t="s">
        <v>18</v>
      </c>
      <c r="G5118" s="116">
        <v>6.85</v>
      </c>
      <c r="H5118" s="125">
        <v>10.5</v>
      </c>
      <c r="I5118" s="111">
        <v>3</v>
      </c>
      <c r="J5118" s="117">
        <f t="shared" si="670"/>
        <v>0.21577499999999997</v>
      </c>
      <c r="K5118" s="118"/>
      <c r="L5118" s="111">
        <v>3</v>
      </c>
      <c r="M5118" s="117">
        <f t="shared" si="671"/>
        <v>0.21577499999999997</v>
      </c>
      <c r="N5118" s="119">
        <f t="shared" si="672"/>
        <v>0</v>
      </c>
      <c r="O5118" s="120">
        <f t="shared" si="673"/>
        <v>0</v>
      </c>
      <c r="P5118" s="130"/>
      <c r="Q5118" s="111"/>
      <c r="R5118" s="111"/>
      <c r="S5118" s="111"/>
      <c r="T5118" s="213"/>
    </row>
    <row r="5119" spans="1:20" ht="15.6">
      <c r="A5119" s="110" t="s">
        <v>391</v>
      </c>
      <c r="B5119" s="111" t="s">
        <v>232</v>
      </c>
      <c r="C5119" s="112" t="s">
        <v>228</v>
      </c>
      <c r="D5119" s="113" t="s">
        <v>20</v>
      </c>
      <c r="E5119" s="114" t="s">
        <v>15</v>
      </c>
      <c r="F5119" s="115" t="s">
        <v>18</v>
      </c>
      <c r="G5119" s="116">
        <v>6.85</v>
      </c>
      <c r="H5119" s="125">
        <v>11.1</v>
      </c>
      <c r="I5119" s="111">
        <v>1</v>
      </c>
      <c r="J5119" s="117">
        <f t="shared" si="670"/>
        <v>7.6034999999999991E-2</v>
      </c>
      <c r="K5119" s="118"/>
      <c r="L5119" s="111">
        <v>1</v>
      </c>
      <c r="M5119" s="117">
        <f t="shared" si="671"/>
        <v>7.6034999999999991E-2</v>
      </c>
      <c r="N5119" s="119">
        <f t="shared" si="672"/>
        <v>0</v>
      </c>
      <c r="O5119" s="120">
        <f t="shared" si="673"/>
        <v>0</v>
      </c>
      <c r="P5119" s="130"/>
      <c r="Q5119" s="111"/>
      <c r="R5119" s="102">
        <v>11.1</v>
      </c>
      <c r="S5119" s="91">
        <v>1</v>
      </c>
      <c r="T5119" s="156" t="s">
        <v>691</v>
      </c>
    </row>
    <row r="5120" spans="1:20" ht="15.6">
      <c r="A5120" s="110" t="s">
        <v>391</v>
      </c>
      <c r="B5120" s="111" t="s">
        <v>232</v>
      </c>
      <c r="C5120" s="112" t="s">
        <v>228</v>
      </c>
      <c r="D5120" s="113" t="s">
        <v>20</v>
      </c>
      <c r="E5120" s="114" t="s">
        <v>15</v>
      </c>
      <c r="F5120" s="115" t="s">
        <v>18</v>
      </c>
      <c r="G5120" s="116">
        <v>6.85</v>
      </c>
      <c r="H5120" s="125">
        <v>11</v>
      </c>
      <c r="I5120" s="111">
        <v>3</v>
      </c>
      <c r="J5120" s="117">
        <f t="shared" si="670"/>
        <v>0.22604999999999997</v>
      </c>
      <c r="K5120" s="118"/>
      <c r="L5120" s="111">
        <v>3</v>
      </c>
      <c r="M5120" s="117">
        <f t="shared" si="671"/>
        <v>0.22604999999999997</v>
      </c>
      <c r="N5120" s="119">
        <f t="shared" si="672"/>
        <v>0</v>
      </c>
      <c r="O5120" s="120">
        <f t="shared" si="673"/>
        <v>0</v>
      </c>
      <c r="P5120" s="130"/>
      <c r="Q5120" s="111"/>
      <c r="R5120" s="130"/>
      <c r="S5120" s="45"/>
      <c r="T5120" s="213"/>
    </row>
    <row r="5121" spans="1:20" ht="15.6">
      <c r="A5121" s="110" t="s">
        <v>391</v>
      </c>
      <c r="B5121" s="111" t="s">
        <v>232</v>
      </c>
      <c r="C5121" s="112" t="s">
        <v>228</v>
      </c>
      <c r="D5121" s="113" t="s">
        <v>20</v>
      </c>
      <c r="E5121" s="114" t="s">
        <v>15</v>
      </c>
      <c r="F5121" s="115" t="s">
        <v>18</v>
      </c>
      <c r="G5121" s="116">
        <v>6.85</v>
      </c>
      <c r="H5121" s="125">
        <v>11.7</v>
      </c>
      <c r="I5121" s="111">
        <v>4</v>
      </c>
      <c r="J5121" s="117">
        <f t="shared" si="670"/>
        <v>0.32057999999999998</v>
      </c>
      <c r="K5121" s="118"/>
      <c r="L5121" s="111">
        <v>4</v>
      </c>
      <c r="M5121" s="117">
        <f t="shared" si="671"/>
        <v>0.32057999999999998</v>
      </c>
      <c r="N5121" s="119">
        <f t="shared" si="672"/>
        <v>0</v>
      </c>
      <c r="O5121" s="120">
        <f t="shared" si="673"/>
        <v>0</v>
      </c>
      <c r="P5121" s="130">
        <v>11.65</v>
      </c>
      <c r="Q5121" s="111">
        <v>4</v>
      </c>
      <c r="R5121" s="130"/>
      <c r="S5121" s="45"/>
      <c r="T5121" s="213"/>
    </row>
    <row r="5122" spans="1:20" ht="15.6">
      <c r="A5122" s="110" t="s">
        <v>391</v>
      </c>
      <c r="B5122" s="111" t="s">
        <v>232</v>
      </c>
      <c r="C5122" s="112" t="s">
        <v>228</v>
      </c>
      <c r="D5122" s="113" t="s">
        <v>20</v>
      </c>
      <c r="E5122" s="114" t="s">
        <v>15</v>
      </c>
      <c r="F5122" s="115" t="s">
        <v>18</v>
      </c>
      <c r="G5122" s="116">
        <v>6.85</v>
      </c>
      <c r="H5122" s="125">
        <v>9.8000000000000007</v>
      </c>
      <c r="I5122" s="111">
        <v>1</v>
      </c>
      <c r="J5122" s="117">
        <f t="shared" si="670"/>
        <v>6.7129999999999995E-2</v>
      </c>
      <c r="K5122" s="118"/>
      <c r="L5122" s="111">
        <v>1</v>
      </c>
      <c r="M5122" s="117">
        <f t="shared" si="671"/>
        <v>6.7129999999999995E-2</v>
      </c>
      <c r="N5122" s="119">
        <f t="shared" si="672"/>
        <v>0</v>
      </c>
      <c r="O5122" s="120">
        <f t="shared" si="673"/>
        <v>0</v>
      </c>
      <c r="P5122" s="130"/>
      <c r="Q5122" s="111"/>
      <c r="R5122" s="130"/>
      <c r="S5122" s="45"/>
      <c r="T5122" s="213"/>
    </row>
    <row r="5123" spans="1:20" ht="15.6">
      <c r="A5123" s="110" t="s">
        <v>391</v>
      </c>
      <c r="B5123" s="111" t="s">
        <v>232</v>
      </c>
      <c r="C5123" s="112" t="s">
        <v>228</v>
      </c>
      <c r="D5123" s="113" t="s">
        <v>20</v>
      </c>
      <c r="E5123" s="114" t="s">
        <v>15</v>
      </c>
      <c r="F5123" s="115" t="s">
        <v>18</v>
      </c>
      <c r="G5123" s="116">
        <v>6.85</v>
      </c>
      <c r="H5123" s="125">
        <v>11.65</v>
      </c>
      <c r="I5123" s="111">
        <v>20</v>
      </c>
      <c r="J5123" s="117">
        <f t="shared" si="670"/>
        <v>1.59605</v>
      </c>
      <c r="K5123" s="118"/>
      <c r="L5123" s="111">
        <v>20</v>
      </c>
      <c r="M5123" s="117">
        <f t="shared" si="671"/>
        <v>1.59605</v>
      </c>
      <c r="N5123" s="119">
        <f t="shared" si="672"/>
        <v>0</v>
      </c>
      <c r="O5123" s="120">
        <f t="shared" si="673"/>
        <v>0</v>
      </c>
      <c r="P5123" s="130"/>
      <c r="Q5123" s="111"/>
      <c r="R5123" s="130"/>
      <c r="S5123" s="45"/>
      <c r="T5123" s="213"/>
    </row>
    <row r="5124" spans="1:20" ht="15.6">
      <c r="A5124" s="110" t="s">
        <v>391</v>
      </c>
      <c r="B5124" s="111" t="s">
        <v>232</v>
      </c>
      <c r="C5124" s="112" t="s">
        <v>228</v>
      </c>
      <c r="D5124" s="113" t="s">
        <v>20</v>
      </c>
      <c r="E5124" s="114" t="s">
        <v>15</v>
      </c>
      <c r="F5124" s="115" t="s">
        <v>18</v>
      </c>
      <c r="G5124" s="116">
        <v>6.85</v>
      </c>
      <c r="H5124" s="125">
        <v>11.65</v>
      </c>
      <c r="I5124" s="111">
        <v>19</v>
      </c>
      <c r="J5124" s="117">
        <f t="shared" si="670"/>
        <v>1.5162475</v>
      </c>
      <c r="K5124" s="118"/>
      <c r="L5124" s="111">
        <v>19</v>
      </c>
      <c r="M5124" s="117">
        <f t="shared" si="671"/>
        <v>1.5162475</v>
      </c>
      <c r="N5124" s="119">
        <f t="shared" si="672"/>
        <v>0</v>
      </c>
      <c r="O5124" s="120">
        <f t="shared" si="673"/>
        <v>0</v>
      </c>
      <c r="P5124" s="130"/>
      <c r="Q5124" s="111"/>
      <c r="R5124" s="130"/>
      <c r="S5124" s="45"/>
      <c r="T5124" s="213"/>
    </row>
    <row r="5125" spans="1:20" ht="15.6">
      <c r="A5125" s="110" t="s">
        <v>391</v>
      </c>
      <c r="B5125" s="111" t="s">
        <v>232</v>
      </c>
      <c r="C5125" s="112" t="s">
        <v>228</v>
      </c>
      <c r="D5125" s="113" t="s">
        <v>20</v>
      </c>
      <c r="E5125" s="114" t="s">
        <v>15</v>
      </c>
      <c r="F5125" s="115" t="s">
        <v>18</v>
      </c>
      <c r="G5125" s="116">
        <v>6.85</v>
      </c>
      <c r="H5125" s="125">
        <v>11.65</v>
      </c>
      <c r="I5125" s="111">
        <v>20</v>
      </c>
      <c r="J5125" s="117">
        <f t="shared" si="670"/>
        <v>1.59605</v>
      </c>
      <c r="K5125" s="118"/>
      <c r="L5125" s="111">
        <v>20</v>
      </c>
      <c r="M5125" s="117">
        <f t="shared" si="671"/>
        <v>1.59605</v>
      </c>
      <c r="N5125" s="119">
        <f t="shared" si="672"/>
        <v>0</v>
      </c>
      <c r="O5125" s="120">
        <f t="shared" si="673"/>
        <v>0</v>
      </c>
      <c r="P5125" s="130"/>
      <c r="Q5125" s="111"/>
      <c r="R5125" s="130"/>
      <c r="S5125" s="45"/>
      <c r="T5125" s="213"/>
    </row>
    <row r="5126" spans="1:20" ht="15.6">
      <c r="A5126" s="110" t="s">
        <v>391</v>
      </c>
      <c r="B5126" s="111" t="s">
        <v>232</v>
      </c>
      <c r="C5126" s="112" t="s">
        <v>228</v>
      </c>
      <c r="D5126" s="113" t="s">
        <v>20</v>
      </c>
      <c r="E5126" s="114" t="s">
        <v>15</v>
      </c>
      <c r="F5126" s="115" t="s">
        <v>18</v>
      </c>
      <c r="G5126" s="116">
        <v>6.85</v>
      </c>
      <c r="H5126" s="125">
        <v>11.65</v>
      </c>
      <c r="I5126" s="111">
        <v>16</v>
      </c>
      <c r="J5126" s="117">
        <f t="shared" si="670"/>
        <v>1.27684</v>
      </c>
      <c r="K5126" s="118"/>
      <c r="L5126" s="111">
        <v>16</v>
      </c>
      <c r="M5126" s="117">
        <f t="shared" si="671"/>
        <v>1.27684</v>
      </c>
      <c r="N5126" s="119">
        <f t="shared" si="672"/>
        <v>0</v>
      </c>
      <c r="O5126" s="120">
        <f t="shared" si="673"/>
        <v>0</v>
      </c>
      <c r="P5126" s="130"/>
      <c r="Q5126" s="111"/>
      <c r="R5126" s="130"/>
      <c r="S5126" s="45"/>
      <c r="T5126" s="213"/>
    </row>
    <row r="5127" spans="1:20" ht="15.6">
      <c r="A5127" s="110" t="s">
        <v>391</v>
      </c>
      <c r="B5127" s="111" t="s">
        <v>232</v>
      </c>
      <c r="C5127" s="112" t="s">
        <v>228</v>
      </c>
      <c r="D5127" s="113" t="s">
        <v>20</v>
      </c>
      <c r="E5127" s="114" t="s">
        <v>15</v>
      </c>
      <c r="F5127" s="115" t="s">
        <v>18</v>
      </c>
      <c r="G5127" s="116">
        <v>6.85</v>
      </c>
      <c r="H5127" s="125">
        <v>10</v>
      </c>
      <c r="I5127" s="111">
        <v>1</v>
      </c>
      <c r="J5127" s="117">
        <f>H5127*G5127*I5127/1000</f>
        <v>6.8500000000000005E-2</v>
      </c>
      <c r="K5127" s="118"/>
      <c r="L5127" s="111">
        <v>1</v>
      </c>
      <c r="M5127" s="117">
        <f t="shared" si="671"/>
        <v>6.8500000000000005E-2</v>
      </c>
      <c r="N5127" s="119">
        <f t="shared" si="672"/>
        <v>0</v>
      </c>
      <c r="O5127" s="120">
        <f>H5127*N5127*G5127/1000</f>
        <v>0</v>
      </c>
      <c r="P5127" s="130"/>
      <c r="Q5127" s="111"/>
      <c r="R5127" s="102">
        <v>10</v>
      </c>
      <c r="S5127" s="91">
        <v>1</v>
      </c>
      <c r="T5127" s="156" t="s">
        <v>691</v>
      </c>
    </row>
    <row r="5128" spans="1:20" ht="15.6">
      <c r="A5128" s="110" t="s">
        <v>391</v>
      </c>
      <c r="B5128" s="111" t="s">
        <v>232</v>
      </c>
      <c r="C5128" s="112" t="s">
        <v>228</v>
      </c>
      <c r="D5128" s="113" t="s">
        <v>20</v>
      </c>
      <c r="E5128" s="114" t="s">
        <v>15</v>
      </c>
      <c r="F5128" s="115" t="s">
        <v>18</v>
      </c>
      <c r="G5128" s="116">
        <v>6.85</v>
      </c>
      <c r="H5128" s="125">
        <v>10.5</v>
      </c>
      <c r="I5128" s="111">
        <v>1</v>
      </c>
      <c r="J5128" s="117">
        <f>H5128*G5128*I5128/1000</f>
        <v>7.1925000000000003E-2</v>
      </c>
      <c r="K5128" s="118"/>
      <c r="L5128" s="111">
        <v>1</v>
      </c>
      <c r="M5128" s="117">
        <f t="shared" si="671"/>
        <v>7.1925000000000003E-2</v>
      </c>
      <c r="N5128" s="119">
        <f t="shared" si="672"/>
        <v>0</v>
      </c>
      <c r="O5128" s="120">
        <f>H5128*N5128*G5128/1000</f>
        <v>0</v>
      </c>
      <c r="P5128" s="130"/>
      <c r="Q5128" s="111"/>
      <c r="R5128" s="102">
        <v>10.5</v>
      </c>
      <c r="S5128" s="91">
        <v>1</v>
      </c>
      <c r="T5128" s="156" t="s">
        <v>691</v>
      </c>
    </row>
    <row r="5129" spans="1:20" ht="15.6">
      <c r="A5129" s="110" t="s">
        <v>391</v>
      </c>
      <c r="B5129" s="111" t="s">
        <v>232</v>
      </c>
      <c r="C5129" s="112" t="s">
        <v>228</v>
      </c>
      <c r="D5129" s="113" t="s">
        <v>20</v>
      </c>
      <c r="E5129" s="114" t="s">
        <v>15</v>
      </c>
      <c r="F5129" s="115" t="s">
        <v>18</v>
      </c>
      <c r="G5129" s="116">
        <v>6.85</v>
      </c>
      <c r="H5129" s="125">
        <v>11</v>
      </c>
      <c r="I5129" s="111">
        <v>2</v>
      </c>
      <c r="J5129" s="117">
        <f>H5129*G5129*I5129/1000</f>
        <v>0.1507</v>
      </c>
      <c r="K5129" s="118"/>
      <c r="L5129" s="111">
        <v>2</v>
      </c>
      <c r="M5129" s="117">
        <f t="shared" si="671"/>
        <v>0.1507</v>
      </c>
      <c r="N5129" s="119">
        <f t="shared" si="672"/>
        <v>0</v>
      </c>
      <c r="O5129" s="120">
        <f>H5129*N5129*G5129/1000</f>
        <v>0</v>
      </c>
      <c r="P5129" s="130"/>
      <c r="Q5129" s="111"/>
      <c r="R5129" s="102"/>
      <c r="S5129" s="91"/>
      <c r="T5129" s="156"/>
    </row>
    <row r="5130" spans="1:20" ht="15.6">
      <c r="A5130" s="110" t="s">
        <v>391</v>
      </c>
      <c r="B5130" s="111" t="s">
        <v>232</v>
      </c>
      <c r="C5130" s="112" t="s">
        <v>228</v>
      </c>
      <c r="D5130" s="113" t="s">
        <v>20</v>
      </c>
      <c r="E5130" s="114" t="s">
        <v>15</v>
      </c>
      <c r="F5130" s="115" t="s">
        <v>18</v>
      </c>
      <c r="G5130" s="116">
        <v>6.85</v>
      </c>
      <c r="H5130" s="125">
        <v>11.3</v>
      </c>
      <c r="I5130" s="111">
        <v>2</v>
      </c>
      <c r="J5130" s="117">
        <f>H5130*G5130*I5130/1000</f>
        <v>0.15481</v>
      </c>
      <c r="K5130" s="118"/>
      <c r="L5130" s="111">
        <v>2</v>
      </c>
      <c r="M5130" s="117">
        <f t="shared" si="671"/>
        <v>0.15481</v>
      </c>
      <c r="N5130" s="119">
        <f t="shared" si="672"/>
        <v>0</v>
      </c>
      <c r="O5130" s="120">
        <f>H5130*N5130*G5130/1000</f>
        <v>0</v>
      </c>
      <c r="P5130" s="130"/>
      <c r="Q5130" s="111"/>
      <c r="R5130" s="102">
        <v>11.3</v>
      </c>
      <c r="S5130" s="91">
        <v>2</v>
      </c>
      <c r="T5130" s="156" t="s">
        <v>691</v>
      </c>
    </row>
    <row r="5131" spans="1:20" ht="15.6">
      <c r="A5131" s="110" t="s">
        <v>391</v>
      </c>
      <c r="B5131" s="111" t="s">
        <v>232</v>
      </c>
      <c r="C5131" s="112" t="s">
        <v>228</v>
      </c>
      <c r="D5131" s="113" t="s">
        <v>20</v>
      </c>
      <c r="E5131" s="114" t="s">
        <v>15</v>
      </c>
      <c r="F5131" s="115" t="s">
        <v>18</v>
      </c>
      <c r="G5131" s="116">
        <v>6.85</v>
      </c>
      <c r="H5131" s="125">
        <v>11.5</v>
      </c>
      <c r="I5131" s="111">
        <v>2</v>
      </c>
      <c r="J5131" s="117">
        <f>H5131*G5131*I5131/1000</f>
        <v>0.15755</v>
      </c>
      <c r="K5131" s="118"/>
      <c r="L5131" s="111">
        <v>2</v>
      </c>
      <c r="M5131" s="117">
        <f t="shared" si="671"/>
        <v>0.15755</v>
      </c>
      <c r="N5131" s="119">
        <f t="shared" si="672"/>
        <v>0</v>
      </c>
      <c r="O5131" s="120">
        <f>H5131*N5131*G5131/1000</f>
        <v>0</v>
      </c>
      <c r="P5131" s="130"/>
      <c r="Q5131" s="111"/>
      <c r="R5131" s="102">
        <v>11.5</v>
      </c>
      <c r="S5131" s="91">
        <v>2</v>
      </c>
      <c r="T5131" s="156" t="s">
        <v>691</v>
      </c>
    </row>
    <row r="5132" spans="1:20">
      <c r="A5132" s="32"/>
      <c r="B5132" s="32"/>
      <c r="C5132" s="32"/>
      <c r="D5132" s="32"/>
      <c r="E5132" s="32"/>
      <c r="F5132" s="32"/>
      <c r="G5132" s="32"/>
      <c r="H5132" s="32"/>
      <c r="I5132" s="129">
        <f>SUM(I5114:I5131)</f>
        <v>193</v>
      </c>
      <c r="J5132" s="124">
        <f>SUM(J5114:J5131)</f>
        <v>15.276185000000002</v>
      </c>
      <c r="K5132" s="32"/>
      <c r="L5132" s="171">
        <f>SUM(L5114:L5131)</f>
        <v>202</v>
      </c>
      <c r="M5132" s="132">
        <f>SUM(M5114:M5131)</f>
        <v>15.994407500000003</v>
      </c>
      <c r="N5132" s="131">
        <f>SUM(N5114:N5131)</f>
        <v>-9</v>
      </c>
      <c r="O5132" s="132">
        <f>SUM(O5114:O5131)</f>
        <v>-0.71822249999999999</v>
      </c>
      <c r="P5132" s="32"/>
      <c r="Q5132" s="32"/>
      <c r="R5132" s="32"/>
      <c r="S5132" s="131">
        <f>SUM(S5114:S5131)</f>
        <v>7</v>
      </c>
      <c r="T5132" s="213"/>
    </row>
    <row r="5135" spans="1:20" ht="15.6">
      <c r="B5135" s="110" t="s">
        <v>502</v>
      </c>
      <c r="C5135" s="111" t="s">
        <v>501</v>
      </c>
      <c r="D5135" s="112" t="s">
        <v>468</v>
      </c>
      <c r="E5135" s="113" t="s">
        <v>131</v>
      </c>
      <c r="F5135" s="114" t="s">
        <v>15</v>
      </c>
      <c r="G5135" s="115" t="s">
        <v>18</v>
      </c>
      <c r="H5135" s="116">
        <v>6.86</v>
      </c>
      <c r="I5135" s="319">
        <v>9</v>
      </c>
      <c r="J5135" s="313">
        <f>16+44+40+34+30</f>
        <v>164</v>
      </c>
      <c r="K5135" s="117">
        <f t="shared" ref="K5135:K5162" si="674">I5135*H5135*J5135/1000</f>
        <v>10.125360000000001</v>
      </c>
      <c r="L5135" s="118"/>
      <c r="M5135" s="111">
        <f>160-24</f>
        <v>136</v>
      </c>
      <c r="N5135" s="117">
        <f t="shared" ref="N5135:N5162" si="675">I5135*M5135*H5135/1000</f>
        <v>8.3966400000000014</v>
      </c>
      <c r="O5135" s="119">
        <f t="shared" ref="O5135:O5162" si="676">J5135-M5135</f>
        <v>28</v>
      </c>
      <c r="P5135" s="120">
        <f t="shared" ref="P5135:P5162" si="677">I5135*O5135*H5135/1000</f>
        <v>1.72872</v>
      </c>
      <c r="Q5135" s="32"/>
      <c r="R5135" s="32"/>
      <c r="S5135" s="32"/>
      <c r="T5135" s="32"/>
    </row>
    <row r="5136" spans="1:20" ht="15.6">
      <c r="B5136" s="110" t="s">
        <v>502</v>
      </c>
      <c r="C5136" s="111" t="s">
        <v>501</v>
      </c>
      <c r="D5136" s="112" t="s">
        <v>468</v>
      </c>
      <c r="E5136" s="113" t="s">
        <v>131</v>
      </c>
      <c r="F5136" s="114" t="s">
        <v>15</v>
      </c>
      <c r="G5136" s="115" t="s">
        <v>18</v>
      </c>
      <c r="H5136" s="116">
        <v>6.86</v>
      </c>
      <c r="I5136" s="319">
        <v>10</v>
      </c>
      <c r="J5136" s="313">
        <f>6+52</f>
        <v>58</v>
      </c>
      <c r="K5136" s="117">
        <f t="shared" si="674"/>
        <v>3.9788000000000006</v>
      </c>
      <c r="L5136" s="118"/>
      <c r="M5136" s="111">
        <v>6</v>
      </c>
      <c r="N5136" s="117">
        <f t="shared" si="675"/>
        <v>0.41160000000000002</v>
      </c>
      <c r="O5136" s="119">
        <f t="shared" si="676"/>
        <v>52</v>
      </c>
      <c r="P5136" s="120">
        <f t="shared" si="677"/>
        <v>3.5672000000000001</v>
      </c>
      <c r="Q5136" s="32"/>
      <c r="R5136" s="32"/>
      <c r="S5136" s="32"/>
      <c r="T5136" s="32"/>
    </row>
    <row r="5137" spans="2:20" ht="15.6">
      <c r="B5137" s="110" t="s">
        <v>502</v>
      </c>
      <c r="C5137" s="111" t="s">
        <v>501</v>
      </c>
      <c r="D5137" s="112" t="s">
        <v>468</v>
      </c>
      <c r="E5137" s="113" t="s">
        <v>131</v>
      </c>
      <c r="F5137" s="114" t="s">
        <v>15</v>
      </c>
      <c r="G5137" s="115" t="s">
        <v>18</v>
      </c>
      <c r="H5137" s="116">
        <v>6.86</v>
      </c>
      <c r="I5137" s="125">
        <v>11.5</v>
      </c>
      <c r="J5137" s="313">
        <f>40+48+44+42+42+42+42+39+41+40+40+40+40+37+40</f>
        <v>617</v>
      </c>
      <c r="K5137" s="117">
        <f t="shared" si="674"/>
        <v>48.675129999999996</v>
      </c>
      <c r="L5137" s="118"/>
      <c r="M5137" s="111">
        <v>617</v>
      </c>
      <c r="N5137" s="117">
        <f t="shared" si="675"/>
        <v>48.675130000000003</v>
      </c>
      <c r="O5137" s="119">
        <f t="shared" si="676"/>
        <v>0</v>
      </c>
      <c r="P5137" s="120">
        <f t="shared" si="677"/>
        <v>0</v>
      </c>
      <c r="Q5137" s="32"/>
      <c r="R5137" s="32"/>
      <c r="S5137" s="32"/>
      <c r="T5137" s="32"/>
    </row>
    <row r="5138" spans="2:20" ht="15.6">
      <c r="B5138" s="110" t="s">
        <v>502</v>
      </c>
      <c r="C5138" s="111" t="s">
        <v>501</v>
      </c>
      <c r="D5138" s="112" t="s">
        <v>468</v>
      </c>
      <c r="E5138" s="113" t="s">
        <v>131</v>
      </c>
      <c r="F5138" s="114" t="s">
        <v>15</v>
      </c>
      <c r="G5138" s="115" t="s">
        <v>18</v>
      </c>
      <c r="H5138" s="116">
        <v>6.86</v>
      </c>
      <c r="I5138" s="125">
        <v>11</v>
      </c>
      <c r="J5138" s="111">
        <v>7</v>
      </c>
      <c r="K5138" s="117">
        <f t="shared" si="674"/>
        <v>0.52822000000000002</v>
      </c>
      <c r="L5138" s="118"/>
      <c r="M5138" s="111">
        <v>5</v>
      </c>
      <c r="N5138" s="117">
        <f t="shared" si="675"/>
        <v>0.37730000000000002</v>
      </c>
      <c r="O5138" s="119">
        <f t="shared" si="676"/>
        <v>2</v>
      </c>
      <c r="P5138" s="120">
        <f t="shared" si="677"/>
        <v>0.15092000000000003</v>
      </c>
      <c r="Q5138" s="98">
        <v>11</v>
      </c>
      <c r="R5138" s="91">
        <v>5</v>
      </c>
      <c r="S5138" s="91" t="s">
        <v>631</v>
      </c>
      <c r="T5138" s="32"/>
    </row>
    <row r="5139" spans="2:20" ht="15.6">
      <c r="B5139" s="110" t="s">
        <v>502</v>
      </c>
      <c r="C5139" s="111" t="s">
        <v>501</v>
      </c>
      <c r="D5139" s="112" t="s">
        <v>468</v>
      </c>
      <c r="E5139" s="113" t="s">
        <v>131</v>
      </c>
      <c r="F5139" s="114" t="s">
        <v>15</v>
      </c>
      <c r="G5139" s="115" t="s">
        <v>18</v>
      </c>
      <c r="H5139" s="116">
        <v>6.86</v>
      </c>
      <c r="I5139" s="125">
        <v>10.5</v>
      </c>
      <c r="J5139" s="111">
        <v>1</v>
      </c>
      <c r="K5139" s="117">
        <f t="shared" si="674"/>
        <v>7.2029999999999997E-2</v>
      </c>
      <c r="L5139" s="118"/>
      <c r="M5139" s="111"/>
      <c r="N5139" s="117">
        <f t="shared" si="675"/>
        <v>0</v>
      </c>
      <c r="O5139" s="119">
        <f t="shared" si="676"/>
        <v>1</v>
      </c>
      <c r="P5139" s="120">
        <f t="shared" si="677"/>
        <v>7.2029999999999997E-2</v>
      </c>
      <c r="Q5139" s="33"/>
      <c r="R5139" s="32"/>
      <c r="S5139" s="32"/>
      <c r="T5139" s="32"/>
    </row>
    <row r="5140" spans="2:20" ht="15.6">
      <c r="B5140" s="110" t="s">
        <v>502</v>
      </c>
      <c r="C5140" s="111" t="s">
        <v>501</v>
      </c>
      <c r="D5140" s="112" t="s">
        <v>468</v>
      </c>
      <c r="E5140" s="113" t="s">
        <v>131</v>
      </c>
      <c r="F5140" s="114" t="s">
        <v>15</v>
      </c>
      <c r="G5140" s="115" t="s">
        <v>18</v>
      </c>
      <c r="H5140" s="116">
        <v>6.86</v>
      </c>
      <c r="I5140" s="125">
        <v>10</v>
      </c>
      <c r="J5140" s="111">
        <v>16</v>
      </c>
      <c r="K5140" s="117">
        <f t="shared" si="674"/>
        <v>1.0976000000000001</v>
      </c>
      <c r="L5140" s="118"/>
      <c r="M5140" s="111">
        <v>1</v>
      </c>
      <c r="N5140" s="117">
        <f t="shared" si="675"/>
        <v>6.8600000000000008E-2</v>
      </c>
      <c r="O5140" s="119">
        <f t="shared" si="676"/>
        <v>15</v>
      </c>
      <c r="P5140" s="120">
        <f t="shared" si="677"/>
        <v>1.0289999999999999</v>
      </c>
      <c r="Q5140" s="33"/>
      <c r="R5140" s="32"/>
      <c r="S5140" s="32"/>
      <c r="T5140" s="32"/>
    </row>
    <row r="5141" spans="2:20" ht="15.6">
      <c r="B5141" s="110" t="s">
        <v>502</v>
      </c>
      <c r="C5141" s="111" t="s">
        <v>501</v>
      </c>
      <c r="D5141" s="112" t="s">
        <v>468</v>
      </c>
      <c r="E5141" s="113" t="s">
        <v>131</v>
      </c>
      <c r="F5141" s="114" t="s">
        <v>15</v>
      </c>
      <c r="G5141" s="115" t="s">
        <v>18</v>
      </c>
      <c r="H5141" s="116">
        <v>6.86</v>
      </c>
      <c r="I5141" s="125">
        <v>9.5</v>
      </c>
      <c r="J5141" s="111">
        <v>2</v>
      </c>
      <c r="K5141" s="117">
        <f t="shared" si="674"/>
        <v>0.13034000000000001</v>
      </c>
      <c r="L5141" s="118"/>
      <c r="M5141" s="111"/>
      <c r="N5141" s="117">
        <f t="shared" si="675"/>
        <v>0</v>
      </c>
      <c r="O5141" s="119">
        <f t="shared" si="676"/>
        <v>2</v>
      </c>
      <c r="P5141" s="120">
        <f t="shared" si="677"/>
        <v>0.13034000000000001</v>
      </c>
      <c r="Q5141" s="33"/>
      <c r="R5141" s="32"/>
      <c r="S5141" s="32"/>
      <c r="T5141" s="32"/>
    </row>
    <row r="5142" spans="2:20" ht="15.6">
      <c r="B5142" s="110" t="s">
        <v>502</v>
      </c>
      <c r="C5142" s="111" t="s">
        <v>501</v>
      </c>
      <c r="D5142" s="112" t="s">
        <v>468</v>
      </c>
      <c r="E5142" s="113" t="s">
        <v>131</v>
      </c>
      <c r="F5142" s="114" t="s">
        <v>15</v>
      </c>
      <c r="G5142" s="115" t="s">
        <v>18</v>
      </c>
      <c r="H5142" s="116">
        <v>6.86</v>
      </c>
      <c r="I5142" s="125">
        <v>8.6999999999999993</v>
      </c>
      <c r="J5142" s="111">
        <v>1</v>
      </c>
      <c r="K5142" s="117">
        <f t="shared" si="674"/>
        <v>5.9681999999999992E-2</v>
      </c>
      <c r="L5142" s="118"/>
      <c r="M5142" s="111"/>
      <c r="N5142" s="117">
        <f t="shared" si="675"/>
        <v>0</v>
      </c>
      <c r="O5142" s="119">
        <f t="shared" si="676"/>
        <v>1</v>
      </c>
      <c r="P5142" s="120">
        <f t="shared" si="677"/>
        <v>5.9681999999999992E-2</v>
      </c>
      <c r="Q5142" s="33"/>
      <c r="R5142" s="32"/>
      <c r="S5142" s="32"/>
      <c r="T5142" s="32"/>
    </row>
    <row r="5143" spans="2:20" ht="15.6">
      <c r="B5143" s="110" t="s">
        <v>502</v>
      </c>
      <c r="C5143" s="111" t="s">
        <v>501</v>
      </c>
      <c r="D5143" s="112" t="s">
        <v>468</v>
      </c>
      <c r="E5143" s="113" t="s">
        <v>131</v>
      </c>
      <c r="F5143" s="114" t="s">
        <v>15</v>
      </c>
      <c r="G5143" s="115" t="s">
        <v>18</v>
      </c>
      <c r="H5143" s="116">
        <v>6.86</v>
      </c>
      <c r="I5143" s="125">
        <v>8.5</v>
      </c>
      <c r="J5143" s="111">
        <v>8</v>
      </c>
      <c r="K5143" s="117">
        <f t="shared" si="674"/>
        <v>0.46648000000000001</v>
      </c>
      <c r="L5143" s="118"/>
      <c r="M5143" s="111"/>
      <c r="N5143" s="117">
        <f t="shared" si="675"/>
        <v>0</v>
      </c>
      <c r="O5143" s="119">
        <f t="shared" si="676"/>
        <v>8</v>
      </c>
      <c r="P5143" s="120">
        <f t="shared" si="677"/>
        <v>0.46648000000000001</v>
      </c>
      <c r="Q5143" s="33"/>
      <c r="R5143" s="32"/>
      <c r="S5143" s="32"/>
      <c r="T5143" s="32"/>
    </row>
    <row r="5144" spans="2:20" ht="15.6">
      <c r="B5144" s="110" t="s">
        <v>502</v>
      </c>
      <c r="C5144" s="111" t="s">
        <v>501</v>
      </c>
      <c r="D5144" s="112" t="s">
        <v>468</v>
      </c>
      <c r="E5144" s="113" t="s">
        <v>131</v>
      </c>
      <c r="F5144" s="114" t="s">
        <v>15</v>
      </c>
      <c r="G5144" s="115" t="s">
        <v>18</v>
      </c>
      <c r="H5144" s="116">
        <v>6.86</v>
      </c>
      <c r="I5144" s="125">
        <v>8</v>
      </c>
      <c r="J5144" s="111">
        <v>24</v>
      </c>
      <c r="K5144" s="117">
        <f t="shared" si="674"/>
        <v>1.3171200000000001</v>
      </c>
      <c r="L5144" s="118"/>
      <c r="M5144" s="111"/>
      <c r="N5144" s="117">
        <f t="shared" si="675"/>
        <v>0</v>
      </c>
      <c r="O5144" s="119">
        <f t="shared" si="676"/>
        <v>24</v>
      </c>
      <c r="P5144" s="120">
        <f t="shared" si="677"/>
        <v>1.3171200000000001</v>
      </c>
      <c r="Q5144" s="33"/>
      <c r="R5144" s="32"/>
      <c r="S5144" s="32"/>
      <c r="T5144" s="32"/>
    </row>
    <row r="5145" spans="2:20" ht="15.6">
      <c r="B5145" s="110" t="s">
        <v>502</v>
      </c>
      <c r="C5145" s="111" t="s">
        <v>501</v>
      </c>
      <c r="D5145" s="112" t="s">
        <v>468</v>
      </c>
      <c r="E5145" s="113" t="s">
        <v>131</v>
      </c>
      <c r="F5145" s="114" t="s">
        <v>15</v>
      </c>
      <c r="G5145" s="115" t="s">
        <v>18</v>
      </c>
      <c r="H5145" s="116">
        <v>6.86</v>
      </c>
      <c r="I5145" s="125">
        <v>7.2</v>
      </c>
      <c r="J5145" s="111">
        <v>2</v>
      </c>
      <c r="K5145" s="117">
        <f t="shared" si="674"/>
        <v>9.8784000000000011E-2</v>
      </c>
      <c r="L5145" s="118"/>
      <c r="M5145" s="111"/>
      <c r="N5145" s="117">
        <f t="shared" si="675"/>
        <v>0</v>
      </c>
      <c r="O5145" s="119">
        <f t="shared" si="676"/>
        <v>2</v>
      </c>
      <c r="P5145" s="120">
        <f t="shared" si="677"/>
        <v>9.8784000000000011E-2</v>
      </c>
      <c r="Q5145" s="33"/>
      <c r="R5145" s="32"/>
      <c r="S5145" s="32"/>
      <c r="T5145" s="32"/>
    </row>
    <row r="5146" spans="2:20" ht="15.6">
      <c r="B5146" s="110" t="s">
        <v>502</v>
      </c>
      <c r="C5146" s="111" t="s">
        <v>501</v>
      </c>
      <c r="D5146" s="112" t="s">
        <v>468</v>
      </c>
      <c r="E5146" s="113" t="s">
        <v>131</v>
      </c>
      <c r="F5146" s="114" t="s">
        <v>15</v>
      </c>
      <c r="G5146" s="115" t="s">
        <v>18</v>
      </c>
      <c r="H5146" s="116">
        <v>6.86</v>
      </c>
      <c r="I5146" s="125">
        <v>7.5</v>
      </c>
      <c r="J5146" s="111">
        <v>7</v>
      </c>
      <c r="K5146" s="117">
        <f t="shared" si="674"/>
        <v>0.36015000000000003</v>
      </c>
      <c r="L5146" s="118"/>
      <c r="M5146" s="111">
        <f>4+3</f>
        <v>7</v>
      </c>
      <c r="N5146" s="117">
        <f t="shared" si="675"/>
        <v>0.36015000000000003</v>
      </c>
      <c r="O5146" s="119">
        <f t="shared" si="676"/>
        <v>0</v>
      </c>
      <c r="P5146" s="120">
        <f t="shared" si="677"/>
        <v>0</v>
      </c>
      <c r="Q5146" s="98" t="s">
        <v>694</v>
      </c>
      <c r="R5146" s="91">
        <f>4+3</f>
        <v>7</v>
      </c>
      <c r="S5146" s="91" t="s">
        <v>631</v>
      </c>
      <c r="T5146" s="32"/>
    </row>
    <row r="5147" spans="2:20" ht="15.6">
      <c r="B5147" s="110" t="s">
        <v>502</v>
      </c>
      <c r="C5147" s="111" t="s">
        <v>501</v>
      </c>
      <c r="D5147" s="112" t="s">
        <v>468</v>
      </c>
      <c r="E5147" s="113" t="s">
        <v>131</v>
      </c>
      <c r="F5147" s="114" t="s">
        <v>15</v>
      </c>
      <c r="G5147" s="115" t="s">
        <v>18</v>
      </c>
      <c r="H5147" s="116">
        <v>6.86</v>
      </c>
      <c r="I5147" s="125">
        <v>6.9</v>
      </c>
      <c r="J5147" s="111">
        <v>1</v>
      </c>
      <c r="K5147" s="117">
        <f t="shared" si="674"/>
        <v>4.7334000000000001E-2</v>
      </c>
      <c r="L5147" s="118"/>
      <c r="M5147" s="111"/>
      <c r="N5147" s="117">
        <f t="shared" si="675"/>
        <v>0</v>
      </c>
      <c r="O5147" s="119">
        <f t="shared" si="676"/>
        <v>1</v>
      </c>
      <c r="P5147" s="120">
        <f t="shared" si="677"/>
        <v>4.7334000000000001E-2</v>
      </c>
      <c r="Q5147" s="33"/>
      <c r="R5147" s="32"/>
      <c r="S5147" s="32"/>
      <c r="T5147" s="32"/>
    </row>
    <row r="5148" spans="2:20" ht="15.6">
      <c r="B5148" s="110" t="s">
        <v>502</v>
      </c>
      <c r="C5148" s="111" t="s">
        <v>501</v>
      </c>
      <c r="D5148" s="112" t="s">
        <v>468</v>
      </c>
      <c r="E5148" s="113" t="s">
        <v>131</v>
      </c>
      <c r="F5148" s="114" t="s">
        <v>15</v>
      </c>
      <c r="G5148" s="115" t="s">
        <v>18</v>
      </c>
      <c r="H5148" s="116">
        <v>6.86</v>
      </c>
      <c r="I5148" s="125">
        <v>10.5</v>
      </c>
      <c r="J5148" s="111">
        <v>1</v>
      </c>
      <c r="K5148" s="117">
        <f t="shared" si="674"/>
        <v>7.2029999999999997E-2</v>
      </c>
      <c r="L5148" s="118"/>
      <c r="M5148" s="111"/>
      <c r="N5148" s="117">
        <f t="shared" si="675"/>
        <v>0</v>
      </c>
      <c r="O5148" s="119">
        <f t="shared" si="676"/>
        <v>1</v>
      </c>
      <c r="P5148" s="120">
        <f t="shared" si="677"/>
        <v>7.2029999999999997E-2</v>
      </c>
      <c r="Q5148" s="33"/>
      <c r="R5148" s="32"/>
      <c r="S5148" s="32"/>
      <c r="T5148" s="32"/>
    </row>
    <row r="5149" spans="2:20" ht="15.6">
      <c r="B5149" s="110" t="s">
        <v>502</v>
      </c>
      <c r="C5149" s="111" t="s">
        <v>501</v>
      </c>
      <c r="D5149" s="112" t="s">
        <v>468</v>
      </c>
      <c r="E5149" s="113" t="s">
        <v>131</v>
      </c>
      <c r="F5149" s="114" t="s">
        <v>15</v>
      </c>
      <c r="G5149" s="115" t="s">
        <v>18</v>
      </c>
      <c r="H5149" s="116">
        <v>6.86</v>
      </c>
      <c r="I5149" s="125">
        <v>10</v>
      </c>
      <c r="J5149" s="111">
        <v>45</v>
      </c>
      <c r="K5149" s="117">
        <f t="shared" si="674"/>
        <v>3.0870000000000006</v>
      </c>
      <c r="L5149" s="118"/>
      <c r="M5149" s="111">
        <f>24+21</f>
        <v>45</v>
      </c>
      <c r="N5149" s="117">
        <f t="shared" si="675"/>
        <v>3.0870000000000002</v>
      </c>
      <c r="O5149" s="119">
        <f t="shared" si="676"/>
        <v>0</v>
      </c>
      <c r="P5149" s="120">
        <f t="shared" si="677"/>
        <v>0</v>
      </c>
      <c r="Q5149" s="33"/>
      <c r="R5149" s="32"/>
      <c r="S5149" s="32"/>
      <c r="T5149" s="32"/>
    </row>
    <row r="5150" spans="2:20" ht="15.6">
      <c r="B5150" s="110" t="s">
        <v>502</v>
      </c>
      <c r="C5150" s="111" t="s">
        <v>501</v>
      </c>
      <c r="D5150" s="112" t="s">
        <v>468</v>
      </c>
      <c r="E5150" s="113" t="s">
        <v>131</v>
      </c>
      <c r="F5150" s="114" t="s">
        <v>15</v>
      </c>
      <c r="G5150" s="115" t="s">
        <v>18</v>
      </c>
      <c r="H5150" s="116">
        <v>6.86</v>
      </c>
      <c r="I5150" s="125">
        <v>11</v>
      </c>
      <c r="J5150" s="111">
        <v>7</v>
      </c>
      <c r="K5150" s="117">
        <f t="shared" si="674"/>
        <v>0.52822000000000002</v>
      </c>
      <c r="L5150" s="118"/>
      <c r="M5150" s="111">
        <f>4+3</f>
        <v>7</v>
      </c>
      <c r="N5150" s="117">
        <f t="shared" si="675"/>
        <v>0.52822000000000002</v>
      </c>
      <c r="O5150" s="119">
        <f t="shared" si="676"/>
        <v>0</v>
      </c>
      <c r="P5150" s="120">
        <f t="shared" si="677"/>
        <v>0</v>
      </c>
      <c r="Q5150" s="98">
        <v>11</v>
      </c>
      <c r="R5150" s="91">
        <v>7</v>
      </c>
      <c r="S5150" s="91" t="s">
        <v>631</v>
      </c>
      <c r="T5150" s="32"/>
    </row>
    <row r="5151" spans="2:20" ht="15.6">
      <c r="B5151" s="110" t="s">
        <v>502</v>
      </c>
      <c r="C5151" s="111" t="s">
        <v>501</v>
      </c>
      <c r="D5151" s="112" t="s">
        <v>468</v>
      </c>
      <c r="E5151" s="113" t="s">
        <v>131</v>
      </c>
      <c r="F5151" s="114" t="s">
        <v>15</v>
      </c>
      <c r="G5151" s="115" t="s">
        <v>18</v>
      </c>
      <c r="H5151" s="116">
        <v>6.86</v>
      </c>
      <c r="I5151" s="125">
        <v>11.5</v>
      </c>
      <c r="J5151" s="111">
        <v>2</v>
      </c>
      <c r="K5151" s="117">
        <f t="shared" si="674"/>
        <v>0.15778</v>
      </c>
      <c r="L5151" s="118"/>
      <c r="M5151" s="111"/>
      <c r="N5151" s="117">
        <f t="shared" si="675"/>
        <v>0</v>
      </c>
      <c r="O5151" s="119">
        <f t="shared" si="676"/>
        <v>2</v>
      </c>
      <c r="P5151" s="120">
        <f t="shared" si="677"/>
        <v>0.15778</v>
      </c>
      <c r="Q5151" s="32"/>
      <c r="R5151" s="32"/>
      <c r="S5151" s="32"/>
      <c r="T5151" s="32"/>
    </row>
    <row r="5152" spans="2:20" ht="15.6">
      <c r="B5152" s="110" t="s">
        <v>502</v>
      </c>
      <c r="C5152" s="111" t="s">
        <v>501</v>
      </c>
      <c r="D5152" s="112" t="s">
        <v>468</v>
      </c>
      <c r="E5152" s="113" t="s">
        <v>131</v>
      </c>
      <c r="F5152" s="114" t="s">
        <v>15</v>
      </c>
      <c r="G5152" s="115" t="s">
        <v>18</v>
      </c>
      <c r="H5152" s="116">
        <v>6.86</v>
      </c>
      <c r="I5152" s="125">
        <v>6.9</v>
      </c>
      <c r="J5152" s="111">
        <v>1</v>
      </c>
      <c r="K5152" s="117">
        <f t="shared" si="674"/>
        <v>4.7334000000000001E-2</v>
      </c>
      <c r="L5152" s="118"/>
      <c r="M5152" s="111">
        <v>1</v>
      </c>
      <c r="N5152" s="117">
        <f t="shared" si="675"/>
        <v>4.7334000000000001E-2</v>
      </c>
      <c r="O5152" s="119">
        <f t="shared" si="676"/>
        <v>0</v>
      </c>
      <c r="P5152" s="120">
        <f t="shared" si="677"/>
        <v>0</v>
      </c>
      <c r="Q5152" s="102">
        <v>6.6</v>
      </c>
      <c r="R5152" s="91">
        <v>1</v>
      </c>
      <c r="S5152" s="91" t="s">
        <v>631</v>
      </c>
      <c r="T5152" s="32"/>
    </row>
    <row r="5153" spans="1:20" ht="15.6">
      <c r="B5153" s="110" t="s">
        <v>502</v>
      </c>
      <c r="C5153" s="111" t="s">
        <v>501</v>
      </c>
      <c r="D5153" s="112" t="s">
        <v>468</v>
      </c>
      <c r="E5153" s="113" t="s">
        <v>131</v>
      </c>
      <c r="F5153" s="114" t="s">
        <v>15</v>
      </c>
      <c r="G5153" s="115" t="s">
        <v>18</v>
      </c>
      <c r="H5153" s="116">
        <v>6.86</v>
      </c>
      <c r="I5153" s="126">
        <v>7.3</v>
      </c>
      <c r="J5153" s="111">
        <v>1</v>
      </c>
      <c r="K5153" s="117">
        <f t="shared" si="674"/>
        <v>5.0078000000000004E-2</v>
      </c>
      <c r="L5153" s="118"/>
      <c r="M5153" s="111">
        <v>1</v>
      </c>
      <c r="N5153" s="117">
        <f t="shared" si="675"/>
        <v>5.0078000000000004E-2</v>
      </c>
      <c r="O5153" s="119">
        <f t="shared" si="676"/>
        <v>0</v>
      </c>
      <c r="P5153" s="120">
        <f t="shared" si="677"/>
        <v>0</v>
      </c>
      <c r="Q5153" s="102">
        <v>7.3</v>
      </c>
      <c r="R5153" s="91">
        <v>1</v>
      </c>
      <c r="S5153" s="91" t="s">
        <v>631</v>
      </c>
      <c r="T5153" s="32"/>
    </row>
    <row r="5154" spans="1:20" ht="15.6">
      <c r="B5154" s="110" t="s">
        <v>502</v>
      </c>
      <c r="C5154" s="111" t="s">
        <v>501</v>
      </c>
      <c r="D5154" s="112" t="s">
        <v>468</v>
      </c>
      <c r="E5154" s="113" t="s">
        <v>131</v>
      </c>
      <c r="F5154" s="114" t="s">
        <v>15</v>
      </c>
      <c r="G5154" s="115" t="s">
        <v>18</v>
      </c>
      <c r="H5154" s="116">
        <v>6.86</v>
      </c>
      <c r="I5154" s="126">
        <v>7.5</v>
      </c>
      <c r="J5154" s="111">
        <v>7</v>
      </c>
      <c r="K5154" s="117">
        <f t="shared" si="674"/>
        <v>0.36015000000000003</v>
      </c>
      <c r="L5154" s="118"/>
      <c r="M5154" s="111">
        <v>7</v>
      </c>
      <c r="N5154" s="117">
        <f t="shared" si="675"/>
        <v>0.36015000000000003</v>
      </c>
      <c r="O5154" s="119">
        <f t="shared" si="676"/>
        <v>0</v>
      </c>
      <c r="P5154" s="120">
        <f t="shared" si="677"/>
        <v>0</v>
      </c>
      <c r="Q5154" s="102">
        <v>6.6</v>
      </c>
      <c r="R5154" s="91">
        <v>7</v>
      </c>
      <c r="S5154" s="91" t="s">
        <v>631</v>
      </c>
      <c r="T5154" s="32"/>
    </row>
    <row r="5155" spans="1:20" ht="15.6">
      <c r="B5155" s="110" t="s">
        <v>502</v>
      </c>
      <c r="C5155" s="111" t="s">
        <v>501</v>
      </c>
      <c r="D5155" s="112" t="s">
        <v>468</v>
      </c>
      <c r="E5155" s="113" t="s">
        <v>131</v>
      </c>
      <c r="F5155" s="114" t="s">
        <v>15</v>
      </c>
      <c r="G5155" s="115" t="s">
        <v>18</v>
      </c>
      <c r="H5155" s="116">
        <v>6.86</v>
      </c>
      <c r="I5155" s="126">
        <v>8</v>
      </c>
      <c r="J5155" s="111">
        <v>9</v>
      </c>
      <c r="K5155" s="117">
        <f t="shared" si="674"/>
        <v>0.49392000000000003</v>
      </c>
      <c r="L5155" s="118"/>
      <c r="M5155" s="111">
        <v>9</v>
      </c>
      <c r="N5155" s="117">
        <f t="shared" si="675"/>
        <v>0.49392000000000003</v>
      </c>
      <c r="O5155" s="119">
        <f t="shared" si="676"/>
        <v>0</v>
      </c>
      <c r="P5155" s="120">
        <f t="shared" si="677"/>
        <v>0</v>
      </c>
      <c r="Q5155" s="102">
        <v>6.6</v>
      </c>
      <c r="R5155" s="91">
        <v>9</v>
      </c>
      <c r="S5155" s="91" t="s">
        <v>631</v>
      </c>
      <c r="T5155" s="32"/>
    </row>
    <row r="5156" spans="1:20" ht="15.6">
      <c r="B5156" s="110" t="s">
        <v>502</v>
      </c>
      <c r="C5156" s="111" t="s">
        <v>501</v>
      </c>
      <c r="D5156" s="112" t="s">
        <v>468</v>
      </c>
      <c r="E5156" s="113" t="s">
        <v>131</v>
      </c>
      <c r="F5156" s="114" t="s">
        <v>15</v>
      </c>
      <c r="G5156" s="115" t="s">
        <v>18</v>
      </c>
      <c r="H5156" s="116">
        <v>6.86</v>
      </c>
      <c r="I5156" s="126">
        <v>8.5</v>
      </c>
      <c r="J5156" s="111">
        <v>4</v>
      </c>
      <c r="K5156" s="117">
        <f t="shared" si="674"/>
        <v>0.23324</v>
      </c>
      <c r="L5156" s="118"/>
      <c r="M5156" s="111"/>
      <c r="N5156" s="117">
        <f t="shared" si="675"/>
        <v>0</v>
      </c>
      <c r="O5156" s="119">
        <f t="shared" si="676"/>
        <v>4</v>
      </c>
      <c r="P5156" s="120">
        <f t="shared" si="677"/>
        <v>0.23324</v>
      </c>
      <c r="Q5156" s="32"/>
      <c r="R5156" s="32"/>
      <c r="S5156" s="32"/>
      <c r="T5156" s="32"/>
    </row>
    <row r="5157" spans="1:20" ht="15.6">
      <c r="B5157" s="110" t="s">
        <v>502</v>
      </c>
      <c r="C5157" s="111" t="s">
        <v>501</v>
      </c>
      <c r="D5157" s="112" t="s">
        <v>468</v>
      </c>
      <c r="E5157" s="113" t="s">
        <v>131</v>
      </c>
      <c r="F5157" s="114" t="s">
        <v>15</v>
      </c>
      <c r="G5157" s="115" t="s">
        <v>18</v>
      </c>
      <c r="H5157" s="116">
        <v>6.86</v>
      </c>
      <c r="I5157" s="126">
        <v>8.1999999999999993</v>
      </c>
      <c r="J5157" s="111">
        <v>1</v>
      </c>
      <c r="K5157" s="117">
        <f t="shared" si="674"/>
        <v>5.6251999999999996E-2</v>
      </c>
      <c r="L5157" s="118"/>
      <c r="M5157" s="111"/>
      <c r="N5157" s="117">
        <f t="shared" si="675"/>
        <v>0</v>
      </c>
      <c r="O5157" s="119">
        <f t="shared" si="676"/>
        <v>1</v>
      </c>
      <c r="P5157" s="120">
        <f t="shared" si="677"/>
        <v>5.6251999999999996E-2</v>
      </c>
      <c r="Q5157" s="32"/>
      <c r="R5157" s="32"/>
      <c r="S5157" s="32"/>
      <c r="T5157" s="32"/>
    </row>
    <row r="5158" spans="1:20" ht="15.6">
      <c r="B5158" s="110" t="s">
        <v>502</v>
      </c>
      <c r="C5158" s="111" t="s">
        <v>501</v>
      </c>
      <c r="D5158" s="112" t="s">
        <v>468</v>
      </c>
      <c r="E5158" s="113" t="s">
        <v>131</v>
      </c>
      <c r="F5158" s="114" t="s">
        <v>15</v>
      </c>
      <c r="G5158" s="115" t="s">
        <v>18</v>
      </c>
      <c r="H5158" s="116">
        <v>6.86</v>
      </c>
      <c r="I5158" s="126">
        <v>8.8000000000000007</v>
      </c>
      <c r="J5158" s="111">
        <v>1</v>
      </c>
      <c r="K5158" s="117">
        <f t="shared" si="674"/>
        <v>6.0368000000000012E-2</v>
      </c>
      <c r="L5158" s="118"/>
      <c r="M5158" s="111"/>
      <c r="N5158" s="117">
        <f t="shared" si="675"/>
        <v>0</v>
      </c>
      <c r="O5158" s="119">
        <f t="shared" si="676"/>
        <v>1</v>
      </c>
      <c r="P5158" s="120">
        <f t="shared" si="677"/>
        <v>6.0368000000000012E-2</v>
      </c>
      <c r="Q5158" s="32"/>
      <c r="R5158" s="32"/>
      <c r="S5158" s="32"/>
      <c r="T5158" s="32"/>
    </row>
    <row r="5159" spans="1:20" ht="15.6">
      <c r="B5159" s="110" t="s">
        <v>502</v>
      </c>
      <c r="C5159" s="111" t="s">
        <v>501</v>
      </c>
      <c r="D5159" s="112" t="s">
        <v>468</v>
      </c>
      <c r="E5159" s="113" t="s">
        <v>131</v>
      </c>
      <c r="F5159" s="114" t="s">
        <v>15</v>
      </c>
      <c r="G5159" s="115" t="s">
        <v>18</v>
      </c>
      <c r="H5159" s="116">
        <v>6.86</v>
      </c>
      <c r="I5159" s="126">
        <v>8.5</v>
      </c>
      <c r="J5159" s="111">
        <v>1</v>
      </c>
      <c r="K5159" s="117">
        <f t="shared" si="674"/>
        <v>5.8310000000000001E-2</v>
      </c>
      <c r="L5159" s="118"/>
      <c r="M5159" s="111"/>
      <c r="N5159" s="117">
        <f t="shared" si="675"/>
        <v>0</v>
      </c>
      <c r="O5159" s="119">
        <f t="shared" si="676"/>
        <v>1</v>
      </c>
      <c r="P5159" s="120">
        <f t="shared" si="677"/>
        <v>5.8310000000000001E-2</v>
      </c>
      <c r="Q5159" s="32"/>
      <c r="R5159" s="32"/>
      <c r="S5159" s="32"/>
      <c r="T5159" s="32"/>
    </row>
    <row r="5160" spans="1:20" ht="15.6">
      <c r="B5160" s="110" t="s">
        <v>502</v>
      </c>
      <c r="C5160" s="111" t="s">
        <v>501</v>
      </c>
      <c r="D5160" s="112" t="s">
        <v>468</v>
      </c>
      <c r="E5160" s="113" t="s">
        <v>131</v>
      </c>
      <c r="F5160" s="114" t="s">
        <v>15</v>
      </c>
      <c r="G5160" s="115" t="s">
        <v>18</v>
      </c>
      <c r="H5160" s="116">
        <v>6.86</v>
      </c>
      <c r="I5160" s="126">
        <v>8.1999999999999993</v>
      </c>
      <c r="J5160" s="111">
        <v>2</v>
      </c>
      <c r="K5160" s="117">
        <f t="shared" si="674"/>
        <v>0.11250399999999999</v>
      </c>
      <c r="L5160" s="118"/>
      <c r="M5160" s="111"/>
      <c r="N5160" s="117">
        <f t="shared" si="675"/>
        <v>0</v>
      </c>
      <c r="O5160" s="119">
        <f t="shared" si="676"/>
        <v>2</v>
      </c>
      <c r="P5160" s="120">
        <f t="shared" si="677"/>
        <v>0.11250399999999999</v>
      </c>
      <c r="Q5160" s="32"/>
      <c r="R5160" s="32"/>
      <c r="S5160" s="32"/>
      <c r="T5160" s="32"/>
    </row>
    <row r="5161" spans="1:20" ht="15.6">
      <c r="B5161" s="110" t="s">
        <v>502</v>
      </c>
      <c r="C5161" s="111" t="s">
        <v>501</v>
      </c>
      <c r="D5161" s="112" t="s">
        <v>468</v>
      </c>
      <c r="E5161" s="113" t="s">
        <v>131</v>
      </c>
      <c r="F5161" s="114" t="s">
        <v>15</v>
      </c>
      <c r="G5161" s="115" t="s">
        <v>18</v>
      </c>
      <c r="H5161" s="116">
        <v>6.86</v>
      </c>
      <c r="I5161" s="126">
        <v>8.1</v>
      </c>
      <c r="J5161" s="111">
        <v>2</v>
      </c>
      <c r="K5161" s="117">
        <f t="shared" si="674"/>
        <v>0.11113200000000001</v>
      </c>
      <c r="L5161" s="118"/>
      <c r="M5161" s="111"/>
      <c r="N5161" s="117">
        <f t="shared" si="675"/>
        <v>0</v>
      </c>
      <c r="O5161" s="119">
        <f t="shared" si="676"/>
        <v>2</v>
      </c>
      <c r="P5161" s="120">
        <f t="shared" si="677"/>
        <v>0.11113200000000001</v>
      </c>
      <c r="Q5161" s="32"/>
      <c r="R5161" s="32"/>
      <c r="S5161" s="32"/>
      <c r="T5161" s="32"/>
    </row>
    <row r="5162" spans="1:20" ht="15.6">
      <c r="B5162" s="110" t="s">
        <v>502</v>
      </c>
      <c r="C5162" s="111" t="s">
        <v>501</v>
      </c>
      <c r="D5162" s="112" t="s">
        <v>468</v>
      </c>
      <c r="E5162" s="113" t="s">
        <v>131</v>
      </c>
      <c r="F5162" s="114" t="s">
        <v>15</v>
      </c>
      <c r="G5162" s="115" t="s">
        <v>18</v>
      </c>
      <c r="H5162" s="116">
        <v>6.86</v>
      </c>
      <c r="I5162" s="126">
        <v>7.5</v>
      </c>
      <c r="J5162" s="111">
        <v>1</v>
      </c>
      <c r="K5162" s="117">
        <f t="shared" si="674"/>
        <v>5.1450000000000003E-2</v>
      </c>
      <c r="L5162" s="118"/>
      <c r="M5162" s="111"/>
      <c r="N5162" s="117">
        <f t="shared" si="675"/>
        <v>0</v>
      </c>
      <c r="O5162" s="119">
        <f t="shared" si="676"/>
        <v>1</v>
      </c>
      <c r="P5162" s="120">
        <f t="shared" si="677"/>
        <v>5.1450000000000003E-2</v>
      </c>
      <c r="Q5162" s="32"/>
      <c r="R5162" s="32"/>
      <c r="S5162" s="32"/>
      <c r="T5162" s="32"/>
    </row>
    <row r="5163" spans="1:20">
      <c r="B5163" s="213"/>
      <c r="C5163" s="213"/>
      <c r="D5163" s="213"/>
      <c r="E5163" s="213"/>
      <c r="F5163" s="213"/>
      <c r="G5163" s="213"/>
      <c r="H5163" s="213"/>
      <c r="I5163" s="213"/>
      <c r="J5163" s="215">
        <f>SUM(J5135:J5162)</f>
        <v>993</v>
      </c>
      <c r="K5163" s="128">
        <f>SUM(K5135:K5162)</f>
        <v>72.436798000000024</v>
      </c>
      <c r="L5163" s="213"/>
      <c r="M5163" s="215">
        <f>SUM(M5135:M5162)</f>
        <v>842</v>
      </c>
      <c r="N5163" s="128">
        <f>SUM(N5135:N5162)</f>
        <v>62.856122000000006</v>
      </c>
      <c r="O5163" s="215">
        <f>SUM(O5135:O5162)</f>
        <v>151</v>
      </c>
      <c r="P5163" s="128">
        <f>SUM(P5135:P5162)</f>
        <v>9.5806760000000022</v>
      </c>
      <c r="Q5163" s="213"/>
      <c r="R5163" s="215">
        <f>SUM(R5135:R5162)</f>
        <v>37</v>
      </c>
      <c r="S5163" s="213"/>
      <c r="T5163" s="213"/>
    </row>
    <row r="5166" spans="1:20">
      <c r="A5166" s="42" t="s">
        <v>77</v>
      </c>
      <c r="B5166" s="3" t="s">
        <v>68</v>
      </c>
      <c r="C5166" s="3">
        <v>2</v>
      </c>
      <c r="D5166" s="20" t="s">
        <v>17</v>
      </c>
      <c r="E5166" s="7" t="s">
        <v>15</v>
      </c>
      <c r="F5166" s="7" t="s">
        <v>27</v>
      </c>
      <c r="G5166" s="11">
        <v>6.17</v>
      </c>
      <c r="H5166" s="8">
        <v>7.25</v>
      </c>
      <c r="I5166" s="26">
        <v>2</v>
      </c>
      <c r="J5166" s="10">
        <v>8.9465000000000003E-2</v>
      </c>
      <c r="K5166" s="17">
        <v>2</v>
      </c>
      <c r="L5166" s="18">
        <v>8.9465000000000003E-2</v>
      </c>
      <c r="M5166" s="19">
        <v>0</v>
      </c>
      <c r="N5166" s="13">
        <v>0</v>
      </c>
      <c r="O5166" s="92"/>
      <c r="P5166" s="47">
        <v>2</v>
      </c>
      <c r="Q5166" s="47" t="s">
        <v>700</v>
      </c>
    </row>
    <row r="5167" spans="1:20">
      <c r="A5167" s="42" t="s">
        <v>78</v>
      </c>
      <c r="B5167" s="3"/>
      <c r="C5167" s="3">
        <v>39</v>
      </c>
      <c r="D5167" s="464" t="s">
        <v>17</v>
      </c>
      <c r="E5167" s="362" t="s">
        <v>15</v>
      </c>
      <c r="F5167" s="362" t="s">
        <v>27</v>
      </c>
      <c r="G5167" s="465">
        <v>6.17</v>
      </c>
      <c r="H5167" s="57">
        <v>9</v>
      </c>
      <c r="I5167" s="56">
        <v>3</v>
      </c>
      <c r="J5167" s="466">
        <v>0.16659000000000002</v>
      </c>
      <c r="K5167" s="335">
        <v>3</v>
      </c>
      <c r="L5167" s="84">
        <v>0.16659000000000002</v>
      </c>
      <c r="M5167" s="106">
        <v>0</v>
      </c>
      <c r="N5167" s="53">
        <v>0</v>
      </c>
      <c r="O5167" s="92"/>
      <c r="P5167" s="47">
        <v>3</v>
      </c>
      <c r="Q5167" s="47" t="s">
        <v>700</v>
      </c>
    </row>
    <row r="5168" spans="1:20">
      <c r="A5168" s="42" t="s">
        <v>78</v>
      </c>
      <c r="B5168" s="3"/>
      <c r="C5168" s="3">
        <v>39</v>
      </c>
      <c r="D5168" s="464" t="s">
        <v>17</v>
      </c>
      <c r="E5168" s="362" t="s">
        <v>15</v>
      </c>
      <c r="F5168" s="362" t="s">
        <v>27</v>
      </c>
      <c r="G5168" s="465">
        <v>6.17</v>
      </c>
      <c r="H5168" s="57">
        <v>8.8000000000000007</v>
      </c>
      <c r="I5168" s="56">
        <v>1</v>
      </c>
      <c r="J5168" s="466">
        <v>5.4296000000000004E-2</v>
      </c>
      <c r="K5168" s="335">
        <v>1</v>
      </c>
      <c r="L5168" s="84">
        <v>5.4296000000000004E-2</v>
      </c>
      <c r="M5168" s="106">
        <v>0</v>
      </c>
      <c r="N5168" s="53">
        <v>0</v>
      </c>
      <c r="O5168" s="92"/>
      <c r="P5168" s="47">
        <v>1</v>
      </c>
      <c r="Q5168" s="47" t="s">
        <v>700</v>
      </c>
    </row>
    <row r="5169" spans="1:17">
      <c r="A5169" s="42" t="s">
        <v>78</v>
      </c>
      <c r="B5169" s="3"/>
      <c r="C5169" s="3">
        <v>39</v>
      </c>
      <c r="D5169" s="464" t="s">
        <v>17</v>
      </c>
      <c r="E5169" s="362" t="s">
        <v>15</v>
      </c>
      <c r="F5169" s="362" t="s">
        <v>27</v>
      </c>
      <c r="G5169" s="465">
        <v>6.17</v>
      </c>
      <c r="H5169" s="57">
        <v>7.5</v>
      </c>
      <c r="I5169" s="56">
        <v>1</v>
      </c>
      <c r="J5169" s="466">
        <v>4.6274999999999997E-2</v>
      </c>
      <c r="K5169" s="335">
        <v>1</v>
      </c>
      <c r="L5169" s="84">
        <v>4.6274999999999997E-2</v>
      </c>
      <c r="M5169" s="106">
        <v>0</v>
      </c>
      <c r="N5169" s="53">
        <v>0</v>
      </c>
      <c r="O5169" s="92"/>
      <c r="P5169" s="47">
        <v>1</v>
      </c>
      <c r="Q5169" s="47" t="s">
        <v>700</v>
      </c>
    </row>
    <row r="5170" spans="1:17">
      <c r="A5170" s="42" t="s">
        <v>78</v>
      </c>
      <c r="B5170" s="3"/>
      <c r="C5170" s="3">
        <v>39</v>
      </c>
      <c r="D5170" s="464" t="s">
        <v>17</v>
      </c>
      <c r="E5170" s="362" t="s">
        <v>15</v>
      </c>
      <c r="F5170" s="362" t="s">
        <v>27</v>
      </c>
      <c r="G5170" s="465">
        <v>6.17</v>
      </c>
      <c r="H5170" s="57">
        <v>7</v>
      </c>
      <c r="I5170" s="56">
        <v>1</v>
      </c>
      <c r="J5170" s="466">
        <v>4.3189999999999999E-2</v>
      </c>
      <c r="K5170" s="335">
        <v>1</v>
      </c>
      <c r="L5170" s="84">
        <v>4.3189999999999999E-2</v>
      </c>
      <c r="M5170" s="106">
        <v>0</v>
      </c>
      <c r="N5170" s="53">
        <v>0</v>
      </c>
      <c r="O5170" s="92"/>
      <c r="P5170" s="47">
        <v>1</v>
      </c>
      <c r="Q5170" s="47" t="s">
        <v>700</v>
      </c>
    </row>
    <row r="5171" spans="1:17">
      <c r="A5171" s="42" t="s">
        <v>78</v>
      </c>
      <c r="B5171" s="3"/>
      <c r="C5171" s="3">
        <v>10</v>
      </c>
      <c r="D5171" s="20" t="s">
        <v>17</v>
      </c>
      <c r="E5171" s="7" t="s">
        <v>15</v>
      </c>
      <c r="F5171" s="7" t="s">
        <v>27</v>
      </c>
      <c r="G5171" s="11">
        <v>6.17</v>
      </c>
      <c r="H5171" s="8">
        <v>5.5</v>
      </c>
      <c r="I5171" s="26">
        <v>1</v>
      </c>
      <c r="J5171" s="10">
        <v>3.3935E-2</v>
      </c>
      <c r="K5171" s="17">
        <v>1</v>
      </c>
      <c r="L5171" s="18">
        <v>3.3935E-2</v>
      </c>
      <c r="M5171" s="19">
        <v>0</v>
      </c>
      <c r="N5171" s="13">
        <v>0</v>
      </c>
      <c r="O5171" s="92"/>
      <c r="P5171" s="47">
        <v>1</v>
      </c>
      <c r="Q5171" s="47" t="s">
        <v>700</v>
      </c>
    </row>
    <row r="5172" spans="1:17">
      <c r="A5172" s="42" t="s">
        <v>78</v>
      </c>
      <c r="B5172" s="3"/>
      <c r="C5172" s="3">
        <v>10</v>
      </c>
      <c r="D5172" s="20" t="s">
        <v>17</v>
      </c>
      <c r="E5172" s="7" t="s">
        <v>15</v>
      </c>
      <c r="F5172" s="7" t="s">
        <v>27</v>
      </c>
      <c r="G5172" s="11">
        <v>6.17</v>
      </c>
      <c r="H5172" s="8">
        <v>5.85</v>
      </c>
      <c r="I5172" s="26">
        <v>1</v>
      </c>
      <c r="J5172" s="10">
        <v>3.6094499999999995E-2</v>
      </c>
      <c r="K5172" s="17">
        <v>1</v>
      </c>
      <c r="L5172" s="18">
        <v>3.6094499999999995E-2</v>
      </c>
      <c r="M5172" s="19">
        <v>0</v>
      </c>
      <c r="N5172" s="13">
        <v>0</v>
      </c>
      <c r="O5172" s="92"/>
      <c r="P5172" s="47">
        <v>1</v>
      </c>
      <c r="Q5172" s="47" t="s">
        <v>700</v>
      </c>
    </row>
    <row r="5173" spans="1:17">
      <c r="A5173" s="42" t="s">
        <v>78</v>
      </c>
      <c r="B5173" s="3"/>
      <c r="C5173" s="3">
        <v>10</v>
      </c>
      <c r="D5173" s="20" t="s">
        <v>17</v>
      </c>
      <c r="E5173" s="7" t="s">
        <v>15</v>
      </c>
      <c r="F5173" s="7" t="s">
        <v>27</v>
      </c>
      <c r="G5173" s="11">
        <v>6.17</v>
      </c>
      <c r="H5173" s="8">
        <v>6</v>
      </c>
      <c r="I5173" s="26">
        <v>1</v>
      </c>
      <c r="J5173" s="10">
        <v>3.7019999999999997E-2</v>
      </c>
      <c r="K5173" s="22">
        <v>1</v>
      </c>
      <c r="L5173" s="18">
        <v>3.7019999999999997E-2</v>
      </c>
      <c r="M5173" s="19">
        <v>0</v>
      </c>
      <c r="N5173" s="13">
        <v>0</v>
      </c>
      <c r="O5173" s="92"/>
      <c r="P5173" s="47">
        <v>1</v>
      </c>
      <c r="Q5173" s="47" t="s">
        <v>700</v>
      </c>
    </row>
    <row r="5174" spans="1:17">
      <c r="A5174" s="42" t="s">
        <v>78</v>
      </c>
      <c r="B5174" s="3"/>
      <c r="C5174" s="3">
        <v>10</v>
      </c>
      <c r="D5174" s="20" t="s">
        <v>17</v>
      </c>
      <c r="E5174" s="7" t="s">
        <v>15</v>
      </c>
      <c r="F5174" s="7" t="s">
        <v>27</v>
      </c>
      <c r="G5174" s="11">
        <v>6.17</v>
      </c>
      <c r="H5174" s="8">
        <v>6.75</v>
      </c>
      <c r="I5174" s="26">
        <v>1</v>
      </c>
      <c r="J5174" s="10">
        <v>4.1647500000000004E-2</v>
      </c>
      <c r="K5174" s="22">
        <v>1</v>
      </c>
      <c r="L5174" s="18">
        <v>4.1647500000000004E-2</v>
      </c>
      <c r="M5174" s="19">
        <v>0</v>
      </c>
      <c r="N5174" s="13">
        <v>0</v>
      </c>
      <c r="O5174" s="92"/>
      <c r="P5174" s="47">
        <v>1</v>
      </c>
      <c r="Q5174" s="47" t="s">
        <v>700</v>
      </c>
    </row>
    <row r="5175" spans="1:17">
      <c r="A5175" s="42" t="s">
        <v>78</v>
      </c>
      <c r="B5175" s="3"/>
      <c r="C5175" s="3">
        <v>19</v>
      </c>
      <c r="D5175" s="20" t="s">
        <v>17</v>
      </c>
      <c r="E5175" s="7" t="s">
        <v>15</v>
      </c>
      <c r="F5175" s="7" t="s">
        <v>27</v>
      </c>
      <c r="G5175" s="11">
        <v>6.17</v>
      </c>
      <c r="H5175" s="8">
        <v>6</v>
      </c>
      <c r="I5175" s="26">
        <v>1</v>
      </c>
      <c r="J5175" s="10">
        <v>3.7019999999999997E-2</v>
      </c>
      <c r="K5175" s="17">
        <v>1</v>
      </c>
      <c r="L5175" s="18">
        <v>3.7019999999999997E-2</v>
      </c>
      <c r="M5175" s="19">
        <v>0</v>
      </c>
      <c r="N5175" s="13">
        <v>0</v>
      </c>
      <c r="O5175" s="92"/>
      <c r="P5175" s="47">
        <v>1</v>
      </c>
      <c r="Q5175" s="47" t="s">
        <v>700</v>
      </c>
    </row>
    <row r="5176" spans="1:17">
      <c r="A5176" s="42" t="s">
        <v>84</v>
      </c>
      <c r="B5176" s="3" t="s">
        <v>120</v>
      </c>
      <c r="C5176" s="3">
        <v>1</v>
      </c>
      <c r="D5176" s="20" t="s">
        <v>114</v>
      </c>
      <c r="E5176" s="7" t="s">
        <v>15</v>
      </c>
      <c r="F5176" s="7" t="s">
        <v>27</v>
      </c>
      <c r="G5176" s="11">
        <v>6.17</v>
      </c>
      <c r="H5176" s="8">
        <v>9.4</v>
      </c>
      <c r="I5176" s="26">
        <v>1</v>
      </c>
      <c r="J5176" s="10">
        <v>5.7998000000000008E-2</v>
      </c>
      <c r="K5176" s="17">
        <v>1</v>
      </c>
      <c r="L5176" s="18">
        <v>5.7998000000000008E-2</v>
      </c>
      <c r="M5176" s="19">
        <v>0</v>
      </c>
      <c r="N5176" s="13">
        <v>0</v>
      </c>
      <c r="O5176" s="92"/>
      <c r="P5176" s="47">
        <v>1</v>
      </c>
      <c r="Q5176" s="47" t="s">
        <v>700</v>
      </c>
    </row>
    <row r="5177" spans="1:17">
      <c r="A5177" s="42" t="s">
        <v>84</v>
      </c>
      <c r="B5177" s="3" t="s">
        <v>120</v>
      </c>
      <c r="C5177" s="3">
        <v>1</v>
      </c>
      <c r="D5177" s="20" t="s">
        <v>114</v>
      </c>
      <c r="E5177" s="7" t="s">
        <v>15</v>
      </c>
      <c r="F5177" s="7" t="s">
        <v>27</v>
      </c>
      <c r="G5177" s="11">
        <v>6.17</v>
      </c>
      <c r="H5177" s="8">
        <v>8.5</v>
      </c>
      <c r="I5177" s="26">
        <v>1</v>
      </c>
      <c r="J5177" s="10">
        <v>5.2444999999999999E-2</v>
      </c>
      <c r="K5177" s="17">
        <v>1</v>
      </c>
      <c r="L5177" s="18">
        <v>5.2444999999999999E-2</v>
      </c>
      <c r="M5177" s="19">
        <v>0</v>
      </c>
      <c r="N5177" s="13">
        <v>0</v>
      </c>
      <c r="O5177" s="92">
        <v>8.5</v>
      </c>
      <c r="P5177" s="47">
        <v>1</v>
      </c>
      <c r="Q5177" s="47" t="s">
        <v>699</v>
      </c>
    </row>
    <row r="5178" spans="1:17">
      <c r="A5178" s="42" t="s">
        <v>90</v>
      </c>
      <c r="B5178" s="48" t="s">
        <v>148</v>
      </c>
      <c r="C5178" s="32">
        <v>38</v>
      </c>
      <c r="D5178" s="48" t="s">
        <v>20</v>
      </c>
      <c r="E5178" s="48" t="s">
        <v>15</v>
      </c>
      <c r="F5178" s="48" t="s">
        <v>27</v>
      </c>
      <c r="G5178" s="11">
        <v>6.17</v>
      </c>
      <c r="H5178" s="8">
        <v>5.5</v>
      </c>
      <c r="I5178" s="7">
        <v>1</v>
      </c>
      <c r="J5178" s="10">
        <v>3.3935E-2</v>
      </c>
      <c r="K5178" s="32">
        <v>1</v>
      </c>
      <c r="L5178" s="18">
        <v>3.3935E-2</v>
      </c>
      <c r="M5178" s="19">
        <v>0</v>
      </c>
      <c r="N5178" s="13">
        <v>0</v>
      </c>
      <c r="O5178" s="93"/>
      <c r="P5178" s="93">
        <v>1</v>
      </c>
      <c r="Q5178" s="47" t="s">
        <v>700</v>
      </c>
    </row>
    <row r="5179" spans="1:17">
      <c r="A5179" s="42" t="s">
        <v>90</v>
      </c>
      <c r="B5179" s="48" t="s">
        <v>148</v>
      </c>
      <c r="C5179" s="32">
        <v>38</v>
      </c>
      <c r="D5179" s="48" t="s">
        <v>20</v>
      </c>
      <c r="E5179" s="48" t="s">
        <v>15</v>
      </c>
      <c r="F5179" s="48" t="s">
        <v>27</v>
      </c>
      <c r="G5179" s="11">
        <v>6.17</v>
      </c>
      <c r="H5179" s="8">
        <v>5.4</v>
      </c>
      <c r="I5179" s="7">
        <v>1</v>
      </c>
      <c r="J5179" s="10">
        <v>3.3318000000000007E-2</v>
      </c>
      <c r="K5179" s="32">
        <v>1</v>
      </c>
      <c r="L5179" s="18">
        <v>3.3318000000000007E-2</v>
      </c>
      <c r="M5179" s="19">
        <v>0</v>
      </c>
      <c r="N5179" s="13">
        <v>0</v>
      </c>
      <c r="O5179" s="93"/>
      <c r="P5179" s="93">
        <v>1</v>
      </c>
      <c r="Q5179" s="47" t="s">
        <v>700</v>
      </c>
    </row>
    <row r="5180" spans="1:17">
      <c r="A5180" s="42" t="s">
        <v>90</v>
      </c>
      <c r="B5180" s="48" t="s">
        <v>148</v>
      </c>
      <c r="C5180" s="32">
        <v>48</v>
      </c>
      <c r="D5180" s="69" t="s">
        <v>20</v>
      </c>
      <c r="E5180" s="48" t="s">
        <v>15</v>
      </c>
      <c r="F5180" s="48" t="s">
        <v>27</v>
      </c>
      <c r="G5180" s="11">
        <v>6.17</v>
      </c>
      <c r="H5180" s="8">
        <v>12</v>
      </c>
      <c r="I5180" s="7">
        <v>7</v>
      </c>
      <c r="J5180" s="10">
        <v>0.51827999999999996</v>
      </c>
      <c r="K5180" s="32">
        <v>7</v>
      </c>
      <c r="L5180" s="18">
        <v>0.51827999999999996</v>
      </c>
      <c r="M5180" s="19">
        <v>0</v>
      </c>
      <c r="N5180" s="13">
        <v>0</v>
      </c>
      <c r="O5180" s="93">
        <v>11.5</v>
      </c>
      <c r="P5180" s="93">
        <v>7</v>
      </c>
      <c r="Q5180" s="47" t="s">
        <v>699</v>
      </c>
    </row>
    <row r="5181" spans="1:17">
      <c r="A5181" s="42" t="s">
        <v>90</v>
      </c>
      <c r="B5181" s="48" t="s">
        <v>148</v>
      </c>
      <c r="C5181" s="32">
        <v>48</v>
      </c>
      <c r="D5181" s="48" t="s">
        <v>20</v>
      </c>
      <c r="E5181" s="48" t="s">
        <v>15</v>
      </c>
      <c r="F5181" s="48" t="s">
        <v>27</v>
      </c>
      <c r="G5181" s="11">
        <v>6.17</v>
      </c>
      <c r="H5181" s="8">
        <v>9.4499999999999993</v>
      </c>
      <c r="I5181" s="7">
        <v>1</v>
      </c>
      <c r="J5181" s="10">
        <v>5.830649999999999E-2</v>
      </c>
      <c r="K5181" s="32">
        <v>1</v>
      </c>
      <c r="L5181" s="18">
        <v>5.830649999999999E-2</v>
      </c>
      <c r="M5181" s="19">
        <v>0</v>
      </c>
      <c r="N5181" s="13">
        <v>0</v>
      </c>
      <c r="O5181" s="93">
        <v>8.5</v>
      </c>
      <c r="P5181" s="93">
        <v>1</v>
      </c>
      <c r="Q5181" s="47" t="s">
        <v>699</v>
      </c>
    </row>
    <row r="5182" spans="1:17">
      <c r="A5182" s="42" t="s">
        <v>90</v>
      </c>
      <c r="B5182" s="48" t="s">
        <v>148</v>
      </c>
      <c r="C5182" s="32">
        <v>53</v>
      </c>
      <c r="D5182" s="48" t="s">
        <v>20</v>
      </c>
      <c r="E5182" s="48" t="s">
        <v>15</v>
      </c>
      <c r="F5182" s="48" t="s">
        <v>27</v>
      </c>
      <c r="G5182" s="11">
        <v>6.17</v>
      </c>
      <c r="H5182" s="8">
        <v>5.5</v>
      </c>
      <c r="I5182" s="7">
        <v>1</v>
      </c>
      <c r="J5182" s="10">
        <v>3.3935E-2</v>
      </c>
      <c r="K5182" s="32">
        <v>1</v>
      </c>
      <c r="L5182" s="18">
        <v>3.3935E-2</v>
      </c>
      <c r="M5182" s="19">
        <v>0</v>
      </c>
      <c r="N5182" s="13">
        <v>0</v>
      </c>
      <c r="O5182" s="93"/>
      <c r="P5182" s="93">
        <v>1</v>
      </c>
      <c r="Q5182" s="47" t="s">
        <v>700</v>
      </c>
    </row>
    <row r="5183" spans="1:17">
      <c r="A5183" s="44" t="s">
        <v>78</v>
      </c>
      <c r="B5183" s="32" t="s">
        <v>80</v>
      </c>
      <c r="C5183" s="3">
        <v>1</v>
      </c>
      <c r="D5183" s="20" t="s">
        <v>20</v>
      </c>
      <c r="E5183" s="7" t="s">
        <v>15</v>
      </c>
      <c r="F5183" s="7" t="s">
        <v>27</v>
      </c>
      <c r="G5183" s="11">
        <v>6.17</v>
      </c>
      <c r="H5183" s="55">
        <v>8.1</v>
      </c>
      <c r="I5183" s="40">
        <v>1</v>
      </c>
      <c r="J5183" s="10">
        <v>4.9976999999999994E-2</v>
      </c>
      <c r="K5183" s="17">
        <v>1</v>
      </c>
      <c r="L5183" s="18">
        <v>4.9976999999999994E-2</v>
      </c>
      <c r="M5183" s="19">
        <v>0</v>
      </c>
      <c r="N5183" s="13">
        <v>0</v>
      </c>
      <c r="O5183" s="93"/>
      <c r="P5183" s="93">
        <v>1</v>
      </c>
      <c r="Q5183" s="47" t="s">
        <v>700</v>
      </c>
    </row>
    <row r="5184" spans="1:17">
      <c r="A5184" s="44" t="s">
        <v>78</v>
      </c>
      <c r="B5184" s="32" t="s">
        <v>80</v>
      </c>
      <c r="C5184" s="3">
        <v>1</v>
      </c>
      <c r="D5184" s="20" t="s">
        <v>20</v>
      </c>
      <c r="E5184" s="7" t="s">
        <v>15</v>
      </c>
      <c r="F5184" s="7" t="s">
        <v>27</v>
      </c>
      <c r="G5184" s="11">
        <v>6.17</v>
      </c>
      <c r="H5184" s="55">
        <v>8.9</v>
      </c>
      <c r="I5184" s="40">
        <v>3</v>
      </c>
      <c r="J5184" s="10">
        <v>0.164739</v>
      </c>
      <c r="K5184" s="17">
        <v>3</v>
      </c>
      <c r="L5184" s="18">
        <v>0.164739</v>
      </c>
      <c r="M5184" s="19">
        <v>0</v>
      </c>
      <c r="N5184" s="13">
        <v>0</v>
      </c>
      <c r="O5184" s="93">
        <v>8.5</v>
      </c>
      <c r="P5184" s="93">
        <v>2</v>
      </c>
      <c r="Q5184" s="47" t="s">
        <v>699</v>
      </c>
    </row>
    <row r="5185" spans="1:20">
      <c r="A5185" s="45" t="s">
        <v>136</v>
      </c>
      <c r="B5185" s="32" t="s">
        <v>137</v>
      </c>
      <c r="C5185" s="3">
        <v>84</v>
      </c>
      <c r="D5185" s="20" t="s">
        <v>20</v>
      </c>
      <c r="E5185" s="7" t="s">
        <v>15</v>
      </c>
      <c r="F5185" s="7" t="s">
        <v>27</v>
      </c>
      <c r="G5185" s="11">
        <v>6.17</v>
      </c>
      <c r="H5185" s="55">
        <v>11.5</v>
      </c>
      <c r="I5185" s="40">
        <v>1</v>
      </c>
      <c r="J5185" s="10">
        <v>7.0955000000000004E-2</v>
      </c>
      <c r="K5185" s="17">
        <v>1</v>
      </c>
      <c r="L5185" s="18">
        <v>7.0955000000000004E-2</v>
      </c>
      <c r="M5185" s="19">
        <v>0</v>
      </c>
      <c r="N5185" s="13">
        <v>0</v>
      </c>
      <c r="O5185" s="93">
        <v>11.5</v>
      </c>
      <c r="P5185" s="93">
        <v>1</v>
      </c>
      <c r="Q5185" s="47" t="s">
        <v>699</v>
      </c>
    </row>
    <row r="5186" spans="1:20">
      <c r="A5186" s="45" t="s">
        <v>136</v>
      </c>
      <c r="B5186" s="32" t="s">
        <v>137</v>
      </c>
      <c r="C5186" s="3">
        <v>84</v>
      </c>
      <c r="D5186" s="20" t="s">
        <v>20</v>
      </c>
      <c r="E5186" s="7" t="s">
        <v>15</v>
      </c>
      <c r="F5186" s="7" t="s">
        <v>27</v>
      </c>
      <c r="G5186" s="11">
        <v>6.17</v>
      </c>
      <c r="H5186" s="55">
        <v>12</v>
      </c>
      <c r="I5186" s="40">
        <v>1</v>
      </c>
      <c r="J5186" s="10">
        <v>7.4039999999999995E-2</v>
      </c>
      <c r="K5186" s="17">
        <v>1</v>
      </c>
      <c r="L5186" s="18">
        <v>7.4039999999999995E-2</v>
      </c>
      <c r="M5186" s="19">
        <v>0</v>
      </c>
      <c r="N5186" s="13">
        <v>0</v>
      </c>
      <c r="O5186" s="93">
        <v>11.5</v>
      </c>
      <c r="P5186" s="93">
        <v>1</v>
      </c>
      <c r="Q5186" s="47" t="s">
        <v>699</v>
      </c>
    </row>
    <row r="5187" spans="1:20">
      <c r="A5187" s="45" t="s">
        <v>136</v>
      </c>
      <c r="B5187" s="48" t="s">
        <v>171</v>
      </c>
      <c r="C5187" s="32">
        <v>153</v>
      </c>
      <c r="D5187" s="48" t="s">
        <v>89</v>
      </c>
      <c r="E5187" s="48" t="s">
        <v>15</v>
      </c>
      <c r="F5187" s="48" t="s">
        <v>27</v>
      </c>
      <c r="G5187" s="11">
        <v>6.17</v>
      </c>
      <c r="H5187" s="9">
        <v>8</v>
      </c>
      <c r="I5187" s="7">
        <v>1</v>
      </c>
      <c r="J5187" s="10">
        <v>4.9360000000000001E-2</v>
      </c>
      <c r="K5187" s="32">
        <v>1</v>
      </c>
      <c r="L5187" s="18">
        <v>4.9360000000000001E-2</v>
      </c>
      <c r="M5187" s="19">
        <v>0</v>
      </c>
      <c r="N5187" s="13">
        <v>0</v>
      </c>
      <c r="O5187" s="93"/>
      <c r="P5187" s="93">
        <v>1</v>
      </c>
      <c r="Q5187" s="47" t="s">
        <v>700</v>
      </c>
    </row>
    <row r="5188" spans="1:20">
      <c r="A5188" s="45" t="s">
        <v>136</v>
      </c>
      <c r="B5188" s="48" t="s">
        <v>171</v>
      </c>
      <c r="C5188" s="32">
        <v>153</v>
      </c>
      <c r="D5188" s="48" t="s">
        <v>89</v>
      </c>
      <c r="E5188" s="48" t="s">
        <v>15</v>
      </c>
      <c r="F5188" s="48" t="s">
        <v>27</v>
      </c>
      <c r="G5188" s="11">
        <v>6.17</v>
      </c>
      <c r="H5188" s="9">
        <v>8.1</v>
      </c>
      <c r="I5188" s="7">
        <v>1</v>
      </c>
      <c r="J5188" s="10">
        <v>4.9976999999999994E-2</v>
      </c>
      <c r="K5188" s="32">
        <v>1</v>
      </c>
      <c r="L5188" s="18">
        <v>4.9976999999999994E-2</v>
      </c>
      <c r="M5188" s="19">
        <v>0</v>
      </c>
      <c r="N5188" s="13">
        <v>0</v>
      </c>
      <c r="O5188" s="93"/>
      <c r="P5188" s="93">
        <v>1</v>
      </c>
      <c r="Q5188" s="47" t="s">
        <v>700</v>
      </c>
    </row>
    <row r="5189" spans="1:20">
      <c r="A5189" s="45" t="s">
        <v>136</v>
      </c>
      <c r="B5189" s="48" t="s">
        <v>171</v>
      </c>
      <c r="C5189" s="32">
        <v>153</v>
      </c>
      <c r="D5189" s="48" t="s">
        <v>89</v>
      </c>
      <c r="E5189" s="48" t="s">
        <v>15</v>
      </c>
      <c r="F5189" s="48" t="s">
        <v>27</v>
      </c>
      <c r="G5189" s="11">
        <v>6.17</v>
      </c>
      <c r="H5189" s="9">
        <v>8.9</v>
      </c>
      <c r="I5189" s="7">
        <v>1</v>
      </c>
      <c r="J5189" s="10">
        <v>5.4913000000000003E-2</v>
      </c>
      <c r="K5189" s="32">
        <v>1</v>
      </c>
      <c r="L5189" s="18">
        <v>5.4913000000000003E-2</v>
      </c>
      <c r="M5189" s="19">
        <v>0</v>
      </c>
      <c r="N5189" s="13">
        <v>0</v>
      </c>
      <c r="O5189" s="93"/>
      <c r="P5189" s="93">
        <v>1</v>
      </c>
      <c r="Q5189" s="47" t="s">
        <v>700</v>
      </c>
    </row>
    <row r="5190" spans="1:20">
      <c r="P5190" s="76">
        <f>SUM(P5166:P5189)</f>
        <v>34</v>
      </c>
    </row>
    <row r="5192" spans="1:20" ht="15.6">
      <c r="B5192" s="110" t="s">
        <v>493</v>
      </c>
      <c r="C5192" s="111" t="s">
        <v>227</v>
      </c>
      <c r="D5192" s="112" t="s">
        <v>228</v>
      </c>
      <c r="E5192" s="113" t="s">
        <v>20</v>
      </c>
      <c r="F5192" s="114" t="s">
        <v>15</v>
      </c>
      <c r="G5192" s="115" t="s">
        <v>27</v>
      </c>
      <c r="H5192" s="116">
        <v>6.17</v>
      </c>
      <c r="I5192" s="125">
        <v>12</v>
      </c>
      <c r="J5192" s="111">
        <v>4</v>
      </c>
      <c r="K5192" s="117">
        <f t="shared" ref="K5192:K5206" si="678">I5192*H5192*J5192/1000</f>
        <v>0.29615999999999998</v>
      </c>
      <c r="L5192" s="118"/>
      <c r="M5192" s="111">
        <v>4</v>
      </c>
      <c r="N5192" s="117">
        <f t="shared" ref="N5192:N5206" si="679">I5192*M5192*H5192/1000</f>
        <v>0.29615999999999998</v>
      </c>
      <c r="O5192" s="119">
        <f t="shared" ref="O5192:O5206" si="680">J5192-M5192</f>
        <v>0</v>
      </c>
      <c r="P5192" s="120">
        <f t="shared" ref="P5192:P5206" si="681">I5192*O5192*H5192/1000</f>
        <v>0</v>
      </c>
      <c r="Q5192" s="111"/>
      <c r="R5192" s="32"/>
      <c r="S5192" s="32"/>
      <c r="T5192" s="213"/>
    </row>
    <row r="5193" spans="1:20" ht="15.6">
      <c r="B5193" s="110" t="s">
        <v>493</v>
      </c>
      <c r="C5193" s="111" t="s">
        <v>227</v>
      </c>
      <c r="D5193" s="112" t="s">
        <v>228</v>
      </c>
      <c r="E5193" s="113" t="s">
        <v>20</v>
      </c>
      <c r="F5193" s="114" t="s">
        <v>15</v>
      </c>
      <c r="G5193" s="115" t="s">
        <v>27</v>
      </c>
      <c r="H5193" s="116">
        <v>6.17</v>
      </c>
      <c r="I5193" s="125">
        <v>9.6999999999999993</v>
      </c>
      <c r="J5193" s="111">
        <f>30+21</f>
        <v>51</v>
      </c>
      <c r="K5193" s="117">
        <f t="shared" si="678"/>
        <v>3.0522990000000001</v>
      </c>
      <c r="L5193" s="118"/>
      <c r="M5193" s="111">
        <v>51</v>
      </c>
      <c r="N5193" s="117">
        <f t="shared" si="679"/>
        <v>3.0522990000000001</v>
      </c>
      <c r="O5193" s="119">
        <f t="shared" si="680"/>
        <v>0</v>
      </c>
      <c r="P5193" s="120">
        <f t="shared" si="681"/>
        <v>0</v>
      </c>
      <c r="Q5193" s="111"/>
      <c r="R5193" s="32"/>
      <c r="S5193" s="32"/>
      <c r="T5193" s="213"/>
    </row>
    <row r="5194" spans="1:20" ht="15.6">
      <c r="B5194" s="110" t="s">
        <v>493</v>
      </c>
      <c r="C5194" s="111" t="s">
        <v>227</v>
      </c>
      <c r="D5194" s="112" t="s">
        <v>228</v>
      </c>
      <c r="E5194" s="113" t="s">
        <v>20</v>
      </c>
      <c r="F5194" s="114" t="s">
        <v>15</v>
      </c>
      <c r="G5194" s="115" t="s">
        <v>27</v>
      </c>
      <c r="H5194" s="116">
        <v>6.17</v>
      </c>
      <c r="I5194" s="125">
        <v>9</v>
      </c>
      <c r="J5194" s="111">
        <f>40+20+45</f>
        <v>105</v>
      </c>
      <c r="K5194" s="117">
        <f t="shared" si="678"/>
        <v>5.8306500000000003</v>
      </c>
      <c r="L5194" s="118"/>
      <c r="M5194" s="111">
        <v>105</v>
      </c>
      <c r="N5194" s="117">
        <f t="shared" si="679"/>
        <v>5.8306499999999994</v>
      </c>
      <c r="O5194" s="119">
        <f t="shared" si="680"/>
        <v>0</v>
      </c>
      <c r="P5194" s="120">
        <f t="shared" si="681"/>
        <v>0</v>
      </c>
      <c r="Q5194" s="111"/>
      <c r="R5194" s="32"/>
      <c r="S5194" s="32"/>
      <c r="T5194" s="213"/>
    </row>
    <row r="5195" spans="1:20" ht="15.6">
      <c r="B5195" s="110" t="s">
        <v>493</v>
      </c>
      <c r="C5195" s="111" t="s">
        <v>227</v>
      </c>
      <c r="D5195" s="112" t="s">
        <v>228</v>
      </c>
      <c r="E5195" s="113" t="s">
        <v>20</v>
      </c>
      <c r="F5195" s="114" t="s">
        <v>15</v>
      </c>
      <c r="G5195" s="115" t="s">
        <v>27</v>
      </c>
      <c r="H5195" s="116">
        <v>6.17</v>
      </c>
      <c r="I5195" s="125">
        <v>10.5</v>
      </c>
      <c r="J5195" s="111">
        <f>40+31+41+35</f>
        <v>147</v>
      </c>
      <c r="K5195" s="117">
        <f t="shared" si="678"/>
        <v>9.5233949999999989</v>
      </c>
      <c r="L5195" s="118"/>
      <c r="M5195" s="111">
        <f>145+2</f>
        <v>147</v>
      </c>
      <c r="N5195" s="117">
        <f t="shared" si="679"/>
        <v>9.5233950000000007</v>
      </c>
      <c r="O5195" s="119">
        <f t="shared" si="680"/>
        <v>0</v>
      </c>
      <c r="P5195" s="120">
        <f t="shared" si="681"/>
        <v>0</v>
      </c>
      <c r="Q5195" s="111"/>
      <c r="R5195" s="32"/>
      <c r="S5195" s="32"/>
      <c r="T5195" s="213"/>
    </row>
    <row r="5196" spans="1:20" ht="15.6">
      <c r="B5196" s="110" t="s">
        <v>493</v>
      </c>
      <c r="C5196" s="111" t="s">
        <v>227</v>
      </c>
      <c r="D5196" s="112" t="s">
        <v>228</v>
      </c>
      <c r="E5196" s="113" t="s">
        <v>20</v>
      </c>
      <c r="F5196" s="114" t="s">
        <v>15</v>
      </c>
      <c r="G5196" s="115" t="s">
        <v>27</v>
      </c>
      <c r="H5196" s="116">
        <v>6.17</v>
      </c>
      <c r="I5196" s="125">
        <v>11.5</v>
      </c>
      <c r="J5196" s="111">
        <f>34+39+38+38+39+36+37+35+35+13</f>
        <v>344</v>
      </c>
      <c r="K5196" s="117">
        <f t="shared" si="678"/>
        <v>24.408519999999999</v>
      </c>
      <c r="L5196" s="118"/>
      <c r="M5196" s="111">
        <v>344</v>
      </c>
      <c r="N5196" s="117">
        <f t="shared" si="679"/>
        <v>24.408519999999999</v>
      </c>
      <c r="O5196" s="119">
        <f t="shared" si="680"/>
        <v>0</v>
      </c>
      <c r="P5196" s="120">
        <f t="shared" si="681"/>
        <v>0</v>
      </c>
      <c r="Q5196" s="111"/>
      <c r="R5196" s="32"/>
      <c r="S5196" s="32"/>
      <c r="T5196" s="213"/>
    </row>
    <row r="5197" spans="1:20" ht="15.6">
      <c r="B5197" s="110" t="s">
        <v>493</v>
      </c>
      <c r="C5197" s="111" t="s">
        <v>227</v>
      </c>
      <c r="D5197" s="112" t="s">
        <v>228</v>
      </c>
      <c r="E5197" s="113" t="s">
        <v>20</v>
      </c>
      <c r="F5197" s="114" t="s">
        <v>15</v>
      </c>
      <c r="G5197" s="115" t="s">
        <v>27</v>
      </c>
      <c r="H5197" s="116">
        <v>6.17</v>
      </c>
      <c r="I5197" s="125">
        <v>12</v>
      </c>
      <c r="J5197" s="111">
        <f>37+35+38+38+22+35+33+37+35+31</f>
        <v>341</v>
      </c>
      <c r="K5197" s="117">
        <f t="shared" si="678"/>
        <v>25.247639999999997</v>
      </c>
      <c r="L5197" s="118"/>
      <c r="M5197" s="111">
        <f>304+4+33</f>
        <v>341</v>
      </c>
      <c r="N5197" s="117">
        <f t="shared" si="679"/>
        <v>25.247640000000001</v>
      </c>
      <c r="O5197" s="119">
        <f t="shared" si="680"/>
        <v>0</v>
      </c>
      <c r="P5197" s="120">
        <f t="shared" si="681"/>
        <v>0</v>
      </c>
      <c r="Q5197" s="111"/>
      <c r="R5197" s="32"/>
      <c r="S5197" s="32"/>
      <c r="T5197" s="213"/>
    </row>
    <row r="5198" spans="1:20" ht="15.6">
      <c r="B5198" s="110" t="s">
        <v>493</v>
      </c>
      <c r="C5198" s="111" t="s">
        <v>227</v>
      </c>
      <c r="D5198" s="112" t="s">
        <v>228</v>
      </c>
      <c r="E5198" s="113" t="s">
        <v>20</v>
      </c>
      <c r="F5198" s="114" t="s">
        <v>15</v>
      </c>
      <c r="G5198" s="115" t="s">
        <v>27</v>
      </c>
      <c r="H5198" s="116">
        <v>6.17</v>
      </c>
      <c r="I5198" s="125">
        <v>8.8000000000000007</v>
      </c>
      <c r="J5198" s="111">
        <v>1</v>
      </c>
      <c r="K5198" s="117">
        <f t="shared" si="678"/>
        <v>5.4296000000000004E-2</v>
      </c>
      <c r="L5198" s="118"/>
      <c r="M5198" s="111">
        <v>1</v>
      </c>
      <c r="N5198" s="117">
        <f t="shared" si="679"/>
        <v>5.4296000000000004E-2</v>
      </c>
      <c r="O5198" s="119">
        <f t="shared" si="680"/>
        <v>0</v>
      </c>
      <c r="P5198" s="120">
        <f t="shared" si="681"/>
        <v>0</v>
      </c>
      <c r="Q5198" s="75"/>
      <c r="R5198" s="72">
        <v>1</v>
      </c>
      <c r="S5198" s="74" t="s">
        <v>700</v>
      </c>
      <c r="T5198" s="77"/>
    </row>
    <row r="5199" spans="1:20" ht="15.6">
      <c r="B5199" s="110" t="s">
        <v>493</v>
      </c>
      <c r="C5199" s="111" t="s">
        <v>227</v>
      </c>
      <c r="D5199" s="112" t="s">
        <v>228</v>
      </c>
      <c r="E5199" s="113" t="s">
        <v>20</v>
      </c>
      <c r="F5199" s="114" t="s">
        <v>15</v>
      </c>
      <c r="G5199" s="115" t="s">
        <v>27</v>
      </c>
      <c r="H5199" s="116">
        <v>6.17</v>
      </c>
      <c r="I5199" s="125">
        <v>8.3000000000000007</v>
      </c>
      <c r="J5199" s="111">
        <v>1</v>
      </c>
      <c r="K5199" s="117">
        <f t="shared" si="678"/>
        <v>5.1211000000000007E-2</v>
      </c>
      <c r="L5199" s="118"/>
      <c r="M5199" s="111">
        <v>1</v>
      </c>
      <c r="N5199" s="117">
        <f t="shared" si="679"/>
        <v>5.1211000000000007E-2</v>
      </c>
      <c r="O5199" s="145">
        <f t="shared" si="680"/>
        <v>0</v>
      </c>
      <c r="P5199" s="120">
        <f t="shared" si="681"/>
        <v>0</v>
      </c>
      <c r="Q5199" s="75"/>
      <c r="R5199" s="72">
        <v>1</v>
      </c>
      <c r="S5199" s="74" t="s">
        <v>700</v>
      </c>
      <c r="T5199" s="77"/>
    </row>
    <row r="5200" spans="1:20" ht="15.6">
      <c r="B5200" s="110" t="s">
        <v>493</v>
      </c>
      <c r="C5200" s="111" t="s">
        <v>227</v>
      </c>
      <c r="D5200" s="112" t="s">
        <v>228</v>
      </c>
      <c r="E5200" s="113" t="s">
        <v>20</v>
      </c>
      <c r="F5200" s="114" t="s">
        <v>15</v>
      </c>
      <c r="G5200" s="115" t="s">
        <v>27</v>
      </c>
      <c r="H5200" s="116">
        <v>6.17</v>
      </c>
      <c r="I5200" s="125">
        <v>7.55</v>
      </c>
      <c r="J5200" s="111">
        <v>2</v>
      </c>
      <c r="K5200" s="117">
        <f t="shared" si="678"/>
        <v>9.3167E-2</v>
      </c>
      <c r="L5200" s="118"/>
      <c r="M5200" s="111">
        <v>2</v>
      </c>
      <c r="N5200" s="117">
        <f t="shared" si="679"/>
        <v>9.3167E-2</v>
      </c>
      <c r="O5200" s="145">
        <f t="shared" si="680"/>
        <v>0</v>
      </c>
      <c r="P5200" s="120">
        <f t="shared" si="681"/>
        <v>0</v>
      </c>
      <c r="Q5200" s="75"/>
      <c r="R5200" s="72">
        <v>2</v>
      </c>
      <c r="S5200" s="74" t="s">
        <v>700</v>
      </c>
      <c r="T5200" s="77"/>
    </row>
    <row r="5201" spans="2:20" ht="15.6">
      <c r="B5201" s="110" t="s">
        <v>493</v>
      </c>
      <c r="C5201" s="111" t="s">
        <v>227</v>
      </c>
      <c r="D5201" s="112" t="s">
        <v>228</v>
      </c>
      <c r="E5201" s="113" t="s">
        <v>20</v>
      </c>
      <c r="F5201" s="114" t="s">
        <v>15</v>
      </c>
      <c r="G5201" s="115" t="s">
        <v>27</v>
      </c>
      <c r="H5201" s="116">
        <v>6.17</v>
      </c>
      <c r="I5201" s="125">
        <v>8.5</v>
      </c>
      <c r="J5201" s="111">
        <v>4</v>
      </c>
      <c r="K5201" s="117">
        <f t="shared" si="678"/>
        <v>0.20977999999999999</v>
      </c>
      <c r="L5201" s="118"/>
      <c r="M5201" s="111">
        <v>4</v>
      </c>
      <c r="N5201" s="117">
        <f t="shared" si="679"/>
        <v>0.20977999999999999</v>
      </c>
      <c r="O5201" s="119">
        <f t="shared" si="680"/>
        <v>0</v>
      </c>
      <c r="P5201" s="120">
        <f t="shared" si="681"/>
        <v>0</v>
      </c>
      <c r="Q5201" s="75">
        <v>8.5</v>
      </c>
      <c r="R5201" s="72">
        <v>4</v>
      </c>
      <c r="S5201" s="74" t="s">
        <v>700</v>
      </c>
      <c r="T5201" s="77"/>
    </row>
    <row r="5202" spans="2:20" ht="15.6">
      <c r="B5202" s="110" t="s">
        <v>493</v>
      </c>
      <c r="C5202" s="111" t="s">
        <v>227</v>
      </c>
      <c r="D5202" s="112" t="s">
        <v>228</v>
      </c>
      <c r="E5202" s="113" t="s">
        <v>20</v>
      </c>
      <c r="F5202" s="114" t="s">
        <v>15</v>
      </c>
      <c r="G5202" s="115" t="s">
        <v>27</v>
      </c>
      <c r="H5202" s="116">
        <v>6.17</v>
      </c>
      <c r="I5202" s="125">
        <v>7.9</v>
      </c>
      <c r="J5202" s="111">
        <v>1</v>
      </c>
      <c r="K5202" s="117">
        <f t="shared" si="678"/>
        <v>4.8743000000000002E-2</v>
      </c>
      <c r="L5202" s="118"/>
      <c r="M5202" s="111">
        <v>1</v>
      </c>
      <c r="N5202" s="117">
        <f t="shared" si="679"/>
        <v>4.8743000000000002E-2</v>
      </c>
      <c r="O5202" s="145">
        <f t="shared" si="680"/>
        <v>0</v>
      </c>
      <c r="P5202" s="120">
        <f t="shared" si="681"/>
        <v>0</v>
      </c>
      <c r="Q5202" s="72"/>
      <c r="R5202" s="72">
        <v>1</v>
      </c>
      <c r="S5202" s="74" t="s">
        <v>700</v>
      </c>
      <c r="T5202" s="77"/>
    </row>
    <row r="5203" spans="2:20" ht="15.6">
      <c r="B5203" s="110" t="s">
        <v>493</v>
      </c>
      <c r="C5203" s="111" t="s">
        <v>227</v>
      </c>
      <c r="D5203" s="112" t="s">
        <v>228</v>
      </c>
      <c r="E5203" s="113" t="s">
        <v>20</v>
      </c>
      <c r="F5203" s="114" t="s">
        <v>15</v>
      </c>
      <c r="G5203" s="115" t="s">
        <v>27</v>
      </c>
      <c r="H5203" s="116">
        <v>6.17</v>
      </c>
      <c r="I5203" s="125">
        <v>7.6</v>
      </c>
      <c r="J5203" s="111">
        <v>1</v>
      </c>
      <c r="K5203" s="117">
        <f t="shared" si="678"/>
        <v>4.6891999999999996E-2</v>
      </c>
      <c r="L5203" s="118"/>
      <c r="M5203" s="111">
        <v>1</v>
      </c>
      <c r="N5203" s="117">
        <f t="shared" si="679"/>
        <v>4.6891999999999996E-2</v>
      </c>
      <c r="O5203" s="145">
        <f t="shared" si="680"/>
        <v>0</v>
      </c>
      <c r="P5203" s="120">
        <f t="shared" si="681"/>
        <v>0</v>
      </c>
      <c r="Q5203" s="72"/>
      <c r="R5203" s="72">
        <v>1</v>
      </c>
      <c r="S5203" s="74" t="s">
        <v>700</v>
      </c>
      <c r="T5203" s="77"/>
    </row>
    <row r="5204" spans="2:20" ht="15.6">
      <c r="B5204" s="110" t="s">
        <v>493</v>
      </c>
      <c r="C5204" s="111" t="s">
        <v>227</v>
      </c>
      <c r="D5204" s="112" t="s">
        <v>228</v>
      </c>
      <c r="E5204" s="113" t="s">
        <v>20</v>
      </c>
      <c r="F5204" s="114" t="s">
        <v>15</v>
      </c>
      <c r="G5204" s="115" t="s">
        <v>27</v>
      </c>
      <c r="H5204" s="116">
        <v>6.17</v>
      </c>
      <c r="I5204" s="125">
        <v>7.5</v>
      </c>
      <c r="J5204" s="111">
        <v>1</v>
      </c>
      <c r="K5204" s="117">
        <f t="shared" si="678"/>
        <v>4.6274999999999997E-2</v>
      </c>
      <c r="L5204" s="118"/>
      <c r="M5204" s="111">
        <v>1</v>
      </c>
      <c r="N5204" s="117">
        <f t="shared" si="679"/>
        <v>4.6274999999999997E-2</v>
      </c>
      <c r="O5204" s="145">
        <f t="shared" si="680"/>
        <v>0</v>
      </c>
      <c r="P5204" s="120">
        <f t="shared" si="681"/>
        <v>0</v>
      </c>
      <c r="Q5204" s="72"/>
      <c r="R5204" s="72">
        <v>1</v>
      </c>
      <c r="S5204" s="74" t="s">
        <v>700</v>
      </c>
      <c r="T5204" s="77"/>
    </row>
    <row r="5205" spans="2:20" ht="15.6">
      <c r="B5205" s="110" t="s">
        <v>493</v>
      </c>
      <c r="C5205" s="111" t="s">
        <v>227</v>
      </c>
      <c r="D5205" s="112" t="s">
        <v>228</v>
      </c>
      <c r="E5205" s="113" t="s">
        <v>20</v>
      </c>
      <c r="F5205" s="114" t="s">
        <v>15</v>
      </c>
      <c r="G5205" s="115" t="s">
        <v>27</v>
      </c>
      <c r="H5205" s="116">
        <v>6.17</v>
      </c>
      <c r="I5205" s="125">
        <v>10.5</v>
      </c>
      <c r="J5205" s="111">
        <v>8</v>
      </c>
      <c r="K5205" s="117">
        <f t="shared" si="678"/>
        <v>0.51827999999999996</v>
      </c>
      <c r="L5205" s="118"/>
      <c r="M5205" s="111">
        <v>8</v>
      </c>
      <c r="N5205" s="117">
        <f t="shared" si="679"/>
        <v>0.51827999999999996</v>
      </c>
      <c r="O5205" s="119">
        <f t="shared" si="680"/>
        <v>0</v>
      </c>
      <c r="P5205" s="120">
        <f t="shared" si="681"/>
        <v>0</v>
      </c>
      <c r="Q5205" s="111"/>
      <c r="R5205" s="32"/>
      <c r="S5205" s="32"/>
      <c r="T5205" s="213"/>
    </row>
    <row r="5206" spans="2:20" ht="15.6">
      <c r="B5206" s="110" t="s">
        <v>493</v>
      </c>
      <c r="C5206" s="111" t="s">
        <v>227</v>
      </c>
      <c r="D5206" s="112" t="s">
        <v>228</v>
      </c>
      <c r="E5206" s="113" t="s">
        <v>20</v>
      </c>
      <c r="F5206" s="114" t="s">
        <v>15</v>
      </c>
      <c r="G5206" s="115" t="s">
        <v>27</v>
      </c>
      <c r="H5206" s="116">
        <v>6.17</v>
      </c>
      <c r="I5206" s="125">
        <v>11.5</v>
      </c>
      <c r="J5206" s="111">
        <v>2</v>
      </c>
      <c r="K5206" s="117">
        <f t="shared" si="678"/>
        <v>0.14191000000000001</v>
      </c>
      <c r="L5206" s="118"/>
      <c r="M5206" s="111">
        <v>2</v>
      </c>
      <c r="N5206" s="117">
        <f t="shared" si="679"/>
        <v>0.14191000000000001</v>
      </c>
      <c r="O5206" s="119">
        <f t="shared" si="680"/>
        <v>0</v>
      </c>
      <c r="P5206" s="120">
        <f t="shared" si="681"/>
        <v>0</v>
      </c>
      <c r="Q5206" s="111"/>
      <c r="R5206" s="32"/>
      <c r="S5206" s="32"/>
      <c r="T5206" s="213"/>
    </row>
    <row r="5207" spans="2:20">
      <c r="B5207" s="213"/>
      <c r="C5207" s="213"/>
      <c r="D5207" s="213"/>
      <c r="E5207" s="213"/>
      <c r="F5207" s="213"/>
      <c r="G5207" s="213"/>
      <c r="H5207" s="213"/>
      <c r="I5207" s="213"/>
      <c r="J5207" s="215">
        <f>SUM(J5192:J5206)</f>
        <v>1013</v>
      </c>
      <c r="K5207" s="214">
        <f>SUM(K5192:K5206)</f>
        <v>69.569217999999978</v>
      </c>
      <c r="L5207" s="213"/>
      <c r="M5207" s="215">
        <f>SUM(M5192:M5206)</f>
        <v>1013</v>
      </c>
      <c r="N5207" s="214">
        <f>SUM(N5192:N5206)</f>
        <v>69.569217999999978</v>
      </c>
      <c r="O5207" s="78">
        <f>SUM(O5192:O5206)</f>
        <v>0</v>
      </c>
      <c r="P5207" s="128">
        <f>SUM(P5192:P5206)</f>
        <v>0</v>
      </c>
      <c r="Q5207" s="213"/>
      <c r="R5207" s="76">
        <f>SUM(R5198:R5206)</f>
        <v>11</v>
      </c>
      <c r="S5207" s="213"/>
      <c r="T5207" s="213"/>
    </row>
    <row r="5209" spans="2:20" ht="15.6">
      <c r="B5209" s="110" t="s">
        <v>377</v>
      </c>
      <c r="C5209" s="111" t="s">
        <v>232</v>
      </c>
      <c r="D5209" s="112" t="s">
        <v>228</v>
      </c>
      <c r="E5209" s="113" t="s">
        <v>20</v>
      </c>
      <c r="F5209" s="114" t="s">
        <v>15</v>
      </c>
      <c r="G5209" s="115" t="s">
        <v>110</v>
      </c>
      <c r="H5209" s="116">
        <v>8.49</v>
      </c>
      <c r="I5209" s="126">
        <v>10</v>
      </c>
      <c r="J5209" s="111">
        <v>15</v>
      </c>
      <c r="K5209" s="117">
        <f t="shared" ref="K5209:K5216" si="682">I5209*H5209*J5209/1000</f>
        <v>1.2735000000000001</v>
      </c>
      <c r="L5209" s="118"/>
      <c r="M5209" s="111">
        <v>15</v>
      </c>
      <c r="N5209" s="117">
        <f t="shared" ref="N5209:N5216" si="683">I5209*M5209*H5209/1000</f>
        <v>1.2735000000000001</v>
      </c>
      <c r="O5209" s="119">
        <f t="shared" ref="O5209:O5216" si="684">J5209-M5209</f>
        <v>0</v>
      </c>
      <c r="P5209" s="120">
        <f t="shared" ref="P5209:P5216" si="685">I5209*O5209*H5209/1000</f>
        <v>0</v>
      </c>
      <c r="Q5209" s="111"/>
      <c r="R5209" s="32"/>
      <c r="S5209" s="32"/>
    </row>
    <row r="5210" spans="2:20" ht="15.6">
      <c r="B5210" s="110" t="s">
        <v>377</v>
      </c>
      <c r="C5210" s="111" t="s">
        <v>232</v>
      </c>
      <c r="D5210" s="112" t="s">
        <v>228</v>
      </c>
      <c r="E5210" s="113" t="s">
        <v>20</v>
      </c>
      <c r="F5210" s="114" t="s">
        <v>15</v>
      </c>
      <c r="G5210" s="115" t="s">
        <v>110</v>
      </c>
      <c r="H5210" s="116">
        <v>8.49</v>
      </c>
      <c r="I5210" s="126">
        <v>10</v>
      </c>
      <c r="J5210" s="111">
        <v>5</v>
      </c>
      <c r="K5210" s="117">
        <f t="shared" si="682"/>
        <v>0.42449999999999999</v>
      </c>
      <c r="L5210" s="118"/>
      <c r="M5210" s="111">
        <v>5</v>
      </c>
      <c r="N5210" s="117">
        <f t="shared" si="683"/>
        <v>0.42449999999999999</v>
      </c>
      <c r="O5210" s="119">
        <f t="shared" si="684"/>
        <v>0</v>
      </c>
      <c r="P5210" s="120">
        <f t="shared" si="685"/>
        <v>0</v>
      </c>
      <c r="Q5210" s="111"/>
      <c r="R5210" s="32"/>
      <c r="S5210" s="32"/>
    </row>
    <row r="5211" spans="2:20" ht="15.6">
      <c r="B5211" s="110" t="s">
        <v>377</v>
      </c>
      <c r="C5211" s="111" t="s">
        <v>232</v>
      </c>
      <c r="D5211" s="112" t="s">
        <v>228</v>
      </c>
      <c r="E5211" s="113" t="s">
        <v>20</v>
      </c>
      <c r="F5211" s="114" t="s">
        <v>15</v>
      </c>
      <c r="G5211" s="115" t="s">
        <v>110</v>
      </c>
      <c r="H5211" s="116">
        <v>8.49</v>
      </c>
      <c r="I5211" s="126">
        <v>8</v>
      </c>
      <c r="J5211" s="111">
        <v>2</v>
      </c>
      <c r="K5211" s="117">
        <f t="shared" si="682"/>
        <v>0.13584000000000002</v>
      </c>
      <c r="L5211" s="118"/>
      <c r="M5211" s="111"/>
      <c r="N5211" s="117">
        <f t="shared" si="683"/>
        <v>0</v>
      </c>
      <c r="O5211" s="119">
        <f t="shared" si="684"/>
        <v>2</v>
      </c>
      <c r="P5211" s="120">
        <f t="shared" si="685"/>
        <v>0.13584000000000002</v>
      </c>
      <c r="Q5211" s="111"/>
      <c r="R5211" s="32"/>
      <c r="S5211" s="32"/>
    </row>
    <row r="5212" spans="2:20" ht="15.6">
      <c r="B5212" s="110" t="s">
        <v>377</v>
      </c>
      <c r="C5212" s="111" t="s">
        <v>232</v>
      </c>
      <c r="D5212" s="112" t="s">
        <v>228</v>
      </c>
      <c r="E5212" s="113" t="s">
        <v>20</v>
      </c>
      <c r="F5212" s="114" t="s">
        <v>15</v>
      </c>
      <c r="G5212" s="115" t="s">
        <v>110</v>
      </c>
      <c r="H5212" s="116">
        <v>8.49</v>
      </c>
      <c r="I5212" s="126">
        <v>9</v>
      </c>
      <c r="J5212" s="111">
        <v>1</v>
      </c>
      <c r="K5212" s="117">
        <f t="shared" si="682"/>
        <v>7.6409999999999992E-2</v>
      </c>
      <c r="L5212" s="118"/>
      <c r="M5212" s="111">
        <v>1</v>
      </c>
      <c r="N5212" s="117">
        <f t="shared" si="683"/>
        <v>7.6409999999999992E-2</v>
      </c>
      <c r="O5212" s="119">
        <f t="shared" si="684"/>
        <v>0</v>
      </c>
      <c r="P5212" s="120">
        <f t="shared" si="685"/>
        <v>0</v>
      </c>
      <c r="Q5212" s="79">
        <v>9</v>
      </c>
      <c r="R5212" s="72">
        <v>1</v>
      </c>
      <c r="S5212" s="72" t="s">
        <v>701</v>
      </c>
    </row>
    <row r="5213" spans="2:20" ht="15.6">
      <c r="B5213" s="110" t="s">
        <v>377</v>
      </c>
      <c r="C5213" s="111" t="s">
        <v>232</v>
      </c>
      <c r="D5213" s="112" t="s">
        <v>228</v>
      </c>
      <c r="E5213" s="113" t="s">
        <v>20</v>
      </c>
      <c r="F5213" s="114" t="s">
        <v>15</v>
      </c>
      <c r="G5213" s="115" t="s">
        <v>110</v>
      </c>
      <c r="H5213" s="116">
        <v>8.49</v>
      </c>
      <c r="I5213" s="325">
        <v>9.6999999999999993</v>
      </c>
      <c r="J5213" s="111">
        <v>1</v>
      </c>
      <c r="K5213" s="117">
        <f t="shared" si="682"/>
        <v>8.2352999999999996E-2</v>
      </c>
      <c r="L5213" s="118"/>
      <c r="M5213" s="111">
        <v>1</v>
      </c>
      <c r="N5213" s="117">
        <f t="shared" si="683"/>
        <v>8.2352999999999996E-2</v>
      </c>
      <c r="O5213" s="119">
        <f t="shared" si="684"/>
        <v>0</v>
      </c>
      <c r="P5213" s="120">
        <f t="shared" si="685"/>
        <v>0</v>
      </c>
      <c r="Q5213" s="79">
        <v>9.6999999999999993</v>
      </c>
      <c r="R5213" s="72">
        <v>1</v>
      </c>
      <c r="S5213" s="72" t="s">
        <v>701</v>
      </c>
    </row>
    <row r="5214" spans="2:20" ht="15.6">
      <c r="B5214" s="110" t="s">
        <v>377</v>
      </c>
      <c r="C5214" s="111" t="s">
        <v>232</v>
      </c>
      <c r="D5214" s="112" t="s">
        <v>228</v>
      </c>
      <c r="E5214" s="113" t="s">
        <v>20</v>
      </c>
      <c r="F5214" s="114" t="s">
        <v>15</v>
      </c>
      <c r="G5214" s="115" t="s">
        <v>110</v>
      </c>
      <c r="H5214" s="116">
        <v>8.49</v>
      </c>
      <c r="I5214" s="325">
        <v>10.5</v>
      </c>
      <c r="J5214" s="111">
        <v>1</v>
      </c>
      <c r="K5214" s="117">
        <f t="shared" si="682"/>
        <v>8.9145000000000002E-2</v>
      </c>
      <c r="L5214" s="118"/>
      <c r="M5214" s="111">
        <v>1</v>
      </c>
      <c r="N5214" s="117">
        <f t="shared" si="683"/>
        <v>8.9145000000000002E-2</v>
      </c>
      <c r="O5214" s="119">
        <f t="shared" si="684"/>
        <v>0</v>
      </c>
      <c r="P5214" s="120">
        <f t="shared" si="685"/>
        <v>0</v>
      </c>
      <c r="Q5214" s="79"/>
      <c r="R5214" s="72"/>
      <c r="S5214" s="72"/>
    </row>
    <row r="5215" spans="2:20" ht="15.6">
      <c r="B5215" s="110" t="s">
        <v>377</v>
      </c>
      <c r="C5215" s="111" t="s">
        <v>232</v>
      </c>
      <c r="D5215" s="112" t="s">
        <v>228</v>
      </c>
      <c r="E5215" s="113" t="s">
        <v>20</v>
      </c>
      <c r="F5215" s="114" t="s">
        <v>15</v>
      </c>
      <c r="G5215" s="115" t="s">
        <v>110</v>
      </c>
      <c r="H5215" s="116">
        <v>8.49</v>
      </c>
      <c r="I5215" s="325">
        <v>11.7</v>
      </c>
      <c r="J5215" s="111">
        <v>1</v>
      </c>
      <c r="K5215" s="117">
        <f t="shared" si="682"/>
        <v>9.9333000000000005E-2</v>
      </c>
      <c r="L5215" s="118"/>
      <c r="M5215" s="111">
        <v>1</v>
      </c>
      <c r="N5215" s="117">
        <f t="shared" si="683"/>
        <v>9.9333000000000005E-2</v>
      </c>
      <c r="O5215" s="119">
        <f t="shared" si="684"/>
        <v>0</v>
      </c>
      <c r="P5215" s="120">
        <f t="shared" si="685"/>
        <v>0</v>
      </c>
      <c r="Q5215" s="79">
        <v>11.7</v>
      </c>
      <c r="R5215" s="72">
        <v>1</v>
      </c>
      <c r="S5215" s="72" t="s">
        <v>701</v>
      </c>
    </row>
    <row r="5216" spans="2:20" ht="15.6">
      <c r="B5216" s="110" t="s">
        <v>377</v>
      </c>
      <c r="C5216" s="111" t="s">
        <v>232</v>
      </c>
      <c r="D5216" s="112" t="s">
        <v>228</v>
      </c>
      <c r="E5216" s="113" t="s">
        <v>20</v>
      </c>
      <c r="F5216" s="114" t="s">
        <v>15</v>
      </c>
      <c r="G5216" s="115" t="s">
        <v>110</v>
      </c>
      <c r="H5216" s="116">
        <v>8.49</v>
      </c>
      <c r="I5216" s="325">
        <v>12</v>
      </c>
      <c r="J5216" s="111">
        <v>16</v>
      </c>
      <c r="K5216" s="117">
        <f t="shared" si="682"/>
        <v>1.63008</v>
      </c>
      <c r="L5216" s="118"/>
      <c r="M5216" s="111">
        <v>6</v>
      </c>
      <c r="N5216" s="117">
        <f t="shared" si="683"/>
        <v>0.61127999999999993</v>
      </c>
      <c r="O5216" s="119">
        <f t="shared" si="684"/>
        <v>10</v>
      </c>
      <c r="P5216" s="120">
        <f t="shared" si="685"/>
        <v>1.0188000000000001</v>
      </c>
      <c r="Q5216" s="79">
        <v>12</v>
      </c>
      <c r="R5216" s="72">
        <v>6</v>
      </c>
      <c r="S5216" s="72" t="s">
        <v>701</v>
      </c>
    </row>
    <row r="5217" spans="1:19">
      <c r="B5217" s="213"/>
      <c r="C5217" s="213"/>
      <c r="D5217" s="213"/>
      <c r="E5217" s="213"/>
      <c r="F5217" s="213"/>
      <c r="G5217" s="213"/>
      <c r="H5217" s="213"/>
      <c r="I5217" s="213"/>
      <c r="J5217" s="215">
        <f>SUM(J5209:J5216)</f>
        <v>42</v>
      </c>
      <c r="K5217" s="214">
        <f>SUM(K5209:K5216)</f>
        <v>3.8111609999999998</v>
      </c>
      <c r="L5217" s="213"/>
      <c r="M5217" s="215">
        <f>SUM(M5209:M5216)</f>
        <v>30</v>
      </c>
      <c r="N5217" s="214">
        <f>SUM(N5209:N5216)</f>
        <v>2.6565209999999997</v>
      </c>
      <c r="O5217" s="215">
        <f>SUM(O5209:O5216)</f>
        <v>12</v>
      </c>
      <c r="P5217" s="214">
        <f>SUM(P5209:P5216)</f>
        <v>1.1546400000000001</v>
      </c>
      <c r="Q5217" s="213"/>
      <c r="R5217" s="215">
        <f>SUM(R5209:R5216)</f>
        <v>9</v>
      </c>
      <c r="S5217" s="213"/>
    </row>
    <row r="5220" spans="1:19" ht="15.6">
      <c r="B5220" s="110" t="s">
        <v>475</v>
      </c>
      <c r="C5220" s="111" t="s">
        <v>239</v>
      </c>
      <c r="D5220" s="112" t="s">
        <v>228</v>
      </c>
      <c r="E5220" s="113" t="s">
        <v>492</v>
      </c>
      <c r="F5220" s="114" t="s">
        <v>15</v>
      </c>
      <c r="G5220" s="115" t="s">
        <v>25</v>
      </c>
      <c r="H5220" s="116">
        <v>7.36</v>
      </c>
      <c r="I5220" s="125">
        <v>12</v>
      </c>
      <c r="J5220" s="111">
        <v>26</v>
      </c>
      <c r="K5220" s="117">
        <f t="shared" ref="K5220:K5222" si="686">I5220*H5220*J5220/1000</f>
        <v>2.2963200000000001</v>
      </c>
      <c r="L5220" s="118"/>
      <c r="M5220" s="111">
        <v>26</v>
      </c>
      <c r="N5220" s="117">
        <f t="shared" ref="N5220:N5222" si="687">I5220*M5220*H5220/1000</f>
        <v>2.2963200000000001</v>
      </c>
      <c r="O5220" s="119">
        <f t="shared" ref="O5220:O5222" si="688">J5220-M5220</f>
        <v>0</v>
      </c>
      <c r="P5220" s="120">
        <f t="shared" ref="P5220:P5222" si="689">I5220*O5220*H5220/1000</f>
        <v>0</v>
      </c>
      <c r="Q5220" s="111"/>
      <c r="R5220" s="32"/>
      <c r="S5220" s="32"/>
    </row>
    <row r="5221" spans="1:19" ht="15.6">
      <c r="B5221" s="110" t="s">
        <v>475</v>
      </c>
      <c r="C5221" s="111" t="s">
        <v>239</v>
      </c>
      <c r="D5221" s="112" t="s">
        <v>228</v>
      </c>
      <c r="E5221" s="113" t="s">
        <v>492</v>
      </c>
      <c r="F5221" s="114" t="s">
        <v>15</v>
      </c>
      <c r="G5221" s="115" t="s">
        <v>25</v>
      </c>
      <c r="H5221" s="116">
        <v>7.36</v>
      </c>
      <c r="I5221" s="125">
        <v>11.5</v>
      </c>
      <c r="J5221" s="111">
        <v>7</v>
      </c>
      <c r="K5221" s="117">
        <f t="shared" si="686"/>
        <v>0.59248000000000001</v>
      </c>
      <c r="L5221" s="118"/>
      <c r="M5221" s="111">
        <f>3+4</f>
        <v>7</v>
      </c>
      <c r="N5221" s="117">
        <f t="shared" si="687"/>
        <v>0.59248000000000001</v>
      </c>
      <c r="O5221" s="119">
        <f t="shared" si="688"/>
        <v>0</v>
      </c>
      <c r="P5221" s="120">
        <f t="shared" si="689"/>
        <v>0</v>
      </c>
      <c r="Q5221" s="75">
        <v>11</v>
      </c>
      <c r="R5221" s="72">
        <v>4</v>
      </c>
      <c r="S5221" s="72" t="s">
        <v>692</v>
      </c>
    </row>
    <row r="5222" spans="1:19" ht="15.6">
      <c r="B5222" s="110" t="s">
        <v>475</v>
      </c>
      <c r="C5222" s="111" t="s">
        <v>239</v>
      </c>
      <c r="D5222" s="112" t="s">
        <v>228</v>
      </c>
      <c r="E5222" s="113" t="s">
        <v>492</v>
      </c>
      <c r="F5222" s="114" t="s">
        <v>15</v>
      </c>
      <c r="G5222" s="115" t="s">
        <v>25</v>
      </c>
      <c r="H5222" s="116">
        <v>7.36</v>
      </c>
      <c r="I5222" s="125">
        <v>12</v>
      </c>
      <c r="J5222" s="111">
        <v>33</v>
      </c>
      <c r="K5222" s="117">
        <f t="shared" si="686"/>
        <v>2.9145600000000003</v>
      </c>
      <c r="L5222" s="118"/>
      <c r="M5222" s="111">
        <v>33</v>
      </c>
      <c r="N5222" s="117">
        <f t="shared" si="687"/>
        <v>2.9145599999999998</v>
      </c>
      <c r="O5222" s="119">
        <f t="shared" si="688"/>
        <v>0</v>
      </c>
      <c r="P5222" s="120">
        <f t="shared" si="689"/>
        <v>0</v>
      </c>
      <c r="Q5222" s="111"/>
      <c r="R5222" s="32"/>
      <c r="S5222" s="32"/>
    </row>
    <row r="5223" spans="1:19">
      <c r="B5223" s="213"/>
      <c r="C5223" s="213"/>
      <c r="D5223" s="213"/>
      <c r="E5223" s="213"/>
      <c r="F5223" s="213"/>
      <c r="G5223" s="213"/>
      <c r="H5223" s="213"/>
      <c r="I5223" s="213"/>
      <c r="J5223" s="215">
        <f>SUM(J5220:J5222)</f>
        <v>66</v>
      </c>
      <c r="K5223" s="214">
        <f>SUM(K5220:K5222)</f>
        <v>5.8033600000000005</v>
      </c>
      <c r="L5223" s="213"/>
      <c r="M5223" s="215">
        <f>SUM(M5220:M5222)</f>
        <v>66</v>
      </c>
      <c r="N5223" s="214">
        <f>SUM(N5220:N5222)</f>
        <v>5.8033599999999996</v>
      </c>
      <c r="O5223" s="215">
        <f>SUM(O5220:O5222)</f>
        <v>0</v>
      </c>
      <c r="P5223" s="214">
        <f>SUM(P5220:P5222)</f>
        <v>0</v>
      </c>
      <c r="Q5223" s="213"/>
      <c r="R5223" s="213"/>
      <c r="S5223" s="213"/>
    </row>
    <row r="5226" spans="1:19">
      <c r="A5226" s="42" t="s">
        <v>84</v>
      </c>
      <c r="B5226" s="3" t="s">
        <v>116</v>
      </c>
      <c r="C5226" s="3">
        <v>4</v>
      </c>
      <c r="D5226" s="20" t="s">
        <v>100</v>
      </c>
      <c r="E5226" s="7" t="s">
        <v>15</v>
      </c>
      <c r="F5226" s="7" t="s">
        <v>25</v>
      </c>
      <c r="G5226" s="11">
        <v>7.34</v>
      </c>
      <c r="H5226" s="8">
        <v>9.5</v>
      </c>
      <c r="I5226" s="223">
        <v>1</v>
      </c>
      <c r="J5226" s="10">
        <v>6.973E-2</v>
      </c>
      <c r="K5226" s="17"/>
      <c r="L5226" s="18">
        <v>0</v>
      </c>
      <c r="M5226" s="19">
        <v>1</v>
      </c>
      <c r="N5226" s="13">
        <v>6.973E-2</v>
      </c>
      <c r="O5226" s="9"/>
      <c r="P5226" s="2"/>
      <c r="Q5226" s="2"/>
    </row>
    <row r="5227" spans="1:19">
      <c r="A5227" s="42" t="s">
        <v>84</v>
      </c>
      <c r="B5227" s="3" t="s">
        <v>116</v>
      </c>
      <c r="C5227" s="3">
        <v>4</v>
      </c>
      <c r="D5227" s="20" t="s">
        <v>100</v>
      </c>
      <c r="E5227" s="7" t="s">
        <v>15</v>
      </c>
      <c r="F5227" s="7" t="s">
        <v>25</v>
      </c>
      <c r="G5227" s="11">
        <v>7.34</v>
      </c>
      <c r="H5227" s="8">
        <v>9.9</v>
      </c>
      <c r="I5227" s="223">
        <v>1</v>
      </c>
      <c r="J5227" s="10">
        <v>7.2665999999999994E-2</v>
      </c>
      <c r="K5227" s="17"/>
      <c r="L5227" s="18">
        <v>0</v>
      </c>
      <c r="M5227" s="19">
        <v>1</v>
      </c>
      <c r="N5227" s="13">
        <v>7.2665999999999994E-2</v>
      </c>
      <c r="O5227" s="9"/>
      <c r="P5227" s="2"/>
      <c r="Q5227" s="2"/>
    </row>
    <row r="5228" spans="1:19">
      <c r="A5228" s="42" t="s">
        <v>84</v>
      </c>
      <c r="B5228" s="3" t="s">
        <v>124</v>
      </c>
      <c r="C5228" s="3">
        <v>1</v>
      </c>
      <c r="D5228" s="20" t="s">
        <v>75</v>
      </c>
      <c r="E5228" s="7" t="s">
        <v>15</v>
      </c>
      <c r="F5228" s="7" t="s">
        <v>25</v>
      </c>
      <c r="G5228" s="11">
        <v>7.34</v>
      </c>
      <c r="H5228" s="8">
        <v>11.2</v>
      </c>
      <c r="I5228" s="26">
        <v>1</v>
      </c>
      <c r="J5228" s="10">
        <v>8.2208000000000003E-2</v>
      </c>
      <c r="K5228" s="17"/>
      <c r="L5228" s="18">
        <v>0</v>
      </c>
      <c r="M5228" s="19">
        <v>1</v>
      </c>
      <c r="N5228" s="13">
        <v>8.2208000000000003E-2</v>
      </c>
      <c r="O5228" s="9"/>
      <c r="P5228" s="2"/>
      <c r="Q5228" s="2"/>
    </row>
    <row r="5229" spans="1:19">
      <c r="A5229" s="42" t="s">
        <v>84</v>
      </c>
      <c r="B5229" s="3" t="s">
        <v>124</v>
      </c>
      <c r="C5229" s="3">
        <v>1</v>
      </c>
      <c r="D5229" s="20" t="s">
        <v>75</v>
      </c>
      <c r="E5229" s="7" t="s">
        <v>15</v>
      </c>
      <c r="F5229" s="7" t="s">
        <v>25</v>
      </c>
      <c r="G5229" s="11">
        <v>7.34</v>
      </c>
      <c r="H5229" s="8">
        <v>9.5</v>
      </c>
      <c r="I5229" s="26">
        <v>3</v>
      </c>
      <c r="J5229" s="10">
        <v>0.20918999999999999</v>
      </c>
      <c r="K5229" s="17"/>
      <c r="L5229" s="18">
        <v>0</v>
      </c>
      <c r="M5229" s="19">
        <v>3</v>
      </c>
      <c r="N5229" s="13">
        <v>0.20918999999999999</v>
      </c>
      <c r="O5229" s="9"/>
      <c r="P5229" s="2"/>
      <c r="Q5229" s="2"/>
    </row>
    <row r="5230" spans="1:19">
      <c r="A5230" s="42" t="s">
        <v>84</v>
      </c>
      <c r="B5230" s="3" t="s">
        <v>124</v>
      </c>
      <c r="C5230" s="3">
        <v>2</v>
      </c>
      <c r="D5230" s="20" t="s">
        <v>75</v>
      </c>
      <c r="E5230" s="7" t="s">
        <v>15</v>
      </c>
      <c r="F5230" s="7" t="s">
        <v>25</v>
      </c>
      <c r="G5230" s="11">
        <v>7.34</v>
      </c>
      <c r="H5230" s="8">
        <v>11.8</v>
      </c>
      <c r="I5230" s="26">
        <v>9</v>
      </c>
      <c r="J5230" s="10">
        <v>0.77950800000000009</v>
      </c>
      <c r="K5230" s="17">
        <v>3</v>
      </c>
      <c r="L5230" s="18">
        <v>0.25983600000000001</v>
      </c>
      <c r="M5230" s="19">
        <v>6</v>
      </c>
      <c r="N5230" s="13">
        <v>0.51967200000000002</v>
      </c>
      <c r="O5230" s="92">
        <v>11</v>
      </c>
      <c r="P5230" s="47">
        <v>3</v>
      </c>
      <c r="Q5230" s="93" t="s">
        <v>692</v>
      </c>
    </row>
    <row r="5231" spans="1:19">
      <c r="A5231" s="47" t="s">
        <v>147</v>
      </c>
      <c r="B5231" s="48" t="s">
        <v>148</v>
      </c>
      <c r="C5231" s="32">
        <v>352</v>
      </c>
      <c r="D5231" s="20" t="s">
        <v>75</v>
      </c>
      <c r="E5231" s="48" t="s">
        <v>160</v>
      </c>
      <c r="F5231" s="48" t="s">
        <v>25</v>
      </c>
      <c r="G5231" s="11">
        <v>7.34</v>
      </c>
      <c r="H5231" s="52">
        <v>9.5</v>
      </c>
      <c r="I5231" s="224">
        <v>1</v>
      </c>
      <c r="J5231" s="10">
        <v>6.973E-2</v>
      </c>
      <c r="K5231" s="32"/>
      <c r="L5231" s="18">
        <v>0</v>
      </c>
      <c r="M5231" s="19">
        <v>1</v>
      </c>
      <c r="N5231" s="13">
        <v>6.973E-2</v>
      </c>
      <c r="O5231" s="32"/>
      <c r="P5231" s="32"/>
      <c r="Q5231" s="32"/>
    </row>
    <row r="5232" spans="1:19">
      <c r="A5232" s="47" t="s">
        <v>147</v>
      </c>
      <c r="B5232" s="48" t="s">
        <v>148</v>
      </c>
      <c r="C5232" s="32">
        <v>352</v>
      </c>
      <c r="D5232" s="20" t="s">
        <v>75</v>
      </c>
      <c r="E5232" s="48" t="s">
        <v>160</v>
      </c>
      <c r="F5232" s="48" t="s">
        <v>25</v>
      </c>
      <c r="G5232" s="11">
        <v>7.34</v>
      </c>
      <c r="H5232" s="52">
        <v>9.8000000000000007</v>
      </c>
      <c r="I5232" s="224">
        <v>1</v>
      </c>
      <c r="J5232" s="10">
        <v>7.1931999999999996E-2</v>
      </c>
      <c r="K5232" s="32"/>
      <c r="L5232" s="18">
        <v>0</v>
      </c>
      <c r="M5232" s="19">
        <v>1</v>
      </c>
      <c r="N5232" s="13">
        <v>7.1931999999999996E-2</v>
      </c>
      <c r="O5232" s="32"/>
      <c r="P5232" s="32"/>
      <c r="Q5232" s="32"/>
    </row>
    <row r="5233" spans="1:17">
      <c r="A5233" s="47" t="s">
        <v>147</v>
      </c>
      <c r="B5233" s="48" t="s">
        <v>148</v>
      </c>
      <c r="C5233" s="32">
        <v>354</v>
      </c>
      <c r="D5233" s="48" t="s">
        <v>163</v>
      </c>
      <c r="E5233" s="48" t="s">
        <v>160</v>
      </c>
      <c r="F5233" s="48" t="s">
        <v>25</v>
      </c>
      <c r="G5233" s="11">
        <v>7.34</v>
      </c>
      <c r="H5233" s="8">
        <v>10.9</v>
      </c>
      <c r="I5233" s="7">
        <v>1</v>
      </c>
      <c r="J5233" s="10">
        <v>8.0005999999999994E-2</v>
      </c>
      <c r="K5233" s="32"/>
      <c r="L5233" s="18">
        <v>0</v>
      </c>
      <c r="M5233" s="19">
        <v>1</v>
      </c>
      <c r="N5233" s="13">
        <v>8.0005999999999994E-2</v>
      </c>
      <c r="O5233" s="9"/>
      <c r="P5233" s="2"/>
      <c r="Q5233" s="2"/>
    </row>
    <row r="5234" spans="1:17">
      <c r="A5234" s="44" t="s">
        <v>78</v>
      </c>
      <c r="B5234" s="3" t="s">
        <v>80</v>
      </c>
      <c r="C5234" s="3">
        <v>11</v>
      </c>
      <c r="D5234" s="20" t="s">
        <v>76</v>
      </c>
      <c r="E5234" s="7" t="s">
        <v>15</v>
      </c>
      <c r="F5234" s="7" t="s">
        <v>25</v>
      </c>
      <c r="G5234" s="11">
        <v>7.34</v>
      </c>
      <c r="H5234" s="8">
        <v>10.3</v>
      </c>
      <c r="I5234" s="26">
        <v>3</v>
      </c>
      <c r="J5234" s="10">
        <v>0.22680600000000001</v>
      </c>
      <c r="K5234" s="17"/>
      <c r="L5234" s="18">
        <v>0</v>
      </c>
      <c r="M5234" s="19">
        <v>3</v>
      </c>
      <c r="N5234" s="13">
        <v>0.22680600000000001</v>
      </c>
      <c r="O5234" s="9"/>
      <c r="P5234" s="2"/>
      <c r="Q5234" s="2"/>
    </row>
    <row r="5235" spans="1:17">
      <c r="A5235" s="45" t="s">
        <v>136</v>
      </c>
      <c r="B5235" s="32" t="s">
        <v>137</v>
      </c>
      <c r="C5235" s="3">
        <v>12</v>
      </c>
      <c r="D5235" s="20" t="s">
        <v>89</v>
      </c>
      <c r="E5235" s="7" t="s">
        <v>15</v>
      </c>
      <c r="F5235" s="7" t="s">
        <v>25</v>
      </c>
      <c r="G5235" s="11">
        <v>7.34</v>
      </c>
      <c r="H5235" s="55">
        <v>8.8000000000000007</v>
      </c>
      <c r="I5235" s="225">
        <v>1</v>
      </c>
      <c r="J5235" s="10">
        <v>6.4591999999999997E-2</v>
      </c>
      <c r="K5235" s="17"/>
      <c r="L5235" s="18">
        <v>0</v>
      </c>
      <c r="M5235" s="19">
        <v>1</v>
      </c>
      <c r="N5235" s="13">
        <v>6.4591999999999997E-2</v>
      </c>
      <c r="O5235" s="32"/>
      <c r="P5235" s="32"/>
      <c r="Q5235" s="32"/>
    </row>
    <row r="5236" spans="1:17">
      <c r="A5236" s="45" t="s">
        <v>136</v>
      </c>
      <c r="B5236" s="32" t="s">
        <v>137</v>
      </c>
      <c r="C5236" s="3">
        <v>12</v>
      </c>
      <c r="D5236" s="20" t="s">
        <v>89</v>
      </c>
      <c r="E5236" s="7" t="s">
        <v>15</v>
      </c>
      <c r="F5236" s="7" t="s">
        <v>25</v>
      </c>
      <c r="G5236" s="11">
        <v>7.34</v>
      </c>
      <c r="H5236" s="55">
        <v>9</v>
      </c>
      <c r="I5236" s="225">
        <v>1</v>
      </c>
      <c r="J5236" s="10">
        <v>6.6060000000000008E-2</v>
      </c>
      <c r="K5236" s="17"/>
      <c r="L5236" s="18">
        <v>0</v>
      </c>
      <c r="M5236" s="19">
        <v>1</v>
      </c>
      <c r="N5236" s="13">
        <v>6.6060000000000008E-2</v>
      </c>
      <c r="O5236" s="32"/>
      <c r="P5236" s="32"/>
      <c r="Q5236" s="32"/>
    </row>
    <row r="5237" spans="1:17">
      <c r="A5237" s="45" t="s">
        <v>136</v>
      </c>
      <c r="B5237" s="32" t="s">
        <v>137</v>
      </c>
      <c r="C5237" s="3">
        <v>12</v>
      </c>
      <c r="D5237" s="20" t="s">
        <v>89</v>
      </c>
      <c r="E5237" s="7" t="s">
        <v>15</v>
      </c>
      <c r="F5237" s="7" t="s">
        <v>25</v>
      </c>
      <c r="G5237" s="11">
        <v>7.34</v>
      </c>
      <c r="H5237" s="55">
        <v>9.4</v>
      </c>
      <c r="I5237" s="225">
        <v>4</v>
      </c>
      <c r="J5237" s="10">
        <v>0.27598400000000001</v>
      </c>
      <c r="K5237" s="17"/>
      <c r="L5237" s="18">
        <v>0</v>
      </c>
      <c r="M5237" s="19">
        <v>4</v>
      </c>
      <c r="N5237" s="13">
        <v>0.27598400000000001</v>
      </c>
      <c r="O5237" s="32"/>
      <c r="P5237" s="32"/>
      <c r="Q5237" s="32"/>
    </row>
    <row r="5238" spans="1:17">
      <c r="A5238" s="45" t="s">
        <v>136</v>
      </c>
      <c r="B5238" s="32" t="s">
        <v>137</v>
      </c>
      <c r="C5238" s="3">
        <v>12</v>
      </c>
      <c r="D5238" s="20" t="s">
        <v>89</v>
      </c>
      <c r="E5238" s="7" t="s">
        <v>15</v>
      </c>
      <c r="F5238" s="7" t="s">
        <v>25</v>
      </c>
      <c r="G5238" s="11">
        <v>7.34</v>
      </c>
      <c r="H5238" s="55">
        <v>9.5</v>
      </c>
      <c r="I5238" s="225">
        <v>1</v>
      </c>
      <c r="J5238" s="10">
        <v>6.973E-2</v>
      </c>
      <c r="K5238" s="17"/>
      <c r="L5238" s="18">
        <v>0</v>
      </c>
      <c r="M5238" s="19">
        <v>1</v>
      </c>
      <c r="N5238" s="13">
        <v>6.973E-2</v>
      </c>
      <c r="O5238" s="32"/>
      <c r="P5238" s="32"/>
      <c r="Q5238" s="32"/>
    </row>
    <row r="5239" spans="1:17">
      <c r="A5239" s="45" t="s">
        <v>136</v>
      </c>
      <c r="B5239" s="32" t="s">
        <v>137</v>
      </c>
      <c r="C5239" s="3">
        <v>12</v>
      </c>
      <c r="D5239" s="20" t="s">
        <v>89</v>
      </c>
      <c r="E5239" s="7" t="s">
        <v>15</v>
      </c>
      <c r="F5239" s="7" t="s">
        <v>25</v>
      </c>
      <c r="G5239" s="11">
        <v>7.34</v>
      </c>
      <c r="H5239" s="55">
        <v>9.6</v>
      </c>
      <c r="I5239" s="225">
        <v>5</v>
      </c>
      <c r="J5239" s="10">
        <v>0.35231999999999997</v>
      </c>
      <c r="K5239" s="17"/>
      <c r="L5239" s="18">
        <v>0</v>
      </c>
      <c r="M5239" s="19">
        <v>5</v>
      </c>
      <c r="N5239" s="13">
        <v>0.35231999999999997</v>
      </c>
      <c r="O5239" s="32"/>
      <c r="P5239" s="32"/>
      <c r="Q5239" s="32"/>
    </row>
    <row r="5240" spans="1:17">
      <c r="P5240" s="76">
        <f>SUM(P5230:P5239)</f>
        <v>3</v>
      </c>
    </row>
    <row r="5242" spans="1:17">
      <c r="A5242" s="42"/>
      <c r="B5242" s="3" t="s">
        <v>122</v>
      </c>
      <c r="C5242" s="3"/>
      <c r="D5242" s="20" t="s">
        <v>114</v>
      </c>
      <c r="E5242" s="7" t="s">
        <v>15</v>
      </c>
      <c r="F5242" s="7" t="s">
        <v>25</v>
      </c>
      <c r="G5242" s="11">
        <v>7.34</v>
      </c>
      <c r="H5242" s="8">
        <v>10</v>
      </c>
      <c r="I5242" s="26">
        <v>1</v>
      </c>
      <c r="J5242" s="10">
        <v>7.3400000000000007E-2</v>
      </c>
      <c r="K5242" s="17">
        <v>1</v>
      </c>
      <c r="L5242" s="18">
        <v>7.3400000000000007E-2</v>
      </c>
      <c r="M5242" s="19">
        <v>0</v>
      </c>
      <c r="N5242" s="13">
        <v>0</v>
      </c>
      <c r="O5242" s="73">
        <v>9.5500000000000007</v>
      </c>
      <c r="P5242" s="74">
        <v>1</v>
      </c>
      <c r="Q5242" s="74" t="s">
        <v>701</v>
      </c>
    </row>
    <row r="5243" spans="1:17">
      <c r="A5243" s="42"/>
      <c r="B5243" s="3" t="s">
        <v>122</v>
      </c>
      <c r="C5243" s="3"/>
      <c r="D5243" s="20" t="s">
        <v>114</v>
      </c>
      <c r="E5243" s="7" t="s">
        <v>15</v>
      </c>
      <c r="F5243" s="7" t="s">
        <v>25</v>
      </c>
      <c r="G5243" s="11">
        <v>7.34</v>
      </c>
      <c r="H5243" s="8">
        <v>10.199999999999999</v>
      </c>
      <c r="I5243" s="26">
        <v>1</v>
      </c>
      <c r="J5243" s="10">
        <v>7.486799999999999E-2</v>
      </c>
      <c r="K5243" s="17">
        <v>1</v>
      </c>
      <c r="L5243" s="18">
        <v>7.486799999999999E-2</v>
      </c>
      <c r="M5243" s="19">
        <v>0</v>
      </c>
      <c r="N5243" s="13">
        <v>0</v>
      </c>
      <c r="O5243" s="73">
        <v>9.5500000000000007</v>
      </c>
      <c r="P5243" s="74">
        <v>1</v>
      </c>
      <c r="Q5243" s="74" t="s">
        <v>701</v>
      </c>
    </row>
    <row r="5244" spans="1:17">
      <c r="A5244" s="42"/>
      <c r="B5244" s="3" t="s">
        <v>122</v>
      </c>
      <c r="C5244" s="3"/>
      <c r="D5244" s="20" t="s">
        <v>114</v>
      </c>
      <c r="E5244" s="7" t="s">
        <v>15</v>
      </c>
      <c r="F5244" s="7" t="s">
        <v>25</v>
      </c>
      <c r="G5244" s="11">
        <v>7.34</v>
      </c>
      <c r="H5244" s="8">
        <v>10.5</v>
      </c>
      <c r="I5244" s="26">
        <v>2</v>
      </c>
      <c r="J5244" s="10">
        <v>0.15414</v>
      </c>
      <c r="K5244" s="17">
        <v>2</v>
      </c>
      <c r="L5244" s="18">
        <v>0.15414</v>
      </c>
      <c r="M5244" s="19">
        <v>0</v>
      </c>
      <c r="N5244" s="13">
        <v>0</v>
      </c>
      <c r="O5244" s="9"/>
      <c r="P5244" s="2"/>
      <c r="Q5244" s="2"/>
    </row>
    <row r="5245" spans="1:17">
      <c r="A5245" s="42" t="s">
        <v>90</v>
      </c>
      <c r="B5245" s="48" t="s">
        <v>148</v>
      </c>
      <c r="C5245" s="32">
        <v>43</v>
      </c>
      <c r="D5245" s="48" t="s">
        <v>20</v>
      </c>
      <c r="E5245" s="48" t="s">
        <v>15</v>
      </c>
      <c r="F5245" s="48" t="s">
        <v>25</v>
      </c>
      <c r="G5245" s="11">
        <v>7.34</v>
      </c>
      <c r="H5245" s="52">
        <v>9.1999999999999993</v>
      </c>
      <c r="I5245" s="7">
        <v>1</v>
      </c>
      <c r="J5245" s="10">
        <v>6.7527999999999991E-2</v>
      </c>
      <c r="K5245" s="32">
        <v>1</v>
      </c>
      <c r="L5245" s="18">
        <v>6.7527999999999991E-2</v>
      </c>
      <c r="M5245" s="19">
        <v>0</v>
      </c>
      <c r="N5245" s="13">
        <v>0</v>
      </c>
      <c r="O5245" s="32"/>
      <c r="P5245" s="32"/>
      <c r="Q5245" s="32"/>
    </row>
    <row r="5246" spans="1:17">
      <c r="A5246" s="42" t="s">
        <v>90</v>
      </c>
      <c r="B5246" s="48" t="s">
        <v>148</v>
      </c>
      <c r="C5246" s="32">
        <v>43</v>
      </c>
      <c r="D5246" s="48" t="s">
        <v>20</v>
      </c>
      <c r="E5246" s="48" t="s">
        <v>15</v>
      </c>
      <c r="F5246" s="48" t="s">
        <v>25</v>
      </c>
      <c r="G5246" s="11">
        <v>7.34</v>
      </c>
      <c r="H5246" s="52">
        <v>11.5</v>
      </c>
      <c r="I5246" s="7">
        <v>4</v>
      </c>
      <c r="J5246" s="10">
        <v>0.33764</v>
      </c>
      <c r="K5246" s="32">
        <v>4</v>
      </c>
      <c r="L5246" s="18">
        <v>0.33764</v>
      </c>
      <c r="M5246" s="19">
        <v>0</v>
      </c>
      <c r="N5246" s="13">
        <v>0</v>
      </c>
      <c r="O5246" s="32"/>
      <c r="P5246" s="32"/>
      <c r="Q5246" s="32"/>
    </row>
    <row r="5247" spans="1:17">
      <c r="A5247" s="42" t="s">
        <v>90</v>
      </c>
      <c r="B5247" s="48" t="s">
        <v>148</v>
      </c>
      <c r="C5247" s="32">
        <v>43</v>
      </c>
      <c r="D5247" s="48" t="s">
        <v>20</v>
      </c>
      <c r="E5247" s="48" t="s">
        <v>15</v>
      </c>
      <c r="F5247" s="48" t="s">
        <v>25</v>
      </c>
      <c r="G5247" s="11">
        <v>7.34</v>
      </c>
      <c r="H5247" s="52">
        <v>7.3</v>
      </c>
      <c r="I5247" s="7">
        <v>1</v>
      </c>
      <c r="J5247" s="10">
        <v>5.3581999999999998E-2</v>
      </c>
      <c r="K5247" s="32">
        <v>1</v>
      </c>
      <c r="L5247" s="18">
        <v>5.3581999999999998E-2</v>
      </c>
      <c r="M5247" s="19">
        <v>0</v>
      </c>
      <c r="N5247" s="13">
        <v>0</v>
      </c>
      <c r="O5247" s="32"/>
      <c r="P5247" s="32"/>
      <c r="Q5247" s="32"/>
    </row>
    <row r="5248" spans="1:17">
      <c r="A5248" s="42" t="s">
        <v>90</v>
      </c>
      <c r="B5248" s="48" t="s">
        <v>148</v>
      </c>
      <c r="C5248" s="32">
        <v>43</v>
      </c>
      <c r="D5248" s="48" t="s">
        <v>20</v>
      </c>
      <c r="E5248" s="48" t="s">
        <v>15</v>
      </c>
      <c r="F5248" s="48" t="s">
        <v>25</v>
      </c>
      <c r="G5248" s="11">
        <v>7.34</v>
      </c>
      <c r="H5248" s="52">
        <v>7</v>
      </c>
      <c r="I5248" s="7">
        <v>1</v>
      </c>
      <c r="J5248" s="10">
        <v>5.1379999999999995E-2</v>
      </c>
      <c r="K5248" s="32">
        <v>1</v>
      </c>
      <c r="L5248" s="18">
        <v>5.1379999999999995E-2</v>
      </c>
      <c r="M5248" s="19">
        <v>0</v>
      </c>
      <c r="N5248" s="13">
        <v>0</v>
      </c>
      <c r="O5248" s="32"/>
      <c r="P5248" s="32"/>
      <c r="Q5248" s="32"/>
    </row>
    <row r="5249" spans="1:17">
      <c r="A5249" s="42" t="s">
        <v>90</v>
      </c>
      <c r="B5249" s="48" t="s">
        <v>148</v>
      </c>
      <c r="C5249" s="32">
        <v>55</v>
      </c>
      <c r="D5249" s="48" t="s">
        <v>17</v>
      </c>
      <c r="E5249" s="48" t="s">
        <v>15</v>
      </c>
      <c r="F5249" s="48" t="s">
        <v>25</v>
      </c>
      <c r="G5249" s="11">
        <v>7.34</v>
      </c>
      <c r="H5249" s="52">
        <v>9</v>
      </c>
      <c r="I5249" s="7">
        <v>2</v>
      </c>
      <c r="J5249" s="10">
        <v>0.13212000000000002</v>
      </c>
      <c r="K5249" s="32">
        <v>2</v>
      </c>
      <c r="L5249" s="18">
        <v>0.13212000000000002</v>
      </c>
      <c r="M5249" s="19">
        <v>0</v>
      </c>
      <c r="N5249" s="13">
        <v>0</v>
      </c>
      <c r="O5249" s="32"/>
      <c r="P5249" s="32"/>
      <c r="Q5249" s="33"/>
    </row>
    <row r="5250" spans="1:17">
      <c r="A5250" s="42" t="s">
        <v>90</v>
      </c>
      <c r="B5250" s="48" t="s">
        <v>148</v>
      </c>
      <c r="C5250" s="32">
        <v>56</v>
      </c>
      <c r="D5250" s="48" t="s">
        <v>157</v>
      </c>
      <c r="E5250" s="48" t="s">
        <v>15</v>
      </c>
      <c r="F5250" s="48" t="s">
        <v>25</v>
      </c>
      <c r="G5250" s="11">
        <v>7.36</v>
      </c>
      <c r="H5250" s="8">
        <v>8.5</v>
      </c>
      <c r="I5250" s="7">
        <v>3</v>
      </c>
      <c r="J5250" s="10">
        <v>0.18768000000000001</v>
      </c>
      <c r="K5250" s="32">
        <v>3</v>
      </c>
      <c r="L5250" s="18">
        <v>0.18768000000000001</v>
      </c>
      <c r="M5250" s="64">
        <v>0</v>
      </c>
      <c r="N5250" s="65">
        <v>0</v>
      </c>
      <c r="O5250" s="75">
        <v>7.4</v>
      </c>
      <c r="P5250" s="72">
        <v>3</v>
      </c>
      <c r="Q5250" s="74" t="s">
        <v>701</v>
      </c>
    </row>
    <row r="5251" spans="1:17">
      <c r="A5251" s="42" t="s">
        <v>90</v>
      </c>
      <c r="B5251" s="48" t="s">
        <v>148</v>
      </c>
      <c r="C5251" s="32">
        <v>56</v>
      </c>
      <c r="D5251" s="48" t="s">
        <v>157</v>
      </c>
      <c r="E5251" s="48" t="s">
        <v>15</v>
      </c>
      <c r="F5251" s="48" t="s">
        <v>25</v>
      </c>
      <c r="G5251" s="11">
        <v>7.36</v>
      </c>
      <c r="H5251" s="8">
        <v>9</v>
      </c>
      <c r="I5251" s="7">
        <v>8</v>
      </c>
      <c r="J5251" s="10">
        <v>0.52992000000000006</v>
      </c>
      <c r="K5251" s="32">
        <v>8</v>
      </c>
      <c r="L5251" s="18">
        <v>0.52992000000000006</v>
      </c>
      <c r="M5251" s="64">
        <v>0</v>
      </c>
      <c r="N5251" s="65">
        <v>0</v>
      </c>
      <c r="O5251" s="75">
        <v>7.4</v>
      </c>
      <c r="P5251" s="72">
        <v>8</v>
      </c>
      <c r="Q5251" s="74" t="s">
        <v>701</v>
      </c>
    </row>
    <row r="5252" spans="1:17">
      <c r="A5252" s="42" t="s">
        <v>90</v>
      </c>
      <c r="B5252" s="48" t="s">
        <v>148</v>
      </c>
      <c r="C5252" s="32">
        <v>64</v>
      </c>
      <c r="D5252" s="48" t="s">
        <v>20</v>
      </c>
      <c r="E5252" s="48" t="s">
        <v>15</v>
      </c>
      <c r="F5252" s="48" t="s">
        <v>25</v>
      </c>
      <c r="G5252" s="11">
        <v>7.34</v>
      </c>
      <c r="H5252" s="52">
        <v>9.8000000000000007</v>
      </c>
      <c r="I5252" s="7">
        <v>2</v>
      </c>
      <c r="J5252" s="10">
        <v>0.14386399999999999</v>
      </c>
      <c r="K5252" s="32">
        <v>2</v>
      </c>
      <c r="L5252" s="18">
        <v>0.14386399999999999</v>
      </c>
      <c r="M5252" s="19">
        <v>0</v>
      </c>
      <c r="N5252" s="13">
        <v>0</v>
      </c>
      <c r="O5252" s="75">
        <v>9.5500000000000007</v>
      </c>
      <c r="P5252" s="72">
        <v>2</v>
      </c>
      <c r="Q5252" s="74" t="s">
        <v>701</v>
      </c>
    </row>
    <row r="5253" spans="1:17">
      <c r="A5253" s="42" t="s">
        <v>90</v>
      </c>
      <c r="B5253" s="48" t="s">
        <v>148</v>
      </c>
      <c r="C5253" s="32">
        <v>64</v>
      </c>
      <c r="D5253" s="48" t="s">
        <v>20</v>
      </c>
      <c r="E5253" s="48" t="s">
        <v>15</v>
      </c>
      <c r="F5253" s="48" t="s">
        <v>25</v>
      </c>
      <c r="G5253" s="11">
        <v>7.34</v>
      </c>
      <c r="H5253" s="8">
        <v>9.5</v>
      </c>
      <c r="I5253" s="7">
        <v>3</v>
      </c>
      <c r="J5253" s="10">
        <v>0.20918999999999999</v>
      </c>
      <c r="K5253" s="32">
        <v>3</v>
      </c>
      <c r="L5253" s="18">
        <v>0.20918999999999999</v>
      </c>
      <c r="M5253" s="19">
        <v>0</v>
      </c>
      <c r="N5253" s="13">
        <v>0</v>
      </c>
      <c r="O5253" s="75">
        <v>7.4</v>
      </c>
      <c r="P5253" s="72">
        <v>3</v>
      </c>
      <c r="Q5253" s="74" t="s">
        <v>701</v>
      </c>
    </row>
    <row r="5254" spans="1:17">
      <c r="A5254" s="42" t="s">
        <v>90</v>
      </c>
      <c r="B5254" s="48" t="s">
        <v>148</v>
      </c>
      <c r="C5254" s="32">
        <v>64</v>
      </c>
      <c r="D5254" s="48" t="s">
        <v>20</v>
      </c>
      <c r="E5254" s="48" t="s">
        <v>15</v>
      </c>
      <c r="F5254" s="48" t="s">
        <v>25</v>
      </c>
      <c r="G5254" s="11">
        <v>7.34</v>
      </c>
      <c r="H5254" s="52">
        <v>10.8</v>
      </c>
      <c r="I5254" s="7">
        <v>1</v>
      </c>
      <c r="J5254" s="10">
        <v>7.9272000000000009E-2</v>
      </c>
      <c r="K5254" s="32">
        <v>1</v>
      </c>
      <c r="L5254" s="18">
        <v>7.9272000000000009E-2</v>
      </c>
      <c r="M5254" s="19">
        <v>0</v>
      </c>
      <c r="N5254" s="13">
        <v>0</v>
      </c>
      <c r="O5254" s="75">
        <v>9.5500000000000007</v>
      </c>
      <c r="P5254" s="72">
        <v>1</v>
      </c>
      <c r="Q5254" s="74" t="s">
        <v>701</v>
      </c>
    </row>
    <row r="5255" spans="1:17">
      <c r="A5255" s="42" t="s">
        <v>90</v>
      </c>
      <c r="B5255" s="48" t="s">
        <v>148</v>
      </c>
      <c r="C5255" s="32">
        <v>64</v>
      </c>
      <c r="D5255" s="48" t="s">
        <v>20</v>
      </c>
      <c r="E5255" s="48" t="s">
        <v>15</v>
      </c>
      <c r="F5255" s="48" t="s">
        <v>25</v>
      </c>
      <c r="G5255" s="11">
        <v>7.34</v>
      </c>
      <c r="H5255" s="52">
        <v>9.1999999999999993</v>
      </c>
      <c r="I5255" s="7">
        <v>1</v>
      </c>
      <c r="J5255" s="10">
        <v>6.7527999999999991E-2</v>
      </c>
      <c r="K5255" s="32">
        <v>1</v>
      </c>
      <c r="L5255" s="18">
        <v>6.7527999999999991E-2</v>
      </c>
      <c r="M5255" s="19">
        <v>0</v>
      </c>
      <c r="N5255" s="13">
        <v>0</v>
      </c>
      <c r="O5255" s="75">
        <v>7.4</v>
      </c>
      <c r="P5255" s="72">
        <v>1</v>
      </c>
      <c r="Q5255" s="74" t="s">
        <v>701</v>
      </c>
    </row>
    <row r="5256" spans="1:17">
      <c r="A5256" s="42" t="s">
        <v>90</v>
      </c>
      <c r="B5256" s="3"/>
      <c r="C5256" s="3">
        <v>115</v>
      </c>
      <c r="D5256" s="20" t="s">
        <v>96</v>
      </c>
      <c r="E5256" s="7" t="s">
        <v>15</v>
      </c>
      <c r="F5256" s="7" t="s">
        <v>25</v>
      </c>
      <c r="G5256" s="11">
        <v>7.34</v>
      </c>
      <c r="H5256" s="8">
        <v>10.5</v>
      </c>
      <c r="I5256" s="26">
        <v>1</v>
      </c>
      <c r="J5256" s="10">
        <v>7.707E-2</v>
      </c>
      <c r="K5256" s="17">
        <v>1</v>
      </c>
      <c r="L5256" s="18">
        <v>7.707E-2</v>
      </c>
      <c r="M5256" s="19">
        <v>0</v>
      </c>
      <c r="N5256" s="13">
        <v>0</v>
      </c>
      <c r="O5256" s="81">
        <v>9.5500000000000007</v>
      </c>
      <c r="P5256" s="74">
        <v>1</v>
      </c>
      <c r="Q5256" s="74" t="s">
        <v>701</v>
      </c>
    </row>
    <row r="5257" spans="1:17">
      <c r="A5257" s="42" t="s">
        <v>90</v>
      </c>
      <c r="B5257" s="3"/>
      <c r="C5257" s="3">
        <v>135</v>
      </c>
      <c r="D5257" s="12" t="s">
        <v>20</v>
      </c>
      <c r="E5257" s="7" t="s">
        <v>15</v>
      </c>
      <c r="F5257" s="7" t="s">
        <v>25</v>
      </c>
      <c r="G5257" s="11">
        <v>7.34</v>
      </c>
      <c r="H5257" s="8">
        <v>8.4</v>
      </c>
      <c r="I5257" s="26">
        <v>1</v>
      </c>
      <c r="J5257" s="10">
        <v>6.1655999999999996E-2</v>
      </c>
      <c r="K5257" s="17">
        <v>1</v>
      </c>
      <c r="L5257" s="18">
        <v>6.1655999999999996E-2</v>
      </c>
      <c r="M5257" s="19">
        <v>0</v>
      </c>
      <c r="N5257" s="13">
        <v>0</v>
      </c>
      <c r="O5257" s="75">
        <v>7.4</v>
      </c>
      <c r="P5257" s="74">
        <v>1</v>
      </c>
      <c r="Q5257" s="74" t="s">
        <v>701</v>
      </c>
    </row>
    <row r="5258" spans="1:17">
      <c r="A5258" s="42" t="s">
        <v>90</v>
      </c>
      <c r="B5258" s="3"/>
      <c r="C5258" s="3">
        <v>135</v>
      </c>
      <c r="D5258" s="12" t="s">
        <v>20</v>
      </c>
      <c r="E5258" s="7" t="s">
        <v>15</v>
      </c>
      <c r="F5258" s="7" t="s">
        <v>25</v>
      </c>
      <c r="G5258" s="11">
        <v>7.34</v>
      </c>
      <c r="H5258" s="8">
        <v>8</v>
      </c>
      <c r="I5258" s="26">
        <v>2</v>
      </c>
      <c r="J5258" s="10">
        <v>0.11744</v>
      </c>
      <c r="K5258" s="17">
        <v>2</v>
      </c>
      <c r="L5258" s="18">
        <v>0.11744</v>
      </c>
      <c r="M5258" s="19">
        <v>0</v>
      </c>
      <c r="N5258" s="13">
        <v>0</v>
      </c>
      <c r="O5258" s="75">
        <v>7.4</v>
      </c>
      <c r="P5258" s="74">
        <v>2</v>
      </c>
      <c r="Q5258" s="74" t="s">
        <v>701</v>
      </c>
    </row>
    <row r="5259" spans="1:17">
      <c r="A5259" s="42" t="s">
        <v>90</v>
      </c>
      <c r="B5259" s="3"/>
      <c r="C5259" s="3">
        <v>135</v>
      </c>
      <c r="D5259" s="12" t="s">
        <v>20</v>
      </c>
      <c r="E5259" s="7" t="s">
        <v>15</v>
      </c>
      <c r="F5259" s="7" t="s">
        <v>25</v>
      </c>
      <c r="G5259" s="11">
        <v>7.34</v>
      </c>
      <c r="H5259" s="8">
        <v>8.5</v>
      </c>
      <c r="I5259" s="26">
        <v>1</v>
      </c>
      <c r="J5259" s="10">
        <v>6.2390000000000001E-2</v>
      </c>
      <c r="K5259" s="17">
        <v>1</v>
      </c>
      <c r="L5259" s="18">
        <v>6.2390000000000001E-2</v>
      </c>
      <c r="M5259" s="19">
        <v>0</v>
      </c>
      <c r="N5259" s="13">
        <v>0</v>
      </c>
      <c r="O5259" s="75">
        <v>7.4</v>
      </c>
      <c r="P5259" s="74">
        <v>1</v>
      </c>
      <c r="Q5259" s="74" t="s">
        <v>701</v>
      </c>
    </row>
    <row r="5260" spans="1:17">
      <c r="A5260" s="42" t="s">
        <v>90</v>
      </c>
      <c r="B5260" s="3"/>
      <c r="C5260" s="3">
        <v>224</v>
      </c>
      <c r="D5260" s="20" t="s">
        <v>96</v>
      </c>
      <c r="E5260" s="7" t="s">
        <v>15</v>
      </c>
      <c r="F5260" s="7" t="s">
        <v>25</v>
      </c>
      <c r="G5260" s="11">
        <v>7.34</v>
      </c>
      <c r="H5260" s="8">
        <v>12</v>
      </c>
      <c r="I5260" s="26">
        <v>2</v>
      </c>
      <c r="J5260" s="10">
        <v>0.17615999999999998</v>
      </c>
      <c r="K5260" s="17">
        <v>2</v>
      </c>
      <c r="L5260" s="18">
        <v>0.17615999999999998</v>
      </c>
      <c r="M5260" s="19">
        <v>0</v>
      </c>
      <c r="N5260" s="13">
        <v>0</v>
      </c>
      <c r="O5260" s="9"/>
      <c r="P5260" s="32"/>
      <c r="Q5260" s="32"/>
    </row>
    <row r="5261" spans="1:17">
      <c r="A5261" s="47" t="s">
        <v>147</v>
      </c>
      <c r="B5261" s="48" t="s">
        <v>148</v>
      </c>
      <c r="C5261" s="32">
        <v>360</v>
      </c>
      <c r="D5261" s="48" t="s">
        <v>17</v>
      </c>
      <c r="E5261" s="48" t="s">
        <v>160</v>
      </c>
      <c r="F5261" s="48" t="s">
        <v>25</v>
      </c>
      <c r="G5261" s="11">
        <v>7.34</v>
      </c>
      <c r="H5261" s="52">
        <v>9</v>
      </c>
      <c r="I5261" s="7">
        <v>3</v>
      </c>
      <c r="J5261" s="10">
        <v>0.19818</v>
      </c>
      <c r="K5261" s="32">
        <v>3</v>
      </c>
      <c r="L5261" s="18">
        <v>0.19818</v>
      </c>
      <c r="M5261" s="19">
        <v>0</v>
      </c>
      <c r="N5261" s="13">
        <v>0</v>
      </c>
      <c r="O5261" s="32"/>
      <c r="P5261" s="32"/>
      <c r="Q5261" s="33"/>
    </row>
    <row r="5262" spans="1:17">
      <c r="A5262" s="47" t="s">
        <v>147</v>
      </c>
      <c r="B5262" s="48" t="s">
        <v>148</v>
      </c>
      <c r="C5262" s="32">
        <v>360</v>
      </c>
      <c r="D5262" s="48" t="s">
        <v>17</v>
      </c>
      <c r="E5262" s="48" t="s">
        <v>160</v>
      </c>
      <c r="F5262" s="48" t="s">
        <v>25</v>
      </c>
      <c r="G5262" s="11">
        <v>7.34</v>
      </c>
      <c r="H5262" s="52">
        <v>7.4</v>
      </c>
      <c r="I5262" s="7">
        <v>1</v>
      </c>
      <c r="J5262" s="10">
        <v>5.4316000000000003E-2</v>
      </c>
      <c r="K5262" s="32">
        <v>1</v>
      </c>
      <c r="L5262" s="18">
        <v>5.4316000000000003E-2</v>
      </c>
      <c r="M5262" s="19">
        <v>0</v>
      </c>
      <c r="N5262" s="13">
        <v>0</v>
      </c>
      <c r="O5262" s="32"/>
      <c r="P5262" s="32"/>
      <c r="Q5262" s="33"/>
    </row>
    <row r="5263" spans="1:17">
      <c r="A5263" s="47" t="s">
        <v>147</v>
      </c>
      <c r="B5263" s="48" t="s">
        <v>148</v>
      </c>
      <c r="C5263" s="32">
        <v>360</v>
      </c>
      <c r="D5263" s="48" t="s">
        <v>17</v>
      </c>
      <c r="E5263" s="48" t="s">
        <v>160</v>
      </c>
      <c r="F5263" s="48" t="s">
        <v>25</v>
      </c>
      <c r="G5263" s="11">
        <v>7.34</v>
      </c>
      <c r="H5263" s="52">
        <v>6.3</v>
      </c>
      <c r="I5263" s="7">
        <v>2</v>
      </c>
      <c r="J5263" s="10">
        <v>9.2483999999999997E-2</v>
      </c>
      <c r="K5263" s="32">
        <v>2</v>
      </c>
      <c r="L5263" s="18">
        <v>9.2483999999999997E-2</v>
      </c>
      <c r="M5263" s="19">
        <v>0</v>
      </c>
      <c r="N5263" s="13">
        <v>0</v>
      </c>
      <c r="O5263" s="32"/>
      <c r="P5263" s="32"/>
      <c r="Q5263" s="33"/>
    </row>
    <row r="5264" spans="1:17">
      <c r="A5264" s="47" t="s">
        <v>147</v>
      </c>
      <c r="B5264" s="48" t="s">
        <v>148</v>
      </c>
      <c r="C5264" s="32">
        <v>301</v>
      </c>
      <c r="D5264" s="48" t="s">
        <v>20</v>
      </c>
      <c r="E5264" s="48" t="s">
        <v>160</v>
      </c>
      <c r="F5264" s="48" t="s">
        <v>25</v>
      </c>
      <c r="G5264" s="11">
        <v>7.34</v>
      </c>
      <c r="H5264" s="52">
        <v>10.5</v>
      </c>
      <c r="I5264" s="7">
        <v>4</v>
      </c>
      <c r="J5264" s="10">
        <v>0.30828</v>
      </c>
      <c r="K5264" s="32">
        <v>4</v>
      </c>
      <c r="L5264" s="18">
        <v>0.30828</v>
      </c>
      <c r="M5264" s="19">
        <v>0</v>
      </c>
      <c r="N5264" s="13">
        <v>0</v>
      </c>
      <c r="O5264" s="73">
        <v>9.5500000000000007</v>
      </c>
      <c r="P5264" s="74">
        <v>1</v>
      </c>
      <c r="Q5264" s="74" t="s">
        <v>701</v>
      </c>
    </row>
    <row r="5265" spans="1:20">
      <c r="A5265" s="45" t="s">
        <v>136</v>
      </c>
      <c r="B5265" s="48" t="s">
        <v>171</v>
      </c>
      <c r="C5265" s="32">
        <v>138</v>
      </c>
      <c r="D5265" s="48" t="s">
        <v>20</v>
      </c>
      <c r="E5265" s="48" t="s">
        <v>15</v>
      </c>
      <c r="F5265" s="48" t="s">
        <v>25</v>
      </c>
      <c r="G5265" s="11">
        <v>7.34</v>
      </c>
      <c r="H5265" s="8">
        <v>6.8</v>
      </c>
      <c r="I5265" s="7">
        <v>1</v>
      </c>
      <c r="J5265" s="10">
        <v>4.9911999999999998E-2</v>
      </c>
      <c r="K5265" s="32">
        <v>1</v>
      </c>
      <c r="L5265" s="18">
        <v>4.9911999999999998E-2</v>
      </c>
      <c r="M5265" s="19">
        <v>0</v>
      </c>
      <c r="N5265" s="13">
        <v>0</v>
      </c>
      <c r="O5265" s="75">
        <v>6</v>
      </c>
      <c r="P5265" s="72">
        <v>1</v>
      </c>
      <c r="Q5265" s="72" t="s">
        <v>702</v>
      </c>
    </row>
    <row r="5266" spans="1:20">
      <c r="M5266" s="215">
        <f>SUM(M5242:M5265)</f>
        <v>0</v>
      </c>
      <c r="P5266" s="215">
        <f>SUM(P5242:P5265)</f>
        <v>27</v>
      </c>
    </row>
    <row r="5269" spans="1:20" ht="15.6">
      <c r="A5269" s="110" t="s">
        <v>377</v>
      </c>
      <c r="B5269" s="111" t="s">
        <v>232</v>
      </c>
      <c r="C5269" s="112" t="s">
        <v>228</v>
      </c>
      <c r="D5269" s="113" t="s">
        <v>20</v>
      </c>
      <c r="E5269" s="114" t="s">
        <v>15</v>
      </c>
      <c r="F5269" s="115" t="s">
        <v>25</v>
      </c>
      <c r="G5269" s="116">
        <v>7.34</v>
      </c>
      <c r="H5269" s="125">
        <v>8.25</v>
      </c>
      <c r="I5269" s="111">
        <f>42+35+48+44</f>
        <v>169</v>
      </c>
      <c r="J5269" s="117">
        <f t="shared" ref="J5269:J5284" si="690">H5269*G5269*I5269/1000</f>
        <v>10.233795000000001</v>
      </c>
      <c r="K5269" s="118"/>
      <c r="L5269" s="111">
        <f>160+9</f>
        <v>169</v>
      </c>
      <c r="M5269" s="117">
        <f t="shared" ref="M5269:M5284" si="691">H5269*L5269*G5269/1000</f>
        <v>10.233795000000001</v>
      </c>
      <c r="N5269" s="119">
        <f t="shared" ref="N5269:N5284" si="692">I5269-L5269</f>
        <v>0</v>
      </c>
      <c r="O5269" s="120">
        <f t="shared" ref="O5269:O5282" si="693">H5269*N5269*G5269/1000</f>
        <v>0</v>
      </c>
      <c r="P5269" s="111"/>
      <c r="Q5269" s="32"/>
      <c r="R5269" s="111"/>
      <c r="S5269" s="45"/>
      <c r="T5269" s="213"/>
    </row>
    <row r="5270" spans="1:20" ht="15.6">
      <c r="A5270" s="110" t="s">
        <v>377</v>
      </c>
      <c r="B5270" s="111" t="s">
        <v>232</v>
      </c>
      <c r="C5270" s="112" t="s">
        <v>228</v>
      </c>
      <c r="D5270" s="113" t="s">
        <v>20</v>
      </c>
      <c r="E5270" s="114" t="s">
        <v>15</v>
      </c>
      <c r="F5270" s="115" t="s">
        <v>25</v>
      </c>
      <c r="G5270" s="116">
        <v>7.34</v>
      </c>
      <c r="H5270" s="125">
        <v>10</v>
      </c>
      <c r="I5270" s="111">
        <f>38+9+34</f>
        <v>81</v>
      </c>
      <c r="J5270" s="117">
        <f t="shared" si="690"/>
        <v>5.9454000000000002</v>
      </c>
      <c r="K5270" s="118"/>
      <c r="L5270" s="111">
        <v>81</v>
      </c>
      <c r="M5270" s="117">
        <f t="shared" si="691"/>
        <v>5.9453999999999994</v>
      </c>
      <c r="N5270" s="119">
        <f t="shared" si="692"/>
        <v>0</v>
      </c>
      <c r="O5270" s="120">
        <f t="shared" si="693"/>
        <v>0</v>
      </c>
      <c r="P5270" s="111"/>
      <c r="Q5270" s="32"/>
      <c r="R5270" s="32"/>
      <c r="S5270" s="213"/>
      <c r="T5270" s="213"/>
    </row>
    <row r="5271" spans="1:20" ht="15.6">
      <c r="A5271" s="110" t="s">
        <v>377</v>
      </c>
      <c r="B5271" s="111" t="s">
        <v>232</v>
      </c>
      <c r="C5271" s="112" t="s">
        <v>228</v>
      </c>
      <c r="D5271" s="113" t="s">
        <v>20</v>
      </c>
      <c r="E5271" s="114" t="s">
        <v>15</v>
      </c>
      <c r="F5271" s="115" t="s">
        <v>25</v>
      </c>
      <c r="G5271" s="116">
        <v>7.34</v>
      </c>
      <c r="H5271" s="125">
        <v>8.25</v>
      </c>
      <c r="I5271" s="111">
        <v>21</v>
      </c>
      <c r="J5271" s="117">
        <f t="shared" si="690"/>
        <v>1.271655</v>
      </c>
      <c r="K5271" s="118"/>
      <c r="L5271" s="111">
        <f>17+4</f>
        <v>21</v>
      </c>
      <c r="M5271" s="117">
        <f t="shared" si="691"/>
        <v>1.271655</v>
      </c>
      <c r="N5271" s="119">
        <f t="shared" si="692"/>
        <v>0</v>
      </c>
      <c r="O5271" s="120">
        <f t="shared" si="693"/>
        <v>0</v>
      </c>
      <c r="P5271" s="111">
        <v>8</v>
      </c>
      <c r="Q5271" s="32">
        <v>17</v>
      </c>
      <c r="R5271" s="32"/>
      <c r="S5271" s="354"/>
      <c r="T5271" s="213"/>
    </row>
    <row r="5272" spans="1:20" ht="15.6">
      <c r="A5272" s="110" t="s">
        <v>377</v>
      </c>
      <c r="B5272" s="111" t="s">
        <v>232</v>
      </c>
      <c r="C5272" s="112" t="s">
        <v>228</v>
      </c>
      <c r="D5272" s="113" t="s">
        <v>20</v>
      </c>
      <c r="E5272" s="114" t="s">
        <v>15</v>
      </c>
      <c r="F5272" s="115" t="s">
        <v>25</v>
      </c>
      <c r="G5272" s="116">
        <v>7.34</v>
      </c>
      <c r="H5272" s="125">
        <v>10</v>
      </c>
      <c r="I5272" s="111">
        <v>2</v>
      </c>
      <c r="J5272" s="117">
        <f t="shared" si="690"/>
        <v>0.14680000000000001</v>
      </c>
      <c r="K5272" s="118"/>
      <c r="L5272" s="111">
        <v>2</v>
      </c>
      <c r="M5272" s="117">
        <f t="shared" si="691"/>
        <v>0.14680000000000001</v>
      </c>
      <c r="N5272" s="119">
        <f t="shared" si="692"/>
        <v>0</v>
      </c>
      <c r="O5272" s="120">
        <f t="shared" si="693"/>
        <v>0</v>
      </c>
      <c r="P5272" s="111">
        <v>9.5</v>
      </c>
      <c r="Q5272" s="32">
        <v>2</v>
      </c>
      <c r="R5272" s="32"/>
      <c r="S5272" s="213"/>
      <c r="T5272" s="213"/>
    </row>
    <row r="5273" spans="1:20" ht="15.6">
      <c r="A5273" s="110" t="s">
        <v>377</v>
      </c>
      <c r="B5273" s="111" t="s">
        <v>232</v>
      </c>
      <c r="C5273" s="112" t="s">
        <v>228</v>
      </c>
      <c r="D5273" s="113" t="s">
        <v>20</v>
      </c>
      <c r="E5273" s="114" t="s">
        <v>15</v>
      </c>
      <c r="F5273" s="115" t="s">
        <v>25</v>
      </c>
      <c r="G5273" s="116">
        <v>7.34</v>
      </c>
      <c r="H5273" s="125">
        <v>8</v>
      </c>
      <c r="I5273" s="111">
        <f>49+45+33+4+4</f>
        <v>135</v>
      </c>
      <c r="J5273" s="117">
        <f t="shared" si="690"/>
        <v>7.9272</v>
      </c>
      <c r="K5273" s="118"/>
      <c r="L5273" s="111">
        <v>135</v>
      </c>
      <c r="M5273" s="117">
        <f t="shared" si="691"/>
        <v>7.9272</v>
      </c>
      <c r="N5273" s="119">
        <f t="shared" si="692"/>
        <v>0</v>
      </c>
      <c r="O5273" s="120">
        <f t="shared" si="693"/>
        <v>0</v>
      </c>
      <c r="P5273" s="111"/>
      <c r="Q5273" s="32"/>
      <c r="R5273" s="32"/>
      <c r="S5273" s="213"/>
      <c r="T5273" s="213"/>
    </row>
    <row r="5274" spans="1:20" ht="15.6">
      <c r="A5274" s="110" t="s">
        <v>377</v>
      </c>
      <c r="B5274" s="111" t="s">
        <v>232</v>
      </c>
      <c r="C5274" s="112" t="s">
        <v>228</v>
      </c>
      <c r="D5274" s="113" t="s">
        <v>20</v>
      </c>
      <c r="E5274" s="114" t="s">
        <v>15</v>
      </c>
      <c r="F5274" s="115" t="s">
        <v>25</v>
      </c>
      <c r="G5274" s="116">
        <v>7.34</v>
      </c>
      <c r="H5274" s="125">
        <v>9.5</v>
      </c>
      <c r="I5274" s="111">
        <f>6+10+3</f>
        <v>19</v>
      </c>
      <c r="J5274" s="117">
        <f t="shared" si="690"/>
        <v>1.3248700000000002</v>
      </c>
      <c r="K5274" s="118"/>
      <c r="L5274" s="111">
        <v>19</v>
      </c>
      <c r="M5274" s="117">
        <f t="shared" si="691"/>
        <v>1.32487</v>
      </c>
      <c r="N5274" s="119">
        <f t="shared" si="692"/>
        <v>0</v>
      </c>
      <c r="O5274" s="120">
        <f t="shared" si="693"/>
        <v>0</v>
      </c>
      <c r="P5274" s="111"/>
      <c r="Q5274" s="32"/>
      <c r="R5274" s="32"/>
      <c r="S5274" s="213"/>
      <c r="T5274" s="213"/>
    </row>
    <row r="5275" spans="1:20" ht="15.6">
      <c r="A5275" s="110" t="s">
        <v>377</v>
      </c>
      <c r="B5275" s="111" t="s">
        <v>232</v>
      </c>
      <c r="C5275" s="112" t="s">
        <v>228</v>
      </c>
      <c r="D5275" s="113" t="s">
        <v>20</v>
      </c>
      <c r="E5275" s="114" t="s">
        <v>15</v>
      </c>
      <c r="F5275" s="115" t="s">
        <v>25</v>
      </c>
      <c r="G5275" s="116">
        <v>7.34</v>
      </c>
      <c r="H5275" s="125">
        <v>11.5</v>
      </c>
      <c r="I5275" s="111">
        <f>33+35+38+30+30+16</f>
        <v>182</v>
      </c>
      <c r="J5275" s="117">
        <f t="shared" si="690"/>
        <v>15.36262</v>
      </c>
      <c r="K5275" s="118"/>
      <c r="L5275" s="111">
        <f>104+78</f>
        <v>182</v>
      </c>
      <c r="M5275" s="117">
        <f t="shared" si="691"/>
        <v>15.36262</v>
      </c>
      <c r="N5275" s="119">
        <f t="shared" si="692"/>
        <v>0</v>
      </c>
      <c r="O5275" s="120">
        <f t="shared" si="693"/>
        <v>0</v>
      </c>
      <c r="P5275" s="111"/>
      <c r="Q5275" s="32"/>
      <c r="R5275" s="32"/>
      <c r="S5275" s="213"/>
      <c r="T5275" s="213"/>
    </row>
    <row r="5276" spans="1:20" ht="15.6">
      <c r="A5276" s="110" t="s">
        <v>377</v>
      </c>
      <c r="B5276" s="111" t="s">
        <v>232</v>
      </c>
      <c r="C5276" s="112" t="s">
        <v>228</v>
      </c>
      <c r="D5276" s="113" t="s">
        <v>20</v>
      </c>
      <c r="E5276" s="114" t="s">
        <v>15</v>
      </c>
      <c r="F5276" s="115" t="s">
        <v>25</v>
      </c>
      <c r="G5276" s="116">
        <v>7.34</v>
      </c>
      <c r="H5276" s="125">
        <v>12</v>
      </c>
      <c r="I5276" s="111">
        <f>35+20+26+30+13+17</f>
        <v>141</v>
      </c>
      <c r="J5276" s="117">
        <f t="shared" si="690"/>
        <v>12.419280000000001</v>
      </c>
      <c r="K5276" s="118"/>
      <c r="L5276" s="111">
        <f>55+86</f>
        <v>141</v>
      </c>
      <c r="M5276" s="117">
        <f t="shared" si="691"/>
        <v>12.419280000000001</v>
      </c>
      <c r="N5276" s="119">
        <f t="shared" si="692"/>
        <v>0</v>
      </c>
      <c r="O5276" s="120">
        <f t="shared" si="693"/>
        <v>0</v>
      </c>
      <c r="P5276" s="111">
        <v>11.5</v>
      </c>
      <c r="Q5276" s="32">
        <v>6</v>
      </c>
      <c r="R5276" s="32"/>
      <c r="S5276" s="213"/>
      <c r="T5276" s="213"/>
    </row>
    <row r="5277" spans="1:20" ht="15.6">
      <c r="A5277" s="110" t="s">
        <v>377</v>
      </c>
      <c r="B5277" s="111" t="s">
        <v>232</v>
      </c>
      <c r="C5277" s="112" t="s">
        <v>228</v>
      </c>
      <c r="D5277" s="113" t="s">
        <v>20</v>
      </c>
      <c r="E5277" s="114" t="s">
        <v>15</v>
      </c>
      <c r="F5277" s="115" t="s">
        <v>25</v>
      </c>
      <c r="G5277" s="116">
        <v>7.34</v>
      </c>
      <c r="H5277" s="125">
        <v>5.6</v>
      </c>
      <c r="I5277" s="111">
        <v>1</v>
      </c>
      <c r="J5277" s="117">
        <f t="shared" si="690"/>
        <v>4.1104000000000002E-2</v>
      </c>
      <c r="K5277" s="118"/>
      <c r="L5277" s="111"/>
      <c r="M5277" s="117">
        <f t="shared" si="691"/>
        <v>0</v>
      </c>
      <c r="N5277" s="119">
        <f t="shared" si="692"/>
        <v>1</v>
      </c>
      <c r="O5277" s="120">
        <f t="shared" si="693"/>
        <v>4.1104000000000002E-2</v>
      </c>
      <c r="P5277" s="111"/>
      <c r="Q5277" s="32"/>
      <c r="R5277" s="32"/>
      <c r="S5277" s="213"/>
      <c r="T5277" s="213"/>
    </row>
    <row r="5278" spans="1:20" ht="15.6">
      <c r="A5278" s="110" t="s">
        <v>377</v>
      </c>
      <c r="B5278" s="111" t="s">
        <v>232</v>
      </c>
      <c r="C5278" s="112" t="s">
        <v>228</v>
      </c>
      <c r="D5278" s="113" t="s">
        <v>20</v>
      </c>
      <c r="E5278" s="114" t="s">
        <v>15</v>
      </c>
      <c r="F5278" s="115" t="s">
        <v>25</v>
      </c>
      <c r="G5278" s="116">
        <v>7.34</v>
      </c>
      <c r="H5278" s="125">
        <v>6.7</v>
      </c>
      <c r="I5278" s="111">
        <v>1</v>
      </c>
      <c r="J5278" s="117">
        <f t="shared" si="690"/>
        <v>4.9177999999999999E-2</v>
      </c>
      <c r="K5278" s="118"/>
      <c r="L5278" s="111">
        <v>1</v>
      </c>
      <c r="M5278" s="117">
        <f t="shared" si="691"/>
        <v>4.9177999999999999E-2</v>
      </c>
      <c r="N5278" s="119">
        <f t="shared" si="692"/>
        <v>0</v>
      </c>
      <c r="O5278" s="120">
        <f t="shared" si="693"/>
        <v>0</v>
      </c>
      <c r="P5278" s="111"/>
      <c r="Q5278" s="32"/>
      <c r="R5278" s="94">
        <v>6</v>
      </c>
      <c r="S5278" s="170">
        <v>1</v>
      </c>
      <c r="T5278" s="170" t="s">
        <v>630</v>
      </c>
    </row>
    <row r="5279" spans="1:20" ht="15.6">
      <c r="A5279" s="110" t="s">
        <v>377</v>
      </c>
      <c r="B5279" s="111" t="s">
        <v>232</v>
      </c>
      <c r="C5279" s="112" t="s">
        <v>228</v>
      </c>
      <c r="D5279" s="113" t="s">
        <v>20</v>
      </c>
      <c r="E5279" s="114" t="s">
        <v>15</v>
      </c>
      <c r="F5279" s="115" t="s">
        <v>25</v>
      </c>
      <c r="G5279" s="116">
        <v>7.34</v>
      </c>
      <c r="H5279" s="125">
        <v>7.5</v>
      </c>
      <c r="I5279" s="111">
        <v>2</v>
      </c>
      <c r="J5279" s="117">
        <f t="shared" si="690"/>
        <v>0.11009999999999999</v>
      </c>
      <c r="K5279" s="118"/>
      <c r="L5279" s="111">
        <v>2</v>
      </c>
      <c r="M5279" s="117">
        <f t="shared" si="691"/>
        <v>0.11009999999999999</v>
      </c>
      <c r="N5279" s="119">
        <f t="shared" si="692"/>
        <v>0</v>
      </c>
      <c r="O5279" s="120">
        <f t="shared" si="693"/>
        <v>0</v>
      </c>
      <c r="P5279" s="111"/>
      <c r="Q5279" s="32"/>
      <c r="R5279" s="94">
        <v>7.4</v>
      </c>
      <c r="S5279" s="170">
        <v>2</v>
      </c>
      <c r="T5279" s="170" t="s">
        <v>703</v>
      </c>
    </row>
    <row r="5280" spans="1:20" ht="15.6">
      <c r="A5280" s="110" t="s">
        <v>377</v>
      </c>
      <c r="B5280" s="111" t="s">
        <v>232</v>
      </c>
      <c r="C5280" s="112" t="s">
        <v>228</v>
      </c>
      <c r="D5280" s="113" t="s">
        <v>20</v>
      </c>
      <c r="E5280" s="114" t="s">
        <v>15</v>
      </c>
      <c r="F5280" s="115" t="s">
        <v>25</v>
      </c>
      <c r="G5280" s="116">
        <v>7.34</v>
      </c>
      <c r="H5280" s="125">
        <v>11</v>
      </c>
      <c r="I5280" s="111">
        <v>1</v>
      </c>
      <c r="J5280" s="117">
        <f t="shared" si="690"/>
        <v>8.0739999999999992E-2</v>
      </c>
      <c r="K5280" s="118"/>
      <c r="L5280" s="111">
        <v>1</v>
      </c>
      <c r="M5280" s="117">
        <f t="shared" si="691"/>
        <v>8.0739999999999992E-2</v>
      </c>
      <c r="N5280" s="119">
        <f t="shared" si="692"/>
        <v>0</v>
      </c>
      <c r="O5280" s="120">
        <f t="shared" si="693"/>
        <v>0</v>
      </c>
      <c r="P5280" s="111">
        <v>9.5</v>
      </c>
      <c r="Q5280" s="32">
        <v>1</v>
      </c>
      <c r="R5280" s="33"/>
      <c r="S5280" s="213"/>
      <c r="T5280" s="213"/>
    </row>
    <row r="5281" spans="1:20" ht="15.6">
      <c r="A5281" s="110" t="s">
        <v>377</v>
      </c>
      <c r="B5281" s="111" t="s">
        <v>232</v>
      </c>
      <c r="C5281" s="112" t="s">
        <v>228</v>
      </c>
      <c r="D5281" s="113" t="s">
        <v>20</v>
      </c>
      <c r="E5281" s="114" t="s">
        <v>15</v>
      </c>
      <c r="F5281" s="115" t="s">
        <v>25</v>
      </c>
      <c r="G5281" s="116">
        <v>7.34</v>
      </c>
      <c r="H5281" s="125">
        <v>11.4</v>
      </c>
      <c r="I5281" s="111">
        <v>1</v>
      </c>
      <c r="J5281" s="117">
        <f t="shared" si="690"/>
        <v>8.3676E-2</v>
      </c>
      <c r="K5281" s="118"/>
      <c r="L5281" s="111">
        <v>1</v>
      </c>
      <c r="M5281" s="117">
        <f t="shared" si="691"/>
        <v>8.3676E-2</v>
      </c>
      <c r="N5281" s="119">
        <f t="shared" si="692"/>
        <v>0</v>
      </c>
      <c r="O5281" s="120">
        <f t="shared" si="693"/>
        <v>0</v>
      </c>
      <c r="P5281" s="111">
        <v>9.5</v>
      </c>
      <c r="Q5281" s="32">
        <v>1</v>
      </c>
      <c r="R5281" s="33"/>
      <c r="S5281" s="213"/>
      <c r="T5281" s="213"/>
    </row>
    <row r="5282" spans="1:20" ht="15.6">
      <c r="A5282" s="110" t="s">
        <v>377</v>
      </c>
      <c r="B5282" s="111" t="s">
        <v>232</v>
      </c>
      <c r="C5282" s="112" t="s">
        <v>228</v>
      </c>
      <c r="D5282" s="113" t="s">
        <v>20</v>
      </c>
      <c r="E5282" s="114" t="s">
        <v>15</v>
      </c>
      <c r="F5282" s="115" t="s">
        <v>25</v>
      </c>
      <c r="G5282" s="116">
        <v>7.34</v>
      </c>
      <c r="H5282" s="125">
        <v>7.5</v>
      </c>
      <c r="I5282" s="111">
        <v>1</v>
      </c>
      <c r="J5282" s="117">
        <f t="shared" si="690"/>
        <v>5.5049999999999995E-2</v>
      </c>
      <c r="K5282" s="118"/>
      <c r="L5282" s="111">
        <v>1</v>
      </c>
      <c r="M5282" s="117">
        <f t="shared" si="691"/>
        <v>5.5049999999999995E-2</v>
      </c>
      <c r="N5282" s="119">
        <f t="shared" si="692"/>
        <v>0</v>
      </c>
      <c r="O5282" s="120">
        <f t="shared" si="693"/>
        <v>0</v>
      </c>
      <c r="P5282" s="111"/>
      <c r="Q5282" s="32"/>
      <c r="R5282" s="94">
        <v>7.4</v>
      </c>
      <c r="S5282" s="170">
        <v>1</v>
      </c>
      <c r="T5282" s="170" t="s">
        <v>703</v>
      </c>
    </row>
    <row r="5283" spans="1:20" ht="15.6">
      <c r="A5283" s="110" t="s">
        <v>377</v>
      </c>
      <c r="B5283" s="111" t="s">
        <v>232</v>
      </c>
      <c r="C5283" s="112" t="s">
        <v>228</v>
      </c>
      <c r="D5283" s="113" t="s">
        <v>20</v>
      </c>
      <c r="E5283" s="114" t="s">
        <v>15</v>
      </c>
      <c r="F5283" s="115" t="s">
        <v>25</v>
      </c>
      <c r="G5283" s="116">
        <v>7.34</v>
      </c>
      <c r="H5283" s="125">
        <v>11.5</v>
      </c>
      <c r="I5283" s="111">
        <v>37</v>
      </c>
      <c r="J5283" s="117">
        <f t="shared" si="690"/>
        <v>3.12317</v>
      </c>
      <c r="K5283" s="118"/>
      <c r="L5283" s="111">
        <v>37</v>
      </c>
      <c r="M5283" s="117">
        <f t="shared" si="691"/>
        <v>3.12317</v>
      </c>
      <c r="N5283" s="119">
        <f t="shared" si="692"/>
        <v>0</v>
      </c>
      <c r="O5283" s="120">
        <f>H5283*N5283*G5283/1000</f>
        <v>0</v>
      </c>
      <c r="P5283" s="111"/>
      <c r="Q5283" s="32"/>
      <c r="R5283" s="32"/>
      <c r="S5283" s="213"/>
      <c r="T5283" s="213"/>
    </row>
    <row r="5284" spans="1:20" ht="15.6">
      <c r="A5284" s="110" t="s">
        <v>377</v>
      </c>
      <c r="B5284" s="111" t="s">
        <v>232</v>
      </c>
      <c r="C5284" s="112" t="s">
        <v>228</v>
      </c>
      <c r="D5284" s="113" t="s">
        <v>20</v>
      </c>
      <c r="E5284" s="114" t="s">
        <v>15</v>
      </c>
      <c r="F5284" s="115" t="s">
        <v>25</v>
      </c>
      <c r="G5284" s="116">
        <v>7.34</v>
      </c>
      <c r="H5284" s="125">
        <v>12</v>
      </c>
      <c r="I5284" s="111">
        <v>39</v>
      </c>
      <c r="J5284" s="117">
        <f t="shared" si="690"/>
        <v>3.43512</v>
      </c>
      <c r="K5284" s="118"/>
      <c r="L5284" s="111">
        <v>39</v>
      </c>
      <c r="M5284" s="117">
        <f t="shared" si="691"/>
        <v>3.43512</v>
      </c>
      <c r="N5284" s="119">
        <f t="shared" si="692"/>
        <v>0</v>
      </c>
      <c r="O5284" s="120">
        <f>H5284*N5284*G5284/1000</f>
        <v>0</v>
      </c>
      <c r="P5284" s="111">
        <v>11.5</v>
      </c>
      <c r="Q5284" s="32">
        <v>39</v>
      </c>
      <c r="R5284" s="32"/>
      <c r="S5284" s="213"/>
      <c r="T5284" s="213"/>
    </row>
    <row r="5285" spans="1:20">
      <c r="A5285" s="32"/>
      <c r="B5285" s="32"/>
      <c r="C5285" s="32"/>
      <c r="D5285" s="32"/>
      <c r="E5285" s="32"/>
      <c r="F5285" s="32"/>
      <c r="G5285" s="32"/>
      <c r="H5285" s="32"/>
      <c r="I5285" s="129">
        <f>SUM(I5269:I5284)</f>
        <v>833</v>
      </c>
      <c r="J5285" s="124">
        <f>SUM(J5269:J5284)</f>
        <v>61.609757999999992</v>
      </c>
      <c r="K5285" s="32"/>
      <c r="L5285" s="129">
        <f>SUM(L5269:L5284)</f>
        <v>832</v>
      </c>
      <c r="M5285" s="124">
        <f>SUM(M5269:M5284)</f>
        <v>61.568653999999995</v>
      </c>
      <c r="N5285" s="131">
        <f>SUM(N5269:N5284)</f>
        <v>1</v>
      </c>
      <c r="O5285" s="124">
        <f>SUM(O5269:O5284)</f>
        <v>4.1104000000000002E-2</v>
      </c>
      <c r="P5285" s="32"/>
      <c r="Q5285" s="32"/>
      <c r="R5285" s="32"/>
      <c r="S5285" s="171">
        <f>SUM(S5269:S5284)</f>
        <v>4</v>
      </c>
      <c r="T5285" s="213"/>
    </row>
    <row r="5287" spans="1:20" ht="15.6">
      <c r="A5287" s="110" t="s">
        <v>475</v>
      </c>
      <c r="B5287" s="111" t="s">
        <v>227</v>
      </c>
      <c r="C5287" s="112" t="s">
        <v>228</v>
      </c>
      <c r="D5287" s="113" t="s">
        <v>20</v>
      </c>
      <c r="E5287" s="114" t="s">
        <v>15</v>
      </c>
      <c r="F5287" s="115" t="s">
        <v>25</v>
      </c>
      <c r="G5287" s="116">
        <v>7.36</v>
      </c>
      <c r="H5287" s="125">
        <v>8.25</v>
      </c>
      <c r="I5287" s="111">
        <f>38+37+40+17+36+36+39+38+38+23+35</f>
        <v>377</v>
      </c>
      <c r="J5287" s="117">
        <f t="shared" ref="J5287:J5299" si="694">H5287*G5287*I5287/1000</f>
        <v>22.891440000000003</v>
      </c>
      <c r="K5287" s="118"/>
      <c r="L5287" s="111">
        <f>375+2</f>
        <v>377</v>
      </c>
      <c r="M5287" s="117">
        <f t="shared" ref="M5287:M5299" si="695">H5287*L5287*G5287/1000</f>
        <v>22.891440000000003</v>
      </c>
      <c r="N5287" s="119">
        <f t="shared" ref="N5287:N5299" si="696">I5287-L5287</f>
        <v>0</v>
      </c>
      <c r="O5287" s="120">
        <f t="shared" ref="O5287:O5299" si="697">H5287*N5287*G5287/1000</f>
        <v>0</v>
      </c>
      <c r="P5287" s="111"/>
      <c r="Q5287" s="32"/>
      <c r="R5287" s="72">
        <v>7.4</v>
      </c>
      <c r="S5287" s="77">
        <v>2</v>
      </c>
      <c r="T5287" s="170" t="s">
        <v>703</v>
      </c>
    </row>
    <row r="5288" spans="1:20" ht="15.6">
      <c r="A5288" s="110" t="s">
        <v>475</v>
      </c>
      <c r="B5288" s="111" t="s">
        <v>227</v>
      </c>
      <c r="C5288" s="112" t="s">
        <v>228</v>
      </c>
      <c r="D5288" s="113" t="s">
        <v>20</v>
      </c>
      <c r="E5288" s="114" t="s">
        <v>15</v>
      </c>
      <c r="F5288" s="115" t="s">
        <v>25</v>
      </c>
      <c r="G5288" s="116">
        <v>7.36</v>
      </c>
      <c r="H5288" s="125">
        <v>10</v>
      </c>
      <c r="I5288" s="111">
        <f>32+22+36+23+38</f>
        <v>151</v>
      </c>
      <c r="J5288" s="117">
        <f t="shared" si="694"/>
        <v>11.113600000000002</v>
      </c>
      <c r="K5288" s="118"/>
      <c r="L5288" s="111">
        <f>151</f>
        <v>151</v>
      </c>
      <c r="M5288" s="117">
        <f t="shared" si="695"/>
        <v>11.1136</v>
      </c>
      <c r="N5288" s="119">
        <f t="shared" si="696"/>
        <v>0</v>
      </c>
      <c r="O5288" s="120">
        <f t="shared" si="697"/>
        <v>0</v>
      </c>
      <c r="P5288" s="111"/>
      <c r="Q5288" s="32"/>
      <c r="R5288" s="32"/>
      <c r="S5288" s="213"/>
    </row>
    <row r="5289" spans="1:20" ht="15.6">
      <c r="A5289" s="110" t="s">
        <v>475</v>
      </c>
      <c r="B5289" s="111" t="s">
        <v>227</v>
      </c>
      <c r="C5289" s="112" t="s">
        <v>228</v>
      </c>
      <c r="D5289" s="113" t="s">
        <v>20</v>
      </c>
      <c r="E5289" s="114" t="s">
        <v>15</v>
      </c>
      <c r="F5289" s="115" t="s">
        <v>25</v>
      </c>
      <c r="G5289" s="116">
        <v>7.36</v>
      </c>
      <c r="H5289" s="125">
        <v>11</v>
      </c>
      <c r="I5289" s="111">
        <f>35+40+35+29+35+36+36+36+33+34</f>
        <v>349</v>
      </c>
      <c r="J5289" s="117">
        <f t="shared" si="694"/>
        <v>28.255040000000005</v>
      </c>
      <c r="K5289" s="118"/>
      <c r="L5289" s="111">
        <f>342+7</f>
        <v>349</v>
      </c>
      <c r="M5289" s="117">
        <f t="shared" si="695"/>
        <v>28.255040000000001</v>
      </c>
      <c r="N5289" s="119">
        <f t="shared" si="696"/>
        <v>0</v>
      </c>
      <c r="O5289" s="120">
        <f t="shared" si="697"/>
        <v>0</v>
      </c>
      <c r="P5289" s="111">
        <v>10</v>
      </c>
      <c r="Q5289" s="32">
        <v>7</v>
      </c>
      <c r="R5289" s="32"/>
      <c r="S5289" s="213"/>
    </row>
    <row r="5290" spans="1:20" ht="15.6">
      <c r="A5290" s="110" t="s">
        <v>475</v>
      </c>
      <c r="B5290" s="111" t="s">
        <v>227</v>
      </c>
      <c r="C5290" s="112" t="s">
        <v>228</v>
      </c>
      <c r="D5290" s="113" t="s">
        <v>20</v>
      </c>
      <c r="E5290" s="114" t="s">
        <v>15</v>
      </c>
      <c r="F5290" s="115" t="s">
        <v>25</v>
      </c>
      <c r="G5290" s="116">
        <v>7.36</v>
      </c>
      <c r="H5290" s="125">
        <v>11.5</v>
      </c>
      <c r="I5290" s="111">
        <f>35+35+35+35+31+23+35+35+35+35+35+32+35+35+38+35+36+13+35</f>
        <v>628</v>
      </c>
      <c r="J5290" s="117">
        <f t="shared" si="694"/>
        <v>53.153919999999999</v>
      </c>
      <c r="K5290" s="118"/>
      <c r="L5290" s="111">
        <f>628</f>
        <v>628</v>
      </c>
      <c r="M5290" s="117">
        <f t="shared" si="695"/>
        <v>53.153920000000006</v>
      </c>
      <c r="N5290" s="119">
        <f t="shared" si="696"/>
        <v>0</v>
      </c>
      <c r="O5290" s="120">
        <f t="shared" si="697"/>
        <v>0</v>
      </c>
      <c r="P5290" s="111"/>
      <c r="Q5290" s="32"/>
      <c r="R5290" s="32"/>
      <c r="S5290" s="213"/>
    </row>
    <row r="5291" spans="1:20" ht="15.6">
      <c r="A5291" s="110" t="s">
        <v>475</v>
      </c>
      <c r="B5291" s="111" t="s">
        <v>227</v>
      </c>
      <c r="C5291" s="112" t="s">
        <v>228</v>
      </c>
      <c r="D5291" s="113" t="s">
        <v>20</v>
      </c>
      <c r="E5291" s="114" t="s">
        <v>15</v>
      </c>
      <c r="F5291" s="115" t="s">
        <v>25</v>
      </c>
      <c r="G5291" s="116">
        <v>7.36</v>
      </c>
      <c r="H5291" s="125">
        <v>12</v>
      </c>
      <c r="I5291" s="111">
        <f>35+35+35+35+19+35+35+35+35+28</f>
        <v>327</v>
      </c>
      <c r="J5291" s="117">
        <f t="shared" si="694"/>
        <v>28.880640000000003</v>
      </c>
      <c r="K5291" s="118"/>
      <c r="L5291" s="111">
        <f>320+7</f>
        <v>327</v>
      </c>
      <c r="M5291" s="117">
        <f t="shared" si="695"/>
        <v>28.880640000000003</v>
      </c>
      <c r="N5291" s="119">
        <f t="shared" si="696"/>
        <v>0</v>
      </c>
      <c r="O5291" s="120">
        <f t="shared" si="697"/>
        <v>0</v>
      </c>
      <c r="P5291" s="111">
        <v>11.5</v>
      </c>
      <c r="Q5291" s="32">
        <v>7</v>
      </c>
      <c r="R5291" s="32"/>
      <c r="S5291" s="213"/>
    </row>
    <row r="5292" spans="1:20" ht="15.6">
      <c r="A5292" s="110" t="s">
        <v>475</v>
      </c>
      <c r="B5292" s="111" t="s">
        <v>227</v>
      </c>
      <c r="C5292" s="112" t="s">
        <v>228</v>
      </c>
      <c r="D5292" s="113" t="s">
        <v>20</v>
      </c>
      <c r="E5292" s="114" t="s">
        <v>15</v>
      </c>
      <c r="F5292" s="115" t="s">
        <v>25</v>
      </c>
      <c r="G5292" s="116">
        <v>7.36</v>
      </c>
      <c r="H5292" s="125">
        <v>10.6</v>
      </c>
      <c r="I5292" s="111">
        <v>1</v>
      </c>
      <c r="J5292" s="117">
        <f t="shared" si="694"/>
        <v>7.8016000000000002E-2</v>
      </c>
      <c r="K5292" s="118"/>
      <c r="L5292" s="111">
        <v>1</v>
      </c>
      <c r="M5292" s="117">
        <f t="shared" si="695"/>
        <v>7.8016000000000002E-2</v>
      </c>
      <c r="N5292" s="119">
        <f t="shared" si="696"/>
        <v>0</v>
      </c>
      <c r="O5292" s="120">
        <f t="shared" si="697"/>
        <v>0</v>
      </c>
      <c r="P5292" s="111">
        <v>10</v>
      </c>
      <c r="Q5292" s="32">
        <v>1</v>
      </c>
      <c r="R5292" s="32"/>
      <c r="S5292" s="213"/>
    </row>
    <row r="5293" spans="1:20" ht="15.6">
      <c r="A5293" s="110" t="s">
        <v>475</v>
      </c>
      <c r="B5293" s="111" t="s">
        <v>227</v>
      </c>
      <c r="C5293" s="112" t="s">
        <v>228</v>
      </c>
      <c r="D5293" s="113" t="s">
        <v>20</v>
      </c>
      <c r="E5293" s="114" t="s">
        <v>15</v>
      </c>
      <c r="F5293" s="115" t="s">
        <v>25</v>
      </c>
      <c r="G5293" s="116">
        <v>7.36</v>
      </c>
      <c r="H5293" s="125">
        <v>9.5</v>
      </c>
      <c r="I5293" s="111">
        <v>6</v>
      </c>
      <c r="J5293" s="117">
        <f t="shared" si="694"/>
        <v>0.41952</v>
      </c>
      <c r="K5293" s="118"/>
      <c r="L5293" s="111">
        <v>6</v>
      </c>
      <c r="M5293" s="117">
        <f t="shared" si="695"/>
        <v>0.41952000000000006</v>
      </c>
      <c r="N5293" s="119">
        <f t="shared" si="696"/>
        <v>0</v>
      </c>
      <c r="O5293" s="120">
        <f t="shared" si="697"/>
        <v>0</v>
      </c>
      <c r="P5293" s="111"/>
      <c r="Q5293" s="32"/>
      <c r="R5293" s="72">
        <v>7.4</v>
      </c>
      <c r="S5293" s="77">
        <v>6</v>
      </c>
      <c r="T5293" s="170" t="s">
        <v>703</v>
      </c>
    </row>
    <row r="5294" spans="1:20" ht="15.6">
      <c r="A5294" s="110" t="s">
        <v>475</v>
      </c>
      <c r="B5294" s="111" t="s">
        <v>227</v>
      </c>
      <c r="C5294" s="112" t="s">
        <v>228</v>
      </c>
      <c r="D5294" s="113" t="s">
        <v>20</v>
      </c>
      <c r="E5294" s="114" t="s">
        <v>15</v>
      </c>
      <c r="F5294" s="115" t="s">
        <v>25</v>
      </c>
      <c r="G5294" s="116">
        <v>7.36</v>
      </c>
      <c r="H5294" s="125">
        <v>9.4</v>
      </c>
      <c r="I5294" s="111">
        <v>1</v>
      </c>
      <c r="J5294" s="117">
        <f t="shared" si="694"/>
        <v>6.9184000000000009E-2</v>
      </c>
      <c r="K5294" s="118"/>
      <c r="L5294" s="111">
        <v>1</v>
      </c>
      <c r="M5294" s="117">
        <f t="shared" si="695"/>
        <v>6.9184000000000009E-2</v>
      </c>
      <c r="N5294" s="119">
        <f t="shared" si="696"/>
        <v>0</v>
      </c>
      <c r="O5294" s="120">
        <f t="shared" si="697"/>
        <v>0</v>
      </c>
      <c r="P5294" s="111"/>
      <c r="Q5294" s="32"/>
      <c r="R5294" s="72">
        <v>7.4</v>
      </c>
      <c r="S5294" s="77">
        <v>1</v>
      </c>
      <c r="T5294" s="170" t="s">
        <v>703</v>
      </c>
    </row>
    <row r="5295" spans="1:20" ht="15.6">
      <c r="A5295" s="110" t="s">
        <v>475</v>
      </c>
      <c r="B5295" s="111" t="s">
        <v>227</v>
      </c>
      <c r="C5295" s="112" t="s">
        <v>228</v>
      </c>
      <c r="D5295" s="113" t="s">
        <v>20</v>
      </c>
      <c r="E5295" s="114" t="s">
        <v>15</v>
      </c>
      <c r="F5295" s="115" t="s">
        <v>25</v>
      </c>
      <c r="G5295" s="116">
        <v>7.36</v>
      </c>
      <c r="H5295" s="125">
        <v>12</v>
      </c>
      <c r="I5295" s="111">
        <v>1</v>
      </c>
      <c r="J5295" s="117">
        <f t="shared" si="694"/>
        <v>8.832000000000001E-2</v>
      </c>
      <c r="K5295" s="118"/>
      <c r="L5295" s="111">
        <v>1</v>
      </c>
      <c r="M5295" s="117">
        <f t="shared" si="695"/>
        <v>8.832000000000001E-2</v>
      </c>
      <c r="N5295" s="119">
        <f t="shared" si="696"/>
        <v>0</v>
      </c>
      <c r="O5295" s="120">
        <f t="shared" si="697"/>
        <v>0</v>
      </c>
      <c r="P5295" s="111">
        <v>11.5</v>
      </c>
      <c r="Q5295" s="32">
        <v>1</v>
      </c>
      <c r="R5295" s="32"/>
      <c r="S5295" s="213"/>
    </row>
    <row r="5296" spans="1:20" ht="15.6">
      <c r="A5296" s="110" t="s">
        <v>475</v>
      </c>
      <c r="B5296" s="111" t="s">
        <v>227</v>
      </c>
      <c r="C5296" s="112" t="s">
        <v>228</v>
      </c>
      <c r="D5296" s="113" t="s">
        <v>20</v>
      </c>
      <c r="E5296" s="114" t="s">
        <v>15</v>
      </c>
      <c r="F5296" s="115" t="s">
        <v>25</v>
      </c>
      <c r="G5296" s="116">
        <v>7.36</v>
      </c>
      <c r="H5296" s="125">
        <v>11.5</v>
      </c>
      <c r="I5296" s="111">
        <v>3</v>
      </c>
      <c r="J5296" s="117">
        <f t="shared" si="694"/>
        <v>0.25392000000000003</v>
      </c>
      <c r="K5296" s="118"/>
      <c r="L5296" s="111">
        <v>3</v>
      </c>
      <c r="M5296" s="117">
        <f t="shared" si="695"/>
        <v>0.25392000000000003</v>
      </c>
      <c r="N5296" s="119">
        <f t="shared" si="696"/>
        <v>0</v>
      </c>
      <c r="O5296" s="120">
        <f t="shared" si="697"/>
        <v>0</v>
      </c>
      <c r="P5296" s="111"/>
      <c r="Q5296" s="32"/>
      <c r="R5296" s="32"/>
      <c r="S5296" s="213"/>
    </row>
    <row r="5297" spans="1:21" ht="15.6">
      <c r="A5297" s="110" t="s">
        <v>475</v>
      </c>
      <c r="B5297" s="111" t="s">
        <v>227</v>
      </c>
      <c r="C5297" s="112" t="s">
        <v>228</v>
      </c>
      <c r="D5297" s="113" t="s">
        <v>20</v>
      </c>
      <c r="E5297" s="114" t="s">
        <v>15</v>
      </c>
      <c r="F5297" s="115" t="s">
        <v>25</v>
      </c>
      <c r="G5297" s="116">
        <v>7.36</v>
      </c>
      <c r="H5297" s="125">
        <v>7.4</v>
      </c>
      <c r="I5297" s="111">
        <v>1</v>
      </c>
      <c r="J5297" s="117">
        <f t="shared" si="694"/>
        <v>5.4464000000000005E-2</v>
      </c>
      <c r="K5297" s="118"/>
      <c r="L5297" s="111">
        <v>1</v>
      </c>
      <c r="M5297" s="117">
        <f t="shared" si="695"/>
        <v>5.4464000000000005E-2</v>
      </c>
      <c r="N5297" s="119">
        <f t="shared" si="696"/>
        <v>0</v>
      </c>
      <c r="O5297" s="120">
        <f t="shared" si="697"/>
        <v>0</v>
      </c>
      <c r="P5297" s="111"/>
      <c r="Q5297" s="32"/>
      <c r="R5297" s="72">
        <v>7.4</v>
      </c>
      <c r="S5297" s="77">
        <v>1</v>
      </c>
      <c r="T5297" s="170" t="s">
        <v>703</v>
      </c>
    </row>
    <row r="5298" spans="1:21" ht="15.6">
      <c r="A5298" s="110" t="s">
        <v>475</v>
      </c>
      <c r="B5298" s="111" t="s">
        <v>227</v>
      </c>
      <c r="C5298" s="112" t="s">
        <v>228</v>
      </c>
      <c r="D5298" s="113" t="s">
        <v>20</v>
      </c>
      <c r="E5298" s="114" t="s">
        <v>15</v>
      </c>
      <c r="F5298" s="115" t="s">
        <v>25</v>
      </c>
      <c r="G5298" s="116">
        <v>7.36</v>
      </c>
      <c r="H5298" s="125">
        <v>8.4</v>
      </c>
      <c r="I5298" s="111">
        <v>1</v>
      </c>
      <c r="J5298" s="117">
        <f t="shared" si="694"/>
        <v>6.1824000000000004E-2</v>
      </c>
      <c r="K5298" s="118"/>
      <c r="L5298" s="111">
        <v>1</v>
      </c>
      <c r="M5298" s="117">
        <f t="shared" si="695"/>
        <v>6.1824000000000004E-2</v>
      </c>
      <c r="N5298" s="119">
        <f t="shared" si="696"/>
        <v>0</v>
      </c>
      <c r="O5298" s="120">
        <f t="shared" si="697"/>
        <v>0</v>
      </c>
      <c r="P5298" s="111"/>
      <c r="Q5298" s="32"/>
      <c r="R5298" s="72">
        <v>7.4</v>
      </c>
      <c r="S5298" s="77">
        <v>1</v>
      </c>
      <c r="T5298" s="170" t="s">
        <v>703</v>
      </c>
    </row>
    <row r="5299" spans="1:21" ht="15.6">
      <c r="A5299" s="110" t="s">
        <v>475</v>
      </c>
      <c r="B5299" s="111" t="s">
        <v>227</v>
      </c>
      <c r="C5299" s="112" t="s">
        <v>228</v>
      </c>
      <c r="D5299" s="113" t="s">
        <v>20</v>
      </c>
      <c r="E5299" s="114" t="s">
        <v>15</v>
      </c>
      <c r="F5299" s="115" t="s">
        <v>25</v>
      </c>
      <c r="G5299" s="116">
        <v>7.36</v>
      </c>
      <c r="H5299" s="125">
        <v>9.5</v>
      </c>
      <c r="I5299" s="111">
        <v>2</v>
      </c>
      <c r="J5299" s="117">
        <f t="shared" si="694"/>
        <v>0.13983999999999999</v>
      </c>
      <c r="K5299" s="118"/>
      <c r="L5299" s="111">
        <v>2</v>
      </c>
      <c r="M5299" s="117">
        <f t="shared" si="695"/>
        <v>0.13983999999999999</v>
      </c>
      <c r="N5299" s="119">
        <f t="shared" si="696"/>
        <v>0</v>
      </c>
      <c r="O5299" s="120">
        <f t="shared" si="697"/>
        <v>0</v>
      </c>
      <c r="P5299" s="111"/>
      <c r="Q5299" s="32"/>
      <c r="R5299" s="72">
        <v>7.4</v>
      </c>
      <c r="S5299" s="77">
        <v>2</v>
      </c>
      <c r="T5299" s="170" t="s">
        <v>703</v>
      </c>
    </row>
    <row r="5300" spans="1:21">
      <c r="A5300" s="32"/>
      <c r="B5300" s="32"/>
      <c r="C5300" s="32"/>
      <c r="D5300" s="32"/>
      <c r="E5300" s="32"/>
      <c r="F5300" s="32"/>
      <c r="G5300" s="32"/>
      <c r="H5300" s="32"/>
      <c r="I5300" s="129">
        <f>SUM(I5287:I5299)</f>
        <v>1848</v>
      </c>
      <c r="J5300" s="124">
        <f>SUM(J5287:J5299)</f>
        <v>145.45972800000001</v>
      </c>
      <c r="K5300" s="32"/>
      <c r="L5300" s="129">
        <f>SUM(L5287:L5299)</f>
        <v>1848</v>
      </c>
      <c r="M5300" s="124">
        <f>SUM(M5287:M5299)</f>
        <v>145.45972800000001</v>
      </c>
      <c r="N5300" s="129">
        <f>SUM(N5287:N5299)</f>
        <v>0</v>
      </c>
      <c r="O5300" s="124">
        <f>SUM(O5287:O5299)</f>
        <v>0</v>
      </c>
      <c r="P5300" s="32"/>
      <c r="Q5300" s="32"/>
      <c r="R5300" s="111"/>
      <c r="S5300" s="476">
        <f>SUM(S5287:S5299)</f>
        <v>13</v>
      </c>
    </row>
    <row r="5303" spans="1:21" ht="15.6">
      <c r="A5303" s="110" t="s">
        <v>490</v>
      </c>
      <c r="B5303" s="111" t="s">
        <v>227</v>
      </c>
      <c r="C5303" s="112" t="s">
        <v>228</v>
      </c>
      <c r="D5303" s="113" t="s">
        <v>17</v>
      </c>
      <c r="E5303" s="114" t="s">
        <v>15</v>
      </c>
      <c r="F5303" s="115" t="s">
        <v>25</v>
      </c>
      <c r="G5303" s="116">
        <v>7.36</v>
      </c>
      <c r="H5303" s="125">
        <v>10</v>
      </c>
      <c r="I5303" s="111">
        <f>17+5</f>
        <v>22</v>
      </c>
      <c r="J5303" s="117">
        <f t="shared" ref="J5303:J5320" si="698">H5303*G5303*I5303/1000</f>
        <v>1.6192000000000002</v>
      </c>
      <c r="K5303" s="118"/>
      <c r="L5303" s="111">
        <v>22</v>
      </c>
      <c r="M5303" s="117">
        <f t="shared" ref="M5303:M5320" si="699">H5303*L5303*G5303/1000</f>
        <v>1.6192</v>
      </c>
      <c r="N5303" s="119">
        <f t="shared" ref="N5303:N5320" si="700">I5303-L5303</f>
        <v>0</v>
      </c>
      <c r="O5303" s="120">
        <f t="shared" ref="O5303:O5319" si="701">H5303*N5303*G5303/1000</f>
        <v>0</v>
      </c>
      <c r="P5303" s="111"/>
      <c r="Q5303" s="32"/>
      <c r="R5303" s="32"/>
      <c r="S5303" s="213"/>
      <c r="T5303" s="213"/>
      <c r="U5303" s="213"/>
    </row>
    <row r="5304" spans="1:21" ht="15.6">
      <c r="A5304" s="110" t="s">
        <v>490</v>
      </c>
      <c r="B5304" s="111" t="s">
        <v>227</v>
      </c>
      <c r="C5304" s="112" t="s">
        <v>228</v>
      </c>
      <c r="D5304" s="113" t="s">
        <v>17</v>
      </c>
      <c r="E5304" s="114" t="s">
        <v>15</v>
      </c>
      <c r="F5304" s="115" t="s">
        <v>25</v>
      </c>
      <c r="G5304" s="116">
        <v>7.36</v>
      </c>
      <c r="H5304" s="125">
        <v>11.1</v>
      </c>
      <c r="I5304" s="111">
        <f>4+4</f>
        <v>8</v>
      </c>
      <c r="J5304" s="117">
        <f t="shared" si="698"/>
        <v>0.65356800000000004</v>
      </c>
      <c r="K5304" s="118"/>
      <c r="L5304" s="111">
        <f>4+4</f>
        <v>8</v>
      </c>
      <c r="M5304" s="117">
        <f t="shared" si="699"/>
        <v>0.65356800000000004</v>
      </c>
      <c r="N5304" s="119">
        <f t="shared" si="700"/>
        <v>0</v>
      </c>
      <c r="O5304" s="120">
        <f t="shared" si="701"/>
        <v>0</v>
      </c>
      <c r="P5304" s="111">
        <v>10</v>
      </c>
      <c r="Q5304" s="32">
        <v>4</v>
      </c>
      <c r="R5304" s="32"/>
      <c r="S5304" s="213"/>
      <c r="T5304" s="213"/>
      <c r="U5304" s="213"/>
    </row>
    <row r="5305" spans="1:21" ht="15.6">
      <c r="A5305" s="110" t="s">
        <v>490</v>
      </c>
      <c r="B5305" s="111" t="s">
        <v>227</v>
      </c>
      <c r="C5305" s="112" t="s">
        <v>228</v>
      </c>
      <c r="D5305" s="113" t="s">
        <v>17</v>
      </c>
      <c r="E5305" s="114" t="s">
        <v>15</v>
      </c>
      <c r="F5305" s="115" t="s">
        <v>25</v>
      </c>
      <c r="G5305" s="116">
        <v>7.36</v>
      </c>
      <c r="H5305" s="125">
        <v>11.9</v>
      </c>
      <c r="I5305" s="111">
        <f>8+7</f>
        <v>15</v>
      </c>
      <c r="J5305" s="117">
        <f t="shared" si="698"/>
        <v>1.31376</v>
      </c>
      <c r="K5305" s="118"/>
      <c r="L5305" s="111">
        <v>15</v>
      </c>
      <c r="M5305" s="117">
        <f t="shared" si="699"/>
        <v>1.31376</v>
      </c>
      <c r="N5305" s="119">
        <f t="shared" si="700"/>
        <v>0</v>
      </c>
      <c r="O5305" s="120">
        <f t="shared" si="701"/>
        <v>0</v>
      </c>
      <c r="P5305" s="111"/>
      <c r="Q5305" s="32"/>
      <c r="R5305" s="32"/>
      <c r="S5305" s="213"/>
      <c r="T5305" s="213"/>
      <c r="U5305" s="213"/>
    </row>
    <row r="5306" spans="1:21" ht="15.6">
      <c r="A5306" s="110" t="s">
        <v>490</v>
      </c>
      <c r="B5306" s="111" t="s">
        <v>227</v>
      </c>
      <c r="C5306" s="112" t="s">
        <v>228</v>
      </c>
      <c r="D5306" s="113" t="s">
        <v>17</v>
      </c>
      <c r="E5306" s="114" t="s">
        <v>15</v>
      </c>
      <c r="F5306" s="115" t="s">
        <v>25</v>
      </c>
      <c r="G5306" s="116">
        <v>7.36</v>
      </c>
      <c r="H5306" s="125">
        <v>12</v>
      </c>
      <c r="I5306" s="111">
        <v>10</v>
      </c>
      <c r="J5306" s="117">
        <f t="shared" si="698"/>
        <v>0.8832000000000001</v>
      </c>
      <c r="K5306" s="118"/>
      <c r="L5306" s="111">
        <v>10</v>
      </c>
      <c r="M5306" s="117">
        <f t="shared" si="699"/>
        <v>0.8832000000000001</v>
      </c>
      <c r="N5306" s="119">
        <f t="shared" si="700"/>
        <v>0</v>
      </c>
      <c r="O5306" s="120">
        <f t="shared" si="701"/>
        <v>0</v>
      </c>
      <c r="P5306" s="111"/>
      <c r="Q5306" s="32"/>
      <c r="R5306" s="32"/>
      <c r="S5306" s="213"/>
      <c r="T5306" s="213"/>
      <c r="U5306" s="213"/>
    </row>
    <row r="5307" spans="1:21" ht="15.6">
      <c r="A5307" s="110" t="s">
        <v>490</v>
      </c>
      <c r="B5307" s="111" t="s">
        <v>227</v>
      </c>
      <c r="C5307" s="112" t="s">
        <v>228</v>
      </c>
      <c r="D5307" s="113" t="s">
        <v>17</v>
      </c>
      <c r="E5307" s="114" t="s">
        <v>15</v>
      </c>
      <c r="F5307" s="115" t="s">
        <v>25</v>
      </c>
      <c r="G5307" s="116">
        <v>7.36</v>
      </c>
      <c r="H5307" s="125">
        <v>7.5</v>
      </c>
      <c r="I5307" s="111">
        <f>32+34</f>
        <v>66</v>
      </c>
      <c r="J5307" s="117">
        <f t="shared" si="698"/>
        <v>3.6432000000000002</v>
      </c>
      <c r="K5307" s="118"/>
      <c r="L5307" s="111">
        <f>64+2</f>
        <v>66</v>
      </c>
      <c r="M5307" s="117">
        <f t="shared" si="699"/>
        <v>3.6432000000000002</v>
      </c>
      <c r="N5307" s="119">
        <f t="shared" si="700"/>
        <v>0</v>
      </c>
      <c r="O5307" s="120">
        <f t="shared" si="701"/>
        <v>0</v>
      </c>
      <c r="P5307" s="111"/>
      <c r="Q5307" s="32"/>
      <c r="R5307" s="32"/>
      <c r="S5307" s="77">
        <v>7.4</v>
      </c>
      <c r="T5307" s="77">
        <v>2</v>
      </c>
      <c r="U5307" s="77" t="s">
        <v>703</v>
      </c>
    </row>
    <row r="5308" spans="1:21" ht="15.6">
      <c r="A5308" s="110" t="s">
        <v>490</v>
      </c>
      <c r="B5308" s="111" t="s">
        <v>227</v>
      </c>
      <c r="C5308" s="112" t="s">
        <v>228</v>
      </c>
      <c r="D5308" s="113" t="s">
        <v>17</v>
      </c>
      <c r="E5308" s="114" t="s">
        <v>15</v>
      </c>
      <c r="F5308" s="115" t="s">
        <v>25</v>
      </c>
      <c r="G5308" s="116">
        <v>7.36</v>
      </c>
      <c r="H5308" s="125">
        <v>9.25</v>
      </c>
      <c r="I5308" s="111">
        <f>33+36+39+35+35+14</f>
        <v>192</v>
      </c>
      <c r="J5308" s="117">
        <f t="shared" si="698"/>
        <v>13.07136</v>
      </c>
      <c r="K5308" s="118"/>
      <c r="L5308" s="111">
        <f>188+4</f>
        <v>192</v>
      </c>
      <c r="M5308" s="117">
        <f t="shared" si="699"/>
        <v>13.07136</v>
      </c>
      <c r="N5308" s="119">
        <f t="shared" si="700"/>
        <v>0</v>
      </c>
      <c r="O5308" s="120">
        <f t="shared" si="701"/>
        <v>0</v>
      </c>
      <c r="P5308" s="111"/>
      <c r="Q5308" s="32"/>
      <c r="R5308" s="32"/>
      <c r="S5308" s="77">
        <v>7.4</v>
      </c>
      <c r="T5308" s="77">
        <v>4</v>
      </c>
      <c r="U5308" s="77" t="s">
        <v>703</v>
      </c>
    </row>
    <row r="5309" spans="1:21" ht="15.6">
      <c r="A5309" s="110" t="s">
        <v>490</v>
      </c>
      <c r="B5309" s="111" t="s">
        <v>227</v>
      </c>
      <c r="C5309" s="112" t="s">
        <v>228</v>
      </c>
      <c r="D5309" s="113" t="s">
        <v>17</v>
      </c>
      <c r="E5309" s="114" t="s">
        <v>15</v>
      </c>
      <c r="F5309" s="115" t="s">
        <v>25</v>
      </c>
      <c r="G5309" s="116">
        <v>7.36</v>
      </c>
      <c r="H5309" s="125">
        <v>10.3</v>
      </c>
      <c r="I5309" s="111">
        <f>32+30+30+32+30+32+35+35+35+35+51</f>
        <v>377</v>
      </c>
      <c r="J5309" s="117">
        <f t="shared" si="698"/>
        <v>28.579616000000001</v>
      </c>
      <c r="K5309" s="118"/>
      <c r="L5309" s="111">
        <f>376+1+26+4</f>
        <v>407</v>
      </c>
      <c r="M5309" s="117">
        <f t="shared" si="699"/>
        <v>30.853856000000004</v>
      </c>
      <c r="N5309" s="141">
        <f t="shared" si="700"/>
        <v>-30</v>
      </c>
      <c r="O5309" s="142">
        <f t="shared" si="701"/>
        <v>-2.2742400000000003</v>
      </c>
      <c r="P5309" s="111" t="s">
        <v>253</v>
      </c>
      <c r="Q5309" s="111">
        <v>10</v>
      </c>
      <c r="R5309" s="32">
        <v>1</v>
      </c>
      <c r="S5309" s="32"/>
      <c r="T5309" s="213"/>
      <c r="U5309" s="213"/>
    </row>
    <row r="5310" spans="1:21" ht="15.6">
      <c r="A5310" s="110" t="s">
        <v>490</v>
      </c>
      <c r="B5310" s="111" t="s">
        <v>227</v>
      </c>
      <c r="C5310" s="112" t="s">
        <v>228</v>
      </c>
      <c r="D5310" s="113" t="s">
        <v>17</v>
      </c>
      <c r="E5310" s="114" t="s">
        <v>15</v>
      </c>
      <c r="F5310" s="115" t="s">
        <v>25</v>
      </c>
      <c r="G5310" s="116">
        <v>7.36</v>
      </c>
      <c r="H5310" s="125">
        <v>12</v>
      </c>
      <c r="I5310" s="111">
        <f>31+15+35</f>
        <v>81</v>
      </c>
      <c r="J5310" s="117">
        <f t="shared" si="698"/>
        <v>7.1539200000000012</v>
      </c>
      <c r="K5310" s="118"/>
      <c r="L5310" s="111">
        <f>64+15+2</f>
        <v>81</v>
      </c>
      <c r="M5310" s="117">
        <f t="shared" si="699"/>
        <v>7.1539200000000003</v>
      </c>
      <c r="N5310" s="119">
        <f t="shared" si="700"/>
        <v>0</v>
      </c>
      <c r="O5310" s="120">
        <f t="shared" si="701"/>
        <v>0</v>
      </c>
      <c r="P5310" s="111">
        <v>10</v>
      </c>
      <c r="Q5310" s="32">
        <v>2</v>
      </c>
      <c r="R5310" s="32" t="s">
        <v>320</v>
      </c>
      <c r="S5310" s="213"/>
      <c r="T5310" s="213"/>
      <c r="U5310" s="213"/>
    </row>
    <row r="5311" spans="1:21" ht="15.6">
      <c r="A5311" s="110" t="s">
        <v>490</v>
      </c>
      <c r="B5311" s="111" t="s">
        <v>227</v>
      </c>
      <c r="C5311" s="112" t="s">
        <v>228</v>
      </c>
      <c r="D5311" s="113" t="s">
        <v>17</v>
      </c>
      <c r="E5311" s="114" t="s">
        <v>15</v>
      </c>
      <c r="F5311" s="115" t="s">
        <v>25</v>
      </c>
      <c r="G5311" s="116">
        <v>7.36</v>
      </c>
      <c r="H5311" s="125">
        <v>11.5</v>
      </c>
      <c r="I5311" s="111">
        <v>3</v>
      </c>
      <c r="J5311" s="117">
        <f t="shared" si="698"/>
        <v>0.25392000000000003</v>
      </c>
      <c r="K5311" s="118"/>
      <c r="L5311" s="111">
        <v>3</v>
      </c>
      <c r="M5311" s="117">
        <f t="shared" si="699"/>
        <v>0.25392000000000003</v>
      </c>
      <c r="N5311" s="119">
        <f t="shared" si="700"/>
        <v>0</v>
      </c>
      <c r="O5311" s="120">
        <f t="shared" si="701"/>
        <v>0</v>
      </c>
      <c r="P5311" s="111">
        <v>10</v>
      </c>
      <c r="Q5311" s="32">
        <v>3</v>
      </c>
      <c r="R5311" s="32"/>
      <c r="S5311" s="213"/>
      <c r="T5311" s="213"/>
      <c r="U5311" s="213"/>
    </row>
    <row r="5312" spans="1:21" ht="15.6">
      <c r="A5312" s="110" t="s">
        <v>490</v>
      </c>
      <c r="B5312" s="111" t="s">
        <v>227</v>
      </c>
      <c r="C5312" s="112" t="s">
        <v>228</v>
      </c>
      <c r="D5312" s="113" t="s">
        <v>17</v>
      </c>
      <c r="E5312" s="114" t="s">
        <v>15</v>
      </c>
      <c r="F5312" s="115" t="s">
        <v>25</v>
      </c>
      <c r="G5312" s="116">
        <v>7.36</v>
      </c>
      <c r="H5312" s="125">
        <v>9.1999999999999993</v>
      </c>
      <c r="I5312" s="111">
        <v>1</v>
      </c>
      <c r="J5312" s="117">
        <f t="shared" si="698"/>
        <v>6.7712000000000008E-2</v>
      </c>
      <c r="K5312" s="118"/>
      <c r="L5312" s="111">
        <v>1</v>
      </c>
      <c r="M5312" s="117">
        <f t="shared" si="699"/>
        <v>6.7712000000000008E-2</v>
      </c>
      <c r="N5312" s="119">
        <f t="shared" si="700"/>
        <v>0</v>
      </c>
      <c r="O5312" s="120">
        <f t="shared" si="701"/>
        <v>0</v>
      </c>
      <c r="P5312" s="111"/>
      <c r="Q5312" s="32"/>
      <c r="R5312" s="32"/>
      <c r="S5312" s="77">
        <v>7.4</v>
      </c>
      <c r="T5312" s="77">
        <v>1</v>
      </c>
      <c r="U5312" s="77" t="s">
        <v>703</v>
      </c>
    </row>
    <row r="5313" spans="1:21" ht="15.6">
      <c r="A5313" s="110" t="s">
        <v>490</v>
      </c>
      <c r="B5313" s="111" t="s">
        <v>227</v>
      </c>
      <c r="C5313" s="112" t="s">
        <v>228</v>
      </c>
      <c r="D5313" s="113" t="s">
        <v>17</v>
      </c>
      <c r="E5313" s="114" t="s">
        <v>15</v>
      </c>
      <c r="F5313" s="115" t="s">
        <v>25</v>
      </c>
      <c r="G5313" s="116">
        <v>7.36</v>
      </c>
      <c r="H5313" s="125">
        <v>9</v>
      </c>
      <c r="I5313" s="111">
        <v>1</v>
      </c>
      <c r="J5313" s="117">
        <f t="shared" si="698"/>
        <v>6.6240000000000007E-2</v>
      </c>
      <c r="K5313" s="118"/>
      <c r="L5313" s="111">
        <v>1</v>
      </c>
      <c r="M5313" s="117">
        <f t="shared" si="699"/>
        <v>6.6240000000000007E-2</v>
      </c>
      <c r="N5313" s="119">
        <f t="shared" si="700"/>
        <v>0</v>
      </c>
      <c r="O5313" s="120">
        <f t="shared" si="701"/>
        <v>0</v>
      </c>
      <c r="P5313" s="111"/>
      <c r="Q5313" s="32"/>
      <c r="R5313" s="32"/>
      <c r="S5313" s="77">
        <v>7.4</v>
      </c>
      <c r="T5313" s="77">
        <v>1</v>
      </c>
      <c r="U5313" s="77" t="s">
        <v>703</v>
      </c>
    </row>
    <row r="5314" spans="1:21" ht="15.6">
      <c r="A5314" s="110" t="s">
        <v>490</v>
      </c>
      <c r="B5314" s="111" t="s">
        <v>227</v>
      </c>
      <c r="C5314" s="112" t="s">
        <v>228</v>
      </c>
      <c r="D5314" s="113" t="s">
        <v>17</v>
      </c>
      <c r="E5314" s="114" t="s">
        <v>15</v>
      </c>
      <c r="F5314" s="115" t="s">
        <v>25</v>
      </c>
      <c r="G5314" s="116">
        <v>7.36</v>
      </c>
      <c r="H5314" s="125">
        <v>8.6999999999999993</v>
      </c>
      <c r="I5314" s="111">
        <v>1</v>
      </c>
      <c r="J5314" s="117">
        <f t="shared" si="698"/>
        <v>6.4031999999999992E-2</v>
      </c>
      <c r="K5314" s="118"/>
      <c r="L5314" s="111">
        <v>1</v>
      </c>
      <c r="M5314" s="117">
        <f t="shared" si="699"/>
        <v>6.4031999999999992E-2</v>
      </c>
      <c r="N5314" s="119">
        <f t="shared" si="700"/>
        <v>0</v>
      </c>
      <c r="O5314" s="120">
        <f t="shared" si="701"/>
        <v>0</v>
      </c>
      <c r="P5314" s="111"/>
      <c r="Q5314" s="32"/>
      <c r="R5314" s="32"/>
      <c r="S5314" s="77">
        <v>7.4</v>
      </c>
      <c r="T5314" s="77">
        <v>1</v>
      </c>
      <c r="U5314" s="77" t="s">
        <v>703</v>
      </c>
    </row>
    <row r="5315" spans="1:21" ht="15.6">
      <c r="A5315" s="110" t="s">
        <v>490</v>
      </c>
      <c r="B5315" s="111" t="s">
        <v>227</v>
      </c>
      <c r="C5315" s="112" t="s">
        <v>228</v>
      </c>
      <c r="D5315" s="113" t="s">
        <v>17</v>
      </c>
      <c r="E5315" s="114" t="s">
        <v>15</v>
      </c>
      <c r="F5315" s="115" t="s">
        <v>25</v>
      </c>
      <c r="G5315" s="116">
        <v>7.36</v>
      </c>
      <c r="H5315" s="125">
        <v>8.5</v>
      </c>
      <c r="I5315" s="111">
        <v>2</v>
      </c>
      <c r="J5315" s="117">
        <f t="shared" si="698"/>
        <v>0.12512000000000001</v>
      </c>
      <c r="K5315" s="118"/>
      <c r="L5315" s="111">
        <v>2</v>
      </c>
      <c r="M5315" s="117">
        <f t="shared" si="699"/>
        <v>0.12512000000000001</v>
      </c>
      <c r="N5315" s="119">
        <f t="shared" si="700"/>
        <v>0</v>
      </c>
      <c r="O5315" s="120">
        <f t="shared" si="701"/>
        <v>0</v>
      </c>
      <c r="P5315" s="111"/>
      <c r="Q5315" s="32"/>
      <c r="R5315" s="32"/>
      <c r="S5315" s="77">
        <v>7.4</v>
      </c>
      <c r="T5315" s="77">
        <v>2</v>
      </c>
      <c r="U5315" s="77" t="s">
        <v>703</v>
      </c>
    </row>
    <row r="5316" spans="1:21" ht="15.6">
      <c r="A5316" s="110" t="s">
        <v>490</v>
      </c>
      <c r="B5316" s="111" t="s">
        <v>227</v>
      </c>
      <c r="C5316" s="112" t="s">
        <v>228</v>
      </c>
      <c r="D5316" s="113" t="s">
        <v>17</v>
      </c>
      <c r="E5316" s="114" t="s">
        <v>15</v>
      </c>
      <c r="F5316" s="115" t="s">
        <v>25</v>
      </c>
      <c r="G5316" s="116">
        <v>7.36</v>
      </c>
      <c r="H5316" s="125">
        <v>7.2</v>
      </c>
      <c r="I5316" s="111">
        <v>2</v>
      </c>
      <c r="J5316" s="117">
        <f t="shared" si="698"/>
        <v>0.10598400000000001</v>
      </c>
      <c r="K5316" s="118"/>
      <c r="L5316" s="111"/>
      <c r="M5316" s="117">
        <f t="shared" si="699"/>
        <v>0</v>
      </c>
      <c r="N5316" s="119">
        <f t="shared" si="700"/>
        <v>2</v>
      </c>
      <c r="O5316" s="120">
        <f t="shared" si="701"/>
        <v>0.10598400000000001</v>
      </c>
      <c r="P5316" s="111"/>
      <c r="Q5316" s="32"/>
      <c r="R5316" s="32"/>
      <c r="S5316" s="77">
        <v>6.9</v>
      </c>
      <c r="T5316" s="77">
        <v>2</v>
      </c>
      <c r="U5316" s="77" t="s">
        <v>704</v>
      </c>
    </row>
    <row r="5317" spans="1:21" ht="15.6">
      <c r="A5317" s="110" t="s">
        <v>490</v>
      </c>
      <c r="B5317" s="111" t="s">
        <v>227</v>
      </c>
      <c r="C5317" s="112" t="s">
        <v>228</v>
      </c>
      <c r="D5317" s="113" t="s">
        <v>17</v>
      </c>
      <c r="E5317" s="114" t="s">
        <v>15</v>
      </c>
      <c r="F5317" s="115" t="s">
        <v>25</v>
      </c>
      <c r="G5317" s="116">
        <v>7.36</v>
      </c>
      <c r="H5317" s="125">
        <v>7</v>
      </c>
      <c r="I5317" s="111">
        <v>1</v>
      </c>
      <c r="J5317" s="117">
        <f t="shared" si="698"/>
        <v>5.1520000000000003E-2</v>
      </c>
      <c r="K5317" s="118"/>
      <c r="L5317" s="111"/>
      <c r="M5317" s="117">
        <f t="shared" si="699"/>
        <v>0</v>
      </c>
      <c r="N5317" s="119">
        <f t="shared" si="700"/>
        <v>1</v>
      </c>
      <c r="O5317" s="120">
        <f t="shared" si="701"/>
        <v>5.1520000000000003E-2</v>
      </c>
      <c r="P5317" s="111"/>
      <c r="Q5317" s="32"/>
      <c r="R5317" s="32"/>
      <c r="S5317" s="77">
        <v>6.9</v>
      </c>
      <c r="T5317" s="77">
        <v>1</v>
      </c>
      <c r="U5317" s="77" t="s">
        <v>704</v>
      </c>
    </row>
    <row r="5318" spans="1:21" ht="15.6">
      <c r="A5318" s="110" t="s">
        <v>490</v>
      </c>
      <c r="B5318" s="111" t="s">
        <v>227</v>
      </c>
      <c r="C5318" s="112" t="s">
        <v>228</v>
      </c>
      <c r="D5318" s="113" t="s">
        <v>17</v>
      </c>
      <c r="E5318" s="114" t="s">
        <v>15</v>
      </c>
      <c r="F5318" s="115" t="s">
        <v>25</v>
      </c>
      <c r="G5318" s="116">
        <v>7.36</v>
      </c>
      <c r="H5318" s="125">
        <v>6.7</v>
      </c>
      <c r="I5318" s="111">
        <v>1</v>
      </c>
      <c r="J5318" s="117">
        <f t="shared" si="698"/>
        <v>4.9312000000000002E-2</v>
      </c>
      <c r="K5318" s="118"/>
      <c r="L5318" s="111"/>
      <c r="M5318" s="117">
        <f t="shared" si="699"/>
        <v>0</v>
      </c>
      <c r="N5318" s="119">
        <f t="shared" si="700"/>
        <v>1</v>
      </c>
      <c r="O5318" s="120">
        <f t="shared" si="701"/>
        <v>4.9312000000000002E-2</v>
      </c>
      <c r="P5318" s="111"/>
      <c r="Q5318" s="32"/>
      <c r="R5318" s="32"/>
      <c r="S5318" s="77">
        <v>6.9</v>
      </c>
      <c r="T5318" s="77">
        <v>1</v>
      </c>
      <c r="U5318" s="77" t="s">
        <v>704</v>
      </c>
    </row>
    <row r="5319" spans="1:21" ht="15.6">
      <c r="A5319" s="110" t="s">
        <v>490</v>
      </c>
      <c r="B5319" s="111" t="s">
        <v>227</v>
      </c>
      <c r="C5319" s="112" t="s">
        <v>228</v>
      </c>
      <c r="D5319" s="113" t="s">
        <v>17</v>
      </c>
      <c r="E5319" s="114" t="s">
        <v>15</v>
      </c>
      <c r="F5319" s="115" t="s">
        <v>25</v>
      </c>
      <c r="G5319" s="116">
        <v>7.36</v>
      </c>
      <c r="H5319" s="125">
        <v>11.1</v>
      </c>
      <c r="I5319" s="111">
        <v>1</v>
      </c>
      <c r="J5319" s="117">
        <f t="shared" si="698"/>
        <v>8.1696000000000005E-2</v>
      </c>
      <c r="K5319" s="118"/>
      <c r="L5319" s="111">
        <v>1</v>
      </c>
      <c r="M5319" s="117">
        <f t="shared" si="699"/>
        <v>8.1696000000000005E-2</v>
      </c>
      <c r="N5319" s="119">
        <f t="shared" si="700"/>
        <v>0</v>
      </c>
      <c r="O5319" s="120">
        <f t="shared" si="701"/>
        <v>0</v>
      </c>
      <c r="P5319" s="111">
        <v>10</v>
      </c>
      <c r="Q5319" s="32">
        <v>1</v>
      </c>
      <c r="R5319" s="32" t="s">
        <v>320</v>
      </c>
      <c r="S5319" s="213"/>
      <c r="T5319" s="213"/>
      <c r="U5319" s="213"/>
    </row>
    <row r="5320" spans="1:21" ht="15.6">
      <c r="A5320" s="110" t="s">
        <v>490</v>
      </c>
      <c r="B5320" s="111" t="s">
        <v>227</v>
      </c>
      <c r="C5320" s="112" t="s">
        <v>228</v>
      </c>
      <c r="D5320" s="113" t="s">
        <v>17</v>
      </c>
      <c r="E5320" s="114" t="s">
        <v>15</v>
      </c>
      <c r="F5320" s="115" t="s">
        <v>25</v>
      </c>
      <c r="G5320" s="116">
        <v>7.36</v>
      </c>
      <c r="H5320" s="125">
        <v>11.5</v>
      </c>
      <c r="I5320" s="111">
        <v>7</v>
      </c>
      <c r="J5320" s="117">
        <f t="shared" si="698"/>
        <v>0.59248000000000001</v>
      </c>
      <c r="K5320" s="118"/>
      <c r="L5320" s="111">
        <f>1+6</f>
        <v>7</v>
      </c>
      <c r="M5320" s="117">
        <f t="shared" si="699"/>
        <v>0.59248000000000001</v>
      </c>
      <c r="N5320" s="119">
        <f t="shared" si="700"/>
        <v>0</v>
      </c>
      <c r="O5320" s="120">
        <f>H5320*N5320*G5320/1000</f>
        <v>0</v>
      </c>
      <c r="P5320" s="111" t="s">
        <v>497</v>
      </c>
      <c r="Q5320" s="32">
        <f>1+6</f>
        <v>7</v>
      </c>
      <c r="R5320" s="32" t="s">
        <v>320</v>
      </c>
      <c r="S5320" s="213"/>
      <c r="T5320" s="213"/>
      <c r="U5320" s="213"/>
    </row>
    <row r="5321" spans="1:21">
      <c r="A5321" s="32"/>
      <c r="B5321" s="32"/>
      <c r="C5321" s="32"/>
      <c r="D5321" s="32"/>
      <c r="E5321" s="32"/>
      <c r="F5321" s="32"/>
      <c r="G5321" s="32"/>
      <c r="H5321" s="32"/>
      <c r="I5321" s="129">
        <f>SUM(I5303:I5320)</f>
        <v>791</v>
      </c>
      <c r="J5321" s="124">
        <f>SUM(J5303:J5320)</f>
        <v>58.375840000000004</v>
      </c>
      <c r="K5321" s="32"/>
      <c r="L5321" s="129">
        <f>SUM(L5303:L5320)</f>
        <v>817</v>
      </c>
      <c r="M5321" s="124">
        <f>SUM(M5303:M5320)</f>
        <v>60.443264000000006</v>
      </c>
      <c r="N5321" s="131">
        <f>SUM(N5303:N5320)</f>
        <v>-26</v>
      </c>
      <c r="O5321" s="132">
        <f>SUM(O5303:O5320)</f>
        <v>-2.0674240000000004</v>
      </c>
      <c r="P5321" s="32"/>
      <c r="Q5321" s="32"/>
      <c r="R5321" s="32"/>
      <c r="S5321" s="213"/>
      <c r="T5321" s="131">
        <f>SUM(T5303:T5320)</f>
        <v>15</v>
      </c>
      <c r="U5321" s="213"/>
    </row>
    <row r="5322" spans="1:21">
      <c r="T5322" s="215">
        <f>+T5321+S5300+S5285+P5266</f>
        <v>59</v>
      </c>
    </row>
    <row r="5325" spans="1:21">
      <c r="A5325" s="42" t="s">
        <v>77</v>
      </c>
      <c r="B5325" s="3" t="s">
        <v>68</v>
      </c>
      <c r="C5325" s="3">
        <v>421</v>
      </c>
      <c r="D5325" s="20" t="s">
        <v>24</v>
      </c>
      <c r="E5325" s="7" t="s">
        <v>14</v>
      </c>
      <c r="F5325" s="7" t="s">
        <v>27</v>
      </c>
      <c r="G5325" s="11">
        <v>6.17</v>
      </c>
      <c r="H5325" s="8">
        <v>12</v>
      </c>
      <c r="I5325" s="26">
        <v>29</v>
      </c>
      <c r="J5325" s="10">
        <v>2.14716</v>
      </c>
      <c r="K5325" s="17">
        <v>29</v>
      </c>
      <c r="L5325" s="18">
        <v>2.14716</v>
      </c>
      <c r="M5325" s="19">
        <v>0</v>
      </c>
      <c r="N5325" s="13">
        <v>0</v>
      </c>
      <c r="O5325" s="89">
        <v>11.5</v>
      </c>
      <c r="P5325" s="90">
        <v>4</v>
      </c>
      <c r="Q5325" s="90" t="s">
        <v>705</v>
      </c>
      <c r="R5325" s="213"/>
    </row>
    <row r="5326" spans="1:21">
      <c r="A5326" s="42" t="s">
        <v>77</v>
      </c>
      <c r="B5326" s="3" t="s">
        <v>68</v>
      </c>
      <c r="C5326" s="3">
        <v>424</v>
      </c>
      <c r="D5326" s="20" t="s">
        <v>24</v>
      </c>
      <c r="E5326" s="7" t="s">
        <v>14</v>
      </c>
      <c r="F5326" s="7" t="s">
        <v>27</v>
      </c>
      <c r="G5326" s="11">
        <v>6.17</v>
      </c>
      <c r="H5326" s="8">
        <v>7.5</v>
      </c>
      <c r="I5326" s="26">
        <v>7</v>
      </c>
      <c r="J5326" s="10">
        <v>0.32392500000000002</v>
      </c>
      <c r="K5326" s="17">
        <v>7</v>
      </c>
      <c r="L5326" s="18">
        <v>0.32392500000000002</v>
      </c>
      <c r="M5326" s="19">
        <v>0</v>
      </c>
      <c r="N5326" s="13">
        <v>0</v>
      </c>
      <c r="O5326" s="89">
        <v>7.15</v>
      </c>
      <c r="P5326" s="90">
        <v>2</v>
      </c>
      <c r="Q5326" s="90" t="s">
        <v>705</v>
      </c>
      <c r="R5326" s="213"/>
    </row>
    <row r="5327" spans="1:21">
      <c r="A5327" s="42" t="s">
        <v>77</v>
      </c>
      <c r="B5327" s="3" t="s">
        <v>68</v>
      </c>
      <c r="C5327" s="3">
        <v>424</v>
      </c>
      <c r="D5327" s="20" t="s">
        <v>24</v>
      </c>
      <c r="E5327" s="7" t="s">
        <v>14</v>
      </c>
      <c r="F5327" s="7" t="s">
        <v>27</v>
      </c>
      <c r="G5327" s="11">
        <v>6.17</v>
      </c>
      <c r="H5327" s="8">
        <v>10</v>
      </c>
      <c r="I5327" s="26">
        <v>17</v>
      </c>
      <c r="J5327" s="10">
        <v>1.0489000000000002</v>
      </c>
      <c r="K5327" s="17">
        <v>17</v>
      </c>
      <c r="L5327" s="18">
        <v>1.0489000000000002</v>
      </c>
      <c r="M5327" s="19">
        <v>0</v>
      </c>
      <c r="N5327" s="13">
        <v>0</v>
      </c>
      <c r="O5327" s="89">
        <v>10</v>
      </c>
      <c r="P5327" s="90">
        <v>1</v>
      </c>
      <c r="Q5327" s="90" t="s">
        <v>705</v>
      </c>
      <c r="R5327" s="213"/>
    </row>
    <row r="5328" spans="1:21">
      <c r="A5328" s="42"/>
      <c r="B5328" s="3"/>
      <c r="C5328" s="3"/>
      <c r="D5328" s="20" t="s">
        <v>24</v>
      </c>
      <c r="E5328" s="7" t="s">
        <v>14</v>
      </c>
      <c r="F5328" s="7" t="s">
        <v>27</v>
      </c>
      <c r="G5328" s="11">
        <v>6.17</v>
      </c>
      <c r="H5328" s="8">
        <v>6.7</v>
      </c>
      <c r="I5328" s="26">
        <v>34</v>
      </c>
      <c r="J5328" s="10">
        <v>1.4055259999999998</v>
      </c>
      <c r="K5328" s="17">
        <v>33</v>
      </c>
      <c r="L5328" s="18">
        <v>1.3641869999999998</v>
      </c>
      <c r="M5328" s="19">
        <v>1</v>
      </c>
      <c r="N5328" s="13">
        <v>4.1339000000000001E-2</v>
      </c>
      <c r="O5328" s="9"/>
      <c r="P5328" s="2"/>
      <c r="Q5328" s="2"/>
    </row>
    <row r="5329" spans="1:20">
      <c r="A5329" s="42" t="s">
        <v>90</v>
      </c>
      <c r="B5329" s="48" t="s">
        <v>148</v>
      </c>
      <c r="C5329" s="32">
        <v>58</v>
      </c>
      <c r="D5329" s="48" t="s">
        <v>19</v>
      </c>
      <c r="E5329" s="48" t="s">
        <v>14</v>
      </c>
      <c r="F5329" s="48" t="s">
        <v>27</v>
      </c>
      <c r="G5329" s="11">
        <v>6.17</v>
      </c>
      <c r="H5329" s="52">
        <v>10</v>
      </c>
      <c r="I5329" s="7">
        <v>1</v>
      </c>
      <c r="J5329" s="10">
        <v>6.1700000000000005E-2</v>
      </c>
      <c r="K5329" s="32">
        <v>1</v>
      </c>
      <c r="L5329" s="18">
        <v>6.1700000000000005E-2</v>
      </c>
      <c r="M5329" s="19">
        <v>0</v>
      </c>
      <c r="N5329" s="13">
        <v>0</v>
      </c>
      <c r="O5329" s="478">
        <v>10</v>
      </c>
      <c r="P5329" s="413">
        <v>1</v>
      </c>
      <c r="Q5329" s="90" t="s">
        <v>705</v>
      </c>
      <c r="R5329" s="213"/>
    </row>
    <row r="5330" spans="1:20">
      <c r="A5330" s="42" t="s">
        <v>90</v>
      </c>
      <c r="B5330" s="48" t="s">
        <v>148</v>
      </c>
      <c r="C5330" s="32">
        <v>89</v>
      </c>
      <c r="D5330" s="48" t="s">
        <v>19</v>
      </c>
      <c r="E5330" s="48" t="s">
        <v>14</v>
      </c>
      <c r="F5330" s="48" t="s">
        <v>27</v>
      </c>
      <c r="G5330" s="11">
        <v>6.17</v>
      </c>
      <c r="H5330" s="52">
        <v>11.5</v>
      </c>
      <c r="I5330" s="7">
        <v>1</v>
      </c>
      <c r="J5330" s="10">
        <v>7.0955000000000004E-2</v>
      </c>
      <c r="K5330" s="32">
        <v>1</v>
      </c>
      <c r="L5330" s="18">
        <v>7.0955000000000004E-2</v>
      </c>
      <c r="M5330" s="19">
        <v>0</v>
      </c>
      <c r="N5330" s="13">
        <v>0</v>
      </c>
      <c r="O5330" s="478">
        <v>11.5</v>
      </c>
      <c r="P5330" s="413">
        <v>1</v>
      </c>
      <c r="Q5330" s="90" t="s">
        <v>705</v>
      </c>
      <c r="R5330" s="213"/>
    </row>
    <row r="5331" spans="1:20">
      <c r="A5331" s="42" t="s">
        <v>90</v>
      </c>
      <c r="B5331" s="48" t="s">
        <v>148</v>
      </c>
      <c r="C5331" s="32">
        <v>89</v>
      </c>
      <c r="D5331" s="48" t="s">
        <v>19</v>
      </c>
      <c r="E5331" s="48" t="s">
        <v>14</v>
      </c>
      <c r="F5331" s="48" t="s">
        <v>27</v>
      </c>
      <c r="G5331" s="11">
        <v>6.17</v>
      </c>
      <c r="H5331" s="52">
        <v>11.3</v>
      </c>
      <c r="I5331" s="7">
        <v>1</v>
      </c>
      <c r="J5331" s="10">
        <v>6.9721000000000005E-2</v>
      </c>
      <c r="K5331" s="32">
        <v>1</v>
      </c>
      <c r="L5331" s="18">
        <v>6.9721000000000005E-2</v>
      </c>
      <c r="M5331" s="19">
        <v>0</v>
      </c>
      <c r="N5331" s="13">
        <v>0</v>
      </c>
      <c r="O5331" s="478">
        <v>10</v>
      </c>
      <c r="P5331" s="413">
        <v>1</v>
      </c>
      <c r="Q5331" s="90" t="s">
        <v>705</v>
      </c>
      <c r="R5331" s="213"/>
    </row>
    <row r="5332" spans="1:20">
      <c r="A5332" s="47" t="s">
        <v>147</v>
      </c>
      <c r="B5332" s="48" t="s">
        <v>148</v>
      </c>
      <c r="C5332" s="32">
        <v>279</v>
      </c>
      <c r="D5332" s="48" t="s">
        <v>19</v>
      </c>
      <c r="E5332" s="48" t="s">
        <v>14</v>
      </c>
      <c r="F5332" s="48" t="s">
        <v>27</v>
      </c>
      <c r="G5332" s="11">
        <v>6.17</v>
      </c>
      <c r="H5332" s="52">
        <v>6.25</v>
      </c>
      <c r="I5332" s="7">
        <v>1</v>
      </c>
      <c r="J5332" s="10">
        <v>3.85625E-2</v>
      </c>
      <c r="K5332" s="32">
        <v>1</v>
      </c>
      <c r="L5332" s="18">
        <v>3.85625E-2</v>
      </c>
      <c r="M5332" s="19">
        <v>0</v>
      </c>
      <c r="N5332" s="13">
        <v>0</v>
      </c>
      <c r="O5332" s="477"/>
      <c r="P5332" s="32"/>
      <c r="Q5332" s="32"/>
    </row>
    <row r="5333" spans="1:20">
      <c r="A5333" s="47" t="s">
        <v>147</v>
      </c>
      <c r="B5333" s="48" t="s">
        <v>148</v>
      </c>
      <c r="C5333" s="32">
        <v>279</v>
      </c>
      <c r="D5333" s="48" t="s">
        <v>19</v>
      </c>
      <c r="E5333" s="48" t="s">
        <v>14</v>
      </c>
      <c r="F5333" s="48" t="s">
        <v>27</v>
      </c>
      <c r="G5333" s="11">
        <v>6.17</v>
      </c>
      <c r="H5333" s="52">
        <v>10.5</v>
      </c>
      <c r="I5333" s="7">
        <v>1</v>
      </c>
      <c r="J5333" s="10">
        <v>6.4784999999999995E-2</v>
      </c>
      <c r="K5333" s="32">
        <v>1</v>
      </c>
      <c r="L5333" s="18">
        <v>6.4784999999999995E-2</v>
      </c>
      <c r="M5333" s="19">
        <v>0</v>
      </c>
      <c r="N5333" s="13">
        <v>0</v>
      </c>
      <c r="O5333" s="478">
        <v>10</v>
      </c>
      <c r="P5333" s="413">
        <v>1</v>
      </c>
      <c r="Q5333" s="90" t="s">
        <v>705</v>
      </c>
      <c r="R5333" s="213"/>
    </row>
    <row r="5334" spans="1:20">
      <c r="M5334" s="215">
        <f>SUM(M5325:M5333)</f>
        <v>1</v>
      </c>
      <c r="P5334" s="215">
        <f>SUM(P5325:P5333)</f>
        <v>11</v>
      </c>
    </row>
    <row r="5336" spans="1:20" ht="15.6">
      <c r="A5336" s="110" t="s">
        <v>366</v>
      </c>
      <c r="B5336" s="111" t="s">
        <v>232</v>
      </c>
      <c r="C5336" s="112" t="s">
        <v>228</v>
      </c>
      <c r="D5336" s="113" t="s">
        <v>19</v>
      </c>
      <c r="E5336" s="114" t="s">
        <v>14</v>
      </c>
      <c r="F5336" s="115" t="s">
        <v>27</v>
      </c>
      <c r="G5336" s="116">
        <v>6.17</v>
      </c>
      <c r="H5336" s="125">
        <v>7.4</v>
      </c>
      <c r="I5336" s="326">
        <f>62+62</f>
        <v>124</v>
      </c>
      <c r="J5336" s="117">
        <f>H5336*G5336*I5336/1000</f>
        <v>5.6615920000000006</v>
      </c>
      <c r="K5336" s="118"/>
      <c r="L5336" s="111">
        <v>124</v>
      </c>
      <c r="M5336" s="117">
        <f t="shared" ref="M5336:M5354" si="702">H5336*L5336*G5336/1000</f>
        <v>5.6615919999999997</v>
      </c>
      <c r="N5336" s="119">
        <f t="shared" ref="N5336:N5354" si="703">I5336-L5336</f>
        <v>0</v>
      </c>
      <c r="O5336" s="120">
        <f t="shared" ref="O5336:O5352" si="704">H5336*N5336*G5336/1000</f>
        <v>0</v>
      </c>
      <c r="P5336" s="111"/>
      <c r="Q5336" s="32"/>
      <c r="R5336" s="213"/>
      <c r="S5336" s="213"/>
      <c r="T5336" s="213"/>
    </row>
    <row r="5337" spans="1:20" ht="15.6">
      <c r="A5337" s="110" t="s">
        <v>366</v>
      </c>
      <c r="B5337" s="111" t="s">
        <v>232</v>
      </c>
      <c r="C5337" s="112" t="s">
        <v>228</v>
      </c>
      <c r="D5337" s="113" t="s">
        <v>19</v>
      </c>
      <c r="E5337" s="114" t="s">
        <v>14</v>
      </c>
      <c r="F5337" s="115" t="s">
        <v>27</v>
      </c>
      <c r="G5337" s="116">
        <v>6.17</v>
      </c>
      <c r="H5337" s="125">
        <v>8.4</v>
      </c>
      <c r="I5337" s="326">
        <f>8+16</f>
        <v>24</v>
      </c>
      <c r="J5337" s="117">
        <f t="shared" ref="J5337:J5354" si="705">H5337*G5337*I5337/1000</f>
        <v>1.2438720000000001</v>
      </c>
      <c r="K5337" s="118"/>
      <c r="L5337" s="111">
        <v>24</v>
      </c>
      <c r="M5337" s="117">
        <f t="shared" si="702"/>
        <v>1.2438720000000001</v>
      </c>
      <c r="N5337" s="119">
        <f t="shared" si="703"/>
        <v>0</v>
      </c>
      <c r="O5337" s="120">
        <f t="shared" si="704"/>
        <v>0</v>
      </c>
      <c r="P5337" s="111"/>
      <c r="Q5337" s="32"/>
      <c r="R5337" s="213"/>
      <c r="S5337" s="213"/>
      <c r="T5337" s="213"/>
    </row>
    <row r="5338" spans="1:20" ht="15.6">
      <c r="A5338" s="110" t="s">
        <v>366</v>
      </c>
      <c r="B5338" s="111" t="s">
        <v>232</v>
      </c>
      <c r="C5338" s="112" t="s">
        <v>228</v>
      </c>
      <c r="D5338" s="113" t="s">
        <v>19</v>
      </c>
      <c r="E5338" s="114" t="s">
        <v>14</v>
      </c>
      <c r="F5338" s="115" t="s">
        <v>27</v>
      </c>
      <c r="G5338" s="116">
        <v>6.17</v>
      </c>
      <c r="H5338" s="125">
        <v>11.55</v>
      </c>
      <c r="I5338" s="326">
        <f>47+40+25</f>
        <v>112</v>
      </c>
      <c r="J5338" s="117">
        <f t="shared" si="705"/>
        <v>7.9815120000000004</v>
      </c>
      <c r="K5338" s="118"/>
      <c r="L5338" s="111">
        <v>112</v>
      </c>
      <c r="M5338" s="117">
        <f t="shared" si="702"/>
        <v>7.9815120000000004</v>
      </c>
      <c r="N5338" s="119">
        <f t="shared" si="703"/>
        <v>0</v>
      </c>
      <c r="O5338" s="120">
        <f t="shared" si="704"/>
        <v>0</v>
      </c>
      <c r="P5338" s="111"/>
      <c r="Q5338" s="32"/>
      <c r="R5338" s="213"/>
      <c r="S5338" s="213"/>
      <c r="T5338" s="213"/>
    </row>
    <row r="5339" spans="1:20" ht="15.6">
      <c r="A5339" s="110" t="s">
        <v>366</v>
      </c>
      <c r="B5339" s="111" t="s">
        <v>232</v>
      </c>
      <c r="C5339" s="112" t="s">
        <v>228</v>
      </c>
      <c r="D5339" s="113" t="s">
        <v>19</v>
      </c>
      <c r="E5339" s="114" t="s">
        <v>14</v>
      </c>
      <c r="F5339" s="115" t="s">
        <v>27</v>
      </c>
      <c r="G5339" s="116">
        <v>6.17</v>
      </c>
      <c r="H5339" s="125">
        <v>11</v>
      </c>
      <c r="I5339" s="326">
        <v>2</v>
      </c>
      <c r="J5339" s="117">
        <f t="shared" si="705"/>
        <v>0.13574</v>
      </c>
      <c r="K5339" s="118"/>
      <c r="L5339" s="111">
        <v>2</v>
      </c>
      <c r="M5339" s="117">
        <f t="shared" si="702"/>
        <v>0.13574</v>
      </c>
      <c r="N5339" s="119">
        <f t="shared" si="703"/>
        <v>0</v>
      </c>
      <c r="O5339" s="120">
        <f t="shared" si="704"/>
        <v>0</v>
      </c>
      <c r="P5339" s="111">
        <v>10.5</v>
      </c>
      <c r="Q5339" s="32">
        <v>2</v>
      </c>
      <c r="R5339" s="213" t="s">
        <v>421</v>
      </c>
      <c r="S5339" s="213"/>
      <c r="T5339" s="213"/>
    </row>
    <row r="5340" spans="1:20" ht="15.6">
      <c r="A5340" s="110" t="s">
        <v>366</v>
      </c>
      <c r="B5340" s="111" t="s">
        <v>232</v>
      </c>
      <c r="C5340" s="112" t="s">
        <v>228</v>
      </c>
      <c r="D5340" s="113" t="s">
        <v>19</v>
      </c>
      <c r="E5340" s="114" t="s">
        <v>14</v>
      </c>
      <c r="F5340" s="115" t="s">
        <v>27</v>
      </c>
      <c r="G5340" s="116">
        <v>6.17</v>
      </c>
      <c r="H5340" s="125">
        <v>11.5</v>
      </c>
      <c r="I5340" s="326">
        <v>1</v>
      </c>
      <c r="J5340" s="117">
        <f t="shared" si="705"/>
        <v>7.0955000000000004E-2</v>
      </c>
      <c r="K5340" s="118"/>
      <c r="L5340" s="111">
        <v>1</v>
      </c>
      <c r="M5340" s="117">
        <f t="shared" si="702"/>
        <v>7.0955000000000004E-2</v>
      </c>
      <c r="N5340" s="119">
        <f t="shared" si="703"/>
        <v>0</v>
      </c>
      <c r="O5340" s="120">
        <f t="shared" si="704"/>
        <v>0</v>
      </c>
      <c r="P5340" s="111">
        <v>11.5</v>
      </c>
      <c r="Q5340" s="32">
        <v>1</v>
      </c>
      <c r="R5340" s="213" t="s">
        <v>421</v>
      </c>
      <c r="S5340" s="213"/>
      <c r="T5340" s="213"/>
    </row>
    <row r="5341" spans="1:20" ht="15.6">
      <c r="A5341" s="110" t="s">
        <v>366</v>
      </c>
      <c r="B5341" s="111" t="s">
        <v>232</v>
      </c>
      <c r="C5341" s="112" t="s">
        <v>228</v>
      </c>
      <c r="D5341" s="113" t="s">
        <v>19</v>
      </c>
      <c r="E5341" s="114" t="s">
        <v>14</v>
      </c>
      <c r="F5341" s="115" t="s">
        <v>27</v>
      </c>
      <c r="G5341" s="116">
        <v>6.17</v>
      </c>
      <c r="H5341" s="125">
        <v>6.2</v>
      </c>
      <c r="I5341" s="326">
        <v>1</v>
      </c>
      <c r="J5341" s="117">
        <f t="shared" si="705"/>
        <v>3.8253999999999996E-2</v>
      </c>
      <c r="K5341" s="118"/>
      <c r="L5341" s="111"/>
      <c r="M5341" s="117">
        <f t="shared" si="702"/>
        <v>0</v>
      </c>
      <c r="N5341" s="119">
        <f t="shared" si="703"/>
        <v>1</v>
      </c>
      <c r="O5341" s="120">
        <f t="shared" si="704"/>
        <v>3.8253999999999996E-2</v>
      </c>
      <c r="P5341" s="111"/>
      <c r="Q5341" s="32"/>
      <c r="R5341" s="213"/>
      <c r="S5341" s="213"/>
      <c r="T5341" s="213"/>
    </row>
    <row r="5342" spans="1:20" ht="15.6">
      <c r="A5342" s="110" t="s">
        <v>366</v>
      </c>
      <c r="B5342" s="111" t="s">
        <v>232</v>
      </c>
      <c r="C5342" s="112" t="s">
        <v>228</v>
      </c>
      <c r="D5342" s="113" t="s">
        <v>19</v>
      </c>
      <c r="E5342" s="114" t="s">
        <v>14</v>
      </c>
      <c r="F5342" s="115" t="s">
        <v>27</v>
      </c>
      <c r="G5342" s="116">
        <v>6.17</v>
      </c>
      <c r="H5342" s="125">
        <v>6.4</v>
      </c>
      <c r="I5342" s="326">
        <v>1</v>
      </c>
      <c r="J5342" s="117">
        <f t="shared" si="705"/>
        <v>3.9488000000000002E-2</v>
      </c>
      <c r="K5342" s="118"/>
      <c r="L5342" s="111"/>
      <c r="M5342" s="117">
        <f t="shared" si="702"/>
        <v>0</v>
      </c>
      <c r="N5342" s="119">
        <f t="shared" si="703"/>
        <v>1</v>
      </c>
      <c r="O5342" s="120">
        <f t="shared" si="704"/>
        <v>3.9488000000000002E-2</v>
      </c>
      <c r="P5342" s="111"/>
      <c r="Q5342" s="32"/>
      <c r="R5342" s="213"/>
      <c r="S5342" s="213"/>
      <c r="T5342" s="213"/>
    </row>
    <row r="5343" spans="1:20" ht="15.6">
      <c r="A5343" s="110" t="s">
        <v>366</v>
      </c>
      <c r="B5343" s="111" t="s">
        <v>232</v>
      </c>
      <c r="C5343" s="112" t="s">
        <v>228</v>
      </c>
      <c r="D5343" s="113" t="s">
        <v>19</v>
      </c>
      <c r="E5343" s="114" t="s">
        <v>14</v>
      </c>
      <c r="F5343" s="115" t="s">
        <v>27</v>
      </c>
      <c r="G5343" s="116">
        <v>6.17</v>
      </c>
      <c r="H5343" s="125">
        <v>6.9</v>
      </c>
      <c r="I5343" s="326">
        <v>1</v>
      </c>
      <c r="J5343" s="117">
        <f t="shared" si="705"/>
        <v>4.2573E-2</v>
      </c>
      <c r="K5343" s="118"/>
      <c r="L5343" s="111"/>
      <c r="M5343" s="117">
        <f t="shared" si="702"/>
        <v>0</v>
      </c>
      <c r="N5343" s="119">
        <f t="shared" si="703"/>
        <v>1</v>
      </c>
      <c r="O5343" s="120">
        <f t="shared" si="704"/>
        <v>4.2573E-2</v>
      </c>
      <c r="P5343" s="111"/>
      <c r="Q5343" s="32"/>
      <c r="R5343" s="213"/>
      <c r="S5343" s="213"/>
      <c r="T5343" s="213"/>
    </row>
    <row r="5344" spans="1:20" ht="15.6">
      <c r="A5344" s="110" t="s">
        <v>366</v>
      </c>
      <c r="B5344" s="111" t="s">
        <v>232</v>
      </c>
      <c r="C5344" s="112" t="s">
        <v>228</v>
      </c>
      <c r="D5344" s="113" t="s">
        <v>19</v>
      </c>
      <c r="E5344" s="114" t="s">
        <v>14</v>
      </c>
      <c r="F5344" s="115" t="s">
        <v>27</v>
      </c>
      <c r="G5344" s="116">
        <v>6.17</v>
      </c>
      <c r="H5344" s="125">
        <v>7.1</v>
      </c>
      <c r="I5344" s="326">
        <v>1</v>
      </c>
      <c r="J5344" s="117">
        <f t="shared" si="705"/>
        <v>4.3806999999999992E-2</v>
      </c>
      <c r="K5344" s="118"/>
      <c r="L5344" s="111">
        <v>1</v>
      </c>
      <c r="M5344" s="117">
        <f t="shared" si="702"/>
        <v>4.3806999999999992E-2</v>
      </c>
      <c r="N5344" s="119">
        <f t="shared" si="703"/>
        <v>0</v>
      </c>
      <c r="O5344" s="120">
        <f t="shared" si="704"/>
        <v>0</v>
      </c>
      <c r="P5344" s="111"/>
      <c r="Q5344" s="32"/>
      <c r="R5344" s="77">
        <v>7.15</v>
      </c>
      <c r="S5344" s="77">
        <v>1</v>
      </c>
      <c r="T5344" s="77" t="s">
        <v>706</v>
      </c>
    </row>
    <row r="5345" spans="1:21" ht="15.6">
      <c r="A5345" s="110" t="s">
        <v>366</v>
      </c>
      <c r="B5345" s="111" t="s">
        <v>232</v>
      </c>
      <c r="C5345" s="112" t="s">
        <v>228</v>
      </c>
      <c r="D5345" s="113" t="s">
        <v>19</v>
      </c>
      <c r="E5345" s="114" t="s">
        <v>14</v>
      </c>
      <c r="F5345" s="115" t="s">
        <v>27</v>
      </c>
      <c r="G5345" s="116">
        <v>6.17</v>
      </c>
      <c r="H5345" s="125">
        <v>7.2</v>
      </c>
      <c r="I5345" s="326">
        <v>1</v>
      </c>
      <c r="J5345" s="117">
        <f t="shared" si="705"/>
        <v>4.4423999999999998E-2</v>
      </c>
      <c r="K5345" s="118"/>
      <c r="L5345" s="111">
        <v>1</v>
      </c>
      <c r="M5345" s="117">
        <f t="shared" si="702"/>
        <v>4.4423999999999998E-2</v>
      </c>
      <c r="N5345" s="119">
        <f t="shared" si="703"/>
        <v>0</v>
      </c>
      <c r="O5345" s="120">
        <f t="shared" si="704"/>
        <v>0</v>
      </c>
      <c r="P5345" s="111"/>
      <c r="Q5345" s="32"/>
      <c r="R5345" s="77">
        <v>7.15</v>
      </c>
      <c r="S5345" s="77">
        <v>1</v>
      </c>
      <c r="T5345" s="77" t="s">
        <v>706</v>
      </c>
    </row>
    <row r="5346" spans="1:21" ht="15.6">
      <c r="A5346" s="110" t="s">
        <v>366</v>
      </c>
      <c r="B5346" s="111" t="s">
        <v>232</v>
      </c>
      <c r="C5346" s="112" t="s">
        <v>228</v>
      </c>
      <c r="D5346" s="113" t="s">
        <v>19</v>
      </c>
      <c r="E5346" s="114" t="s">
        <v>14</v>
      </c>
      <c r="F5346" s="115" t="s">
        <v>27</v>
      </c>
      <c r="G5346" s="116">
        <v>6.17</v>
      </c>
      <c r="H5346" s="125">
        <v>7.4</v>
      </c>
      <c r="I5346" s="326">
        <f>60+60+59+60+60+60+39</f>
        <v>398</v>
      </c>
      <c r="J5346" s="117">
        <f t="shared" si="705"/>
        <v>18.171884000000002</v>
      </c>
      <c r="K5346" s="118"/>
      <c r="L5346" s="111">
        <f>36+362+26</f>
        <v>424</v>
      </c>
      <c r="M5346" s="117">
        <f t="shared" si="702"/>
        <v>19.358992000000001</v>
      </c>
      <c r="N5346" s="228">
        <f t="shared" si="703"/>
        <v>-26</v>
      </c>
      <c r="O5346" s="229">
        <f t="shared" si="704"/>
        <v>-1.1871080000000001</v>
      </c>
      <c r="P5346" s="44" t="s">
        <v>481</v>
      </c>
      <c r="Q5346" s="32"/>
      <c r="R5346" s="213"/>
      <c r="S5346" s="213"/>
      <c r="T5346" s="213"/>
    </row>
    <row r="5347" spans="1:21" ht="15.6">
      <c r="A5347" s="110" t="s">
        <v>366</v>
      </c>
      <c r="B5347" s="111" t="s">
        <v>232</v>
      </c>
      <c r="C5347" s="112" t="s">
        <v>228</v>
      </c>
      <c r="D5347" s="113" t="s">
        <v>19</v>
      </c>
      <c r="E5347" s="114" t="s">
        <v>14</v>
      </c>
      <c r="F5347" s="115" t="s">
        <v>27</v>
      </c>
      <c r="G5347" s="116">
        <v>6.17</v>
      </c>
      <c r="H5347" s="125">
        <v>5.7</v>
      </c>
      <c r="I5347" s="326">
        <v>1</v>
      </c>
      <c r="J5347" s="117">
        <f t="shared" si="705"/>
        <v>3.5169000000000006E-2</v>
      </c>
      <c r="K5347" s="118"/>
      <c r="L5347" s="111"/>
      <c r="M5347" s="117">
        <f t="shared" si="702"/>
        <v>0</v>
      </c>
      <c r="N5347" s="119">
        <f t="shared" si="703"/>
        <v>1</v>
      </c>
      <c r="O5347" s="120">
        <f t="shared" si="704"/>
        <v>3.5169000000000006E-2</v>
      </c>
      <c r="P5347" s="111"/>
      <c r="Q5347" s="32"/>
      <c r="R5347" s="213"/>
      <c r="S5347" s="213"/>
      <c r="T5347" s="213"/>
    </row>
    <row r="5348" spans="1:21" ht="15.6">
      <c r="A5348" s="110" t="s">
        <v>366</v>
      </c>
      <c r="B5348" s="111" t="s">
        <v>232</v>
      </c>
      <c r="C5348" s="112" t="s">
        <v>228</v>
      </c>
      <c r="D5348" s="113" t="s">
        <v>19</v>
      </c>
      <c r="E5348" s="114" t="s">
        <v>14</v>
      </c>
      <c r="F5348" s="115" t="s">
        <v>27</v>
      </c>
      <c r="G5348" s="116">
        <v>6.17</v>
      </c>
      <c r="H5348" s="125">
        <v>6</v>
      </c>
      <c r="I5348" s="326">
        <v>1</v>
      </c>
      <c r="J5348" s="117">
        <f t="shared" si="705"/>
        <v>3.7019999999999997E-2</v>
      </c>
      <c r="K5348" s="118"/>
      <c r="L5348" s="111"/>
      <c r="M5348" s="117">
        <f t="shared" si="702"/>
        <v>0</v>
      </c>
      <c r="N5348" s="119">
        <f t="shared" si="703"/>
        <v>1</v>
      </c>
      <c r="O5348" s="120">
        <f t="shared" si="704"/>
        <v>3.7019999999999997E-2</v>
      </c>
      <c r="P5348" s="111"/>
      <c r="Q5348" s="32"/>
      <c r="R5348" s="213"/>
      <c r="S5348" s="213"/>
      <c r="T5348" s="213"/>
    </row>
    <row r="5349" spans="1:21" ht="15.6">
      <c r="A5349" s="110" t="s">
        <v>366</v>
      </c>
      <c r="B5349" s="111" t="s">
        <v>232</v>
      </c>
      <c r="C5349" s="112" t="s">
        <v>228</v>
      </c>
      <c r="D5349" s="113" t="s">
        <v>19</v>
      </c>
      <c r="E5349" s="114" t="s">
        <v>14</v>
      </c>
      <c r="F5349" s="115" t="s">
        <v>27</v>
      </c>
      <c r="G5349" s="116">
        <v>6.17</v>
      </c>
      <c r="H5349" s="125">
        <v>6.5</v>
      </c>
      <c r="I5349" s="326">
        <v>3</v>
      </c>
      <c r="J5349" s="117">
        <f t="shared" si="705"/>
        <v>0.12031499999999999</v>
      </c>
      <c r="K5349" s="118"/>
      <c r="L5349" s="111"/>
      <c r="M5349" s="117">
        <f t="shared" si="702"/>
        <v>0</v>
      </c>
      <c r="N5349" s="119">
        <f t="shared" si="703"/>
        <v>3</v>
      </c>
      <c r="O5349" s="120">
        <f t="shared" si="704"/>
        <v>0.12031499999999999</v>
      </c>
      <c r="P5349" s="111"/>
      <c r="Q5349" s="32"/>
      <c r="R5349" s="213"/>
      <c r="S5349" s="213"/>
      <c r="T5349" s="213"/>
    </row>
    <row r="5350" spans="1:21" ht="15.6">
      <c r="A5350" s="110" t="s">
        <v>366</v>
      </c>
      <c r="B5350" s="111" t="s">
        <v>232</v>
      </c>
      <c r="C5350" s="112" t="s">
        <v>228</v>
      </c>
      <c r="D5350" s="113" t="s">
        <v>19</v>
      </c>
      <c r="E5350" s="114" t="s">
        <v>14</v>
      </c>
      <c r="F5350" s="115" t="s">
        <v>27</v>
      </c>
      <c r="G5350" s="116">
        <v>6.17</v>
      </c>
      <c r="H5350" s="125">
        <v>7.2</v>
      </c>
      <c r="I5350" s="326">
        <v>4</v>
      </c>
      <c r="J5350" s="117">
        <f t="shared" si="705"/>
        <v>0.17769599999999999</v>
      </c>
      <c r="K5350" s="118"/>
      <c r="L5350" s="111">
        <v>4</v>
      </c>
      <c r="M5350" s="117">
        <f t="shared" si="702"/>
        <v>0.17769599999999999</v>
      </c>
      <c r="N5350" s="119">
        <f t="shared" si="703"/>
        <v>0</v>
      </c>
      <c r="O5350" s="120">
        <f t="shared" si="704"/>
        <v>0</v>
      </c>
      <c r="P5350" s="111"/>
      <c r="Q5350" s="32"/>
      <c r="R5350" s="77">
        <v>7.15</v>
      </c>
      <c r="S5350" s="77">
        <v>4</v>
      </c>
      <c r="T5350" s="77" t="s">
        <v>706</v>
      </c>
    </row>
    <row r="5351" spans="1:21" ht="15.6">
      <c r="A5351" s="110" t="s">
        <v>366</v>
      </c>
      <c r="B5351" s="111" t="s">
        <v>232</v>
      </c>
      <c r="C5351" s="112" t="s">
        <v>228</v>
      </c>
      <c r="D5351" s="113" t="s">
        <v>19</v>
      </c>
      <c r="E5351" s="114" t="s">
        <v>14</v>
      </c>
      <c r="F5351" s="115" t="s">
        <v>27</v>
      </c>
      <c r="G5351" s="116">
        <v>6.17</v>
      </c>
      <c r="H5351" s="125">
        <v>10.9</v>
      </c>
      <c r="I5351" s="326">
        <v>3</v>
      </c>
      <c r="J5351" s="117">
        <f t="shared" si="705"/>
        <v>0.20175900000000002</v>
      </c>
      <c r="K5351" s="118"/>
      <c r="L5351" s="111">
        <v>3</v>
      </c>
      <c r="M5351" s="117">
        <f t="shared" si="702"/>
        <v>0.20175900000000002</v>
      </c>
      <c r="N5351" s="119">
        <f t="shared" si="703"/>
        <v>0</v>
      </c>
      <c r="O5351" s="120">
        <f t="shared" si="704"/>
        <v>0</v>
      </c>
      <c r="P5351" s="159">
        <v>10.5</v>
      </c>
      <c r="Q5351" s="32">
        <v>3</v>
      </c>
      <c r="R5351" s="213" t="s">
        <v>421</v>
      </c>
      <c r="S5351" s="213"/>
      <c r="T5351" s="213"/>
    </row>
    <row r="5352" spans="1:21" ht="15.6">
      <c r="A5352" s="110" t="s">
        <v>366</v>
      </c>
      <c r="B5352" s="111" t="s">
        <v>232</v>
      </c>
      <c r="C5352" s="112" t="s">
        <v>228</v>
      </c>
      <c r="D5352" s="113" t="s">
        <v>19</v>
      </c>
      <c r="E5352" s="114" t="s">
        <v>14</v>
      </c>
      <c r="F5352" s="115" t="s">
        <v>27</v>
      </c>
      <c r="G5352" s="116">
        <v>6.17</v>
      </c>
      <c r="H5352" s="125">
        <v>11.2</v>
      </c>
      <c r="I5352" s="326">
        <v>1</v>
      </c>
      <c r="J5352" s="117">
        <f t="shared" si="705"/>
        <v>6.9103999999999999E-2</v>
      </c>
      <c r="K5352" s="118"/>
      <c r="L5352" s="111">
        <v>1</v>
      </c>
      <c r="M5352" s="117">
        <f t="shared" si="702"/>
        <v>6.9103999999999999E-2</v>
      </c>
      <c r="N5352" s="119">
        <f t="shared" si="703"/>
        <v>0</v>
      </c>
      <c r="O5352" s="120">
        <f t="shared" si="704"/>
        <v>0</v>
      </c>
      <c r="P5352" s="159">
        <v>10.5</v>
      </c>
      <c r="Q5352" s="32">
        <v>1</v>
      </c>
      <c r="R5352" s="213" t="s">
        <v>421</v>
      </c>
      <c r="S5352" s="213"/>
      <c r="T5352" s="213"/>
    </row>
    <row r="5353" spans="1:21" ht="15.6">
      <c r="A5353" s="110" t="s">
        <v>366</v>
      </c>
      <c r="B5353" s="111" t="s">
        <v>232</v>
      </c>
      <c r="C5353" s="112" t="s">
        <v>228</v>
      </c>
      <c r="D5353" s="113" t="s">
        <v>19</v>
      </c>
      <c r="E5353" s="114" t="s">
        <v>14</v>
      </c>
      <c r="F5353" s="115" t="s">
        <v>27</v>
      </c>
      <c r="G5353" s="116">
        <v>6.17</v>
      </c>
      <c r="H5353" s="125">
        <v>11.5</v>
      </c>
      <c r="I5353" s="327">
        <v>1</v>
      </c>
      <c r="J5353" s="117">
        <f t="shared" si="705"/>
        <v>7.0955000000000004E-2</v>
      </c>
      <c r="K5353" s="118"/>
      <c r="L5353" s="123">
        <v>1</v>
      </c>
      <c r="M5353" s="117">
        <f t="shared" si="702"/>
        <v>7.0955000000000004E-2</v>
      </c>
      <c r="N5353" s="119">
        <f t="shared" si="703"/>
        <v>0</v>
      </c>
      <c r="O5353" s="120">
        <f>H5353*N5353*G5353/1000</f>
        <v>0</v>
      </c>
      <c r="P5353" s="159">
        <v>11.5</v>
      </c>
      <c r="Q5353" s="32">
        <v>1</v>
      </c>
      <c r="R5353" s="213" t="s">
        <v>421</v>
      </c>
      <c r="S5353" s="213"/>
      <c r="T5353" s="213"/>
    </row>
    <row r="5354" spans="1:21" ht="15.6">
      <c r="A5354" s="110" t="s">
        <v>366</v>
      </c>
      <c r="B5354" s="111" t="s">
        <v>232</v>
      </c>
      <c r="C5354" s="112" t="s">
        <v>228</v>
      </c>
      <c r="D5354" s="113" t="s">
        <v>19</v>
      </c>
      <c r="E5354" s="114" t="s">
        <v>14</v>
      </c>
      <c r="F5354" s="115" t="s">
        <v>27</v>
      </c>
      <c r="G5354" s="116">
        <v>6.17</v>
      </c>
      <c r="H5354" s="125">
        <v>11.55</v>
      </c>
      <c r="I5354" s="328">
        <v>3</v>
      </c>
      <c r="J5354" s="117">
        <f t="shared" si="705"/>
        <v>0.21379050000000002</v>
      </c>
      <c r="K5354" s="118"/>
      <c r="L5354" s="321">
        <v>3</v>
      </c>
      <c r="M5354" s="117">
        <f t="shared" si="702"/>
        <v>0.21379050000000005</v>
      </c>
      <c r="N5354" s="119">
        <f t="shared" si="703"/>
        <v>0</v>
      </c>
      <c r="O5354" s="120">
        <f>H5354*N5354*G5354/1000</f>
        <v>0</v>
      </c>
      <c r="P5354" s="159">
        <v>11.5</v>
      </c>
      <c r="Q5354" s="32">
        <v>3</v>
      </c>
      <c r="R5354" s="213" t="s">
        <v>421</v>
      </c>
      <c r="S5354" s="213"/>
      <c r="T5354" s="213"/>
    </row>
    <row r="5355" spans="1:21">
      <c r="A5355" s="32"/>
      <c r="B5355" s="32"/>
      <c r="C5355" s="32"/>
      <c r="D5355" s="32"/>
      <c r="E5355" s="32"/>
      <c r="F5355" s="32"/>
      <c r="G5355" s="32"/>
      <c r="H5355" s="32"/>
      <c r="I5355" s="129">
        <f>SUM(I5336:I5354)</f>
        <v>683</v>
      </c>
      <c r="J5355" s="124">
        <f>SUM(J5336:J5354)</f>
        <v>34.399909500000007</v>
      </c>
      <c r="K5355" s="32"/>
      <c r="L5355" s="129">
        <f>SUM(L5336:L5354)</f>
        <v>701</v>
      </c>
      <c r="M5355" s="124">
        <f>SUM(M5336:M5354)</f>
        <v>35.274198500000004</v>
      </c>
      <c r="N5355" s="131">
        <f>SUM(N5336:N5354)</f>
        <v>-18</v>
      </c>
      <c r="O5355" s="124">
        <f>SUM(O5336:O5354)</f>
        <v>-0.87428900000000009</v>
      </c>
      <c r="P5355" s="32"/>
      <c r="Q5355" s="131">
        <f>SUM(Q5336:Q5354)</f>
        <v>11</v>
      </c>
      <c r="R5355" s="213"/>
      <c r="S5355" s="131">
        <f>SUM(S5336:S5354)</f>
        <v>6</v>
      </c>
      <c r="T5355" s="213"/>
    </row>
    <row r="5358" spans="1:21" ht="15.6">
      <c r="A5358" s="110" t="s">
        <v>496</v>
      </c>
      <c r="B5358" s="111" t="s">
        <v>227</v>
      </c>
      <c r="C5358" s="112" t="s">
        <v>228</v>
      </c>
      <c r="D5358" s="113" t="s">
        <v>24</v>
      </c>
      <c r="E5358" s="114" t="s">
        <v>14</v>
      </c>
      <c r="F5358" s="115" t="s">
        <v>27</v>
      </c>
      <c r="G5358" s="116">
        <v>6.17</v>
      </c>
      <c r="H5358" s="125">
        <v>11.5</v>
      </c>
      <c r="I5358" s="111">
        <f>43+38+16</f>
        <v>97</v>
      </c>
      <c r="J5358" s="117">
        <f t="shared" ref="J5358:J5362" si="706">H5358*G5358*I5358/1000</f>
        <v>6.8826350000000005</v>
      </c>
      <c r="K5358" s="118"/>
      <c r="L5358" s="111">
        <f>96+1</f>
        <v>97</v>
      </c>
      <c r="M5358" s="117">
        <f t="shared" ref="M5358:M5362" si="707">H5358*L5358*G5358/1000</f>
        <v>6.8826350000000005</v>
      </c>
      <c r="N5358" s="119">
        <f t="shared" ref="N5358:N5362" si="708">I5358-L5358</f>
        <v>0</v>
      </c>
      <c r="O5358" s="120">
        <f t="shared" ref="O5358:O5362" si="709">H5358*N5358*G5358/1000</f>
        <v>0</v>
      </c>
      <c r="P5358" s="111">
        <v>11.5</v>
      </c>
      <c r="Q5358" s="32">
        <v>1</v>
      </c>
      <c r="R5358" s="32" t="s">
        <v>500</v>
      </c>
      <c r="S5358" s="213"/>
      <c r="T5358" s="213"/>
      <c r="U5358" s="213"/>
    </row>
    <row r="5359" spans="1:21" ht="15.6">
      <c r="A5359" s="110" t="s">
        <v>496</v>
      </c>
      <c r="B5359" s="111" t="s">
        <v>227</v>
      </c>
      <c r="C5359" s="112" t="s">
        <v>228</v>
      </c>
      <c r="D5359" s="113" t="s">
        <v>24</v>
      </c>
      <c r="E5359" s="114" t="s">
        <v>14</v>
      </c>
      <c r="F5359" s="115" t="s">
        <v>27</v>
      </c>
      <c r="G5359" s="116">
        <v>6.17</v>
      </c>
      <c r="H5359" s="125">
        <v>12</v>
      </c>
      <c r="I5359" s="111">
        <f>27+26</f>
        <v>53</v>
      </c>
      <c r="J5359" s="117">
        <f t="shared" si="706"/>
        <v>3.9241199999999994</v>
      </c>
      <c r="K5359" s="118"/>
      <c r="L5359" s="111">
        <f>48+1+1+3</f>
        <v>53</v>
      </c>
      <c r="M5359" s="117">
        <f t="shared" si="707"/>
        <v>3.9241199999999998</v>
      </c>
      <c r="N5359" s="119">
        <f t="shared" si="708"/>
        <v>0</v>
      </c>
      <c r="O5359" s="120">
        <f t="shared" si="709"/>
        <v>0</v>
      </c>
      <c r="P5359" s="111">
        <v>11.5</v>
      </c>
      <c r="Q5359" s="32">
        <v>1</v>
      </c>
      <c r="R5359" s="32" t="s">
        <v>500</v>
      </c>
      <c r="S5359" s="247">
        <v>11.5</v>
      </c>
      <c r="T5359" s="479">
        <v>3</v>
      </c>
      <c r="U5359" s="77" t="s">
        <v>634</v>
      </c>
    </row>
    <row r="5360" spans="1:21" ht="15.6">
      <c r="A5360" s="110" t="s">
        <v>496</v>
      </c>
      <c r="B5360" s="111" t="s">
        <v>227</v>
      </c>
      <c r="C5360" s="112" t="s">
        <v>228</v>
      </c>
      <c r="D5360" s="113" t="s">
        <v>24</v>
      </c>
      <c r="E5360" s="114" t="s">
        <v>14</v>
      </c>
      <c r="F5360" s="115" t="s">
        <v>27</v>
      </c>
      <c r="G5360" s="116">
        <v>6.17</v>
      </c>
      <c r="H5360" s="125">
        <v>10.5</v>
      </c>
      <c r="I5360" s="111">
        <v>1</v>
      </c>
      <c r="J5360" s="117">
        <f t="shared" si="706"/>
        <v>6.4784999999999995E-2</v>
      </c>
      <c r="K5360" s="118"/>
      <c r="L5360" s="111">
        <v>1</v>
      </c>
      <c r="M5360" s="117">
        <f t="shared" si="707"/>
        <v>6.4784999999999995E-2</v>
      </c>
      <c r="N5360" s="119">
        <f t="shared" si="708"/>
        <v>0</v>
      </c>
      <c r="O5360" s="120">
        <f t="shared" si="709"/>
        <v>0</v>
      </c>
      <c r="P5360" s="111"/>
      <c r="Q5360" s="32"/>
      <c r="R5360" s="32"/>
      <c r="S5360" s="247">
        <v>10.199999999999999</v>
      </c>
      <c r="T5360" s="77">
        <v>1</v>
      </c>
      <c r="U5360" s="77" t="s">
        <v>634</v>
      </c>
    </row>
    <row r="5361" spans="1:21" ht="15.6">
      <c r="A5361" s="110" t="s">
        <v>496</v>
      </c>
      <c r="B5361" s="111" t="s">
        <v>227</v>
      </c>
      <c r="C5361" s="112" t="s">
        <v>228</v>
      </c>
      <c r="D5361" s="113" t="s">
        <v>24</v>
      </c>
      <c r="E5361" s="114" t="s">
        <v>14</v>
      </c>
      <c r="F5361" s="115" t="s">
        <v>27</v>
      </c>
      <c r="G5361" s="116">
        <v>6.17</v>
      </c>
      <c r="H5361" s="125">
        <v>11</v>
      </c>
      <c r="I5361" s="111">
        <v>1</v>
      </c>
      <c r="J5361" s="117">
        <f t="shared" si="706"/>
        <v>6.787E-2</v>
      </c>
      <c r="K5361" s="118"/>
      <c r="L5361" s="111">
        <v>1</v>
      </c>
      <c r="M5361" s="117">
        <f t="shared" si="707"/>
        <v>6.787E-2</v>
      </c>
      <c r="N5361" s="119">
        <f t="shared" si="708"/>
        <v>0</v>
      </c>
      <c r="O5361" s="120">
        <f t="shared" si="709"/>
        <v>0</v>
      </c>
      <c r="P5361" s="111"/>
      <c r="Q5361" s="32"/>
      <c r="R5361" s="32"/>
      <c r="S5361" s="247">
        <v>10.199999999999999</v>
      </c>
      <c r="T5361" s="77">
        <v>1</v>
      </c>
      <c r="U5361" s="77" t="s">
        <v>634</v>
      </c>
    </row>
    <row r="5362" spans="1:21" ht="15.6">
      <c r="A5362" s="110" t="s">
        <v>496</v>
      </c>
      <c r="B5362" s="111" t="s">
        <v>227</v>
      </c>
      <c r="C5362" s="112" t="s">
        <v>228</v>
      </c>
      <c r="D5362" s="113" t="s">
        <v>24</v>
      </c>
      <c r="E5362" s="114" t="s">
        <v>14</v>
      </c>
      <c r="F5362" s="115" t="s">
        <v>27</v>
      </c>
      <c r="G5362" s="116">
        <v>6.17</v>
      </c>
      <c r="H5362" s="125">
        <v>10.5</v>
      </c>
      <c r="I5362" s="111">
        <v>2</v>
      </c>
      <c r="J5362" s="117">
        <f t="shared" si="706"/>
        <v>0.12956999999999999</v>
      </c>
      <c r="K5362" s="118"/>
      <c r="L5362" s="111">
        <v>2</v>
      </c>
      <c r="M5362" s="117">
        <f t="shared" si="707"/>
        <v>0.12956999999999999</v>
      </c>
      <c r="N5362" s="119">
        <f t="shared" si="708"/>
        <v>0</v>
      </c>
      <c r="O5362" s="120">
        <f t="shared" si="709"/>
        <v>0</v>
      </c>
      <c r="P5362" s="111"/>
      <c r="Q5362" s="32"/>
      <c r="R5362" s="32"/>
      <c r="S5362" s="247">
        <v>10.199999999999999</v>
      </c>
      <c r="T5362" s="77">
        <v>2</v>
      </c>
      <c r="U5362" s="77" t="s">
        <v>634</v>
      </c>
    </row>
    <row r="5363" spans="1:21">
      <c r="A5363" s="213"/>
      <c r="B5363" s="213"/>
      <c r="C5363" s="213"/>
      <c r="D5363" s="213"/>
      <c r="E5363" s="213"/>
      <c r="F5363" s="213"/>
      <c r="G5363" s="213"/>
      <c r="H5363" s="213"/>
      <c r="I5363" s="215">
        <f>SUM(I5358:I5362)</f>
        <v>154</v>
      </c>
      <c r="J5363" s="214">
        <f>SUM(J5358:J5362)</f>
        <v>11.068979999999998</v>
      </c>
      <c r="K5363" s="213"/>
      <c r="L5363" s="215">
        <f>SUM(L5358:L5362)</f>
        <v>154</v>
      </c>
      <c r="M5363" s="214">
        <f>SUM(M5358:M5362)</f>
        <v>11.06898</v>
      </c>
      <c r="N5363" s="78">
        <f>SUM(N5358:N5362)</f>
        <v>0</v>
      </c>
      <c r="O5363" s="128">
        <f>SUM(O5358:O5362)</f>
        <v>0</v>
      </c>
      <c r="P5363" s="213"/>
      <c r="Q5363" s="213"/>
      <c r="R5363" s="213"/>
      <c r="S5363" s="213"/>
      <c r="T5363" s="78">
        <f>SUM(T5358:T5362)</f>
        <v>7</v>
      </c>
      <c r="U5363" s="213"/>
    </row>
    <row r="5365" spans="1:21" ht="15.6">
      <c r="A5365" s="110" t="s">
        <v>496</v>
      </c>
      <c r="B5365" s="111" t="s">
        <v>227</v>
      </c>
      <c r="C5365" s="112" t="s">
        <v>228</v>
      </c>
      <c r="D5365" s="113" t="s">
        <v>390</v>
      </c>
      <c r="E5365" s="114" t="s">
        <v>14</v>
      </c>
      <c r="F5365" s="115" t="s">
        <v>27</v>
      </c>
      <c r="G5365" s="116">
        <v>6.17</v>
      </c>
      <c r="H5365" s="125">
        <v>10.5</v>
      </c>
      <c r="I5365" s="111">
        <v>2</v>
      </c>
      <c r="J5365" s="117">
        <f t="shared" ref="J5365:J5373" si="710">H5365*G5365*I5365/1000</f>
        <v>0.12956999999999999</v>
      </c>
      <c r="K5365" s="118"/>
      <c r="L5365" s="111">
        <v>2</v>
      </c>
      <c r="M5365" s="117">
        <f t="shared" ref="M5365:M5373" si="711">H5365*L5365*G5365/1000</f>
        <v>0.12956999999999999</v>
      </c>
      <c r="N5365" s="119">
        <f t="shared" ref="N5365:N5371" si="712">I5365-L5365</f>
        <v>0</v>
      </c>
      <c r="O5365" s="120">
        <f t="shared" ref="O5365:O5371" si="713">H5365*N5365*G5365/1000</f>
        <v>0</v>
      </c>
      <c r="P5365" s="111"/>
      <c r="Q5365" s="32"/>
      <c r="R5365" s="32"/>
      <c r="S5365" s="213"/>
      <c r="T5365" s="213"/>
    </row>
    <row r="5366" spans="1:21" ht="15.6">
      <c r="A5366" s="110" t="s">
        <v>496</v>
      </c>
      <c r="B5366" s="111" t="s">
        <v>227</v>
      </c>
      <c r="C5366" s="112" t="s">
        <v>228</v>
      </c>
      <c r="D5366" s="113" t="s">
        <v>390</v>
      </c>
      <c r="E5366" s="114" t="s">
        <v>14</v>
      </c>
      <c r="F5366" s="115" t="s">
        <v>27</v>
      </c>
      <c r="G5366" s="116">
        <v>6.17</v>
      </c>
      <c r="H5366" s="125">
        <v>11.5</v>
      </c>
      <c r="I5366" s="111">
        <v>20</v>
      </c>
      <c r="J5366" s="117">
        <f t="shared" si="710"/>
        <v>1.4190999999999998</v>
      </c>
      <c r="K5366" s="118"/>
      <c r="L5366" s="111">
        <v>20</v>
      </c>
      <c r="M5366" s="117">
        <f t="shared" si="711"/>
        <v>1.4190999999999998</v>
      </c>
      <c r="N5366" s="119">
        <f t="shared" si="712"/>
        <v>0</v>
      </c>
      <c r="O5366" s="120">
        <f t="shared" si="713"/>
        <v>0</v>
      </c>
      <c r="P5366" s="111"/>
      <c r="Q5366" s="32"/>
      <c r="R5366" s="32"/>
      <c r="S5366" s="213"/>
      <c r="T5366" s="213"/>
    </row>
    <row r="5367" spans="1:21" ht="15.6">
      <c r="A5367" s="110" t="s">
        <v>496</v>
      </c>
      <c r="B5367" s="111" t="s">
        <v>227</v>
      </c>
      <c r="C5367" s="112" t="s">
        <v>228</v>
      </c>
      <c r="D5367" s="113" t="s">
        <v>390</v>
      </c>
      <c r="E5367" s="114" t="s">
        <v>14</v>
      </c>
      <c r="F5367" s="115" t="s">
        <v>27</v>
      </c>
      <c r="G5367" s="116">
        <v>6.17</v>
      </c>
      <c r="H5367" s="125">
        <v>11.5</v>
      </c>
      <c r="I5367" s="111">
        <v>35</v>
      </c>
      <c r="J5367" s="117">
        <f t="shared" si="710"/>
        <v>2.4834249999999995</v>
      </c>
      <c r="K5367" s="118"/>
      <c r="L5367" s="111">
        <v>35</v>
      </c>
      <c r="M5367" s="117">
        <f t="shared" si="711"/>
        <v>2.483425</v>
      </c>
      <c r="N5367" s="119">
        <f t="shared" si="712"/>
        <v>0</v>
      </c>
      <c r="O5367" s="120">
        <f t="shared" si="713"/>
        <v>0</v>
      </c>
      <c r="P5367" s="111"/>
      <c r="Q5367" s="32"/>
      <c r="R5367" s="32"/>
      <c r="S5367" s="213"/>
      <c r="T5367" s="213"/>
    </row>
    <row r="5368" spans="1:21" ht="15.6">
      <c r="A5368" s="110" t="s">
        <v>496</v>
      </c>
      <c r="B5368" s="111" t="s">
        <v>227</v>
      </c>
      <c r="C5368" s="112" t="s">
        <v>228</v>
      </c>
      <c r="D5368" s="113" t="s">
        <v>390</v>
      </c>
      <c r="E5368" s="114" t="s">
        <v>14</v>
      </c>
      <c r="F5368" s="115" t="s">
        <v>27</v>
      </c>
      <c r="G5368" s="116">
        <v>6.17</v>
      </c>
      <c r="H5368" s="125">
        <v>7.4</v>
      </c>
      <c r="I5368" s="111">
        <v>23</v>
      </c>
      <c r="J5368" s="117">
        <f t="shared" si="710"/>
        <v>1.0501340000000001</v>
      </c>
      <c r="K5368" s="118"/>
      <c r="L5368" s="111">
        <v>23</v>
      </c>
      <c r="M5368" s="117">
        <f t="shared" si="711"/>
        <v>1.0501340000000001</v>
      </c>
      <c r="N5368" s="119">
        <f t="shared" si="712"/>
        <v>0</v>
      </c>
      <c r="O5368" s="120">
        <f t="shared" si="713"/>
        <v>0</v>
      </c>
      <c r="P5368" s="111"/>
      <c r="Q5368" s="32"/>
      <c r="R5368" s="32"/>
      <c r="S5368" s="213"/>
      <c r="T5368" s="213"/>
    </row>
    <row r="5369" spans="1:21" ht="15.6">
      <c r="A5369" s="110" t="s">
        <v>496</v>
      </c>
      <c r="B5369" s="111" t="s">
        <v>227</v>
      </c>
      <c r="C5369" s="112" t="s">
        <v>228</v>
      </c>
      <c r="D5369" s="113" t="s">
        <v>390</v>
      </c>
      <c r="E5369" s="114" t="s">
        <v>14</v>
      </c>
      <c r="F5369" s="115" t="s">
        <v>27</v>
      </c>
      <c r="G5369" s="116">
        <v>6.17</v>
      </c>
      <c r="H5369" s="125">
        <v>7.2</v>
      </c>
      <c r="I5369" s="111">
        <v>1</v>
      </c>
      <c r="J5369" s="117">
        <f t="shared" si="710"/>
        <v>4.4423999999999998E-2</v>
      </c>
      <c r="K5369" s="118"/>
      <c r="L5369" s="111">
        <v>1</v>
      </c>
      <c r="M5369" s="117">
        <f t="shared" si="711"/>
        <v>4.4423999999999998E-2</v>
      </c>
      <c r="N5369" s="119">
        <f t="shared" si="712"/>
        <v>0</v>
      </c>
      <c r="O5369" s="120">
        <f t="shared" si="713"/>
        <v>0</v>
      </c>
      <c r="P5369" s="111"/>
      <c r="Q5369" s="32"/>
      <c r="R5369" s="91">
        <v>7.15</v>
      </c>
      <c r="S5369" s="156">
        <v>1</v>
      </c>
      <c r="T5369" s="156" t="s">
        <v>634</v>
      </c>
    </row>
    <row r="5370" spans="1:21" ht="15.6">
      <c r="A5370" s="110" t="s">
        <v>496</v>
      </c>
      <c r="B5370" s="111" t="s">
        <v>227</v>
      </c>
      <c r="C5370" s="112" t="s">
        <v>228</v>
      </c>
      <c r="D5370" s="113" t="s">
        <v>390</v>
      </c>
      <c r="E5370" s="114" t="s">
        <v>14</v>
      </c>
      <c r="F5370" s="115" t="s">
        <v>27</v>
      </c>
      <c r="G5370" s="116">
        <v>6.17</v>
      </c>
      <c r="H5370" s="125">
        <v>9.5</v>
      </c>
      <c r="I5370" s="111">
        <v>1</v>
      </c>
      <c r="J5370" s="117">
        <f t="shared" si="710"/>
        <v>5.8615E-2</v>
      </c>
      <c r="K5370" s="118"/>
      <c r="L5370" s="111">
        <v>1</v>
      </c>
      <c r="M5370" s="117">
        <f t="shared" si="711"/>
        <v>5.8615E-2</v>
      </c>
      <c r="N5370" s="119">
        <f t="shared" si="712"/>
        <v>0</v>
      </c>
      <c r="O5370" s="120">
        <f t="shared" si="713"/>
        <v>0</v>
      </c>
      <c r="P5370" s="111">
        <v>7.4</v>
      </c>
      <c r="Q5370" s="32">
        <v>1</v>
      </c>
      <c r="R5370" s="32"/>
      <c r="S5370" s="213"/>
      <c r="T5370" s="213"/>
    </row>
    <row r="5371" spans="1:21" ht="15.6">
      <c r="A5371" s="110" t="s">
        <v>496</v>
      </c>
      <c r="B5371" s="111" t="s">
        <v>227</v>
      </c>
      <c r="C5371" s="112" t="s">
        <v>228</v>
      </c>
      <c r="D5371" s="113" t="s">
        <v>390</v>
      </c>
      <c r="E5371" s="114" t="s">
        <v>14</v>
      </c>
      <c r="F5371" s="115" t="s">
        <v>27</v>
      </c>
      <c r="G5371" s="116">
        <v>6.17</v>
      </c>
      <c r="H5371" s="125">
        <v>10.3</v>
      </c>
      <c r="I5371" s="111">
        <v>1</v>
      </c>
      <c r="J5371" s="117">
        <f t="shared" si="710"/>
        <v>6.3550999999999996E-2</v>
      </c>
      <c r="K5371" s="118"/>
      <c r="L5371" s="111">
        <v>1</v>
      </c>
      <c r="M5371" s="117">
        <f t="shared" si="711"/>
        <v>6.3550999999999996E-2</v>
      </c>
      <c r="N5371" s="119">
        <f t="shared" si="712"/>
        <v>0</v>
      </c>
      <c r="O5371" s="120">
        <f t="shared" si="713"/>
        <v>0</v>
      </c>
      <c r="P5371" s="111">
        <v>7.4</v>
      </c>
      <c r="Q5371" s="32">
        <v>1</v>
      </c>
      <c r="R5371" s="32"/>
      <c r="S5371" s="213"/>
      <c r="T5371" s="213"/>
    </row>
    <row r="5372" spans="1:21" ht="15.6">
      <c r="A5372" s="110" t="s">
        <v>496</v>
      </c>
      <c r="B5372" s="111" t="s">
        <v>227</v>
      </c>
      <c r="C5372" s="112" t="s">
        <v>228</v>
      </c>
      <c r="D5372" s="113" t="s">
        <v>390</v>
      </c>
      <c r="E5372" s="114" t="s">
        <v>14</v>
      </c>
      <c r="F5372" s="115" t="s">
        <v>27</v>
      </c>
      <c r="G5372" s="116">
        <v>6.17</v>
      </c>
      <c r="H5372" s="125">
        <v>10.5</v>
      </c>
      <c r="I5372" s="111">
        <v>1</v>
      </c>
      <c r="J5372" s="117">
        <f t="shared" si="710"/>
        <v>6.4784999999999995E-2</v>
      </c>
      <c r="K5372" s="118"/>
      <c r="L5372" s="111">
        <v>1</v>
      </c>
      <c r="M5372" s="117">
        <f t="shared" si="711"/>
        <v>6.4784999999999995E-2</v>
      </c>
      <c r="N5372" s="119">
        <f>I5372-L5372</f>
        <v>0</v>
      </c>
      <c r="O5372" s="120">
        <f>H5372*N5372*G5372/1000</f>
        <v>0</v>
      </c>
      <c r="P5372" s="111">
        <v>7.4</v>
      </c>
      <c r="Q5372" s="32">
        <v>1</v>
      </c>
      <c r="R5372" s="32"/>
      <c r="S5372" s="213"/>
      <c r="T5372" s="213"/>
    </row>
    <row r="5373" spans="1:21" ht="15.6">
      <c r="A5373" s="110" t="s">
        <v>496</v>
      </c>
      <c r="B5373" s="111" t="s">
        <v>227</v>
      </c>
      <c r="C5373" s="112" t="s">
        <v>228</v>
      </c>
      <c r="D5373" s="113" t="s">
        <v>390</v>
      </c>
      <c r="E5373" s="114" t="s">
        <v>14</v>
      </c>
      <c r="F5373" s="115" t="s">
        <v>27</v>
      </c>
      <c r="G5373" s="116">
        <v>6.17</v>
      </c>
      <c r="H5373" s="125">
        <v>10.8</v>
      </c>
      <c r="I5373" s="111">
        <v>3</v>
      </c>
      <c r="J5373" s="117">
        <f t="shared" si="710"/>
        <v>0.199908</v>
      </c>
      <c r="K5373" s="118"/>
      <c r="L5373" s="111">
        <v>3</v>
      </c>
      <c r="M5373" s="117">
        <f t="shared" si="711"/>
        <v>0.19990800000000003</v>
      </c>
      <c r="N5373" s="119">
        <f>I5373-L5373</f>
        <v>0</v>
      </c>
      <c r="O5373" s="120">
        <f>H5373*N5373*G5373/1000</f>
        <v>0</v>
      </c>
      <c r="P5373" s="111"/>
      <c r="Q5373" s="32"/>
      <c r="R5373" s="91">
        <v>10.199999999999999</v>
      </c>
      <c r="S5373" s="156">
        <v>3</v>
      </c>
      <c r="T5373" s="156" t="s">
        <v>634</v>
      </c>
    </row>
    <row r="5374" spans="1:21">
      <c r="A5374" s="32"/>
      <c r="B5374" s="32"/>
      <c r="C5374" s="32"/>
      <c r="D5374" s="32"/>
      <c r="E5374" s="32"/>
      <c r="F5374" s="32"/>
      <c r="G5374" s="32"/>
      <c r="H5374" s="32"/>
      <c r="I5374" s="129">
        <f>SUM(I5365:I5373)</f>
        <v>87</v>
      </c>
      <c r="J5374" s="124">
        <f>SUM(J5365:J5373)</f>
        <v>5.5135119999999986</v>
      </c>
      <c r="K5374" s="32"/>
      <c r="L5374" s="129">
        <f>SUM(L5365:L5373)</f>
        <v>87</v>
      </c>
      <c r="M5374" s="124">
        <f>SUM(M5365:M5373)</f>
        <v>5.5135119999999995</v>
      </c>
      <c r="N5374" s="131">
        <f>SUM(N5365:N5373)</f>
        <v>0</v>
      </c>
      <c r="O5374" s="132">
        <f>SUM(O5365:O5373)</f>
        <v>0</v>
      </c>
      <c r="P5374" s="32"/>
      <c r="Q5374" s="32"/>
      <c r="R5374" s="32"/>
      <c r="S5374" s="131">
        <f>SUM(S5365:S5373)</f>
        <v>4</v>
      </c>
      <c r="T5374" s="213"/>
    </row>
    <row r="5375" spans="1:21">
      <c r="S5375" s="215">
        <f>+S5374+T5363+S5355+P5334</f>
        <v>28</v>
      </c>
    </row>
    <row r="5378" spans="1:21">
      <c r="A5378" s="42" t="s">
        <v>84</v>
      </c>
      <c r="B5378" s="3" t="s">
        <v>121</v>
      </c>
      <c r="C5378" s="3">
        <v>4</v>
      </c>
      <c r="D5378" s="20" t="s">
        <v>24</v>
      </c>
      <c r="E5378" s="7" t="s">
        <v>14</v>
      </c>
      <c r="F5378" s="7" t="s">
        <v>25</v>
      </c>
      <c r="G5378" s="11">
        <v>7.34</v>
      </c>
      <c r="H5378" s="8">
        <v>12</v>
      </c>
      <c r="I5378" s="26">
        <v>20</v>
      </c>
      <c r="J5378" s="10">
        <v>1.7615999999999998</v>
      </c>
      <c r="K5378" s="17">
        <v>20</v>
      </c>
      <c r="L5378" s="18">
        <v>1.7615999999999998</v>
      </c>
      <c r="M5378" s="19">
        <v>0</v>
      </c>
      <c r="N5378" s="13">
        <v>0</v>
      </c>
      <c r="O5378" s="73">
        <v>11.5</v>
      </c>
      <c r="P5378" s="74">
        <v>2</v>
      </c>
      <c r="Q5378" s="74" t="s">
        <v>707</v>
      </c>
    </row>
    <row r="5379" spans="1:21">
      <c r="A5379" s="42" t="s">
        <v>84</v>
      </c>
      <c r="B5379" s="3" t="s">
        <v>121</v>
      </c>
      <c r="C5379" s="3">
        <v>5</v>
      </c>
      <c r="D5379" s="20" t="s">
        <v>24</v>
      </c>
      <c r="E5379" s="7" t="s">
        <v>14</v>
      </c>
      <c r="F5379" s="7" t="s">
        <v>25</v>
      </c>
      <c r="G5379" s="11">
        <v>7.34</v>
      </c>
      <c r="H5379" s="8">
        <v>6.5</v>
      </c>
      <c r="I5379" s="26">
        <v>1</v>
      </c>
      <c r="J5379" s="10">
        <v>4.7710000000000002E-2</v>
      </c>
      <c r="K5379" s="17"/>
      <c r="L5379" s="18">
        <v>0</v>
      </c>
      <c r="M5379" s="19">
        <v>1</v>
      </c>
      <c r="N5379" s="13">
        <v>4.7710000000000002E-2</v>
      </c>
      <c r="O5379" s="9"/>
      <c r="P5379" s="2"/>
      <c r="Q5379" s="2"/>
    </row>
    <row r="5380" spans="1:21">
      <c r="A5380" s="42" t="s">
        <v>84</v>
      </c>
      <c r="B5380" s="3" t="s">
        <v>121</v>
      </c>
      <c r="C5380" s="3">
        <v>5</v>
      </c>
      <c r="D5380" s="20" t="s">
        <v>24</v>
      </c>
      <c r="E5380" s="7" t="s">
        <v>14</v>
      </c>
      <c r="F5380" s="7" t="s">
        <v>25</v>
      </c>
      <c r="G5380" s="11">
        <v>7.34</v>
      </c>
      <c r="H5380" s="8">
        <v>6.4</v>
      </c>
      <c r="I5380" s="26">
        <v>1</v>
      </c>
      <c r="J5380" s="10">
        <v>4.6975999999999997E-2</v>
      </c>
      <c r="K5380" s="17"/>
      <c r="L5380" s="18">
        <v>0</v>
      </c>
      <c r="M5380" s="19">
        <v>1</v>
      </c>
      <c r="N5380" s="13">
        <v>4.6975999999999997E-2</v>
      </c>
      <c r="O5380" s="9"/>
      <c r="P5380" s="2"/>
      <c r="Q5380" s="2"/>
    </row>
    <row r="5381" spans="1:21">
      <c r="A5381" s="42" t="s">
        <v>84</v>
      </c>
      <c r="B5381" s="3" t="s">
        <v>121</v>
      </c>
      <c r="C5381" s="3">
        <v>5</v>
      </c>
      <c r="D5381" s="20" t="s">
        <v>24</v>
      </c>
      <c r="E5381" s="7" t="s">
        <v>14</v>
      </c>
      <c r="F5381" s="7" t="s">
        <v>25</v>
      </c>
      <c r="G5381" s="11">
        <v>7.34</v>
      </c>
      <c r="H5381" s="8">
        <v>7.4</v>
      </c>
      <c r="I5381" s="26">
        <v>4</v>
      </c>
      <c r="J5381" s="10">
        <v>0.21726400000000001</v>
      </c>
      <c r="K5381" s="17"/>
      <c r="L5381" s="18">
        <v>0</v>
      </c>
      <c r="M5381" s="19">
        <v>4</v>
      </c>
      <c r="N5381" s="13">
        <v>0.21726400000000001</v>
      </c>
      <c r="O5381" s="9"/>
      <c r="P5381" s="2"/>
      <c r="Q5381" s="2"/>
    </row>
    <row r="5382" spans="1:21">
      <c r="A5382" s="42" t="s">
        <v>78</v>
      </c>
      <c r="B5382" s="3"/>
      <c r="C5382" s="3">
        <v>23</v>
      </c>
      <c r="D5382" s="20" t="s">
        <v>24</v>
      </c>
      <c r="E5382" s="7" t="s">
        <v>14</v>
      </c>
      <c r="F5382" s="7" t="s">
        <v>25</v>
      </c>
      <c r="G5382" s="11">
        <v>7.34</v>
      </c>
      <c r="H5382" s="8">
        <v>12</v>
      </c>
      <c r="I5382" s="26">
        <v>5</v>
      </c>
      <c r="J5382" s="10">
        <v>0.44039999999999996</v>
      </c>
      <c r="K5382" s="17">
        <v>5</v>
      </c>
      <c r="L5382" s="18">
        <v>0.44039999999999996</v>
      </c>
      <c r="M5382" s="19">
        <v>0</v>
      </c>
      <c r="N5382" s="13">
        <v>0</v>
      </c>
      <c r="O5382" s="73">
        <v>11.5</v>
      </c>
      <c r="P5382" s="74">
        <v>5</v>
      </c>
      <c r="Q5382" s="74" t="s">
        <v>707</v>
      </c>
    </row>
    <row r="5383" spans="1:21">
      <c r="A5383" s="42" t="s">
        <v>78</v>
      </c>
      <c r="B5383" s="3"/>
      <c r="C5383" s="3"/>
      <c r="D5383" s="20" t="s">
        <v>24</v>
      </c>
      <c r="E5383" s="7" t="s">
        <v>14</v>
      </c>
      <c r="F5383" s="7" t="s">
        <v>25</v>
      </c>
      <c r="G5383" s="11">
        <v>7.34</v>
      </c>
      <c r="H5383" s="8">
        <v>6.7</v>
      </c>
      <c r="I5383" s="26">
        <v>1</v>
      </c>
      <c r="J5383" s="10">
        <v>4.9177999999999999E-2</v>
      </c>
      <c r="K5383" s="17"/>
      <c r="L5383" s="18">
        <v>0</v>
      </c>
      <c r="M5383" s="19">
        <v>1</v>
      </c>
      <c r="N5383" s="13">
        <v>4.9177999999999999E-2</v>
      </c>
      <c r="O5383" s="9"/>
      <c r="P5383" s="2"/>
      <c r="Q5383" s="2"/>
    </row>
    <row r="5384" spans="1:21">
      <c r="A5384" s="42" t="s">
        <v>90</v>
      </c>
      <c r="B5384" s="48" t="s">
        <v>148</v>
      </c>
      <c r="C5384" s="32">
        <v>40</v>
      </c>
      <c r="D5384" s="48" t="s">
        <v>24</v>
      </c>
      <c r="E5384" s="48" t="s">
        <v>14</v>
      </c>
      <c r="F5384" s="48" t="s">
        <v>25</v>
      </c>
      <c r="G5384" s="11">
        <v>7.34</v>
      </c>
      <c r="H5384" s="52">
        <v>12</v>
      </c>
      <c r="I5384" s="7">
        <v>1</v>
      </c>
      <c r="J5384" s="10">
        <v>8.8079999999999992E-2</v>
      </c>
      <c r="K5384" s="32">
        <v>1</v>
      </c>
      <c r="L5384" s="18">
        <v>8.8079999999999992E-2</v>
      </c>
      <c r="M5384" s="19">
        <v>0</v>
      </c>
      <c r="N5384" s="13">
        <v>0</v>
      </c>
      <c r="O5384" s="73">
        <v>11.5</v>
      </c>
      <c r="P5384" s="74">
        <v>1</v>
      </c>
      <c r="Q5384" s="74" t="s">
        <v>707</v>
      </c>
    </row>
    <row r="5385" spans="1:21">
      <c r="M5385" s="215">
        <f>SUM(M5378:M5384)</f>
        <v>7</v>
      </c>
      <c r="P5385" s="215">
        <f>SUM(P5378:P5384)</f>
        <v>8</v>
      </c>
    </row>
    <row r="5387" spans="1:21" ht="15.6">
      <c r="A5387" s="110" t="s">
        <v>366</v>
      </c>
      <c r="B5387" s="111" t="s">
        <v>232</v>
      </c>
      <c r="C5387" s="112" t="s">
        <v>228</v>
      </c>
      <c r="D5387" s="113" t="s">
        <v>19</v>
      </c>
      <c r="E5387" s="114" t="s">
        <v>14</v>
      </c>
      <c r="F5387" s="115" t="s">
        <v>25</v>
      </c>
      <c r="G5387" s="116">
        <v>7.34</v>
      </c>
      <c r="H5387" s="125">
        <v>7.55</v>
      </c>
      <c r="I5387" s="111">
        <v>1</v>
      </c>
      <c r="J5387" s="117">
        <f t="shared" ref="J5387:J5399" si="714">H5387*G5387*I5387/1000</f>
        <v>5.5416999999999994E-2</v>
      </c>
      <c r="K5387" s="118"/>
      <c r="L5387" s="111">
        <v>1</v>
      </c>
      <c r="M5387" s="117">
        <f t="shared" ref="M5387:M5399" si="715">H5387*L5387*G5387/1000</f>
        <v>5.5416999999999994E-2</v>
      </c>
      <c r="N5387" s="119">
        <f t="shared" ref="N5387:N5399" si="716">I5387-L5387</f>
        <v>0</v>
      </c>
      <c r="O5387" s="120">
        <f t="shared" ref="O5387:O5399" si="717">H5387*N5387*G5387/1000</f>
        <v>0</v>
      </c>
      <c r="P5387" s="111"/>
      <c r="Q5387" s="32"/>
      <c r="R5387" s="125"/>
      <c r="S5387" s="29"/>
      <c r="T5387" s="29"/>
      <c r="U5387" s="29"/>
    </row>
    <row r="5388" spans="1:21" ht="15.6">
      <c r="A5388" s="110" t="s">
        <v>366</v>
      </c>
      <c r="B5388" s="111" t="s">
        <v>232</v>
      </c>
      <c r="C5388" s="112" t="s">
        <v>228</v>
      </c>
      <c r="D5388" s="113" t="s">
        <v>19</v>
      </c>
      <c r="E5388" s="114" t="s">
        <v>14</v>
      </c>
      <c r="F5388" s="115" t="s">
        <v>25</v>
      </c>
      <c r="G5388" s="116">
        <v>7.34</v>
      </c>
      <c r="H5388" s="125">
        <v>9.6</v>
      </c>
      <c r="I5388" s="111">
        <v>1</v>
      </c>
      <c r="J5388" s="117">
        <f t="shared" si="714"/>
        <v>7.0463999999999999E-2</v>
      </c>
      <c r="K5388" s="118"/>
      <c r="L5388" s="111">
        <v>1</v>
      </c>
      <c r="M5388" s="117">
        <f t="shared" si="715"/>
        <v>7.0463999999999999E-2</v>
      </c>
      <c r="N5388" s="119">
        <f t="shared" si="716"/>
        <v>0</v>
      </c>
      <c r="O5388" s="120">
        <f t="shared" si="717"/>
        <v>0</v>
      </c>
      <c r="P5388" s="111">
        <v>7.55</v>
      </c>
      <c r="Q5388" s="32">
        <v>1</v>
      </c>
      <c r="R5388" s="29"/>
      <c r="S5388" s="29"/>
      <c r="T5388" s="29"/>
      <c r="U5388" s="29"/>
    </row>
    <row r="5389" spans="1:21" ht="15.6">
      <c r="A5389" s="110" t="s">
        <v>366</v>
      </c>
      <c r="B5389" s="111" t="s">
        <v>232</v>
      </c>
      <c r="C5389" s="112" t="s">
        <v>228</v>
      </c>
      <c r="D5389" s="113" t="s">
        <v>19</v>
      </c>
      <c r="E5389" s="114" t="s">
        <v>14</v>
      </c>
      <c r="F5389" s="115" t="s">
        <v>25</v>
      </c>
      <c r="G5389" s="116">
        <v>7.34</v>
      </c>
      <c r="H5389" s="125">
        <v>10.5</v>
      </c>
      <c r="I5389" s="111">
        <v>1</v>
      </c>
      <c r="J5389" s="117">
        <f t="shared" si="714"/>
        <v>7.707E-2</v>
      </c>
      <c r="K5389" s="118"/>
      <c r="L5389" s="111">
        <v>1</v>
      </c>
      <c r="M5389" s="117">
        <f t="shared" si="715"/>
        <v>7.707E-2</v>
      </c>
      <c r="N5389" s="119">
        <f t="shared" si="716"/>
        <v>0</v>
      </c>
      <c r="O5389" s="120">
        <f t="shared" si="717"/>
        <v>0</v>
      </c>
      <c r="P5389" s="111">
        <v>7.55</v>
      </c>
      <c r="Q5389" s="32">
        <v>1</v>
      </c>
      <c r="R5389" s="213"/>
      <c r="S5389" s="213"/>
      <c r="T5389" s="213"/>
      <c r="U5389" s="213"/>
    </row>
    <row r="5390" spans="1:21" ht="15.6">
      <c r="A5390" s="110" t="s">
        <v>366</v>
      </c>
      <c r="B5390" s="111" t="s">
        <v>232</v>
      </c>
      <c r="C5390" s="112" t="s">
        <v>228</v>
      </c>
      <c r="D5390" s="113" t="s">
        <v>19</v>
      </c>
      <c r="E5390" s="114" t="s">
        <v>14</v>
      </c>
      <c r="F5390" s="115" t="s">
        <v>25</v>
      </c>
      <c r="G5390" s="116">
        <v>7.34</v>
      </c>
      <c r="H5390" s="125">
        <v>9</v>
      </c>
      <c r="I5390" s="111">
        <v>1</v>
      </c>
      <c r="J5390" s="117">
        <f t="shared" si="714"/>
        <v>6.6060000000000008E-2</v>
      </c>
      <c r="K5390" s="118"/>
      <c r="L5390" s="111">
        <v>1</v>
      </c>
      <c r="M5390" s="117">
        <f t="shared" si="715"/>
        <v>6.6060000000000008E-2</v>
      </c>
      <c r="N5390" s="119">
        <f t="shared" si="716"/>
        <v>0</v>
      </c>
      <c r="O5390" s="120">
        <f t="shared" si="717"/>
        <v>0</v>
      </c>
      <c r="P5390" s="111">
        <v>7.55</v>
      </c>
      <c r="Q5390" s="32">
        <v>2</v>
      </c>
      <c r="R5390" s="213"/>
      <c r="S5390" s="213"/>
      <c r="T5390" s="213"/>
      <c r="U5390" s="213"/>
    </row>
    <row r="5391" spans="1:21" ht="15.6">
      <c r="A5391" s="110" t="s">
        <v>366</v>
      </c>
      <c r="B5391" s="111" t="s">
        <v>232</v>
      </c>
      <c r="C5391" s="112" t="s">
        <v>228</v>
      </c>
      <c r="D5391" s="113" t="s">
        <v>19</v>
      </c>
      <c r="E5391" s="114" t="s">
        <v>14</v>
      </c>
      <c r="F5391" s="115" t="s">
        <v>25</v>
      </c>
      <c r="G5391" s="116">
        <v>7.34</v>
      </c>
      <c r="H5391" s="125">
        <v>8.1</v>
      </c>
      <c r="I5391" s="111">
        <v>1</v>
      </c>
      <c r="J5391" s="117">
        <f t="shared" si="714"/>
        <v>5.9453999999999993E-2</v>
      </c>
      <c r="K5391" s="118"/>
      <c r="L5391" s="111">
        <v>1</v>
      </c>
      <c r="M5391" s="117">
        <f t="shared" si="715"/>
        <v>5.9453999999999993E-2</v>
      </c>
      <c r="N5391" s="119">
        <f t="shared" si="716"/>
        <v>0</v>
      </c>
      <c r="O5391" s="120">
        <f t="shared" si="717"/>
        <v>0</v>
      </c>
      <c r="P5391" s="111">
        <v>7.55</v>
      </c>
      <c r="Q5391" s="32">
        <v>1</v>
      </c>
      <c r="R5391" s="213"/>
      <c r="S5391" s="213"/>
      <c r="T5391" s="213"/>
      <c r="U5391" s="213"/>
    </row>
    <row r="5392" spans="1:21" ht="15.6">
      <c r="A5392" s="110" t="s">
        <v>366</v>
      </c>
      <c r="B5392" s="111" t="s">
        <v>232</v>
      </c>
      <c r="C5392" s="112" t="s">
        <v>228</v>
      </c>
      <c r="D5392" s="113" t="s">
        <v>19</v>
      </c>
      <c r="E5392" s="114" t="s">
        <v>14</v>
      </c>
      <c r="F5392" s="115" t="s">
        <v>25</v>
      </c>
      <c r="G5392" s="116">
        <v>7.34</v>
      </c>
      <c r="H5392" s="125">
        <v>7</v>
      </c>
      <c r="I5392" s="111">
        <v>1</v>
      </c>
      <c r="J5392" s="117">
        <f t="shared" si="714"/>
        <v>5.1379999999999995E-2</v>
      </c>
      <c r="K5392" s="118"/>
      <c r="L5392" s="111">
        <v>1</v>
      </c>
      <c r="M5392" s="117">
        <f t="shared" si="715"/>
        <v>5.1379999999999995E-2</v>
      </c>
      <c r="N5392" s="119">
        <f t="shared" si="716"/>
        <v>0</v>
      </c>
      <c r="O5392" s="120">
        <f t="shared" si="717"/>
        <v>0</v>
      </c>
      <c r="P5392" s="111"/>
      <c r="Q5392" s="32"/>
      <c r="R5392" s="213"/>
      <c r="S5392" s="247">
        <v>7</v>
      </c>
      <c r="T5392" s="77">
        <v>1</v>
      </c>
      <c r="U5392" s="77" t="s">
        <v>708</v>
      </c>
    </row>
    <row r="5393" spans="1:21" ht="15.6">
      <c r="A5393" s="110" t="s">
        <v>366</v>
      </c>
      <c r="B5393" s="111" t="s">
        <v>232</v>
      </c>
      <c r="C5393" s="112" t="s">
        <v>228</v>
      </c>
      <c r="D5393" s="113" t="s">
        <v>19</v>
      </c>
      <c r="E5393" s="114" t="s">
        <v>14</v>
      </c>
      <c r="F5393" s="115" t="s">
        <v>25</v>
      </c>
      <c r="G5393" s="116">
        <v>7.34</v>
      </c>
      <c r="H5393" s="125">
        <v>7.1</v>
      </c>
      <c r="I5393" s="111">
        <v>4</v>
      </c>
      <c r="J5393" s="117">
        <f t="shared" si="714"/>
        <v>0.208456</v>
      </c>
      <c r="K5393" s="118"/>
      <c r="L5393" s="111">
        <v>4</v>
      </c>
      <c r="M5393" s="117">
        <f t="shared" si="715"/>
        <v>0.208456</v>
      </c>
      <c r="N5393" s="119">
        <f t="shared" si="716"/>
        <v>0</v>
      </c>
      <c r="O5393" s="120">
        <f t="shared" si="717"/>
        <v>0</v>
      </c>
      <c r="P5393" s="111">
        <v>7.1</v>
      </c>
      <c r="Q5393" s="45">
        <v>4</v>
      </c>
      <c r="R5393" s="213" t="s">
        <v>405</v>
      </c>
      <c r="S5393" s="158"/>
      <c r="T5393" s="213"/>
      <c r="U5393" s="213"/>
    </row>
    <row r="5394" spans="1:21" ht="15.6">
      <c r="A5394" s="110" t="s">
        <v>366</v>
      </c>
      <c r="B5394" s="111" t="s">
        <v>232</v>
      </c>
      <c r="C5394" s="112" t="s">
        <v>228</v>
      </c>
      <c r="D5394" s="113" t="s">
        <v>19</v>
      </c>
      <c r="E5394" s="114" t="s">
        <v>14</v>
      </c>
      <c r="F5394" s="115" t="s">
        <v>25</v>
      </c>
      <c r="G5394" s="116">
        <v>7.34</v>
      </c>
      <c r="H5394" s="125">
        <v>9.1999999999999993</v>
      </c>
      <c r="I5394" s="111">
        <v>2</v>
      </c>
      <c r="J5394" s="117">
        <f t="shared" si="714"/>
        <v>0.13505599999999998</v>
      </c>
      <c r="K5394" s="118"/>
      <c r="L5394" s="111">
        <v>2</v>
      </c>
      <c r="M5394" s="117">
        <f t="shared" si="715"/>
        <v>0.13505599999999998</v>
      </c>
      <c r="N5394" s="119">
        <f t="shared" si="716"/>
        <v>0</v>
      </c>
      <c r="O5394" s="120">
        <f t="shared" si="717"/>
        <v>0</v>
      </c>
      <c r="P5394" s="111">
        <v>7.55</v>
      </c>
      <c r="Q5394" s="32">
        <v>2</v>
      </c>
      <c r="R5394" s="213"/>
      <c r="S5394" s="158"/>
      <c r="T5394" s="213"/>
      <c r="U5394" s="213"/>
    </row>
    <row r="5395" spans="1:21" ht="15.6">
      <c r="A5395" s="110" t="s">
        <v>366</v>
      </c>
      <c r="B5395" s="111" t="s">
        <v>232</v>
      </c>
      <c r="C5395" s="112" t="s">
        <v>228</v>
      </c>
      <c r="D5395" s="113" t="s">
        <v>19</v>
      </c>
      <c r="E5395" s="114" t="s">
        <v>14</v>
      </c>
      <c r="F5395" s="115" t="s">
        <v>25</v>
      </c>
      <c r="G5395" s="116">
        <v>7.34</v>
      </c>
      <c r="H5395" s="125">
        <v>11.7</v>
      </c>
      <c r="I5395" s="111">
        <v>4</v>
      </c>
      <c r="J5395" s="117">
        <f t="shared" si="714"/>
        <v>0.34351199999999998</v>
      </c>
      <c r="K5395" s="118"/>
      <c r="L5395" s="111">
        <f>1+3</f>
        <v>4</v>
      </c>
      <c r="M5395" s="117">
        <f t="shared" si="715"/>
        <v>0.34351199999999998</v>
      </c>
      <c r="N5395" s="119">
        <f t="shared" si="716"/>
        <v>0</v>
      </c>
      <c r="O5395" s="120">
        <f t="shared" si="717"/>
        <v>0</v>
      </c>
      <c r="P5395" s="321">
        <v>7.1</v>
      </c>
      <c r="Q5395" s="45">
        <v>1</v>
      </c>
      <c r="R5395" s="213" t="s">
        <v>405</v>
      </c>
      <c r="S5395" s="247">
        <v>11.7</v>
      </c>
      <c r="T5395" s="77">
        <v>3</v>
      </c>
      <c r="U5395" s="77" t="s">
        <v>708</v>
      </c>
    </row>
    <row r="5396" spans="1:21" ht="15.6">
      <c r="A5396" s="110" t="s">
        <v>366</v>
      </c>
      <c r="B5396" s="111" t="s">
        <v>232</v>
      </c>
      <c r="C5396" s="112" t="s">
        <v>228</v>
      </c>
      <c r="D5396" s="113" t="s">
        <v>19</v>
      </c>
      <c r="E5396" s="114" t="s">
        <v>14</v>
      </c>
      <c r="F5396" s="115" t="s">
        <v>25</v>
      </c>
      <c r="G5396" s="116">
        <v>7.34</v>
      </c>
      <c r="H5396" s="125">
        <v>11.5</v>
      </c>
      <c r="I5396" s="111">
        <v>2</v>
      </c>
      <c r="J5396" s="117">
        <f t="shared" si="714"/>
        <v>0.16882</v>
      </c>
      <c r="K5396" s="118"/>
      <c r="L5396" s="111">
        <v>2</v>
      </c>
      <c r="M5396" s="117">
        <f t="shared" si="715"/>
        <v>0.16882</v>
      </c>
      <c r="N5396" s="119">
        <f t="shared" si="716"/>
        <v>0</v>
      </c>
      <c r="O5396" s="120">
        <f t="shared" si="717"/>
        <v>0</v>
      </c>
      <c r="P5396" s="213" t="s">
        <v>423</v>
      </c>
      <c r="Q5396" s="45">
        <v>2</v>
      </c>
      <c r="R5396" s="213" t="s">
        <v>424</v>
      </c>
      <c r="S5396" s="213"/>
      <c r="T5396" s="213"/>
      <c r="U5396" s="213"/>
    </row>
    <row r="5397" spans="1:21" ht="15.6">
      <c r="A5397" s="110" t="s">
        <v>366</v>
      </c>
      <c r="B5397" s="111" t="s">
        <v>232</v>
      </c>
      <c r="C5397" s="112" t="s">
        <v>228</v>
      </c>
      <c r="D5397" s="113" t="s">
        <v>19</v>
      </c>
      <c r="E5397" s="114" t="s">
        <v>14</v>
      </c>
      <c r="F5397" s="115" t="s">
        <v>25</v>
      </c>
      <c r="G5397" s="116">
        <v>7.34</v>
      </c>
      <c r="H5397" s="125">
        <v>10.5</v>
      </c>
      <c r="I5397" s="111">
        <v>1</v>
      </c>
      <c r="J5397" s="117">
        <f t="shared" si="714"/>
        <v>7.707E-2</v>
      </c>
      <c r="K5397" s="118"/>
      <c r="L5397" s="111">
        <v>1</v>
      </c>
      <c r="M5397" s="117">
        <f t="shared" si="715"/>
        <v>7.707E-2</v>
      </c>
      <c r="N5397" s="119">
        <f t="shared" si="716"/>
        <v>0</v>
      </c>
      <c r="O5397" s="120">
        <f t="shared" si="717"/>
        <v>0</v>
      </c>
      <c r="P5397" s="213">
        <v>10.5</v>
      </c>
      <c r="Q5397" s="45">
        <v>1</v>
      </c>
      <c r="R5397" s="213" t="s">
        <v>422</v>
      </c>
      <c r="S5397" s="213"/>
      <c r="T5397" s="213"/>
      <c r="U5397" s="213"/>
    </row>
    <row r="5398" spans="1:21" ht="15.6">
      <c r="A5398" s="110" t="s">
        <v>366</v>
      </c>
      <c r="B5398" s="111" t="s">
        <v>232</v>
      </c>
      <c r="C5398" s="112" t="s">
        <v>228</v>
      </c>
      <c r="D5398" s="113" t="s">
        <v>19</v>
      </c>
      <c r="E5398" s="114" t="s">
        <v>14</v>
      </c>
      <c r="F5398" s="115" t="s">
        <v>25</v>
      </c>
      <c r="G5398" s="116">
        <v>7.34</v>
      </c>
      <c r="H5398" s="125">
        <v>9.8000000000000007</v>
      </c>
      <c r="I5398" s="111">
        <v>3</v>
      </c>
      <c r="J5398" s="117">
        <f t="shared" si="714"/>
        <v>0.21579599999999999</v>
      </c>
      <c r="K5398" s="118"/>
      <c r="L5398" s="111">
        <v>3</v>
      </c>
      <c r="M5398" s="117">
        <f t="shared" si="715"/>
        <v>0.21579600000000002</v>
      </c>
      <c r="N5398" s="119">
        <f t="shared" si="716"/>
        <v>0</v>
      </c>
      <c r="O5398" s="120">
        <f t="shared" si="717"/>
        <v>0</v>
      </c>
      <c r="P5398" s="111">
        <v>7.55</v>
      </c>
      <c r="Q5398" s="32">
        <v>3</v>
      </c>
      <c r="R5398" s="213"/>
      <c r="S5398" s="213"/>
      <c r="T5398" s="213"/>
      <c r="U5398" s="213"/>
    </row>
    <row r="5399" spans="1:21" ht="15.6">
      <c r="A5399" s="110" t="s">
        <v>366</v>
      </c>
      <c r="B5399" s="111" t="s">
        <v>232</v>
      </c>
      <c r="C5399" s="112" t="s">
        <v>228</v>
      </c>
      <c r="D5399" s="113" t="s">
        <v>19</v>
      </c>
      <c r="E5399" s="114" t="s">
        <v>14</v>
      </c>
      <c r="F5399" s="115" t="s">
        <v>25</v>
      </c>
      <c r="G5399" s="116">
        <v>7.34</v>
      </c>
      <c r="H5399" s="125">
        <v>9.6999999999999993</v>
      </c>
      <c r="I5399" s="111">
        <v>2</v>
      </c>
      <c r="J5399" s="117">
        <f t="shared" si="714"/>
        <v>0.14239599999999999</v>
      </c>
      <c r="K5399" s="118"/>
      <c r="L5399" s="111">
        <v>2</v>
      </c>
      <c r="M5399" s="117">
        <f t="shared" si="715"/>
        <v>0.14239599999999999</v>
      </c>
      <c r="N5399" s="119">
        <f t="shared" si="716"/>
        <v>0</v>
      </c>
      <c r="O5399" s="120">
        <f t="shared" si="717"/>
        <v>0</v>
      </c>
      <c r="P5399" s="111">
        <v>7.55</v>
      </c>
      <c r="Q5399" s="32">
        <v>2</v>
      </c>
      <c r="R5399" s="213"/>
      <c r="S5399" s="213"/>
      <c r="T5399" s="213"/>
      <c r="U5399" s="213"/>
    </row>
    <row r="5402" spans="1:21">
      <c r="A5402" s="42" t="s">
        <v>78</v>
      </c>
      <c r="B5402" s="3"/>
      <c r="C5402" s="3">
        <v>1</v>
      </c>
      <c r="D5402" s="20" t="s">
        <v>86</v>
      </c>
      <c r="E5402" s="7" t="s">
        <v>14</v>
      </c>
      <c r="F5402" s="7" t="s">
        <v>25</v>
      </c>
      <c r="G5402" s="11">
        <v>7.34</v>
      </c>
      <c r="H5402" s="8">
        <v>13</v>
      </c>
      <c r="I5402" s="26">
        <v>4</v>
      </c>
      <c r="J5402" s="10">
        <v>0.38168000000000002</v>
      </c>
      <c r="K5402" s="17">
        <v>4</v>
      </c>
      <c r="L5402" s="18">
        <v>0.38168000000000002</v>
      </c>
      <c r="M5402" s="19">
        <v>0</v>
      </c>
      <c r="N5402" s="13">
        <v>0</v>
      </c>
      <c r="O5402" s="9"/>
      <c r="P5402" s="2"/>
      <c r="Q5402" s="2"/>
    </row>
    <row r="5403" spans="1:21">
      <c r="A5403" s="42" t="s">
        <v>78</v>
      </c>
      <c r="B5403" s="3"/>
      <c r="C5403" s="3">
        <v>1</v>
      </c>
      <c r="D5403" s="20" t="s">
        <v>86</v>
      </c>
      <c r="E5403" s="7" t="s">
        <v>14</v>
      </c>
      <c r="F5403" s="7" t="s">
        <v>25</v>
      </c>
      <c r="G5403" s="11">
        <v>7.34</v>
      </c>
      <c r="H5403" s="8">
        <v>12.2</v>
      </c>
      <c r="I5403" s="26">
        <v>12</v>
      </c>
      <c r="J5403" s="10">
        <v>1.0745759999999998</v>
      </c>
      <c r="K5403" s="17">
        <v>12</v>
      </c>
      <c r="L5403" s="18">
        <v>1.0745759999999998</v>
      </c>
      <c r="M5403" s="19">
        <v>0</v>
      </c>
      <c r="N5403" s="13">
        <v>0</v>
      </c>
      <c r="O5403" s="9"/>
      <c r="P5403" s="2"/>
      <c r="Q5403" s="2"/>
    </row>
    <row r="5404" spans="1:21">
      <c r="A5404" s="42" t="s">
        <v>78</v>
      </c>
      <c r="B5404" s="3"/>
      <c r="C5404" s="3">
        <v>1</v>
      </c>
      <c r="D5404" s="20" t="s">
        <v>86</v>
      </c>
      <c r="E5404" s="7" t="s">
        <v>14</v>
      </c>
      <c r="F5404" s="7" t="s">
        <v>25</v>
      </c>
      <c r="G5404" s="11">
        <v>7.34</v>
      </c>
      <c r="H5404" s="8">
        <v>12</v>
      </c>
      <c r="I5404" s="26">
        <v>5</v>
      </c>
      <c r="J5404" s="10">
        <v>0.44039999999999996</v>
      </c>
      <c r="K5404" s="17">
        <v>5</v>
      </c>
      <c r="L5404" s="18">
        <v>0.44039999999999996</v>
      </c>
      <c r="M5404" s="19">
        <v>0</v>
      </c>
      <c r="N5404" s="13">
        <v>0</v>
      </c>
      <c r="O5404" s="9"/>
      <c r="P5404" s="2"/>
      <c r="Q5404" s="2"/>
    </row>
    <row r="5405" spans="1:21">
      <c r="A5405" s="42" t="s">
        <v>78</v>
      </c>
      <c r="B5405" s="3"/>
      <c r="C5405" s="3">
        <v>1</v>
      </c>
      <c r="D5405" s="20" t="s">
        <v>86</v>
      </c>
      <c r="E5405" s="7" t="s">
        <v>14</v>
      </c>
      <c r="F5405" s="7" t="s">
        <v>25</v>
      </c>
      <c r="G5405" s="11">
        <v>7.34</v>
      </c>
      <c r="H5405" s="8">
        <v>11.5</v>
      </c>
      <c r="I5405" s="26">
        <v>1</v>
      </c>
      <c r="J5405" s="10">
        <v>8.4409999999999999E-2</v>
      </c>
      <c r="K5405" s="17">
        <v>1</v>
      </c>
      <c r="L5405" s="18">
        <v>8.4409999999999999E-2</v>
      </c>
      <c r="M5405" s="19">
        <v>0</v>
      </c>
      <c r="N5405" s="13">
        <v>0</v>
      </c>
      <c r="O5405" s="9"/>
      <c r="P5405" s="2"/>
      <c r="Q5405" s="2"/>
    </row>
    <row r="5406" spans="1:21">
      <c r="A5406" s="47" t="s">
        <v>147</v>
      </c>
      <c r="B5406" s="48" t="s">
        <v>148</v>
      </c>
      <c r="C5406" s="32">
        <v>285</v>
      </c>
      <c r="D5406" s="48" t="s">
        <v>159</v>
      </c>
      <c r="E5406" s="48" t="s">
        <v>14</v>
      </c>
      <c r="F5406" s="48" t="s">
        <v>25</v>
      </c>
      <c r="G5406" s="11">
        <v>7.34</v>
      </c>
      <c r="H5406" s="8">
        <v>10</v>
      </c>
      <c r="I5406" s="7">
        <v>1</v>
      </c>
      <c r="J5406" s="10">
        <v>7.3400000000000007E-2</v>
      </c>
      <c r="K5406" s="32"/>
      <c r="L5406" s="18">
        <v>0</v>
      </c>
      <c r="M5406" s="19">
        <v>1</v>
      </c>
      <c r="N5406" s="13">
        <v>7.3400000000000007E-2</v>
      </c>
      <c r="O5406" s="32"/>
      <c r="P5406" s="32"/>
      <c r="Q5406" s="32"/>
    </row>
    <row r="5407" spans="1:21">
      <c r="A5407" s="45" t="s">
        <v>136</v>
      </c>
      <c r="B5407" s="48" t="s">
        <v>171</v>
      </c>
      <c r="C5407" s="32">
        <v>154</v>
      </c>
      <c r="D5407" s="48" t="s">
        <v>177</v>
      </c>
      <c r="E5407" s="48" t="s">
        <v>14</v>
      </c>
      <c r="F5407" s="48" t="s">
        <v>25</v>
      </c>
      <c r="G5407" s="11">
        <v>7.34</v>
      </c>
      <c r="H5407" s="9">
        <v>12</v>
      </c>
      <c r="I5407" s="7">
        <v>20</v>
      </c>
      <c r="J5407" s="10">
        <v>1.7615999999999998</v>
      </c>
      <c r="K5407" s="32">
        <v>1</v>
      </c>
      <c r="L5407" s="18">
        <v>8.8079999999999992E-2</v>
      </c>
      <c r="M5407" s="19">
        <v>19</v>
      </c>
      <c r="N5407" s="13">
        <v>1.6735199999999999</v>
      </c>
      <c r="O5407" s="93">
        <v>12</v>
      </c>
      <c r="P5407" s="93">
        <v>1</v>
      </c>
      <c r="Q5407" s="93" t="s">
        <v>709</v>
      </c>
    </row>
    <row r="5411" spans="1:19" ht="15.6">
      <c r="A5411" s="110" t="s">
        <v>366</v>
      </c>
      <c r="B5411" s="111" t="s">
        <v>232</v>
      </c>
      <c r="C5411" s="112" t="s">
        <v>364</v>
      </c>
      <c r="D5411" s="113" t="s">
        <v>24</v>
      </c>
      <c r="E5411" s="114" t="s">
        <v>14</v>
      </c>
      <c r="F5411" s="115" t="s">
        <v>25</v>
      </c>
      <c r="G5411" s="116">
        <v>7.34</v>
      </c>
      <c r="H5411" s="125">
        <v>8</v>
      </c>
      <c r="I5411" s="111">
        <v>6</v>
      </c>
      <c r="J5411" s="117">
        <f t="shared" ref="J5411:J5418" si="718">H5411*G5411*I5411/1000</f>
        <v>0.35231999999999997</v>
      </c>
      <c r="K5411" s="118"/>
      <c r="L5411" s="111">
        <v>6</v>
      </c>
      <c r="M5411" s="117">
        <f t="shared" ref="M5411:M5418" si="719">H5411*L5411*G5411/1000</f>
        <v>0.35231999999999997</v>
      </c>
      <c r="N5411" s="119">
        <f t="shared" ref="N5411:N5418" si="720">I5411-L5411</f>
        <v>0</v>
      </c>
      <c r="O5411" s="120">
        <f t="shared" ref="O5411:O5418" si="721">H5411*N5411*G5411/1000</f>
        <v>0</v>
      </c>
      <c r="P5411" s="111"/>
      <c r="Q5411" s="32"/>
      <c r="R5411" s="213"/>
    </row>
    <row r="5412" spans="1:19" ht="15.6">
      <c r="A5412" s="110" t="s">
        <v>366</v>
      </c>
      <c r="B5412" s="111" t="s">
        <v>232</v>
      </c>
      <c r="C5412" s="112" t="s">
        <v>364</v>
      </c>
      <c r="D5412" s="113" t="s">
        <v>24</v>
      </c>
      <c r="E5412" s="114" t="s">
        <v>14</v>
      </c>
      <c r="F5412" s="115" t="s">
        <v>25</v>
      </c>
      <c r="G5412" s="116">
        <v>7.34</v>
      </c>
      <c r="H5412" s="125">
        <v>9</v>
      </c>
      <c r="I5412" s="111">
        <v>16</v>
      </c>
      <c r="J5412" s="117">
        <f t="shared" si="718"/>
        <v>1.0569600000000001</v>
      </c>
      <c r="K5412" s="118"/>
      <c r="L5412" s="111">
        <v>16</v>
      </c>
      <c r="M5412" s="117">
        <f t="shared" si="719"/>
        <v>1.0569600000000001</v>
      </c>
      <c r="N5412" s="119">
        <f t="shared" si="720"/>
        <v>0</v>
      </c>
      <c r="O5412" s="120">
        <f t="shared" si="721"/>
        <v>0</v>
      </c>
      <c r="P5412" s="111"/>
      <c r="Q5412" s="32"/>
      <c r="R5412" s="213"/>
    </row>
    <row r="5413" spans="1:19" ht="15.6">
      <c r="A5413" s="110" t="s">
        <v>366</v>
      </c>
      <c r="B5413" s="111" t="s">
        <v>232</v>
      </c>
      <c r="C5413" s="112" t="s">
        <v>364</v>
      </c>
      <c r="D5413" s="113" t="s">
        <v>24</v>
      </c>
      <c r="E5413" s="114" t="s">
        <v>14</v>
      </c>
      <c r="F5413" s="115" t="s">
        <v>25</v>
      </c>
      <c r="G5413" s="116">
        <v>7.34</v>
      </c>
      <c r="H5413" s="125">
        <v>8</v>
      </c>
      <c r="I5413" s="111">
        <v>6</v>
      </c>
      <c r="J5413" s="117">
        <f t="shared" si="718"/>
        <v>0.35231999999999997</v>
      </c>
      <c r="K5413" s="118"/>
      <c r="L5413" s="111">
        <v>6</v>
      </c>
      <c r="M5413" s="117">
        <f t="shared" si="719"/>
        <v>0.35231999999999997</v>
      </c>
      <c r="N5413" s="119">
        <f t="shared" si="720"/>
        <v>0</v>
      </c>
      <c r="O5413" s="120">
        <f t="shared" si="721"/>
        <v>0</v>
      </c>
      <c r="P5413" s="111"/>
      <c r="Q5413" s="32"/>
      <c r="R5413" s="213"/>
    </row>
    <row r="5414" spans="1:19" ht="15.6">
      <c r="A5414" s="110" t="s">
        <v>366</v>
      </c>
      <c r="B5414" s="111" t="s">
        <v>232</v>
      </c>
      <c r="C5414" s="112" t="s">
        <v>364</v>
      </c>
      <c r="D5414" s="113" t="s">
        <v>24</v>
      </c>
      <c r="E5414" s="114" t="s">
        <v>14</v>
      </c>
      <c r="F5414" s="115" t="s">
        <v>25</v>
      </c>
      <c r="G5414" s="116">
        <v>7.34</v>
      </c>
      <c r="H5414" s="125">
        <v>12</v>
      </c>
      <c r="I5414" s="111">
        <v>6</v>
      </c>
      <c r="J5414" s="117">
        <f t="shared" si="718"/>
        <v>0.52848000000000006</v>
      </c>
      <c r="K5414" s="118"/>
      <c r="L5414" s="111">
        <v>6</v>
      </c>
      <c r="M5414" s="117">
        <f t="shared" si="719"/>
        <v>0.52848000000000006</v>
      </c>
      <c r="N5414" s="119">
        <f t="shared" si="720"/>
        <v>0</v>
      </c>
      <c r="O5414" s="120">
        <f t="shared" si="721"/>
        <v>0</v>
      </c>
      <c r="P5414" s="111"/>
      <c r="Q5414" s="32"/>
      <c r="R5414" s="213"/>
    </row>
    <row r="5415" spans="1:19" ht="15.6">
      <c r="A5415" s="110" t="s">
        <v>366</v>
      </c>
      <c r="B5415" s="111" t="s">
        <v>232</v>
      </c>
      <c r="C5415" s="112" t="s">
        <v>364</v>
      </c>
      <c r="D5415" s="113" t="s">
        <v>24</v>
      </c>
      <c r="E5415" s="114" t="s">
        <v>14</v>
      </c>
      <c r="F5415" s="115" t="s">
        <v>25</v>
      </c>
      <c r="G5415" s="116">
        <v>7.34</v>
      </c>
      <c r="H5415" s="125">
        <v>9</v>
      </c>
      <c r="I5415" s="111">
        <v>4</v>
      </c>
      <c r="J5415" s="117">
        <f t="shared" si="718"/>
        <v>0.26424000000000003</v>
      </c>
      <c r="K5415" s="118"/>
      <c r="L5415" s="111">
        <v>4</v>
      </c>
      <c r="M5415" s="117">
        <f t="shared" si="719"/>
        <v>0.26424000000000003</v>
      </c>
      <c r="N5415" s="119">
        <f t="shared" si="720"/>
        <v>0</v>
      </c>
      <c r="O5415" s="120">
        <f t="shared" si="721"/>
        <v>0</v>
      </c>
      <c r="P5415" s="111"/>
      <c r="Q5415" s="32"/>
      <c r="R5415" s="213"/>
    </row>
    <row r="5416" spans="1:19" ht="15.6">
      <c r="A5416" s="110" t="s">
        <v>366</v>
      </c>
      <c r="B5416" s="111" t="s">
        <v>232</v>
      </c>
      <c r="C5416" s="112" t="s">
        <v>364</v>
      </c>
      <c r="D5416" s="113" t="s">
        <v>24</v>
      </c>
      <c r="E5416" s="114" t="s">
        <v>14</v>
      </c>
      <c r="F5416" s="115" t="s">
        <v>25</v>
      </c>
      <c r="G5416" s="116">
        <v>7.34</v>
      </c>
      <c r="H5416" s="125">
        <v>10</v>
      </c>
      <c r="I5416" s="111">
        <v>13</v>
      </c>
      <c r="J5416" s="117">
        <f t="shared" si="718"/>
        <v>0.95420000000000005</v>
      </c>
      <c r="K5416" s="118"/>
      <c r="L5416" s="111">
        <v>13</v>
      </c>
      <c r="M5416" s="117">
        <f t="shared" si="719"/>
        <v>0.95419999999999994</v>
      </c>
      <c r="N5416" s="119">
        <f t="shared" si="720"/>
        <v>0</v>
      </c>
      <c r="O5416" s="120">
        <f t="shared" si="721"/>
        <v>0</v>
      </c>
      <c r="P5416" s="111"/>
      <c r="Q5416" s="32"/>
      <c r="R5416" s="213"/>
    </row>
    <row r="5417" spans="1:19" ht="15.6">
      <c r="A5417" s="110" t="s">
        <v>366</v>
      </c>
      <c r="B5417" s="111" t="s">
        <v>232</v>
      </c>
      <c r="C5417" s="112" t="s">
        <v>364</v>
      </c>
      <c r="D5417" s="113" t="s">
        <v>24</v>
      </c>
      <c r="E5417" s="114" t="s">
        <v>14</v>
      </c>
      <c r="F5417" s="115" t="s">
        <v>25</v>
      </c>
      <c r="G5417" s="116">
        <v>7.34</v>
      </c>
      <c r="H5417" s="125">
        <v>11.4</v>
      </c>
      <c r="I5417" s="111">
        <v>1</v>
      </c>
      <c r="J5417" s="117">
        <f t="shared" si="718"/>
        <v>8.3676E-2</v>
      </c>
      <c r="K5417" s="118"/>
      <c r="L5417" s="111">
        <v>1</v>
      </c>
      <c r="M5417" s="117">
        <f t="shared" si="719"/>
        <v>8.3676E-2</v>
      </c>
      <c r="N5417" s="119">
        <f t="shared" si="720"/>
        <v>0</v>
      </c>
      <c r="O5417" s="120">
        <f t="shared" si="721"/>
        <v>0</v>
      </c>
      <c r="P5417" s="91">
        <v>10.5</v>
      </c>
      <c r="Q5417" s="91">
        <v>1</v>
      </c>
      <c r="R5417" s="156" t="s">
        <v>614</v>
      </c>
      <c r="S5417" s="213" t="s">
        <v>584</v>
      </c>
    </row>
    <row r="5418" spans="1:19" ht="15.6">
      <c r="A5418" s="110" t="s">
        <v>366</v>
      </c>
      <c r="B5418" s="111" t="s">
        <v>232</v>
      </c>
      <c r="C5418" s="112" t="s">
        <v>364</v>
      </c>
      <c r="D5418" s="113" t="s">
        <v>24</v>
      </c>
      <c r="E5418" s="114" t="s">
        <v>14</v>
      </c>
      <c r="F5418" s="115" t="s">
        <v>25</v>
      </c>
      <c r="G5418" s="116">
        <v>7.34</v>
      </c>
      <c r="H5418" s="125">
        <v>6.2</v>
      </c>
      <c r="I5418" s="111">
        <v>1</v>
      </c>
      <c r="J5418" s="117">
        <f t="shared" si="718"/>
        <v>4.5508E-2</v>
      </c>
      <c r="K5418" s="118"/>
      <c r="L5418" s="111"/>
      <c r="M5418" s="117">
        <f t="shared" si="719"/>
        <v>0</v>
      </c>
      <c r="N5418" s="119">
        <f t="shared" si="720"/>
        <v>1</v>
      </c>
      <c r="O5418" s="120">
        <f t="shared" si="721"/>
        <v>4.5508E-2</v>
      </c>
      <c r="P5418" s="111"/>
      <c r="Q5418" s="32"/>
      <c r="R5418" s="213"/>
    </row>
    <row r="5419" spans="1:19">
      <c r="N5419" s="215">
        <f>SUM(N5411:N5418)</f>
        <v>1</v>
      </c>
      <c r="Q5419" s="215">
        <f>SUM(Q5411:Q5418)</f>
        <v>1</v>
      </c>
    </row>
    <row r="5423" spans="1:19">
      <c r="A5423" s="110" t="s">
        <v>303</v>
      </c>
      <c r="B5423" s="111" t="s">
        <v>232</v>
      </c>
      <c r="C5423" s="112" t="s">
        <v>228</v>
      </c>
      <c r="D5423" s="113" t="s">
        <v>17</v>
      </c>
      <c r="E5423" s="175" t="s">
        <v>15</v>
      </c>
      <c r="F5423" s="175" t="s">
        <v>35</v>
      </c>
      <c r="G5423" s="176">
        <v>16.579999999999998</v>
      </c>
      <c r="H5423" s="177">
        <v>8.1999999999999993</v>
      </c>
      <c r="I5423" s="178">
        <v>21</v>
      </c>
      <c r="J5423" s="174">
        <f t="shared" ref="J5423:J5428" si="722">(G5423*H5423*I5423/1000)</f>
        <v>2.8550759999999991</v>
      </c>
      <c r="K5423" s="118"/>
      <c r="L5423" s="111">
        <v>21</v>
      </c>
      <c r="M5423" s="117">
        <f t="shared" ref="M5423:M5428" si="723">H5423*L5423*G5423/1000</f>
        <v>2.8550759999999995</v>
      </c>
      <c r="N5423" s="119">
        <f t="shared" ref="N5423:N5428" si="724">I5423-L5423</f>
        <v>0</v>
      </c>
      <c r="O5423" s="120">
        <f t="shared" ref="O5423:O5428" si="725">H5423*N5423*G5423/1000</f>
        <v>0</v>
      </c>
      <c r="P5423" s="159"/>
      <c r="Q5423" s="111"/>
      <c r="R5423" s="111"/>
    </row>
    <row r="5424" spans="1:19">
      <c r="A5424" s="110" t="s">
        <v>303</v>
      </c>
      <c r="B5424" s="111" t="s">
        <v>232</v>
      </c>
      <c r="C5424" s="112" t="s">
        <v>228</v>
      </c>
      <c r="D5424" s="113" t="s">
        <v>17</v>
      </c>
      <c r="E5424" s="175" t="s">
        <v>15</v>
      </c>
      <c r="F5424" s="175" t="s">
        <v>35</v>
      </c>
      <c r="G5424" s="176">
        <v>16.579999999999998</v>
      </c>
      <c r="H5424" s="177">
        <v>9</v>
      </c>
      <c r="I5424" s="178">
        <v>13</v>
      </c>
      <c r="J5424" s="174">
        <f t="shared" si="722"/>
        <v>1.9398599999999997</v>
      </c>
      <c r="K5424" s="118"/>
      <c r="L5424" s="111">
        <v>13</v>
      </c>
      <c r="M5424" s="117">
        <f t="shared" si="723"/>
        <v>1.9398599999999999</v>
      </c>
      <c r="N5424" s="119">
        <f t="shared" si="724"/>
        <v>0</v>
      </c>
      <c r="O5424" s="120">
        <f t="shared" si="725"/>
        <v>0</v>
      </c>
      <c r="P5424" s="159"/>
      <c r="Q5424" s="111"/>
      <c r="R5424" s="111"/>
    </row>
    <row r="5425" spans="1:20">
      <c r="A5425" s="110" t="s">
        <v>303</v>
      </c>
      <c r="B5425" s="111" t="s">
        <v>232</v>
      </c>
      <c r="C5425" s="112" t="s">
        <v>228</v>
      </c>
      <c r="D5425" s="113" t="s">
        <v>17</v>
      </c>
      <c r="E5425" s="175" t="s">
        <v>15</v>
      </c>
      <c r="F5425" s="175" t="s">
        <v>35</v>
      </c>
      <c r="G5425" s="176">
        <v>16.579999999999998</v>
      </c>
      <c r="H5425" s="177">
        <v>11.5</v>
      </c>
      <c r="I5425" s="178">
        <v>13</v>
      </c>
      <c r="J5425" s="174">
        <f t="shared" si="722"/>
        <v>2.47871</v>
      </c>
      <c r="K5425" s="118"/>
      <c r="L5425" s="111">
        <f>10+3</f>
        <v>13</v>
      </c>
      <c r="M5425" s="117">
        <f t="shared" si="723"/>
        <v>2.4787099999999995</v>
      </c>
      <c r="N5425" s="119">
        <f t="shared" si="724"/>
        <v>0</v>
      </c>
      <c r="O5425" s="120">
        <f t="shared" si="725"/>
        <v>0</v>
      </c>
      <c r="P5425" s="94">
        <v>11.5</v>
      </c>
      <c r="Q5425" s="93">
        <v>3</v>
      </c>
      <c r="R5425" s="93" t="s">
        <v>389</v>
      </c>
    </row>
    <row r="5426" spans="1:20">
      <c r="A5426" s="110" t="s">
        <v>303</v>
      </c>
      <c r="B5426" s="111" t="s">
        <v>232</v>
      </c>
      <c r="C5426" s="112" t="s">
        <v>228</v>
      </c>
      <c r="D5426" s="113" t="s">
        <v>17</v>
      </c>
      <c r="E5426" s="175" t="s">
        <v>15</v>
      </c>
      <c r="F5426" s="175" t="s">
        <v>35</v>
      </c>
      <c r="G5426" s="176">
        <v>16.579999999999998</v>
      </c>
      <c r="H5426" s="177">
        <v>6</v>
      </c>
      <c r="I5426" s="178">
        <v>3</v>
      </c>
      <c r="J5426" s="174">
        <f t="shared" si="722"/>
        <v>0.29843999999999993</v>
      </c>
      <c r="K5426" s="118"/>
      <c r="L5426" s="111"/>
      <c r="M5426" s="117">
        <f t="shared" si="723"/>
        <v>0</v>
      </c>
      <c r="N5426" s="119">
        <f t="shared" si="724"/>
        <v>3</v>
      </c>
      <c r="O5426" s="120">
        <f t="shared" si="725"/>
        <v>0.29843999999999993</v>
      </c>
      <c r="P5426" s="159"/>
      <c r="Q5426" s="111"/>
      <c r="R5426" s="111"/>
    </row>
    <row r="5427" spans="1:20">
      <c r="A5427" s="110" t="s">
        <v>303</v>
      </c>
      <c r="B5427" s="111" t="s">
        <v>232</v>
      </c>
      <c r="C5427" s="112" t="s">
        <v>228</v>
      </c>
      <c r="D5427" s="113" t="s">
        <v>17</v>
      </c>
      <c r="E5427" s="175" t="s">
        <v>15</v>
      </c>
      <c r="F5427" s="175" t="s">
        <v>35</v>
      </c>
      <c r="G5427" s="176">
        <v>16.579999999999998</v>
      </c>
      <c r="H5427" s="177">
        <v>11.1</v>
      </c>
      <c r="I5427" s="178">
        <v>1</v>
      </c>
      <c r="J5427" s="174">
        <f t="shared" si="722"/>
        <v>0.18403799999999998</v>
      </c>
      <c r="K5427" s="118"/>
      <c r="L5427" s="111">
        <v>1</v>
      </c>
      <c r="M5427" s="117">
        <f t="shared" si="723"/>
        <v>0.18403799999999998</v>
      </c>
      <c r="N5427" s="119">
        <f t="shared" si="724"/>
        <v>0</v>
      </c>
      <c r="O5427" s="120">
        <f t="shared" si="725"/>
        <v>0</v>
      </c>
      <c r="P5427" s="94">
        <v>11.1</v>
      </c>
      <c r="Q5427" s="93">
        <v>1</v>
      </c>
      <c r="R5427" s="93" t="s">
        <v>389</v>
      </c>
    </row>
    <row r="5428" spans="1:20">
      <c r="A5428" s="110" t="s">
        <v>303</v>
      </c>
      <c r="B5428" s="111" t="s">
        <v>232</v>
      </c>
      <c r="C5428" s="112" t="s">
        <v>228</v>
      </c>
      <c r="D5428" s="113" t="s">
        <v>17</v>
      </c>
      <c r="E5428" s="175" t="s">
        <v>15</v>
      </c>
      <c r="F5428" s="175" t="s">
        <v>35</v>
      </c>
      <c r="G5428" s="176">
        <v>16.579999999999998</v>
      </c>
      <c r="H5428" s="177">
        <v>11.2</v>
      </c>
      <c r="I5428" s="178">
        <v>2</v>
      </c>
      <c r="J5428" s="174">
        <f t="shared" si="722"/>
        <v>0.37139199999999994</v>
      </c>
      <c r="K5428" s="118"/>
      <c r="L5428" s="111">
        <v>2</v>
      </c>
      <c r="M5428" s="117">
        <f t="shared" si="723"/>
        <v>0.37139199999999994</v>
      </c>
      <c r="N5428" s="119">
        <f t="shared" si="724"/>
        <v>0</v>
      </c>
      <c r="O5428" s="120">
        <f t="shared" si="725"/>
        <v>0</v>
      </c>
      <c r="P5428" s="94">
        <v>11.2</v>
      </c>
      <c r="Q5428" s="93">
        <v>2</v>
      </c>
      <c r="R5428" s="93" t="s">
        <v>389</v>
      </c>
    </row>
    <row r="5429" spans="1:20">
      <c r="A5429" s="213"/>
      <c r="B5429" s="213"/>
      <c r="C5429" s="213"/>
      <c r="D5429" s="213"/>
      <c r="E5429" s="213"/>
      <c r="F5429" s="213"/>
      <c r="G5429" s="213"/>
      <c r="H5429" s="213"/>
      <c r="I5429" s="78">
        <f>SUM(I5423:I5428)</f>
        <v>53</v>
      </c>
      <c r="J5429" s="214">
        <f>SUM(J5423:J5428)</f>
        <v>8.127516</v>
      </c>
      <c r="K5429" s="213"/>
      <c r="L5429" s="80">
        <f>SUM(L5423:L5428)</f>
        <v>50</v>
      </c>
      <c r="M5429" s="214">
        <f>SUM(M5423:M5428)</f>
        <v>7.8290759999999997</v>
      </c>
      <c r="N5429" s="78">
        <f>SUM(N5423:N5428)</f>
        <v>3</v>
      </c>
      <c r="O5429" s="214">
        <f>SUM(O5423:O5428)</f>
        <v>0.29843999999999993</v>
      </c>
      <c r="P5429" s="213"/>
      <c r="Q5429" s="80">
        <f>SUM(Q5423:Q5428)</f>
        <v>6</v>
      </c>
      <c r="R5429" s="213"/>
    </row>
    <row r="5432" spans="1:20">
      <c r="A5432" s="42" t="s">
        <v>90</v>
      </c>
      <c r="B5432" s="3"/>
      <c r="C5432" s="3">
        <v>132</v>
      </c>
      <c r="D5432" s="20" t="s">
        <v>17</v>
      </c>
      <c r="E5432" s="7" t="s">
        <v>15</v>
      </c>
      <c r="F5432" s="7" t="s">
        <v>39</v>
      </c>
      <c r="G5432" s="11">
        <v>14.66</v>
      </c>
      <c r="H5432" s="8">
        <v>6.4</v>
      </c>
      <c r="I5432" s="26">
        <v>2</v>
      </c>
      <c r="J5432" s="10">
        <v>0.18764800000000004</v>
      </c>
      <c r="K5432" s="17">
        <v>2</v>
      </c>
      <c r="L5432" s="18">
        <v>0.18764800000000004</v>
      </c>
      <c r="M5432" s="19">
        <v>0</v>
      </c>
      <c r="N5432" s="13">
        <v>0</v>
      </c>
      <c r="O5432" s="9">
        <v>6.4</v>
      </c>
      <c r="P5432" s="47">
        <v>2</v>
      </c>
      <c r="Q5432" s="47" t="s">
        <v>712</v>
      </c>
    </row>
    <row r="5435" spans="1:20" ht="15.6">
      <c r="A5435" s="110" t="s">
        <v>517</v>
      </c>
      <c r="B5435" s="111" t="s">
        <v>505</v>
      </c>
      <c r="C5435" s="112" t="s">
        <v>449</v>
      </c>
      <c r="D5435" s="113" t="s">
        <v>17</v>
      </c>
      <c r="E5435" s="114" t="s">
        <v>15</v>
      </c>
      <c r="F5435" s="115" t="s">
        <v>39</v>
      </c>
      <c r="G5435" s="116">
        <v>14.7</v>
      </c>
      <c r="H5435" s="126">
        <v>7.1</v>
      </c>
      <c r="I5435" s="321">
        <v>24</v>
      </c>
      <c r="J5435" s="117">
        <f t="shared" ref="J5435:J5455" si="726">H5435*G5435*I5435/1000</f>
        <v>2.5048799999999996</v>
      </c>
      <c r="K5435" s="118"/>
      <c r="L5435" s="321">
        <v>24</v>
      </c>
      <c r="M5435" s="117">
        <f t="shared" ref="M5435:M5455" si="727">H5435*L5435*G5435/1000</f>
        <v>2.5048799999999996</v>
      </c>
      <c r="N5435" s="119">
        <f t="shared" ref="N5435:N5455" si="728">I5435-L5435</f>
        <v>0</v>
      </c>
      <c r="O5435" s="120">
        <f t="shared" ref="O5435:O5455" si="729">H5435*N5435*G5435/1000</f>
        <v>0</v>
      </c>
      <c r="P5435" s="130"/>
      <c r="Q5435" s="320"/>
      <c r="R5435" s="32"/>
      <c r="S5435" s="32"/>
      <c r="T5435" s="213"/>
    </row>
    <row r="5436" spans="1:20" ht="15.6">
      <c r="A5436" s="110" t="s">
        <v>517</v>
      </c>
      <c r="B5436" s="111" t="s">
        <v>505</v>
      </c>
      <c r="C5436" s="112" t="s">
        <v>449</v>
      </c>
      <c r="D5436" s="113" t="s">
        <v>17</v>
      </c>
      <c r="E5436" s="114" t="s">
        <v>15</v>
      </c>
      <c r="F5436" s="115" t="s">
        <v>39</v>
      </c>
      <c r="G5436" s="116">
        <v>14.7</v>
      </c>
      <c r="H5436" s="126">
        <v>7.1</v>
      </c>
      <c r="I5436" s="321">
        <v>24</v>
      </c>
      <c r="J5436" s="117">
        <f t="shared" si="726"/>
        <v>2.5048799999999996</v>
      </c>
      <c r="K5436" s="118"/>
      <c r="L5436" s="321">
        <v>24</v>
      </c>
      <c r="M5436" s="117">
        <f t="shared" si="727"/>
        <v>2.5048799999999996</v>
      </c>
      <c r="N5436" s="119">
        <f t="shared" si="728"/>
        <v>0</v>
      </c>
      <c r="O5436" s="120">
        <f t="shared" si="729"/>
        <v>0</v>
      </c>
      <c r="P5436" s="130"/>
      <c r="Q5436" s="320"/>
      <c r="R5436" s="32"/>
      <c r="S5436" s="32"/>
      <c r="T5436" s="213"/>
    </row>
    <row r="5437" spans="1:20" ht="15.6">
      <c r="A5437" s="110" t="s">
        <v>517</v>
      </c>
      <c r="B5437" s="111" t="s">
        <v>505</v>
      </c>
      <c r="C5437" s="112" t="s">
        <v>449</v>
      </c>
      <c r="D5437" s="113" t="s">
        <v>17</v>
      </c>
      <c r="E5437" s="114" t="s">
        <v>15</v>
      </c>
      <c r="F5437" s="115" t="s">
        <v>39</v>
      </c>
      <c r="G5437" s="116">
        <v>14.7</v>
      </c>
      <c r="H5437" s="126">
        <v>7.1</v>
      </c>
      <c r="I5437" s="321">
        <v>2</v>
      </c>
      <c r="J5437" s="117">
        <f t="shared" si="726"/>
        <v>0.20873999999999998</v>
      </c>
      <c r="K5437" s="118"/>
      <c r="L5437" s="111"/>
      <c r="M5437" s="117">
        <f t="shared" si="727"/>
        <v>0</v>
      </c>
      <c r="N5437" s="119">
        <f t="shared" si="728"/>
        <v>2</v>
      </c>
      <c r="O5437" s="120">
        <f t="shared" si="729"/>
        <v>0.20873999999999998</v>
      </c>
      <c r="P5437" s="130"/>
      <c r="Q5437" s="320"/>
      <c r="R5437" s="32"/>
      <c r="S5437" s="32"/>
      <c r="T5437" s="213"/>
    </row>
    <row r="5438" spans="1:20" ht="15.6">
      <c r="A5438" s="110" t="s">
        <v>517</v>
      </c>
      <c r="B5438" s="111" t="s">
        <v>505</v>
      </c>
      <c r="C5438" s="112" t="s">
        <v>449</v>
      </c>
      <c r="D5438" s="113" t="s">
        <v>17</v>
      </c>
      <c r="E5438" s="114" t="s">
        <v>15</v>
      </c>
      <c r="F5438" s="115" t="s">
        <v>39</v>
      </c>
      <c r="G5438" s="116">
        <v>14.7</v>
      </c>
      <c r="H5438" s="126">
        <v>11</v>
      </c>
      <c r="I5438" s="321">
        <v>14</v>
      </c>
      <c r="J5438" s="117">
        <f t="shared" si="726"/>
        <v>2.2637999999999998</v>
      </c>
      <c r="K5438" s="118"/>
      <c r="L5438" s="321">
        <v>14</v>
      </c>
      <c r="M5438" s="117">
        <f t="shared" si="727"/>
        <v>2.2637999999999998</v>
      </c>
      <c r="N5438" s="119">
        <f t="shared" si="728"/>
        <v>0</v>
      </c>
      <c r="O5438" s="120">
        <f t="shared" si="729"/>
        <v>0</v>
      </c>
      <c r="P5438" s="130"/>
      <c r="Q5438" s="320"/>
      <c r="R5438" s="32"/>
      <c r="S5438" s="32"/>
      <c r="T5438" s="213"/>
    </row>
    <row r="5439" spans="1:20" ht="15.6">
      <c r="A5439" s="110" t="s">
        <v>517</v>
      </c>
      <c r="B5439" s="111" t="s">
        <v>505</v>
      </c>
      <c r="C5439" s="112" t="s">
        <v>449</v>
      </c>
      <c r="D5439" s="113" t="s">
        <v>17</v>
      </c>
      <c r="E5439" s="114" t="s">
        <v>15</v>
      </c>
      <c r="F5439" s="115" t="s">
        <v>39</v>
      </c>
      <c r="G5439" s="116">
        <v>14.7</v>
      </c>
      <c r="H5439" s="126">
        <v>11.5</v>
      </c>
      <c r="I5439" s="321">
        <v>21</v>
      </c>
      <c r="J5439" s="117">
        <f t="shared" si="726"/>
        <v>3.5500499999999997</v>
      </c>
      <c r="K5439" s="118"/>
      <c r="L5439" s="321">
        <v>21</v>
      </c>
      <c r="M5439" s="117">
        <f t="shared" si="727"/>
        <v>3.5500499999999997</v>
      </c>
      <c r="N5439" s="119">
        <f t="shared" si="728"/>
        <v>0</v>
      </c>
      <c r="O5439" s="120">
        <f t="shared" si="729"/>
        <v>0</v>
      </c>
      <c r="P5439" s="130"/>
      <c r="Q5439" s="320"/>
      <c r="R5439" s="32"/>
      <c r="S5439" s="32"/>
      <c r="T5439" s="213"/>
    </row>
    <row r="5440" spans="1:20" ht="15.6">
      <c r="A5440" s="110" t="s">
        <v>517</v>
      </c>
      <c r="B5440" s="111" t="s">
        <v>505</v>
      </c>
      <c r="C5440" s="112" t="s">
        <v>449</v>
      </c>
      <c r="D5440" s="113" t="s">
        <v>17</v>
      </c>
      <c r="E5440" s="114" t="s">
        <v>15</v>
      </c>
      <c r="F5440" s="115" t="s">
        <v>39</v>
      </c>
      <c r="G5440" s="116">
        <v>14.7</v>
      </c>
      <c r="H5440" s="126">
        <v>11.5</v>
      </c>
      <c r="I5440" s="321">
        <v>1</v>
      </c>
      <c r="J5440" s="117">
        <f t="shared" si="726"/>
        <v>0.16904999999999998</v>
      </c>
      <c r="K5440" s="118"/>
      <c r="L5440" s="111">
        <v>1</v>
      </c>
      <c r="M5440" s="117">
        <f t="shared" si="727"/>
        <v>0.16904999999999998</v>
      </c>
      <c r="N5440" s="119">
        <f t="shared" si="728"/>
        <v>0</v>
      </c>
      <c r="O5440" s="120">
        <f t="shared" si="729"/>
        <v>0</v>
      </c>
      <c r="P5440" s="130">
        <v>11</v>
      </c>
      <c r="Q5440" s="320">
        <v>1</v>
      </c>
      <c r="R5440" s="32"/>
      <c r="S5440" s="32"/>
      <c r="T5440" s="213"/>
    </row>
    <row r="5441" spans="1:20" ht="15.6">
      <c r="A5441" s="110" t="s">
        <v>517</v>
      </c>
      <c r="B5441" s="111" t="s">
        <v>505</v>
      </c>
      <c r="C5441" s="112" t="s">
        <v>449</v>
      </c>
      <c r="D5441" s="113" t="s">
        <v>17</v>
      </c>
      <c r="E5441" s="114" t="s">
        <v>15</v>
      </c>
      <c r="F5441" s="115" t="s">
        <v>39</v>
      </c>
      <c r="G5441" s="116">
        <v>14.7</v>
      </c>
      <c r="H5441" s="126">
        <v>12</v>
      </c>
      <c r="I5441" s="321">
        <v>8</v>
      </c>
      <c r="J5441" s="117">
        <f t="shared" si="726"/>
        <v>1.4111999999999998</v>
      </c>
      <c r="K5441" s="118"/>
      <c r="L5441" s="111">
        <v>8</v>
      </c>
      <c r="M5441" s="117">
        <f t="shared" si="727"/>
        <v>1.4111999999999998</v>
      </c>
      <c r="N5441" s="119">
        <f t="shared" si="728"/>
        <v>0</v>
      </c>
      <c r="O5441" s="120">
        <f t="shared" si="729"/>
        <v>0</v>
      </c>
      <c r="P5441" s="130"/>
      <c r="Q5441" s="320"/>
      <c r="R5441" s="32"/>
      <c r="S5441" s="32"/>
      <c r="T5441" s="213"/>
    </row>
    <row r="5442" spans="1:20" ht="15.6">
      <c r="A5442" s="110" t="s">
        <v>517</v>
      </c>
      <c r="B5442" s="111" t="s">
        <v>505</v>
      </c>
      <c r="C5442" s="112" t="s">
        <v>449</v>
      </c>
      <c r="D5442" s="113" t="s">
        <v>17</v>
      </c>
      <c r="E5442" s="114" t="s">
        <v>15</v>
      </c>
      <c r="F5442" s="115" t="s">
        <v>39</v>
      </c>
      <c r="G5442" s="116">
        <v>14.7</v>
      </c>
      <c r="H5442" s="126">
        <v>6.8</v>
      </c>
      <c r="I5442" s="321">
        <v>1</v>
      </c>
      <c r="J5442" s="117">
        <f t="shared" si="726"/>
        <v>9.9959999999999993E-2</v>
      </c>
      <c r="K5442" s="118"/>
      <c r="L5442" s="111">
        <v>1</v>
      </c>
      <c r="M5442" s="117">
        <f t="shared" si="727"/>
        <v>9.9959999999999993E-2</v>
      </c>
      <c r="N5442" s="119">
        <f t="shared" si="728"/>
        <v>0</v>
      </c>
      <c r="O5442" s="120">
        <f t="shared" si="729"/>
        <v>0</v>
      </c>
      <c r="P5442" s="130"/>
      <c r="Q5442" s="320"/>
      <c r="R5442" s="172">
        <v>6.8</v>
      </c>
      <c r="S5442" s="93">
        <v>1</v>
      </c>
      <c r="T5442" s="170" t="s">
        <v>713</v>
      </c>
    </row>
    <row r="5443" spans="1:20" ht="15.6">
      <c r="A5443" s="110" t="s">
        <v>517</v>
      </c>
      <c r="B5443" s="111" t="s">
        <v>505</v>
      </c>
      <c r="C5443" s="112" t="s">
        <v>449</v>
      </c>
      <c r="D5443" s="113" t="s">
        <v>17</v>
      </c>
      <c r="E5443" s="114" t="s">
        <v>15</v>
      </c>
      <c r="F5443" s="115" t="s">
        <v>39</v>
      </c>
      <c r="G5443" s="116">
        <v>14.7</v>
      </c>
      <c r="H5443" s="126">
        <v>6.9</v>
      </c>
      <c r="I5443" s="321">
        <v>1</v>
      </c>
      <c r="J5443" s="117">
        <f t="shared" si="726"/>
        <v>0.10143000000000001</v>
      </c>
      <c r="K5443" s="118"/>
      <c r="L5443" s="111">
        <v>1</v>
      </c>
      <c r="M5443" s="117">
        <f t="shared" si="727"/>
        <v>0.10143000000000001</v>
      </c>
      <c r="N5443" s="119">
        <f t="shared" si="728"/>
        <v>0</v>
      </c>
      <c r="O5443" s="120">
        <f t="shared" si="729"/>
        <v>0</v>
      </c>
      <c r="P5443" s="130"/>
      <c r="Q5443" s="320"/>
      <c r="R5443" s="172">
        <v>6.9</v>
      </c>
      <c r="S5443" s="93">
        <v>1</v>
      </c>
      <c r="T5443" s="170" t="s">
        <v>713</v>
      </c>
    </row>
    <row r="5444" spans="1:20" ht="15.6">
      <c r="A5444" s="110" t="s">
        <v>517</v>
      </c>
      <c r="B5444" s="111" t="s">
        <v>505</v>
      </c>
      <c r="C5444" s="112" t="s">
        <v>449</v>
      </c>
      <c r="D5444" s="113" t="s">
        <v>17</v>
      </c>
      <c r="E5444" s="114" t="s">
        <v>15</v>
      </c>
      <c r="F5444" s="115" t="s">
        <v>39</v>
      </c>
      <c r="G5444" s="116">
        <v>14.7</v>
      </c>
      <c r="H5444" s="126">
        <v>10.5</v>
      </c>
      <c r="I5444" s="321">
        <v>1</v>
      </c>
      <c r="J5444" s="117">
        <f t="shared" si="726"/>
        <v>0.15434999999999999</v>
      </c>
      <c r="K5444" s="118"/>
      <c r="L5444" s="111">
        <v>1</v>
      </c>
      <c r="M5444" s="117">
        <f t="shared" si="727"/>
        <v>0.15434999999999999</v>
      </c>
      <c r="N5444" s="119">
        <f t="shared" si="728"/>
        <v>0</v>
      </c>
      <c r="O5444" s="120">
        <f t="shared" si="729"/>
        <v>0</v>
      </c>
      <c r="P5444" s="130"/>
      <c r="Q5444" s="320"/>
      <c r="R5444" s="172">
        <v>10.5</v>
      </c>
      <c r="S5444" s="93">
        <v>1</v>
      </c>
      <c r="T5444" s="170" t="s">
        <v>713</v>
      </c>
    </row>
    <row r="5445" spans="1:20" ht="15.6">
      <c r="A5445" s="110" t="s">
        <v>517</v>
      </c>
      <c r="B5445" s="111" t="s">
        <v>505</v>
      </c>
      <c r="C5445" s="112" t="s">
        <v>449</v>
      </c>
      <c r="D5445" s="113" t="s">
        <v>17</v>
      </c>
      <c r="E5445" s="114" t="s">
        <v>15</v>
      </c>
      <c r="F5445" s="115" t="s">
        <v>39</v>
      </c>
      <c r="G5445" s="116">
        <v>14.7</v>
      </c>
      <c r="H5445" s="126">
        <v>12</v>
      </c>
      <c r="I5445" s="321">
        <v>18</v>
      </c>
      <c r="J5445" s="117">
        <f t="shared" si="726"/>
        <v>3.1751999999999998</v>
      </c>
      <c r="K5445" s="118"/>
      <c r="L5445" s="111">
        <v>18</v>
      </c>
      <c r="M5445" s="117">
        <f t="shared" si="727"/>
        <v>3.1751999999999998</v>
      </c>
      <c r="N5445" s="119">
        <f t="shared" si="728"/>
        <v>0</v>
      </c>
      <c r="O5445" s="120">
        <f t="shared" si="729"/>
        <v>0</v>
      </c>
      <c r="P5445" s="130"/>
      <c r="Q5445" s="320">
        <v>18</v>
      </c>
      <c r="R5445" s="55"/>
      <c r="S5445" s="32"/>
      <c r="T5445" s="213"/>
    </row>
    <row r="5446" spans="1:20" ht="15.6">
      <c r="A5446" s="110" t="s">
        <v>517</v>
      </c>
      <c r="B5446" s="111" t="s">
        <v>505</v>
      </c>
      <c r="C5446" s="112" t="s">
        <v>449</v>
      </c>
      <c r="D5446" s="113" t="s">
        <v>17</v>
      </c>
      <c r="E5446" s="114" t="s">
        <v>15</v>
      </c>
      <c r="F5446" s="115" t="s">
        <v>39</v>
      </c>
      <c r="G5446" s="116">
        <v>14.7</v>
      </c>
      <c r="H5446" s="126">
        <v>12</v>
      </c>
      <c r="I5446" s="321">
        <v>6</v>
      </c>
      <c r="J5446" s="117">
        <f t="shared" si="726"/>
        <v>1.0583999999999998</v>
      </c>
      <c r="K5446" s="118"/>
      <c r="L5446" s="111">
        <v>6</v>
      </c>
      <c r="M5446" s="117">
        <f t="shared" si="727"/>
        <v>1.0583999999999998</v>
      </c>
      <c r="N5446" s="119">
        <f t="shared" si="728"/>
        <v>0</v>
      </c>
      <c r="O5446" s="120">
        <f t="shared" si="729"/>
        <v>0</v>
      </c>
      <c r="P5446" s="130"/>
      <c r="Q5446" s="320">
        <v>6</v>
      </c>
      <c r="R5446" s="55"/>
      <c r="S5446" s="32"/>
      <c r="T5446" s="213"/>
    </row>
    <row r="5447" spans="1:20" ht="15.6">
      <c r="A5447" s="110" t="s">
        <v>517</v>
      </c>
      <c r="B5447" s="111" t="s">
        <v>505</v>
      </c>
      <c r="C5447" s="112" t="s">
        <v>449</v>
      </c>
      <c r="D5447" s="113" t="s">
        <v>17</v>
      </c>
      <c r="E5447" s="114" t="s">
        <v>15</v>
      </c>
      <c r="F5447" s="115" t="s">
        <v>39</v>
      </c>
      <c r="G5447" s="116">
        <v>14.7</v>
      </c>
      <c r="H5447" s="126">
        <v>11.6</v>
      </c>
      <c r="I5447" s="321">
        <v>1</v>
      </c>
      <c r="J5447" s="117">
        <f t="shared" si="726"/>
        <v>0.17051999999999998</v>
      </c>
      <c r="K5447" s="118"/>
      <c r="L5447" s="111">
        <v>1</v>
      </c>
      <c r="M5447" s="117">
        <f t="shared" si="727"/>
        <v>0.17051999999999998</v>
      </c>
      <c r="N5447" s="119">
        <f t="shared" si="728"/>
        <v>0</v>
      </c>
      <c r="O5447" s="120">
        <f t="shared" si="729"/>
        <v>0</v>
      </c>
      <c r="P5447" s="130"/>
      <c r="Q5447" s="320"/>
      <c r="R5447" s="172">
        <v>11.6</v>
      </c>
      <c r="S5447" s="93">
        <v>1</v>
      </c>
      <c r="T5447" s="170" t="s">
        <v>713</v>
      </c>
    </row>
    <row r="5448" spans="1:20" ht="15.6">
      <c r="A5448" s="110" t="s">
        <v>517</v>
      </c>
      <c r="B5448" s="111" t="s">
        <v>505</v>
      </c>
      <c r="C5448" s="112" t="s">
        <v>449</v>
      </c>
      <c r="D5448" s="113" t="s">
        <v>17</v>
      </c>
      <c r="E5448" s="114" t="s">
        <v>15</v>
      </c>
      <c r="F5448" s="115" t="s">
        <v>39</v>
      </c>
      <c r="G5448" s="116">
        <v>14.7</v>
      </c>
      <c r="H5448" s="126">
        <v>12</v>
      </c>
      <c r="I5448" s="321">
        <v>2</v>
      </c>
      <c r="J5448" s="117">
        <f t="shared" si="726"/>
        <v>0.35279999999999995</v>
      </c>
      <c r="K5448" s="118"/>
      <c r="L5448" s="111">
        <v>2</v>
      </c>
      <c r="M5448" s="117">
        <f t="shared" si="727"/>
        <v>0.35279999999999995</v>
      </c>
      <c r="N5448" s="119">
        <f t="shared" si="728"/>
        <v>0</v>
      </c>
      <c r="O5448" s="120">
        <f t="shared" si="729"/>
        <v>0</v>
      </c>
      <c r="P5448" s="130"/>
      <c r="Q5448" s="320"/>
      <c r="R5448" s="172">
        <v>12</v>
      </c>
      <c r="S5448" s="93">
        <v>2</v>
      </c>
      <c r="T5448" s="170" t="s">
        <v>713</v>
      </c>
    </row>
    <row r="5449" spans="1:20" ht="15.6">
      <c r="A5449" s="110" t="s">
        <v>517</v>
      </c>
      <c r="B5449" s="111" t="s">
        <v>505</v>
      </c>
      <c r="C5449" s="112" t="s">
        <v>449</v>
      </c>
      <c r="D5449" s="113" t="s">
        <v>17</v>
      </c>
      <c r="E5449" s="114" t="s">
        <v>15</v>
      </c>
      <c r="F5449" s="115" t="s">
        <v>39</v>
      </c>
      <c r="G5449" s="116">
        <v>14.7</v>
      </c>
      <c r="H5449" s="126">
        <v>7.1</v>
      </c>
      <c r="I5449" s="321">
        <v>24</v>
      </c>
      <c r="J5449" s="117">
        <f t="shared" si="726"/>
        <v>2.5048799999999996</v>
      </c>
      <c r="K5449" s="118"/>
      <c r="L5449" s="111">
        <v>24</v>
      </c>
      <c r="M5449" s="117">
        <f t="shared" si="727"/>
        <v>2.5048799999999996</v>
      </c>
      <c r="N5449" s="119">
        <f t="shared" si="728"/>
        <v>0</v>
      </c>
      <c r="O5449" s="120">
        <f t="shared" si="729"/>
        <v>0</v>
      </c>
      <c r="P5449" s="130"/>
      <c r="Q5449" s="320"/>
      <c r="R5449" s="32"/>
      <c r="S5449" s="32"/>
      <c r="T5449" s="213"/>
    </row>
    <row r="5450" spans="1:20" ht="15.6">
      <c r="A5450" s="110" t="s">
        <v>517</v>
      </c>
      <c r="B5450" s="111" t="s">
        <v>505</v>
      </c>
      <c r="C5450" s="112" t="s">
        <v>449</v>
      </c>
      <c r="D5450" s="113" t="s">
        <v>17</v>
      </c>
      <c r="E5450" s="114" t="s">
        <v>15</v>
      </c>
      <c r="F5450" s="115" t="s">
        <v>39</v>
      </c>
      <c r="G5450" s="116">
        <v>14.7</v>
      </c>
      <c r="H5450" s="126">
        <v>11</v>
      </c>
      <c r="I5450" s="321">
        <v>23</v>
      </c>
      <c r="J5450" s="117">
        <f t="shared" si="726"/>
        <v>3.7191000000000001</v>
      </c>
      <c r="K5450" s="118"/>
      <c r="L5450" s="111">
        <v>23</v>
      </c>
      <c r="M5450" s="117">
        <f t="shared" si="727"/>
        <v>3.7191000000000001</v>
      </c>
      <c r="N5450" s="119">
        <f t="shared" si="728"/>
        <v>0</v>
      </c>
      <c r="O5450" s="120">
        <f t="shared" si="729"/>
        <v>0</v>
      </c>
      <c r="P5450" s="130"/>
      <c r="Q5450" s="320"/>
      <c r="R5450" s="32"/>
      <c r="S5450" s="32"/>
      <c r="T5450" s="213"/>
    </row>
    <row r="5451" spans="1:20" ht="15.6">
      <c r="A5451" s="110" t="s">
        <v>517</v>
      </c>
      <c r="B5451" s="111" t="s">
        <v>505</v>
      </c>
      <c r="C5451" s="112" t="s">
        <v>449</v>
      </c>
      <c r="D5451" s="113" t="s">
        <v>17</v>
      </c>
      <c r="E5451" s="114" t="s">
        <v>15</v>
      </c>
      <c r="F5451" s="115" t="s">
        <v>39</v>
      </c>
      <c r="G5451" s="116">
        <v>14.7</v>
      </c>
      <c r="H5451" s="126">
        <v>11.5</v>
      </c>
      <c r="I5451" s="321">
        <v>5</v>
      </c>
      <c r="J5451" s="117">
        <f t="shared" si="726"/>
        <v>0.84524999999999983</v>
      </c>
      <c r="K5451" s="118"/>
      <c r="L5451" s="111">
        <f>3+2</f>
        <v>5</v>
      </c>
      <c r="M5451" s="117">
        <f t="shared" si="727"/>
        <v>0.84524999999999995</v>
      </c>
      <c r="N5451" s="119">
        <f t="shared" si="728"/>
        <v>0</v>
      </c>
      <c r="O5451" s="120">
        <f t="shared" si="729"/>
        <v>0</v>
      </c>
      <c r="P5451" s="130">
        <v>11</v>
      </c>
      <c r="Q5451" s="320">
        <v>2</v>
      </c>
      <c r="R5451" s="32"/>
      <c r="S5451" s="32"/>
      <c r="T5451" s="213"/>
    </row>
    <row r="5452" spans="1:20" ht="15.6">
      <c r="A5452" s="110" t="s">
        <v>517</v>
      </c>
      <c r="B5452" s="111" t="s">
        <v>505</v>
      </c>
      <c r="C5452" s="112" t="s">
        <v>449</v>
      </c>
      <c r="D5452" s="113" t="s">
        <v>17</v>
      </c>
      <c r="E5452" s="114" t="s">
        <v>15</v>
      </c>
      <c r="F5452" s="115" t="s">
        <v>39</v>
      </c>
      <c r="G5452" s="116">
        <v>14.7</v>
      </c>
      <c r="H5452" s="126">
        <v>12</v>
      </c>
      <c r="I5452" s="321">
        <v>2</v>
      </c>
      <c r="J5452" s="117">
        <f t="shared" si="726"/>
        <v>0.35279999999999995</v>
      </c>
      <c r="K5452" s="118"/>
      <c r="L5452" s="111"/>
      <c r="M5452" s="117">
        <f t="shared" si="727"/>
        <v>0</v>
      </c>
      <c r="N5452" s="119">
        <f t="shared" si="728"/>
        <v>2</v>
      </c>
      <c r="O5452" s="120">
        <f t="shared" si="729"/>
        <v>0.35279999999999995</v>
      </c>
      <c r="P5452" s="130"/>
      <c r="Q5452" s="320"/>
      <c r="R5452" s="32"/>
      <c r="S5452" s="32"/>
      <c r="T5452" s="213"/>
    </row>
    <row r="5453" spans="1:20" ht="15.6">
      <c r="A5453" s="110" t="s">
        <v>517</v>
      </c>
      <c r="B5453" s="111" t="s">
        <v>505</v>
      </c>
      <c r="C5453" s="112" t="s">
        <v>449</v>
      </c>
      <c r="D5453" s="113" t="s">
        <v>17</v>
      </c>
      <c r="E5453" s="114" t="s">
        <v>15</v>
      </c>
      <c r="F5453" s="115" t="s">
        <v>39</v>
      </c>
      <c r="G5453" s="116">
        <v>14.7</v>
      </c>
      <c r="H5453" s="126">
        <v>5.7</v>
      </c>
      <c r="I5453" s="321">
        <v>1</v>
      </c>
      <c r="J5453" s="117">
        <f t="shared" si="726"/>
        <v>8.3789999999999989E-2</v>
      </c>
      <c r="K5453" s="118"/>
      <c r="L5453" s="111"/>
      <c r="M5453" s="117">
        <f t="shared" si="727"/>
        <v>0</v>
      </c>
      <c r="N5453" s="119">
        <f t="shared" si="728"/>
        <v>1</v>
      </c>
      <c r="O5453" s="120">
        <f t="shared" si="729"/>
        <v>8.3789999999999989E-2</v>
      </c>
      <c r="P5453" s="130"/>
      <c r="Q5453" s="320"/>
      <c r="R5453" s="32"/>
      <c r="S5453" s="32"/>
      <c r="T5453" s="213"/>
    </row>
    <row r="5454" spans="1:20" ht="15.6">
      <c r="A5454" s="110" t="s">
        <v>517</v>
      </c>
      <c r="B5454" s="111" t="s">
        <v>505</v>
      </c>
      <c r="C5454" s="112" t="s">
        <v>449</v>
      </c>
      <c r="D5454" s="113" t="s">
        <v>17</v>
      </c>
      <c r="E5454" s="114" t="s">
        <v>15</v>
      </c>
      <c r="F5454" s="115" t="s">
        <v>39</v>
      </c>
      <c r="G5454" s="116">
        <v>14.7</v>
      </c>
      <c r="H5454" s="126">
        <v>6.5</v>
      </c>
      <c r="I5454" s="321">
        <v>1</v>
      </c>
      <c r="J5454" s="117">
        <f t="shared" si="726"/>
        <v>9.5549999999999996E-2</v>
      </c>
      <c r="K5454" s="118"/>
      <c r="L5454" s="111"/>
      <c r="M5454" s="117">
        <f t="shared" si="727"/>
        <v>0</v>
      </c>
      <c r="N5454" s="119">
        <f t="shared" si="728"/>
        <v>1</v>
      </c>
      <c r="O5454" s="120">
        <f t="shared" si="729"/>
        <v>9.5549999999999996E-2</v>
      </c>
      <c r="P5454" s="130"/>
      <c r="Q5454" s="320"/>
      <c r="R5454" s="32"/>
      <c r="S5454" s="32"/>
      <c r="T5454" s="213"/>
    </row>
    <row r="5455" spans="1:20" ht="15.6">
      <c r="A5455" s="110" t="s">
        <v>517</v>
      </c>
      <c r="B5455" s="111" t="s">
        <v>505</v>
      </c>
      <c r="C5455" s="112" t="s">
        <v>449</v>
      </c>
      <c r="D5455" s="113" t="s">
        <v>17</v>
      </c>
      <c r="E5455" s="114" t="s">
        <v>15</v>
      </c>
      <c r="F5455" s="115" t="s">
        <v>39</v>
      </c>
      <c r="G5455" s="116">
        <v>14.7</v>
      </c>
      <c r="H5455" s="126">
        <v>6.6</v>
      </c>
      <c r="I5455" s="321">
        <v>2</v>
      </c>
      <c r="J5455" s="117">
        <f t="shared" si="726"/>
        <v>0.19403999999999999</v>
      </c>
      <c r="K5455" s="118"/>
      <c r="L5455" s="111"/>
      <c r="M5455" s="117">
        <f t="shared" si="727"/>
        <v>0</v>
      </c>
      <c r="N5455" s="119">
        <f t="shared" si="728"/>
        <v>2</v>
      </c>
      <c r="O5455" s="120">
        <f t="shared" si="729"/>
        <v>0.19403999999999999</v>
      </c>
      <c r="P5455" s="130"/>
      <c r="Q5455" s="320"/>
      <c r="R5455" s="32"/>
      <c r="S5455" s="32"/>
      <c r="T5455" s="213"/>
    </row>
    <row r="5456" spans="1:20">
      <c r="A5456" s="213"/>
      <c r="B5456" s="213"/>
      <c r="C5456" s="213"/>
      <c r="D5456" s="213"/>
      <c r="E5456" s="213"/>
      <c r="F5456" s="213"/>
      <c r="G5456" s="213"/>
      <c r="H5456" s="213"/>
      <c r="I5456" s="215">
        <f>SUM(I5435:I5455)</f>
        <v>182</v>
      </c>
      <c r="J5456" s="214">
        <f>SUM(J5435:J5455)</f>
        <v>25.520669999999996</v>
      </c>
      <c r="K5456" s="213"/>
      <c r="L5456" s="215">
        <f>SUM(L5435:L5455)</f>
        <v>174</v>
      </c>
      <c r="M5456" s="214">
        <f>SUM(M5435:M5455)</f>
        <v>24.585749999999997</v>
      </c>
      <c r="N5456" s="78">
        <f>SUM(N5435:N5455)</f>
        <v>8</v>
      </c>
      <c r="O5456" s="128">
        <f>SUM(O5435:O5455)</f>
        <v>0.93491999999999997</v>
      </c>
      <c r="P5456" s="213"/>
      <c r="Q5456" s="213"/>
      <c r="R5456" s="213"/>
      <c r="S5456" s="78">
        <f>SUM(S5435:S5455)</f>
        <v>6</v>
      </c>
      <c r="T5456" s="213"/>
    </row>
    <row r="5459" spans="1:17">
      <c r="A5459" s="42" t="s">
        <v>90</v>
      </c>
      <c r="B5459" s="3"/>
      <c r="C5459" s="3">
        <v>197</v>
      </c>
      <c r="D5459" s="20" t="s">
        <v>17</v>
      </c>
      <c r="E5459" s="7" t="s">
        <v>15</v>
      </c>
      <c r="F5459" s="7" t="s">
        <v>49</v>
      </c>
      <c r="G5459" s="11">
        <v>17.82</v>
      </c>
      <c r="H5459" s="8">
        <v>12</v>
      </c>
      <c r="I5459" s="17">
        <v>3</v>
      </c>
      <c r="J5459" s="10">
        <v>0.64151999999999998</v>
      </c>
      <c r="K5459" s="17">
        <v>3</v>
      </c>
      <c r="L5459" s="18">
        <v>0.64151999999999998</v>
      </c>
      <c r="M5459" s="19">
        <v>0</v>
      </c>
      <c r="N5459" s="13">
        <v>0</v>
      </c>
      <c r="O5459" s="50"/>
      <c r="P5459" s="2"/>
      <c r="Q5459" s="2"/>
    </row>
    <row r="5460" spans="1:17">
      <c r="A5460" s="42" t="s">
        <v>90</v>
      </c>
      <c r="B5460" s="3"/>
      <c r="C5460" s="3">
        <v>198</v>
      </c>
      <c r="D5460" s="20" t="s">
        <v>17</v>
      </c>
      <c r="E5460" s="7" t="s">
        <v>15</v>
      </c>
      <c r="F5460" s="7" t="s">
        <v>49</v>
      </c>
      <c r="G5460" s="11">
        <v>17.82</v>
      </c>
      <c r="H5460" s="8">
        <v>5.4</v>
      </c>
      <c r="I5460" s="17">
        <v>1</v>
      </c>
      <c r="J5460" s="10">
        <v>9.6228000000000008E-2</v>
      </c>
      <c r="K5460" s="17"/>
      <c r="L5460" s="18">
        <v>0</v>
      </c>
      <c r="M5460" s="19">
        <v>1</v>
      </c>
      <c r="N5460" s="13">
        <v>9.6228000000000008E-2</v>
      </c>
      <c r="O5460" s="50"/>
      <c r="P5460" s="47">
        <v>1</v>
      </c>
      <c r="Q5460" s="47" t="s">
        <v>714</v>
      </c>
    </row>
    <row r="5461" spans="1:17">
      <c r="A5461" s="42" t="s">
        <v>90</v>
      </c>
      <c r="B5461" s="3"/>
      <c r="C5461" s="3">
        <v>198</v>
      </c>
      <c r="D5461" s="20" t="s">
        <v>17</v>
      </c>
      <c r="E5461" s="7" t="s">
        <v>15</v>
      </c>
      <c r="F5461" s="7" t="s">
        <v>49</v>
      </c>
      <c r="G5461" s="11">
        <v>17.82</v>
      </c>
      <c r="H5461" s="8">
        <v>5.5</v>
      </c>
      <c r="I5461" s="17">
        <v>1</v>
      </c>
      <c r="J5461" s="10">
        <v>9.801E-2</v>
      </c>
      <c r="K5461" s="17"/>
      <c r="L5461" s="18">
        <v>0</v>
      </c>
      <c r="M5461" s="19">
        <v>1</v>
      </c>
      <c r="N5461" s="13">
        <v>9.801E-2</v>
      </c>
      <c r="O5461" s="50"/>
      <c r="P5461" s="47">
        <v>1</v>
      </c>
      <c r="Q5461" s="47" t="s">
        <v>714</v>
      </c>
    </row>
    <row r="5462" spans="1:17">
      <c r="A5462" s="42" t="s">
        <v>90</v>
      </c>
      <c r="B5462" s="3"/>
      <c r="C5462" s="3">
        <v>198</v>
      </c>
      <c r="D5462" s="20" t="s">
        <v>17</v>
      </c>
      <c r="E5462" s="7" t="s">
        <v>15</v>
      </c>
      <c r="F5462" s="7" t="s">
        <v>49</v>
      </c>
      <c r="G5462" s="11">
        <v>17.82</v>
      </c>
      <c r="H5462" s="8">
        <v>5.7</v>
      </c>
      <c r="I5462" s="17">
        <v>1</v>
      </c>
      <c r="J5462" s="10">
        <v>0.101574</v>
      </c>
      <c r="K5462" s="17"/>
      <c r="L5462" s="18">
        <v>0</v>
      </c>
      <c r="M5462" s="19">
        <v>1</v>
      </c>
      <c r="N5462" s="13">
        <v>0.101574</v>
      </c>
      <c r="O5462" s="50"/>
      <c r="P5462" s="47">
        <v>1</v>
      </c>
      <c r="Q5462" s="47" t="s">
        <v>714</v>
      </c>
    </row>
    <row r="5463" spans="1:17">
      <c r="A5463" s="42" t="s">
        <v>90</v>
      </c>
      <c r="B5463" s="3"/>
      <c r="C5463" s="3">
        <v>198</v>
      </c>
      <c r="D5463" s="20" t="s">
        <v>17</v>
      </c>
      <c r="E5463" s="7" t="s">
        <v>15</v>
      </c>
      <c r="F5463" s="7" t="s">
        <v>49</v>
      </c>
      <c r="G5463" s="11">
        <v>17.82</v>
      </c>
      <c r="H5463" s="8">
        <v>5.8</v>
      </c>
      <c r="I5463" s="17">
        <v>1</v>
      </c>
      <c r="J5463" s="10">
        <v>0.10335599999999999</v>
      </c>
      <c r="K5463" s="17"/>
      <c r="L5463" s="18">
        <v>0</v>
      </c>
      <c r="M5463" s="19">
        <v>1</v>
      </c>
      <c r="N5463" s="13">
        <v>0.10335599999999999</v>
      </c>
      <c r="O5463" s="50"/>
      <c r="P5463" s="47">
        <v>1</v>
      </c>
      <c r="Q5463" s="47" t="s">
        <v>714</v>
      </c>
    </row>
    <row r="5464" spans="1:17">
      <c r="A5464" s="42" t="s">
        <v>90</v>
      </c>
      <c r="B5464" s="3"/>
      <c r="C5464" s="3">
        <v>198</v>
      </c>
      <c r="D5464" s="20" t="s">
        <v>17</v>
      </c>
      <c r="E5464" s="7" t="s">
        <v>15</v>
      </c>
      <c r="F5464" s="7" t="s">
        <v>49</v>
      </c>
      <c r="G5464" s="11">
        <v>17.82</v>
      </c>
      <c r="H5464" s="8">
        <v>6.1</v>
      </c>
      <c r="I5464" s="17">
        <v>1</v>
      </c>
      <c r="J5464" s="10">
        <v>0.10870199999999999</v>
      </c>
      <c r="K5464" s="17"/>
      <c r="L5464" s="18">
        <v>0</v>
      </c>
      <c r="M5464" s="19">
        <v>1</v>
      </c>
      <c r="N5464" s="13">
        <v>0.10870199999999999</v>
      </c>
      <c r="O5464" s="50"/>
      <c r="P5464" s="47">
        <v>1</v>
      </c>
      <c r="Q5464" s="47" t="s">
        <v>714</v>
      </c>
    </row>
    <row r="5465" spans="1:17">
      <c r="A5465" s="45" t="s">
        <v>136</v>
      </c>
      <c r="B5465" s="32" t="s">
        <v>137</v>
      </c>
      <c r="C5465" s="3">
        <v>44</v>
      </c>
      <c r="D5465" s="20" t="s">
        <v>17</v>
      </c>
      <c r="E5465" s="7" t="s">
        <v>15</v>
      </c>
      <c r="F5465" s="7" t="s">
        <v>49</v>
      </c>
      <c r="G5465" s="11">
        <v>17.82</v>
      </c>
      <c r="H5465" s="55">
        <v>8.3000000000000007</v>
      </c>
      <c r="I5465" s="40">
        <v>1</v>
      </c>
      <c r="J5465" s="10">
        <v>0.14790600000000001</v>
      </c>
      <c r="K5465" s="17"/>
      <c r="L5465" s="18">
        <v>0</v>
      </c>
      <c r="M5465" s="19">
        <v>1</v>
      </c>
      <c r="N5465" s="13">
        <v>0.14790600000000001</v>
      </c>
      <c r="O5465" s="33"/>
      <c r="P5465" s="93">
        <v>1</v>
      </c>
      <c r="Q5465" s="47" t="s">
        <v>714</v>
      </c>
    </row>
    <row r="5466" spans="1:17">
      <c r="A5466" s="45" t="s">
        <v>136</v>
      </c>
      <c r="B5466" s="32" t="s">
        <v>137</v>
      </c>
      <c r="C5466" s="3">
        <v>44</v>
      </c>
      <c r="D5466" s="20" t="s">
        <v>17</v>
      </c>
      <c r="E5466" s="7" t="s">
        <v>15</v>
      </c>
      <c r="F5466" s="7" t="s">
        <v>49</v>
      </c>
      <c r="G5466" s="11">
        <v>17.82</v>
      </c>
      <c r="H5466" s="55">
        <v>11.1</v>
      </c>
      <c r="I5466" s="40">
        <v>2</v>
      </c>
      <c r="J5466" s="10">
        <v>0.39560400000000001</v>
      </c>
      <c r="K5466" s="17"/>
      <c r="L5466" s="18">
        <v>0</v>
      </c>
      <c r="M5466" s="19">
        <v>2</v>
      </c>
      <c r="N5466" s="13">
        <v>0.39560400000000001</v>
      </c>
      <c r="O5466" s="33"/>
      <c r="P5466" s="93">
        <v>2</v>
      </c>
      <c r="Q5466" s="47" t="s">
        <v>714</v>
      </c>
    </row>
    <row r="5467" spans="1:17">
      <c r="P5467" s="76">
        <f>SUM(P5460:P5466)</f>
        <v>8</v>
      </c>
    </row>
    <row r="5470" spans="1:17">
      <c r="A5470" s="3" t="s">
        <v>68</v>
      </c>
      <c r="B5470" s="3">
        <v>234</v>
      </c>
      <c r="C5470" s="20" t="s">
        <v>17</v>
      </c>
      <c r="D5470" s="7" t="s">
        <v>15</v>
      </c>
      <c r="E5470" s="7" t="s">
        <v>60</v>
      </c>
      <c r="F5470" s="11">
        <v>22.93</v>
      </c>
      <c r="G5470" s="8">
        <v>9.5</v>
      </c>
      <c r="H5470" s="26">
        <v>1</v>
      </c>
      <c r="I5470" s="10">
        <v>0.217835</v>
      </c>
      <c r="J5470" s="17">
        <v>1</v>
      </c>
      <c r="K5470" s="18">
        <v>0.217835</v>
      </c>
      <c r="L5470" s="19">
        <v>0</v>
      </c>
      <c r="M5470" s="13">
        <v>0</v>
      </c>
      <c r="N5470" s="89">
        <v>9.5</v>
      </c>
      <c r="O5470" s="90">
        <v>1</v>
      </c>
      <c r="P5470" s="77" t="s">
        <v>715</v>
      </c>
    </row>
    <row r="5471" spans="1:17">
      <c r="A5471" s="3" t="s">
        <v>68</v>
      </c>
      <c r="B5471" s="3">
        <v>234</v>
      </c>
      <c r="C5471" s="20" t="s">
        <v>17</v>
      </c>
      <c r="D5471" s="7" t="s">
        <v>15</v>
      </c>
      <c r="E5471" s="7" t="s">
        <v>60</v>
      </c>
      <c r="F5471" s="11">
        <v>22.93</v>
      </c>
      <c r="G5471" s="8">
        <v>10</v>
      </c>
      <c r="H5471" s="26">
        <v>1</v>
      </c>
      <c r="I5471" s="10">
        <v>0.2293</v>
      </c>
      <c r="J5471" s="17">
        <v>1</v>
      </c>
      <c r="K5471" s="18">
        <v>0.2293</v>
      </c>
      <c r="L5471" s="19">
        <v>0</v>
      </c>
      <c r="M5471" s="13">
        <v>0</v>
      </c>
      <c r="N5471" s="9"/>
      <c r="O5471" s="2"/>
      <c r="P5471" s="2"/>
    </row>
    <row r="5472" spans="1:17">
      <c r="A5472" s="3" t="s">
        <v>68</v>
      </c>
      <c r="B5472" s="3">
        <v>234</v>
      </c>
      <c r="C5472" s="20" t="s">
        <v>17</v>
      </c>
      <c r="D5472" s="7" t="s">
        <v>15</v>
      </c>
      <c r="E5472" s="7" t="s">
        <v>60</v>
      </c>
      <c r="F5472" s="11">
        <v>22.93</v>
      </c>
      <c r="G5472" s="8">
        <v>10.5</v>
      </c>
      <c r="H5472" s="26">
        <v>1</v>
      </c>
      <c r="I5472" s="10">
        <v>0.24076499999999998</v>
      </c>
      <c r="J5472" s="17">
        <v>1</v>
      </c>
      <c r="K5472" s="18">
        <v>0.24076499999999998</v>
      </c>
      <c r="L5472" s="19">
        <v>0</v>
      </c>
      <c r="M5472" s="13">
        <v>0</v>
      </c>
      <c r="N5472" s="89">
        <v>10.5</v>
      </c>
      <c r="O5472" s="90">
        <v>1</v>
      </c>
      <c r="P5472" s="77" t="s">
        <v>715</v>
      </c>
    </row>
    <row r="5473" spans="1:19">
      <c r="A5473" s="3" t="s">
        <v>68</v>
      </c>
      <c r="B5473" s="3">
        <v>234</v>
      </c>
      <c r="C5473" s="20" t="s">
        <v>17</v>
      </c>
      <c r="D5473" s="7" t="s">
        <v>15</v>
      </c>
      <c r="E5473" s="7" t="s">
        <v>60</v>
      </c>
      <c r="F5473" s="11">
        <v>22.93</v>
      </c>
      <c r="G5473" s="8">
        <v>11.5</v>
      </c>
      <c r="H5473" s="26">
        <v>1</v>
      </c>
      <c r="I5473" s="10">
        <v>0.26369500000000001</v>
      </c>
      <c r="J5473" s="17">
        <v>1</v>
      </c>
      <c r="K5473" s="18">
        <v>0.26369500000000001</v>
      </c>
      <c r="L5473" s="19">
        <v>0</v>
      </c>
      <c r="M5473" s="13">
        <v>0</v>
      </c>
      <c r="N5473" s="9"/>
      <c r="O5473" s="2"/>
      <c r="P5473" s="2"/>
    </row>
    <row r="5474" spans="1:19">
      <c r="A5474" s="3" t="s">
        <v>68</v>
      </c>
      <c r="B5474" s="3">
        <v>234</v>
      </c>
      <c r="C5474" s="20" t="s">
        <v>17</v>
      </c>
      <c r="D5474" s="7" t="s">
        <v>15</v>
      </c>
      <c r="E5474" s="7" t="s">
        <v>60</v>
      </c>
      <c r="F5474" s="11">
        <v>22.93</v>
      </c>
      <c r="G5474" s="8">
        <v>11.7</v>
      </c>
      <c r="H5474" s="26">
        <v>1</v>
      </c>
      <c r="I5474" s="10">
        <v>0.26828099999999999</v>
      </c>
      <c r="J5474" s="17">
        <v>1</v>
      </c>
      <c r="K5474" s="18">
        <v>0.26828099999999999</v>
      </c>
      <c r="L5474" s="19">
        <v>0</v>
      </c>
      <c r="M5474" s="13">
        <v>0</v>
      </c>
      <c r="N5474" s="9"/>
      <c r="O5474" s="2"/>
      <c r="P5474" s="2"/>
    </row>
    <row r="5475" spans="1:19">
      <c r="A5475" s="3" t="s">
        <v>68</v>
      </c>
      <c r="B5475" s="3">
        <v>235</v>
      </c>
      <c r="C5475" s="20" t="s">
        <v>17</v>
      </c>
      <c r="D5475" s="7" t="s">
        <v>15</v>
      </c>
      <c r="E5475" s="7" t="s">
        <v>60</v>
      </c>
      <c r="F5475" s="11">
        <v>22.93</v>
      </c>
      <c r="G5475" s="8">
        <v>5.25</v>
      </c>
      <c r="H5475" s="26">
        <v>1</v>
      </c>
      <c r="I5475" s="10">
        <v>0.12038249999999999</v>
      </c>
      <c r="J5475" s="17"/>
      <c r="K5475" s="18">
        <v>0</v>
      </c>
      <c r="L5475" s="19">
        <v>1</v>
      </c>
      <c r="M5475" s="13">
        <v>0.12038249999999999</v>
      </c>
      <c r="N5475" s="9"/>
      <c r="O5475" s="2"/>
      <c r="P5475" s="2"/>
    </row>
    <row r="5476" spans="1:19">
      <c r="A5476" s="3" t="s">
        <v>68</v>
      </c>
      <c r="B5476" s="3">
        <v>235</v>
      </c>
      <c r="C5476" s="20" t="s">
        <v>17</v>
      </c>
      <c r="D5476" s="7" t="s">
        <v>15</v>
      </c>
      <c r="E5476" s="7" t="s">
        <v>60</v>
      </c>
      <c r="F5476" s="11">
        <v>22.93</v>
      </c>
      <c r="G5476" s="8">
        <v>6</v>
      </c>
      <c r="H5476" s="26">
        <v>1</v>
      </c>
      <c r="I5476" s="10">
        <v>0.13757999999999998</v>
      </c>
      <c r="J5476" s="17">
        <v>1</v>
      </c>
      <c r="K5476" s="18">
        <v>0.13757999999999998</v>
      </c>
      <c r="L5476" s="19">
        <v>0</v>
      </c>
      <c r="M5476" s="13">
        <v>0</v>
      </c>
      <c r="N5476" s="89">
        <v>6</v>
      </c>
      <c r="O5476" s="90">
        <v>1</v>
      </c>
      <c r="P5476" s="77" t="s">
        <v>715</v>
      </c>
    </row>
    <row r="5477" spans="1:19">
      <c r="A5477" s="3" t="s">
        <v>68</v>
      </c>
      <c r="B5477" s="3">
        <v>235</v>
      </c>
      <c r="C5477" s="20" t="s">
        <v>17</v>
      </c>
      <c r="D5477" s="7" t="s">
        <v>15</v>
      </c>
      <c r="E5477" s="7" t="s">
        <v>60</v>
      </c>
      <c r="F5477" s="11">
        <v>22.93</v>
      </c>
      <c r="G5477" s="8">
        <v>7.6</v>
      </c>
      <c r="H5477" s="26">
        <v>3</v>
      </c>
      <c r="I5477" s="10">
        <v>0.52280399999999994</v>
      </c>
      <c r="J5477" s="17">
        <v>3</v>
      </c>
      <c r="K5477" s="18">
        <v>0.52280399999999994</v>
      </c>
      <c r="L5477" s="19">
        <v>0</v>
      </c>
      <c r="M5477" s="13">
        <v>0</v>
      </c>
      <c r="N5477" s="9"/>
      <c r="O5477" s="2"/>
      <c r="P5477" s="2"/>
    </row>
    <row r="5478" spans="1:19">
      <c r="A5478" s="3" t="s">
        <v>68</v>
      </c>
      <c r="B5478" s="3">
        <v>235</v>
      </c>
      <c r="C5478" s="20" t="s">
        <v>17</v>
      </c>
      <c r="D5478" s="7" t="s">
        <v>15</v>
      </c>
      <c r="E5478" s="7" t="s">
        <v>60</v>
      </c>
      <c r="F5478" s="11">
        <v>22.93</v>
      </c>
      <c r="G5478" s="8">
        <v>10.1</v>
      </c>
      <c r="H5478" s="26">
        <v>1</v>
      </c>
      <c r="I5478" s="10">
        <v>0.23159299999999999</v>
      </c>
      <c r="J5478" s="17">
        <v>1</v>
      </c>
      <c r="K5478" s="18">
        <v>0.23159299999999999</v>
      </c>
      <c r="L5478" s="19">
        <v>0</v>
      </c>
      <c r="M5478" s="13">
        <v>0</v>
      </c>
      <c r="N5478" s="89">
        <v>10.1</v>
      </c>
      <c r="O5478" s="90">
        <v>1</v>
      </c>
      <c r="P5478" s="77" t="s">
        <v>715</v>
      </c>
    </row>
    <row r="5479" spans="1:19">
      <c r="A5479" s="3" t="s">
        <v>68</v>
      </c>
      <c r="B5479" s="3">
        <v>235</v>
      </c>
      <c r="C5479" s="20" t="s">
        <v>17</v>
      </c>
      <c r="D5479" s="7" t="s">
        <v>15</v>
      </c>
      <c r="E5479" s="7" t="s">
        <v>60</v>
      </c>
      <c r="F5479" s="11">
        <v>22.93</v>
      </c>
      <c r="G5479" s="8">
        <v>11.7</v>
      </c>
      <c r="H5479" s="26">
        <v>1</v>
      </c>
      <c r="I5479" s="10">
        <v>0.26828099999999999</v>
      </c>
      <c r="J5479" s="17">
        <v>1</v>
      </c>
      <c r="K5479" s="18">
        <v>0.26828099999999999</v>
      </c>
      <c r="L5479" s="19">
        <v>0</v>
      </c>
      <c r="M5479" s="13">
        <v>0</v>
      </c>
      <c r="N5479" s="9"/>
      <c r="O5479" s="2"/>
      <c r="P5479" s="2"/>
    </row>
    <row r="5480" spans="1:19">
      <c r="A5480" s="32" t="s">
        <v>137</v>
      </c>
      <c r="B5480" s="3">
        <v>81</v>
      </c>
      <c r="C5480" s="39" t="s">
        <v>17</v>
      </c>
      <c r="D5480" s="7" t="s">
        <v>15</v>
      </c>
      <c r="E5480" s="7" t="s">
        <v>60</v>
      </c>
      <c r="F5480" s="11">
        <v>22.93</v>
      </c>
      <c r="G5480" s="33">
        <v>11.8</v>
      </c>
      <c r="H5480" s="40">
        <v>1</v>
      </c>
      <c r="I5480" s="10">
        <v>0.27057400000000004</v>
      </c>
      <c r="J5480" s="17">
        <v>1</v>
      </c>
      <c r="K5480" s="18">
        <v>0.27057400000000004</v>
      </c>
      <c r="L5480" s="19">
        <v>0</v>
      </c>
      <c r="M5480" s="13">
        <v>0</v>
      </c>
      <c r="N5480" s="89">
        <v>11.8</v>
      </c>
      <c r="O5480" s="91">
        <v>1</v>
      </c>
      <c r="P5480" s="77" t="s">
        <v>715</v>
      </c>
    </row>
    <row r="5481" spans="1:19">
      <c r="H5481" s="76">
        <f>SUM(H5470:H5480)</f>
        <v>13</v>
      </c>
      <c r="O5481" s="76">
        <f>SUM(O5470:O5480)</f>
        <v>5</v>
      </c>
    </row>
    <row r="5483" spans="1:19">
      <c r="A5483" s="42" t="s">
        <v>77</v>
      </c>
      <c r="B5483" s="3" t="s">
        <v>68</v>
      </c>
      <c r="C5483" s="3">
        <v>202</v>
      </c>
      <c r="D5483" s="20" t="s">
        <v>17</v>
      </c>
      <c r="E5483" s="7" t="s">
        <v>15</v>
      </c>
      <c r="F5483" s="7" t="s">
        <v>56</v>
      </c>
      <c r="G5483" s="11">
        <v>25.2</v>
      </c>
      <c r="H5483" s="8">
        <v>5.5</v>
      </c>
      <c r="I5483" s="26">
        <v>5</v>
      </c>
      <c r="J5483" s="10">
        <v>0.69299999999999995</v>
      </c>
      <c r="K5483" s="17">
        <v>5</v>
      </c>
      <c r="L5483" s="18">
        <v>0.69299999999999995</v>
      </c>
      <c r="M5483" s="19">
        <v>0</v>
      </c>
      <c r="N5483" s="13">
        <v>0</v>
      </c>
      <c r="O5483" s="9"/>
      <c r="P5483" s="2"/>
      <c r="Q5483" s="189">
        <v>5.5</v>
      </c>
      <c r="R5483" s="156">
        <v>5</v>
      </c>
      <c r="S5483" s="156" t="s">
        <v>717</v>
      </c>
    </row>
    <row r="5484" spans="1:19">
      <c r="A5484" s="42" t="s">
        <v>77</v>
      </c>
      <c r="B5484" s="3" t="s">
        <v>68</v>
      </c>
      <c r="C5484" s="3">
        <v>202</v>
      </c>
      <c r="D5484" s="20" t="s">
        <v>17</v>
      </c>
      <c r="E5484" s="7" t="s">
        <v>15</v>
      </c>
      <c r="F5484" s="7" t="s">
        <v>56</v>
      </c>
      <c r="G5484" s="11">
        <v>25.2</v>
      </c>
      <c r="H5484" s="8">
        <v>5.8</v>
      </c>
      <c r="I5484" s="26">
        <v>5</v>
      </c>
      <c r="J5484" s="10">
        <v>0.73080000000000001</v>
      </c>
      <c r="K5484" s="17">
        <v>5</v>
      </c>
      <c r="L5484" s="18">
        <v>0.73080000000000001</v>
      </c>
      <c r="M5484" s="19">
        <v>0</v>
      </c>
      <c r="N5484" s="13">
        <v>0</v>
      </c>
      <c r="O5484" s="9"/>
      <c r="P5484" s="2"/>
      <c r="Q5484" s="189">
        <v>5.8</v>
      </c>
      <c r="R5484" s="156">
        <v>5</v>
      </c>
      <c r="S5484" s="156" t="s">
        <v>717</v>
      </c>
    </row>
    <row r="5485" spans="1:19">
      <c r="A5485" s="42" t="s">
        <v>77</v>
      </c>
      <c r="B5485" s="3" t="s">
        <v>68</v>
      </c>
      <c r="C5485" s="3">
        <v>232</v>
      </c>
      <c r="D5485" s="20" t="s">
        <v>17</v>
      </c>
      <c r="E5485" s="7" t="s">
        <v>15</v>
      </c>
      <c r="F5485" s="7" t="s">
        <v>56</v>
      </c>
      <c r="G5485" s="11">
        <v>25.2</v>
      </c>
      <c r="H5485" s="8">
        <v>6</v>
      </c>
      <c r="I5485" s="26">
        <v>3</v>
      </c>
      <c r="J5485" s="10">
        <v>0.45359999999999995</v>
      </c>
      <c r="K5485" s="17">
        <v>3</v>
      </c>
      <c r="L5485" s="18">
        <v>0.45359999999999995</v>
      </c>
      <c r="M5485" s="19">
        <v>0</v>
      </c>
      <c r="N5485" s="13">
        <v>0</v>
      </c>
      <c r="O5485" s="9"/>
      <c r="P5485" s="2"/>
      <c r="Q5485" s="189">
        <v>6</v>
      </c>
      <c r="R5485" s="156">
        <v>3</v>
      </c>
      <c r="S5485" s="156" t="s">
        <v>717</v>
      </c>
    </row>
    <row r="5486" spans="1:19">
      <c r="A5486" s="42" t="s">
        <v>77</v>
      </c>
      <c r="B5486" s="3" t="s">
        <v>68</v>
      </c>
      <c r="C5486" s="3">
        <v>232</v>
      </c>
      <c r="D5486" s="20" t="s">
        <v>17</v>
      </c>
      <c r="E5486" s="7" t="s">
        <v>15</v>
      </c>
      <c r="F5486" s="7" t="s">
        <v>56</v>
      </c>
      <c r="G5486" s="11">
        <v>25.2</v>
      </c>
      <c r="H5486" s="8">
        <v>9.3000000000000007</v>
      </c>
      <c r="I5486" s="26">
        <v>1</v>
      </c>
      <c r="J5486" s="10">
        <v>0.23436000000000001</v>
      </c>
      <c r="K5486" s="17">
        <v>1</v>
      </c>
      <c r="L5486" s="18">
        <v>0.23436000000000001</v>
      </c>
      <c r="M5486" s="19">
        <v>0</v>
      </c>
      <c r="N5486" s="13">
        <v>0</v>
      </c>
      <c r="O5486" s="9">
        <v>9.1</v>
      </c>
      <c r="P5486" s="2">
        <v>1</v>
      </c>
      <c r="Q5486" s="2" t="s">
        <v>213</v>
      </c>
      <c r="R5486" s="213"/>
      <c r="S5486" s="213"/>
    </row>
    <row r="5487" spans="1:19">
      <c r="A5487" s="42" t="s">
        <v>77</v>
      </c>
      <c r="B5487" s="3" t="s">
        <v>68</v>
      </c>
      <c r="C5487" s="3">
        <v>312</v>
      </c>
      <c r="D5487" s="20" t="s">
        <v>17</v>
      </c>
      <c r="E5487" s="7" t="s">
        <v>15</v>
      </c>
      <c r="F5487" s="7" t="s">
        <v>56</v>
      </c>
      <c r="G5487" s="11">
        <v>25.2</v>
      </c>
      <c r="H5487" s="8">
        <v>8.5</v>
      </c>
      <c r="I5487" s="26">
        <v>1</v>
      </c>
      <c r="J5487" s="10">
        <v>0.2142</v>
      </c>
      <c r="K5487" s="17">
        <v>1</v>
      </c>
      <c r="L5487" s="18">
        <v>0.2142</v>
      </c>
      <c r="M5487" s="19">
        <v>0</v>
      </c>
      <c r="N5487" s="13">
        <v>0</v>
      </c>
      <c r="O5487" s="9" t="s">
        <v>373</v>
      </c>
      <c r="P5487" s="2">
        <v>1</v>
      </c>
      <c r="Q5487" s="2"/>
      <c r="R5487" s="213"/>
      <c r="S5487" s="213"/>
    </row>
    <row r="5488" spans="1:19">
      <c r="A5488" s="42" t="s">
        <v>77</v>
      </c>
      <c r="B5488" s="3" t="s">
        <v>68</v>
      </c>
      <c r="C5488" s="3">
        <v>312</v>
      </c>
      <c r="D5488" s="20" t="s">
        <v>17</v>
      </c>
      <c r="E5488" s="7" t="s">
        <v>15</v>
      </c>
      <c r="F5488" s="7" t="s">
        <v>56</v>
      </c>
      <c r="G5488" s="11">
        <v>25.2</v>
      </c>
      <c r="H5488" s="8">
        <v>9.1999999999999993</v>
      </c>
      <c r="I5488" s="26">
        <v>1</v>
      </c>
      <c r="J5488" s="10">
        <v>0.23183999999999996</v>
      </c>
      <c r="K5488" s="17">
        <v>1</v>
      </c>
      <c r="L5488" s="18">
        <v>0.23183999999999996</v>
      </c>
      <c r="M5488" s="19">
        <v>0</v>
      </c>
      <c r="N5488" s="13">
        <v>0</v>
      </c>
      <c r="O5488" s="9">
        <v>9.1</v>
      </c>
      <c r="P5488" s="2">
        <v>1</v>
      </c>
      <c r="Q5488" s="2" t="s">
        <v>213</v>
      </c>
      <c r="R5488" s="213"/>
      <c r="S5488" s="213"/>
    </row>
    <row r="5489" spans="1:19">
      <c r="A5489" s="42" t="s">
        <v>77</v>
      </c>
      <c r="B5489" s="3" t="s">
        <v>68</v>
      </c>
      <c r="C5489" s="3">
        <v>312</v>
      </c>
      <c r="D5489" s="20" t="s">
        <v>17</v>
      </c>
      <c r="E5489" s="7" t="s">
        <v>15</v>
      </c>
      <c r="F5489" s="7" t="s">
        <v>56</v>
      </c>
      <c r="G5489" s="11">
        <v>25.2</v>
      </c>
      <c r="H5489" s="8">
        <v>9.4</v>
      </c>
      <c r="I5489" s="26">
        <v>3</v>
      </c>
      <c r="J5489" s="10">
        <v>0.71063999999999994</v>
      </c>
      <c r="K5489" s="17">
        <v>3</v>
      </c>
      <c r="L5489" s="18">
        <v>0.71064000000000005</v>
      </c>
      <c r="M5489" s="19">
        <v>0</v>
      </c>
      <c r="N5489" s="13">
        <v>0</v>
      </c>
      <c r="O5489" s="9">
        <v>9.1</v>
      </c>
      <c r="P5489" s="2">
        <v>3</v>
      </c>
      <c r="Q5489" s="2" t="s">
        <v>213</v>
      </c>
      <c r="R5489" s="213"/>
      <c r="S5489" s="213"/>
    </row>
    <row r="5490" spans="1:19">
      <c r="A5490" s="42" t="s">
        <v>77</v>
      </c>
      <c r="B5490" s="3" t="s">
        <v>68</v>
      </c>
      <c r="C5490" s="3">
        <v>348</v>
      </c>
      <c r="D5490" s="20" t="s">
        <v>17</v>
      </c>
      <c r="E5490" s="7" t="s">
        <v>15</v>
      </c>
      <c r="F5490" s="7" t="s">
        <v>56</v>
      </c>
      <c r="G5490" s="11">
        <v>25.2</v>
      </c>
      <c r="H5490" s="8">
        <v>11.2</v>
      </c>
      <c r="I5490" s="26">
        <v>1</v>
      </c>
      <c r="J5490" s="10">
        <v>0.28223999999999994</v>
      </c>
      <c r="K5490" s="17">
        <v>1</v>
      </c>
      <c r="L5490" s="18">
        <v>0.28223999999999994</v>
      </c>
      <c r="M5490" s="19">
        <v>0</v>
      </c>
      <c r="N5490" s="13">
        <v>0</v>
      </c>
      <c r="O5490" s="9">
        <v>10.5</v>
      </c>
      <c r="P5490" s="2">
        <v>1</v>
      </c>
      <c r="Q5490" s="2" t="s">
        <v>196</v>
      </c>
      <c r="R5490" s="213"/>
      <c r="S5490" s="213"/>
    </row>
    <row r="5491" spans="1:19">
      <c r="A5491" s="44" t="s">
        <v>78</v>
      </c>
      <c r="B5491" s="3" t="s">
        <v>80</v>
      </c>
      <c r="C5491" s="3">
        <v>7</v>
      </c>
      <c r="D5491" s="20" t="s">
        <v>17</v>
      </c>
      <c r="E5491" s="7" t="s">
        <v>15</v>
      </c>
      <c r="F5491" s="7" t="s">
        <v>56</v>
      </c>
      <c r="G5491" s="11">
        <v>25.2</v>
      </c>
      <c r="H5491" s="8">
        <v>10.5</v>
      </c>
      <c r="I5491" s="26">
        <v>1</v>
      </c>
      <c r="J5491" s="10">
        <v>0.26459999999999995</v>
      </c>
      <c r="K5491" s="17">
        <v>1</v>
      </c>
      <c r="L5491" s="18">
        <v>0.26459999999999995</v>
      </c>
      <c r="M5491" s="19">
        <v>0</v>
      </c>
      <c r="N5491" s="13">
        <v>0</v>
      </c>
      <c r="O5491" s="9">
        <v>9.6</v>
      </c>
      <c r="P5491" s="45">
        <v>1</v>
      </c>
      <c r="Q5491" s="2" t="s">
        <v>685</v>
      </c>
      <c r="R5491" s="213"/>
      <c r="S5491" s="213"/>
    </row>
    <row r="5492" spans="1:19">
      <c r="A5492" s="44" t="s">
        <v>78</v>
      </c>
      <c r="B5492" s="3" t="s">
        <v>80</v>
      </c>
      <c r="C5492" s="3">
        <v>7</v>
      </c>
      <c r="D5492" s="20" t="s">
        <v>17</v>
      </c>
      <c r="E5492" s="7" t="s">
        <v>15</v>
      </c>
      <c r="F5492" s="7" t="s">
        <v>56</v>
      </c>
      <c r="G5492" s="11">
        <v>25.2</v>
      </c>
      <c r="H5492" s="8">
        <v>11.6</v>
      </c>
      <c r="I5492" s="26">
        <v>2</v>
      </c>
      <c r="J5492" s="10">
        <v>0.58463999999999994</v>
      </c>
      <c r="K5492" s="17">
        <v>2</v>
      </c>
      <c r="L5492" s="18">
        <v>0.58463999999999994</v>
      </c>
      <c r="M5492" s="19">
        <v>0</v>
      </c>
      <c r="N5492" s="13">
        <v>0</v>
      </c>
      <c r="O5492" s="9">
        <v>11.6</v>
      </c>
      <c r="P5492" s="45">
        <v>2</v>
      </c>
      <c r="Q5492" s="2" t="s">
        <v>685</v>
      </c>
      <c r="R5492" s="213"/>
      <c r="S5492" s="213"/>
    </row>
    <row r="5493" spans="1:19">
      <c r="A5493" s="44" t="s">
        <v>78</v>
      </c>
      <c r="B5493" s="32" t="s">
        <v>80</v>
      </c>
      <c r="C5493" s="3">
        <v>1</v>
      </c>
      <c r="D5493" s="39" t="s">
        <v>17</v>
      </c>
      <c r="E5493" s="7" t="s">
        <v>15</v>
      </c>
      <c r="F5493" s="7" t="s">
        <v>56</v>
      </c>
      <c r="G5493" s="11">
        <v>25.2</v>
      </c>
      <c r="H5493" s="55">
        <v>5.5</v>
      </c>
      <c r="I5493" s="40">
        <v>3</v>
      </c>
      <c r="J5493" s="10">
        <v>0.41579999999999995</v>
      </c>
      <c r="K5493" s="17">
        <v>3</v>
      </c>
      <c r="L5493" s="18">
        <v>0.4158</v>
      </c>
      <c r="M5493" s="19">
        <v>0</v>
      </c>
      <c r="N5493" s="13">
        <v>0</v>
      </c>
      <c r="O5493" s="32"/>
      <c r="P5493" s="32"/>
      <c r="Q5493" s="189">
        <v>5.5</v>
      </c>
      <c r="R5493" s="156">
        <v>3</v>
      </c>
      <c r="S5493" s="156" t="s">
        <v>717</v>
      </c>
    </row>
    <row r="5494" spans="1:19">
      <c r="A5494" s="44" t="s">
        <v>78</v>
      </c>
      <c r="B5494" s="32" t="s">
        <v>80</v>
      </c>
      <c r="C5494" s="3">
        <v>1</v>
      </c>
      <c r="D5494" s="39" t="s">
        <v>17</v>
      </c>
      <c r="E5494" s="7" t="s">
        <v>15</v>
      </c>
      <c r="F5494" s="7" t="s">
        <v>56</v>
      </c>
      <c r="G5494" s="11">
        <v>25.2</v>
      </c>
      <c r="H5494" s="55">
        <v>6</v>
      </c>
      <c r="I5494" s="40">
        <v>2</v>
      </c>
      <c r="J5494" s="10">
        <v>0.3024</v>
      </c>
      <c r="K5494" s="17">
        <v>2</v>
      </c>
      <c r="L5494" s="18">
        <v>0.3024</v>
      </c>
      <c r="M5494" s="19">
        <v>0</v>
      </c>
      <c r="N5494" s="13">
        <v>0</v>
      </c>
      <c r="O5494" s="32"/>
      <c r="P5494" s="32"/>
      <c r="Q5494" s="98">
        <v>6</v>
      </c>
      <c r="R5494" s="156">
        <v>2</v>
      </c>
      <c r="S5494" s="156" t="s">
        <v>717</v>
      </c>
    </row>
    <row r="5495" spans="1:19">
      <c r="M5495" s="215">
        <f>SUM(M5483:M5494)</f>
        <v>0</v>
      </c>
      <c r="R5495" s="215">
        <f>SUM(R5483:R5494)</f>
        <v>18</v>
      </c>
    </row>
    <row r="5497" spans="1:19">
      <c r="A5497" s="110" t="s">
        <v>308</v>
      </c>
      <c r="B5497" s="111" t="s">
        <v>309</v>
      </c>
      <c r="C5497" s="112" t="s">
        <v>228</v>
      </c>
      <c r="D5497" s="118" t="s">
        <v>17</v>
      </c>
      <c r="E5497" s="175" t="s">
        <v>15</v>
      </c>
      <c r="F5497" s="175" t="s">
        <v>56</v>
      </c>
      <c r="G5497" s="176">
        <v>25.2</v>
      </c>
      <c r="H5497" s="177">
        <v>9.5</v>
      </c>
      <c r="I5497" s="178">
        <v>6</v>
      </c>
      <c r="J5497" s="174">
        <f t="shared" ref="J5497:J5505" si="730">(G5497*H5497*I5497/1000)</f>
        <v>1.4364000000000001</v>
      </c>
      <c r="K5497" s="118"/>
      <c r="L5497" s="111">
        <v>6</v>
      </c>
      <c r="M5497" s="117">
        <f t="shared" ref="M5497:M5505" si="731">H5497*L5497*G5497/1000</f>
        <v>1.4363999999999999</v>
      </c>
      <c r="N5497" s="119">
        <f t="shared" ref="N5497:N5505" si="732">I5497-L5497</f>
        <v>0</v>
      </c>
      <c r="O5497" s="120">
        <f t="shared" ref="O5497:O5505" si="733">H5497*N5497*G5497/1000</f>
        <v>0</v>
      </c>
      <c r="P5497" s="111"/>
      <c r="Q5497" s="111"/>
      <c r="R5497" s="111"/>
    </row>
    <row r="5498" spans="1:19">
      <c r="A5498" s="110" t="s">
        <v>308</v>
      </c>
      <c r="B5498" s="111" t="s">
        <v>309</v>
      </c>
      <c r="C5498" s="112" t="s">
        <v>228</v>
      </c>
      <c r="D5498" s="118" t="s">
        <v>17</v>
      </c>
      <c r="E5498" s="175" t="s">
        <v>15</v>
      </c>
      <c r="F5498" s="175" t="s">
        <v>56</v>
      </c>
      <c r="G5498" s="176">
        <v>25.2</v>
      </c>
      <c r="H5498" s="177">
        <v>10</v>
      </c>
      <c r="I5498" s="178">
        <v>15</v>
      </c>
      <c r="J5498" s="174">
        <f t="shared" si="730"/>
        <v>3.78</v>
      </c>
      <c r="K5498" s="118"/>
      <c r="L5498" s="111">
        <v>15</v>
      </c>
      <c r="M5498" s="117">
        <f t="shared" si="731"/>
        <v>3.78</v>
      </c>
      <c r="N5498" s="119">
        <f t="shared" si="732"/>
        <v>0</v>
      </c>
      <c r="O5498" s="120">
        <f t="shared" si="733"/>
        <v>0</v>
      </c>
      <c r="P5498" s="111"/>
      <c r="Q5498" s="111"/>
      <c r="R5498" s="111"/>
    </row>
    <row r="5499" spans="1:19">
      <c r="A5499" s="110" t="s">
        <v>308</v>
      </c>
      <c r="B5499" s="111" t="s">
        <v>309</v>
      </c>
      <c r="C5499" s="112" t="s">
        <v>228</v>
      </c>
      <c r="D5499" s="118" t="s">
        <v>17</v>
      </c>
      <c r="E5499" s="175" t="s">
        <v>15</v>
      </c>
      <c r="F5499" s="175" t="s">
        <v>56</v>
      </c>
      <c r="G5499" s="176">
        <v>25.2</v>
      </c>
      <c r="H5499" s="177">
        <v>10.5</v>
      </c>
      <c r="I5499" s="178">
        <v>10</v>
      </c>
      <c r="J5499" s="174">
        <f t="shared" si="730"/>
        <v>2.6459999999999995</v>
      </c>
      <c r="K5499" s="118"/>
      <c r="L5499" s="111">
        <f>9+1</f>
        <v>10</v>
      </c>
      <c r="M5499" s="117">
        <f t="shared" si="731"/>
        <v>2.6459999999999999</v>
      </c>
      <c r="N5499" s="119">
        <f t="shared" si="732"/>
        <v>0</v>
      </c>
      <c r="O5499" s="120">
        <f t="shared" si="733"/>
        <v>0</v>
      </c>
      <c r="P5499" s="111"/>
      <c r="Q5499" s="111"/>
      <c r="R5499" s="111"/>
    </row>
    <row r="5500" spans="1:19">
      <c r="A5500" s="110" t="s">
        <v>308</v>
      </c>
      <c r="B5500" s="111" t="s">
        <v>309</v>
      </c>
      <c r="C5500" s="112" t="s">
        <v>228</v>
      </c>
      <c r="D5500" s="118" t="s">
        <v>17</v>
      </c>
      <c r="E5500" s="175" t="s">
        <v>15</v>
      </c>
      <c r="F5500" s="175" t="s">
        <v>56</v>
      </c>
      <c r="G5500" s="176">
        <v>25.2</v>
      </c>
      <c r="H5500" s="177">
        <v>12</v>
      </c>
      <c r="I5500" s="178">
        <v>22</v>
      </c>
      <c r="J5500" s="174">
        <f t="shared" si="730"/>
        <v>6.6527999999999992</v>
      </c>
      <c r="K5500" s="118"/>
      <c r="L5500" s="111">
        <f>21+1</f>
        <v>22</v>
      </c>
      <c r="M5500" s="117">
        <f t="shared" si="731"/>
        <v>6.6528</v>
      </c>
      <c r="N5500" s="119">
        <f t="shared" si="732"/>
        <v>0</v>
      </c>
      <c r="O5500" s="120">
        <f t="shared" si="733"/>
        <v>0</v>
      </c>
      <c r="P5500" s="94">
        <v>12</v>
      </c>
      <c r="Q5500" s="93">
        <v>1</v>
      </c>
      <c r="R5500" s="93" t="s">
        <v>718</v>
      </c>
    </row>
    <row r="5501" spans="1:19">
      <c r="A5501" s="110" t="s">
        <v>308</v>
      </c>
      <c r="B5501" s="111" t="s">
        <v>309</v>
      </c>
      <c r="C5501" s="112" t="s">
        <v>228</v>
      </c>
      <c r="D5501" s="118" t="s">
        <v>17</v>
      </c>
      <c r="E5501" s="175" t="s">
        <v>15</v>
      </c>
      <c r="F5501" s="175" t="s">
        <v>56</v>
      </c>
      <c r="G5501" s="176">
        <v>25.2</v>
      </c>
      <c r="H5501" s="177">
        <v>10</v>
      </c>
      <c r="I5501" s="178">
        <v>9</v>
      </c>
      <c r="J5501" s="174">
        <f t="shared" si="730"/>
        <v>2.2679999999999998</v>
      </c>
      <c r="K5501" s="118"/>
      <c r="L5501" s="111">
        <v>9</v>
      </c>
      <c r="M5501" s="117">
        <f t="shared" si="731"/>
        <v>2.2679999999999998</v>
      </c>
      <c r="N5501" s="119">
        <f t="shared" si="732"/>
        <v>0</v>
      </c>
      <c r="O5501" s="120">
        <f t="shared" si="733"/>
        <v>0</v>
      </c>
      <c r="P5501" s="159"/>
      <c r="Q5501" s="111"/>
      <c r="R5501" s="111"/>
    </row>
    <row r="5502" spans="1:19">
      <c r="A5502" s="110" t="s">
        <v>308</v>
      </c>
      <c r="B5502" s="111" t="s">
        <v>309</v>
      </c>
      <c r="C5502" s="112" t="s">
        <v>228</v>
      </c>
      <c r="D5502" s="118" t="s">
        <v>17</v>
      </c>
      <c r="E5502" s="175" t="s">
        <v>15</v>
      </c>
      <c r="F5502" s="175" t="s">
        <v>56</v>
      </c>
      <c r="G5502" s="176">
        <v>25.2</v>
      </c>
      <c r="H5502" s="177">
        <v>9.1</v>
      </c>
      <c r="I5502" s="178">
        <v>12</v>
      </c>
      <c r="J5502" s="174">
        <f t="shared" si="730"/>
        <v>2.7518400000000001</v>
      </c>
      <c r="K5502" s="118"/>
      <c r="L5502" s="111">
        <v>12</v>
      </c>
      <c r="M5502" s="117">
        <f t="shared" si="731"/>
        <v>2.7518399999999996</v>
      </c>
      <c r="N5502" s="119">
        <f t="shared" si="732"/>
        <v>0</v>
      </c>
      <c r="O5502" s="120">
        <f t="shared" si="733"/>
        <v>0</v>
      </c>
      <c r="P5502" s="159"/>
      <c r="Q5502" s="111"/>
      <c r="R5502" s="111"/>
    </row>
    <row r="5503" spans="1:19">
      <c r="A5503" s="110" t="s">
        <v>308</v>
      </c>
      <c r="B5503" s="111" t="s">
        <v>309</v>
      </c>
      <c r="C5503" s="112" t="s">
        <v>228</v>
      </c>
      <c r="D5503" s="118" t="s">
        <v>17</v>
      </c>
      <c r="E5503" s="175" t="s">
        <v>15</v>
      </c>
      <c r="F5503" s="175" t="s">
        <v>56</v>
      </c>
      <c r="G5503" s="176">
        <v>25.2</v>
      </c>
      <c r="H5503" s="177">
        <v>9.6999999999999993</v>
      </c>
      <c r="I5503" s="178">
        <v>9</v>
      </c>
      <c r="J5503" s="174">
        <f t="shared" si="730"/>
        <v>2.1999599999999995</v>
      </c>
      <c r="K5503" s="118"/>
      <c r="L5503" s="111">
        <v>9</v>
      </c>
      <c r="M5503" s="117">
        <f t="shared" si="731"/>
        <v>2.1999599999999999</v>
      </c>
      <c r="N5503" s="119">
        <f t="shared" si="732"/>
        <v>0</v>
      </c>
      <c r="O5503" s="120">
        <f t="shared" si="733"/>
        <v>0</v>
      </c>
      <c r="P5503" s="159"/>
      <c r="Q5503" s="111"/>
      <c r="R5503" s="111"/>
    </row>
    <row r="5504" spans="1:19">
      <c r="A5504" s="110" t="s">
        <v>308</v>
      </c>
      <c r="B5504" s="111" t="s">
        <v>309</v>
      </c>
      <c r="C5504" s="112" t="s">
        <v>228</v>
      </c>
      <c r="D5504" s="118" t="s">
        <v>17</v>
      </c>
      <c r="E5504" s="175" t="s">
        <v>15</v>
      </c>
      <c r="F5504" s="175" t="s">
        <v>56</v>
      </c>
      <c r="G5504" s="176">
        <v>25.2</v>
      </c>
      <c r="H5504" s="177">
        <v>7.2</v>
      </c>
      <c r="I5504" s="178">
        <v>1</v>
      </c>
      <c r="J5504" s="174">
        <f t="shared" si="730"/>
        <v>0.18143999999999999</v>
      </c>
      <c r="K5504" s="118"/>
      <c r="L5504" s="111">
        <v>1</v>
      </c>
      <c r="M5504" s="117">
        <f t="shared" si="731"/>
        <v>0.18143999999999999</v>
      </c>
      <c r="N5504" s="119">
        <f t="shared" si="732"/>
        <v>0</v>
      </c>
      <c r="O5504" s="120">
        <f t="shared" si="733"/>
        <v>0</v>
      </c>
      <c r="P5504" s="94">
        <v>7.2</v>
      </c>
      <c r="Q5504" s="93">
        <v>1</v>
      </c>
      <c r="R5504" s="93" t="s">
        <v>718</v>
      </c>
    </row>
    <row r="5505" spans="1:18">
      <c r="A5505" s="110" t="s">
        <v>308</v>
      </c>
      <c r="B5505" s="111" t="s">
        <v>309</v>
      </c>
      <c r="C5505" s="112" t="s">
        <v>228</v>
      </c>
      <c r="D5505" s="118" t="s">
        <v>17</v>
      </c>
      <c r="E5505" s="175" t="s">
        <v>15</v>
      </c>
      <c r="F5505" s="175" t="s">
        <v>56</v>
      </c>
      <c r="G5505" s="176">
        <v>25.2</v>
      </c>
      <c r="H5505" s="177">
        <v>9.1</v>
      </c>
      <c r="I5505" s="178">
        <v>1</v>
      </c>
      <c r="J5505" s="174">
        <f t="shared" si="730"/>
        <v>0.22932</v>
      </c>
      <c r="K5505" s="118"/>
      <c r="L5505" s="111">
        <v>1</v>
      </c>
      <c r="M5505" s="117">
        <f t="shared" si="731"/>
        <v>0.22932</v>
      </c>
      <c r="N5505" s="119">
        <f t="shared" si="732"/>
        <v>0</v>
      </c>
      <c r="O5505" s="120">
        <f t="shared" si="733"/>
        <v>0</v>
      </c>
      <c r="P5505" s="94">
        <v>9.1</v>
      </c>
      <c r="Q5505" s="93">
        <v>1</v>
      </c>
      <c r="R5505" s="93" t="s">
        <v>718</v>
      </c>
    </row>
    <row r="5506" spans="1:18">
      <c r="A5506" s="213"/>
      <c r="B5506" s="213"/>
      <c r="C5506" s="213"/>
      <c r="D5506" s="213"/>
      <c r="E5506" s="213"/>
      <c r="F5506" s="213"/>
      <c r="G5506" s="213"/>
      <c r="H5506" s="213"/>
      <c r="I5506" s="215">
        <f>SUM(I5497:I5505)</f>
        <v>85</v>
      </c>
      <c r="J5506" s="214">
        <f>SUM(J5497:J5505)</f>
        <v>22.145759999999999</v>
      </c>
      <c r="K5506" s="213"/>
      <c r="L5506" s="215">
        <f>SUM(L5497:L5505)</f>
        <v>85</v>
      </c>
      <c r="M5506" s="214">
        <f>SUM(M5497:M5505)</f>
        <v>22.145760000000003</v>
      </c>
      <c r="N5506" s="78">
        <f>SUM(N5497:N5505)</f>
        <v>0</v>
      </c>
      <c r="O5506" s="214">
        <f>SUM(O5497:O5505)</f>
        <v>0</v>
      </c>
      <c r="P5506" s="213"/>
      <c r="Q5506" s="80">
        <f>SUM(Q5497:Q5505)</f>
        <v>3</v>
      </c>
      <c r="R5506" s="213"/>
    </row>
    <row r="5508" spans="1:18">
      <c r="A5508" s="42" t="s">
        <v>77</v>
      </c>
      <c r="B5508" s="3" t="s">
        <v>68</v>
      </c>
      <c r="C5508" s="3">
        <v>222</v>
      </c>
      <c r="D5508" s="20" t="s">
        <v>17</v>
      </c>
      <c r="E5508" s="7" t="s">
        <v>15</v>
      </c>
      <c r="F5508" s="7" t="s">
        <v>58</v>
      </c>
      <c r="G5508" s="11">
        <v>29.5</v>
      </c>
      <c r="H5508" s="8">
        <v>12</v>
      </c>
      <c r="I5508" s="26">
        <v>1</v>
      </c>
      <c r="J5508" s="10">
        <v>0.35399999999999998</v>
      </c>
      <c r="K5508" s="17">
        <v>1</v>
      </c>
      <c r="L5508" s="18">
        <v>0.35399999999999998</v>
      </c>
      <c r="M5508" s="19">
        <v>0</v>
      </c>
      <c r="N5508" s="13">
        <v>0</v>
      </c>
      <c r="O5508" s="75">
        <v>12</v>
      </c>
      <c r="P5508" s="72">
        <v>1</v>
      </c>
      <c r="Q5508" s="72" t="s">
        <v>719</v>
      </c>
    </row>
    <row r="5511" spans="1:18">
      <c r="A5511" s="42" t="s">
        <v>77</v>
      </c>
      <c r="B5511" s="3" t="s">
        <v>68</v>
      </c>
      <c r="C5511" s="3">
        <v>212</v>
      </c>
      <c r="D5511" s="20" t="s">
        <v>17</v>
      </c>
      <c r="E5511" s="7" t="s">
        <v>15</v>
      </c>
      <c r="F5511" s="7" t="s">
        <v>59</v>
      </c>
      <c r="G5511" s="11">
        <v>38</v>
      </c>
      <c r="H5511" s="8">
        <v>5.2</v>
      </c>
      <c r="I5511" s="26">
        <v>3</v>
      </c>
      <c r="J5511" s="10">
        <v>0.59279999999999999</v>
      </c>
      <c r="K5511" s="17">
        <v>3</v>
      </c>
      <c r="L5511" s="18">
        <v>0.5928000000000001</v>
      </c>
      <c r="M5511" s="19">
        <v>0</v>
      </c>
      <c r="N5511" s="13">
        <v>0</v>
      </c>
      <c r="O5511" s="9">
        <v>5.2</v>
      </c>
      <c r="P5511" s="74">
        <v>3</v>
      </c>
      <c r="Q5511" s="74" t="s">
        <v>721</v>
      </c>
    </row>
    <row r="5512" spans="1:18">
      <c r="A5512" s="42" t="s">
        <v>77</v>
      </c>
      <c r="B5512" s="3" t="s">
        <v>68</v>
      </c>
      <c r="C5512" s="3">
        <v>213</v>
      </c>
      <c r="D5512" s="20" t="s">
        <v>17</v>
      </c>
      <c r="E5512" s="7" t="s">
        <v>15</v>
      </c>
      <c r="F5512" s="7" t="s">
        <v>59</v>
      </c>
      <c r="G5512" s="11">
        <v>38</v>
      </c>
      <c r="H5512" s="8">
        <v>6.4</v>
      </c>
      <c r="I5512" s="26">
        <v>1</v>
      </c>
      <c r="J5512" s="10">
        <v>0.24320000000000003</v>
      </c>
      <c r="K5512" s="17">
        <v>1</v>
      </c>
      <c r="L5512" s="18">
        <v>0.24320000000000003</v>
      </c>
      <c r="M5512" s="19">
        <v>0</v>
      </c>
      <c r="N5512" s="13">
        <v>0</v>
      </c>
      <c r="O5512" s="9">
        <v>6.4</v>
      </c>
      <c r="P5512" s="74">
        <v>1</v>
      </c>
      <c r="Q5512" s="74" t="s">
        <v>721</v>
      </c>
    </row>
    <row r="5515" spans="1:18">
      <c r="A5515" s="42" t="s">
        <v>77</v>
      </c>
      <c r="B5515" s="3" t="s">
        <v>68</v>
      </c>
      <c r="C5515" s="3">
        <v>258</v>
      </c>
      <c r="D5515" s="20" t="s">
        <v>17</v>
      </c>
      <c r="E5515" s="7" t="s">
        <v>15</v>
      </c>
      <c r="F5515" s="7" t="s">
        <v>16</v>
      </c>
      <c r="G5515" s="11">
        <v>5.77</v>
      </c>
      <c r="H5515" s="8">
        <v>8.4</v>
      </c>
      <c r="I5515" s="26">
        <v>1</v>
      </c>
      <c r="J5515" s="10">
        <v>4.8467999999999997E-2</v>
      </c>
      <c r="K5515" s="17">
        <v>1</v>
      </c>
      <c r="L5515" s="18">
        <v>4.8467999999999997E-2</v>
      </c>
      <c r="M5515" s="19">
        <v>0</v>
      </c>
      <c r="N5515" s="13">
        <v>0</v>
      </c>
      <c r="O5515" s="9"/>
      <c r="P5515" s="74">
        <v>1</v>
      </c>
      <c r="Q5515" s="74" t="s">
        <v>715</v>
      </c>
    </row>
    <row r="5516" spans="1:18">
      <c r="A5516" s="42" t="s">
        <v>77</v>
      </c>
      <c r="B5516" s="3" t="s">
        <v>68</v>
      </c>
      <c r="C5516" s="3">
        <v>258</v>
      </c>
      <c r="D5516" s="20" t="s">
        <v>17</v>
      </c>
      <c r="E5516" s="7" t="s">
        <v>15</v>
      </c>
      <c r="F5516" s="7" t="s">
        <v>16</v>
      </c>
      <c r="G5516" s="11">
        <v>5.77</v>
      </c>
      <c r="H5516" s="8">
        <v>9.6</v>
      </c>
      <c r="I5516" s="26">
        <v>1</v>
      </c>
      <c r="J5516" s="10">
        <v>5.5391999999999997E-2</v>
      </c>
      <c r="K5516" s="17">
        <v>1</v>
      </c>
      <c r="L5516" s="18">
        <v>5.5391999999999997E-2</v>
      </c>
      <c r="M5516" s="19">
        <v>0</v>
      </c>
      <c r="N5516" s="13">
        <v>0</v>
      </c>
      <c r="O5516" s="9"/>
      <c r="P5516" s="74">
        <v>1</v>
      </c>
      <c r="Q5516" s="74" t="s">
        <v>715</v>
      </c>
    </row>
    <row r="5517" spans="1:18">
      <c r="A5517" s="42" t="s">
        <v>78</v>
      </c>
      <c r="B5517" s="3"/>
      <c r="C5517" s="3">
        <v>4</v>
      </c>
      <c r="D5517" s="20" t="s">
        <v>17</v>
      </c>
      <c r="E5517" s="7" t="s">
        <v>15</v>
      </c>
      <c r="F5517" s="7" t="s">
        <v>16</v>
      </c>
      <c r="G5517" s="11">
        <v>5.77</v>
      </c>
      <c r="H5517" s="8">
        <v>7</v>
      </c>
      <c r="I5517" s="26">
        <v>2</v>
      </c>
      <c r="J5517" s="10">
        <v>8.0780000000000005E-2</v>
      </c>
      <c r="K5517" s="17"/>
      <c r="L5517" s="18">
        <v>0</v>
      </c>
      <c r="M5517" s="19">
        <v>2</v>
      </c>
      <c r="N5517" s="13">
        <v>8.0780000000000005E-2</v>
      </c>
      <c r="O5517" s="9"/>
      <c r="P5517" s="2"/>
      <c r="Q5517" s="2"/>
    </row>
    <row r="5518" spans="1:18">
      <c r="A5518" s="42" t="s">
        <v>78</v>
      </c>
      <c r="B5518" s="3"/>
      <c r="C5518" s="3">
        <v>78</v>
      </c>
      <c r="D5518" s="20" t="s">
        <v>17</v>
      </c>
      <c r="E5518" s="7" t="s">
        <v>15</v>
      </c>
      <c r="F5518" s="7" t="s">
        <v>16</v>
      </c>
      <c r="G5518" s="11">
        <v>5.77</v>
      </c>
      <c r="H5518" s="8">
        <v>8</v>
      </c>
      <c r="I5518" s="26">
        <v>1</v>
      </c>
      <c r="J5518" s="10">
        <v>4.616E-2</v>
      </c>
      <c r="K5518" s="17"/>
      <c r="L5518" s="18">
        <v>0</v>
      </c>
      <c r="M5518" s="19">
        <v>1</v>
      </c>
      <c r="N5518" s="13">
        <v>4.616E-2</v>
      </c>
      <c r="O5518" s="9"/>
      <c r="P5518" s="2"/>
      <c r="Q5518" s="2"/>
    </row>
    <row r="5519" spans="1:18">
      <c r="A5519" s="42" t="s">
        <v>78</v>
      </c>
      <c r="B5519" s="3"/>
      <c r="C5519" s="3">
        <v>78</v>
      </c>
      <c r="D5519" s="20" t="s">
        <v>17</v>
      </c>
      <c r="E5519" s="7" t="s">
        <v>15</v>
      </c>
      <c r="F5519" s="7" t="s">
        <v>16</v>
      </c>
      <c r="G5519" s="11">
        <v>5.77</v>
      </c>
      <c r="H5519" s="8">
        <v>7</v>
      </c>
      <c r="I5519" s="26">
        <v>1</v>
      </c>
      <c r="J5519" s="10">
        <v>4.0390000000000002E-2</v>
      </c>
      <c r="K5519" s="17"/>
      <c r="L5519" s="18">
        <v>0</v>
      </c>
      <c r="M5519" s="19">
        <v>1</v>
      </c>
      <c r="N5519" s="13">
        <v>4.0390000000000002E-2</v>
      </c>
      <c r="O5519" s="9"/>
      <c r="P5519" s="2"/>
      <c r="Q5519" s="2"/>
    </row>
    <row r="5520" spans="1:18">
      <c r="A5520" s="42" t="s">
        <v>78</v>
      </c>
      <c r="B5520" s="3"/>
      <c r="C5520" s="3">
        <v>80</v>
      </c>
      <c r="D5520" s="20" t="s">
        <v>17</v>
      </c>
      <c r="E5520" s="7" t="s">
        <v>15</v>
      </c>
      <c r="F5520" s="7" t="s">
        <v>16</v>
      </c>
      <c r="G5520" s="11">
        <v>5.77</v>
      </c>
      <c r="H5520" s="8">
        <v>6.5</v>
      </c>
      <c r="I5520" s="26">
        <v>1</v>
      </c>
      <c r="J5520" s="10">
        <v>3.7504999999999997E-2</v>
      </c>
      <c r="K5520" s="17"/>
      <c r="L5520" s="18">
        <v>0</v>
      </c>
      <c r="M5520" s="19">
        <v>1</v>
      </c>
      <c r="N5520" s="13">
        <v>3.7504999999999997E-2</v>
      </c>
      <c r="O5520" s="9"/>
      <c r="P5520" s="2"/>
      <c r="Q5520" s="2"/>
    </row>
    <row r="5521" spans="1:21">
      <c r="A5521" s="42" t="s">
        <v>78</v>
      </c>
      <c r="B5521" s="3"/>
      <c r="C5521" s="3">
        <v>80</v>
      </c>
      <c r="D5521" s="20" t="s">
        <v>17</v>
      </c>
      <c r="E5521" s="7" t="s">
        <v>15</v>
      </c>
      <c r="F5521" s="7" t="s">
        <v>16</v>
      </c>
      <c r="G5521" s="11">
        <v>5.77</v>
      </c>
      <c r="H5521" s="8">
        <v>7.75</v>
      </c>
      <c r="I5521" s="26">
        <v>2</v>
      </c>
      <c r="J5521" s="10">
        <v>8.9434999999999987E-2</v>
      </c>
      <c r="K5521" s="17"/>
      <c r="L5521" s="18">
        <v>0</v>
      </c>
      <c r="M5521" s="19">
        <v>2</v>
      </c>
      <c r="N5521" s="13">
        <v>8.9434999999999987E-2</v>
      </c>
      <c r="O5521" s="9"/>
      <c r="P5521" s="2"/>
      <c r="Q5521" s="2"/>
    </row>
    <row r="5522" spans="1:21">
      <c r="A5522" s="42" t="s">
        <v>78</v>
      </c>
      <c r="B5522" s="3"/>
      <c r="C5522" s="3">
        <v>80</v>
      </c>
      <c r="D5522" s="20" t="s">
        <v>17</v>
      </c>
      <c r="E5522" s="7" t="s">
        <v>15</v>
      </c>
      <c r="F5522" s="7" t="s">
        <v>16</v>
      </c>
      <c r="G5522" s="11">
        <v>5.77</v>
      </c>
      <c r="H5522" s="8">
        <v>8</v>
      </c>
      <c r="I5522" s="26">
        <v>1</v>
      </c>
      <c r="J5522" s="10">
        <v>4.616E-2</v>
      </c>
      <c r="K5522" s="17">
        <v>1</v>
      </c>
      <c r="L5522" s="18">
        <v>4.616E-2</v>
      </c>
      <c r="M5522" s="19">
        <v>0</v>
      </c>
      <c r="N5522" s="13">
        <v>0</v>
      </c>
      <c r="O5522" s="9"/>
      <c r="P5522" s="74">
        <v>1</v>
      </c>
      <c r="Q5522" s="74" t="s">
        <v>715</v>
      </c>
    </row>
    <row r="5523" spans="1:21">
      <c r="A5523" s="42" t="s">
        <v>78</v>
      </c>
      <c r="B5523" s="3"/>
      <c r="C5523" s="3">
        <v>80</v>
      </c>
      <c r="D5523" s="20" t="s">
        <v>17</v>
      </c>
      <c r="E5523" s="7" t="s">
        <v>15</v>
      </c>
      <c r="F5523" s="7" t="s">
        <v>16</v>
      </c>
      <c r="G5523" s="11">
        <v>5.77</v>
      </c>
      <c r="H5523" s="8">
        <v>8.1999999999999993</v>
      </c>
      <c r="I5523" s="26">
        <v>1</v>
      </c>
      <c r="J5523" s="10">
        <v>4.7313999999999995E-2</v>
      </c>
      <c r="K5523" s="17">
        <v>1</v>
      </c>
      <c r="L5523" s="18">
        <v>4.7313999999999995E-2</v>
      </c>
      <c r="M5523" s="19">
        <v>0</v>
      </c>
      <c r="N5523" s="13">
        <v>0</v>
      </c>
      <c r="O5523" s="9"/>
      <c r="P5523" s="74">
        <v>1</v>
      </c>
      <c r="Q5523" s="74" t="s">
        <v>715</v>
      </c>
    </row>
    <row r="5524" spans="1:21">
      <c r="A5524" s="42" t="s">
        <v>78</v>
      </c>
      <c r="B5524" s="3"/>
      <c r="C5524" s="3"/>
      <c r="D5524" s="24" t="s">
        <v>17</v>
      </c>
      <c r="E5524" s="60" t="s">
        <v>15</v>
      </c>
      <c r="F5524" s="60" t="s">
        <v>16</v>
      </c>
      <c r="G5524" s="61">
        <v>5.77</v>
      </c>
      <c r="H5524" s="21">
        <v>10</v>
      </c>
      <c r="I5524" s="22">
        <v>1</v>
      </c>
      <c r="J5524" s="62">
        <v>5.7699999999999994E-2</v>
      </c>
      <c r="K5524" s="17"/>
      <c r="L5524" s="18">
        <v>0</v>
      </c>
      <c r="M5524" s="19">
        <v>1</v>
      </c>
      <c r="N5524" s="13">
        <v>5.7699999999999994E-2</v>
      </c>
      <c r="O5524" s="9"/>
      <c r="P5524" s="74"/>
      <c r="Q5524" s="74"/>
    </row>
    <row r="5525" spans="1:21">
      <c r="A5525" s="44" t="s">
        <v>78</v>
      </c>
      <c r="B5525" s="3" t="s">
        <v>80</v>
      </c>
      <c r="C5525" s="3">
        <v>2</v>
      </c>
      <c r="D5525" s="20" t="s">
        <v>17</v>
      </c>
      <c r="E5525" s="7" t="s">
        <v>15</v>
      </c>
      <c r="F5525" s="7" t="s">
        <v>16</v>
      </c>
      <c r="G5525" s="11">
        <v>5.77</v>
      </c>
      <c r="H5525" s="8">
        <v>10</v>
      </c>
      <c r="I5525" s="26">
        <v>1</v>
      </c>
      <c r="J5525" s="10">
        <v>5.7699999999999994E-2</v>
      </c>
      <c r="K5525" s="17">
        <v>1</v>
      </c>
      <c r="L5525" s="18">
        <v>5.7699999999999994E-2</v>
      </c>
      <c r="M5525" s="19">
        <v>0</v>
      </c>
      <c r="N5525" s="13">
        <v>0</v>
      </c>
      <c r="O5525" s="9"/>
      <c r="P5525" s="72">
        <v>1</v>
      </c>
      <c r="Q5525" s="74" t="s">
        <v>715</v>
      </c>
    </row>
    <row r="5526" spans="1:21">
      <c r="M5526" s="215">
        <f>SUM(M5515:M5525)</f>
        <v>8</v>
      </c>
      <c r="P5526" s="215">
        <f>SUM(P5515:P5525)</f>
        <v>5</v>
      </c>
      <c r="Q5526" s="77"/>
    </row>
    <row r="5529" spans="1:21">
      <c r="A5529" s="42" t="s">
        <v>77</v>
      </c>
      <c r="B5529" s="3" t="s">
        <v>68</v>
      </c>
      <c r="C5529" s="3">
        <v>413</v>
      </c>
      <c r="D5529" s="20" t="s">
        <v>17</v>
      </c>
      <c r="E5529" s="7" t="s">
        <v>15</v>
      </c>
      <c r="F5529" s="7" t="s">
        <v>21</v>
      </c>
      <c r="G5529" s="11">
        <v>6.97</v>
      </c>
      <c r="H5529" s="8">
        <v>7.5</v>
      </c>
      <c r="I5529" s="26">
        <v>3</v>
      </c>
      <c r="J5529" s="10">
        <v>0.15682499999999999</v>
      </c>
      <c r="K5529" s="17">
        <v>3</v>
      </c>
      <c r="L5529" s="18">
        <v>0.15682499999999999</v>
      </c>
      <c r="M5529" s="19">
        <v>0</v>
      </c>
      <c r="N5529" s="13">
        <v>0</v>
      </c>
      <c r="O5529" s="34">
        <v>6.5</v>
      </c>
      <c r="P5529" s="35">
        <v>1</v>
      </c>
      <c r="Q5529" s="53"/>
      <c r="R5529" s="170">
        <v>2</v>
      </c>
      <c r="S5529" s="170" t="s">
        <v>717</v>
      </c>
    </row>
    <row r="5530" spans="1:21">
      <c r="A5530" s="42" t="s">
        <v>77</v>
      </c>
      <c r="B5530" s="3" t="s">
        <v>68</v>
      </c>
      <c r="C5530" s="3">
        <v>422</v>
      </c>
      <c r="D5530" s="20" t="s">
        <v>17</v>
      </c>
      <c r="E5530" s="7" t="s">
        <v>15</v>
      </c>
      <c r="F5530" s="7" t="s">
        <v>21</v>
      </c>
      <c r="G5530" s="11">
        <v>6.97</v>
      </c>
      <c r="H5530" s="8">
        <v>7.85</v>
      </c>
      <c r="I5530" s="26">
        <v>1</v>
      </c>
      <c r="J5530" s="10">
        <v>5.4714499999999992E-2</v>
      </c>
      <c r="K5530" s="17">
        <v>1</v>
      </c>
      <c r="L5530" s="18">
        <v>5.4714499999999992E-2</v>
      </c>
      <c r="M5530" s="19">
        <v>0</v>
      </c>
      <c r="N5530" s="13">
        <v>0</v>
      </c>
      <c r="O5530" s="9"/>
      <c r="P5530" s="2"/>
      <c r="Q5530" s="13"/>
      <c r="R5530" s="170">
        <v>1</v>
      </c>
      <c r="S5530" s="170" t="s">
        <v>717</v>
      </c>
    </row>
    <row r="5533" spans="1:21">
      <c r="A5533" s="42" t="s">
        <v>77</v>
      </c>
      <c r="B5533" s="3" t="s">
        <v>68</v>
      </c>
      <c r="C5533" s="3">
        <v>50</v>
      </c>
      <c r="D5533" s="20" t="s">
        <v>17</v>
      </c>
      <c r="E5533" s="7" t="s">
        <v>15</v>
      </c>
      <c r="F5533" s="7" t="s">
        <v>32</v>
      </c>
      <c r="G5533" s="11">
        <v>8.32</v>
      </c>
      <c r="H5533" s="8">
        <v>6</v>
      </c>
      <c r="I5533" s="26">
        <v>1</v>
      </c>
      <c r="J5533" s="10">
        <v>4.9919999999999999E-2</v>
      </c>
      <c r="K5533" s="17">
        <v>1</v>
      </c>
      <c r="L5533" s="18">
        <v>4.9919999999999999E-2</v>
      </c>
      <c r="M5533" s="19">
        <v>0</v>
      </c>
      <c r="N5533" s="13">
        <v>0</v>
      </c>
      <c r="O5533" s="9"/>
      <c r="P5533" s="2"/>
      <c r="Q5533" s="2"/>
      <c r="R5533" s="213"/>
      <c r="S5533" s="213"/>
      <c r="T5533" s="77">
        <v>1</v>
      </c>
      <c r="U5533" s="77" t="s">
        <v>713</v>
      </c>
    </row>
    <row r="5534" spans="1:21">
      <c r="A5534" s="42" t="s">
        <v>77</v>
      </c>
      <c r="B5534" s="3" t="s">
        <v>68</v>
      </c>
      <c r="C5534" s="3">
        <v>319</v>
      </c>
      <c r="D5534" s="20" t="s">
        <v>17</v>
      </c>
      <c r="E5534" s="7" t="s">
        <v>15</v>
      </c>
      <c r="F5534" s="7" t="s">
        <v>32</v>
      </c>
      <c r="G5534" s="11">
        <v>8.32</v>
      </c>
      <c r="H5534" s="8">
        <v>11.6</v>
      </c>
      <c r="I5534" s="26">
        <v>29</v>
      </c>
      <c r="J5534" s="10">
        <v>2.798848</v>
      </c>
      <c r="K5534" s="17">
        <v>29</v>
      </c>
      <c r="L5534" s="18">
        <v>2.798848</v>
      </c>
      <c r="M5534" s="19">
        <v>0</v>
      </c>
      <c r="N5534" s="13">
        <v>0</v>
      </c>
      <c r="O5534" s="9">
        <v>11.5</v>
      </c>
      <c r="P5534" s="35">
        <v>1</v>
      </c>
      <c r="Q5534" s="2" t="s">
        <v>213</v>
      </c>
      <c r="R5534" s="9">
        <v>11</v>
      </c>
      <c r="S5534" s="2">
        <v>1</v>
      </c>
      <c r="T5534" s="77">
        <v>1</v>
      </c>
      <c r="U5534" s="77" t="s">
        <v>713</v>
      </c>
    </row>
    <row r="5535" spans="1:21">
      <c r="A5535" s="42" t="s">
        <v>77</v>
      </c>
      <c r="B5535" s="3" t="s">
        <v>68</v>
      </c>
      <c r="C5535" s="3">
        <v>398</v>
      </c>
      <c r="D5535" s="20" t="s">
        <v>17</v>
      </c>
      <c r="E5535" s="7" t="s">
        <v>15</v>
      </c>
      <c r="F5535" s="7" t="s">
        <v>32</v>
      </c>
      <c r="G5535" s="11">
        <v>8.32</v>
      </c>
      <c r="H5535" s="8">
        <v>6.4</v>
      </c>
      <c r="I5535" s="26">
        <v>1</v>
      </c>
      <c r="J5535" s="10">
        <v>5.3248000000000004E-2</v>
      </c>
      <c r="K5535" s="22">
        <v>1</v>
      </c>
      <c r="L5535" s="18">
        <v>5.3248000000000004E-2</v>
      </c>
      <c r="M5535" s="19">
        <v>0</v>
      </c>
      <c r="N5535" s="13">
        <v>0</v>
      </c>
      <c r="O5535" s="9"/>
      <c r="P5535" s="2"/>
      <c r="Q5535" s="2"/>
      <c r="R5535" s="213"/>
      <c r="S5535" s="213"/>
      <c r="T5535" s="77">
        <v>1</v>
      </c>
      <c r="U5535" s="77" t="s">
        <v>713</v>
      </c>
    </row>
    <row r="5538" spans="1:18">
      <c r="A5538" s="42" t="s">
        <v>77</v>
      </c>
      <c r="B5538" s="3" t="s">
        <v>68</v>
      </c>
      <c r="C5538" s="3">
        <v>23</v>
      </c>
      <c r="D5538" s="20" t="s">
        <v>17</v>
      </c>
      <c r="E5538" s="7" t="s">
        <v>15</v>
      </c>
      <c r="F5538" s="7" t="s">
        <v>34</v>
      </c>
      <c r="G5538" s="11">
        <v>9.61</v>
      </c>
      <c r="H5538" s="8">
        <v>6.25</v>
      </c>
      <c r="I5538" s="26">
        <v>8</v>
      </c>
      <c r="J5538" s="10">
        <v>0.48049999999999998</v>
      </c>
      <c r="K5538" s="17">
        <v>8</v>
      </c>
      <c r="L5538" s="18">
        <v>0.48049999999999998</v>
      </c>
      <c r="M5538" s="19">
        <v>0</v>
      </c>
      <c r="N5538" s="13">
        <v>0</v>
      </c>
      <c r="O5538" s="9"/>
      <c r="P5538" s="74">
        <v>8</v>
      </c>
      <c r="Q5538" s="74" t="s">
        <v>721</v>
      </c>
    </row>
    <row r="5539" spans="1:18">
      <c r="A5539" s="42" t="s">
        <v>77</v>
      </c>
      <c r="B5539" s="3" t="s">
        <v>68</v>
      </c>
      <c r="C5539" s="3">
        <v>426</v>
      </c>
      <c r="D5539" s="20" t="s">
        <v>17</v>
      </c>
      <c r="E5539" s="7" t="s">
        <v>15</v>
      </c>
      <c r="F5539" s="7" t="s">
        <v>34</v>
      </c>
      <c r="G5539" s="11">
        <v>9.61</v>
      </c>
      <c r="H5539" s="8">
        <v>6.1</v>
      </c>
      <c r="I5539" s="26">
        <v>1</v>
      </c>
      <c r="J5539" s="10">
        <v>5.8620999999999993E-2</v>
      </c>
      <c r="K5539" s="17">
        <v>1</v>
      </c>
      <c r="L5539" s="18">
        <v>5.8620999999999993E-2</v>
      </c>
      <c r="M5539" s="19">
        <v>0</v>
      </c>
      <c r="N5539" s="13">
        <v>0</v>
      </c>
      <c r="O5539" s="9"/>
      <c r="P5539" s="74">
        <v>1</v>
      </c>
      <c r="Q5539" s="74" t="s">
        <v>721</v>
      </c>
    </row>
    <row r="5540" spans="1:18">
      <c r="A5540" s="42" t="s">
        <v>77</v>
      </c>
      <c r="B5540" s="3" t="s">
        <v>68</v>
      </c>
      <c r="C5540" s="3">
        <v>426</v>
      </c>
      <c r="D5540" s="20" t="s">
        <v>17</v>
      </c>
      <c r="E5540" s="7" t="s">
        <v>15</v>
      </c>
      <c r="F5540" s="7" t="s">
        <v>34</v>
      </c>
      <c r="G5540" s="11">
        <v>9.61</v>
      </c>
      <c r="H5540" s="8">
        <v>8</v>
      </c>
      <c r="I5540" s="26">
        <v>1</v>
      </c>
      <c r="J5540" s="10">
        <v>7.687999999999999E-2</v>
      </c>
      <c r="K5540" s="17">
        <v>1</v>
      </c>
      <c r="L5540" s="18">
        <v>7.687999999999999E-2</v>
      </c>
      <c r="M5540" s="19">
        <v>0</v>
      </c>
      <c r="N5540" s="13">
        <v>0</v>
      </c>
      <c r="O5540" s="9"/>
      <c r="P5540" s="74">
        <v>1</v>
      </c>
      <c r="Q5540" s="74" t="s">
        <v>721</v>
      </c>
    </row>
    <row r="5541" spans="1:18">
      <c r="P5541" s="76">
        <f>SUM(P5538:P5540)</f>
        <v>10</v>
      </c>
    </row>
    <row r="5543" spans="1:18" ht="15.6">
      <c r="A5543" s="110" t="s">
        <v>324</v>
      </c>
      <c r="B5543" s="111" t="s">
        <v>232</v>
      </c>
      <c r="C5543" s="112" t="s">
        <v>228</v>
      </c>
      <c r="D5543" s="113" t="s">
        <v>24</v>
      </c>
      <c r="E5543" s="216" t="s">
        <v>14</v>
      </c>
      <c r="F5543" s="216" t="s">
        <v>43</v>
      </c>
      <c r="G5543" s="217">
        <v>15.04</v>
      </c>
      <c r="H5543" s="218">
        <v>11</v>
      </c>
      <c r="I5543" s="219">
        <v>2</v>
      </c>
      <c r="J5543" s="220">
        <f t="shared" ref="J5543:J5545" si="734">(G5543*H5543*I5543/1000)</f>
        <v>0.33088000000000001</v>
      </c>
      <c r="K5543" s="118"/>
      <c r="L5543" s="111">
        <v>2</v>
      </c>
      <c r="M5543" s="117">
        <f t="shared" ref="M5543:M5545" si="735">H5543*L5543*G5543/1000</f>
        <v>0.33088000000000001</v>
      </c>
      <c r="N5543" s="119">
        <f t="shared" ref="N5543:N5545" si="736">I5543-L5543</f>
        <v>0</v>
      </c>
      <c r="O5543" s="120">
        <f t="shared" ref="O5543:O5545" si="737">H5543*N5543*G5543/1000</f>
        <v>0</v>
      </c>
      <c r="P5543" s="111"/>
      <c r="Q5543" s="111"/>
      <c r="R5543" s="111"/>
    </row>
    <row r="5544" spans="1:18" ht="15.6">
      <c r="A5544" s="110" t="s">
        <v>324</v>
      </c>
      <c r="B5544" s="111" t="s">
        <v>232</v>
      </c>
      <c r="C5544" s="112" t="s">
        <v>228</v>
      </c>
      <c r="D5544" s="113" t="s">
        <v>24</v>
      </c>
      <c r="E5544" s="216" t="s">
        <v>14</v>
      </c>
      <c r="F5544" s="216" t="s">
        <v>43</v>
      </c>
      <c r="G5544" s="217">
        <v>15.04</v>
      </c>
      <c r="H5544" s="218">
        <v>12</v>
      </c>
      <c r="I5544" s="219">
        <v>15</v>
      </c>
      <c r="J5544" s="220">
        <f t="shared" si="734"/>
        <v>2.7071999999999998</v>
      </c>
      <c r="K5544" s="118"/>
      <c r="L5544" s="111">
        <v>7</v>
      </c>
      <c r="M5544" s="117">
        <f t="shared" si="735"/>
        <v>1.2633599999999998</v>
      </c>
      <c r="N5544" s="119">
        <f t="shared" si="736"/>
        <v>8</v>
      </c>
      <c r="O5544" s="120">
        <f t="shared" si="737"/>
        <v>1.44384</v>
      </c>
      <c r="P5544" s="72">
        <v>12</v>
      </c>
      <c r="Q5544" s="72">
        <v>7</v>
      </c>
      <c r="R5544" s="72" t="s">
        <v>722</v>
      </c>
    </row>
    <row r="5545" spans="1:18" ht="15.6">
      <c r="A5545" s="110" t="s">
        <v>324</v>
      </c>
      <c r="B5545" s="111" t="s">
        <v>232</v>
      </c>
      <c r="C5545" s="112" t="s">
        <v>228</v>
      </c>
      <c r="D5545" s="113" t="s">
        <v>24</v>
      </c>
      <c r="E5545" s="216" t="s">
        <v>14</v>
      </c>
      <c r="F5545" s="216" t="s">
        <v>43</v>
      </c>
      <c r="G5545" s="217">
        <v>15.04</v>
      </c>
      <c r="H5545" s="218">
        <v>11</v>
      </c>
      <c r="I5545" s="219">
        <v>1</v>
      </c>
      <c r="J5545" s="220">
        <f t="shared" si="734"/>
        <v>0.16544</v>
      </c>
      <c r="K5545" s="118"/>
      <c r="L5545" s="111"/>
      <c r="M5545" s="117">
        <f t="shared" si="735"/>
        <v>0</v>
      </c>
      <c r="N5545" s="119">
        <f t="shared" si="736"/>
        <v>1</v>
      </c>
      <c r="O5545" s="120">
        <f t="shared" si="737"/>
        <v>0.16544</v>
      </c>
      <c r="P5545" s="111"/>
      <c r="Q5545" s="111"/>
      <c r="R5545" s="111"/>
    </row>
    <row r="5546" spans="1:18">
      <c r="A5546" s="213"/>
      <c r="B5546" s="213"/>
      <c r="C5546" s="213"/>
      <c r="D5546" s="213"/>
      <c r="E5546" s="213"/>
      <c r="F5546" s="213"/>
      <c r="G5546" s="213"/>
      <c r="H5546" s="213"/>
      <c r="I5546" s="215">
        <f>SUM(I5543:I5545)</f>
        <v>18</v>
      </c>
      <c r="J5546" s="214">
        <f>SUM(J5543:J5545)</f>
        <v>3.2035199999999997</v>
      </c>
      <c r="K5546" s="213"/>
      <c r="L5546" s="215">
        <f>SUM(L5543:L5545)</f>
        <v>9</v>
      </c>
      <c r="M5546" s="128">
        <f>SUM(M5543:M5545)</f>
        <v>1.5942399999999999</v>
      </c>
      <c r="N5546" s="78">
        <f>SUM(N5543:N5545)</f>
        <v>9</v>
      </c>
      <c r="O5546" s="128">
        <f>SUM(O5543:O5545)</f>
        <v>1.60928</v>
      </c>
      <c r="P5546" s="213"/>
      <c r="Q5546" s="78">
        <f>SUM(Q5543:Q5545)</f>
        <v>7</v>
      </c>
      <c r="R5546" s="213"/>
    </row>
    <row r="5549" spans="1:18">
      <c r="A5549" s="45" t="s">
        <v>136</v>
      </c>
      <c r="B5549" s="32" t="s">
        <v>137</v>
      </c>
      <c r="C5549" s="3">
        <v>13</v>
      </c>
      <c r="D5549" s="39" t="s">
        <v>24</v>
      </c>
      <c r="E5549" s="7" t="s">
        <v>14</v>
      </c>
      <c r="F5549" s="7" t="s">
        <v>38</v>
      </c>
      <c r="G5549" s="11">
        <v>12.9</v>
      </c>
      <c r="H5549" s="33">
        <v>10.3</v>
      </c>
      <c r="I5549" s="40">
        <v>1</v>
      </c>
      <c r="J5549" s="10">
        <v>0.13287000000000002</v>
      </c>
      <c r="K5549" s="17">
        <v>1</v>
      </c>
      <c r="L5549" s="18">
        <v>0.13287000000000002</v>
      </c>
      <c r="M5549" s="19">
        <v>0</v>
      </c>
      <c r="N5549" s="13">
        <v>0</v>
      </c>
      <c r="O5549" s="93"/>
      <c r="P5549" s="93">
        <v>1</v>
      </c>
      <c r="Q5549" s="93" t="s">
        <v>714</v>
      </c>
    </row>
    <row r="5550" spans="1:18">
      <c r="A5550" s="45" t="s">
        <v>136</v>
      </c>
      <c r="B5550" s="32" t="s">
        <v>137</v>
      </c>
      <c r="C5550" s="3">
        <v>13</v>
      </c>
      <c r="D5550" s="39" t="s">
        <v>24</v>
      </c>
      <c r="E5550" s="7" t="s">
        <v>14</v>
      </c>
      <c r="F5550" s="7" t="s">
        <v>38</v>
      </c>
      <c r="G5550" s="11">
        <v>12.9</v>
      </c>
      <c r="H5550" s="33">
        <v>11</v>
      </c>
      <c r="I5550" s="40">
        <v>1</v>
      </c>
      <c r="J5550" s="10">
        <v>0.1419</v>
      </c>
      <c r="K5550" s="17">
        <v>1</v>
      </c>
      <c r="L5550" s="18">
        <v>0.1419</v>
      </c>
      <c r="M5550" s="19">
        <v>0</v>
      </c>
      <c r="N5550" s="13">
        <v>0</v>
      </c>
      <c r="O5550" s="93"/>
      <c r="P5550" s="93">
        <v>1</v>
      </c>
      <c r="Q5550" s="93" t="s">
        <v>714</v>
      </c>
    </row>
    <row r="5551" spans="1:18">
      <c r="A5551" s="45" t="s">
        <v>136</v>
      </c>
      <c r="B5551" s="32" t="s">
        <v>137</v>
      </c>
      <c r="C5551" s="3">
        <v>13</v>
      </c>
      <c r="D5551" s="39" t="s">
        <v>24</v>
      </c>
      <c r="E5551" s="7" t="s">
        <v>14</v>
      </c>
      <c r="F5551" s="7" t="s">
        <v>38</v>
      </c>
      <c r="G5551" s="11">
        <v>12.9</v>
      </c>
      <c r="H5551" s="33">
        <v>11.5</v>
      </c>
      <c r="I5551" s="40">
        <v>6</v>
      </c>
      <c r="J5551" s="10">
        <v>0.89009999999999989</v>
      </c>
      <c r="K5551" s="17">
        <v>6</v>
      </c>
      <c r="L5551" s="18">
        <v>0.8901</v>
      </c>
      <c r="M5551" s="19">
        <v>0</v>
      </c>
      <c r="N5551" s="13">
        <v>0</v>
      </c>
      <c r="O5551" s="55"/>
      <c r="P5551" s="32"/>
      <c r="Q5551" s="111"/>
    </row>
    <row r="5552" spans="1:18">
      <c r="A5552" s="45" t="s">
        <v>136</v>
      </c>
      <c r="B5552" s="48" t="s">
        <v>171</v>
      </c>
      <c r="C5552" s="32">
        <v>108</v>
      </c>
      <c r="D5552" s="48" t="s">
        <v>24</v>
      </c>
      <c r="E5552" s="48" t="s">
        <v>14</v>
      </c>
      <c r="F5552" s="48" t="s">
        <v>38</v>
      </c>
      <c r="G5552" s="11">
        <v>12.9</v>
      </c>
      <c r="H5552" s="52">
        <v>12</v>
      </c>
      <c r="I5552" s="7">
        <v>10</v>
      </c>
      <c r="J5552" s="10">
        <v>1.548</v>
      </c>
      <c r="K5552" s="32">
        <v>10</v>
      </c>
      <c r="L5552" s="18">
        <v>1.548</v>
      </c>
      <c r="M5552" s="19">
        <v>0</v>
      </c>
      <c r="N5552" s="13">
        <v>0</v>
      </c>
      <c r="O5552" s="55"/>
      <c r="P5552" s="32"/>
      <c r="Q5552" s="111"/>
    </row>
    <row r="5553" spans="1:20">
      <c r="A5553" s="45" t="s">
        <v>136</v>
      </c>
      <c r="B5553" s="48" t="s">
        <v>171</v>
      </c>
      <c r="C5553" s="32">
        <v>108</v>
      </c>
      <c r="D5553" s="48" t="s">
        <v>24</v>
      </c>
      <c r="E5553" s="48" t="s">
        <v>14</v>
      </c>
      <c r="F5553" s="48" t="s">
        <v>38</v>
      </c>
      <c r="G5553" s="11">
        <v>12.9</v>
      </c>
      <c r="H5553" s="52">
        <v>11.6</v>
      </c>
      <c r="I5553" s="7">
        <v>1</v>
      </c>
      <c r="J5553" s="10">
        <v>0.14964</v>
      </c>
      <c r="K5553" s="32">
        <v>1</v>
      </c>
      <c r="L5553" s="18">
        <v>0.14964</v>
      </c>
      <c r="M5553" s="19">
        <v>0</v>
      </c>
      <c r="N5553" s="13">
        <v>0</v>
      </c>
      <c r="O5553" s="93"/>
      <c r="P5553" s="93">
        <v>1</v>
      </c>
      <c r="Q5553" s="93" t="s">
        <v>714</v>
      </c>
    </row>
    <row r="5554" spans="1:20">
      <c r="M5554" s="215">
        <f>SUM(M5549:M5553)</f>
        <v>0</v>
      </c>
      <c r="P5554" s="215">
        <f>SUM(P5549:P5553)</f>
        <v>3</v>
      </c>
    </row>
    <row r="5556" spans="1:20">
      <c r="A5556" s="42" t="s">
        <v>90</v>
      </c>
      <c r="B5556" s="3"/>
      <c r="C5556" s="3">
        <v>139</v>
      </c>
      <c r="D5556" s="20" t="s">
        <v>24</v>
      </c>
      <c r="E5556" s="7" t="s">
        <v>14</v>
      </c>
      <c r="F5556" s="7" t="s">
        <v>42</v>
      </c>
      <c r="G5556" s="11">
        <v>19.72</v>
      </c>
      <c r="H5556" s="8">
        <v>12</v>
      </c>
      <c r="I5556" s="26">
        <v>1</v>
      </c>
      <c r="J5556" s="10">
        <v>0.23663999999999999</v>
      </c>
      <c r="K5556" s="17">
        <v>1</v>
      </c>
      <c r="L5556" s="18">
        <v>0.23663999999999999</v>
      </c>
      <c r="M5556" s="19">
        <v>0</v>
      </c>
      <c r="N5556" s="13">
        <v>0</v>
      </c>
      <c r="O5556" s="9"/>
      <c r="P5556" s="2"/>
      <c r="Q5556" s="81">
        <v>12</v>
      </c>
      <c r="R5556" s="77">
        <v>1</v>
      </c>
      <c r="S5556" s="77" t="s">
        <v>713</v>
      </c>
    </row>
    <row r="5557" spans="1:20">
      <c r="A5557" s="42" t="s">
        <v>90</v>
      </c>
      <c r="B5557" s="3"/>
      <c r="C5557" s="3">
        <v>139</v>
      </c>
      <c r="D5557" s="20" t="s">
        <v>24</v>
      </c>
      <c r="E5557" s="7" t="s">
        <v>14</v>
      </c>
      <c r="F5557" s="7" t="s">
        <v>42</v>
      </c>
      <c r="G5557" s="11">
        <v>19.72</v>
      </c>
      <c r="H5557" s="8">
        <v>6</v>
      </c>
      <c r="I5557" s="26">
        <v>2</v>
      </c>
      <c r="J5557" s="10">
        <v>0.23663999999999999</v>
      </c>
      <c r="K5557" s="17">
        <v>2</v>
      </c>
      <c r="L5557" s="18">
        <v>0.23663999999999999</v>
      </c>
      <c r="M5557" s="19">
        <v>0</v>
      </c>
      <c r="N5557" s="13">
        <v>0</v>
      </c>
      <c r="O5557" s="9">
        <v>6</v>
      </c>
      <c r="P5557" s="2">
        <v>1</v>
      </c>
      <c r="Q5557" s="81">
        <v>6</v>
      </c>
      <c r="R5557" s="77">
        <v>1</v>
      </c>
      <c r="S5557" s="77" t="s">
        <v>713</v>
      </c>
    </row>
    <row r="5558" spans="1:20">
      <c r="R5558" s="76">
        <f>SUM(R5556:R5557)</f>
        <v>2</v>
      </c>
    </row>
    <row r="5560" spans="1:20" ht="15.6">
      <c r="A5560" s="110" t="s">
        <v>365</v>
      </c>
      <c r="B5560" s="111" t="s">
        <v>232</v>
      </c>
      <c r="C5560" s="112" t="s">
        <v>228</v>
      </c>
      <c r="D5560" s="113" t="s">
        <v>24</v>
      </c>
      <c r="E5560" s="114" t="s">
        <v>14</v>
      </c>
      <c r="F5560" s="115" t="s">
        <v>48</v>
      </c>
      <c r="G5560" s="116">
        <v>23.45</v>
      </c>
      <c r="H5560" s="125">
        <v>10</v>
      </c>
      <c r="I5560" s="111">
        <v>4</v>
      </c>
      <c r="J5560" s="117">
        <f t="shared" ref="J5560:J5563" si="738">H5560*G5560*I5560/1000</f>
        <v>0.93799999999999994</v>
      </c>
      <c r="K5560" s="118"/>
      <c r="L5560" s="111">
        <v>4</v>
      </c>
      <c r="M5560" s="117">
        <f t="shared" ref="M5560:M5563" si="739">H5560*L5560*G5560/1000</f>
        <v>0.93799999999999994</v>
      </c>
      <c r="N5560" s="119">
        <f t="shared" ref="N5560:N5563" si="740">I5560-L5560</f>
        <v>0</v>
      </c>
      <c r="O5560" s="120">
        <f t="shared" ref="O5560:O5563" si="741">H5560*N5560*G5560/1000</f>
        <v>0</v>
      </c>
      <c r="P5560" s="111"/>
      <c r="Q5560" s="32"/>
      <c r="R5560" s="213"/>
      <c r="S5560" s="213"/>
      <c r="T5560" s="213"/>
    </row>
    <row r="5561" spans="1:20" ht="15.6">
      <c r="A5561" s="110" t="s">
        <v>365</v>
      </c>
      <c r="B5561" s="111" t="s">
        <v>232</v>
      </c>
      <c r="C5561" s="112" t="s">
        <v>228</v>
      </c>
      <c r="D5561" s="113" t="s">
        <v>24</v>
      </c>
      <c r="E5561" s="114" t="s">
        <v>14</v>
      </c>
      <c r="F5561" s="115" t="s">
        <v>48</v>
      </c>
      <c r="G5561" s="116">
        <v>23.45</v>
      </c>
      <c r="H5561" s="125">
        <v>11</v>
      </c>
      <c r="I5561" s="111">
        <v>2</v>
      </c>
      <c r="J5561" s="117">
        <f t="shared" si="738"/>
        <v>0.51590000000000003</v>
      </c>
      <c r="K5561" s="118"/>
      <c r="L5561" s="111">
        <v>2</v>
      </c>
      <c r="M5561" s="117">
        <f t="shared" si="739"/>
        <v>0.51590000000000003</v>
      </c>
      <c r="N5561" s="119">
        <f t="shared" si="740"/>
        <v>0</v>
      </c>
      <c r="O5561" s="120">
        <f t="shared" si="741"/>
        <v>0</v>
      </c>
      <c r="P5561" s="111"/>
      <c r="Q5561" s="32"/>
      <c r="R5561" s="213"/>
      <c r="S5561" s="213"/>
      <c r="T5561" s="213"/>
    </row>
    <row r="5562" spans="1:20" ht="15.6">
      <c r="A5562" s="110" t="s">
        <v>365</v>
      </c>
      <c r="B5562" s="111" t="s">
        <v>232</v>
      </c>
      <c r="C5562" s="112" t="s">
        <v>228</v>
      </c>
      <c r="D5562" s="113" t="s">
        <v>24</v>
      </c>
      <c r="E5562" s="114" t="s">
        <v>14</v>
      </c>
      <c r="F5562" s="115" t="s">
        <v>48</v>
      </c>
      <c r="G5562" s="116">
        <v>23.45</v>
      </c>
      <c r="H5562" s="125">
        <v>9</v>
      </c>
      <c r="I5562" s="111">
        <v>1</v>
      </c>
      <c r="J5562" s="117">
        <f t="shared" si="738"/>
        <v>0.21104999999999999</v>
      </c>
      <c r="K5562" s="118"/>
      <c r="L5562" s="111">
        <v>1</v>
      </c>
      <c r="M5562" s="117">
        <f t="shared" si="739"/>
        <v>0.21104999999999999</v>
      </c>
      <c r="N5562" s="119">
        <f t="shared" si="740"/>
        <v>0</v>
      </c>
      <c r="O5562" s="120">
        <f t="shared" si="741"/>
        <v>0</v>
      </c>
      <c r="P5562" s="111">
        <v>7</v>
      </c>
      <c r="Q5562" s="32">
        <v>1</v>
      </c>
      <c r="R5562" s="213"/>
      <c r="S5562" s="213"/>
      <c r="T5562" s="213"/>
    </row>
    <row r="5563" spans="1:20" ht="15.6">
      <c r="A5563" s="110" t="s">
        <v>365</v>
      </c>
      <c r="B5563" s="111" t="s">
        <v>232</v>
      </c>
      <c r="C5563" s="112" t="s">
        <v>228</v>
      </c>
      <c r="D5563" s="113" t="s">
        <v>24</v>
      </c>
      <c r="E5563" s="114" t="s">
        <v>14</v>
      </c>
      <c r="F5563" s="115" t="s">
        <v>48</v>
      </c>
      <c r="G5563" s="116">
        <v>23.45</v>
      </c>
      <c r="H5563" s="125">
        <v>12</v>
      </c>
      <c r="I5563" s="111">
        <f>4+12</f>
        <v>16</v>
      </c>
      <c r="J5563" s="117">
        <f t="shared" si="738"/>
        <v>4.5023999999999997</v>
      </c>
      <c r="K5563" s="118"/>
      <c r="L5563" s="111">
        <f>2+1</f>
        <v>3</v>
      </c>
      <c r="M5563" s="117">
        <f t="shared" si="739"/>
        <v>0.84419999999999995</v>
      </c>
      <c r="N5563" s="119">
        <f t="shared" si="740"/>
        <v>13</v>
      </c>
      <c r="O5563" s="120">
        <f t="shared" si="741"/>
        <v>3.6581999999999999</v>
      </c>
      <c r="P5563" s="111">
        <v>6.6</v>
      </c>
      <c r="Q5563" s="32">
        <v>2</v>
      </c>
      <c r="R5563" s="213" t="s">
        <v>370</v>
      </c>
      <c r="S5563" s="482">
        <v>1</v>
      </c>
      <c r="T5563" s="482" t="s">
        <v>713</v>
      </c>
    </row>
    <row r="5564" spans="1:20">
      <c r="A5564" s="213"/>
      <c r="B5564" s="213"/>
      <c r="C5564" s="213"/>
      <c r="D5564" s="213"/>
      <c r="E5564" s="213"/>
      <c r="F5564" s="213"/>
      <c r="G5564" s="213"/>
      <c r="H5564" s="213"/>
      <c r="I5564" s="215">
        <f>SUM(I5560:I5563)</f>
        <v>23</v>
      </c>
      <c r="J5564" s="214">
        <f>SUM(J5560:J5563)</f>
        <v>6.1673499999999999</v>
      </c>
      <c r="K5564" s="213"/>
      <c r="L5564" s="215">
        <f>SUM(L5560:L5563)</f>
        <v>10</v>
      </c>
      <c r="M5564" s="214">
        <f>SUM(M5560:M5563)</f>
        <v>2.50915</v>
      </c>
      <c r="N5564" s="215">
        <f>SUM(N5560:N5563)</f>
        <v>13</v>
      </c>
      <c r="O5564" s="214">
        <f>SUM(O5560:O5563)</f>
        <v>3.6581999999999999</v>
      </c>
      <c r="P5564" s="213"/>
      <c r="Q5564" s="213"/>
      <c r="R5564" s="213"/>
      <c r="S5564" s="213"/>
      <c r="T5564" s="213"/>
    </row>
    <row r="5566" spans="1:20" ht="15.6">
      <c r="A5566" s="110" t="s">
        <v>365</v>
      </c>
      <c r="B5566" s="111" t="s">
        <v>232</v>
      </c>
      <c r="C5566" s="112" t="s">
        <v>228</v>
      </c>
      <c r="D5566" s="113" t="s">
        <v>24</v>
      </c>
      <c r="E5566" s="114" t="s">
        <v>14</v>
      </c>
      <c r="F5566" s="115" t="s">
        <v>49</v>
      </c>
      <c r="G5566" s="116">
        <v>17.82</v>
      </c>
      <c r="H5566" s="125">
        <v>12</v>
      </c>
      <c r="I5566" s="111">
        <v>15</v>
      </c>
      <c r="J5566" s="117">
        <f t="shared" ref="J5566:J5567" si="742">H5566*G5566*I5566/1000</f>
        <v>3.2075999999999998</v>
      </c>
      <c r="K5566" s="118"/>
      <c r="L5566" s="111">
        <v>11</v>
      </c>
      <c r="M5566" s="117">
        <f t="shared" ref="M5566:M5567" si="743">H5566*L5566*G5566/1000</f>
        <v>2.3522400000000001</v>
      </c>
      <c r="N5566" s="119">
        <f t="shared" ref="N5566:N5567" si="744">I5566-L5566</f>
        <v>4</v>
      </c>
      <c r="O5566" s="120">
        <f t="shared" ref="O5566:O5567" si="745">H5566*N5566*G5566/1000</f>
        <v>0.85536000000000001</v>
      </c>
      <c r="P5566" s="111"/>
      <c r="Q5566" s="32"/>
      <c r="R5566" s="213"/>
      <c r="S5566" s="213"/>
      <c r="T5566" s="213"/>
    </row>
    <row r="5567" spans="1:20" ht="15.6">
      <c r="A5567" s="110" t="s">
        <v>365</v>
      </c>
      <c r="B5567" s="111" t="s">
        <v>232</v>
      </c>
      <c r="C5567" s="112" t="s">
        <v>228</v>
      </c>
      <c r="D5567" s="113" t="s">
        <v>24</v>
      </c>
      <c r="E5567" s="114" t="s">
        <v>14</v>
      </c>
      <c r="F5567" s="115" t="s">
        <v>49</v>
      </c>
      <c r="G5567" s="116">
        <v>17.82</v>
      </c>
      <c r="H5567" s="125">
        <v>12</v>
      </c>
      <c r="I5567" s="111">
        <v>7</v>
      </c>
      <c r="J5567" s="117">
        <f t="shared" si="742"/>
        <v>1.4968800000000002</v>
      </c>
      <c r="K5567" s="118"/>
      <c r="L5567" s="111">
        <f>2+5</f>
        <v>7</v>
      </c>
      <c r="M5567" s="117">
        <f t="shared" si="743"/>
        <v>1.4968800000000002</v>
      </c>
      <c r="N5567" s="119">
        <f t="shared" si="744"/>
        <v>0</v>
      </c>
      <c r="O5567" s="120">
        <f t="shared" si="745"/>
        <v>0</v>
      </c>
      <c r="P5567" s="111">
        <v>2</v>
      </c>
      <c r="Q5567" s="29" t="s">
        <v>662</v>
      </c>
      <c r="R5567" s="170">
        <v>12</v>
      </c>
      <c r="S5567" s="170">
        <v>5</v>
      </c>
      <c r="T5567" s="170" t="s">
        <v>723</v>
      </c>
    </row>
    <row r="5568" spans="1:20">
      <c r="A5568" s="32"/>
      <c r="B5568" s="32"/>
      <c r="C5568" s="32"/>
      <c r="D5568" s="32"/>
      <c r="E5568" s="32"/>
      <c r="F5568" s="32"/>
      <c r="G5568" s="32"/>
      <c r="H5568" s="32"/>
      <c r="I5568" s="129">
        <f>SUM(I5566:I5567)</f>
        <v>22</v>
      </c>
      <c r="J5568" s="124">
        <f>SUM(J5566:J5567)</f>
        <v>4.7044800000000002</v>
      </c>
      <c r="K5568" s="32"/>
      <c r="L5568" s="129">
        <f>SUM(L5566:L5567)</f>
        <v>18</v>
      </c>
      <c r="M5568" s="124">
        <f>SUM(M5566:M5567)</f>
        <v>3.8491200000000001</v>
      </c>
      <c r="N5568" s="129">
        <f>SUM(N5566:N5567)</f>
        <v>4</v>
      </c>
      <c r="O5568" s="124">
        <f>SUM(O5566:O5567)</f>
        <v>0.85536000000000001</v>
      </c>
      <c r="P5568" s="32"/>
      <c r="Q5568" s="32"/>
      <c r="R5568" s="213"/>
      <c r="S5568" s="213"/>
      <c r="T5568" s="213"/>
    </row>
    <row r="5571" spans="1:17">
      <c r="A5571" s="42" t="s">
        <v>77</v>
      </c>
      <c r="B5571" s="3" t="s">
        <v>68</v>
      </c>
      <c r="C5571" s="3">
        <v>421</v>
      </c>
      <c r="D5571" s="20" t="s">
        <v>24</v>
      </c>
      <c r="E5571" s="7" t="s">
        <v>14</v>
      </c>
      <c r="F5571" s="7" t="s">
        <v>27</v>
      </c>
      <c r="G5571" s="11">
        <v>6.17</v>
      </c>
      <c r="H5571" s="8">
        <v>12</v>
      </c>
      <c r="I5571" s="26">
        <v>29</v>
      </c>
      <c r="J5571" s="10">
        <v>2.14716</v>
      </c>
      <c r="K5571" s="17">
        <v>29</v>
      </c>
      <c r="L5571" s="18">
        <v>2.14716</v>
      </c>
      <c r="M5571" s="19">
        <v>0</v>
      </c>
      <c r="N5571" s="13">
        <v>0</v>
      </c>
      <c r="O5571" s="89">
        <v>12</v>
      </c>
      <c r="P5571" s="90">
        <v>4</v>
      </c>
      <c r="Q5571" s="90" t="s">
        <v>717</v>
      </c>
    </row>
    <row r="5572" spans="1:17">
      <c r="A5572" s="42" t="s">
        <v>77</v>
      </c>
      <c r="B5572" s="3" t="s">
        <v>68</v>
      </c>
      <c r="C5572" s="3">
        <v>423</v>
      </c>
      <c r="D5572" s="20" t="s">
        <v>24</v>
      </c>
      <c r="E5572" s="7" t="s">
        <v>14</v>
      </c>
      <c r="F5572" s="7" t="s">
        <v>27</v>
      </c>
      <c r="G5572" s="11">
        <v>6.17</v>
      </c>
      <c r="H5572" s="8">
        <v>6.7</v>
      </c>
      <c r="I5572" s="26">
        <v>31</v>
      </c>
      <c r="J5572" s="10">
        <v>1.281509</v>
      </c>
      <c r="K5572" s="26">
        <v>31</v>
      </c>
      <c r="L5572" s="18">
        <v>1.281509</v>
      </c>
      <c r="M5572" s="19">
        <v>0</v>
      </c>
      <c r="N5572" s="13">
        <v>0</v>
      </c>
      <c r="O5572" s="89"/>
      <c r="P5572" s="90"/>
      <c r="Q5572" s="90"/>
    </row>
    <row r="5573" spans="1:17">
      <c r="A5573" s="42" t="s">
        <v>77</v>
      </c>
      <c r="B5573" s="3" t="s">
        <v>68</v>
      </c>
      <c r="C5573" s="3">
        <v>424</v>
      </c>
      <c r="D5573" s="20" t="s">
        <v>24</v>
      </c>
      <c r="E5573" s="7" t="s">
        <v>14</v>
      </c>
      <c r="F5573" s="7" t="s">
        <v>27</v>
      </c>
      <c r="G5573" s="11">
        <v>6.17</v>
      </c>
      <c r="H5573" s="8">
        <v>7.5</v>
      </c>
      <c r="I5573" s="26">
        <v>7</v>
      </c>
      <c r="J5573" s="10">
        <v>0.32392500000000002</v>
      </c>
      <c r="K5573" s="17">
        <v>7</v>
      </c>
      <c r="L5573" s="18">
        <v>0.32392500000000002</v>
      </c>
      <c r="M5573" s="19">
        <v>0</v>
      </c>
      <c r="N5573" s="13">
        <v>0</v>
      </c>
      <c r="O5573" s="89">
        <v>7.5</v>
      </c>
      <c r="P5573" s="90">
        <v>2</v>
      </c>
      <c r="Q5573" s="90" t="s">
        <v>717</v>
      </c>
    </row>
    <row r="5574" spans="1:17">
      <c r="A5574" s="42" t="s">
        <v>77</v>
      </c>
      <c r="B5574" s="3" t="s">
        <v>68</v>
      </c>
      <c r="C5574" s="3">
        <v>424</v>
      </c>
      <c r="D5574" s="20" t="s">
        <v>24</v>
      </c>
      <c r="E5574" s="7" t="s">
        <v>14</v>
      </c>
      <c r="F5574" s="7" t="s">
        <v>27</v>
      </c>
      <c r="G5574" s="11">
        <v>6.17</v>
      </c>
      <c r="H5574" s="8">
        <v>10</v>
      </c>
      <c r="I5574" s="26">
        <v>17</v>
      </c>
      <c r="J5574" s="10">
        <v>1.0489000000000002</v>
      </c>
      <c r="K5574" s="17">
        <v>17</v>
      </c>
      <c r="L5574" s="18">
        <v>1.0489000000000002</v>
      </c>
      <c r="M5574" s="19">
        <v>0</v>
      </c>
      <c r="N5574" s="13">
        <v>0</v>
      </c>
      <c r="O5574" s="89">
        <v>10</v>
      </c>
      <c r="P5574" s="90">
        <v>1</v>
      </c>
      <c r="Q5574" s="90" t="s">
        <v>717</v>
      </c>
    </row>
    <row r="5575" spans="1:17">
      <c r="A5575" s="42" t="s">
        <v>77</v>
      </c>
      <c r="B5575" s="3" t="s">
        <v>68</v>
      </c>
      <c r="C5575" s="3">
        <v>425</v>
      </c>
      <c r="D5575" s="20" t="s">
        <v>24</v>
      </c>
      <c r="E5575" s="7" t="s">
        <v>14</v>
      </c>
      <c r="F5575" s="7" t="s">
        <v>27</v>
      </c>
      <c r="G5575" s="11">
        <v>6.17</v>
      </c>
      <c r="H5575" s="8">
        <v>10.65</v>
      </c>
      <c r="I5575" s="26">
        <v>9</v>
      </c>
      <c r="J5575" s="10">
        <v>0.59139450000000005</v>
      </c>
      <c r="K5575" s="17">
        <v>9</v>
      </c>
      <c r="L5575" s="18">
        <v>0.59139450000000005</v>
      </c>
      <c r="M5575" s="19">
        <v>0</v>
      </c>
      <c r="N5575" s="13">
        <v>0</v>
      </c>
      <c r="O5575" s="89"/>
      <c r="P5575" s="90"/>
      <c r="Q5575" s="90"/>
    </row>
    <row r="5576" spans="1:17">
      <c r="A5576" s="42"/>
      <c r="B5576" s="3"/>
      <c r="C5576" s="3"/>
      <c r="D5576" s="20" t="s">
        <v>24</v>
      </c>
      <c r="E5576" s="7" t="s">
        <v>14</v>
      </c>
      <c r="F5576" s="7" t="s">
        <v>27</v>
      </c>
      <c r="G5576" s="11">
        <v>6.17</v>
      </c>
      <c r="H5576" s="8">
        <v>6.7</v>
      </c>
      <c r="I5576" s="26">
        <v>34</v>
      </c>
      <c r="J5576" s="10">
        <v>1.4055259999999998</v>
      </c>
      <c r="K5576" s="17">
        <v>33</v>
      </c>
      <c r="L5576" s="18">
        <v>1.3641869999999998</v>
      </c>
      <c r="M5576" s="19">
        <v>1</v>
      </c>
      <c r="N5576" s="13">
        <v>4.1339000000000001E-2</v>
      </c>
      <c r="O5576" s="89">
        <v>6.7</v>
      </c>
      <c r="P5576" s="90">
        <v>1</v>
      </c>
      <c r="Q5576" s="90" t="s">
        <v>717</v>
      </c>
    </row>
    <row r="5577" spans="1:17">
      <c r="M5577" s="215">
        <f>SUM(M5571:M5576)</f>
        <v>1</v>
      </c>
      <c r="P5577" s="215">
        <f>SUM(P5571:P5576)</f>
        <v>8</v>
      </c>
    </row>
    <row r="5581" spans="1:17">
      <c r="A5581" s="48" t="s">
        <v>168</v>
      </c>
      <c r="B5581" s="48" t="s">
        <v>169</v>
      </c>
      <c r="C5581" s="32">
        <v>12</v>
      </c>
      <c r="D5581" s="48" t="s">
        <v>20</v>
      </c>
      <c r="E5581" s="48" t="s">
        <v>15</v>
      </c>
      <c r="F5581" s="48" t="s">
        <v>32</v>
      </c>
      <c r="G5581" s="11">
        <v>8.3000000000000007</v>
      </c>
      <c r="H5581" s="52">
        <v>10</v>
      </c>
      <c r="I5581" s="7">
        <v>2</v>
      </c>
      <c r="J5581" s="10">
        <v>0.16600000000000001</v>
      </c>
      <c r="K5581" s="32">
        <v>2</v>
      </c>
      <c r="L5581" s="18">
        <v>0.16600000000000001</v>
      </c>
      <c r="M5581" s="19">
        <v>0</v>
      </c>
      <c r="N5581" s="13">
        <v>0</v>
      </c>
      <c r="O5581" s="75">
        <v>10</v>
      </c>
      <c r="P5581" s="72">
        <v>2</v>
      </c>
      <c r="Q5581" s="72" t="s">
        <v>725</v>
      </c>
    </row>
    <row r="5582" spans="1:17">
      <c r="A5582" s="48" t="s">
        <v>168</v>
      </c>
      <c r="B5582" s="48" t="s">
        <v>169</v>
      </c>
      <c r="C5582" s="32">
        <v>12</v>
      </c>
      <c r="D5582" s="48" t="s">
        <v>20</v>
      </c>
      <c r="E5582" s="48" t="s">
        <v>15</v>
      </c>
      <c r="F5582" s="48" t="s">
        <v>32</v>
      </c>
      <c r="G5582" s="11">
        <v>8.3000000000000007</v>
      </c>
      <c r="H5582" s="52">
        <v>10.1</v>
      </c>
      <c r="I5582" s="7">
        <v>1</v>
      </c>
      <c r="J5582" s="10">
        <v>8.3830000000000002E-2</v>
      </c>
      <c r="K5582" s="32">
        <v>1</v>
      </c>
      <c r="L5582" s="18">
        <v>8.3830000000000002E-2</v>
      </c>
      <c r="M5582" s="19">
        <v>0</v>
      </c>
      <c r="N5582" s="13">
        <v>0</v>
      </c>
      <c r="O5582" s="75">
        <v>10</v>
      </c>
      <c r="P5582" s="72">
        <v>1</v>
      </c>
      <c r="Q5582" s="72" t="s">
        <v>725</v>
      </c>
    </row>
    <row r="5583" spans="1:17">
      <c r="A5583" s="42" t="s">
        <v>90</v>
      </c>
      <c r="B5583" s="48" t="s">
        <v>148</v>
      </c>
      <c r="C5583" s="32">
        <v>49</v>
      </c>
      <c r="D5583" s="48" t="s">
        <v>156</v>
      </c>
      <c r="E5583" s="48" t="s">
        <v>15</v>
      </c>
      <c r="F5583" s="48" t="s">
        <v>32</v>
      </c>
      <c r="G5583" s="11">
        <v>8.3000000000000007</v>
      </c>
      <c r="H5583" s="52">
        <v>7</v>
      </c>
      <c r="I5583" s="7">
        <v>1</v>
      </c>
      <c r="J5583" s="10">
        <v>5.8100000000000006E-2</v>
      </c>
      <c r="K5583" s="32">
        <v>1</v>
      </c>
      <c r="L5583" s="18">
        <v>5.8100000000000006E-2</v>
      </c>
      <c r="M5583" s="19">
        <v>0</v>
      </c>
      <c r="N5583" s="13">
        <v>0</v>
      </c>
      <c r="O5583" s="75">
        <v>6.3</v>
      </c>
      <c r="P5583" s="72">
        <v>1</v>
      </c>
      <c r="Q5583" s="72" t="s">
        <v>725</v>
      </c>
    </row>
    <row r="5584" spans="1:17">
      <c r="A5584" s="42" t="s">
        <v>90</v>
      </c>
      <c r="B5584" s="48" t="s">
        <v>148</v>
      </c>
      <c r="C5584" s="32">
        <v>49</v>
      </c>
      <c r="D5584" s="48" t="s">
        <v>156</v>
      </c>
      <c r="E5584" s="48" t="s">
        <v>15</v>
      </c>
      <c r="F5584" s="48" t="s">
        <v>32</v>
      </c>
      <c r="G5584" s="11">
        <v>8.3000000000000007</v>
      </c>
      <c r="H5584" s="52">
        <v>6.5</v>
      </c>
      <c r="I5584" s="7">
        <v>1</v>
      </c>
      <c r="J5584" s="10">
        <v>5.3950000000000005E-2</v>
      </c>
      <c r="K5584" s="32">
        <v>1</v>
      </c>
      <c r="L5584" s="18">
        <v>5.3950000000000005E-2</v>
      </c>
      <c r="M5584" s="19">
        <v>0</v>
      </c>
      <c r="N5584" s="13">
        <v>0</v>
      </c>
      <c r="O5584" s="75">
        <v>6.3</v>
      </c>
      <c r="P5584" s="72">
        <v>1</v>
      </c>
      <c r="Q5584" s="72" t="s">
        <v>725</v>
      </c>
    </row>
    <row r="5585" spans="1:20">
      <c r="A5585" s="42" t="s">
        <v>90</v>
      </c>
      <c r="B5585" s="48" t="s">
        <v>148</v>
      </c>
      <c r="C5585" s="32">
        <v>69</v>
      </c>
      <c r="D5585" s="48" t="s">
        <v>20</v>
      </c>
      <c r="E5585" s="48" t="s">
        <v>15</v>
      </c>
      <c r="F5585" s="48" t="s">
        <v>32</v>
      </c>
      <c r="G5585" s="11">
        <v>8.3000000000000007</v>
      </c>
      <c r="H5585" s="52">
        <v>5</v>
      </c>
      <c r="I5585" s="7">
        <v>1</v>
      </c>
      <c r="J5585" s="10">
        <v>4.1500000000000002E-2</v>
      </c>
      <c r="K5585" s="32"/>
      <c r="L5585" s="18">
        <v>0</v>
      </c>
      <c r="M5585" s="19">
        <v>1</v>
      </c>
      <c r="N5585" s="13">
        <v>4.1500000000000002E-2</v>
      </c>
      <c r="O5585" s="33"/>
      <c r="P5585" s="32"/>
      <c r="Q5585" s="32"/>
    </row>
    <row r="5586" spans="1:20">
      <c r="A5586" s="42" t="s">
        <v>90</v>
      </c>
      <c r="B5586" s="48" t="s">
        <v>148</v>
      </c>
      <c r="C5586" s="32">
        <v>72</v>
      </c>
      <c r="D5586" s="48" t="s">
        <v>20</v>
      </c>
      <c r="E5586" s="48" t="s">
        <v>15</v>
      </c>
      <c r="F5586" s="48" t="s">
        <v>32</v>
      </c>
      <c r="G5586" s="11">
        <v>8.3000000000000007</v>
      </c>
      <c r="H5586" s="52">
        <v>5.6</v>
      </c>
      <c r="I5586" s="7">
        <v>1</v>
      </c>
      <c r="J5586" s="10">
        <v>4.6480000000000007E-2</v>
      </c>
      <c r="K5586" s="32"/>
      <c r="L5586" s="18">
        <v>0</v>
      </c>
      <c r="M5586" s="19">
        <v>1</v>
      </c>
      <c r="N5586" s="13">
        <v>4.6480000000000007E-2</v>
      </c>
      <c r="O5586" s="33"/>
      <c r="P5586" s="32"/>
      <c r="Q5586" s="32"/>
    </row>
    <row r="5587" spans="1:20">
      <c r="A5587" s="42" t="s">
        <v>90</v>
      </c>
      <c r="B5587" s="48" t="s">
        <v>148</v>
      </c>
      <c r="C5587" s="32">
        <v>72</v>
      </c>
      <c r="D5587" s="48" t="s">
        <v>20</v>
      </c>
      <c r="E5587" s="48" t="s">
        <v>15</v>
      </c>
      <c r="F5587" s="48" t="s">
        <v>32</v>
      </c>
      <c r="G5587" s="11">
        <v>8.3000000000000007</v>
      </c>
      <c r="H5587" s="52">
        <v>6.5</v>
      </c>
      <c r="I5587" s="7">
        <v>1</v>
      </c>
      <c r="J5587" s="10">
        <v>5.3950000000000005E-2</v>
      </c>
      <c r="K5587" s="32">
        <v>1</v>
      </c>
      <c r="L5587" s="18">
        <v>5.3950000000000005E-2</v>
      </c>
      <c r="M5587" s="19">
        <v>0</v>
      </c>
      <c r="N5587" s="13">
        <v>0</v>
      </c>
      <c r="O5587" s="75">
        <v>6.3</v>
      </c>
      <c r="P5587" s="72">
        <v>1</v>
      </c>
      <c r="Q5587" s="72" t="s">
        <v>725</v>
      </c>
    </row>
    <row r="5588" spans="1:20">
      <c r="A5588" s="44" t="s">
        <v>78</v>
      </c>
      <c r="B5588" s="32" t="s">
        <v>80</v>
      </c>
      <c r="C5588" s="3">
        <v>1</v>
      </c>
      <c r="D5588" s="20" t="s">
        <v>114</v>
      </c>
      <c r="E5588" s="7" t="s">
        <v>15</v>
      </c>
      <c r="F5588" s="7" t="s">
        <v>32</v>
      </c>
      <c r="G5588" s="11">
        <v>8.3000000000000007</v>
      </c>
      <c r="H5588" s="33">
        <v>6</v>
      </c>
      <c r="I5588" s="40">
        <v>2</v>
      </c>
      <c r="J5588" s="10">
        <v>9.9600000000000008E-2</v>
      </c>
      <c r="K5588" s="17">
        <v>2</v>
      </c>
      <c r="L5588" s="18">
        <v>9.9600000000000008E-2</v>
      </c>
      <c r="M5588" s="19">
        <v>0</v>
      </c>
      <c r="N5588" s="13">
        <v>0</v>
      </c>
      <c r="O5588" s="75">
        <v>6</v>
      </c>
      <c r="P5588" s="72">
        <v>2</v>
      </c>
      <c r="Q5588" s="72" t="s">
        <v>724</v>
      </c>
    </row>
    <row r="5589" spans="1:20">
      <c r="M5589" s="78">
        <f>SUM(M5581:M5588)</f>
        <v>2</v>
      </c>
      <c r="P5589" s="215">
        <f>SUM(P5581:P5588)</f>
        <v>8</v>
      </c>
    </row>
    <row r="5592" spans="1:20" ht="15.6">
      <c r="A5592" s="110" t="s">
        <v>328</v>
      </c>
      <c r="B5592" s="111" t="s">
        <v>232</v>
      </c>
      <c r="C5592" s="112" t="s">
        <v>228</v>
      </c>
      <c r="D5592" s="113" t="s">
        <v>152</v>
      </c>
      <c r="E5592" s="114" t="s">
        <v>15</v>
      </c>
      <c r="F5592" s="115" t="s">
        <v>32</v>
      </c>
      <c r="G5592" s="116">
        <v>8.3000000000000007</v>
      </c>
      <c r="H5592" s="125">
        <v>11</v>
      </c>
      <c r="I5592" s="111">
        <v>4</v>
      </c>
      <c r="J5592" s="117">
        <f t="shared" ref="J5592:J5603" si="746">H5592*G5592*I5592/1000</f>
        <v>0.36520000000000002</v>
      </c>
      <c r="K5592" s="118"/>
      <c r="L5592" s="111">
        <v>4</v>
      </c>
      <c r="M5592" s="117">
        <f t="shared" ref="M5592:M5603" si="747">H5592*L5592*G5592/1000</f>
        <v>0.36520000000000002</v>
      </c>
      <c r="N5592" s="119">
        <f t="shared" ref="N5592:N5603" si="748">I5592-L5592</f>
        <v>0</v>
      </c>
      <c r="O5592" s="120">
        <f t="shared" ref="O5592:O5603" si="749">H5592*N5592*G5592/1000</f>
        <v>0</v>
      </c>
      <c r="P5592" s="111"/>
      <c r="Q5592" s="32"/>
      <c r="R5592" s="32"/>
      <c r="S5592" s="213"/>
      <c r="T5592" s="213"/>
    </row>
    <row r="5593" spans="1:20" ht="15.6">
      <c r="A5593" s="110" t="s">
        <v>328</v>
      </c>
      <c r="B5593" s="111" t="s">
        <v>232</v>
      </c>
      <c r="C5593" s="112" t="s">
        <v>228</v>
      </c>
      <c r="D5593" s="113" t="s">
        <v>152</v>
      </c>
      <c r="E5593" s="114" t="s">
        <v>15</v>
      </c>
      <c r="F5593" s="115" t="s">
        <v>32</v>
      </c>
      <c r="G5593" s="116">
        <v>8.3000000000000007</v>
      </c>
      <c r="H5593" s="125">
        <v>8.1</v>
      </c>
      <c r="I5593" s="111">
        <f>32+34+9+37+37+11</f>
        <v>160</v>
      </c>
      <c r="J5593" s="117">
        <f t="shared" si="746"/>
        <v>10.756800000000002</v>
      </c>
      <c r="K5593" s="118"/>
      <c r="L5593" s="111">
        <v>160</v>
      </c>
      <c r="M5593" s="117">
        <f t="shared" si="747"/>
        <v>10.756800000000002</v>
      </c>
      <c r="N5593" s="119">
        <f t="shared" si="748"/>
        <v>0</v>
      </c>
      <c r="O5593" s="120">
        <f t="shared" si="749"/>
        <v>0</v>
      </c>
      <c r="P5593" s="111"/>
      <c r="Q5593" s="32"/>
      <c r="R5593" s="32"/>
      <c r="S5593" s="213"/>
      <c r="T5593" s="213"/>
    </row>
    <row r="5594" spans="1:20" ht="15.6">
      <c r="A5594" s="110" t="s">
        <v>328</v>
      </c>
      <c r="B5594" s="111" t="s">
        <v>232</v>
      </c>
      <c r="C5594" s="112" t="s">
        <v>228</v>
      </c>
      <c r="D5594" s="113" t="s">
        <v>152</v>
      </c>
      <c r="E5594" s="114" t="s">
        <v>15</v>
      </c>
      <c r="F5594" s="115" t="s">
        <v>32</v>
      </c>
      <c r="G5594" s="116">
        <v>8.3000000000000007</v>
      </c>
      <c r="H5594" s="125">
        <v>12</v>
      </c>
      <c r="I5594" s="111">
        <f>32+30+23+32+16+32</f>
        <v>165</v>
      </c>
      <c r="J5594" s="117">
        <f t="shared" si="746"/>
        <v>16.434000000000001</v>
      </c>
      <c r="K5594" s="118"/>
      <c r="L5594" s="111">
        <f>160+5</f>
        <v>165</v>
      </c>
      <c r="M5594" s="117">
        <f t="shared" si="747"/>
        <v>16.434000000000001</v>
      </c>
      <c r="N5594" s="119">
        <f t="shared" si="748"/>
        <v>0</v>
      </c>
      <c r="O5594" s="120">
        <f t="shared" si="749"/>
        <v>0</v>
      </c>
      <c r="P5594" s="111" t="s">
        <v>329</v>
      </c>
      <c r="Q5594" s="32">
        <v>5</v>
      </c>
      <c r="R5594" s="32"/>
      <c r="S5594" s="213"/>
      <c r="T5594" s="213"/>
    </row>
    <row r="5595" spans="1:20" ht="15.6">
      <c r="A5595" s="110" t="s">
        <v>328</v>
      </c>
      <c r="B5595" s="111" t="s">
        <v>232</v>
      </c>
      <c r="C5595" s="112" t="s">
        <v>228</v>
      </c>
      <c r="D5595" s="113" t="s">
        <v>152</v>
      </c>
      <c r="E5595" s="114" t="s">
        <v>15</v>
      </c>
      <c r="F5595" s="115" t="s">
        <v>32</v>
      </c>
      <c r="G5595" s="116">
        <v>8.3000000000000007</v>
      </c>
      <c r="H5595" s="125">
        <v>9</v>
      </c>
      <c r="I5595" s="111">
        <f>34+13+33+27</f>
        <v>107</v>
      </c>
      <c r="J5595" s="117">
        <f t="shared" si="746"/>
        <v>7.9929000000000006</v>
      </c>
      <c r="K5595" s="118"/>
      <c r="L5595" s="111">
        <f>106+1</f>
        <v>107</v>
      </c>
      <c r="M5595" s="117">
        <f t="shared" si="747"/>
        <v>7.9929000000000006</v>
      </c>
      <c r="N5595" s="119">
        <f t="shared" si="748"/>
        <v>0</v>
      </c>
      <c r="O5595" s="120">
        <f t="shared" si="749"/>
        <v>0</v>
      </c>
      <c r="P5595" s="111"/>
      <c r="Q5595" s="32"/>
      <c r="R5595" s="75">
        <v>6.3</v>
      </c>
      <c r="S5595" s="77">
        <v>1</v>
      </c>
      <c r="T5595" s="77" t="s">
        <v>602</v>
      </c>
    </row>
    <row r="5596" spans="1:20" ht="15.6">
      <c r="A5596" s="110" t="s">
        <v>328</v>
      </c>
      <c r="B5596" s="111" t="s">
        <v>232</v>
      </c>
      <c r="C5596" s="112" t="s">
        <v>228</v>
      </c>
      <c r="D5596" s="113" t="s">
        <v>152</v>
      </c>
      <c r="E5596" s="114" t="s">
        <v>15</v>
      </c>
      <c r="F5596" s="115" t="s">
        <v>32</v>
      </c>
      <c r="G5596" s="116">
        <v>8.3000000000000007</v>
      </c>
      <c r="H5596" s="125">
        <v>10</v>
      </c>
      <c r="I5596" s="111">
        <v>1</v>
      </c>
      <c r="J5596" s="117">
        <f t="shared" si="746"/>
        <v>8.3000000000000004E-2</v>
      </c>
      <c r="K5596" s="118"/>
      <c r="L5596" s="111">
        <v>1</v>
      </c>
      <c r="M5596" s="117">
        <f t="shared" si="747"/>
        <v>8.3000000000000004E-2</v>
      </c>
      <c r="N5596" s="119">
        <f t="shared" si="748"/>
        <v>0</v>
      </c>
      <c r="O5596" s="120">
        <f t="shared" si="749"/>
        <v>0</v>
      </c>
      <c r="P5596" s="111"/>
      <c r="Q5596" s="32"/>
      <c r="R5596" s="33"/>
      <c r="S5596" s="213"/>
      <c r="T5596" s="213"/>
    </row>
    <row r="5597" spans="1:20" ht="15.6">
      <c r="A5597" s="110" t="s">
        <v>328</v>
      </c>
      <c r="B5597" s="111" t="s">
        <v>232</v>
      </c>
      <c r="C5597" s="112" t="s">
        <v>228</v>
      </c>
      <c r="D5597" s="113" t="s">
        <v>152</v>
      </c>
      <c r="E5597" s="114" t="s">
        <v>15</v>
      </c>
      <c r="F5597" s="115" t="s">
        <v>32</v>
      </c>
      <c r="G5597" s="116">
        <v>8.3000000000000007</v>
      </c>
      <c r="H5597" s="125">
        <v>10.5</v>
      </c>
      <c r="I5597" s="111">
        <f>7+10</f>
        <v>17</v>
      </c>
      <c r="J5597" s="117">
        <f t="shared" si="746"/>
        <v>1.4815500000000001</v>
      </c>
      <c r="K5597" s="118"/>
      <c r="L5597" s="111">
        <f>17+7</f>
        <v>24</v>
      </c>
      <c r="M5597" s="117">
        <f t="shared" si="747"/>
        <v>2.0916000000000006</v>
      </c>
      <c r="N5597" s="230">
        <f t="shared" si="748"/>
        <v>-7</v>
      </c>
      <c r="O5597" s="231">
        <f t="shared" si="749"/>
        <v>-0.61005000000000009</v>
      </c>
      <c r="P5597" s="44" t="s">
        <v>397</v>
      </c>
      <c r="Q5597" s="32"/>
      <c r="R5597" s="33"/>
      <c r="S5597" s="213"/>
      <c r="T5597" s="213"/>
    </row>
    <row r="5598" spans="1:20" ht="15.6">
      <c r="A5598" s="110" t="s">
        <v>328</v>
      </c>
      <c r="B5598" s="111" t="s">
        <v>232</v>
      </c>
      <c r="C5598" s="112" t="s">
        <v>228</v>
      </c>
      <c r="D5598" s="113" t="s">
        <v>152</v>
      </c>
      <c r="E5598" s="114" t="s">
        <v>15</v>
      </c>
      <c r="F5598" s="115" t="s">
        <v>32</v>
      </c>
      <c r="G5598" s="116">
        <v>8.3000000000000007</v>
      </c>
      <c r="H5598" s="125">
        <v>11</v>
      </c>
      <c r="I5598" s="111">
        <v>12</v>
      </c>
      <c r="J5598" s="117">
        <f t="shared" si="746"/>
        <v>1.0956000000000001</v>
      </c>
      <c r="K5598" s="118"/>
      <c r="L5598" s="111">
        <v>12</v>
      </c>
      <c r="M5598" s="117">
        <f t="shared" si="747"/>
        <v>1.0956000000000001</v>
      </c>
      <c r="N5598" s="119">
        <f t="shared" si="748"/>
        <v>0</v>
      </c>
      <c r="O5598" s="120">
        <f t="shared" si="749"/>
        <v>0</v>
      </c>
      <c r="P5598" s="111"/>
      <c r="Q5598" s="32"/>
      <c r="R5598" s="33"/>
      <c r="S5598" s="213"/>
      <c r="T5598" s="213"/>
    </row>
    <row r="5599" spans="1:20" ht="15.6">
      <c r="A5599" s="110" t="s">
        <v>328</v>
      </c>
      <c r="B5599" s="111" t="s">
        <v>232</v>
      </c>
      <c r="C5599" s="112" t="s">
        <v>228</v>
      </c>
      <c r="D5599" s="113" t="s">
        <v>152</v>
      </c>
      <c r="E5599" s="114" t="s">
        <v>15</v>
      </c>
      <c r="F5599" s="115" t="s">
        <v>32</v>
      </c>
      <c r="G5599" s="116">
        <v>8.3000000000000007</v>
      </c>
      <c r="H5599" s="125">
        <v>12</v>
      </c>
      <c r="I5599" s="111">
        <v>17</v>
      </c>
      <c r="J5599" s="117">
        <f t="shared" si="746"/>
        <v>1.6932</v>
      </c>
      <c r="K5599" s="118"/>
      <c r="L5599" s="111">
        <v>17</v>
      </c>
      <c r="M5599" s="117">
        <f t="shared" si="747"/>
        <v>1.6932</v>
      </c>
      <c r="N5599" s="119">
        <f t="shared" si="748"/>
        <v>0</v>
      </c>
      <c r="O5599" s="120">
        <f t="shared" si="749"/>
        <v>0</v>
      </c>
      <c r="P5599" s="111"/>
      <c r="Q5599" s="32"/>
      <c r="R5599" s="33"/>
      <c r="S5599" s="213"/>
      <c r="T5599" s="213"/>
    </row>
    <row r="5600" spans="1:20" ht="15.6">
      <c r="A5600" s="110" t="s">
        <v>328</v>
      </c>
      <c r="B5600" s="111" t="s">
        <v>232</v>
      </c>
      <c r="C5600" s="112" t="s">
        <v>228</v>
      </c>
      <c r="D5600" s="113" t="s">
        <v>152</v>
      </c>
      <c r="E5600" s="114" t="s">
        <v>15</v>
      </c>
      <c r="F5600" s="115" t="s">
        <v>32</v>
      </c>
      <c r="G5600" s="116">
        <v>8.3000000000000007</v>
      </c>
      <c r="H5600" s="125">
        <v>6.5</v>
      </c>
      <c r="I5600" s="111">
        <v>1</v>
      </c>
      <c r="J5600" s="117">
        <f t="shared" si="746"/>
        <v>5.3950000000000005E-2</v>
      </c>
      <c r="K5600" s="118"/>
      <c r="L5600" s="111">
        <v>1</v>
      </c>
      <c r="M5600" s="117">
        <f t="shared" si="747"/>
        <v>5.3950000000000005E-2</v>
      </c>
      <c r="N5600" s="119">
        <f t="shared" si="748"/>
        <v>0</v>
      </c>
      <c r="O5600" s="120">
        <f t="shared" si="749"/>
        <v>0</v>
      </c>
      <c r="P5600" s="111"/>
      <c r="Q5600" s="32"/>
      <c r="R5600" s="75">
        <v>6.3</v>
      </c>
      <c r="S5600" s="77">
        <v>1</v>
      </c>
      <c r="T5600" s="77" t="s">
        <v>602</v>
      </c>
    </row>
    <row r="5601" spans="1:20" ht="15.6">
      <c r="A5601" s="110" t="s">
        <v>328</v>
      </c>
      <c r="B5601" s="111" t="s">
        <v>232</v>
      </c>
      <c r="C5601" s="112" t="s">
        <v>228</v>
      </c>
      <c r="D5601" s="113" t="s">
        <v>152</v>
      </c>
      <c r="E5601" s="114" t="s">
        <v>15</v>
      </c>
      <c r="F5601" s="115" t="s">
        <v>32</v>
      </c>
      <c r="G5601" s="116">
        <v>8.3000000000000007</v>
      </c>
      <c r="H5601" s="125">
        <v>8</v>
      </c>
      <c r="I5601" s="111">
        <v>1</v>
      </c>
      <c r="J5601" s="117">
        <f t="shared" si="746"/>
        <v>6.6400000000000001E-2</v>
      </c>
      <c r="K5601" s="118"/>
      <c r="L5601" s="111">
        <v>1</v>
      </c>
      <c r="M5601" s="117">
        <f t="shared" si="747"/>
        <v>6.6400000000000001E-2</v>
      </c>
      <c r="N5601" s="119">
        <f t="shared" si="748"/>
        <v>0</v>
      </c>
      <c r="O5601" s="120">
        <f t="shared" si="749"/>
        <v>0</v>
      </c>
      <c r="P5601" s="111"/>
      <c r="Q5601" s="32"/>
      <c r="R5601" s="75">
        <v>6.3</v>
      </c>
      <c r="S5601" s="77">
        <v>1</v>
      </c>
      <c r="T5601" s="77" t="s">
        <v>602</v>
      </c>
    </row>
    <row r="5602" spans="1:20" ht="15.6">
      <c r="A5602" s="110" t="s">
        <v>328</v>
      </c>
      <c r="B5602" s="111" t="s">
        <v>232</v>
      </c>
      <c r="C5602" s="112" t="s">
        <v>228</v>
      </c>
      <c r="D5602" s="113" t="s">
        <v>152</v>
      </c>
      <c r="E5602" s="114" t="s">
        <v>15</v>
      </c>
      <c r="F5602" s="115" t="s">
        <v>32</v>
      </c>
      <c r="G5602" s="116">
        <v>8.3000000000000007</v>
      </c>
      <c r="H5602" s="125">
        <v>9.4</v>
      </c>
      <c r="I5602" s="111">
        <v>1</v>
      </c>
      <c r="J5602" s="117">
        <f t="shared" si="746"/>
        <v>7.8020000000000006E-2</v>
      </c>
      <c r="K5602" s="118"/>
      <c r="L5602" s="111">
        <v>1</v>
      </c>
      <c r="M5602" s="117">
        <f t="shared" si="747"/>
        <v>7.8020000000000006E-2</v>
      </c>
      <c r="N5602" s="119">
        <f t="shared" si="748"/>
        <v>0</v>
      </c>
      <c r="O5602" s="120">
        <f t="shared" si="749"/>
        <v>0</v>
      </c>
      <c r="P5602" s="111"/>
      <c r="Q5602" s="32"/>
      <c r="R5602" s="75">
        <v>6.3</v>
      </c>
      <c r="S5602" s="77">
        <v>1</v>
      </c>
      <c r="T5602" s="77" t="s">
        <v>602</v>
      </c>
    </row>
    <row r="5603" spans="1:20" ht="15.6">
      <c r="A5603" s="110" t="s">
        <v>328</v>
      </c>
      <c r="B5603" s="111" t="s">
        <v>232</v>
      </c>
      <c r="C5603" s="112" t="s">
        <v>228</v>
      </c>
      <c r="D5603" s="113" t="s">
        <v>152</v>
      </c>
      <c r="E5603" s="114" t="s">
        <v>15</v>
      </c>
      <c r="F5603" s="115" t="s">
        <v>32</v>
      </c>
      <c r="G5603" s="116">
        <v>8.3000000000000007</v>
      </c>
      <c r="H5603" s="125">
        <v>11.8</v>
      </c>
      <c r="I5603" s="111">
        <v>1</v>
      </c>
      <c r="J5603" s="117">
        <f t="shared" si="746"/>
        <v>9.7940000000000013E-2</v>
      </c>
      <c r="K5603" s="118"/>
      <c r="L5603" s="111">
        <v>1</v>
      </c>
      <c r="M5603" s="117">
        <f t="shared" si="747"/>
        <v>9.7940000000000013E-2</v>
      </c>
      <c r="N5603" s="119">
        <f t="shared" si="748"/>
        <v>0</v>
      </c>
      <c r="O5603" s="120">
        <f t="shared" si="749"/>
        <v>0</v>
      </c>
      <c r="P5603" s="111">
        <v>10.5</v>
      </c>
      <c r="Q5603" s="32">
        <v>1</v>
      </c>
      <c r="R5603" s="32"/>
      <c r="S5603" s="213"/>
      <c r="T5603" s="213"/>
    </row>
    <row r="5604" spans="1:20">
      <c r="A5604" s="32"/>
      <c r="B5604" s="32"/>
      <c r="C5604" s="32"/>
      <c r="D5604" s="32"/>
      <c r="E5604" s="32"/>
      <c r="F5604" s="32"/>
      <c r="G5604" s="32"/>
      <c r="H5604" s="32"/>
      <c r="I5604" s="123">
        <f>SUM(I5592:I5603)</f>
        <v>487</v>
      </c>
      <c r="J5604" s="124">
        <f>SUM(J5592:J5603)</f>
        <v>40.198560000000001</v>
      </c>
      <c r="K5604" s="32"/>
      <c r="L5604" s="123">
        <f>SUM(L5592:L5603)</f>
        <v>494</v>
      </c>
      <c r="M5604" s="124">
        <f>SUM(M5592:M5603)</f>
        <v>40.808610000000002</v>
      </c>
      <c r="N5604" s="131">
        <f>SUM(N5592:N5603)</f>
        <v>-7</v>
      </c>
      <c r="O5604" s="132">
        <f>SUM(O5592:O5603)</f>
        <v>-0.61005000000000009</v>
      </c>
      <c r="P5604" s="32"/>
      <c r="Q5604" s="32"/>
      <c r="R5604" s="32"/>
      <c r="S5604" s="171">
        <f>SUM(S5592:S5603)</f>
        <v>4</v>
      </c>
      <c r="T5604" s="213"/>
    </row>
    <row r="5607" spans="1:20">
      <c r="A5607" s="110" t="s">
        <v>470</v>
      </c>
      <c r="B5607" s="111" t="s">
        <v>227</v>
      </c>
      <c r="C5607" s="112" t="s">
        <v>228</v>
      </c>
      <c r="D5607" s="113" t="s">
        <v>20</v>
      </c>
      <c r="E5607" s="369" t="s">
        <v>15</v>
      </c>
      <c r="F5607" s="369" t="s">
        <v>32</v>
      </c>
      <c r="G5607" s="370">
        <v>8.32</v>
      </c>
      <c r="H5607" s="125">
        <v>8.1</v>
      </c>
      <c r="I5607" s="358">
        <f>39+39+33+35+11+35+35+34+35+36+17</f>
        <v>349</v>
      </c>
      <c r="J5607" s="117">
        <f t="shared" ref="J5607:J5642" si="750">H5607*G5607*I5607/1000</f>
        <v>23.519807999999998</v>
      </c>
      <c r="K5607" s="118"/>
      <c r="L5607" s="111">
        <v>349</v>
      </c>
      <c r="M5607" s="117">
        <f t="shared" ref="M5607:M5642" si="751">H5607*L5607*G5607/1000</f>
        <v>23.519808000000001</v>
      </c>
      <c r="N5607" s="119">
        <f t="shared" ref="N5607:N5642" si="752">I5607-L5607</f>
        <v>0</v>
      </c>
      <c r="O5607" s="120">
        <f t="shared" ref="O5607:O5642" si="753">H5607*N5607*G5607/1000</f>
        <v>0</v>
      </c>
      <c r="P5607" s="111"/>
      <c r="Q5607" s="32"/>
      <c r="R5607" s="32"/>
      <c r="S5607" s="213"/>
    </row>
    <row r="5608" spans="1:20">
      <c r="A5608" s="110" t="s">
        <v>470</v>
      </c>
      <c r="B5608" s="111" t="s">
        <v>227</v>
      </c>
      <c r="C5608" s="112" t="s">
        <v>228</v>
      </c>
      <c r="D5608" s="113" t="s">
        <v>20</v>
      </c>
      <c r="E5608" s="369" t="s">
        <v>15</v>
      </c>
      <c r="F5608" s="369" t="s">
        <v>32</v>
      </c>
      <c r="G5608" s="370">
        <v>8.32</v>
      </c>
      <c r="H5608" s="125">
        <v>12</v>
      </c>
      <c r="I5608" s="358">
        <f>29+30+30+30+35+37+35+35+35+35+24+35+15</f>
        <v>405</v>
      </c>
      <c r="J5608" s="117">
        <f t="shared" si="750"/>
        <v>40.435200000000002</v>
      </c>
      <c r="K5608" s="118"/>
      <c r="L5608" s="111">
        <f>388+17</f>
        <v>405</v>
      </c>
      <c r="M5608" s="117">
        <f t="shared" si="751"/>
        <v>40.435200000000002</v>
      </c>
      <c r="N5608" s="119">
        <f t="shared" si="752"/>
        <v>0</v>
      </c>
      <c r="O5608" s="120">
        <f t="shared" si="753"/>
        <v>0</v>
      </c>
      <c r="P5608" s="111"/>
      <c r="Q5608" s="32"/>
      <c r="R5608" s="32"/>
      <c r="S5608" s="213"/>
    </row>
    <row r="5609" spans="1:20">
      <c r="A5609" s="110" t="s">
        <v>470</v>
      </c>
      <c r="B5609" s="111" t="s">
        <v>227</v>
      </c>
      <c r="C5609" s="112" t="s">
        <v>228</v>
      </c>
      <c r="D5609" s="113" t="s">
        <v>20</v>
      </c>
      <c r="E5609" s="369" t="s">
        <v>15</v>
      </c>
      <c r="F5609" s="369" t="s">
        <v>32</v>
      </c>
      <c r="G5609" s="370">
        <v>8.32</v>
      </c>
      <c r="H5609" s="125">
        <v>9.6</v>
      </c>
      <c r="I5609" s="358">
        <v>4</v>
      </c>
      <c r="J5609" s="117">
        <f t="shared" si="750"/>
        <v>0.31948799999999999</v>
      </c>
      <c r="K5609" s="118"/>
      <c r="L5609" s="111">
        <v>4</v>
      </c>
      <c r="M5609" s="117">
        <f t="shared" si="751"/>
        <v>0.31948799999999999</v>
      </c>
      <c r="N5609" s="119">
        <f t="shared" si="752"/>
        <v>0</v>
      </c>
      <c r="O5609" s="120">
        <f t="shared" si="753"/>
        <v>0</v>
      </c>
      <c r="P5609" s="111"/>
      <c r="Q5609" s="32"/>
      <c r="R5609" s="32"/>
      <c r="S5609" s="213"/>
    </row>
    <row r="5610" spans="1:20">
      <c r="A5610" s="110" t="s">
        <v>470</v>
      </c>
      <c r="B5610" s="111" t="s">
        <v>227</v>
      </c>
      <c r="C5610" s="112" t="s">
        <v>228</v>
      </c>
      <c r="D5610" s="113" t="s">
        <v>20</v>
      </c>
      <c r="E5610" s="369" t="s">
        <v>15</v>
      </c>
      <c r="F5610" s="369" t="s">
        <v>32</v>
      </c>
      <c r="G5610" s="370">
        <v>8.32</v>
      </c>
      <c r="H5610" s="125">
        <v>7.7</v>
      </c>
      <c r="I5610" s="358">
        <v>10</v>
      </c>
      <c r="J5610" s="117">
        <f t="shared" si="750"/>
        <v>0.6406400000000001</v>
      </c>
      <c r="K5610" s="118"/>
      <c r="L5610" s="111">
        <v>10</v>
      </c>
      <c r="M5610" s="117">
        <f t="shared" si="751"/>
        <v>0.64063999999999999</v>
      </c>
      <c r="N5610" s="119">
        <f t="shared" si="752"/>
        <v>0</v>
      </c>
      <c r="O5610" s="120">
        <f t="shared" si="753"/>
        <v>0</v>
      </c>
      <c r="P5610" s="111"/>
      <c r="Q5610" s="32"/>
      <c r="R5610" s="32"/>
      <c r="S5610" s="213"/>
    </row>
    <row r="5611" spans="1:20">
      <c r="A5611" s="110" t="s">
        <v>470</v>
      </c>
      <c r="B5611" s="111" t="s">
        <v>227</v>
      </c>
      <c r="C5611" s="112" t="s">
        <v>228</v>
      </c>
      <c r="D5611" s="113" t="s">
        <v>20</v>
      </c>
      <c r="E5611" s="369" t="s">
        <v>15</v>
      </c>
      <c r="F5611" s="369" t="s">
        <v>32</v>
      </c>
      <c r="G5611" s="370">
        <v>8.32</v>
      </c>
      <c r="H5611" s="125">
        <v>7.5</v>
      </c>
      <c r="I5611" s="358">
        <v>3</v>
      </c>
      <c r="J5611" s="117">
        <f t="shared" si="750"/>
        <v>0.18720000000000001</v>
      </c>
      <c r="K5611" s="118"/>
      <c r="L5611" s="111">
        <v>3</v>
      </c>
      <c r="M5611" s="117">
        <f t="shared" si="751"/>
        <v>0.18720000000000001</v>
      </c>
      <c r="N5611" s="119">
        <f t="shared" si="752"/>
        <v>0</v>
      </c>
      <c r="O5611" s="120">
        <f t="shared" si="753"/>
        <v>0</v>
      </c>
      <c r="P5611" s="111"/>
      <c r="Q5611" s="32"/>
      <c r="R5611" s="32"/>
      <c r="S5611" s="213"/>
    </row>
    <row r="5612" spans="1:20">
      <c r="A5612" s="110" t="s">
        <v>470</v>
      </c>
      <c r="B5612" s="111" t="s">
        <v>227</v>
      </c>
      <c r="C5612" s="112" t="s">
        <v>228</v>
      </c>
      <c r="D5612" s="113" t="s">
        <v>20</v>
      </c>
      <c r="E5612" s="369" t="s">
        <v>15</v>
      </c>
      <c r="F5612" s="369" t="s">
        <v>32</v>
      </c>
      <c r="G5612" s="370">
        <v>8.32</v>
      </c>
      <c r="H5612" s="125">
        <v>7.25</v>
      </c>
      <c r="I5612" s="358">
        <v>1</v>
      </c>
      <c r="J5612" s="117">
        <f t="shared" si="750"/>
        <v>6.0319999999999999E-2</v>
      </c>
      <c r="K5612" s="118"/>
      <c r="L5612" s="111">
        <v>1</v>
      </c>
      <c r="M5612" s="117">
        <f t="shared" si="751"/>
        <v>6.0319999999999999E-2</v>
      </c>
      <c r="N5612" s="119">
        <f t="shared" si="752"/>
        <v>0</v>
      </c>
      <c r="O5612" s="120">
        <f t="shared" si="753"/>
        <v>0</v>
      </c>
      <c r="P5612" s="94">
        <v>6.3</v>
      </c>
      <c r="Q5612" s="483">
        <v>1</v>
      </c>
      <c r="R5612" s="93" t="s">
        <v>602</v>
      </c>
      <c r="S5612" s="213"/>
    </row>
    <row r="5613" spans="1:20">
      <c r="A5613" s="110" t="s">
        <v>470</v>
      </c>
      <c r="B5613" s="111" t="s">
        <v>227</v>
      </c>
      <c r="C5613" s="112" t="s">
        <v>228</v>
      </c>
      <c r="D5613" s="113" t="s">
        <v>20</v>
      </c>
      <c r="E5613" s="369" t="s">
        <v>15</v>
      </c>
      <c r="F5613" s="369" t="s">
        <v>32</v>
      </c>
      <c r="G5613" s="370">
        <v>8.32</v>
      </c>
      <c r="H5613" s="125">
        <v>7</v>
      </c>
      <c r="I5613" s="358">
        <v>3</v>
      </c>
      <c r="J5613" s="117">
        <f t="shared" si="750"/>
        <v>0.17471999999999999</v>
      </c>
      <c r="K5613" s="118"/>
      <c r="L5613" s="111">
        <v>3</v>
      </c>
      <c r="M5613" s="117">
        <f t="shared" si="751"/>
        <v>0.17471999999999999</v>
      </c>
      <c r="N5613" s="119">
        <f t="shared" si="752"/>
        <v>0</v>
      </c>
      <c r="O5613" s="120">
        <f t="shared" si="753"/>
        <v>0</v>
      </c>
      <c r="P5613" s="94">
        <v>6.3</v>
      </c>
      <c r="Q5613" s="483">
        <v>3</v>
      </c>
      <c r="R5613" s="93" t="s">
        <v>602</v>
      </c>
      <c r="S5613" s="213"/>
    </row>
    <row r="5614" spans="1:20">
      <c r="A5614" s="110" t="s">
        <v>470</v>
      </c>
      <c r="B5614" s="111" t="s">
        <v>227</v>
      </c>
      <c r="C5614" s="112" t="s">
        <v>228</v>
      </c>
      <c r="D5614" s="113" t="s">
        <v>20</v>
      </c>
      <c r="E5614" s="369" t="s">
        <v>15</v>
      </c>
      <c r="F5614" s="369" t="s">
        <v>32</v>
      </c>
      <c r="G5614" s="370">
        <v>8.32</v>
      </c>
      <c r="H5614" s="125">
        <v>6.9</v>
      </c>
      <c r="I5614" s="358">
        <v>2</v>
      </c>
      <c r="J5614" s="117">
        <f t="shared" si="750"/>
        <v>0.11481600000000002</v>
      </c>
      <c r="K5614" s="118"/>
      <c r="L5614" s="111">
        <v>2</v>
      </c>
      <c r="M5614" s="117">
        <f t="shared" si="751"/>
        <v>0.11481600000000002</v>
      </c>
      <c r="N5614" s="119">
        <f t="shared" si="752"/>
        <v>0</v>
      </c>
      <c r="O5614" s="120">
        <f t="shared" si="753"/>
        <v>0</v>
      </c>
      <c r="P5614" s="94">
        <v>6.3</v>
      </c>
      <c r="Q5614" s="483">
        <v>2</v>
      </c>
      <c r="R5614" s="93" t="s">
        <v>602</v>
      </c>
      <c r="S5614" s="213"/>
    </row>
    <row r="5615" spans="1:20">
      <c r="A5615" s="110" t="s">
        <v>470</v>
      </c>
      <c r="B5615" s="111" t="s">
        <v>227</v>
      </c>
      <c r="C5615" s="112" t="s">
        <v>228</v>
      </c>
      <c r="D5615" s="113" t="s">
        <v>20</v>
      </c>
      <c r="E5615" s="369" t="s">
        <v>15</v>
      </c>
      <c r="F5615" s="369" t="s">
        <v>32</v>
      </c>
      <c r="G5615" s="370">
        <v>8.32</v>
      </c>
      <c r="H5615" s="125">
        <v>6.5</v>
      </c>
      <c r="I5615" s="358">
        <v>4</v>
      </c>
      <c r="J5615" s="117">
        <f t="shared" si="750"/>
        <v>0.21631999999999998</v>
      </c>
      <c r="K5615" s="118"/>
      <c r="L5615" s="111">
        <v>4</v>
      </c>
      <c r="M5615" s="117">
        <f t="shared" si="751"/>
        <v>0.21631999999999998</v>
      </c>
      <c r="N5615" s="119">
        <f t="shared" si="752"/>
        <v>0</v>
      </c>
      <c r="O5615" s="120">
        <f t="shared" si="753"/>
        <v>0</v>
      </c>
      <c r="P5615" s="94">
        <v>6.3</v>
      </c>
      <c r="Q5615" s="483">
        <v>4</v>
      </c>
      <c r="R5615" s="93" t="s">
        <v>602</v>
      </c>
      <c r="S5615" s="213"/>
    </row>
    <row r="5616" spans="1:20">
      <c r="A5616" s="110" t="s">
        <v>470</v>
      </c>
      <c r="B5616" s="111" t="s">
        <v>227</v>
      </c>
      <c r="C5616" s="112" t="s">
        <v>228</v>
      </c>
      <c r="D5616" s="113" t="s">
        <v>20</v>
      </c>
      <c r="E5616" s="369" t="s">
        <v>15</v>
      </c>
      <c r="F5616" s="369" t="s">
        <v>32</v>
      </c>
      <c r="G5616" s="370">
        <v>8.32</v>
      </c>
      <c r="H5616" s="125">
        <v>6</v>
      </c>
      <c r="I5616" s="358">
        <v>2</v>
      </c>
      <c r="J5616" s="117">
        <f t="shared" si="750"/>
        <v>9.9839999999999998E-2</v>
      </c>
      <c r="K5616" s="118"/>
      <c r="L5616" s="111">
        <v>2</v>
      </c>
      <c r="M5616" s="117">
        <f t="shared" si="751"/>
        <v>9.9839999999999998E-2</v>
      </c>
      <c r="N5616" s="119">
        <f t="shared" si="752"/>
        <v>0</v>
      </c>
      <c r="O5616" s="120">
        <f t="shared" si="753"/>
        <v>0</v>
      </c>
      <c r="P5616" s="93">
        <v>6</v>
      </c>
      <c r="Q5616" s="483">
        <v>2</v>
      </c>
      <c r="R5616" s="93" t="s">
        <v>726</v>
      </c>
      <c r="S5616" s="213"/>
    </row>
    <row r="5617" spans="1:19">
      <c r="A5617" s="110" t="s">
        <v>470</v>
      </c>
      <c r="B5617" s="111" t="s">
        <v>227</v>
      </c>
      <c r="C5617" s="112" t="s">
        <v>228</v>
      </c>
      <c r="D5617" s="113" t="s">
        <v>20</v>
      </c>
      <c r="E5617" s="369" t="s">
        <v>15</v>
      </c>
      <c r="F5617" s="369" t="s">
        <v>32</v>
      </c>
      <c r="G5617" s="370">
        <v>8.32</v>
      </c>
      <c r="H5617" s="125">
        <v>8.5</v>
      </c>
      <c r="I5617" s="358">
        <f>26+35+37+37+33+27+28+35+35+34+34+35+35+35+35+35+35+22</f>
        <v>593</v>
      </c>
      <c r="J5617" s="117">
        <f t="shared" si="750"/>
        <v>41.936959999999999</v>
      </c>
      <c r="K5617" s="118"/>
      <c r="L5617" s="111">
        <v>593</v>
      </c>
      <c r="M5617" s="117">
        <f t="shared" si="751"/>
        <v>41.936959999999999</v>
      </c>
      <c r="N5617" s="119">
        <f t="shared" si="752"/>
        <v>0</v>
      </c>
      <c r="O5617" s="120">
        <f t="shared" si="753"/>
        <v>0</v>
      </c>
      <c r="P5617" s="93"/>
      <c r="Q5617" s="93"/>
      <c r="R5617" s="93"/>
      <c r="S5617" s="213"/>
    </row>
    <row r="5618" spans="1:19">
      <c r="A5618" s="110" t="s">
        <v>470</v>
      </c>
      <c r="B5618" s="111" t="s">
        <v>227</v>
      </c>
      <c r="C5618" s="112" t="s">
        <v>228</v>
      </c>
      <c r="D5618" s="113" t="s">
        <v>20</v>
      </c>
      <c r="E5618" s="369" t="s">
        <v>15</v>
      </c>
      <c r="F5618" s="369" t="s">
        <v>32</v>
      </c>
      <c r="G5618" s="370">
        <v>8.32</v>
      </c>
      <c r="H5618" s="125">
        <v>10</v>
      </c>
      <c r="I5618" s="358">
        <f>37+35+32+35+33+33+31+36+35+33+12+35+36+35+36+31+36+35+35</f>
        <v>631</v>
      </c>
      <c r="J5618" s="117">
        <f t="shared" si="750"/>
        <v>52.499200000000002</v>
      </c>
      <c r="K5618" s="118"/>
      <c r="L5618" s="111">
        <v>631</v>
      </c>
      <c r="M5618" s="117">
        <f t="shared" si="751"/>
        <v>52.499200000000002</v>
      </c>
      <c r="N5618" s="119">
        <f t="shared" si="752"/>
        <v>0</v>
      </c>
      <c r="O5618" s="120">
        <f t="shared" si="753"/>
        <v>0</v>
      </c>
      <c r="P5618" s="93"/>
      <c r="Q5618" s="93"/>
      <c r="R5618" s="93"/>
      <c r="S5618" s="213"/>
    </row>
    <row r="5619" spans="1:19">
      <c r="A5619" s="110" t="s">
        <v>470</v>
      </c>
      <c r="B5619" s="111" t="s">
        <v>227</v>
      </c>
      <c r="C5619" s="112" t="s">
        <v>228</v>
      </c>
      <c r="D5619" s="113" t="s">
        <v>20</v>
      </c>
      <c r="E5619" s="369" t="s">
        <v>15</v>
      </c>
      <c r="F5619" s="369" t="s">
        <v>32</v>
      </c>
      <c r="G5619" s="370">
        <v>8.32</v>
      </c>
      <c r="H5619" s="125">
        <v>10.5</v>
      </c>
      <c r="I5619" s="358">
        <f>25+7+28+5</f>
        <v>65</v>
      </c>
      <c r="J5619" s="117">
        <f t="shared" si="750"/>
        <v>5.6783999999999999</v>
      </c>
      <c r="K5619" s="118"/>
      <c r="L5619" s="111">
        <v>65</v>
      </c>
      <c r="M5619" s="117">
        <f t="shared" si="751"/>
        <v>5.6784000000000008</v>
      </c>
      <c r="N5619" s="119">
        <f t="shared" si="752"/>
        <v>0</v>
      </c>
      <c r="O5619" s="120">
        <f t="shared" si="753"/>
        <v>0</v>
      </c>
      <c r="P5619" s="93"/>
      <c r="Q5619" s="93"/>
      <c r="R5619" s="93"/>
      <c r="S5619" s="213"/>
    </row>
    <row r="5620" spans="1:19">
      <c r="A5620" s="110" t="s">
        <v>470</v>
      </c>
      <c r="B5620" s="111" t="s">
        <v>227</v>
      </c>
      <c r="C5620" s="112" t="s">
        <v>228</v>
      </c>
      <c r="D5620" s="113" t="s">
        <v>20</v>
      </c>
      <c r="E5620" s="369" t="s">
        <v>15</v>
      </c>
      <c r="F5620" s="369" t="s">
        <v>32</v>
      </c>
      <c r="G5620" s="370">
        <v>8.32</v>
      </c>
      <c r="H5620" s="125">
        <v>11</v>
      </c>
      <c r="I5620" s="358">
        <f>30+30+10+35+11</f>
        <v>116</v>
      </c>
      <c r="J5620" s="117">
        <f t="shared" si="750"/>
        <v>10.616320000000002</v>
      </c>
      <c r="K5620" s="118"/>
      <c r="L5620" s="111">
        <f>103+5+8</f>
        <v>116</v>
      </c>
      <c r="M5620" s="117">
        <f t="shared" si="751"/>
        <v>10.61632</v>
      </c>
      <c r="N5620" s="119">
        <f t="shared" si="752"/>
        <v>0</v>
      </c>
      <c r="O5620" s="120">
        <f t="shared" si="753"/>
        <v>0</v>
      </c>
      <c r="P5620" s="93"/>
      <c r="Q5620" s="93"/>
      <c r="R5620" s="93"/>
      <c r="S5620" s="213"/>
    </row>
    <row r="5621" spans="1:19">
      <c r="A5621" s="110" t="s">
        <v>470</v>
      </c>
      <c r="B5621" s="111" t="s">
        <v>227</v>
      </c>
      <c r="C5621" s="112" t="s">
        <v>228</v>
      </c>
      <c r="D5621" s="113" t="s">
        <v>20</v>
      </c>
      <c r="E5621" s="369" t="s">
        <v>15</v>
      </c>
      <c r="F5621" s="369" t="s">
        <v>32</v>
      </c>
      <c r="G5621" s="370">
        <v>8.32</v>
      </c>
      <c r="H5621" s="125">
        <v>12</v>
      </c>
      <c r="I5621" s="358">
        <f>32+32+26+15</f>
        <v>105</v>
      </c>
      <c r="J5621" s="117">
        <f t="shared" si="750"/>
        <v>10.4832</v>
      </c>
      <c r="K5621" s="118"/>
      <c r="L5621" s="111">
        <v>105</v>
      </c>
      <c r="M5621" s="117">
        <f t="shared" si="751"/>
        <v>10.4832</v>
      </c>
      <c r="N5621" s="119">
        <f t="shared" si="752"/>
        <v>0</v>
      </c>
      <c r="O5621" s="120">
        <f t="shared" si="753"/>
        <v>0</v>
      </c>
      <c r="P5621" s="93"/>
      <c r="Q5621" s="93"/>
      <c r="R5621" s="93"/>
      <c r="S5621" s="213"/>
    </row>
    <row r="5622" spans="1:19">
      <c r="A5622" s="110" t="s">
        <v>470</v>
      </c>
      <c r="B5622" s="111" t="s">
        <v>227</v>
      </c>
      <c r="C5622" s="112" t="s">
        <v>228</v>
      </c>
      <c r="D5622" s="113" t="s">
        <v>20</v>
      </c>
      <c r="E5622" s="369" t="s">
        <v>15</v>
      </c>
      <c r="F5622" s="369" t="s">
        <v>32</v>
      </c>
      <c r="G5622" s="370">
        <v>8.32</v>
      </c>
      <c r="H5622" s="125">
        <v>9.8000000000000007</v>
      </c>
      <c r="I5622" s="358">
        <v>1</v>
      </c>
      <c r="J5622" s="117">
        <f t="shared" si="750"/>
        <v>8.1536000000000011E-2</v>
      </c>
      <c r="K5622" s="118"/>
      <c r="L5622" s="111">
        <v>1</v>
      </c>
      <c r="M5622" s="117">
        <f t="shared" si="751"/>
        <v>8.1536000000000011E-2</v>
      </c>
      <c r="N5622" s="119">
        <f t="shared" si="752"/>
        <v>0</v>
      </c>
      <c r="O5622" s="120">
        <f t="shared" si="753"/>
        <v>0</v>
      </c>
      <c r="P5622" s="93"/>
      <c r="Q5622" s="93"/>
      <c r="R5622" s="93"/>
      <c r="S5622" s="213"/>
    </row>
    <row r="5623" spans="1:19">
      <c r="A5623" s="110" t="s">
        <v>470</v>
      </c>
      <c r="B5623" s="111" t="s">
        <v>227</v>
      </c>
      <c r="C5623" s="112" t="s">
        <v>228</v>
      </c>
      <c r="D5623" s="113" t="s">
        <v>20</v>
      </c>
      <c r="E5623" s="369" t="s">
        <v>15</v>
      </c>
      <c r="F5623" s="369" t="s">
        <v>32</v>
      </c>
      <c r="G5623" s="370">
        <v>8.32</v>
      </c>
      <c r="H5623" s="125">
        <v>7.9</v>
      </c>
      <c r="I5623" s="358">
        <v>2</v>
      </c>
      <c r="J5623" s="117">
        <f t="shared" si="750"/>
        <v>0.13145600000000002</v>
      </c>
      <c r="K5623" s="118"/>
      <c r="L5623" s="111">
        <v>2</v>
      </c>
      <c r="M5623" s="117">
        <f t="shared" si="751"/>
        <v>0.13145600000000002</v>
      </c>
      <c r="N5623" s="119">
        <f t="shared" si="752"/>
        <v>0</v>
      </c>
      <c r="O5623" s="120">
        <f t="shared" si="753"/>
        <v>0</v>
      </c>
      <c r="P5623" s="93">
        <v>7.6</v>
      </c>
      <c r="Q5623" s="93">
        <v>2</v>
      </c>
      <c r="R5623" s="93" t="s">
        <v>602</v>
      </c>
      <c r="S5623" s="213"/>
    </row>
    <row r="5624" spans="1:19">
      <c r="A5624" s="110" t="s">
        <v>470</v>
      </c>
      <c r="B5624" s="111" t="s">
        <v>227</v>
      </c>
      <c r="C5624" s="112" t="s">
        <v>228</v>
      </c>
      <c r="D5624" s="113" t="s">
        <v>20</v>
      </c>
      <c r="E5624" s="369" t="s">
        <v>15</v>
      </c>
      <c r="F5624" s="369" t="s">
        <v>32</v>
      </c>
      <c r="G5624" s="370">
        <v>8.32</v>
      </c>
      <c r="H5624" s="125">
        <v>7.8</v>
      </c>
      <c r="I5624" s="358">
        <v>2</v>
      </c>
      <c r="J5624" s="117">
        <f t="shared" si="750"/>
        <v>0.12979199999999999</v>
      </c>
      <c r="K5624" s="118"/>
      <c r="L5624" s="111">
        <v>2</v>
      </c>
      <c r="M5624" s="117">
        <f t="shared" si="751"/>
        <v>0.12979199999999999</v>
      </c>
      <c r="N5624" s="119">
        <f t="shared" si="752"/>
        <v>0</v>
      </c>
      <c r="O5624" s="120">
        <f t="shared" si="753"/>
        <v>0</v>
      </c>
      <c r="P5624" s="93">
        <v>7.6</v>
      </c>
      <c r="Q5624" s="93">
        <v>2</v>
      </c>
      <c r="R5624" s="93" t="s">
        <v>602</v>
      </c>
      <c r="S5624" s="213"/>
    </row>
    <row r="5625" spans="1:19">
      <c r="A5625" s="110" t="s">
        <v>470</v>
      </c>
      <c r="B5625" s="111" t="s">
        <v>227</v>
      </c>
      <c r="C5625" s="112" t="s">
        <v>228</v>
      </c>
      <c r="D5625" s="113" t="s">
        <v>20</v>
      </c>
      <c r="E5625" s="369" t="s">
        <v>15</v>
      </c>
      <c r="F5625" s="369" t="s">
        <v>32</v>
      </c>
      <c r="G5625" s="370">
        <v>8.32</v>
      </c>
      <c r="H5625" s="126">
        <v>7.6</v>
      </c>
      <c r="I5625" s="358">
        <v>2</v>
      </c>
      <c r="J5625" s="117">
        <f t="shared" si="750"/>
        <v>0.12646399999999999</v>
      </c>
      <c r="K5625" s="118"/>
      <c r="L5625" s="111">
        <v>2</v>
      </c>
      <c r="M5625" s="117">
        <f t="shared" si="751"/>
        <v>0.12646399999999999</v>
      </c>
      <c r="N5625" s="119">
        <f t="shared" si="752"/>
        <v>0</v>
      </c>
      <c r="O5625" s="120">
        <f t="shared" si="753"/>
        <v>0</v>
      </c>
      <c r="P5625" s="93">
        <v>7.6</v>
      </c>
      <c r="Q5625" s="93">
        <v>2</v>
      </c>
      <c r="R5625" s="93" t="s">
        <v>602</v>
      </c>
      <c r="S5625" s="213"/>
    </row>
    <row r="5626" spans="1:19">
      <c r="A5626" s="110" t="s">
        <v>470</v>
      </c>
      <c r="B5626" s="111" t="s">
        <v>227</v>
      </c>
      <c r="C5626" s="112" t="s">
        <v>228</v>
      </c>
      <c r="D5626" s="113" t="s">
        <v>20</v>
      </c>
      <c r="E5626" s="369" t="s">
        <v>15</v>
      </c>
      <c r="F5626" s="369" t="s">
        <v>32</v>
      </c>
      <c r="G5626" s="370">
        <v>8.32</v>
      </c>
      <c r="H5626" s="126">
        <v>7.5</v>
      </c>
      <c r="I5626" s="358">
        <v>2</v>
      </c>
      <c r="J5626" s="117">
        <f t="shared" si="750"/>
        <v>0.12480000000000001</v>
      </c>
      <c r="K5626" s="118"/>
      <c r="L5626" s="111">
        <v>2</v>
      </c>
      <c r="M5626" s="117">
        <f t="shared" si="751"/>
        <v>0.12480000000000001</v>
      </c>
      <c r="N5626" s="119">
        <f t="shared" si="752"/>
        <v>0</v>
      </c>
      <c r="O5626" s="120">
        <f t="shared" si="753"/>
        <v>0</v>
      </c>
      <c r="P5626" s="93">
        <v>6.3</v>
      </c>
      <c r="Q5626" s="93">
        <v>2</v>
      </c>
      <c r="R5626" s="93" t="s">
        <v>602</v>
      </c>
      <c r="S5626" s="213"/>
    </row>
    <row r="5627" spans="1:19">
      <c r="A5627" s="110" t="s">
        <v>470</v>
      </c>
      <c r="B5627" s="111" t="s">
        <v>227</v>
      </c>
      <c r="C5627" s="112" t="s">
        <v>228</v>
      </c>
      <c r="D5627" s="113" t="s">
        <v>20</v>
      </c>
      <c r="E5627" s="369" t="s">
        <v>15</v>
      </c>
      <c r="F5627" s="369" t="s">
        <v>32</v>
      </c>
      <c r="G5627" s="370">
        <v>8.32</v>
      </c>
      <c r="H5627" s="126">
        <v>7.4</v>
      </c>
      <c r="I5627" s="358">
        <v>1</v>
      </c>
      <c r="J5627" s="117">
        <f t="shared" si="750"/>
        <v>6.1568000000000005E-2</v>
      </c>
      <c r="K5627" s="118"/>
      <c r="L5627" s="111">
        <v>1</v>
      </c>
      <c r="M5627" s="117">
        <f t="shared" si="751"/>
        <v>6.1568000000000005E-2</v>
      </c>
      <c r="N5627" s="119">
        <f t="shared" si="752"/>
        <v>0</v>
      </c>
      <c r="O5627" s="120">
        <f t="shared" si="753"/>
        <v>0</v>
      </c>
      <c r="P5627" s="93">
        <v>6.3</v>
      </c>
      <c r="Q5627" s="93">
        <v>1</v>
      </c>
      <c r="R5627" s="93" t="s">
        <v>602</v>
      </c>
      <c r="S5627" s="213"/>
    </row>
    <row r="5628" spans="1:19">
      <c r="A5628" s="110" t="s">
        <v>470</v>
      </c>
      <c r="B5628" s="111" t="s">
        <v>227</v>
      </c>
      <c r="C5628" s="112" t="s">
        <v>228</v>
      </c>
      <c r="D5628" s="113" t="s">
        <v>20</v>
      </c>
      <c r="E5628" s="369" t="s">
        <v>15</v>
      </c>
      <c r="F5628" s="369" t="s">
        <v>32</v>
      </c>
      <c r="G5628" s="370">
        <v>8.32</v>
      </c>
      <c r="H5628" s="126">
        <v>7.2</v>
      </c>
      <c r="I5628" s="358">
        <v>2</v>
      </c>
      <c r="J5628" s="117">
        <f t="shared" si="750"/>
        <v>0.11980800000000001</v>
      </c>
      <c r="K5628" s="118"/>
      <c r="L5628" s="111">
        <v>2</v>
      </c>
      <c r="M5628" s="117">
        <f t="shared" si="751"/>
        <v>0.11980800000000001</v>
      </c>
      <c r="N5628" s="119">
        <f t="shared" si="752"/>
        <v>0</v>
      </c>
      <c r="O5628" s="120">
        <f t="shared" si="753"/>
        <v>0</v>
      </c>
      <c r="P5628" s="93">
        <v>6.3</v>
      </c>
      <c r="Q5628" s="93">
        <v>2</v>
      </c>
      <c r="R5628" s="93" t="s">
        <v>602</v>
      </c>
      <c r="S5628" s="213"/>
    </row>
    <row r="5629" spans="1:19">
      <c r="A5629" s="110" t="s">
        <v>470</v>
      </c>
      <c r="B5629" s="111" t="s">
        <v>227</v>
      </c>
      <c r="C5629" s="112" t="s">
        <v>228</v>
      </c>
      <c r="D5629" s="113" t="s">
        <v>20</v>
      </c>
      <c r="E5629" s="369" t="s">
        <v>15</v>
      </c>
      <c r="F5629" s="369" t="s">
        <v>32</v>
      </c>
      <c r="G5629" s="370">
        <v>8.32</v>
      </c>
      <c r="H5629" s="126">
        <v>6.8</v>
      </c>
      <c r="I5629" s="358">
        <v>1</v>
      </c>
      <c r="J5629" s="117">
        <f t="shared" si="750"/>
        <v>5.6576000000000001E-2</v>
      </c>
      <c r="K5629" s="118"/>
      <c r="L5629" s="111">
        <v>1</v>
      </c>
      <c r="M5629" s="117">
        <f t="shared" si="751"/>
        <v>5.6576000000000001E-2</v>
      </c>
      <c r="N5629" s="119">
        <f t="shared" si="752"/>
        <v>0</v>
      </c>
      <c r="O5629" s="120">
        <f t="shared" si="753"/>
        <v>0</v>
      </c>
      <c r="P5629" s="93">
        <v>6.3</v>
      </c>
      <c r="Q5629" s="93">
        <v>1</v>
      </c>
      <c r="R5629" s="93" t="s">
        <v>602</v>
      </c>
      <c r="S5629" s="213"/>
    </row>
    <row r="5630" spans="1:19">
      <c r="A5630" s="110" t="s">
        <v>470</v>
      </c>
      <c r="B5630" s="111" t="s">
        <v>227</v>
      </c>
      <c r="C5630" s="112" t="s">
        <v>228</v>
      </c>
      <c r="D5630" s="113" t="s">
        <v>20</v>
      </c>
      <c r="E5630" s="369" t="s">
        <v>15</v>
      </c>
      <c r="F5630" s="369" t="s">
        <v>32</v>
      </c>
      <c r="G5630" s="370">
        <v>8.32</v>
      </c>
      <c r="H5630" s="126">
        <v>6.3</v>
      </c>
      <c r="I5630" s="358">
        <v>1</v>
      </c>
      <c r="J5630" s="117">
        <f t="shared" si="750"/>
        <v>5.2415999999999997E-2</v>
      </c>
      <c r="K5630" s="118"/>
      <c r="L5630" s="111">
        <v>1</v>
      </c>
      <c r="M5630" s="117">
        <f t="shared" si="751"/>
        <v>5.2415999999999997E-2</v>
      </c>
      <c r="N5630" s="119">
        <f t="shared" si="752"/>
        <v>0</v>
      </c>
      <c r="O5630" s="120">
        <f t="shared" si="753"/>
        <v>0</v>
      </c>
      <c r="P5630" s="93">
        <v>6.3</v>
      </c>
      <c r="Q5630" s="93">
        <v>1</v>
      </c>
      <c r="R5630" s="93" t="s">
        <v>602</v>
      </c>
      <c r="S5630" s="213"/>
    </row>
    <row r="5631" spans="1:19">
      <c r="A5631" s="110" t="s">
        <v>470</v>
      </c>
      <c r="B5631" s="111" t="s">
        <v>227</v>
      </c>
      <c r="C5631" s="112" t="s">
        <v>228</v>
      </c>
      <c r="D5631" s="113" t="s">
        <v>20</v>
      </c>
      <c r="E5631" s="369" t="s">
        <v>15</v>
      </c>
      <c r="F5631" s="369" t="s">
        <v>32</v>
      </c>
      <c r="G5631" s="370">
        <v>8.32</v>
      </c>
      <c r="H5631" s="126">
        <v>9.5</v>
      </c>
      <c r="I5631" s="358">
        <v>6</v>
      </c>
      <c r="J5631" s="117">
        <f t="shared" si="750"/>
        <v>0.47423999999999999</v>
      </c>
      <c r="K5631" s="118"/>
      <c r="L5631" s="111">
        <v>6</v>
      </c>
      <c r="M5631" s="117">
        <f t="shared" si="751"/>
        <v>0.47423999999999999</v>
      </c>
      <c r="N5631" s="119">
        <f t="shared" si="752"/>
        <v>0</v>
      </c>
      <c r="O5631" s="120">
        <f t="shared" si="753"/>
        <v>0</v>
      </c>
      <c r="P5631" s="93"/>
      <c r="Q5631" s="93"/>
      <c r="R5631" s="93"/>
      <c r="S5631" s="213"/>
    </row>
    <row r="5632" spans="1:19">
      <c r="A5632" s="110" t="s">
        <v>470</v>
      </c>
      <c r="B5632" s="111" t="s">
        <v>227</v>
      </c>
      <c r="C5632" s="112" t="s">
        <v>228</v>
      </c>
      <c r="D5632" s="113" t="s">
        <v>20</v>
      </c>
      <c r="E5632" s="369" t="s">
        <v>15</v>
      </c>
      <c r="F5632" s="369" t="s">
        <v>32</v>
      </c>
      <c r="G5632" s="370">
        <v>8.32</v>
      </c>
      <c r="H5632" s="126">
        <v>7.5</v>
      </c>
      <c r="I5632" s="358">
        <v>3</v>
      </c>
      <c r="J5632" s="117">
        <f t="shared" si="750"/>
        <v>0.18720000000000001</v>
      </c>
      <c r="K5632" s="118"/>
      <c r="L5632" s="111">
        <v>3</v>
      </c>
      <c r="M5632" s="117">
        <f t="shared" si="751"/>
        <v>0.18720000000000001</v>
      </c>
      <c r="N5632" s="119">
        <f t="shared" si="752"/>
        <v>0</v>
      </c>
      <c r="O5632" s="120">
        <f t="shared" si="753"/>
        <v>0</v>
      </c>
      <c r="P5632" s="93"/>
      <c r="Q5632" s="93"/>
      <c r="R5632" s="93"/>
      <c r="S5632" s="213"/>
    </row>
    <row r="5633" spans="1:19">
      <c r="A5633" s="110" t="s">
        <v>470</v>
      </c>
      <c r="B5633" s="111" t="s">
        <v>227</v>
      </c>
      <c r="C5633" s="112" t="s">
        <v>228</v>
      </c>
      <c r="D5633" s="113" t="s">
        <v>20</v>
      </c>
      <c r="E5633" s="369" t="s">
        <v>15</v>
      </c>
      <c r="F5633" s="369" t="s">
        <v>32</v>
      </c>
      <c r="G5633" s="370">
        <v>8.32</v>
      </c>
      <c r="H5633" s="126">
        <v>7.9</v>
      </c>
      <c r="I5633" s="358">
        <v>1</v>
      </c>
      <c r="J5633" s="117">
        <f t="shared" si="750"/>
        <v>6.5728000000000009E-2</v>
      </c>
      <c r="K5633" s="118"/>
      <c r="L5633" s="111">
        <v>1</v>
      </c>
      <c r="M5633" s="117">
        <f t="shared" si="751"/>
        <v>6.5728000000000009E-2</v>
      </c>
      <c r="N5633" s="119">
        <f t="shared" si="752"/>
        <v>0</v>
      </c>
      <c r="O5633" s="120">
        <f t="shared" si="753"/>
        <v>0</v>
      </c>
      <c r="P5633" s="93">
        <v>6.3</v>
      </c>
      <c r="Q5633" s="93">
        <v>1</v>
      </c>
      <c r="R5633" s="93" t="s">
        <v>602</v>
      </c>
      <c r="S5633" s="213"/>
    </row>
    <row r="5634" spans="1:19">
      <c r="A5634" s="110" t="s">
        <v>470</v>
      </c>
      <c r="B5634" s="111" t="s">
        <v>227</v>
      </c>
      <c r="C5634" s="112" t="s">
        <v>228</v>
      </c>
      <c r="D5634" s="113" t="s">
        <v>20</v>
      </c>
      <c r="E5634" s="369" t="s">
        <v>15</v>
      </c>
      <c r="F5634" s="369" t="s">
        <v>32</v>
      </c>
      <c r="G5634" s="370">
        <v>8.32</v>
      </c>
      <c r="H5634" s="126">
        <v>7.8</v>
      </c>
      <c r="I5634" s="358">
        <v>3</v>
      </c>
      <c r="J5634" s="117">
        <f t="shared" si="750"/>
        <v>0.194688</v>
      </c>
      <c r="K5634" s="118"/>
      <c r="L5634" s="111">
        <v>3</v>
      </c>
      <c r="M5634" s="117">
        <f t="shared" si="751"/>
        <v>0.194688</v>
      </c>
      <c r="N5634" s="119">
        <f t="shared" si="752"/>
        <v>0</v>
      </c>
      <c r="O5634" s="120">
        <f t="shared" si="753"/>
        <v>0</v>
      </c>
      <c r="P5634" s="93">
        <v>6.3</v>
      </c>
      <c r="Q5634" s="93">
        <v>3</v>
      </c>
      <c r="R5634" s="93" t="s">
        <v>602</v>
      </c>
      <c r="S5634" s="213"/>
    </row>
    <row r="5635" spans="1:19">
      <c r="A5635" s="110" t="s">
        <v>470</v>
      </c>
      <c r="B5635" s="111" t="s">
        <v>227</v>
      </c>
      <c r="C5635" s="112" t="s">
        <v>228</v>
      </c>
      <c r="D5635" s="113" t="s">
        <v>20</v>
      </c>
      <c r="E5635" s="369" t="s">
        <v>15</v>
      </c>
      <c r="F5635" s="369" t="s">
        <v>32</v>
      </c>
      <c r="G5635" s="370">
        <v>8.32</v>
      </c>
      <c r="H5635" s="126">
        <v>7.2</v>
      </c>
      <c r="I5635" s="358">
        <v>3</v>
      </c>
      <c r="J5635" s="117">
        <f t="shared" si="750"/>
        <v>0.17971200000000001</v>
      </c>
      <c r="K5635" s="118"/>
      <c r="L5635" s="111">
        <v>3</v>
      </c>
      <c r="M5635" s="117">
        <f t="shared" si="751"/>
        <v>0.17971200000000001</v>
      </c>
      <c r="N5635" s="119">
        <f t="shared" si="752"/>
        <v>0</v>
      </c>
      <c r="O5635" s="120">
        <f t="shared" si="753"/>
        <v>0</v>
      </c>
      <c r="P5635" s="93">
        <v>6.3</v>
      </c>
      <c r="Q5635" s="93">
        <v>3</v>
      </c>
      <c r="R5635" s="93" t="s">
        <v>602</v>
      </c>
      <c r="S5635" s="213"/>
    </row>
    <row r="5636" spans="1:19">
      <c r="A5636" s="110" t="s">
        <v>470</v>
      </c>
      <c r="B5636" s="111" t="s">
        <v>227</v>
      </c>
      <c r="C5636" s="112" t="s">
        <v>228</v>
      </c>
      <c r="D5636" s="113" t="s">
        <v>20</v>
      </c>
      <c r="E5636" s="369" t="s">
        <v>15</v>
      </c>
      <c r="F5636" s="369" t="s">
        <v>32</v>
      </c>
      <c r="G5636" s="370">
        <v>8.32</v>
      </c>
      <c r="H5636" s="126">
        <v>7.1</v>
      </c>
      <c r="I5636" s="358">
        <v>2</v>
      </c>
      <c r="J5636" s="117">
        <f t="shared" si="750"/>
        <v>0.11814399999999999</v>
      </c>
      <c r="K5636" s="118"/>
      <c r="L5636" s="111">
        <v>2</v>
      </c>
      <c r="M5636" s="117">
        <f t="shared" si="751"/>
        <v>0.11814399999999999</v>
      </c>
      <c r="N5636" s="119">
        <f t="shared" si="752"/>
        <v>0</v>
      </c>
      <c r="O5636" s="120">
        <f t="shared" si="753"/>
        <v>0</v>
      </c>
      <c r="P5636" s="93">
        <v>6.3</v>
      </c>
      <c r="Q5636" s="93">
        <v>2</v>
      </c>
      <c r="R5636" s="93" t="s">
        <v>602</v>
      </c>
      <c r="S5636" s="213"/>
    </row>
    <row r="5637" spans="1:19">
      <c r="A5637" s="110" t="s">
        <v>470</v>
      </c>
      <c r="B5637" s="111" t="s">
        <v>227</v>
      </c>
      <c r="C5637" s="112" t="s">
        <v>228</v>
      </c>
      <c r="D5637" s="113" t="s">
        <v>20</v>
      </c>
      <c r="E5637" s="369" t="s">
        <v>15</v>
      </c>
      <c r="F5637" s="369" t="s">
        <v>32</v>
      </c>
      <c r="G5637" s="370">
        <v>8.32</v>
      </c>
      <c r="H5637" s="126">
        <v>6.9</v>
      </c>
      <c r="I5637" s="358">
        <v>1</v>
      </c>
      <c r="J5637" s="117">
        <f t="shared" si="750"/>
        <v>5.7408000000000008E-2</v>
      </c>
      <c r="K5637" s="118"/>
      <c r="L5637" s="111">
        <v>1</v>
      </c>
      <c r="M5637" s="117">
        <f t="shared" si="751"/>
        <v>5.7408000000000008E-2</v>
      </c>
      <c r="N5637" s="119">
        <f t="shared" si="752"/>
        <v>0</v>
      </c>
      <c r="O5637" s="120">
        <f t="shared" si="753"/>
        <v>0</v>
      </c>
      <c r="P5637" s="93">
        <v>6.3</v>
      </c>
      <c r="Q5637" s="93">
        <v>1</v>
      </c>
      <c r="R5637" s="93" t="s">
        <v>602</v>
      </c>
      <c r="S5637" s="213"/>
    </row>
    <row r="5638" spans="1:19">
      <c r="A5638" s="110" t="s">
        <v>470</v>
      </c>
      <c r="B5638" s="111" t="s">
        <v>227</v>
      </c>
      <c r="C5638" s="112" t="s">
        <v>228</v>
      </c>
      <c r="D5638" s="113" t="s">
        <v>20</v>
      </c>
      <c r="E5638" s="369" t="s">
        <v>15</v>
      </c>
      <c r="F5638" s="369" t="s">
        <v>32</v>
      </c>
      <c r="G5638" s="370">
        <v>8.32</v>
      </c>
      <c r="H5638" s="126">
        <v>6.8</v>
      </c>
      <c r="I5638" s="358">
        <v>2</v>
      </c>
      <c r="J5638" s="117">
        <f t="shared" si="750"/>
        <v>0.113152</v>
      </c>
      <c r="K5638" s="118"/>
      <c r="L5638" s="111">
        <v>2</v>
      </c>
      <c r="M5638" s="117">
        <f t="shared" si="751"/>
        <v>0.113152</v>
      </c>
      <c r="N5638" s="119">
        <f t="shared" si="752"/>
        <v>0</v>
      </c>
      <c r="O5638" s="120">
        <f t="shared" si="753"/>
        <v>0</v>
      </c>
      <c r="P5638" s="93">
        <v>6.3</v>
      </c>
      <c r="Q5638" s="93">
        <v>2</v>
      </c>
      <c r="R5638" s="93" t="s">
        <v>602</v>
      </c>
      <c r="S5638" s="213"/>
    </row>
    <row r="5639" spans="1:19">
      <c r="A5639" s="110" t="s">
        <v>470</v>
      </c>
      <c r="B5639" s="111" t="s">
        <v>227</v>
      </c>
      <c r="C5639" s="112" t="s">
        <v>228</v>
      </c>
      <c r="D5639" s="113" t="s">
        <v>20</v>
      </c>
      <c r="E5639" s="369" t="s">
        <v>15</v>
      </c>
      <c r="F5639" s="369" t="s">
        <v>32</v>
      </c>
      <c r="G5639" s="370">
        <v>8.32</v>
      </c>
      <c r="H5639" s="126">
        <v>6.6</v>
      </c>
      <c r="I5639" s="358">
        <v>1</v>
      </c>
      <c r="J5639" s="117">
        <f t="shared" si="750"/>
        <v>5.4912000000000002E-2</v>
      </c>
      <c r="K5639" s="118"/>
      <c r="L5639" s="111">
        <v>1</v>
      </c>
      <c r="M5639" s="117">
        <f t="shared" si="751"/>
        <v>5.4912000000000002E-2</v>
      </c>
      <c r="N5639" s="119">
        <f t="shared" si="752"/>
        <v>0</v>
      </c>
      <c r="O5639" s="120">
        <f t="shared" si="753"/>
        <v>0</v>
      </c>
      <c r="P5639" s="93">
        <v>6.3</v>
      </c>
      <c r="Q5639" s="93">
        <v>1</v>
      </c>
      <c r="R5639" s="93" t="s">
        <v>602</v>
      </c>
      <c r="S5639" s="213"/>
    </row>
    <row r="5640" spans="1:19">
      <c r="A5640" s="110" t="s">
        <v>470</v>
      </c>
      <c r="B5640" s="111" t="s">
        <v>227</v>
      </c>
      <c r="C5640" s="112" t="s">
        <v>228</v>
      </c>
      <c r="D5640" s="113" t="s">
        <v>20</v>
      </c>
      <c r="E5640" s="369" t="s">
        <v>15</v>
      </c>
      <c r="F5640" s="369" t="s">
        <v>32</v>
      </c>
      <c r="G5640" s="370">
        <v>8.32</v>
      </c>
      <c r="H5640" s="126">
        <v>6.4</v>
      </c>
      <c r="I5640" s="358">
        <v>1</v>
      </c>
      <c r="J5640" s="117">
        <f t="shared" si="750"/>
        <v>5.3248000000000004E-2</v>
      </c>
      <c r="K5640" s="118"/>
      <c r="L5640" s="111">
        <v>1</v>
      </c>
      <c r="M5640" s="117">
        <f t="shared" si="751"/>
        <v>5.3248000000000004E-2</v>
      </c>
      <c r="N5640" s="119">
        <f t="shared" si="752"/>
        <v>0</v>
      </c>
      <c r="O5640" s="120">
        <f t="shared" si="753"/>
        <v>0</v>
      </c>
      <c r="P5640" s="93">
        <v>6.3</v>
      </c>
      <c r="Q5640" s="93">
        <v>1</v>
      </c>
      <c r="R5640" s="93" t="s">
        <v>602</v>
      </c>
      <c r="S5640" s="213"/>
    </row>
    <row r="5641" spans="1:19">
      <c r="A5641" s="110" t="s">
        <v>470</v>
      </c>
      <c r="B5641" s="111" t="s">
        <v>227</v>
      </c>
      <c r="C5641" s="112" t="s">
        <v>228</v>
      </c>
      <c r="D5641" s="113" t="s">
        <v>20</v>
      </c>
      <c r="E5641" s="369" t="s">
        <v>15</v>
      </c>
      <c r="F5641" s="369" t="s">
        <v>32</v>
      </c>
      <c r="G5641" s="370">
        <v>8.32</v>
      </c>
      <c r="H5641" s="126">
        <v>8.5</v>
      </c>
      <c r="I5641" s="358">
        <v>2</v>
      </c>
      <c r="J5641" s="117">
        <f t="shared" si="750"/>
        <v>0.14144000000000001</v>
      </c>
      <c r="K5641" s="118"/>
      <c r="L5641" s="111">
        <v>2</v>
      </c>
      <c r="M5641" s="117">
        <f t="shared" si="751"/>
        <v>0.14144000000000001</v>
      </c>
      <c r="N5641" s="119">
        <f t="shared" si="752"/>
        <v>0</v>
      </c>
      <c r="O5641" s="120">
        <f t="shared" si="753"/>
        <v>0</v>
      </c>
      <c r="P5641" s="93"/>
      <c r="Q5641" s="93"/>
      <c r="R5641" s="93"/>
      <c r="S5641" s="213"/>
    </row>
    <row r="5642" spans="1:19">
      <c r="A5642" s="110" t="s">
        <v>470</v>
      </c>
      <c r="B5642" s="111" t="s">
        <v>227</v>
      </c>
      <c r="C5642" s="112" t="s">
        <v>228</v>
      </c>
      <c r="D5642" s="113" t="s">
        <v>20</v>
      </c>
      <c r="E5642" s="369" t="s">
        <v>15</v>
      </c>
      <c r="F5642" s="369" t="s">
        <v>32</v>
      </c>
      <c r="G5642" s="370">
        <v>8.32</v>
      </c>
      <c r="H5642" s="126">
        <v>8</v>
      </c>
      <c r="I5642" s="358">
        <v>1</v>
      </c>
      <c r="J5642" s="117">
        <f t="shared" si="750"/>
        <v>6.6560000000000008E-2</v>
      </c>
      <c r="K5642" s="118"/>
      <c r="L5642" s="111">
        <v>1</v>
      </c>
      <c r="M5642" s="117">
        <f t="shared" si="751"/>
        <v>6.6560000000000008E-2</v>
      </c>
      <c r="N5642" s="119">
        <f t="shared" si="752"/>
        <v>0</v>
      </c>
      <c r="O5642" s="120">
        <f t="shared" si="753"/>
        <v>0</v>
      </c>
      <c r="P5642" s="93">
        <v>6.3</v>
      </c>
      <c r="Q5642" s="93">
        <v>1</v>
      </c>
      <c r="R5642" s="93" t="s">
        <v>602</v>
      </c>
      <c r="S5642" s="213"/>
    </row>
    <row r="5643" spans="1:19">
      <c r="A5643" s="213"/>
      <c r="B5643" s="213"/>
      <c r="C5643" s="213"/>
      <c r="D5643" s="213"/>
      <c r="E5643" s="213"/>
      <c r="F5643" s="213"/>
      <c r="G5643" s="213"/>
      <c r="H5643" s="213"/>
      <c r="I5643" s="215">
        <f>SUM(I5607:I5642)</f>
        <v>2333</v>
      </c>
      <c r="J5643" s="214">
        <f>SUM(J5607:J5642)</f>
        <v>189.5732800000001</v>
      </c>
      <c r="K5643" s="213"/>
      <c r="L5643" s="215">
        <f>SUM(L5607:L5642)</f>
        <v>2333</v>
      </c>
      <c r="M5643" s="214">
        <f>SUM(M5607:M5642)</f>
        <v>189.5732800000001</v>
      </c>
      <c r="N5643" s="78">
        <f>SUM(N5607:N5642)</f>
        <v>0</v>
      </c>
      <c r="O5643" s="128">
        <f>SUM(O5607:O5642)</f>
        <v>0</v>
      </c>
      <c r="P5643" s="213"/>
      <c r="Q5643" s="78">
        <f>SUM(Q5607:Q5642)</f>
        <v>40</v>
      </c>
      <c r="R5643" s="213"/>
      <c r="S5643" s="213"/>
    </row>
    <row r="5645" spans="1:19">
      <c r="A5645" s="110" t="s">
        <v>665</v>
      </c>
      <c r="B5645" s="111" t="s">
        <v>232</v>
      </c>
      <c r="C5645" s="112" t="s">
        <v>449</v>
      </c>
      <c r="D5645" s="113" t="s">
        <v>20</v>
      </c>
      <c r="E5645" s="369" t="s">
        <v>15</v>
      </c>
      <c r="F5645" s="369" t="s">
        <v>32</v>
      </c>
      <c r="G5645" s="370">
        <v>8.3000000000000007</v>
      </c>
      <c r="H5645" s="125">
        <v>9.5</v>
      </c>
      <c r="I5645" s="358">
        <v>2</v>
      </c>
      <c r="J5645" s="117">
        <f t="shared" ref="J5645" si="754">H5645*G5645*I5645/1000</f>
        <v>0.15770000000000001</v>
      </c>
      <c r="K5645" s="118"/>
      <c r="L5645" s="111">
        <v>2</v>
      </c>
      <c r="M5645" s="117">
        <f t="shared" ref="M5645" si="755">H5645*L5645*G5645/1000</f>
        <v>0.15770000000000001</v>
      </c>
      <c r="N5645" s="119">
        <f>I5645-L5645</f>
        <v>0</v>
      </c>
      <c r="O5645" s="120">
        <f>H5645*N5645*G5645/1000</f>
        <v>0</v>
      </c>
      <c r="P5645" s="111" t="s">
        <v>727</v>
      </c>
      <c r="Q5645" s="93">
        <v>2</v>
      </c>
      <c r="R5645" s="93" t="s">
        <v>728</v>
      </c>
      <c r="S5645" s="170"/>
    </row>
    <row r="5648" spans="1:19">
      <c r="A5648" s="110" t="s">
        <v>665</v>
      </c>
      <c r="B5648" s="111" t="s">
        <v>227</v>
      </c>
      <c r="C5648" s="112" t="s">
        <v>449</v>
      </c>
      <c r="D5648" s="113" t="s">
        <v>17</v>
      </c>
      <c r="E5648" s="369" t="s">
        <v>15</v>
      </c>
      <c r="F5648" s="369" t="s">
        <v>32</v>
      </c>
      <c r="G5648" s="370">
        <v>8.3000000000000007</v>
      </c>
      <c r="H5648" s="125">
        <v>7.3</v>
      </c>
      <c r="I5648" s="358">
        <v>4</v>
      </c>
      <c r="J5648" s="117">
        <f t="shared" ref="J5648" si="756">H5648*G5648*I5648/1000</f>
        <v>0.24236000000000002</v>
      </c>
      <c r="K5648" s="118"/>
      <c r="L5648" s="111">
        <v>4</v>
      </c>
      <c r="M5648" s="117">
        <f t="shared" ref="M5648" si="757">H5648*L5648*G5648/1000</f>
        <v>0.24236000000000002</v>
      </c>
      <c r="N5648" s="119">
        <f t="shared" ref="N5648" si="758">I5648-L5648</f>
        <v>0</v>
      </c>
      <c r="O5648" s="120">
        <f t="shared" ref="O5648" si="759">H5648*N5648*G5648/1000</f>
        <v>0</v>
      </c>
      <c r="P5648" s="98">
        <v>6.3</v>
      </c>
      <c r="Q5648" s="91">
        <v>4</v>
      </c>
      <c r="R5648" s="91" t="s">
        <v>729</v>
      </c>
    </row>
    <row r="5652" spans="1:18">
      <c r="A5652" s="110" t="s">
        <v>696</v>
      </c>
      <c r="B5652" s="111" t="s">
        <v>227</v>
      </c>
      <c r="C5652" s="112" t="s">
        <v>449</v>
      </c>
      <c r="D5652" s="113" t="s">
        <v>17</v>
      </c>
      <c r="E5652" s="369" t="s">
        <v>15</v>
      </c>
      <c r="F5652" s="369" t="s">
        <v>32</v>
      </c>
      <c r="G5652" s="370">
        <v>8.32</v>
      </c>
      <c r="H5652" s="126">
        <v>6.4</v>
      </c>
      <c r="I5652" s="213">
        <v>1</v>
      </c>
      <c r="J5652" s="117">
        <f t="shared" ref="J5652:J5656" si="760">H5652*G5652*I5652/1000</f>
        <v>5.3248000000000004E-2</v>
      </c>
      <c r="K5652" s="118"/>
      <c r="L5652" s="111">
        <v>1</v>
      </c>
      <c r="M5652" s="117">
        <f t="shared" ref="M5652:M5656" si="761">H5652*L5652*G5652/1000</f>
        <v>5.3248000000000004E-2</v>
      </c>
      <c r="N5652" s="119">
        <f t="shared" ref="N5652:N5656" si="762">I5652-L5652</f>
        <v>0</v>
      </c>
      <c r="O5652" s="120">
        <f t="shared" ref="O5652:O5656" si="763">H5652*N5652*G5652/1000</f>
        <v>0</v>
      </c>
      <c r="P5652" s="75">
        <v>6.3</v>
      </c>
      <c r="Q5652" s="72">
        <v>1</v>
      </c>
      <c r="R5652" s="72" t="s">
        <v>602</v>
      </c>
    </row>
    <row r="5653" spans="1:18">
      <c r="A5653" s="110" t="s">
        <v>696</v>
      </c>
      <c r="B5653" s="111" t="s">
        <v>227</v>
      </c>
      <c r="C5653" s="112" t="s">
        <v>449</v>
      </c>
      <c r="D5653" s="113" t="s">
        <v>17</v>
      </c>
      <c r="E5653" s="369" t="s">
        <v>15</v>
      </c>
      <c r="F5653" s="369" t="s">
        <v>32</v>
      </c>
      <c r="G5653" s="370">
        <v>8.32</v>
      </c>
      <c r="H5653" s="126">
        <v>7</v>
      </c>
      <c r="I5653" s="213">
        <v>2</v>
      </c>
      <c r="J5653" s="117">
        <f t="shared" si="760"/>
        <v>0.11648</v>
      </c>
      <c r="K5653" s="118"/>
      <c r="L5653" s="111">
        <v>2</v>
      </c>
      <c r="M5653" s="117">
        <f t="shared" si="761"/>
        <v>0.11648</v>
      </c>
      <c r="N5653" s="119">
        <f t="shared" si="762"/>
        <v>0</v>
      </c>
      <c r="O5653" s="120">
        <f t="shared" si="763"/>
        <v>0</v>
      </c>
      <c r="P5653" s="75">
        <v>6.3</v>
      </c>
      <c r="Q5653" s="72">
        <v>2</v>
      </c>
      <c r="R5653" s="72" t="s">
        <v>602</v>
      </c>
    </row>
    <row r="5654" spans="1:18">
      <c r="A5654" s="110" t="s">
        <v>696</v>
      </c>
      <c r="B5654" s="111" t="s">
        <v>227</v>
      </c>
      <c r="C5654" s="112" t="s">
        <v>449</v>
      </c>
      <c r="D5654" s="113" t="s">
        <v>17</v>
      </c>
      <c r="E5654" s="369" t="s">
        <v>15</v>
      </c>
      <c r="F5654" s="369" t="s">
        <v>32</v>
      </c>
      <c r="G5654" s="370">
        <v>8.32</v>
      </c>
      <c r="H5654" s="126">
        <v>7.25</v>
      </c>
      <c r="I5654" s="213">
        <v>1</v>
      </c>
      <c r="J5654" s="117">
        <f t="shared" si="760"/>
        <v>6.0319999999999999E-2</v>
      </c>
      <c r="K5654" s="118"/>
      <c r="L5654" s="111">
        <v>1</v>
      </c>
      <c r="M5654" s="117">
        <f t="shared" si="761"/>
        <v>6.0319999999999999E-2</v>
      </c>
      <c r="N5654" s="119">
        <f t="shared" si="762"/>
        <v>0</v>
      </c>
      <c r="O5654" s="120">
        <f t="shared" si="763"/>
        <v>0</v>
      </c>
      <c r="P5654" s="75">
        <v>6.3</v>
      </c>
      <c r="Q5654" s="72">
        <v>1</v>
      </c>
      <c r="R5654" s="72" t="s">
        <v>602</v>
      </c>
    </row>
    <row r="5655" spans="1:18">
      <c r="A5655" s="110" t="s">
        <v>696</v>
      </c>
      <c r="B5655" s="111" t="s">
        <v>227</v>
      </c>
      <c r="C5655" s="112" t="s">
        <v>449</v>
      </c>
      <c r="D5655" s="113" t="s">
        <v>17</v>
      </c>
      <c r="E5655" s="369" t="s">
        <v>15</v>
      </c>
      <c r="F5655" s="369" t="s">
        <v>32</v>
      </c>
      <c r="G5655" s="370">
        <v>8.32</v>
      </c>
      <c r="H5655" s="126">
        <v>7.5</v>
      </c>
      <c r="I5655" s="213">
        <v>14</v>
      </c>
      <c r="J5655" s="117">
        <f t="shared" si="760"/>
        <v>0.87360000000000015</v>
      </c>
      <c r="K5655" s="118"/>
      <c r="L5655" s="111">
        <f>9+5</f>
        <v>14</v>
      </c>
      <c r="M5655" s="117">
        <f t="shared" si="761"/>
        <v>0.87360000000000004</v>
      </c>
      <c r="N5655" s="119">
        <f t="shared" si="762"/>
        <v>0</v>
      </c>
      <c r="O5655" s="120">
        <f t="shared" si="763"/>
        <v>0</v>
      </c>
      <c r="P5655" s="75">
        <v>6.3</v>
      </c>
      <c r="Q5655" s="72">
        <v>5</v>
      </c>
      <c r="R5655" s="72" t="s">
        <v>602</v>
      </c>
    </row>
    <row r="5656" spans="1:18">
      <c r="A5656" s="110" t="s">
        <v>696</v>
      </c>
      <c r="B5656" s="111" t="s">
        <v>227</v>
      </c>
      <c r="C5656" s="112" t="s">
        <v>449</v>
      </c>
      <c r="D5656" s="113" t="s">
        <v>17</v>
      </c>
      <c r="E5656" s="369" t="s">
        <v>15</v>
      </c>
      <c r="F5656" s="369" t="s">
        <v>32</v>
      </c>
      <c r="G5656" s="370">
        <v>8.32</v>
      </c>
      <c r="H5656" s="126">
        <v>7.3</v>
      </c>
      <c r="I5656" s="213">
        <v>4</v>
      </c>
      <c r="J5656" s="117">
        <f t="shared" si="760"/>
        <v>0.24294399999999999</v>
      </c>
      <c r="K5656" s="118"/>
      <c r="L5656" s="111"/>
      <c r="M5656" s="117">
        <f t="shared" si="761"/>
        <v>0</v>
      </c>
      <c r="N5656" s="145">
        <f t="shared" si="762"/>
        <v>4</v>
      </c>
      <c r="O5656" s="120">
        <f t="shared" si="763"/>
        <v>0.24294399999999999</v>
      </c>
      <c r="P5656" s="111" t="s">
        <v>730</v>
      </c>
      <c r="Q5656" s="32"/>
      <c r="R5656" s="32"/>
    </row>
    <row r="5657" spans="1:18">
      <c r="A5657" s="110" t="s">
        <v>696</v>
      </c>
      <c r="B5657" s="111" t="s">
        <v>227</v>
      </c>
      <c r="C5657" s="112" t="s">
        <v>449</v>
      </c>
      <c r="D5657" s="113" t="s">
        <v>17</v>
      </c>
      <c r="E5657" s="369" t="s">
        <v>15</v>
      </c>
      <c r="F5657" s="369" t="s">
        <v>32</v>
      </c>
      <c r="G5657" s="370">
        <v>8.32</v>
      </c>
      <c r="H5657" s="126">
        <v>7.5</v>
      </c>
      <c r="I5657" s="213">
        <v>5</v>
      </c>
      <c r="J5657" s="117">
        <f t="shared" ref="J5657" si="764">H5657*G5657*I5657/1000</f>
        <v>0.312</v>
      </c>
      <c r="K5657" s="118"/>
      <c r="L5657" s="111">
        <v>5</v>
      </c>
      <c r="M5657" s="117">
        <f t="shared" ref="M5657" si="765">H5657*L5657*G5657/1000</f>
        <v>0.312</v>
      </c>
      <c r="N5657" s="119">
        <f t="shared" ref="N5657" si="766">I5657-L5657</f>
        <v>0</v>
      </c>
      <c r="O5657" s="120">
        <f t="shared" ref="O5657" si="767">H5657*N5657*G5657/1000</f>
        <v>0</v>
      </c>
      <c r="P5657" s="75">
        <v>6.3</v>
      </c>
      <c r="Q5657" s="72">
        <v>5</v>
      </c>
      <c r="R5657" s="72" t="s">
        <v>602</v>
      </c>
    </row>
    <row r="5658" spans="1:18">
      <c r="N5658" s="215">
        <f>SUM(N5652:N5657)</f>
        <v>4</v>
      </c>
      <c r="Q5658" s="215">
        <f>SUM(Q5652:Q5657)</f>
        <v>14</v>
      </c>
    </row>
    <row r="5659" spans="1:18" s="213" customFormat="1">
      <c r="N5659" s="215"/>
      <c r="Q5659" s="215">
        <f>+Q5658+Q5648+Q5645+Q5643+S5604+P5589</f>
        <v>72</v>
      </c>
    </row>
    <row r="5661" spans="1:18">
      <c r="A5661" s="42" t="s">
        <v>90</v>
      </c>
      <c r="B5661" s="48" t="s">
        <v>148</v>
      </c>
      <c r="C5661" s="32">
        <v>66</v>
      </c>
      <c r="D5661" s="69" t="s">
        <v>20</v>
      </c>
      <c r="E5661" s="69" t="s">
        <v>15</v>
      </c>
      <c r="F5661" s="69" t="s">
        <v>34</v>
      </c>
      <c r="G5661" s="61">
        <v>9.61</v>
      </c>
      <c r="H5661" s="70">
        <v>11.5</v>
      </c>
      <c r="I5661" s="60">
        <v>1</v>
      </c>
      <c r="J5661" s="62">
        <v>0.11051499999999999</v>
      </c>
      <c r="K5661" s="67"/>
      <c r="L5661" s="63">
        <v>0</v>
      </c>
      <c r="M5661" s="64">
        <v>1</v>
      </c>
      <c r="N5661" s="65">
        <v>0.11051499999999999</v>
      </c>
      <c r="O5661" s="67"/>
      <c r="P5661" s="32"/>
      <c r="Q5661" s="32"/>
    </row>
    <row r="5662" spans="1:18">
      <c r="A5662" s="47" t="s">
        <v>147</v>
      </c>
      <c r="B5662" s="48" t="s">
        <v>148</v>
      </c>
      <c r="C5662" s="32">
        <v>277</v>
      </c>
      <c r="D5662" s="48" t="s">
        <v>20</v>
      </c>
      <c r="E5662" s="48" t="s">
        <v>160</v>
      </c>
      <c r="F5662" s="48" t="s">
        <v>34</v>
      </c>
      <c r="G5662" s="11">
        <v>9.61</v>
      </c>
      <c r="H5662" s="52">
        <v>12</v>
      </c>
      <c r="I5662" s="7">
        <v>3</v>
      </c>
      <c r="J5662" s="10">
        <v>0.34595999999999999</v>
      </c>
      <c r="K5662" s="32">
        <v>3</v>
      </c>
      <c r="L5662" s="18">
        <v>0.34595999999999999</v>
      </c>
      <c r="M5662" s="19">
        <v>0</v>
      </c>
      <c r="N5662" s="13">
        <v>0</v>
      </c>
      <c r="O5662" s="75">
        <v>12</v>
      </c>
      <c r="P5662" s="72">
        <v>3</v>
      </c>
      <c r="Q5662" s="72" t="s">
        <v>677</v>
      </c>
    </row>
    <row r="5663" spans="1:18">
      <c r="A5663" s="45" t="s">
        <v>136</v>
      </c>
      <c r="B5663" s="32" t="s">
        <v>137</v>
      </c>
      <c r="C5663" s="3">
        <v>46</v>
      </c>
      <c r="D5663" s="20" t="s">
        <v>96</v>
      </c>
      <c r="E5663" s="7" t="s">
        <v>15</v>
      </c>
      <c r="F5663" s="7" t="s">
        <v>34</v>
      </c>
      <c r="G5663" s="11">
        <v>9.61</v>
      </c>
      <c r="H5663" s="33">
        <v>8.3000000000000007</v>
      </c>
      <c r="I5663" s="40">
        <v>2</v>
      </c>
      <c r="J5663" s="10">
        <v>0.159526</v>
      </c>
      <c r="K5663" s="17">
        <v>2</v>
      </c>
      <c r="L5663" s="18">
        <v>0.159526</v>
      </c>
      <c r="M5663" s="19">
        <v>0</v>
      </c>
      <c r="N5663" s="13">
        <v>0</v>
      </c>
      <c r="O5663" s="75">
        <v>6.35</v>
      </c>
      <c r="P5663" s="72">
        <v>2</v>
      </c>
      <c r="Q5663" s="72" t="s">
        <v>678</v>
      </c>
    </row>
    <row r="5664" spans="1:18">
      <c r="A5664" s="45" t="s">
        <v>136</v>
      </c>
      <c r="B5664" s="32" t="s">
        <v>137</v>
      </c>
      <c r="C5664" s="3">
        <v>46</v>
      </c>
      <c r="D5664" s="20" t="s">
        <v>96</v>
      </c>
      <c r="E5664" s="7" t="s">
        <v>15</v>
      </c>
      <c r="F5664" s="7" t="s">
        <v>34</v>
      </c>
      <c r="G5664" s="11">
        <v>9.61</v>
      </c>
      <c r="H5664" s="33">
        <v>6.5</v>
      </c>
      <c r="I5664" s="40">
        <v>1</v>
      </c>
      <c r="J5664" s="10">
        <v>6.2465E-2</v>
      </c>
      <c r="K5664" s="17">
        <v>1</v>
      </c>
      <c r="L5664" s="18">
        <v>6.2465E-2</v>
      </c>
      <c r="M5664" s="19">
        <v>0</v>
      </c>
      <c r="N5664" s="13">
        <v>0</v>
      </c>
      <c r="O5664" s="75">
        <v>6.35</v>
      </c>
      <c r="P5664" s="72">
        <v>1</v>
      </c>
      <c r="Q5664" s="72" t="s">
        <v>678</v>
      </c>
    </row>
    <row r="5665" spans="1:17">
      <c r="A5665" s="45" t="s">
        <v>136</v>
      </c>
      <c r="B5665" s="48" t="s">
        <v>171</v>
      </c>
      <c r="C5665" s="32">
        <v>113</v>
      </c>
      <c r="D5665" s="69" t="s">
        <v>173</v>
      </c>
      <c r="E5665" s="69" t="s">
        <v>15</v>
      </c>
      <c r="F5665" s="69" t="s">
        <v>34</v>
      </c>
      <c r="G5665" s="61">
        <v>9.61</v>
      </c>
      <c r="H5665" s="70">
        <v>9.1999999999999993</v>
      </c>
      <c r="I5665" s="60">
        <v>1</v>
      </c>
      <c r="J5665" s="62">
        <v>8.8411999999999991E-2</v>
      </c>
      <c r="K5665" s="67"/>
      <c r="L5665" s="63">
        <v>0</v>
      </c>
      <c r="M5665" s="64">
        <v>1</v>
      </c>
      <c r="N5665" s="65">
        <v>8.8411999999999991E-2</v>
      </c>
      <c r="O5665" s="67"/>
      <c r="P5665" s="67"/>
      <c r="Q5665" s="67"/>
    </row>
    <row r="5666" spans="1:17">
      <c r="A5666" s="45" t="s">
        <v>136</v>
      </c>
      <c r="B5666" s="48" t="s">
        <v>171</v>
      </c>
      <c r="C5666" s="32">
        <v>113</v>
      </c>
      <c r="D5666" s="69" t="s">
        <v>173</v>
      </c>
      <c r="E5666" s="69" t="s">
        <v>15</v>
      </c>
      <c r="F5666" s="69" t="s">
        <v>34</v>
      </c>
      <c r="G5666" s="61">
        <v>9.61</v>
      </c>
      <c r="H5666" s="70">
        <v>5.5</v>
      </c>
      <c r="I5666" s="60">
        <v>1</v>
      </c>
      <c r="J5666" s="62">
        <v>5.2854999999999999E-2</v>
      </c>
      <c r="K5666" s="67"/>
      <c r="L5666" s="63">
        <v>0</v>
      </c>
      <c r="M5666" s="64">
        <v>1</v>
      </c>
      <c r="N5666" s="65">
        <v>5.2854999999999999E-2</v>
      </c>
      <c r="O5666" s="67"/>
      <c r="P5666" s="67"/>
      <c r="Q5666" s="67"/>
    </row>
    <row r="5667" spans="1:17">
      <c r="M5667" s="215">
        <f>SUM(M5661:M5666)</f>
        <v>3</v>
      </c>
      <c r="P5667" s="215">
        <f>SUM(P5661:P5666)</f>
        <v>6</v>
      </c>
    </row>
    <row r="5671" spans="1:17">
      <c r="A5671" s="42" t="s">
        <v>84</v>
      </c>
      <c r="B5671" s="3" t="s">
        <v>122</v>
      </c>
      <c r="C5671" s="3">
        <v>1</v>
      </c>
      <c r="D5671" s="20" t="s">
        <v>86</v>
      </c>
      <c r="E5671" s="7" t="s">
        <v>14</v>
      </c>
      <c r="F5671" s="7" t="s">
        <v>32</v>
      </c>
      <c r="G5671" s="11">
        <v>8.3000000000000007</v>
      </c>
      <c r="H5671" s="8">
        <v>10.9</v>
      </c>
      <c r="I5671" s="26">
        <v>2</v>
      </c>
      <c r="J5671" s="10">
        <v>0.18094000000000002</v>
      </c>
      <c r="K5671" s="37">
        <v>2</v>
      </c>
      <c r="L5671" s="18">
        <v>0.18094000000000002</v>
      </c>
      <c r="M5671" s="19">
        <v>0</v>
      </c>
      <c r="N5671" s="13">
        <v>0</v>
      </c>
      <c r="O5671" s="73">
        <v>10.9</v>
      </c>
      <c r="P5671" s="74">
        <v>2</v>
      </c>
      <c r="Q5671" s="74" t="s">
        <v>731</v>
      </c>
    </row>
    <row r="5672" spans="1:17">
      <c r="A5672" s="42" t="s">
        <v>84</v>
      </c>
      <c r="B5672" s="3" t="s">
        <v>122</v>
      </c>
      <c r="C5672" s="3">
        <v>1</v>
      </c>
      <c r="D5672" s="20" t="s">
        <v>86</v>
      </c>
      <c r="E5672" s="7" t="s">
        <v>14</v>
      </c>
      <c r="F5672" s="7" t="s">
        <v>32</v>
      </c>
      <c r="G5672" s="11">
        <v>8.3000000000000007</v>
      </c>
      <c r="H5672" s="8">
        <v>9.6999999999999993</v>
      </c>
      <c r="I5672" s="26">
        <v>1</v>
      </c>
      <c r="J5672" s="10">
        <v>8.0509999999999998E-2</v>
      </c>
      <c r="K5672" s="37">
        <v>1</v>
      </c>
      <c r="L5672" s="18">
        <v>8.0509999999999998E-2</v>
      </c>
      <c r="M5672" s="19">
        <v>0</v>
      </c>
      <c r="N5672" s="13">
        <v>0</v>
      </c>
      <c r="O5672" s="73">
        <v>9.6999999999999993</v>
      </c>
      <c r="P5672" s="74">
        <v>1</v>
      </c>
      <c r="Q5672" s="74" t="s">
        <v>731</v>
      </c>
    </row>
    <row r="5673" spans="1:17">
      <c r="A5673" s="42" t="s">
        <v>84</v>
      </c>
      <c r="B5673" s="3" t="s">
        <v>122</v>
      </c>
      <c r="C5673" s="3">
        <v>1</v>
      </c>
      <c r="D5673" s="20" t="s">
        <v>86</v>
      </c>
      <c r="E5673" s="7" t="s">
        <v>14</v>
      </c>
      <c r="F5673" s="7" t="s">
        <v>32</v>
      </c>
      <c r="G5673" s="11">
        <v>8.3000000000000007</v>
      </c>
      <c r="H5673" s="8">
        <v>9.5</v>
      </c>
      <c r="I5673" s="26">
        <v>1</v>
      </c>
      <c r="J5673" s="10">
        <v>7.8850000000000003E-2</v>
      </c>
      <c r="K5673" s="17"/>
      <c r="L5673" s="18">
        <v>0</v>
      </c>
      <c r="M5673" s="19">
        <v>1</v>
      </c>
      <c r="N5673" s="13">
        <v>7.8850000000000003E-2</v>
      </c>
      <c r="O5673" s="9"/>
      <c r="P5673" s="2"/>
      <c r="Q5673" s="2"/>
    </row>
    <row r="5674" spans="1:17">
      <c r="A5674" s="42" t="s">
        <v>84</v>
      </c>
      <c r="B5674" s="3" t="s">
        <v>122</v>
      </c>
      <c r="C5674" s="3">
        <v>2</v>
      </c>
      <c r="D5674" s="24" t="s">
        <v>81</v>
      </c>
      <c r="E5674" s="7" t="s">
        <v>14</v>
      </c>
      <c r="F5674" s="7" t="s">
        <v>32</v>
      </c>
      <c r="G5674" s="11">
        <v>8.3000000000000007</v>
      </c>
      <c r="H5674" s="8">
        <v>10.1</v>
      </c>
      <c r="I5674" s="26">
        <v>1</v>
      </c>
      <c r="J5674" s="10">
        <v>8.3830000000000002E-2</v>
      </c>
      <c r="K5674" s="17"/>
      <c r="L5674" s="18">
        <v>0</v>
      </c>
      <c r="M5674" s="19">
        <v>1</v>
      </c>
      <c r="N5674" s="13">
        <v>8.3830000000000002E-2</v>
      </c>
      <c r="O5674" s="9"/>
      <c r="P5674" s="2"/>
      <c r="Q5674" s="2"/>
    </row>
    <row r="5675" spans="1:17">
      <c r="A5675" s="42" t="s">
        <v>84</v>
      </c>
      <c r="B5675" s="3" t="s">
        <v>122</v>
      </c>
      <c r="C5675" s="3">
        <v>2</v>
      </c>
      <c r="D5675" s="24" t="s">
        <v>81</v>
      </c>
      <c r="E5675" s="7" t="s">
        <v>14</v>
      </c>
      <c r="F5675" s="7" t="s">
        <v>32</v>
      </c>
      <c r="G5675" s="11">
        <v>8.3000000000000007</v>
      </c>
      <c r="H5675" s="8">
        <v>10.3</v>
      </c>
      <c r="I5675" s="26">
        <v>1</v>
      </c>
      <c r="J5675" s="10">
        <v>8.549000000000001E-2</v>
      </c>
      <c r="K5675" s="17"/>
      <c r="L5675" s="18">
        <v>0</v>
      </c>
      <c r="M5675" s="19">
        <v>1</v>
      </c>
      <c r="N5675" s="13">
        <v>8.549000000000001E-2</v>
      </c>
      <c r="O5675" s="9"/>
      <c r="P5675" s="2"/>
      <c r="Q5675" s="2"/>
    </row>
    <row r="5676" spans="1:17">
      <c r="A5676" s="42" t="s">
        <v>84</v>
      </c>
      <c r="B5676" s="3" t="s">
        <v>122</v>
      </c>
      <c r="C5676" s="3">
        <v>2</v>
      </c>
      <c r="D5676" s="24" t="s">
        <v>81</v>
      </c>
      <c r="E5676" s="7" t="s">
        <v>14</v>
      </c>
      <c r="F5676" s="7" t="s">
        <v>32</v>
      </c>
      <c r="G5676" s="11">
        <v>8.3000000000000007</v>
      </c>
      <c r="H5676" s="8">
        <v>10</v>
      </c>
      <c r="I5676" s="26">
        <v>2</v>
      </c>
      <c r="J5676" s="10">
        <v>0.16600000000000001</v>
      </c>
      <c r="K5676" s="17"/>
      <c r="L5676" s="18">
        <v>0</v>
      </c>
      <c r="M5676" s="19">
        <v>2</v>
      </c>
      <c r="N5676" s="13">
        <v>0.16600000000000001</v>
      </c>
      <c r="O5676" s="9"/>
      <c r="P5676" s="2"/>
      <c r="Q5676" s="2"/>
    </row>
    <row r="5677" spans="1:17">
      <c r="A5677" s="42" t="s">
        <v>84</v>
      </c>
      <c r="B5677" s="3" t="s">
        <v>122</v>
      </c>
      <c r="C5677" s="3">
        <v>3</v>
      </c>
      <c r="D5677" s="24" t="s">
        <v>81</v>
      </c>
      <c r="E5677" s="7" t="s">
        <v>14</v>
      </c>
      <c r="F5677" s="7" t="s">
        <v>32</v>
      </c>
      <c r="G5677" s="11">
        <v>8.3000000000000007</v>
      </c>
      <c r="H5677" s="8">
        <v>12</v>
      </c>
      <c r="I5677" s="26">
        <v>15</v>
      </c>
      <c r="J5677" s="10">
        <v>1.4940000000000002</v>
      </c>
      <c r="K5677" s="17">
        <v>6</v>
      </c>
      <c r="L5677" s="18">
        <v>0.59760000000000002</v>
      </c>
      <c r="M5677" s="19">
        <v>9</v>
      </c>
      <c r="N5677" s="13">
        <v>0.89640000000000009</v>
      </c>
      <c r="O5677" s="34"/>
      <c r="P5677" s="35"/>
      <c r="Q5677" s="35"/>
    </row>
    <row r="5678" spans="1:17">
      <c r="A5678" s="47" t="s">
        <v>147</v>
      </c>
      <c r="B5678" s="48" t="s">
        <v>148</v>
      </c>
      <c r="C5678" s="32">
        <v>364</v>
      </c>
      <c r="D5678" s="48" t="s">
        <v>159</v>
      </c>
      <c r="E5678" s="48" t="s">
        <v>14</v>
      </c>
      <c r="F5678" s="48" t="s">
        <v>32</v>
      </c>
      <c r="G5678" s="11">
        <v>8.3000000000000007</v>
      </c>
      <c r="H5678" s="52">
        <v>9.5</v>
      </c>
      <c r="I5678" s="7">
        <v>2</v>
      </c>
      <c r="J5678" s="10">
        <v>0.15770000000000001</v>
      </c>
      <c r="K5678" s="32"/>
      <c r="L5678" s="18">
        <v>0</v>
      </c>
      <c r="M5678" s="19">
        <v>2</v>
      </c>
      <c r="N5678" s="13">
        <v>0.15770000000000001</v>
      </c>
      <c r="O5678" s="32"/>
      <c r="P5678" s="32"/>
      <c r="Q5678" s="32"/>
    </row>
    <row r="5679" spans="1:17">
      <c r="A5679" s="47" t="s">
        <v>147</v>
      </c>
      <c r="B5679" s="48" t="s">
        <v>148</v>
      </c>
      <c r="C5679" s="32">
        <v>364</v>
      </c>
      <c r="D5679" s="48" t="s">
        <v>159</v>
      </c>
      <c r="E5679" s="48" t="s">
        <v>14</v>
      </c>
      <c r="F5679" s="48" t="s">
        <v>32</v>
      </c>
      <c r="G5679" s="11">
        <v>8.3000000000000007</v>
      </c>
      <c r="H5679" s="52">
        <v>10</v>
      </c>
      <c r="I5679" s="7">
        <v>2</v>
      </c>
      <c r="J5679" s="10">
        <v>0.16600000000000001</v>
      </c>
      <c r="K5679" s="32"/>
      <c r="L5679" s="18">
        <v>0</v>
      </c>
      <c r="M5679" s="19">
        <v>2</v>
      </c>
      <c r="N5679" s="13">
        <v>0.16600000000000001</v>
      </c>
      <c r="O5679" s="32"/>
      <c r="P5679" s="32"/>
      <c r="Q5679" s="32"/>
    </row>
    <row r="5680" spans="1:17">
      <c r="P5680" s="76">
        <f>SUM(P5671:P5679)</f>
        <v>3</v>
      </c>
    </row>
    <row r="5682" spans="1:17">
      <c r="A5682" s="42" t="s">
        <v>77</v>
      </c>
      <c r="B5682" s="3" t="s">
        <v>68</v>
      </c>
      <c r="C5682" s="3">
        <v>248</v>
      </c>
      <c r="D5682" s="12" t="s">
        <v>19</v>
      </c>
      <c r="E5682" s="7" t="s">
        <v>14</v>
      </c>
      <c r="F5682" s="7" t="s">
        <v>32</v>
      </c>
      <c r="G5682" s="11">
        <v>8.3000000000000007</v>
      </c>
      <c r="H5682" s="8">
        <v>11.6</v>
      </c>
      <c r="I5682" s="26">
        <v>1</v>
      </c>
      <c r="J5682" s="10">
        <v>9.6280000000000004E-2</v>
      </c>
      <c r="K5682" s="17">
        <v>1</v>
      </c>
      <c r="L5682" s="18">
        <v>9.6280000000000004E-2</v>
      </c>
      <c r="M5682" s="19">
        <v>0</v>
      </c>
      <c r="N5682" s="13">
        <v>0</v>
      </c>
      <c r="O5682" s="73">
        <v>10.4</v>
      </c>
      <c r="P5682" s="74">
        <v>1</v>
      </c>
      <c r="Q5682" s="74" t="s">
        <v>732</v>
      </c>
    </row>
    <row r="5683" spans="1:17">
      <c r="A5683" s="48" t="s">
        <v>168</v>
      </c>
      <c r="B5683" s="48" t="s">
        <v>169</v>
      </c>
      <c r="C5683" s="32">
        <v>1</v>
      </c>
      <c r="D5683" s="48" t="s">
        <v>19</v>
      </c>
      <c r="E5683" s="48" t="s">
        <v>14</v>
      </c>
      <c r="F5683" s="48" t="s">
        <v>32</v>
      </c>
      <c r="G5683" s="11">
        <v>8.3000000000000007</v>
      </c>
      <c r="H5683" s="8">
        <v>12</v>
      </c>
      <c r="I5683" s="7">
        <v>1</v>
      </c>
      <c r="J5683" s="10">
        <v>9.9600000000000008E-2</v>
      </c>
      <c r="K5683" s="32">
        <v>1</v>
      </c>
      <c r="L5683" s="18">
        <v>9.9600000000000008E-2</v>
      </c>
      <c r="M5683" s="19">
        <v>0</v>
      </c>
      <c r="N5683" s="13">
        <v>0</v>
      </c>
      <c r="O5683" s="73">
        <v>10.4</v>
      </c>
      <c r="P5683" s="72">
        <v>1</v>
      </c>
      <c r="Q5683" s="74" t="s">
        <v>732</v>
      </c>
    </row>
    <row r="5684" spans="1:17">
      <c r="A5684" s="42" t="s">
        <v>78</v>
      </c>
      <c r="B5684" s="3" t="s">
        <v>79</v>
      </c>
      <c r="C5684" s="3">
        <v>3</v>
      </c>
      <c r="D5684" s="12" t="s">
        <v>19</v>
      </c>
      <c r="E5684" s="7" t="s">
        <v>14</v>
      </c>
      <c r="F5684" s="7" t="s">
        <v>32</v>
      </c>
      <c r="G5684" s="11">
        <v>8.3000000000000007</v>
      </c>
      <c r="H5684" s="8">
        <v>7.2</v>
      </c>
      <c r="I5684" s="26">
        <v>1</v>
      </c>
      <c r="J5684" s="10">
        <v>5.9760000000000008E-2</v>
      </c>
      <c r="K5684" s="17">
        <v>1</v>
      </c>
      <c r="L5684" s="18">
        <v>5.9760000000000008E-2</v>
      </c>
      <c r="M5684" s="19">
        <v>0</v>
      </c>
      <c r="N5684" s="13">
        <v>0</v>
      </c>
      <c r="O5684" s="73">
        <v>7.15</v>
      </c>
      <c r="P5684" s="74">
        <v>1</v>
      </c>
      <c r="Q5684" s="74" t="s">
        <v>732</v>
      </c>
    </row>
    <row r="5685" spans="1:17">
      <c r="A5685" s="42" t="s">
        <v>90</v>
      </c>
      <c r="B5685" s="48" t="s">
        <v>148</v>
      </c>
      <c r="C5685" s="32">
        <v>95</v>
      </c>
      <c r="D5685" s="69" t="s">
        <v>19</v>
      </c>
      <c r="E5685" s="69" t="s">
        <v>14</v>
      </c>
      <c r="F5685" s="69" t="s">
        <v>32</v>
      </c>
      <c r="G5685" s="61">
        <v>8.3000000000000007</v>
      </c>
      <c r="H5685" s="21">
        <v>11</v>
      </c>
      <c r="I5685" s="60">
        <v>2</v>
      </c>
      <c r="J5685" s="62">
        <v>0.18260000000000001</v>
      </c>
      <c r="K5685" s="67"/>
      <c r="L5685" s="63">
        <v>0</v>
      </c>
      <c r="M5685" s="64">
        <v>2</v>
      </c>
      <c r="N5685" s="65">
        <v>0.18260000000000001</v>
      </c>
      <c r="O5685" s="32"/>
      <c r="P5685" s="32"/>
      <c r="Q5685" s="32"/>
    </row>
    <row r="5686" spans="1:17">
      <c r="A5686" s="42" t="s">
        <v>90</v>
      </c>
      <c r="B5686" s="48" t="s">
        <v>148</v>
      </c>
      <c r="C5686" s="32">
        <v>99</v>
      </c>
      <c r="D5686" s="48" t="s">
        <v>19</v>
      </c>
      <c r="E5686" s="48" t="s">
        <v>14</v>
      </c>
      <c r="F5686" s="48" t="s">
        <v>32</v>
      </c>
      <c r="G5686" s="11">
        <v>8.3000000000000007</v>
      </c>
      <c r="H5686" s="8">
        <v>8</v>
      </c>
      <c r="I5686" s="7">
        <v>1</v>
      </c>
      <c r="J5686" s="10">
        <v>6.6400000000000001E-2</v>
      </c>
      <c r="K5686" s="32">
        <v>1</v>
      </c>
      <c r="L5686" s="18">
        <v>6.6400000000000001E-2</v>
      </c>
      <c r="M5686" s="19">
        <v>0</v>
      </c>
      <c r="N5686" s="13">
        <v>0</v>
      </c>
      <c r="O5686" s="73">
        <v>7.15</v>
      </c>
      <c r="P5686" s="72">
        <v>1</v>
      </c>
      <c r="Q5686" s="74" t="s">
        <v>732</v>
      </c>
    </row>
    <row r="5687" spans="1:17">
      <c r="A5687" s="42" t="s">
        <v>90</v>
      </c>
      <c r="B5687" s="48" t="s">
        <v>148</v>
      </c>
      <c r="C5687" s="32">
        <v>99</v>
      </c>
      <c r="D5687" s="48" t="s">
        <v>19</v>
      </c>
      <c r="E5687" s="48" t="s">
        <v>14</v>
      </c>
      <c r="F5687" s="48" t="s">
        <v>32</v>
      </c>
      <c r="G5687" s="11">
        <v>8.3000000000000007</v>
      </c>
      <c r="H5687" s="8">
        <v>5.7</v>
      </c>
      <c r="I5687" s="7">
        <v>1</v>
      </c>
      <c r="J5687" s="10">
        <v>4.7310000000000005E-2</v>
      </c>
      <c r="K5687" s="32"/>
      <c r="L5687" s="18">
        <v>0</v>
      </c>
      <c r="M5687" s="19">
        <v>1</v>
      </c>
      <c r="N5687" s="13">
        <v>4.7310000000000005E-2</v>
      </c>
      <c r="O5687" s="32"/>
      <c r="P5687" s="32"/>
      <c r="Q5687" s="32"/>
    </row>
    <row r="5688" spans="1:17">
      <c r="A5688" s="42" t="s">
        <v>90</v>
      </c>
      <c r="B5688" s="48" t="s">
        <v>148</v>
      </c>
      <c r="C5688" s="32">
        <v>99</v>
      </c>
      <c r="D5688" s="48" t="s">
        <v>19</v>
      </c>
      <c r="E5688" s="48" t="s">
        <v>14</v>
      </c>
      <c r="F5688" s="48" t="s">
        <v>32</v>
      </c>
      <c r="G5688" s="11">
        <v>8.3000000000000007</v>
      </c>
      <c r="H5688" s="8">
        <v>5.2</v>
      </c>
      <c r="I5688" s="7">
        <v>1</v>
      </c>
      <c r="J5688" s="10">
        <v>4.3160000000000004E-2</v>
      </c>
      <c r="K5688" s="32"/>
      <c r="L5688" s="18">
        <v>0</v>
      </c>
      <c r="M5688" s="19">
        <v>1</v>
      </c>
      <c r="N5688" s="13">
        <v>4.3160000000000004E-2</v>
      </c>
      <c r="O5688" s="32"/>
      <c r="P5688" s="32"/>
      <c r="Q5688" s="32"/>
    </row>
    <row r="5689" spans="1:17">
      <c r="A5689" s="42" t="s">
        <v>90</v>
      </c>
      <c r="B5689" s="3"/>
      <c r="C5689" s="3">
        <v>103</v>
      </c>
      <c r="D5689" s="12" t="s">
        <v>19</v>
      </c>
      <c r="E5689" s="7" t="s">
        <v>14</v>
      </c>
      <c r="F5689" s="7" t="s">
        <v>32</v>
      </c>
      <c r="G5689" s="11">
        <v>8.3000000000000007</v>
      </c>
      <c r="H5689" s="8">
        <v>7.4</v>
      </c>
      <c r="I5689" s="26">
        <v>1</v>
      </c>
      <c r="J5689" s="10">
        <v>6.1420000000000009E-2</v>
      </c>
      <c r="K5689" s="17">
        <v>1</v>
      </c>
      <c r="L5689" s="18">
        <v>6.1420000000000009E-2</v>
      </c>
      <c r="M5689" s="19">
        <v>0</v>
      </c>
      <c r="N5689" s="13">
        <v>0</v>
      </c>
      <c r="O5689" s="73">
        <v>7.15</v>
      </c>
      <c r="P5689" s="74">
        <v>1</v>
      </c>
      <c r="Q5689" s="74" t="s">
        <v>732</v>
      </c>
    </row>
    <row r="5690" spans="1:17">
      <c r="A5690" s="42" t="s">
        <v>90</v>
      </c>
      <c r="B5690" s="3"/>
      <c r="C5690" s="3">
        <v>103</v>
      </c>
      <c r="D5690" s="12" t="s">
        <v>19</v>
      </c>
      <c r="E5690" s="7" t="s">
        <v>14</v>
      </c>
      <c r="F5690" s="7" t="s">
        <v>32</v>
      </c>
      <c r="G5690" s="11">
        <v>8.3000000000000007</v>
      </c>
      <c r="H5690" s="8">
        <v>7.5</v>
      </c>
      <c r="I5690" s="26">
        <v>2</v>
      </c>
      <c r="J5690" s="10">
        <v>0.12450000000000001</v>
      </c>
      <c r="K5690" s="17">
        <v>2</v>
      </c>
      <c r="L5690" s="18">
        <v>0.12450000000000001</v>
      </c>
      <c r="M5690" s="19">
        <v>0</v>
      </c>
      <c r="N5690" s="13">
        <v>0</v>
      </c>
      <c r="O5690" s="73">
        <v>7.15</v>
      </c>
      <c r="P5690" s="74">
        <v>2</v>
      </c>
      <c r="Q5690" s="74" t="s">
        <v>732</v>
      </c>
    </row>
    <row r="5691" spans="1:17">
      <c r="A5691" s="42" t="s">
        <v>90</v>
      </c>
      <c r="B5691" s="3"/>
      <c r="C5691" s="3">
        <v>103</v>
      </c>
      <c r="D5691" s="12" t="s">
        <v>19</v>
      </c>
      <c r="E5691" s="7" t="s">
        <v>14</v>
      </c>
      <c r="F5691" s="7" t="s">
        <v>32</v>
      </c>
      <c r="G5691" s="11">
        <v>8.3000000000000007</v>
      </c>
      <c r="H5691" s="8">
        <v>7.1</v>
      </c>
      <c r="I5691" s="26">
        <v>2</v>
      </c>
      <c r="J5691" s="10">
        <v>0.11785999999999999</v>
      </c>
      <c r="K5691" s="17">
        <v>2</v>
      </c>
      <c r="L5691" s="18">
        <v>0.11785999999999999</v>
      </c>
      <c r="M5691" s="19">
        <v>0</v>
      </c>
      <c r="N5691" s="13">
        <v>0</v>
      </c>
      <c r="O5691" s="73">
        <v>7.15</v>
      </c>
      <c r="P5691" s="74">
        <v>2</v>
      </c>
      <c r="Q5691" s="74" t="s">
        <v>732</v>
      </c>
    </row>
    <row r="5692" spans="1:17">
      <c r="A5692" s="42" t="s">
        <v>90</v>
      </c>
      <c r="B5692" s="3"/>
      <c r="C5692" s="3">
        <v>118</v>
      </c>
      <c r="D5692" s="59" t="s">
        <v>19</v>
      </c>
      <c r="E5692" s="60" t="s">
        <v>14</v>
      </c>
      <c r="F5692" s="60" t="s">
        <v>32</v>
      </c>
      <c r="G5692" s="61">
        <v>8.3000000000000007</v>
      </c>
      <c r="H5692" s="21">
        <v>10.5</v>
      </c>
      <c r="I5692" s="22">
        <v>1</v>
      </c>
      <c r="J5692" s="62">
        <v>8.7150000000000005E-2</v>
      </c>
      <c r="K5692" s="22"/>
      <c r="L5692" s="63">
        <v>0</v>
      </c>
      <c r="M5692" s="64">
        <v>1</v>
      </c>
      <c r="N5692" s="65">
        <v>8.7150000000000005E-2</v>
      </c>
      <c r="O5692" s="9"/>
      <c r="P5692" s="2"/>
      <c r="Q5692" s="2"/>
    </row>
    <row r="5693" spans="1:17">
      <c r="A5693" s="42" t="s">
        <v>90</v>
      </c>
      <c r="B5693" s="3"/>
      <c r="C5693" s="3">
        <v>118</v>
      </c>
      <c r="D5693" s="59" t="s">
        <v>19</v>
      </c>
      <c r="E5693" s="60" t="s">
        <v>14</v>
      </c>
      <c r="F5693" s="60" t="s">
        <v>32</v>
      </c>
      <c r="G5693" s="61">
        <v>8.3000000000000007</v>
      </c>
      <c r="H5693" s="21">
        <v>11</v>
      </c>
      <c r="I5693" s="22">
        <v>1</v>
      </c>
      <c r="J5693" s="62">
        <v>9.1300000000000006E-2</v>
      </c>
      <c r="K5693" s="22"/>
      <c r="L5693" s="63">
        <v>0</v>
      </c>
      <c r="M5693" s="64">
        <v>1</v>
      </c>
      <c r="N5693" s="65">
        <v>9.1300000000000006E-2</v>
      </c>
      <c r="O5693" s="9"/>
      <c r="P5693" s="2"/>
      <c r="Q5693" s="2"/>
    </row>
    <row r="5694" spans="1:17">
      <c r="A5694" s="42" t="s">
        <v>90</v>
      </c>
      <c r="B5694" s="3"/>
      <c r="C5694" s="3">
        <v>119</v>
      </c>
      <c r="D5694" s="12" t="s">
        <v>19</v>
      </c>
      <c r="E5694" s="7" t="s">
        <v>14</v>
      </c>
      <c r="F5694" s="7" t="s">
        <v>32</v>
      </c>
      <c r="G5694" s="11">
        <v>8.3000000000000007</v>
      </c>
      <c r="H5694" s="8">
        <v>9</v>
      </c>
      <c r="I5694" s="26">
        <v>1</v>
      </c>
      <c r="J5694" s="10">
        <v>7.4700000000000003E-2</v>
      </c>
      <c r="K5694" s="22">
        <v>1</v>
      </c>
      <c r="L5694" s="18">
        <v>7.4700000000000003E-2</v>
      </c>
      <c r="M5694" s="19">
        <v>0</v>
      </c>
      <c r="N5694" s="13">
        <v>0</v>
      </c>
      <c r="O5694" s="73">
        <v>7.15</v>
      </c>
      <c r="P5694" s="74">
        <v>1</v>
      </c>
      <c r="Q5694" s="74" t="s">
        <v>732</v>
      </c>
    </row>
    <row r="5695" spans="1:17">
      <c r="A5695" s="42" t="s">
        <v>90</v>
      </c>
      <c r="B5695" s="3"/>
      <c r="C5695" s="3">
        <v>123</v>
      </c>
      <c r="D5695" s="20" t="s">
        <v>19</v>
      </c>
      <c r="E5695" s="7" t="s">
        <v>14</v>
      </c>
      <c r="F5695" s="7" t="s">
        <v>32</v>
      </c>
      <c r="G5695" s="11">
        <v>8.3000000000000007</v>
      </c>
      <c r="H5695" s="8">
        <v>5.5</v>
      </c>
      <c r="I5695" s="26">
        <v>1</v>
      </c>
      <c r="J5695" s="10">
        <v>4.5650000000000003E-2</v>
      </c>
      <c r="K5695" s="17"/>
      <c r="L5695" s="18">
        <v>0</v>
      </c>
      <c r="M5695" s="19">
        <v>1</v>
      </c>
      <c r="N5695" s="13">
        <v>4.5650000000000003E-2</v>
      </c>
      <c r="O5695" s="73"/>
      <c r="P5695" s="74"/>
      <c r="Q5695" s="74"/>
    </row>
    <row r="5696" spans="1:17">
      <c r="A5696" s="45" t="s">
        <v>136</v>
      </c>
      <c r="B5696" s="32" t="s">
        <v>137</v>
      </c>
      <c r="C5696" s="3">
        <v>68</v>
      </c>
      <c r="D5696" s="20" t="s">
        <v>145</v>
      </c>
      <c r="E5696" s="7" t="s">
        <v>14</v>
      </c>
      <c r="F5696" s="7" t="s">
        <v>32</v>
      </c>
      <c r="G5696" s="11">
        <v>8.3000000000000007</v>
      </c>
      <c r="H5696" s="55">
        <v>9</v>
      </c>
      <c r="I5696" s="40">
        <v>1</v>
      </c>
      <c r="J5696" s="10">
        <v>7.4700000000000003E-2</v>
      </c>
      <c r="K5696" s="17">
        <v>1</v>
      </c>
      <c r="L5696" s="18">
        <v>7.4700000000000003E-2</v>
      </c>
      <c r="M5696" s="19">
        <v>0</v>
      </c>
      <c r="N5696" s="13">
        <v>0</v>
      </c>
      <c r="O5696" s="73">
        <v>7.15</v>
      </c>
      <c r="P5696" s="72">
        <v>1</v>
      </c>
      <c r="Q5696" s="74" t="s">
        <v>732</v>
      </c>
    </row>
    <row r="5697" spans="1:20">
      <c r="A5697" s="45" t="s">
        <v>136</v>
      </c>
      <c r="B5697" s="32" t="s">
        <v>137</v>
      </c>
      <c r="C5697" s="3">
        <v>68</v>
      </c>
      <c r="D5697" s="20" t="s">
        <v>145</v>
      </c>
      <c r="E5697" s="7" t="s">
        <v>14</v>
      </c>
      <c r="F5697" s="7" t="s">
        <v>32</v>
      </c>
      <c r="G5697" s="11">
        <v>8.3000000000000007</v>
      </c>
      <c r="H5697" s="55">
        <v>8</v>
      </c>
      <c r="I5697" s="40">
        <v>1</v>
      </c>
      <c r="J5697" s="10">
        <v>6.6400000000000001E-2</v>
      </c>
      <c r="K5697" s="17">
        <v>1</v>
      </c>
      <c r="L5697" s="18">
        <v>6.6400000000000001E-2</v>
      </c>
      <c r="M5697" s="19">
        <v>0</v>
      </c>
      <c r="N5697" s="13">
        <v>0</v>
      </c>
      <c r="O5697" s="73">
        <v>7.15</v>
      </c>
      <c r="P5697" s="72">
        <v>1</v>
      </c>
      <c r="Q5697" s="74" t="s">
        <v>732</v>
      </c>
    </row>
    <row r="5698" spans="1:20">
      <c r="M5698" s="215">
        <f>SUM(M5682:M5697)</f>
        <v>7</v>
      </c>
      <c r="P5698" s="215">
        <f>SUM(P5682:P5697)</f>
        <v>12</v>
      </c>
    </row>
    <row r="5700" spans="1:20">
      <c r="A5700" s="42" t="s">
        <v>77</v>
      </c>
      <c r="B5700" s="3" t="s">
        <v>68</v>
      </c>
      <c r="C5700" s="3">
        <v>195</v>
      </c>
      <c r="D5700" s="20" t="s">
        <v>19</v>
      </c>
      <c r="E5700" s="7" t="s">
        <v>14</v>
      </c>
      <c r="F5700" s="7" t="s">
        <v>34</v>
      </c>
      <c r="G5700" s="11">
        <v>9.61</v>
      </c>
      <c r="H5700" s="8">
        <v>7.9</v>
      </c>
      <c r="I5700" s="26">
        <v>2</v>
      </c>
      <c r="J5700" s="10">
        <v>0.151838</v>
      </c>
      <c r="K5700" s="17">
        <v>2</v>
      </c>
      <c r="L5700" s="18">
        <v>0.151838</v>
      </c>
      <c r="M5700" s="19">
        <v>0</v>
      </c>
      <c r="N5700" s="13">
        <v>0</v>
      </c>
      <c r="O5700" s="9"/>
      <c r="P5700" s="2">
        <v>2</v>
      </c>
      <c r="Q5700" s="2" t="s">
        <v>278</v>
      </c>
      <c r="R5700" s="213"/>
      <c r="S5700" s="213"/>
      <c r="T5700" s="213"/>
    </row>
    <row r="5701" spans="1:20">
      <c r="A5701" s="42" t="s">
        <v>77</v>
      </c>
      <c r="B5701" s="3" t="s">
        <v>68</v>
      </c>
      <c r="C5701" s="3">
        <v>195</v>
      </c>
      <c r="D5701" s="20" t="s">
        <v>19</v>
      </c>
      <c r="E5701" s="7" t="s">
        <v>14</v>
      </c>
      <c r="F5701" s="7" t="s">
        <v>34</v>
      </c>
      <c r="G5701" s="11">
        <v>9.61</v>
      </c>
      <c r="H5701" s="8">
        <v>7.6</v>
      </c>
      <c r="I5701" s="26">
        <v>1</v>
      </c>
      <c r="J5701" s="10">
        <v>7.303599999999999E-2</v>
      </c>
      <c r="K5701" s="17">
        <v>1</v>
      </c>
      <c r="L5701" s="18">
        <v>7.303599999999999E-2</v>
      </c>
      <c r="M5701" s="19">
        <v>0</v>
      </c>
      <c r="N5701" s="13">
        <v>0</v>
      </c>
      <c r="O5701" s="9"/>
      <c r="P5701" s="2">
        <v>1</v>
      </c>
      <c r="Q5701" s="2" t="s">
        <v>278</v>
      </c>
      <c r="R5701" s="213"/>
      <c r="S5701" s="213"/>
      <c r="T5701" s="213"/>
    </row>
    <row r="5702" spans="1:20">
      <c r="A5702" s="42" t="s">
        <v>77</v>
      </c>
      <c r="B5702" s="3" t="s">
        <v>68</v>
      </c>
      <c r="C5702" s="3">
        <v>195</v>
      </c>
      <c r="D5702" s="20" t="s">
        <v>19</v>
      </c>
      <c r="E5702" s="7" t="s">
        <v>14</v>
      </c>
      <c r="F5702" s="7" t="s">
        <v>34</v>
      </c>
      <c r="G5702" s="11">
        <v>9.61</v>
      </c>
      <c r="H5702" s="8">
        <v>8.8000000000000007</v>
      </c>
      <c r="I5702" s="26">
        <v>2</v>
      </c>
      <c r="J5702" s="10">
        <v>0.16913600000000001</v>
      </c>
      <c r="K5702" s="17">
        <v>2</v>
      </c>
      <c r="L5702" s="18">
        <v>0.16913600000000001</v>
      </c>
      <c r="M5702" s="19">
        <v>0</v>
      </c>
      <c r="N5702" s="13">
        <v>0</v>
      </c>
      <c r="O5702" s="9"/>
      <c r="P5702" s="2">
        <v>2</v>
      </c>
      <c r="Q5702" s="2" t="s">
        <v>278</v>
      </c>
      <c r="R5702" s="213"/>
      <c r="S5702" s="213"/>
      <c r="T5702" s="213"/>
    </row>
    <row r="5703" spans="1:20">
      <c r="A5703" s="42" t="s">
        <v>77</v>
      </c>
      <c r="B5703" s="3" t="s">
        <v>68</v>
      </c>
      <c r="C5703" s="3">
        <v>247</v>
      </c>
      <c r="D5703" s="12" t="s">
        <v>19</v>
      </c>
      <c r="E5703" s="7" t="s">
        <v>14</v>
      </c>
      <c r="F5703" s="7" t="s">
        <v>34</v>
      </c>
      <c r="G5703" s="11">
        <v>9.61</v>
      </c>
      <c r="H5703" s="8">
        <v>12</v>
      </c>
      <c r="I5703" s="26">
        <v>2</v>
      </c>
      <c r="J5703" s="10">
        <v>0.23063999999999998</v>
      </c>
      <c r="K5703" s="17">
        <v>2</v>
      </c>
      <c r="L5703" s="18">
        <v>0.23063999999999998</v>
      </c>
      <c r="M5703" s="19">
        <v>0</v>
      </c>
      <c r="N5703" s="13">
        <v>0</v>
      </c>
      <c r="O5703" s="9"/>
      <c r="P5703" s="2">
        <v>1</v>
      </c>
      <c r="Q5703" s="2" t="s">
        <v>278</v>
      </c>
      <c r="R5703" s="77">
        <v>6.55</v>
      </c>
      <c r="S5703" s="458">
        <v>1</v>
      </c>
      <c r="T5703" s="77" t="s">
        <v>733</v>
      </c>
    </row>
    <row r="5704" spans="1:20">
      <c r="A5704" s="48" t="s">
        <v>168</v>
      </c>
      <c r="B5704" s="48" t="s">
        <v>169</v>
      </c>
      <c r="C5704" s="32">
        <v>8</v>
      </c>
      <c r="D5704" s="48" t="s">
        <v>19</v>
      </c>
      <c r="E5704" s="48" t="s">
        <v>14</v>
      </c>
      <c r="F5704" s="48" t="s">
        <v>34</v>
      </c>
      <c r="G5704" s="11">
        <v>9.61</v>
      </c>
      <c r="H5704" s="52">
        <v>9</v>
      </c>
      <c r="I5704" s="7">
        <v>1</v>
      </c>
      <c r="J5704" s="10">
        <v>8.6489999999999997E-2</v>
      </c>
      <c r="K5704" s="32">
        <v>1</v>
      </c>
      <c r="L5704" s="18">
        <v>8.6489999999999997E-2</v>
      </c>
      <c r="M5704" s="19">
        <v>0</v>
      </c>
      <c r="N5704" s="13">
        <v>0</v>
      </c>
      <c r="O5704" s="32"/>
      <c r="P5704" s="32"/>
      <c r="Q5704" s="32"/>
      <c r="R5704" s="77">
        <v>6.55</v>
      </c>
      <c r="S5704" s="458">
        <v>1</v>
      </c>
      <c r="T5704" s="77" t="s">
        <v>733</v>
      </c>
    </row>
    <row r="5705" spans="1:20">
      <c r="S5705" s="76">
        <f>SUM(S5703:S5704)</f>
        <v>2</v>
      </c>
    </row>
    <row r="5706" spans="1:20" s="213" customFormat="1">
      <c r="S5706" s="76"/>
    </row>
    <row r="5707" spans="1:20" s="213" customFormat="1">
      <c r="A5707" s="47" t="s">
        <v>147</v>
      </c>
      <c r="B5707" s="48" t="s">
        <v>148</v>
      </c>
      <c r="C5707" s="32">
        <v>368</v>
      </c>
      <c r="D5707" s="48" t="s">
        <v>159</v>
      </c>
      <c r="E5707" s="48" t="s">
        <v>14</v>
      </c>
      <c r="F5707" s="48" t="s">
        <v>29</v>
      </c>
      <c r="G5707" s="11">
        <v>10.92</v>
      </c>
      <c r="H5707" s="8">
        <v>9.8000000000000007</v>
      </c>
      <c r="I5707" s="7">
        <v>1</v>
      </c>
      <c r="J5707" s="10">
        <v>0.107016</v>
      </c>
      <c r="K5707" s="32">
        <v>1</v>
      </c>
      <c r="L5707" s="18">
        <v>0.107016</v>
      </c>
      <c r="M5707" s="19">
        <v>0</v>
      </c>
      <c r="N5707" s="13">
        <v>0</v>
      </c>
      <c r="O5707" s="32"/>
      <c r="P5707" s="91">
        <v>1</v>
      </c>
      <c r="Q5707" s="91" t="s">
        <v>755</v>
      </c>
      <c r="S5707" s="76"/>
    </row>
    <row r="5708" spans="1:20" s="213" customFormat="1">
      <c r="A5708" s="47" t="s">
        <v>147</v>
      </c>
      <c r="B5708" s="48" t="s">
        <v>148</v>
      </c>
      <c r="C5708" s="32">
        <v>368</v>
      </c>
      <c r="D5708" s="48" t="s">
        <v>159</v>
      </c>
      <c r="E5708" s="48" t="s">
        <v>14</v>
      </c>
      <c r="F5708" s="48" t="s">
        <v>29</v>
      </c>
      <c r="G5708" s="11">
        <v>10.92</v>
      </c>
      <c r="H5708" s="8">
        <v>9.6</v>
      </c>
      <c r="I5708" s="7">
        <v>2</v>
      </c>
      <c r="J5708" s="10">
        <v>0.20966399999999999</v>
      </c>
      <c r="K5708" s="32">
        <v>2</v>
      </c>
      <c r="L5708" s="18">
        <v>0.20966399999999999</v>
      </c>
      <c r="M5708" s="19">
        <v>0</v>
      </c>
      <c r="N5708" s="13">
        <v>0</v>
      </c>
      <c r="O5708" s="32"/>
      <c r="P5708" s="91">
        <v>2</v>
      </c>
      <c r="Q5708" s="91" t="s">
        <v>755</v>
      </c>
      <c r="S5708" s="76"/>
    </row>
    <row r="5709" spans="1:20" s="213" customFormat="1">
      <c r="A5709" s="47" t="s">
        <v>147</v>
      </c>
      <c r="B5709" s="48" t="s">
        <v>148</v>
      </c>
      <c r="C5709" s="32">
        <v>368</v>
      </c>
      <c r="D5709" s="48" t="s">
        <v>159</v>
      </c>
      <c r="E5709" s="48" t="s">
        <v>14</v>
      </c>
      <c r="F5709" s="48" t="s">
        <v>29</v>
      </c>
      <c r="G5709" s="11">
        <v>10.92</v>
      </c>
      <c r="H5709" s="8">
        <v>9.4</v>
      </c>
      <c r="I5709" s="7">
        <v>1</v>
      </c>
      <c r="J5709" s="10">
        <v>0.10264799999999999</v>
      </c>
      <c r="K5709" s="32">
        <v>1</v>
      </c>
      <c r="L5709" s="18">
        <v>0.10264799999999999</v>
      </c>
      <c r="M5709" s="19">
        <v>0</v>
      </c>
      <c r="N5709" s="13">
        <v>0</v>
      </c>
      <c r="O5709" s="32"/>
      <c r="P5709" s="91">
        <v>1</v>
      </c>
      <c r="Q5709" s="91" t="s">
        <v>755</v>
      </c>
      <c r="S5709" s="76"/>
    </row>
    <row r="5710" spans="1:20" s="213" customFormat="1">
      <c r="S5710" s="76"/>
    </row>
    <row r="5711" spans="1:20" s="213" customFormat="1">
      <c r="S5711" s="76"/>
    </row>
    <row r="5712" spans="1:20" s="213" customFormat="1">
      <c r="A5712" s="110" t="s">
        <v>754</v>
      </c>
      <c r="B5712" s="111" t="s">
        <v>227</v>
      </c>
      <c r="C5712" s="112" t="s">
        <v>449</v>
      </c>
      <c r="D5712" s="113" t="s">
        <v>86</v>
      </c>
      <c r="E5712" s="369" t="s">
        <v>14</v>
      </c>
      <c r="F5712" s="369" t="s">
        <v>29</v>
      </c>
      <c r="G5712" s="370">
        <v>10.92</v>
      </c>
      <c r="H5712" s="125">
        <v>10.5</v>
      </c>
      <c r="I5712" s="32">
        <v>16</v>
      </c>
      <c r="J5712" s="117">
        <f t="shared" ref="J5712:J5722" si="768">H5712*G5712*I5712/1000</f>
        <v>1.83456</v>
      </c>
      <c r="K5712" s="118"/>
      <c r="L5712" s="111">
        <v>16</v>
      </c>
      <c r="M5712" s="117">
        <f t="shared" ref="M5712:M5722" si="769">H5712*L5712*G5712/1000</f>
        <v>1.83456</v>
      </c>
      <c r="N5712" s="119">
        <f t="shared" ref="N5712:N5722" si="770">I5712-L5712</f>
        <v>0</v>
      </c>
      <c r="O5712" s="120">
        <f t="shared" ref="O5712:O5722" si="771">H5712*N5712*G5712/1000</f>
        <v>0</v>
      </c>
      <c r="P5712" s="111"/>
      <c r="Q5712" s="32"/>
      <c r="R5712" s="32"/>
      <c r="S5712" s="76"/>
    </row>
    <row r="5713" spans="1:19" s="213" customFormat="1">
      <c r="A5713" s="110" t="s">
        <v>754</v>
      </c>
      <c r="B5713" s="111" t="s">
        <v>227</v>
      </c>
      <c r="C5713" s="112" t="s">
        <v>449</v>
      </c>
      <c r="D5713" s="113" t="s">
        <v>86</v>
      </c>
      <c r="E5713" s="369" t="s">
        <v>14</v>
      </c>
      <c r="F5713" s="369" t="s">
        <v>29</v>
      </c>
      <c r="G5713" s="370">
        <v>10.92</v>
      </c>
      <c r="H5713" s="125">
        <v>10.5</v>
      </c>
      <c r="I5713" s="32">
        <v>16</v>
      </c>
      <c r="J5713" s="117">
        <f t="shared" si="768"/>
        <v>1.83456</v>
      </c>
      <c r="K5713" s="118"/>
      <c r="L5713" s="111">
        <v>16</v>
      </c>
      <c r="M5713" s="117">
        <f t="shared" si="769"/>
        <v>1.83456</v>
      </c>
      <c r="N5713" s="119">
        <f t="shared" si="770"/>
        <v>0</v>
      </c>
      <c r="O5713" s="120">
        <f t="shared" si="771"/>
        <v>0</v>
      </c>
      <c r="P5713" s="111"/>
      <c r="Q5713" s="32"/>
      <c r="R5713" s="32"/>
      <c r="S5713" s="76"/>
    </row>
    <row r="5714" spans="1:19" s="213" customFormat="1">
      <c r="A5714" s="110" t="s">
        <v>754</v>
      </c>
      <c r="B5714" s="111" t="s">
        <v>227</v>
      </c>
      <c r="C5714" s="112" t="s">
        <v>449</v>
      </c>
      <c r="D5714" s="113" t="s">
        <v>86</v>
      </c>
      <c r="E5714" s="369" t="s">
        <v>14</v>
      </c>
      <c r="F5714" s="369" t="s">
        <v>29</v>
      </c>
      <c r="G5714" s="370">
        <v>10.92</v>
      </c>
      <c r="H5714" s="125">
        <v>6</v>
      </c>
      <c r="I5714" s="32">
        <v>1</v>
      </c>
      <c r="J5714" s="117">
        <f t="shared" si="768"/>
        <v>6.5519999999999995E-2</v>
      </c>
      <c r="K5714" s="118"/>
      <c r="L5714" s="111">
        <v>1</v>
      </c>
      <c r="M5714" s="117">
        <f t="shared" si="769"/>
        <v>6.5519999999999995E-2</v>
      </c>
      <c r="N5714" s="119">
        <f t="shared" si="770"/>
        <v>0</v>
      </c>
      <c r="O5714" s="120">
        <f t="shared" si="771"/>
        <v>0</v>
      </c>
      <c r="P5714" s="111"/>
      <c r="Q5714" s="32"/>
      <c r="R5714" s="32"/>
      <c r="S5714" s="76"/>
    </row>
    <row r="5715" spans="1:19" s="213" customFormat="1">
      <c r="A5715" s="110" t="s">
        <v>754</v>
      </c>
      <c r="B5715" s="111" t="s">
        <v>227</v>
      </c>
      <c r="C5715" s="112" t="s">
        <v>449</v>
      </c>
      <c r="D5715" s="113" t="s">
        <v>86</v>
      </c>
      <c r="E5715" s="369" t="s">
        <v>14</v>
      </c>
      <c r="F5715" s="369" t="s">
        <v>29</v>
      </c>
      <c r="G5715" s="370">
        <v>10.92</v>
      </c>
      <c r="H5715" s="125">
        <v>10</v>
      </c>
      <c r="I5715" s="32">
        <v>5</v>
      </c>
      <c r="J5715" s="117">
        <f t="shared" si="768"/>
        <v>0.54600000000000004</v>
      </c>
      <c r="K5715" s="118"/>
      <c r="L5715" s="111">
        <v>5</v>
      </c>
      <c r="M5715" s="117">
        <f t="shared" si="769"/>
        <v>0.54600000000000004</v>
      </c>
      <c r="N5715" s="119">
        <f t="shared" si="770"/>
        <v>0</v>
      </c>
      <c r="O5715" s="120">
        <f t="shared" si="771"/>
        <v>0</v>
      </c>
      <c r="P5715" s="111"/>
      <c r="Q5715" s="32"/>
      <c r="R5715" s="32"/>
      <c r="S5715" s="76"/>
    </row>
    <row r="5716" spans="1:19" s="213" customFormat="1">
      <c r="A5716" s="110" t="s">
        <v>754</v>
      </c>
      <c r="B5716" s="111" t="s">
        <v>227</v>
      </c>
      <c r="C5716" s="112" t="s">
        <v>449</v>
      </c>
      <c r="D5716" s="113" t="s">
        <v>86</v>
      </c>
      <c r="E5716" s="369" t="s">
        <v>14</v>
      </c>
      <c r="F5716" s="369" t="s">
        <v>29</v>
      </c>
      <c r="G5716" s="370">
        <v>10.92</v>
      </c>
      <c r="H5716" s="125">
        <v>6</v>
      </c>
      <c r="I5716" s="32">
        <v>1</v>
      </c>
      <c r="J5716" s="117">
        <f t="shared" si="768"/>
        <v>6.5519999999999995E-2</v>
      </c>
      <c r="K5716" s="118"/>
      <c r="L5716" s="111">
        <v>1</v>
      </c>
      <c r="M5716" s="117">
        <f t="shared" si="769"/>
        <v>6.5519999999999995E-2</v>
      </c>
      <c r="N5716" s="119">
        <f t="shared" si="770"/>
        <v>0</v>
      </c>
      <c r="O5716" s="120">
        <f t="shared" si="771"/>
        <v>0</v>
      </c>
      <c r="P5716" s="111"/>
      <c r="Q5716" s="32"/>
      <c r="R5716" s="32"/>
      <c r="S5716" s="76"/>
    </row>
    <row r="5717" spans="1:19" s="213" customFormat="1">
      <c r="A5717" s="110" t="s">
        <v>754</v>
      </c>
      <c r="B5717" s="111" t="s">
        <v>227</v>
      </c>
      <c r="C5717" s="112" t="s">
        <v>449</v>
      </c>
      <c r="D5717" s="113" t="s">
        <v>86</v>
      </c>
      <c r="E5717" s="369" t="s">
        <v>14</v>
      </c>
      <c r="F5717" s="369" t="s">
        <v>29</v>
      </c>
      <c r="G5717" s="370">
        <v>10.92</v>
      </c>
      <c r="H5717" s="125">
        <v>9.5</v>
      </c>
      <c r="I5717" s="32">
        <v>1</v>
      </c>
      <c r="J5717" s="117">
        <f t="shared" si="768"/>
        <v>0.10374</v>
      </c>
      <c r="K5717" s="118"/>
      <c r="L5717" s="111">
        <v>1</v>
      </c>
      <c r="M5717" s="117">
        <f t="shared" si="769"/>
        <v>0.10374</v>
      </c>
      <c r="N5717" s="119">
        <f t="shared" si="770"/>
        <v>0</v>
      </c>
      <c r="O5717" s="120">
        <f t="shared" si="771"/>
        <v>0</v>
      </c>
      <c r="P5717" s="130"/>
      <c r="Q5717" s="91">
        <v>1</v>
      </c>
      <c r="R5717" s="91" t="s">
        <v>755</v>
      </c>
      <c r="S5717" s="76"/>
    </row>
    <row r="5718" spans="1:19" s="213" customFormat="1">
      <c r="A5718" s="110" t="s">
        <v>754</v>
      </c>
      <c r="B5718" s="111" t="s">
        <v>227</v>
      </c>
      <c r="C5718" s="112" t="s">
        <v>449</v>
      </c>
      <c r="D5718" s="113" t="s">
        <v>86</v>
      </c>
      <c r="E5718" s="369" t="s">
        <v>14</v>
      </c>
      <c r="F5718" s="369" t="s">
        <v>29</v>
      </c>
      <c r="G5718" s="370">
        <v>10.92</v>
      </c>
      <c r="H5718" s="125">
        <v>10.5</v>
      </c>
      <c r="I5718" s="32">
        <v>21</v>
      </c>
      <c r="J5718" s="117">
        <f t="shared" si="768"/>
        <v>2.4078600000000003</v>
      </c>
      <c r="K5718" s="118"/>
      <c r="L5718" s="111">
        <v>21</v>
      </c>
      <c r="M5718" s="117">
        <f t="shared" si="769"/>
        <v>2.4078600000000003</v>
      </c>
      <c r="N5718" s="119">
        <f t="shared" si="770"/>
        <v>0</v>
      </c>
      <c r="O5718" s="120">
        <f t="shared" si="771"/>
        <v>0</v>
      </c>
      <c r="P5718" s="111"/>
      <c r="Q5718" s="91"/>
      <c r="R5718" s="91"/>
      <c r="S5718" s="76"/>
    </row>
    <row r="5719" spans="1:19" s="213" customFormat="1">
      <c r="A5719" s="110" t="s">
        <v>754</v>
      </c>
      <c r="B5719" s="111" t="s">
        <v>227</v>
      </c>
      <c r="C5719" s="112" t="s">
        <v>449</v>
      </c>
      <c r="D5719" s="113" t="s">
        <v>86</v>
      </c>
      <c r="E5719" s="369" t="s">
        <v>14</v>
      </c>
      <c r="F5719" s="369" t="s">
        <v>29</v>
      </c>
      <c r="G5719" s="370">
        <v>10.92</v>
      </c>
      <c r="H5719" s="125">
        <v>10.5</v>
      </c>
      <c r="I5719" s="32">
        <v>8</v>
      </c>
      <c r="J5719" s="117">
        <f t="shared" si="768"/>
        <v>0.91727999999999998</v>
      </c>
      <c r="K5719" s="118"/>
      <c r="L5719" s="111">
        <f>5+2+1</f>
        <v>8</v>
      </c>
      <c r="M5719" s="117">
        <f t="shared" si="769"/>
        <v>0.91727999999999998</v>
      </c>
      <c r="N5719" s="119">
        <f t="shared" si="770"/>
        <v>0</v>
      </c>
      <c r="O5719" s="120">
        <f t="shared" si="771"/>
        <v>0</v>
      </c>
      <c r="P5719" s="130"/>
      <c r="Q5719" s="91">
        <v>1</v>
      </c>
      <c r="R5719" s="91" t="s">
        <v>755</v>
      </c>
      <c r="S5719" s="76"/>
    </row>
    <row r="5720" spans="1:19" s="213" customFormat="1">
      <c r="A5720" s="110" t="s">
        <v>754</v>
      </c>
      <c r="B5720" s="111" t="s">
        <v>227</v>
      </c>
      <c r="C5720" s="112" t="s">
        <v>449</v>
      </c>
      <c r="D5720" s="113" t="s">
        <v>86</v>
      </c>
      <c r="E5720" s="369" t="s">
        <v>14</v>
      </c>
      <c r="F5720" s="369" t="s">
        <v>29</v>
      </c>
      <c r="G5720" s="370">
        <v>10.92</v>
      </c>
      <c r="H5720" s="125">
        <v>9.6999999999999993</v>
      </c>
      <c r="I5720" s="32">
        <v>1</v>
      </c>
      <c r="J5720" s="117">
        <f t="shared" si="768"/>
        <v>0.10592399999999999</v>
      </c>
      <c r="K5720" s="118"/>
      <c r="L5720" s="111">
        <v>1</v>
      </c>
      <c r="M5720" s="117">
        <f t="shared" si="769"/>
        <v>0.10592399999999999</v>
      </c>
      <c r="N5720" s="119">
        <f t="shared" si="770"/>
        <v>0</v>
      </c>
      <c r="O5720" s="120">
        <f t="shared" si="771"/>
        <v>0</v>
      </c>
      <c r="P5720" s="130"/>
      <c r="Q5720" s="91">
        <v>1</v>
      </c>
      <c r="R5720" s="91" t="s">
        <v>755</v>
      </c>
      <c r="S5720" s="76"/>
    </row>
    <row r="5721" spans="1:19" s="213" customFormat="1">
      <c r="A5721" s="110" t="s">
        <v>754</v>
      </c>
      <c r="B5721" s="111" t="s">
        <v>227</v>
      </c>
      <c r="C5721" s="112" t="s">
        <v>449</v>
      </c>
      <c r="D5721" s="113" t="s">
        <v>86</v>
      </c>
      <c r="E5721" s="369" t="s">
        <v>14</v>
      </c>
      <c r="F5721" s="369" t="s">
        <v>29</v>
      </c>
      <c r="G5721" s="370">
        <v>10.92</v>
      </c>
      <c r="H5721" s="125">
        <v>10</v>
      </c>
      <c r="I5721" s="32">
        <v>1</v>
      </c>
      <c r="J5721" s="117">
        <f t="shared" si="768"/>
        <v>0.10920000000000001</v>
      </c>
      <c r="K5721" s="118"/>
      <c r="L5721" s="111">
        <v>1</v>
      </c>
      <c r="M5721" s="117">
        <f t="shared" si="769"/>
        <v>0.10920000000000001</v>
      </c>
      <c r="N5721" s="119">
        <f t="shared" si="770"/>
        <v>0</v>
      </c>
      <c r="O5721" s="120">
        <f t="shared" si="771"/>
        <v>0</v>
      </c>
      <c r="P5721" s="111"/>
      <c r="Q5721" s="91"/>
      <c r="R5721" s="91"/>
      <c r="S5721" s="76"/>
    </row>
    <row r="5722" spans="1:19">
      <c r="A5722" s="110" t="s">
        <v>754</v>
      </c>
      <c r="B5722" s="111" t="s">
        <v>227</v>
      </c>
      <c r="C5722" s="112" t="s">
        <v>449</v>
      </c>
      <c r="D5722" s="113" t="s">
        <v>86</v>
      </c>
      <c r="E5722" s="369" t="s">
        <v>14</v>
      </c>
      <c r="F5722" s="369" t="s">
        <v>29</v>
      </c>
      <c r="G5722" s="370">
        <v>10.92</v>
      </c>
      <c r="H5722" s="125">
        <v>11.5</v>
      </c>
      <c r="I5722" s="32">
        <v>5</v>
      </c>
      <c r="J5722" s="117">
        <f t="shared" si="768"/>
        <v>0.62790000000000001</v>
      </c>
      <c r="K5722" s="118"/>
      <c r="L5722" s="111">
        <f>4+1</f>
        <v>5</v>
      </c>
      <c r="M5722" s="117">
        <f t="shared" si="769"/>
        <v>0.62790000000000001</v>
      </c>
      <c r="N5722" s="119">
        <f t="shared" si="770"/>
        <v>0</v>
      </c>
      <c r="O5722" s="120">
        <f t="shared" si="771"/>
        <v>0</v>
      </c>
      <c r="P5722" s="130"/>
      <c r="Q5722" s="91">
        <v>1</v>
      </c>
      <c r="R5722" s="91" t="s">
        <v>755</v>
      </c>
    </row>
    <row r="5723" spans="1:19">
      <c r="A5723" s="32"/>
      <c r="B5723" s="32"/>
      <c r="C5723" s="32"/>
      <c r="D5723" s="32"/>
      <c r="E5723" s="32"/>
      <c r="F5723" s="32"/>
      <c r="G5723" s="32"/>
      <c r="H5723" s="32"/>
      <c r="I5723" s="129">
        <f>SUM(I5712:I5722)</f>
        <v>76</v>
      </c>
      <c r="J5723" s="124">
        <f>SUM(J5712:J5722)</f>
        <v>8.6180640000000004</v>
      </c>
      <c r="K5723" s="32"/>
      <c r="L5723" s="129">
        <f>SUM(L5712:L5722)</f>
        <v>76</v>
      </c>
      <c r="M5723" s="132">
        <f>SUM(M5712:M5722)</f>
        <v>8.6180640000000004</v>
      </c>
      <c r="N5723" s="131">
        <f>SUM(N5712:N5722)</f>
        <v>0</v>
      </c>
      <c r="O5723" s="124">
        <f>SUM(O5712:O5722)</f>
        <v>0</v>
      </c>
      <c r="P5723" s="32"/>
      <c r="Q5723" s="131">
        <f>SUM(Q5712:Q5722)</f>
        <v>4</v>
      </c>
      <c r="R5723" s="32"/>
    </row>
    <row r="5725" spans="1:19">
      <c r="A5725" s="42" t="s">
        <v>77</v>
      </c>
      <c r="B5725" s="3" t="s">
        <v>68</v>
      </c>
      <c r="C5725" s="3">
        <v>322</v>
      </c>
      <c r="D5725" s="20" t="s">
        <v>17</v>
      </c>
      <c r="E5725" s="7" t="s">
        <v>15</v>
      </c>
      <c r="F5725" s="7" t="s">
        <v>43</v>
      </c>
      <c r="G5725" s="11">
        <v>15.04</v>
      </c>
      <c r="H5725" s="8">
        <v>5.7</v>
      </c>
      <c r="I5725" s="26">
        <v>2</v>
      </c>
      <c r="J5725" s="10">
        <v>0.171456</v>
      </c>
      <c r="K5725" s="17"/>
      <c r="L5725" s="18">
        <v>0</v>
      </c>
      <c r="M5725" s="19">
        <v>2</v>
      </c>
      <c r="N5725" s="13">
        <v>0.171456</v>
      </c>
      <c r="O5725" s="9"/>
      <c r="P5725" s="2"/>
      <c r="Q5725" s="2"/>
    </row>
    <row r="5726" spans="1:19">
      <c r="A5726" s="42" t="s">
        <v>77</v>
      </c>
      <c r="B5726" s="3" t="s">
        <v>68</v>
      </c>
      <c r="C5726" s="3">
        <v>322</v>
      </c>
      <c r="D5726" s="20" t="s">
        <v>17</v>
      </c>
      <c r="E5726" s="7" t="s">
        <v>15</v>
      </c>
      <c r="F5726" s="7" t="s">
        <v>43</v>
      </c>
      <c r="G5726" s="11">
        <v>15.04</v>
      </c>
      <c r="H5726" s="8">
        <v>5.8</v>
      </c>
      <c r="I5726" s="26">
        <v>1</v>
      </c>
      <c r="J5726" s="10">
        <v>8.7232000000000004E-2</v>
      </c>
      <c r="K5726" s="17"/>
      <c r="L5726" s="18">
        <v>0</v>
      </c>
      <c r="M5726" s="19">
        <v>1</v>
      </c>
      <c r="N5726" s="13">
        <v>8.7232000000000004E-2</v>
      </c>
      <c r="O5726" s="9"/>
      <c r="P5726" s="2"/>
      <c r="Q5726" s="2"/>
    </row>
    <row r="5727" spans="1:19">
      <c r="A5727" s="42" t="s">
        <v>77</v>
      </c>
      <c r="B5727" s="3" t="s">
        <v>68</v>
      </c>
      <c r="C5727" s="3">
        <v>322</v>
      </c>
      <c r="D5727" s="20" t="s">
        <v>17</v>
      </c>
      <c r="E5727" s="7" t="s">
        <v>15</v>
      </c>
      <c r="F5727" s="7" t="s">
        <v>43</v>
      </c>
      <c r="G5727" s="11">
        <v>15.04</v>
      </c>
      <c r="H5727" s="8">
        <v>5.9</v>
      </c>
      <c r="I5727" s="26">
        <v>1</v>
      </c>
      <c r="J5727" s="10">
        <v>8.8736000000000009E-2</v>
      </c>
      <c r="K5727" s="17"/>
      <c r="L5727" s="18">
        <v>0</v>
      </c>
      <c r="M5727" s="19">
        <v>1</v>
      </c>
      <c r="N5727" s="13">
        <v>8.8736000000000009E-2</v>
      </c>
      <c r="O5727" s="9"/>
      <c r="P5727" s="2"/>
      <c r="Q5727" s="2"/>
    </row>
    <row r="5728" spans="1:19">
      <c r="A5728" s="48" t="s">
        <v>168</v>
      </c>
      <c r="B5728" s="48" t="s">
        <v>169</v>
      </c>
      <c r="C5728" s="32">
        <v>7</v>
      </c>
      <c r="D5728" s="48" t="s">
        <v>20</v>
      </c>
      <c r="E5728" s="48" t="s">
        <v>15</v>
      </c>
      <c r="F5728" s="48" t="s">
        <v>43</v>
      </c>
      <c r="G5728" s="11">
        <v>15.04</v>
      </c>
      <c r="H5728" s="52">
        <v>10.4</v>
      </c>
      <c r="I5728" s="7">
        <v>2</v>
      </c>
      <c r="J5728" s="10">
        <v>0.312832</v>
      </c>
      <c r="K5728" s="32">
        <v>2</v>
      </c>
      <c r="L5728" s="18">
        <v>0.312832</v>
      </c>
      <c r="M5728" s="19">
        <v>0</v>
      </c>
      <c r="N5728" s="13">
        <v>0</v>
      </c>
      <c r="O5728" s="72"/>
      <c r="P5728" s="72">
        <v>2</v>
      </c>
      <c r="Q5728" s="72" t="s">
        <v>734</v>
      </c>
    </row>
    <row r="5729" spans="1:21">
      <c r="A5729" s="48" t="s">
        <v>168</v>
      </c>
      <c r="B5729" s="48" t="s">
        <v>169</v>
      </c>
      <c r="C5729" s="32">
        <v>7</v>
      </c>
      <c r="D5729" s="48" t="s">
        <v>20</v>
      </c>
      <c r="E5729" s="48" t="s">
        <v>15</v>
      </c>
      <c r="F5729" s="48" t="s">
        <v>43</v>
      </c>
      <c r="G5729" s="11">
        <v>15.04</v>
      </c>
      <c r="H5729" s="52">
        <v>8.3000000000000007</v>
      </c>
      <c r="I5729" s="7">
        <v>1</v>
      </c>
      <c r="J5729" s="10">
        <v>0.12483200000000001</v>
      </c>
      <c r="K5729" s="32">
        <v>1</v>
      </c>
      <c r="L5729" s="18">
        <v>0.12483200000000001</v>
      </c>
      <c r="M5729" s="19">
        <v>0</v>
      </c>
      <c r="N5729" s="13">
        <v>0</v>
      </c>
      <c r="O5729" s="72"/>
      <c r="P5729" s="72">
        <v>1</v>
      </c>
      <c r="Q5729" s="72" t="s">
        <v>734</v>
      </c>
    </row>
    <row r="5730" spans="1:21">
      <c r="A5730" s="42" t="s">
        <v>90</v>
      </c>
      <c r="B5730" s="48" t="s">
        <v>148</v>
      </c>
      <c r="C5730" s="32">
        <v>92</v>
      </c>
      <c r="D5730" s="48" t="s">
        <v>152</v>
      </c>
      <c r="E5730" s="48" t="s">
        <v>15</v>
      </c>
      <c r="F5730" s="48" t="s">
        <v>43</v>
      </c>
      <c r="G5730" s="11">
        <v>15.04</v>
      </c>
      <c r="H5730" s="52">
        <v>8.5</v>
      </c>
      <c r="I5730" s="7">
        <v>1</v>
      </c>
      <c r="J5730" s="10">
        <v>0.12783999999999998</v>
      </c>
      <c r="K5730" s="32">
        <v>1</v>
      </c>
      <c r="L5730" s="18">
        <v>0.12783999999999998</v>
      </c>
      <c r="M5730" s="19">
        <v>0</v>
      </c>
      <c r="N5730" s="13">
        <v>0</v>
      </c>
      <c r="O5730" s="72"/>
      <c r="P5730" s="72">
        <v>1</v>
      </c>
      <c r="Q5730" s="72" t="s">
        <v>734</v>
      </c>
    </row>
    <row r="5731" spans="1:21">
      <c r="A5731" s="42" t="s">
        <v>90</v>
      </c>
      <c r="B5731" s="3"/>
      <c r="C5731" s="3">
        <v>215</v>
      </c>
      <c r="D5731" s="20" t="s">
        <v>20</v>
      </c>
      <c r="E5731" s="7" t="s">
        <v>15</v>
      </c>
      <c r="F5731" s="7" t="s">
        <v>43</v>
      </c>
      <c r="G5731" s="11">
        <v>15.04</v>
      </c>
      <c r="H5731" s="8">
        <v>5.7</v>
      </c>
      <c r="I5731" s="26">
        <v>1</v>
      </c>
      <c r="J5731" s="10">
        <v>8.5727999999999999E-2</v>
      </c>
      <c r="K5731" s="17"/>
      <c r="L5731" s="18">
        <v>0</v>
      </c>
      <c r="M5731" s="19">
        <v>1</v>
      </c>
      <c r="N5731" s="13">
        <v>8.5727999999999999E-2</v>
      </c>
      <c r="O5731" s="73"/>
      <c r="P5731" s="72"/>
      <c r="Q5731" s="330"/>
    </row>
    <row r="5732" spans="1:21">
      <c r="A5732" s="42" t="s">
        <v>90</v>
      </c>
      <c r="B5732" s="3"/>
      <c r="C5732" s="3">
        <v>228</v>
      </c>
      <c r="D5732" s="20" t="s">
        <v>107</v>
      </c>
      <c r="E5732" s="7" t="s">
        <v>15</v>
      </c>
      <c r="F5732" s="7" t="s">
        <v>43</v>
      </c>
      <c r="G5732" s="11">
        <v>15.04</v>
      </c>
      <c r="H5732" s="8">
        <v>10</v>
      </c>
      <c r="I5732" s="26">
        <v>1</v>
      </c>
      <c r="J5732" s="10">
        <v>0.15039999999999998</v>
      </c>
      <c r="K5732" s="17">
        <v>1</v>
      </c>
      <c r="L5732" s="18">
        <v>0.15039999999999998</v>
      </c>
      <c r="M5732" s="19">
        <v>0</v>
      </c>
      <c r="N5732" s="13">
        <v>0</v>
      </c>
      <c r="O5732" s="73"/>
      <c r="P5732" s="72">
        <v>1</v>
      </c>
      <c r="Q5732" s="72" t="s">
        <v>734</v>
      </c>
    </row>
    <row r="5733" spans="1:21">
      <c r="A5733" s="42" t="s">
        <v>90</v>
      </c>
      <c r="B5733" s="3"/>
      <c r="C5733" s="3">
        <v>228</v>
      </c>
      <c r="D5733" s="20" t="s">
        <v>107</v>
      </c>
      <c r="E5733" s="7" t="s">
        <v>15</v>
      </c>
      <c r="F5733" s="7" t="s">
        <v>43</v>
      </c>
      <c r="G5733" s="11">
        <v>15.04</v>
      </c>
      <c r="H5733" s="8">
        <v>11.9</v>
      </c>
      <c r="I5733" s="26">
        <v>1</v>
      </c>
      <c r="J5733" s="10">
        <v>0.178976</v>
      </c>
      <c r="K5733" s="17">
        <v>1</v>
      </c>
      <c r="L5733" s="18">
        <v>0.178976</v>
      </c>
      <c r="M5733" s="19">
        <v>0</v>
      </c>
      <c r="N5733" s="13">
        <v>0</v>
      </c>
      <c r="O5733" s="73"/>
      <c r="P5733" s="72">
        <v>1</v>
      </c>
      <c r="Q5733" s="72" t="s">
        <v>734</v>
      </c>
    </row>
    <row r="5734" spans="1:21">
      <c r="A5734" s="44" t="s">
        <v>78</v>
      </c>
      <c r="B5734" s="3" t="s">
        <v>80</v>
      </c>
      <c r="C5734" s="3">
        <v>7</v>
      </c>
      <c r="D5734" s="20" t="s">
        <v>20</v>
      </c>
      <c r="E5734" s="7" t="s">
        <v>15</v>
      </c>
      <c r="F5734" s="7" t="s">
        <v>43</v>
      </c>
      <c r="G5734" s="11">
        <v>15.04</v>
      </c>
      <c r="H5734" s="8">
        <v>7.6</v>
      </c>
      <c r="I5734" s="26">
        <v>2</v>
      </c>
      <c r="J5734" s="10">
        <v>0.22860799999999998</v>
      </c>
      <c r="K5734" s="17">
        <v>2</v>
      </c>
      <c r="L5734" s="18">
        <v>0.22860799999999998</v>
      </c>
      <c r="M5734" s="19">
        <v>0</v>
      </c>
      <c r="N5734" s="13">
        <v>0</v>
      </c>
      <c r="O5734" s="72">
        <v>6.7</v>
      </c>
      <c r="P5734" s="72">
        <v>2</v>
      </c>
      <c r="Q5734" s="487" t="s">
        <v>735</v>
      </c>
    </row>
    <row r="5735" spans="1:21">
      <c r="M5735" s="215">
        <f>SUM(M5725:M5734)</f>
        <v>5</v>
      </c>
      <c r="P5735" s="215">
        <f>SUM(P5725:P5734)</f>
        <v>8</v>
      </c>
    </row>
    <row r="5738" spans="1:21" ht="15.6">
      <c r="A5738" s="110" t="s">
        <v>324</v>
      </c>
      <c r="B5738" s="111" t="s">
        <v>232</v>
      </c>
      <c r="C5738" s="112" t="s">
        <v>228</v>
      </c>
      <c r="D5738" s="113" t="s">
        <v>24</v>
      </c>
      <c r="E5738" s="216" t="s">
        <v>14</v>
      </c>
      <c r="F5738" s="216" t="s">
        <v>43</v>
      </c>
      <c r="G5738" s="217">
        <v>15.04</v>
      </c>
      <c r="H5738" s="218">
        <v>11</v>
      </c>
      <c r="I5738" s="219">
        <v>2</v>
      </c>
      <c r="J5738" s="220">
        <f t="shared" ref="J5738:J5740" si="772">(G5738*H5738*I5738/1000)</f>
        <v>0.33088000000000001</v>
      </c>
      <c r="K5738" s="118"/>
      <c r="L5738" s="111">
        <v>2</v>
      </c>
      <c r="M5738" s="117">
        <f t="shared" ref="M5738:M5740" si="773">H5738*L5738*G5738/1000</f>
        <v>0.33088000000000001</v>
      </c>
      <c r="N5738" s="119">
        <f t="shared" ref="N5738:N5740" si="774">I5738-L5738</f>
        <v>0</v>
      </c>
      <c r="O5738" s="120">
        <f t="shared" ref="O5738:O5740" si="775">H5738*N5738*G5738/1000</f>
        <v>0</v>
      </c>
      <c r="P5738" s="111"/>
      <c r="Q5738" s="111"/>
      <c r="R5738" s="111"/>
      <c r="S5738" s="213"/>
      <c r="T5738" s="213"/>
      <c r="U5738" s="213"/>
    </row>
    <row r="5739" spans="1:21" ht="15.6">
      <c r="A5739" s="110" t="s">
        <v>324</v>
      </c>
      <c r="B5739" s="111" t="s">
        <v>232</v>
      </c>
      <c r="C5739" s="112" t="s">
        <v>228</v>
      </c>
      <c r="D5739" s="113" t="s">
        <v>24</v>
      </c>
      <c r="E5739" s="216" t="s">
        <v>14</v>
      </c>
      <c r="F5739" s="216" t="s">
        <v>43</v>
      </c>
      <c r="G5739" s="217">
        <v>15.04</v>
      </c>
      <c r="H5739" s="218">
        <v>12</v>
      </c>
      <c r="I5739" s="219">
        <v>15</v>
      </c>
      <c r="J5739" s="220">
        <f t="shared" si="772"/>
        <v>2.7071999999999998</v>
      </c>
      <c r="K5739" s="118"/>
      <c r="L5739" s="111">
        <f>7+8</f>
        <v>15</v>
      </c>
      <c r="M5739" s="117">
        <f t="shared" si="773"/>
        <v>2.7071999999999998</v>
      </c>
      <c r="N5739" s="119">
        <f t="shared" si="774"/>
        <v>0</v>
      </c>
      <c r="O5739" s="120">
        <f t="shared" si="775"/>
        <v>0</v>
      </c>
      <c r="P5739" s="111">
        <v>12</v>
      </c>
      <c r="Q5739" s="45">
        <v>7</v>
      </c>
      <c r="R5739" s="111" t="s">
        <v>722</v>
      </c>
      <c r="S5739" s="247">
        <v>12</v>
      </c>
      <c r="T5739" s="77">
        <v>8</v>
      </c>
      <c r="U5739" s="77" t="s">
        <v>736</v>
      </c>
    </row>
    <row r="5740" spans="1:21" ht="15.6">
      <c r="A5740" s="110" t="s">
        <v>324</v>
      </c>
      <c r="B5740" s="111" t="s">
        <v>232</v>
      </c>
      <c r="C5740" s="112" t="s">
        <v>228</v>
      </c>
      <c r="D5740" s="113" t="s">
        <v>24</v>
      </c>
      <c r="E5740" s="216" t="s">
        <v>14</v>
      </c>
      <c r="F5740" s="216" t="s">
        <v>43</v>
      </c>
      <c r="G5740" s="217">
        <v>15.04</v>
      </c>
      <c r="H5740" s="218">
        <v>11</v>
      </c>
      <c r="I5740" s="219">
        <v>1</v>
      </c>
      <c r="J5740" s="220">
        <f t="shared" si="772"/>
        <v>0.16544</v>
      </c>
      <c r="K5740" s="118"/>
      <c r="L5740" s="111">
        <v>1</v>
      </c>
      <c r="M5740" s="117">
        <f t="shared" si="773"/>
        <v>0.16544</v>
      </c>
      <c r="N5740" s="119">
        <f t="shared" si="774"/>
        <v>0</v>
      </c>
      <c r="O5740" s="120">
        <f t="shared" si="775"/>
        <v>0</v>
      </c>
      <c r="P5740" s="111"/>
      <c r="Q5740" s="111"/>
      <c r="R5740" s="111"/>
      <c r="S5740" s="247">
        <v>6</v>
      </c>
      <c r="T5740" s="77">
        <v>1</v>
      </c>
      <c r="U5740" s="77" t="s">
        <v>737</v>
      </c>
    </row>
    <row r="5741" spans="1:21">
      <c r="A5741" s="213"/>
      <c r="B5741" s="213"/>
      <c r="C5741" s="213"/>
      <c r="D5741" s="213"/>
      <c r="E5741" s="213"/>
      <c r="F5741" s="213"/>
      <c r="G5741" s="213"/>
      <c r="H5741" s="213"/>
      <c r="I5741" s="215">
        <f>SUM(I5738:I5740)</f>
        <v>18</v>
      </c>
      <c r="J5741" s="214">
        <f>SUM(J5738:J5740)</f>
        <v>3.2035199999999997</v>
      </c>
      <c r="K5741" s="213"/>
      <c r="L5741" s="215">
        <f>SUM(L5738:L5740)</f>
        <v>18</v>
      </c>
      <c r="M5741" s="128">
        <f>SUM(M5738:M5740)</f>
        <v>3.2035199999999997</v>
      </c>
      <c r="N5741" s="78">
        <f>SUM(N5738:N5740)</f>
        <v>0</v>
      </c>
      <c r="O5741" s="128">
        <f>SUM(O5738:O5740)</f>
        <v>0</v>
      </c>
      <c r="P5741" s="213"/>
      <c r="Q5741" s="213"/>
      <c r="R5741" s="213"/>
      <c r="S5741" s="213"/>
      <c r="T5741" s="76">
        <f>SUM(T5739:T5740)</f>
        <v>9</v>
      </c>
      <c r="U5741" s="213"/>
    </row>
    <row r="5743" spans="1:21">
      <c r="A5743" s="44" t="s">
        <v>78</v>
      </c>
      <c r="B5743" s="3" t="s">
        <v>80</v>
      </c>
      <c r="C5743" s="3">
        <v>5</v>
      </c>
      <c r="D5743" s="20" t="s">
        <v>19</v>
      </c>
      <c r="E5743" s="7" t="s">
        <v>14</v>
      </c>
      <c r="F5743" s="7" t="s">
        <v>43</v>
      </c>
      <c r="G5743" s="11">
        <v>15.04</v>
      </c>
      <c r="H5743" s="8">
        <v>10.4</v>
      </c>
      <c r="I5743" s="26">
        <v>1</v>
      </c>
      <c r="J5743" s="10">
        <v>0.156416</v>
      </c>
      <c r="K5743" s="17">
        <v>1</v>
      </c>
      <c r="L5743" s="18">
        <v>0.156416</v>
      </c>
      <c r="M5743" s="19">
        <v>0</v>
      </c>
      <c r="N5743" s="13">
        <v>0</v>
      </c>
      <c r="O5743" s="9"/>
      <c r="P5743" s="93">
        <v>1</v>
      </c>
      <c r="Q5743" s="93" t="s">
        <v>736</v>
      </c>
    </row>
    <row r="5744" spans="1:21">
      <c r="P5744" s="76">
        <f>SUM(P5743)</f>
        <v>1</v>
      </c>
    </row>
    <row r="5745" spans="1:17">
      <c r="P5745" s="76">
        <f>+P5744+T5741</f>
        <v>10</v>
      </c>
    </row>
    <row r="5746" spans="1:17">
      <c r="A5746" s="47" t="s">
        <v>147</v>
      </c>
      <c r="B5746" s="48" t="s">
        <v>148</v>
      </c>
      <c r="C5746" s="32">
        <v>292</v>
      </c>
      <c r="D5746" s="48" t="s">
        <v>159</v>
      </c>
      <c r="E5746" s="48" t="s">
        <v>14</v>
      </c>
      <c r="F5746" s="48" t="s">
        <v>30</v>
      </c>
      <c r="G5746" s="11">
        <v>9.26</v>
      </c>
      <c r="H5746" s="52">
        <v>8</v>
      </c>
      <c r="I5746" s="7">
        <v>1</v>
      </c>
      <c r="J5746" s="10">
        <v>7.4079999999999993E-2</v>
      </c>
      <c r="K5746" s="32"/>
      <c r="L5746" s="18">
        <v>0</v>
      </c>
      <c r="M5746" s="19">
        <v>1</v>
      </c>
      <c r="N5746" s="13">
        <v>7.4079999999999993E-2</v>
      </c>
      <c r="O5746" s="32"/>
      <c r="P5746" s="32"/>
      <c r="Q5746" s="32"/>
    </row>
    <row r="5747" spans="1:17">
      <c r="A5747" s="47" t="s">
        <v>147</v>
      </c>
      <c r="B5747" s="48" t="s">
        <v>148</v>
      </c>
      <c r="C5747" s="32">
        <v>296</v>
      </c>
      <c r="D5747" s="48" t="s">
        <v>159</v>
      </c>
      <c r="E5747" s="48" t="s">
        <v>14</v>
      </c>
      <c r="F5747" s="48" t="s">
        <v>30</v>
      </c>
      <c r="G5747" s="11">
        <v>9.26</v>
      </c>
      <c r="H5747" s="52">
        <v>10.5</v>
      </c>
      <c r="I5747" s="7">
        <v>14</v>
      </c>
      <c r="J5747" s="10">
        <v>1.3612200000000001</v>
      </c>
      <c r="K5747" s="32">
        <v>3</v>
      </c>
      <c r="L5747" s="18">
        <v>0.29169</v>
      </c>
      <c r="M5747" s="19">
        <v>11</v>
      </c>
      <c r="N5747" s="13">
        <v>1.0695299999999999</v>
      </c>
      <c r="O5747" s="32"/>
      <c r="P5747" s="32"/>
      <c r="Q5747" s="32"/>
    </row>
    <row r="5748" spans="1:17">
      <c r="A5748" s="47" t="s">
        <v>147</v>
      </c>
      <c r="B5748" s="48" t="s">
        <v>148</v>
      </c>
      <c r="C5748" s="32">
        <v>296</v>
      </c>
      <c r="D5748" s="48" t="s">
        <v>159</v>
      </c>
      <c r="E5748" s="48" t="s">
        <v>14</v>
      </c>
      <c r="F5748" s="48" t="s">
        <v>30</v>
      </c>
      <c r="G5748" s="11">
        <v>9.26</v>
      </c>
      <c r="H5748" s="52">
        <v>8.6</v>
      </c>
      <c r="I5748" s="7">
        <v>1</v>
      </c>
      <c r="J5748" s="10">
        <v>7.9635999999999998E-2</v>
      </c>
      <c r="K5748" s="32">
        <v>1</v>
      </c>
      <c r="L5748" s="18">
        <v>7.9635999999999998E-2</v>
      </c>
      <c r="M5748" s="19">
        <v>0</v>
      </c>
      <c r="N5748" s="13">
        <v>0</v>
      </c>
      <c r="O5748" s="32"/>
      <c r="P5748" s="32"/>
      <c r="Q5748" s="32"/>
    </row>
    <row r="5749" spans="1:17">
      <c r="A5749" s="47" t="s">
        <v>147</v>
      </c>
      <c r="B5749" s="48" t="s">
        <v>148</v>
      </c>
      <c r="C5749" s="32">
        <v>296</v>
      </c>
      <c r="D5749" s="48" t="s">
        <v>159</v>
      </c>
      <c r="E5749" s="48" t="s">
        <v>14</v>
      </c>
      <c r="F5749" s="48" t="s">
        <v>30</v>
      </c>
      <c r="G5749" s="11">
        <v>9.26</v>
      </c>
      <c r="H5749" s="52">
        <v>8.4</v>
      </c>
      <c r="I5749" s="7">
        <v>1</v>
      </c>
      <c r="J5749" s="10">
        <v>7.7784000000000006E-2</v>
      </c>
      <c r="K5749" s="32">
        <v>1</v>
      </c>
      <c r="L5749" s="18">
        <v>7.7784000000000006E-2</v>
      </c>
      <c r="M5749" s="19">
        <v>0</v>
      </c>
      <c r="N5749" s="13">
        <v>0</v>
      </c>
      <c r="O5749" s="32"/>
      <c r="P5749" s="32"/>
      <c r="Q5749" s="32"/>
    </row>
    <row r="5750" spans="1:17">
      <c r="A5750" s="47" t="s">
        <v>147</v>
      </c>
      <c r="B5750" s="48" t="s">
        <v>148</v>
      </c>
      <c r="C5750" s="32">
        <v>296</v>
      </c>
      <c r="D5750" s="48" t="s">
        <v>159</v>
      </c>
      <c r="E5750" s="48" t="s">
        <v>14</v>
      </c>
      <c r="F5750" s="48" t="s">
        <v>30</v>
      </c>
      <c r="G5750" s="11">
        <v>9.26</v>
      </c>
      <c r="H5750" s="52">
        <v>8.3000000000000007</v>
      </c>
      <c r="I5750" s="7">
        <v>1</v>
      </c>
      <c r="J5750" s="10">
        <v>7.685800000000001E-2</v>
      </c>
      <c r="K5750" s="32">
        <v>1</v>
      </c>
      <c r="L5750" s="18">
        <v>7.685800000000001E-2</v>
      </c>
      <c r="M5750" s="19">
        <v>0</v>
      </c>
      <c r="N5750" s="13">
        <v>0</v>
      </c>
      <c r="O5750" s="32"/>
      <c r="P5750" s="32"/>
      <c r="Q5750" s="32"/>
    </row>
    <row r="5751" spans="1:17">
      <c r="A5751" s="47" t="s">
        <v>147</v>
      </c>
      <c r="B5751" s="48" t="s">
        <v>148</v>
      </c>
      <c r="C5751" s="32">
        <v>296</v>
      </c>
      <c r="D5751" s="48" t="s">
        <v>159</v>
      </c>
      <c r="E5751" s="48" t="s">
        <v>14</v>
      </c>
      <c r="F5751" s="48" t="s">
        <v>30</v>
      </c>
      <c r="G5751" s="11">
        <v>9.26</v>
      </c>
      <c r="H5751" s="52">
        <v>8.1</v>
      </c>
      <c r="I5751" s="7">
        <v>1</v>
      </c>
      <c r="J5751" s="10">
        <v>7.5006000000000003E-2</v>
      </c>
      <c r="K5751" s="32">
        <v>1</v>
      </c>
      <c r="L5751" s="18">
        <v>7.5006000000000003E-2</v>
      </c>
      <c r="M5751" s="19">
        <v>0</v>
      </c>
      <c r="N5751" s="13">
        <v>0</v>
      </c>
      <c r="O5751" s="32"/>
      <c r="P5751" s="32"/>
      <c r="Q5751" s="32"/>
    </row>
    <row r="5752" spans="1:17">
      <c r="A5752" s="47" t="s">
        <v>147</v>
      </c>
      <c r="B5752" s="48" t="s">
        <v>148</v>
      </c>
      <c r="C5752" s="32">
        <v>297</v>
      </c>
      <c r="D5752" s="48" t="s">
        <v>159</v>
      </c>
      <c r="E5752" s="48" t="s">
        <v>14</v>
      </c>
      <c r="F5752" s="48" t="s">
        <v>30</v>
      </c>
      <c r="G5752" s="11">
        <v>9.26</v>
      </c>
      <c r="H5752" s="52">
        <v>11.8</v>
      </c>
      <c r="I5752" s="7">
        <v>10</v>
      </c>
      <c r="J5752" s="10">
        <v>1.0926800000000001</v>
      </c>
      <c r="K5752" s="32"/>
      <c r="L5752" s="18">
        <v>0</v>
      </c>
      <c r="M5752" s="19">
        <v>10</v>
      </c>
      <c r="N5752" s="13">
        <v>1.0926800000000001</v>
      </c>
      <c r="O5752" s="32"/>
      <c r="P5752" s="32"/>
      <c r="Q5752" s="32"/>
    </row>
    <row r="5753" spans="1:17">
      <c r="A5753" s="47" t="s">
        <v>147</v>
      </c>
      <c r="B5753" s="48" t="s">
        <v>148</v>
      </c>
      <c r="C5753" s="32">
        <v>297</v>
      </c>
      <c r="D5753" s="48" t="s">
        <v>159</v>
      </c>
      <c r="E5753" s="48" t="s">
        <v>14</v>
      </c>
      <c r="F5753" s="48" t="s">
        <v>30</v>
      </c>
      <c r="G5753" s="11">
        <v>9.26</v>
      </c>
      <c r="H5753" s="52">
        <v>12</v>
      </c>
      <c r="I5753" s="7">
        <v>2</v>
      </c>
      <c r="J5753" s="10">
        <v>0.22224000000000002</v>
      </c>
      <c r="K5753" s="32"/>
      <c r="L5753" s="18">
        <v>0</v>
      </c>
      <c r="M5753" s="19">
        <v>2</v>
      </c>
      <c r="N5753" s="13">
        <v>0.22224000000000002</v>
      </c>
      <c r="O5753" s="32"/>
      <c r="P5753" s="32"/>
      <c r="Q5753" s="32"/>
    </row>
    <row r="5754" spans="1:17">
      <c r="A5754" s="47" t="s">
        <v>147</v>
      </c>
      <c r="B5754" s="48" t="s">
        <v>148</v>
      </c>
      <c r="C5754" s="32">
        <v>297</v>
      </c>
      <c r="D5754" s="48" t="s">
        <v>159</v>
      </c>
      <c r="E5754" s="48" t="s">
        <v>14</v>
      </c>
      <c r="F5754" s="48" t="s">
        <v>30</v>
      </c>
      <c r="G5754" s="11">
        <v>9.26</v>
      </c>
      <c r="H5754" s="52">
        <v>10</v>
      </c>
      <c r="I5754" s="7">
        <v>3</v>
      </c>
      <c r="J5754" s="10">
        <v>0.27779999999999994</v>
      </c>
      <c r="K5754" s="32">
        <v>2</v>
      </c>
      <c r="L5754" s="18">
        <v>0.18519999999999998</v>
      </c>
      <c r="M5754" s="19">
        <v>1</v>
      </c>
      <c r="N5754" s="13">
        <v>9.2599999999999988E-2</v>
      </c>
      <c r="O5754" s="91">
        <v>10</v>
      </c>
      <c r="P5754" s="91">
        <v>2</v>
      </c>
      <c r="Q5754" s="91" t="s">
        <v>738</v>
      </c>
    </row>
    <row r="5758" spans="1:17">
      <c r="A5758" s="45" t="s">
        <v>136</v>
      </c>
      <c r="B5758" s="32" t="s">
        <v>137</v>
      </c>
      <c r="C5758" s="3">
        <v>35</v>
      </c>
      <c r="D5758" s="20" t="s">
        <v>113</v>
      </c>
      <c r="E5758" s="7" t="s">
        <v>15</v>
      </c>
      <c r="F5758" s="7" t="s">
        <v>28</v>
      </c>
      <c r="G5758" s="11">
        <v>12.18</v>
      </c>
      <c r="H5758" s="33">
        <v>6</v>
      </c>
      <c r="I5758" s="40">
        <v>1</v>
      </c>
      <c r="J5758" s="10">
        <v>7.3079999999999992E-2</v>
      </c>
      <c r="K5758" s="17">
        <v>1</v>
      </c>
      <c r="L5758" s="18">
        <v>7.3079999999999992E-2</v>
      </c>
      <c r="M5758" s="19">
        <v>0</v>
      </c>
      <c r="N5758" s="13">
        <v>0</v>
      </c>
      <c r="O5758" s="72">
        <v>6.1</v>
      </c>
      <c r="P5758" s="72">
        <v>1</v>
      </c>
      <c r="Q5758" s="72" t="s">
        <v>739</v>
      </c>
    </row>
    <row r="5759" spans="1:17">
      <c r="A5759" s="45" t="s">
        <v>136</v>
      </c>
      <c r="B5759" s="32" t="s">
        <v>137</v>
      </c>
      <c r="C5759" s="3">
        <v>35</v>
      </c>
      <c r="D5759" s="20" t="s">
        <v>113</v>
      </c>
      <c r="E5759" s="7" t="s">
        <v>15</v>
      </c>
      <c r="F5759" s="7" t="s">
        <v>28</v>
      </c>
      <c r="G5759" s="11">
        <v>12.18</v>
      </c>
      <c r="H5759" s="33">
        <v>6.3</v>
      </c>
      <c r="I5759" s="40">
        <v>2</v>
      </c>
      <c r="J5759" s="10">
        <v>0.15346799999999999</v>
      </c>
      <c r="K5759" s="17">
        <v>2</v>
      </c>
      <c r="L5759" s="18">
        <v>0.15346799999999999</v>
      </c>
      <c r="M5759" s="19">
        <v>0</v>
      </c>
      <c r="N5759" s="13">
        <v>0</v>
      </c>
      <c r="O5759" s="72">
        <v>6.1</v>
      </c>
      <c r="P5759" s="72">
        <v>2</v>
      </c>
      <c r="Q5759" s="72" t="s">
        <v>739</v>
      </c>
    </row>
    <row r="5760" spans="1:17">
      <c r="P5760" s="76">
        <f>SUM(P5758:P5759)</f>
        <v>3</v>
      </c>
    </row>
    <row r="5762" spans="1:18" ht="15.6">
      <c r="A5762" s="110" t="s">
        <v>618</v>
      </c>
      <c r="B5762" s="111" t="s">
        <v>505</v>
      </c>
      <c r="C5762" s="112" t="s">
        <v>449</v>
      </c>
      <c r="D5762" s="113" t="s">
        <v>20</v>
      </c>
      <c r="E5762" s="216" t="s">
        <v>15</v>
      </c>
      <c r="F5762" s="216" t="s">
        <v>28</v>
      </c>
      <c r="G5762" s="217">
        <v>12.2</v>
      </c>
      <c r="H5762" s="218">
        <v>12</v>
      </c>
      <c r="I5762" s="219">
        <v>15</v>
      </c>
      <c r="J5762" s="220">
        <f t="shared" ref="J5762:J5767" si="776">(G5762*H5762*I5762/1000)</f>
        <v>2.1959999999999997</v>
      </c>
      <c r="K5762" s="118"/>
      <c r="L5762" s="219">
        <f>14+1</f>
        <v>15</v>
      </c>
      <c r="M5762" s="117">
        <f t="shared" ref="M5762:M5767" si="777">H5762*L5762*G5762/1000</f>
        <v>2.1960000000000002</v>
      </c>
      <c r="N5762" s="119">
        <f t="shared" ref="N5762:N5767" si="778">I5762-L5762</f>
        <v>0</v>
      </c>
      <c r="O5762" s="120">
        <f t="shared" ref="O5762:O5767" si="779">H5762*N5762*G5762/1000</f>
        <v>0</v>
      </c>
      <c r="P5762" s="79">
        <v>11</v>
      </c>
      <c r="Q5762" s="72">
        <v>1</v>
      </c>
      <c r="R5762" s="72" t="s">
        <v>739</v>
      </c>
    </row>
    <row r="5763" spans="1:18" ht="15.6">
      <c r="A5763" s="110" t="s">
        <v>618</v>
      </c>
      <c r="B5763" s="111" t="s">
        <v>505</v>
      </c>
      <c r="C5763" s="112" t="s">
        <v>449</v>
      </c>
      <c r="D5763" s="113" t="s">
        <v>20</v>
      </c>
      <c r="E5763" s="216" t="s">
        <v>15</v>
      </c>
      <c r="F5763" s="216" t="s">
        <v>28</v>
      </c>
      <c r="G5763" s="217">
        <v>12.2</v>
      </c>
      <c r="H5763" s="218">
        <v>10.25</v>
      </c>
      <c r="I5763" s="219">
        <v>18</v>
      </c>
      <c r="J5763" s="220">
        <f t="shared" si="776"/>
        <v>2.2509000000000001</v>
      </c>
      <c r="K5763" s="118"/>
      <c r="L5763" s="219">
        <v>18</v>
      </c>
      <c r="M5763" s="117">
        <f t="shared" si="777"/>
        <v>2.2509000000000001</v>
      </c>
      <c r="N5763" s="119">
        <f t="shared" si="778"/>
        <v>0</v>
      </c>
      <c r="O5763" s="120">
        <f t="shared" si="779"/>
        <v>0</v>
      </c>
      <c r="P5763" s="79"/>
      <c r="Q5763" s="72"/>
      <c r="R5763" s="72"/>
    </row>
    <row r="5764" spans="1:18" ht="15.6">
      <c r="A5764" s="110" t="s">
        <v>618</v>
      </c>
      <c r="B5764" s="111" t="s">
        <v>505</v>
      </c>
      <c r="C5764" s="112" t="s">
        <v>449</v>
      </c>
      <c r="D5764" s="113" t="s">
        <v>20</v>
      </c>
      <c r="E5764" s="216" t="s">
        <v>15</v>
      </c>
      <c r="F5764" s="216" t="s">
        <v>28</v>
      </c>
      <c r="G5764" s="217">
        <v>12.2</v>
      </c>
      <c r="H5764" s="218">
        <v>10.25</v>
      </c>
      <c r="I5764" s="219">
        <v>21</v>
      </c>
      <c r="J5764" s="220">
        <f t="shared" si="776"/>
        <v>2.6260499999999998</v>
      </c>
      <c r="K5764" s="118"/>
      <c r="L5764" s="219">
        <v>21</v>
      </c>
      <c r="M5764" s="117">
        <f t="shared" si="777"/>
        <v>2.6260499999999998</v>
      </c>
      <c r="N5764" s="119">
        <f t="shared" si="778"/>
        <v>0</v>
      </c>
      <c r="O5764" s="120">
        <f t="shared" si="779"/>
        <v>0</v>
      </c>
      <c r="P5764" s="79"/>
      <c r="Q5764" s="72"/>
      <c r="R5764" s="72"/>
    </row>
    <row r="5765" spans="1:18" ht="15.6">
      <c r="A5765" s="110" t="s">
        <v>618</v>
      </c>
      <c r="B5765" s="111" t="s">
        <v>505</v>
      </c>
      <c r="C5765" s="112" t="s">
        <v>449</v>
      </c>
      <c r="D5765" s="113" t="s">
        <v>20</v>
      </c>
      <c r="E5765" s="216" t="s">
        <v>15</v>
      </c>
      <c r="F5765" s="216" t="s">
        <v>28</v>
      </c>
      <c r="G5765" s="217">
        <v>12.2</v>
      </c>
      <c r="H5765" s="218">
        <v>10.25</v>
      </c>
      <c r="I5765" s="219">
        <v>5</v>
      </c>
      <c r="J5765" s="220">
        <f t="shared" si="776"/>
        <v>0.62524999999999997</v>
      </c>
      <c r="K5765" s="118"/>
      <c r="L5765" s="219">
        <v>5</v>
      </c>
      <c r="M5765" s="117">
        <f t="shared" si="777"/>
        <v>0.62524999999999997</v>
      </c>
      <c r="N5765" s="119">
        <f t="shared" si="778"/>
        <v>0</v>
      </c>
      <c r="O5765" s="120">
        <f t="shared" si="779"/>
        <v>0</v>
      </c>
      <c r="P5765" s="79">
        <v>9.8000000000000007</v>
      </c>
      <c r="Q5765" s="72">
        <v>5</v>
      </c>
      <c r="R5765" s="72" t="s">
        <v>739</v>
      </c>
    </row>
    <row r="5766" spans="1:18" ht="15.6">
      <c r="A5766" s="110" t="s">
        <v>618</v>
      </c>
      <c r="B5766" s="111" t="s">
        <v>505</v>
      </c>
      <c r="C5766" s="112" t="s">
        <v>449</v>
      </c>
      <c r="D5766" s="113" t="s">
        <v>20</v>
      </c>
      <c r="E5766" s="216" t="s">
        <v>15</v>
      </c>
      <c r="F5766" s="216" t="s">
        <v>28</v>
      </c>
      <c r="G5766" s="217">
        <v>12.2</v>
      </c>
      <c r="H5766" s="218">
        <v>12</v>
      </c>
      <c r="I5766" s="219">
        <v>21</v>
      </c>
      <c r="J5766" s="220">
        <f t="shared" si="776"/>
        <v>3.0743999999999998</v>
      </c>
      <c r="K5766" s="118"/>
      <c r="L5766" s="219">
        <v>21</v>
      </c>
      <c r="M5766" s="117">
        <f t="shared" si="777"/>
        <v>3.0743999999999998</v>
      </c>
      <c r="N5766" s="119">
        <f t="shared" si="778"/>
        <v>0</v>
      </c>
      <c r="O5766" s="120">
        <f t="shared" si="779"/>
        <v>0</v>
      </c>
      <c r="P5766" s="79"/>
      <c r="Q5766" s="72"/>
      <c r="R5766" s="72"/>
    </row>
    <row r="5767" spans="1:18" ht="15.6">
      <c r="A5767" s="110" t="s">
        <v>618</v>
      </c>
      <c r="B5767" s="111" t="s">
        <v>505</v>
      </c>
      <c r="C5767" s="112" t="s">
        <v>449</v>
      </c>
      <c r="D5767" s="113" t="s">
        <v>20</v>
      </c>
      <c r="E5767" s="216" t="s">
        <v>15</v>
      </c>
      <c r="F5767" s="216" t="s">
        <v>28</v>
      </c>
      <c r="G5767" s="217">
        <v>12.2</v>
      </c>
      <c r="H5767" s="218">
        <v>11.7</v>
      </c>
      <c r="I5767" s="219">
        <v>1</v>
      </c>
      <c r="J5767" s="220">
        <f t="shared" si="776"/>
        <v>0.14273999999999998</v>
      </c>
      <c r="K5767" s="118"/>
      <c r="L5767" s="219">
        <v>1</v>
      </c>
      <c r="M5767" s="117">
        <f t="shared" si="777"/>
        <v>0.14273999999999998</v>
      </c>
      <c r="N5767" s="119">
        <f t="shared" si="778"/>
        <v>0</v>
      </c>
      <c r="O5767" s="120">
        <f t="shared" si="779"/>
        <v>0</v>
      </c>
      <c r="P5767" s="79">
        <v>11</v>
      </c>
      <c r="Q5767" s="72">
        <v>1</v>
      </c>
      <c r="R5767" s="72" t="s">
        <v>739</v>
      </c>
    </row>
    <row r="5768" spans="1:18">
      <c r="A5768" s="213"/>
      <c r="B5768" s="213"/>
      <c r="C5768" s="213"/>
      <c r="D5768" s="213"/>
      <c r="E5768" s="213"/>
      <c r="F5768" s="213"/>
      <c r="G5768" s="213"/>
      <c r="H5768" s="213"/>
      <c r="I5768" s="215">
        <f>SUM(I5762:I5767)</f>
        <v>81</v>
      </c>
      <c r="J5768" s="214">
        <f>SUM(J5762:J5767)</f>
        <v>10.915339999999999</v>
      </c>
      <c r="K5768" s="213"/>
      <c r="L5768" s="215">
        <f>SUM(L5762:L5767)</f>
        <v>81</v>
      </c>
      <c r="M5768" s="214">
        <f>SUM(M5762:M5767)</f>
        <v>10.91534</v>
      </c>
      <c r="N5768" s="215">
        <f>SUM(N5762:N5767)</f>
        <v>0</v>
      </c>
      <c r="O5768" s="214">
        <f>SUM(O5762:O5767)</f>
        <v>0</v>
      </c>
      <c r="P5768" s="213"/>
      <c r="Q5768" s="215">
        <f>SUM(Q5762:Q5767)</f>
        <v>7</v>
      </c>
      <c r="R5768" s="213"/>
    </row>
    <row r="5769" spans="1:18">
      <c r="Q5769" s="215">
        <f>+Q5768+P5760</f>
        <v>10</v>
      </c>
    </row>
    <row r="5771" spans="1:18">
      <c r="A5771" s="42" t="s">
        <v>77</v>
      </c>
      <c r="B5771" s="3" t="s">
        <v>68</v>
      </c>
      <c r="C5771" s="3">
        <v>138</v>
      </c>
      <c r="D5771" s="20" t="s">
        <v>20</v>
      </c>
      <c r="E5771" s="7" t="s">
        <v>15</v>
      </c>
      <c r="F5771" s="7" t="s">
        <v>45</v>
      </c>
      <c r="G5771" s="11">
        <v>13.6</v>
      </c>
      <c r="H5771" s="8">
        <v>8</v>
      </c>
      <c r="I5771" s="26">
        <v>1</v>
      </c>
      <c r="J5771" s="10">
        <v>0.10879999999999999</v>
      </c>
      <c r="K5771" s="17">
        <v>1</v>
      </c>
      <c r="L5771" s="18">
        <v>0.10879999999999999</v>
      </c>
      <c r="M5771" s="19">
        <v>0</v>
      </c>
      <c r="N5771" s="13">
        <v>0</v>
      </c>
      <c r="O5771" s="9"/>
      <c r="P5771" s="2"/>
      <c r="Q5771" s="2"/>
    </row>
    <row r="5772" spans="1:18">
      <c r="A5772" s="42" t="s">
        <v>77</v>
      </c>
      <c r="B5772" s="3" t="s">
        <v>68</v>
      </c>
      <c r="C5772" s="3">
        <v>238</v>
      </c>
      <c r="D5772" s="12" t="s">
        <v>20</v>
      </c>
      <c r="E5772" s="7" t="s">
        <v>15</v>
      </c>
      <c r="F5772" s="7" t="s">
        <v>45</v>
      </c>
      <c r="G5772" s="11">
        <v>13.6</v>
      </c>
      <c r="H5772" s="8">
        <v>6.5</v>
      </c>
      <c r="I5772" s="26">
        <v>2</v>
      </c>
      <c r="J5772" s="10">
        <v>0.17679999999999998</v>
      </c>
      <c r="K5772" s="17">
        <v>2</v>
      </c>
      <c r="L5772" s="18">
        <v>0.17679999999999998</v>
      </c>
      <c r="M5772" s="19">
        <v>0</v>
      </c>
      <c r="N5772" s="13">
        <v>0</v>
      </c>
      <c r="O5772" s="89">
        <v>6.55</v>
      </c>
      <c r="P5772" s="90">
        <v>2</v>
      </c>
      <c r="Q5772" s="90" t="s">
        <v>740</v>
      </c>
    </row>
    <row r="5773" spans="1:18">
      <c r="A5773" s="42" t="s">
        <v>77</v>
      </c>
      <c r="B5773" s="3" t="s">
        <v>68</v>
      </c>
      <c r="C5773" s="3">
        <v>238</v>
      </c>
      <c r="D5773" s="12" t="s">
        <v>20</v>
      </c>
      <c r="E5773" s="7" t="s">
        <v>15</v>
      </c>
      <c r="F5773" s="7" t="s">
        <v>45</v>
      </c>
      <c r="G5773" s="11">
        <v>13.6</v>
      </c>
      <c r="H5773" s="8">
        <v>7</v>
      </c>
      <c r="I5773" s="26">
        <v>2</v>
      </c>
      <c r="J5773" s="10">
        <v>0.19040000000000001</v>
      </c>
      <c r="K5773" s="17">
        <v>2</v>
      </c>
      <c r="L5773" s="18">
        <v>0.19040000000000001</v>
      </c>
      <c r="M5773" s="19">
        <v>0</v>
      </c>
      <c r="N5773" s="13">
        <v>0</v>
      </c>
      <c r="O5773" s="9"/>
      <c r="P5773" s="2"/>
      <c r="Q5773" s="2"/>
    </row>
    <row r="5774" spans="1:18">
      <c r="A5774" s="42" t="s">
        <v>77</v>
      </c>
      <c r="B5774" s="3" t="s">
        <v>68</v>
      </c>
      <c r="C5774" s="3">
        <v>238</v>
      </c>
      <c r="D5774" s="12" t="s">
        <v>20</v>
      </c>
      <c r="E5774" s="7" t="s">
        <v>15</v>
      </c>
      <c r="F5774" s="7" t="s">
        <v>45</v>
      </c>
      <c r="G5774" s="11">
        <v>13.6</v>
      </c>
      <c r="H5774" s="8">
        <v>7.2</v>
      </c>
      <c r="I5774" s="26">
        <v>2</v>
      </c>
      <c r="J5774" s="10">
        <v>0.19584000000000001</v>
      </c>
      <c r="K5774" s="17">
        <v>2</v>
      </c>
      <c r="L5774" s="18">
        <v>0.19584000000000001</v>
      </c>
      <c r="M5774" s="19">
        <v>0</v>
      </c>
      <c r="N5774" s="13">
        <v>0</v>
      </c>
      <c r="O5774" s="9"/>
      <c r="P5774" s="2"/>
      <c r="Q5774" s="2"/>
    </row>
    <row r="5775" spans="1:18">
      <c r="A5775" s="42" t="s">
        <v>90</v>
      </c>
      <c r="B5775" s="3"/>
      <c r="C5775" s="3">
        <v>120</v>
      </c>
      <c r="D5775" s="12" t="s">
        <v>94</v>
      </c>
      <c r="E5775" s="7" t="s">
        <v>15</v>
      </c>
      <c r="F5775" s="7" t="s">
        <v>45</v>
      </c>
      <c r="G5775" s="11">
        <v>13.6</v>
      </c>
      <c r="H5775" s="8">
        <v>9.1999999999999993</v>
      </c>
      <c r="I5775" s="26">
        <v>1</v>
      </c>
      <c r="J5775" s="10">
        <v>0.12511999999999998</v>
      </c>
      <c r="K5775" s="17">
        <v>1</v>
      </c>
      <c r="L5775" s="18">
        <v>0.12511999999999998</v>
      </c>
      <c r="M5775" s="19">
        <v>0</v>
      </c>
      <c r="N5775" s="13">
        <v>0</v>
      </c>
      <c r="O5775" s="9"/>
      <c r="P5775" s="2"/>
      <c r="Q5775" s="2"/>
    </row>
    <row r="5776" spans="1:18">
      <c r="A5776" s="42" t="s">
        <v>90</v>
      </c>
      <c r="B5776" s="3"/>
      <c r="C5776" s="3">
        <v>178</v>
      </c>
      <c r="D5776" s="20" t="s">
        <v>17</v>
      </c>
      <c r="E5776" s="7" t="s">
        <v>15</v>
      </c>
      <c r="F5776" s="7" t="s">
        <v>45</v>
      </c>
      <c r="G5776" s="11">
        <v>13.6</v>
      </c>
      <c r="H5776" s="8">
        <v>12</v>
      </c>
      <c r="I5776" s="26">
        <v>3</v>
      </c>
      <c r="J5776" s="10">
        <v>0.48959999999999998</v>
      </c>
      <c r="K5776" s="17"/>
      <c r="L5776" s="18">
        <v>0</v>
      </c>
      <c r="M5776" s="19">
        <v>3</v>
      </c>
      <c r="N5776" s="13">
        <v>0.48959999999999998</v>
      </c>
      <c r="O5776" s="9"/>
      <c r="P5776" s="2"/>
      <c r="Q5776" s="2"/>
    </row>
    <row r="5777" spans="1:18">
      <c r="A5777" s="42" t="s">
        <v>90</v>
      </c>
      <c r="B5777" s="3"/>
      <c r="C5777" s="3">
        <v>221</v>
      </c>
      <c r="D5777" s="20" t="s">
        <v>20</v>
      </c>
      <c r="E5777" s="60" t="s">
        <v>15</v>
      </c>
      <c r="F5777" s="60" t="s">
        <v>626</v>
      </c>
      <c r="G5777" s="61">
        <v>15.04</v>
      </c>
      <c r="H5777" s="21">
        <v>12.7</v>
      </c>
      <c r="I5777" s="22">
        <v>1</v>
      </c>
      <c r="J5777" s="62">
        <v>0.19100799999999998</v>
      </c>
      <c r="K5777" s="22">
        <v>1</v>
      </c>
      <c r="L5777" s="63">
        <v>0.19100799999999998</v>
      </c>
      <c r="M5777" s="64">
        <v>0</v>
      </c>
      <c r="N5777" s="65">
        <v>0</v>
      </c>
      <c r="O5777" s="89">
        <v>6.55</v>
      </c>
      <c r="P5777" s="91">
        <v>1</v>
      </c>
      <c r="Q5777" s="90" t="s">
        <v>740</v>
      </c>
    </row>
    <row r="5778" spans="1:18">
      <c r="A5778" s="42" t="s">
        <v>90</v>
      </c>
      <c r="B5778" s="3"/>
      <c r="C5778" s="3">
        <v>221</v>
      </c>
      <c r="D5778" s="20" t="s">
        <v>20</v>
      </c>
      <c r="E5778" s="60" t="s">
        <v>15</v>
      </c>
      <c r="F5778" s="60" t="s">
        <v>626</v>
      </c>
      <c r="G5778" s="61">
        <v>15.04</v>
      </c>
      <c r="H5778" s="21">
        <v>12</v>
      </c>
      <c r="I5778" s="22">
        <v>1</v>
      </c>
      <c r="J5778" s="62">
        <v>0.18048</v>
      </c>
      <c r="K5778" s="22">
        <v>1</v>
      </c>
      <c r="L5778" s="63">
        <v>0.18048</v>
      </c>
      <c r="M5778" s="64">
        <v>0</v>
      </c>
      <c r="N5778" s="65">
        <v>0</v>
      </c>
      <c r="O5778" s="89">
        <v>6.55</v>
      </c>
      <c r="P5778" s="91">
        <v>1</v>
      </c>
      <c r="Q5778" s="90" t="s">
        <v>740</v>
      </c>
    </row>
    <row r="5779" spans="1:18">
      <c r="A5779" s="42" t="s">
        <v>90</v>
      </c>
      <c r="B5779" s="3"/>
      <c r="C5779" s="3">
        <v>223</v>
      </c>
      <c r="D5779" s="20" t="s">
        <v>20</v>
      </c>
      <c r="E5779" s="7" t="s">
        <v>15</v>
      </c>
      <c r="F5779" s="7" t="s">
        <v>45</v>
      </c>
      <c r="G5779" s="11">
        <v>13.6</v>
      </c>
      <c r="H5779" s="8">
        <v>6.8</v>
      </c>
      <c r="I5779" s="26">
        <v>2</v>
      </c>
      <c r="J5779" s="10">
        <v>0.18495999999999999</v>
      </c>
      <c r="K5779" s="17">
        <v>2</v>
      </c>
      <c r="L5779" s="18">
        <v>0.18495999999999999</v>
      </c>
      <c r="M5779" s="19">
        <v>0</v>
      </c>
      <c r="N5779" s="13">
        <v>0</v>
      </c>
      <c r="O5779" s="9"/>
      <c r="P5779" s="32"/>
      <c r="Q5779" s="2"/>
    </row>
    <row r="5780" spans="1:18">
      <c r="A5780" s="42" t="s">
        <v>90</v>
      </c>
      <c r="B5780" s="3"/>
      <c r="C5780" s="3">
        <v>223</v>
      </c>
      <c r="D5780" s="20" t="s">
        <v>20</v>
      </c>
      <c r="E5780" s="7" t="s">
        <v>15</v>
      </c>
      <c r="F5780" s="7" t="s">
        <v>45</v>
      </c>
      <c r="G5780" s="11">
        <v>13.6</v>
      </c>
      <c r="H5780" s="8">
        <v>10</v>
      </c>
      <c r="I5780" s="26">
        <v>1</v>
      </c>
      <c r="J5780" s="10">
        <v>0.13600000000000001</v>
      </c>
      <c r="K5780" s="17">
        <v>1</v>
      </c>
      <c r="L5780" s="18">
        <v>0.13600000000000001</v>
      </c>
      <c r="M5780" s="19">
        <v>0</v>
      </c>
      <c r="N5780" s="13">
        <v>0</v>
      </c>
      <c r="O5780" s="9"/>
      <c r="P5780" s="32"/>
      <c r="Q5780" s="2"/>
    </row>
    <row r="5781" spans="1:18">
      <c r="A5781" s="42" t="s">
        <v>90</v>
      </c>
      <c r="B5781" s="32"/>
      <c r="C5781" s="3">
        <v>223</v>
      </c>
      <c r="D5781" s="20" t="s">
        <v>20</v>
      </c>
      <c r="E5781" s="7" t="s">
        <v>15</v>
      </c>
      <c r="F5781" s="7" t="s">
        <v>45</v>
      </c>
      <c r="G5781" s="11">
        <v>13.6</v>
      </c>
      <c r="H5781" s="8">
        <v>8.6</v>
      </c>
      <c r="I5781" s="26">
        <v>1</v>
      </c>
      <c r="J5781" s="10">
        <v>0.11695999999999999</v>
      </c>
      <c r="K5781" s="17">
        <v>1</v>
      </c>
      <c r="L5781" s="18">
        <v>0.11695999999999999</v>
      </c>
      <c r="M5781" s="19">
        <v>0</v>
      </c>
      <c r="N5781" s="13">
        <v>0</v>
      </c>
      <c r="O5781" s="9"/>
      <c r="P5781" s="32"/>
      <c r="Q5781" s="2"/>
    </row>
    <row r="5782" spans="1:18">
      <c r="A5782" s="42" t="s">
        <v>90</v>
      </c>
      <c r="B5782" s="3"/>
      <c r="C5782" s="3">
        <v>232</v>
      </c>
      <c r="D5782" s="20" t="s">
        <v>20</v>
      </c>
      <c r="E5782" s="7" t="s">
        <v>15</v>
      </c>
      <c r="F5782" s="7" t="s">
        <v>45</v>
      </c>
      <c r="G5782" s="11">
        <v>13.6</v>
      </c>
      <c r="H5782" s="8">
        <v>6.5</v>
      </c>
      <c r="I5782" s="26">
        <v>1</v>
      </c>
      <c r="J5782" s="10">
        <v>8.8399999999999992E-2</v>
      </c>
      <c r="K5782" s="17"/>
      <c r="L5782" s="18">
        <v>0</v>
      </c>
      <c r="M5782" s="19">
        <v>1</v>
      </c>
      <c r="N5782" s="13">
        <v>8.8399999999999992E-2</v>
      </c>
      <c r="O5782" s="89">
        <v>6.55</v>
      </c>
      <c r="P5782" s="91">
        <v>1</v>
      </c>
      <c r="Q5782" s="90" t="s">
        <v>740</v>
      </c>
    </row>
    <row r="5783" spans="1:18">
      <c r="A5783" s="47" t="s">
        <v>147</v>
      </c>
      <c r="B5783" s="48" t="s">
        <v>148</v>
      </c>
      <c r="C5783" s="32">
        <v>291</v>
      </c>
      <c r="D5783" s="48" t="s">
        <v>20</v>
      </c>
      <c r="E5783" s="48" t="s">
        <v>160</v>
      </c>
      <c r="F5783" s="48" t="s">
        <v>45</v>
      </c>
      <c r="G5783" s="11">
        <v>13.6</v>
      </c>
      <c r="H5783" s="52">
        <v>12</v>
      </c>
      <c r="I5783" s="7">
        <v>2</v>
      </c>
      <c r="J5783" s="10">
        <v>0.32639999999999997</v>
      </c>
      <c r="K5783" s="32"/>
      <c r="L5783" s="18">
        <v>0</v>
      </c>
      <c r="M5783" s="19">
        <v>2</v>
      </c>
      <c r="N5783" s="13">
        <v>0.32639999999999997</v>
      </c>
      <c r="O5783" s="89">
        <v>6.55</v>
      </c>
      <c r="P5783" s="91">
        <v>2</v>
      </c>
      <c r="Q5783" s="90" t="s">
        <v>740</v>
      </c>
    </row>
    <row r="5784" spans="1:18">
      <c r="A5784" s="47" t="s">
        <v>147</v>
      </c>
      <c r="B5784" s="48" t="s">
        <v>148</v>
      </c>
      <c r="C5784" s="32">
        <v>291</v>
      </c>
      <c r="D5784" s="48" t="s">
        <v>20</v>
      </c>
      <c r="E5784" s="48" t="s">
        <v>160</v>
      </c>
      <c r="F5784" s="48" t="s">
        <v>45</v>
      </c>
      <c r="G5784" s="11">
        <v>13.6</v>
      </c>
      <c r="H5784" s="52">
        <v>11</v>
      </c>
      <c r="I5784" s="7">
        <v>1</v>
      </c>
      <c r="J5784" s="10">
        <v>0.14959999999999998</v>
      </c>
      <c r="K5784" s="32">
        <v>1</v>
      </c>
      <c r="L5784" s="18">
        <v>0.14959999999999998</v>
      </c>
      <c r="M5784" s="106">
        <v>0</v>
      </c>
      <c r="N5784" s="13">
        <v>0</v>
      </c>
      <c r="O5784" s="32"/>
      <c r="P5784" s="32"/>
      <c r="Q5784" s="32"/>
    </row>
    <row r="5785" spans="1:18">
      <c r="M5785" s="215">
        <f>SUM(M5771:M5784)</f>
        <v>6</v>
      </c>
      <c r="P5785" s="215">
        <f>SUM(P5771:P5784)</f>
        <v>7</v>
      </c>
    </row>
    <row r="5787" spans="1:18" ht="15.6">
      <c r="A5787" s="110" t="s">
        <v>327</v>
      </c>
      <c r="B5787" s="111" t="s">
        <v>232</v>
      </c>
      <c r="C5787" s="112" t="s">
        <v>228</v>
      </c>
      <c r="D5787" s="113" t="s">
        <v>152</v>
      </c>
      <c r="E5787" s="216" t="s">
        <v>15</v>
      </c>
      <c r="F5787" s="216" t="s">
        <v>45</v>
      </c>
      <c r="G5787" s="217">
        <v>13.6</v>
      </c>
      <c r="H5787" s="218">
        <v>6.6</v>
      </c>
      <c r="I5787" s="219">
        <f>26+26+28+24</f>
        <v>104</v>
      </c>
      <c r="J5787" s="220">
        <f t="shared" ref="J5787:J5788" si="780">(G5787*H5787*I5787/1000)</f>
        <v>9.3350399999999993</v>
      </c>
      <c r="K5787" s="118"/>
      <c r="L5787" s="111">
        <f>102+2</f>
        <v>104</v>
      </c>
      <c r="M5787" s="117">
        <f t="shared" ref="M5787:M5788" si="781">H5787*L5787*G5787/1000</f>
        <v>9.3350399999999993</v>
      </c>
      <c r="N5787" s="119">
        <f t="shared" ref="N5787:N5788" si="782">I5787-L5787</f>
        <v>0</v>
      </c>
      <c r="O5787" s="120">
        <f t="shared" ref="O5787:O5788" si="783">H5787*N5787*G5787/1000</f>
        <v>0</v>
      </c>
      <c r="P5787" s="91">
        <v>6.55</v>
      </c>
      <c r="Q5787" s="91">
        <v>2</v>
      </c>
      <c r="R5787" s="91" t="s">
        <v>740</v>
      </c>
    </row>
    <row r="5788" spans="1:18" ht="15.6">
      <c r="A5788" s="110" t="s">
        <v>327</v>
      </c>
      <c r="B5788" s="111" t="s">
        <v>232</v>
      </c>
      <c r="C5788" s="112" t="s">
        <v>228</v>
      </c>
      <c r="D5788" s="113" t="s">
        <v>152</v>
      </c>
      <c r="E5788" s="216" t="s">
        <v>15</v>
      </c>
      <c r="F5788" s="216" t="s">
        <v>45</v>
      </c>
      <c r="G5788" s="217">
        <v>13.6</v>
      </c>
      <c r="H5788" s="218">
        <v>6.1</v>
      </c>
      <c r="I5788" s="219">
        <v>1</v>
      </c>
      <c r="J5788" s="220">
        <f t="shared" si="780"/>
        <v>8.2959999999999992E-2</v>
      </c>
      <c r="K5788" s="118"/>
      <c r="L5788" s="111"/>
      <c r="M5788" s="117">
        <f t="shared" si="781"/>
        <v>0</v>
      </c>
      <c r="N5788" s="119">
        <f t="shared" si="782"/>
        <v>1</v>
      </c>
      <c r="O5788" s="120">
        <f t="shared" si="783"/>
        <v>8.2959999999999992E-2</v>
      </c>
      <c r="P5788" s="111"/>
      <c r="Q5788" s="111"/>
      <c r="R5788" s="111"/>
    </row>
    <row r="5789" spans="1:18">
      <c r="A5789" s="32"/>
      <c r="B5789" s="32"/>
      <c r="C5789" s="32"/>
      <c r="D5789" s="32"/>
      <c r="E5789" s="32"/>
      <c r="F5789" s="32"/>
      <c r="G5789" s="32"/>
      <c r="H5789" s="32"/>
      <c r="I5789" s="129">
        <f>SUM(I5787:I5788)</f>
        <v>105</v>
      </c>
      <c r="J5789" s="124">
        <f>SUM(J5787:J5788)</f>
        <v>9.4179999999999993</v>
      </c>
      <c r="K5789" s="32"/>
      <c r="L5789" s="129">
        <f>SUM(L5787:L5788)</f>
        <v>104</v>
      </c>
      <c r="M5789" s="132">
        <f>SUM(M5787:M5788)</f>
        <v>9.3350399999999993</v>
      </c>
      <c r="N5789" s="131">
        <f>SUM(N5787:N5788)</f>
        <v>1</v>
      </c>
      <c r="O5789" s="132">
        <f>SUM(O5787:O5788)</f>
        <v>8.2959999999999992E-2</v>
      </c>
      <c r="P5789" s="32"/>
      <c r="Q5789" s="131">
        <f>SUM(Q5787:Q5788)</f>
        <v>2</v>
      </c>
      <c r="R5789" s="32"/>
    </row>
    <row r="5790" spans="1:18">
      <c r="Q5790" s="215">
        <f>+Q5789+P5785</f>
        <v>9</v>
      </c>
    </row>
    <row r="5792" spans="1:18">
      <c r="A5792" s="48" t="s">
        <v>179</v>
      </c>
      <c r="B5792" s="48" t="s">
        <v>169</v>
      </c>
      <c r="C5792" s="32"/>
      <c r="D5792" s="69" t="s">
        <v>152</v>
      </c>
      <c r="E5792" s="69" t="s">
        <v>15</v>
      </c>
      <c r="F5792" s="69" t="s">
        <v>22</v>
      </c>
      <c r="G5792" s="61">
        <v>10.73</v>
      </c>
      <c r="H5792" s="99">
        <v>10.9</v>
      </c>
      <c r="I5792" s="60">
        <v>3</v>
      </c>
      <c r="J5792" s="62">
        <v>0.35087100000000004</v>
      </c>
      <c r="K5792" s="32"/>
      <c r="L5792" s="18">
        <v>0</v>
      </c>
      <c r="M5792" s="64">
        <v>3</v>
      </c>
      <c r="N5792" s="65">
        <v>0.35087100000000004</v>
      </c>
      <c r="O5792" s="58"/>
      <c r="P5792" s="32"/>
      <c r="Q5792" s="32"/>
    </row>
    <row r="5793" spans="1:18">
      <c r="A5793" s="48" t="s">
        <v>179</v>
      </c>
      <c r="B5793" s="48" t="s">
        <v>169</v>
      </c>
      <c r="C5793" s="32"/>
      <c r="D5793" s="69" t="s">
        <v>152</v>
      </c>
      <c r="E5793" s="69" t="s">
        <v>15</v>
      </c>
      <c r="F5793" s="69" t="s">
        <v>22</v>
      </c>
      <c r="G5793" s="61">
        <v>10.73</v>
      </c>
      <c r="H5793" s="99">
        <v>11</v>
      </c>
      <c r="I5793" s="60">
        <v>1</v>
      </c>
      <c r="J5793" s="62">
        <v>0.11803</v>
      </c>
      <c r="K5793" s="32"/>
      <c r="L5793" s="18">
        <v>0</v>
      </c>
      <c r="M5793" s="64">
        <v>1</v>
      </c>
      <c r="N5793" s="65">
        <v>0.11803</v>
      </c>
      <c r="O5793" s="58"/>
      <c r="P5793" s="32"/>
      <c r="Q5793" s="32"/>
    </row>
    <row r="5794" spans="1:18">
      <c r="A5794" s="42" t="s">
        <v>90</v>
      </c>
      <c r="B5794" s="48" t="s">
        <v>148</v>
      </c>
      <c r="C5794" s="32">
        <v>101</v>
      </c>
      <c r="D5794" s="69" t="s">
        <v>152</v>
      </c>
      <c r="E5794" s="69" t="s">
        <v>15</v>
      </c>
      <c r="F5794" s="69" t="s">
        <v>22</v>
      </c>
      <c r="G5794" s="61">
        <v>10.73</v>
      </c>
      <c r="H5794" s="70">
        <v>10.5</v>
      </c>
      <c r="I5794" s="60">
        <v>1</v>
      </c>
      <c r="J5794" s="62">
        <v>0.112665</v>
      </c>
      <c r="K5794" s="67"/>
      <c r="L5794" s="63">
        <v>0</v>
      </c>
      <c r="M5794" s="64">
        <v>1</v>
      </c>
      <c r="N5794" s="65">
        <v>0.112665</v>
      </c>
      <c r="O5794" s="32"/>
      <c r="P5794" s="32"/>
      <c r="Q5794" s="32"/>
    </row>
    <row r="5795" spans="1:18">
      <c r="A5795" s="42" t="s">
        <v>90</v>
      </c>
      <c r="B5795" s="3"/>
      <c r="C5795" s="3">
        <v>106</v>
      </c>
      <c r="D5795" s="12" t="s">
        <v>94</v>
      </c>
      <c r="E5795" s="7" t="s">
        <v>15</v>
      </c>
      <c r="F5795" s="7" t="s">
        <v>22</v>
      </c>
      <c r="G5795" s="11">
        <v>10.73</v>
      </c>
      <c r="H5795" s="8">
        <v>6.9</v>
      </c>
      <c r="I5795" s="26">
        <v>1</v>
      </c>
      <c r="J5795" s="10">
        <v>7.4037000000000006E-2</v>
      </c>
      <c r="K5795" s="17">
        <v>1</v>
      </c>
      <c r="L5795" s="18">
        <v>7.4037000000000006E-2</v>
      </c>
      <c r="M5795" s="19">
        <v>0</v>
      </c>
      <c r="N5795" s="13">
        <v>0</v>
      </c>
      <c r="O5795" s="89">
        <v>6.1</v>
      </c>
      <c r="P5795" s="90">
        <v>1</v>
      </c>
      <c r="Q5795" s="90" t="s">
        <v>741</v>
      </c>
    </row>
    <row r="5796" spans="1:18">
      <c r="A5796" s="42" t="s">
        <v>90</v>
      </c>
      <c r="B5796" s="3"/>
      <c r="C5796" s="3">
        <v>133</v>
      </c>
      <c r="D5796" s="12" t="s">
        <v>94</v>
      </c>
      <c r="E5796" s="7" t="s">
        <v>15</v>
      </c>
      <c r="F5796" s="7" t="s">
        <v>22</v>
      </c>
      <c r="G5796" s="11">
        <v>10.73</v>
      </c>
      <c r="H5796" s="8">
        <v>7.5</v>
      </c>
      <c r="I5796" s="26">
        <v>3</v>
      </c>
      <c r="J5796" s="10">
        <v>0.241425</v>
      </c>
      <c r="K5796" s="17">
        <v>3</v>
      </c>
      <c r="L5796" s="18">
        <v>0.241425</v>
      </c>
      <c r="M5796" s="19">
        <v>0</v>
      </c>
      <c r="N5796" s="13">
        <v>0</v>
      </c>
      <c r="O5796" s="89">
        <v>6.1</v>
      </c>
      <c r="P5796" s="90">
        <v>3</v>
      </c>
      <c r="Q5796" s="90" t="s">
        <v>741</v>
      </c>
    </row>
    <row r="5797" spans="1:18">
      <c r="A5797" s="42" t="s">
        <v>90</v>
      </c>
      <c r="B5797" s="3"/>
      <c r="C5797" s="3">
        <v>175</v>
      </c>
      <c r="D5797" s="20" t="s">
        <v>20</v>
      </c>
      <c r="E5797" s="7" t="s">
        <v>15</v>
      </c>
      <c r="F5797" s="7" t="s">
        <v>22</v>
      </c>
      <c r="G5797" s="11">
        <v>10.73</v>
      </c>
      <c r="H5797" s="8">
        <v>5.4</v>
      </c>
      <c r="I5797" s="26">
        <v>1</v>
      </c>
      <c r="J5797" s="10">
        <v>5.7942000000000007E-2</v>
      </c>
      <c r="K5797" s="17"/>
      <c r="L5797" s="18">
        <v>0</v>
      </c>
      <c r="M5797" s="19">
        <v>1</v>
      </c>
      <c r="N5797" s="13">
        <v>5.7942000000000007E-2</v>
      </c>
      <c r="O5797" s="9"/>
      <c r="P5797" s="2"/>
      <c r="Q5797" s="2"/>
    </row>
    <row r="5798" spans="1:18">
      <c r="A5798" s="42" t="s">
        <v>90</v>
      </c>
      <c r="B5798" s="3"/>
      <c r="C5798" s="3">
        <v>175</v>
      </c>
      <c r="D5798" s="20" t="s">
        <v>20</v>
      </c>
      <c r="E5798" s="7" t="s">
        <v>15</v>
      </c>
      <c r="F5798" s="7" t="s">
        <v>22</v>
      </c>
      <c r="G5798" s="11">
        <v>10.73</v>
      </c>
      <c r="H5798" s="8">
        <v>5.3</v>
      </c>
      <c r="I5798" s="26">
        <v>1</v>
      </c>
      <c r="J5798" s="10">
        <v>5.6869000000000003E-2</v>
      </c>
      <c r="K5798" s="17"/>
      <c r="L5798" s="18">
        <v>0</v>
      </c>
      <c r="M5798" s="19">
        <v>1</v>
      </c>
      <c r="N5798" s="13">
        <v>5.6869000000000003E-2</v>
      </c>
      <c r="O5798" s="9"/>
      <c r="P5798" s="2"/>
      <c r="Q5798" s="2"/>
    </row>
    <row r="5799" spans="1:18">
      <c r="A5799" s="42" t="s">
        <v>90</v>
      </c>
      <c r="B5799" s="3"/>
      <c r="C5799" s="3">
        <v>217</v>
      </c>
      <c r="D5799" s="20" t="s">
        <v>20</v>
      </c>
      <c r="E5799" s="7" t="s">
        <v>15</v>
      </c>
      <c r="F5799" s="7" t="s">
        <v>22</v>
      </c>
      <c r="G5799" s="11">
        <v>10.73</v>
      </c>
      <c r="H5799" s="8">
        <v>7.4</v>
      </c>
      <c r="I5799" s="26">
        <v>1</v>
      </c>
      <c r="J5799" s="10">
        <v>7.9402E-2</v>
      </c>
      <c r="K5799" s="17">
        <v>1</v>
      </c>
      <c r="L5799" s="18">
        <v>7.9402E-2</v>
      </c>
      <c r="M5799" s="19">
        <v>0</v>
      </c>
      <c r="N5799" s="13">
        <v>0</v>
      </c>
      <c r="O5799" s="89">
        <v>6.1</v>
      </c>
      <c r="P5799" s="91">
        <v>1</v>
      </c>
      <c r="Q5799" s="90" t="s">
        <v>741</v>
      </c>
    </row>
    <row r="5800" spans="1:18">
      <c r="A5800" s="45" t="s">
        <v>136</v>
      </c>
      <c r="B5800" s="32" t="s">
        <v>137</v>
      </c>
      <c r="C5800" s="3">
        <v>63</v>
      </c>
      <c r="D5800" s="20" t="s">
        <v>20</v>
      </c>
      <c r="E5800" s="7" t="s">
        <v>15</v>
      </c>
      <c r="F5800" s="7" t="s">
        <v>22</v>
      </c>
      <c r="G5800" s="11">
        <v>10.73</v>
      </c>
      <c r="H5800" s="55">
        <v>7.5</v>
      </c>
      <c r="I5800" s="40">
        <v>1</v>
      </c>
      <c r="J5800" s="10">
        <v>8.0475000000000005E-2</v>
      </c>
      <c r="K5800" s="17">
        <v>1</v>
      </c>
      <c r="L5800" s="18">
        <v>8.0475000000000005E-2</v>
      </c>
      <c r="M5800" s="19">
        <v>0</v>
      </c>
      <c r="N5800" s="13">
        <v>0</v>
      </c>
      <c r="O5800" s="89">
        <v>6.1</v>
      </c>
      <c r="P5800" s="91">
        <v>1</v>
      </c>
      <c r="Q5800" s="90" t="s">
        <v>741</v>
      </c>
    </row>
    <row r="5801" spans="1:18">
      <c r="A5801" s="45" t="s">
        <v>136</v>
      </c>
      <c r="B5801" s="48" t="s">
        <v>171</v>
      </c>
      <c r="C5801" s="32">
        <v>162</v>
      </c>
      <c r="D5801" s="48" t="s">
        <v>94</v>
      </c>
      <c r="E5801" s="48" t="s">
        <v>15</v>
      </c>
      <c r="F5801" s="48" t="s">
        <v>22</v>
      </c>
      <c r="G5801" s="11">
        <v>10.73</v>
      </c>
      <c r="H5801" s="8">
        <v>6.1</v>
      </c>
      <c r="I5801" s="7">
        <v>1</v>
      </c>
      <c r="J5801" s="10">
        <v>6.5452999999999997E-2</v>
      </c>
      <c r="K5801" s="32">
        <v>1</v>
      </c>
      <c r="L5801" s="18">
        <v>6.5452999999999997E-2</v>
      </c>
      <c r="M5801" s="19">
        <v>0</v>
      </c>
      <c r="N5801" s="13">
        <v>0</v>
      </c>
      <c r="O5801" s="89">
        <v>6.1</v>
      </c>
      <c r="P5801" s="91">
        <v>1</v>
      </c>
      <c r="Q5801" s="90" t="s">
        <v>741</v>
      </c>
    </row>
    <row r="5802" spans="1:18">
      <c r="A5802" s="45" t="s">
        <v>136</v>
      </c>
      <c r="B5802" s="48" t="s">
        <v>171</v>
      </c>
      <c r="C5802" s="32">
        <v>162</v>
      </c>
      <c r="D5802" s="48" t="s">
        <v>94</v>
      </c>
      <c r="E5802" s="48" t="s">
        <v>15</v>
      </c>
      <c r="F5802" s="48" t="s">
        <v>22</v>
      </c>
      <c r="G5802" s="11">
        <v>10.73</v>
      </c>
      <c r="H5802" s="8">
        <v>6.3</v>
      </c>
      <c r="I5802" s="7">
        <v>1</v>
      </c>
      <c r="J5802" s="10">
        <v>6.7599000000000006E-2</v>
      </c>
      <c r="K5802" s="32">
        <v>1</v>
      </c>
      <c r="L5802" s="18">
        <v>6.7599000000000006E-2</v>
      </c>
      <c r="M5802" s="19">
        <v>0</v>
      </c>
      <c r="N5802" s="13">
        <v>0</v>
      </c>
      <c r="O5802" s="89">
        <v>6.1</v>
      </c>
      <c r="P5802" s="91">
        <v>1</v>
      </c>
      <c r="Q5802" s="90" t="s">
        <v>741</v>
      </c>
    </row>
    <row r="5803" spans="1:18">
      <c r="M5803" s="215">
        <f>SUM(M5792:M5802)</f>
        <v>7</v>
      </c>
      <c r="P5803" s="215">
        <f>SUM(P5792:P5802)</f>
        <v>8</v>
      </c>
    </row>
    <row r="5806" spans="1:18" ht="15.6">
      <c r="A5806" s="110" t="s">
        <v>248</v>
      </c>
      <c r="B5806" s="111" t="s">
        <v>227</v>
      </c>
      <c r="C5806" s="112" t="s">
        <v>228</v>
      </c>
      <c r="D5806" s="113" t="s">
        <v>94</v>
      </c>
      <c r="E5806" s="216" t="s">
        <v>15</v>
      </c>
      <c r="F5806" s="216" t="s">
        <v>22</v>
      </c>
      <c r="G5806" s="217">
        <v>10.73</v>
      </c>
      <c r="H5806" s="221">
        <v>7.2</v>
      </c>
      <c r="I5806" s="219">
        <v>1</v>
      </c>
      <c r="J5806" s="220">
        <f t="shared" ref="J5806:J5811" si="784">(G5806*H5806*I5806/1000)</f>
        <v>7.7256000000000005E-2</v>
      </c>
      <c r="K5806" s="118"/>
      <c r="L5806" s="111">
        <v>1</v>
      </c>
      <c r="M5806" s="117">
        <f t="shared" ref="M5806:M5811" si="785">H5806*L5806*G5806/1000</f>
        <v>7.7256000000000005E-2</v>
      </c>
      <c r="N5806" s="119">
        <f t="shared" ref="N5806:N5811" si="786">I5806-L5806</f>
        <v>0</v>
      </c>
      <c r="O5806" s="120">
        <f t="shared" ref="O5806:O5811" si="787">H5806*N5806*G5806/1000</f>
        <v>0</v>
      </c>
      <c r="P5806" s="93">
        <v>6.1</v>
      </c>
      <c r="Q5806" s="93">
        <v>1</v>
      </c>
      <c r="R5806" s="93" t="s">
        <v>742</v>
      </c>
    </row>
    <row r="5807" spans="1:18" ht="15.6">
      <c r="A5807" s="110" t="s">
        <v>248</v>
      </c>
      <c r="B5807" s="111" t="s">
        <v>227</v>
      </c>
      <c r="C5807" s="112" t="s">
        <v>228</v>
      </c>
      <c r="D5807" s="113" t="s">
        <v>94</v>
      </c>
      <c r="E5807" s="216" t="s">
        <v>15</v>
      </c>
      <c r="F5807" s="216" t="s">
        <v>22</v>
      </c>
      <c r="G5807" s="217">
        <v>10.73</v>
      </c>
      <c r="H5807" s="221">
        <v>6</v>
      </c>
      <c r="I5807" s="219">
        <v>3</v>
      </c>
      <c r="J5807" s="220">
        <f t="shared" si="784"/>
        <v>0.19313999999999998</v>
      </c>
      <c r="K5807" s="118"/>
      <c r="L5807" s="111"/>
      <c r="M5807" s="117">
        <f t="shared" si="785"/>
        <v>0</v>
      </c>
      <c r="N5807" s="119">
        <f t="shared" si="786"/>
        <v>3</v>
      </c>
      <c r="O5807" s="120">
        <f t="shared" si="787"/>
        <v>0.19314000000000001</v>
      </c>
      <c r="P5807" s="111"/>
      <c r="Q5807" s="111"/>
      <c r="R5807" s="111"/>
    </row>
    <row r="5808" spans="1:18" ht="15.6">
      <c r="A5808" s="110" t="s">
        <v>248</v>
      </c>
      <c r="B5808" s="111" t="s">
        <v>227</v>
      </c>
      <c r="C5808" s="112" t="s">
        <v>228</v>
      </c>
      <c r="D5808" s="113" t="s">
        <v>94</v>
      </c>
      <c r="E5808" s="216" t="s">
        <v>15</v>
      </c>
      <c r="F5808" s="216" t="s">
        <v>22</v>
      </c>
      <c r="G5808" s="217">
        <v>10.73</v>
      </c>
      <c r="H5808" s="221">
        <v>8</v>
      </c>
      <c r="I5808" s="219">
        <v>18</v>
      </c>
      <c r="J5808" s="220">
        <f t="shared" si="784"/>
        <v>1.54512</v>
      </c>
      <c r="K5808" s="118"/>
      <c r="L5808" s="111">
        <v>18</v>
      </c>
      <c r="M5808" s="117">
        <f t="shared" si="785"/>
        <v>1.54512</v>
      </c>
      <c r="N5808" s="119">
        <f t="shared" si="786"/>
        <v>0</v>
      </c>
      <c r="O5808" s="120">
        <f t="shared" si="787"/>
        <v>0</v>
      </c>
      <c r="P5808" s="111"/>
      <c r="Q5808" s="111"/>
      <c r="R5808" s="111"/>
    </row>
    <row r="5809" spans="1:19" ht="15.6">
      <c r="A5809" s="110" t="s">
        <v>248</v>
      </c>
      <c r="B5809" s="111" t="s">
        <v>227</v>
      </c>
      <c r="C5809" s="112" t="s">
        <v>228</v>
      </c>
      <c r="D5809" s="113" t="s">
        <v>94</v>
      </c>
      <c r="E5809" s="216" t="s">
        <v>15</v>
      </c>
      <c r="F5809" s="216" t="s">
        <v>22</v>
      </c>
      <c r="G5809" s="217">
        <v>10.73</v>
      </c>
      <c r="H5809" s="221">
        <v>12</v>
      </c>
      <c r="I5809" s="219">
        <v>25</v>
      </c>
      <c r="J5809" s="220">
        <f t="shared" si="784"/>
        <v>3.2189999999999999</v>
      </c>
      <c r="K5809" s="118"/>
      <c r="L5809" s="111">
        <v>25</v>
      </c>
      <c r="M5809" s="117">
        <f t="shared" si="785"/>
        <v>3.2189999999999999</v>
      </c>
      <c r="N5809" s="119">
        <f t="shared" si="786"/>
        <v>0</v>
      </c>
      <c r="O5809" s="120">
        <f t="shared" si="787"/>
        <v>0</v>
      </c>
      <c r="P5809" s="111"/>
      <c r="Q5809" s="111"/>
      <c r="R5809" s="111"/>
    </row>
    <row r="5810" spans="1:19" ht="15.6">
      <c r="A5810" s="110" t="s">
        <v>248</v>
      </c>
      <c r="B5810" s="111" t="s">
        <v>227</v>
      </c>
      <c r="C5810" s="112" t="s">
        <v>228</v>
      </c>
      <c r="D5810" s="113" t="s">
        <v>94</v>
      </c>
      <c r="E5810" s="216" t="s">
        <v>15</v>
      </c>
      <c r="F5810" s="216" t="s">
        <v>22</v>
      </c>
      <c r="G5810" s="217">
        <v>10.73</v>
      </c>
      <c r="H5810" s="221">
        <v>11</v>
      </c>
      <c r="I5810" s="219">
        <v>16</v>
      </c>
      <c r="J5810" s="220">
        <f t="shared" si="784"/>
        <v>1.8884799999999999</v>
      </c>
      <c r="K5810" s="118"/>
      <c r="L5810" s="45">
        <v>16</v>
      </c>
      <c r="M5810" s="117">
        <f t="shared" si="785"/>
        <v>1.8884799999999999</v>
      </c>
      <c r="N5810" s="119">
        <f t="shared" si="786"/>
        <v>0</v>
      </c>
      <c r="O5810" s="120">
        <f t="shared" si="787"/>
        <v>0</v>
      </c>
      <c r="P5810" s="111"/>
      <c r="Q5810" s="111"/>
      <c r="R5810" s="111"/>
    </row>
    <row r="5811" spans="1:19" ht="15.6">
      <c r="A5811" s="110" t="s">
        <v>248</v>
      </c>
      <c r="B5811" s="111" t="s">
        <v>227</v>
      </c>
      <c r="C5811" s="112" t="s">
        <v>228</v>
      </c>
      <c r="D5811" s="113" t="s">
        <v>94</v>
      </c>
      <c r="E5811" s="216" t="s">
        <v>15</v>
      </c>
      <c r="F5811" s="216" t="s">
        <v>22</v>
      </c>
      <c r="G5811" s="217">
        <v>10.73</v>
      </c>
      <c r="H5811" s="221">
        <v>7.5</v>
      </c>
      <c r="I5811" s="219">
        <v>1</v>
      </c>
      <c r="J5811" s="220">
        <f t="shared" si="784"/>
        <v>8.0475000000000005E-2</v>
      </c>
      <c r="K5811" s="118"/>
      <c r="L5811" s="111">
        <v>1</v>
      </c>
      <c r="M5811" s="117">
        <f t="shared" si="785"/>
        <v>8.0475000000000005E-2</v>
      </c>
      <c r="N5811" s="119">
        <f t="shared" si="786"/>
        <v>0</v>
      </c>
      <c r="O5811" s="120">
        <f t="shared" si="787"/>
        <v>0</v>
      </c>
      <c r="P5811" s="93">
        <v>6.1</v>
      </c>
      <c r="Q5811" s="93">
        <v>1</v>
      </c>
      <c r="R5811" s="93" t="s">
        <v>742</v>
      </c>
    </row>
    <row r="5812" spans="1:19">
      <c r="N5812" s="215">
        <f>SUM(N5806:N5811)</f>
        <v>3</v>
      </c>
      <c r="Q5812" s="215">
        <f>SUM(Q5806:Q5811)</f>
        <v>2</v>
      </c>
    </row>
    <row r="5815" spans="1:19" ht="15.6">
      <c r="A5815" s="110" t="s">
        <v>311</v>
      </c>
      <c r="B5815" s="111" t="s">
        <v>232</v>
      </c>
      <c r="C5815" s="112" t="s">
        <v>228</v>
      </c>
      <c r="D5815" s="113" t="s">
        <v>152</v>
      </c>
      <c r="E5815" s="216" t="s">
        <v>15</v>
      </c>
      <c r="F5815" s="216" t="s">
        <v>22</v>
      </c>
      <c r="G5815" s="217">
        <v>10.73</v>
      </c>
      <c r="H5815" s="218">
        <v>7.8</v>
      </c>
      <c r="I5815" s="219">
        <f>36+36+39+35+35+31+21+18+31+32+32+29+30+32+32+29+33+31+13</f>
        <v>575</v>
      </c>
      <c r="J5815" s="220">
        <f t="shared" ref="J5815:J5869" si="788">(G5815*H5815*I5815/1000)</f>
        <v>48.124050000000004</v>
      </c>
      <c r="K5815" s="118"/>
      <c r="L5815" s="111">
        <v>575</v>
      </c>
      <c r="M5815" s="117">
        <f t="shared" ref="M5815:M5869" si="789">H5815*L5815*G5815/1000</f>
        <v>48.124050000000004</v>
      </c>
      <c r="N5815" s="119">
        <f t="shared" ref="N5815:N5869" si="790">I5815-L5815</f>
        <v>0</v>
      </c>
      <c r="O5815" s="120">
        <f t="shared" ref="O5815:O5869" si="791">H5815*N5815*G5815/1000</f>
        <v>0</v>
      </c>
      <c r="P5815" s="111"/>
      <c r="Q5815" s="111"/>
      <c r="R5815" s="111"/>
      <c r="S5815" s="111"/>
    </row>
    <row r="5816" spans="1:19" ht="15.6">
      <c r="A5816" s="110" t="s">
        <v>311</v>
      </c>
      <c r="B5816" s="111" t="s">
        <v>232</v>
      </c>
      <c r="C5816" s="112" t="s">
        <v>228</v>
      </c>
      <c r="D5816" s="113" t="s">
        <v>152</v>
      </c>
      <c r="E5816" s="216" t="s">
        <v>15</v>
      </c>
      <c r="F5816" s="216" t="s">
        <v>22</v>
      </c>
      <c r="G5816" s="217">
        <v>10.73</v>
      </c>
      <c r="H5816" s="218">
        <v>9.4</v>
      </c>
      <c r="I5816" s="219">
        <f>28+33+32+27+26+29+3</f>
        <v>178</v>
      </c>
      <c r="J5816" s="220">
        <f t="shared" si="788"/>
        <v>17.953436</v>
      </c>
      <c r="K5816" s="118"/>
      <c r="L5816" s="111">
        <v>178</v>
      </c>
      <c r="M5816" s="117">
        <f t="shared" si="789"/>
        <v>17.953436</v>
      </c>
      <c r="N5816" s="119">
        <f t="shared" si="790"/>
        <v>0</v>
      </c>
      <c r="O5816" s="120">
        <f t="shared" si="791"/>
        <v>0</v>
      </c>
      <c r="P5816" s="111"/>
      <c r="Q5816" s="111"/>
      <c r="R5816" s="111"/>
      <c r="S5816" s="111"/>
    </row>
    <row r="5817" spans="1:19" ht="15.6">
      <c r="A5817" s="110" t="s">
        <v>311</v>
      </c>
      <c r="B5817" s="111" t="s">
        <v>232</v>
      </c>
      <c r="C5817" s="112" t="s">
        <v>228</v>
      </c>
      <c r="D5817" s="113" t="s">
        <v>152</v>
      </c>
      <c r="E5817" s="216" t="s">
        <v>15</v>
      </c>
      <c r="F5817" s="216" t="s">
        <v>22</v>
      </c>
      <c r="G5817" s="217">
        <v>10.73</v>
      </c>
      <c r="H5817" s="218">
        <v>10.4</v>
      </c>
      <c r="I5817" s="219">
        <f>31+30+3+25+26+16+1+2</f>
        <v>134</v>
      </c>
      <c r="J5817" s="220">
        <f t="shared" si="788"/>
        <v>14.953328000000001</v>
      </c>
      <c r="K5817" s="118"/>
      <c r="L5817" s="111">
        <f>113+12+9</f>
        <v>134</v>
      </c>
      <c r="M5817" s="117">
        <f t="shared" si="789"/>
        <v>14.953328000000001</v>
      </c>
      <c r="N5817" s="119">
        <f t="shared" si="790"/>
        <v>0</v>
      </c>
      <c r="O5817" s="120">
        <f t="shared" si="791"/>
        <v>0</v>
      </c>
      <c r="P5817" s="111"/>
      <c r="Q5817" s="111"/>
      <c r="R5817" s="159"/>
      <c r="S5817" s="111"/>
    </row>
    <row r="5818" spans="1:19" ht="15.6">
      <c r="A5818" s="110" t="s">
        <v>311</v>
      </c>
      <c r="B5818" s="111" t="s">
        <v>232</v>
      </c>
      <c r="C5818" s="112" t="s">
        <v>228</v>
      </c>
      <c r="D5818" s="113" t="s">
        <v>152</v>
      </c>
      <c r="E5818" s="216" t="s">
        <v>15</v>
      </c>
      <c r="F5818" s="216" t="s">
        <v>22</v>
      </c>
      <c r="G5818" s="217">
        <v>10.73</v>
      </c>
      <c r="H5818" s="218">
        <v>11.6</v>
      </c>
      <c r="I5818" s="219">
        <f>25+25+25+24+15+27+25+25+27+4+8+19</f>
        <v>249</v>
      </c>
      <c r="J5818" s="220">
        <f t="shared" si="788"/>
        <v>30.992532000000001</v>
      </c>
      <c r="K5818" s="118"/>
      <c r="L5818" s="111">
        <v>249</v>
      </c>
      <c r="M5818" s="117">
        <f t="shared" si="789"/>
        <v>30.992532000000004</v>
      </c>
      <c r="N5818" s="119">
        <f t="shared" si="790"/>
        <v>0</v>
      </c>
      <c r="O5818" s="120">
        <f t="shared" si="791"/>
        <v>0</v>
      </c>
      <c r="P5818" s="111"/>
      <c r="Q5818" s="111"/>
      <c r="R5818" s="159"/>
      <c r="S5818" s="111"/>
    </row>
    <row r="5819" spans="1:19" ht="15.6">
      <c r="A5819" s="110" t="s">
        <v>311</v>
      </c>
      <c r="B5819" s="111" t="s">
        <v>232</v>
      </c>
      <c r="C5819" s="112" t="s">
        <v>228</v>
      </c>
      <c r="D5819" s="113" t="s">
        <v>152</v>
      </c>
      <c r="E5819" s="216" t="s">
        <v>15</v>
      </c>
      <c r="F5819" s="216" t="s">
        <v>22</v>
      </c>
      <c r="G5819" s="217">
        <v>10.73</v>
      </c>
      <c r="H5819" s="218">
        <v>12</v>
      </c>
      <c r="I5819" s="219">
        <f>24+18+19+20+25+24+22+9</f>
        <v>161</v>
      </c>
      <c r="J5819" s="220">
        <f t="shared" si="788"/>
        <v>20.730359999999997</v>
      </c>
      <c r="K5819" s="118"/>
      <c r="L5819" s="111">
        <f>160+1</f>
        <v>161</v>
      </c>
      <c r="M5819" s="117">
        <f t="shared" si="789"/>
        <v>20.730360000000001</v>
      </c>
      <c r="N5819" s="119">
        <f t="shared" si="790"/>
        <v>0</v>
      </c>
      <c r="O5819" s="120">
        <f t="shared" si="791"/>
        <v>0</v>
      </c>
      <c r="P5819" s="111"/>
      <c r="Q5819" s="111"/>
      <c r="R5819" s="159"/>
      <c r="S5819" s="111"/>
    </row>
    <row r="5820" spans="1:19" ht="15.6">
      <c r="A5820" s="110" t="s">
        <v>311</v>
      </c>
      <c r="B5820" s="111" t="s">
        <v>232</v>
      </c>
      <c r="C5820" s="112" t="s">
        <v>228</v>
      </c>
      <c r="D5820" s="113" t="s">
        <v>152</v>
      </c>
      <c r="E5820" s="216" t="s">
        <v>15</v>
      </c>
      <c r="F5820" s="216" t="s">
        <v>22</v>
      </c>
      <c r="G5820" s="217">
        <v>10.73</v>
      </c>
      <c r="H5820" s="218">
        <v>11.4</v>
      </c>
      <c r="I5820" s="219">
        <v>1</v>
      </c>
      <c r="J5820" s="220">
        <f t="shared" si="788"/>
        <v>0.122322</v>
      </c>
      <c r="K5820" s="118"/>
      <c r="L5820" s="111">
        <v>1</v>
      </c>
      <c r="M5820" s="117">
        <f t="shared" si="789"/>
        <v>0.122322</v>
      </c>
      <c r="N5820" s="119">
        <f t="shared" si="790"/>
        <v>0</v>
      </c>
      <c r="O5820" s="120">
        <f t="shared" si="791"/>
        <v>0</v>
      </c>
      <c r="P5820" s="111"/>
      <c r="Q5820" s="111"/>
      <c r="R5820" s="159"/>
      <c r="S5820" s="111"/>
    </row>
    <row r="5821" spans="1:19" ht="15.6">
      <c r="A5821" s="110" t="s">
        <v>311</v>
      </c>
      <c r="B5821" s="111" t="s">
        <v>232</v>
      </c>
      <c r="C5821" s="112" t="s">
        <v>228</v>
      </c>
      <c r="D5821" s="113" t="s">
        <v>152</v>
      </c>
      <c r="E5821" s="216" t="s">
        <v>15</v>
      </c>
      <c r="F5821" s="216" t="s">
        <v>22</v>
      </c>
      <c r="G5821" s="217">
        <v>10.73</v>
      </c>
      <c r="H5821" s="218">
        <v>11.2</v>
      </c>
      <c r="I5821" s="219">
        <v>1</v>
      </c>
      <c r="J5821" s="220">
        <f t="shared" si="788"/>
        <v>0.12017600000000001</v>
      </c>
      <c r="K5821" s="118"/>
      <c r="L5821" s="111">
        <v>1</v>
      </c>
      <c r="M5821" s="117">
        <f t="shared" si="789"/>
        <v>0.12017600000000001</v>
      </c>
      <c r="N5821" s="119">
        <f t="shared" si="790"/>
        <v>0</v>
      </c>
      <c r="O5821" s="120">
        <f t="shared" si="791"/>
        <v>0</v>
      </c>
      <c r="P5821" s="111"/>
      <c r="Q5821" s="111"/>
      <c r="R5821" s="159"/>
      <c r="S5821" s="111"/>
    </row>
    <row r="5822" spans="1:19" ht="15.6">
      <c r="A5822" s="110" t="s">
        <v>311</v>
      </c>
      <c r="B5822" s="111" t="s">
        <v>232</v>
      </c>
      <c r="C5822" s="112" t="s">
        <v>228</v>
      </c>
      <c r="D5822" s="113" t="s">
        <v>152</v>
      </c>
      <c r="E5822" s="216" t="s">
        <v>15</v>
      </c>
      <c r="F5822" s="216" t="s">
        <v>22</v>
      </c>
      <c r="G5822" s="217">
        <v>10.73</v>
      </c>
      <c r="H5822" s="218">
        <v>7.5</v>
      </c>
      <c r="I5822" s="219">
        <v>2</v>
      </c>
      <c r="J5822" s="220">
        <f t="shared" si="788"/>
        <v>0.16095000000000001</v>
      </c>
      <c r="K5822" s="118"/>
      <c r="L5822" s="111">
        <v>2</v>
      </c>
      <c r="M5822" s="117">
        <f t="shared" si="789"/>
        <v>0.16095000000000001</v>
      </c>
      <c r="N5822" s="119">
        <f t="shared" si="790"/>
        <v>0</v>
      </c>
      <c r="O5822" s="120">
        <f t="shared" si="791"/>
        <v>0</v>
      </c>
      <c r="P5822" s="98">
        <v>6.1</v>
      </c>
      <c r="Q5822" s="91">
        <v>2</v>
      </c>
      <c r="R5822" s="98" t="s">
        <v>739</v>
      </c>
      <c r="S5822" s="111"/>
    </row>
    <row r="5823" spans="1:19" ht="15.6">
      <c r="A5823" s="110" t="s">
        <v>311</v>
      </c>
      <c r="B5823" s="111" t="s">
        <v>232</v>
      </c>
      <c r="C5823" s="112" t="s">
        <v>228</v>
      </c>
      <c r="D5823" s="113" t="s">
        <v>152</v>
      </c>
      <c r="E5823" s="216" t="s">
        <v>15</v>
      </c>
      <c r="F5823" s="216" t="s">
        <v>22</v>
      </c>
      <c r="G5823" s="217">
        <v>10.73</v>
      </c>
      <c r="H5823" s="218">
        <v>7.3</v>
      </c>
      <c r="I5823" s="219">
        <v>3</v>
      </c>
      <c r="J5823" s="220">
        <f t="shared" si="788"/>
        <v>0.23498700000000003</v>
      </c>
      <c r="K5823" s="118"/>
      <c r="L5823" s="111">
        <v>3</v>
      </c>
      <c r="M5823" s="117">
        <f t="shared" si="789"/>
        <v>0.234987</v>
      </c>
      <c r="N5823" s="119">
        <f t="shared" si="790"/>
        <v>0</v>
      </c>
      <c r="O5823" s="120">
        <f t="shared" si="791"/>
        <v>0</v>
      </c>
      <c r="P5823" s="98">
        <v>6.1</v>
      </c>
      <c r="Q5823" s="91">
        <v>3</v>
      </c>
      <c r="R5823" s="98" t="s">
        <v>739</v>
      </c>
      <c r="S5823" s="111"/>
    </row>
    <row r="5824" spans="1:19" ht="15.6">
      <c r="A5824" s="110" t="s">
        <v>311</v>
      </c>
      <c r="B5824" s="111" t="s">
        <v>232</v>
      </c>
      <c r="C5824" s="112" t="s">
        <v>228</v>
      </c>
      <c r="D5824" s="113" t="s">
        <v>152</v>
      </c>
      <c r="E5824" s="216" t="s">
        <v>15</v>
      </c>
      <c r="F5824" s="216" t="s">
        <v>22</v>
      </c>
      <c r="G5824" s="217">
        <v>10.73</v>
      </c>
      <c r="H5824" s="218">
        <v>6.9</v>
      </c>
      <c r="I5824" s="219">
        <v>1</v>
      </c>
      <c r="J5824" s="220">
        <f t="shared" si="788"/>
        <v>7.4037000000000006E-2</v>
      </c>
      <c r="K5824" s="118"/>
      <c r="L5824" s="111">
        <v>1</v>
      </c>
      <c r="M5824" s="117">
        <f t="shared" si="789"/>
        <v>7.4037000000000006E-2</v>
      </c>
      <c r="N5824" s="119">
        <f t="shared" si="790"/>
        <v>0</v>
      </c>
      <c r="O5824" s="120">
        <f t="shared" si="791"/>
        <v>0</v>
      </c>
      <c r="P5824" s="159"/>
      <c r="Q5824" s="111"/>
      <c r="R5824" s="159"/>
      <c r="S5824" s="111"/>
    </row>
    <row r="5825" spans="1:19" ht="15.6">
      <c r="A5825" s="110" t="s">
        <v>311</v>
      </c>
      <c r="B5825" s="111" t="s">
        <v>232</v>
      </c>
      <c r="C5825" s="112" t="s">
        <v>228</v>
      </c>
      <c r="D5825" s="113" t="s">
        <v>152</v>
      </c>
      <c r="E5825" s="216" t="s">
        <v>15</v>
      </c>
      <c r="F5825" s="216" t="s">
        <v>22</v>
      </c>
      <c r="G5825" s="217">
        <v>10.73</v>
      </c>
      <c r="H5825" s="218">
        <v>7.1</v>
      </c>
      <c r="I5825" s="219">
        <v>1</v>
      </c>
      <c r="J5825" s="220">
        <f t="shared" si="788"/>
        <v>7.6182999999999987E-2</v>
      </c>
      <c r="K5825" s="118"/>
      <c r="L5825" s="111">
        <v>1</v>
      </c>
      <c r="M5825" s="117">
        <f t="shared" si="789"/>
        <v>7.6182999999999987E-2</v>
      </c>
      <c r="N5825" s="119">
        <f t="shared" si="790"/>
        <v>0</v>
      </c>
      <c r="O5825" s="120">
        <f t="shared" si="791"/>
        <v>0</v>
      </c>
      <c r="P5825" s="98">
        <v>6.1</v>
      </c>
      <c r="Q5825" s="91">
        <v>1</v>
      </c>
      <c r="R5825" s="98" t="s">
        <v>739</v>
      </c>
      <c r="S5825" s="111"/>
    </row>
    <row r="5826" spans="1:19" ht="15.6">
      <c r="A5826" s="110" t="s">
        <v>311</v>
      </c>
      <c r="B5826" s="111" t="s">
        <v>232</v>
      </c>
      <c r="C5826" s="112" t="s">
        <v>228</v>
      </c>
      <c r="D5826" s="113" t="s">
        <v>152</v>
      </c>
      <c r="E5826" s="216" t="s">
        <v>15</v>
      </c>
      <c r="F5826" s="216" t="s">
        <v>22</v>
      </c>
      <c r="G5826" s="217">
        <v>10.73</v>
      </c>
      <c r="H5826" s="218">
        <v>7.3</v>
      </c>
      <c r="I5826" s="219">
        <v>3</v>
      </c>
      <c r="J5826" s="220">
        <f t="shared" si="788"/>
        <v>0.23498700000000003</v>
      </c>
      <c r="K5826" s="118"/>
      <c r="L5826" s="111">
        <v>3</v>
      </c>
      <c r="M5826" s="117">
        <f t="shared" si="789"/>
        <v>0.234987</v>
      </c>
      <c r="N5826" s="119">
        <f t="shared" si="790"/>
        <v>0</v>
      </c>
      <c r="O5826" s="120">
        <f t="shared" si="791"/>
        <v>0</v>
      </c>
      <c r="P5826" s="98"/>
      <c r="Q5826" s="91">
        <v>3</v>
      </c>
      <c r="R5826" s="91" t="s">
        <v>757</v>
      </c>
      <c r="S5826" s="111"/>
    </row>
    <row r="5827" spans="1:19" ht="15.6">
      <c r="A5827" s="110" t="s">
        <v>311</v>
      </c>
      <c r="B5827" s="111" t="s">
        <v>232</v>
      </c>
      <c r="C5827" s="112" t="s">
        <v>228</v>
      </c>
      <c r="D5827" s="113" t="s">
        <v>152</v>
      </c>
      <c r="E5827" s="216" t="s">
        <v>15</v>
      </c>
      <c r="F5827" s="216" t="s">
        <v>22</v>
      </c>
      <c r="G5827" s="217">
        <v>10.73</v>
      </c>
      <c r="H5827" s="218">
        <v>8.6</v>
      </c>
      <c r="I5827" s="219">
        <v>3</v>
      </c>
      <c r="J5827" s="220">
        <f t="shared" si="788"/>
        <v>0.27683400000000002</v>
      </c>
      <c r="K5827" s="118"/>
      <c r="L5827" s="111">
        <f>1+2</f>
        <v>3</v>
      </c>
      <c r="M5827" s="117">
        <f t="shared" si="789"/>
        <v>0.27683400000000002</v>
      </c>
      <c r="N5827" s="119">
        <f t="shared" si="790"/>
        <v>0</v>
      </c>
      <c r="O5827" s="120">
        <f t="shared" si="791"/>
        <v>0</v>
      </c>
      <c r="P5827" s="98">
        <v>7.8</v>
      </c>
      <c r="Q5827" s="91">
        <v>2</v>
      </c>
      <c r="R5827" s="91" t="s">
        <v>756</v>
      </c>
      <c r="S5827" s="111">
        <v>7.8</v>
      </c>
    </row>
    <row r="5828" spans="1:19" ht="15.6">
      <c r="A5828" s="110" t="s">
        <v>311</v>
      </c>
      <c r="B5828" s="111" t="s">
        <v>232</v>
      </c>
      <c r="C5828" s="112" t="s">
        <v>228</v>
      </c>
      <c r="D5828" s="113" t="s">
        <v>152</v>
      </c>
      <c r="E5828" s="216" t="s">
        <v>15</v>
      </c>
      <c r="F5828" s="216" t="s">
        <v>22</v>
      </c>
      <c r="G5828" s="217">
        <v>10.73</v>
      </c>
      <c r="H5828" s="221">
        <v>9</v>
      </c>
      <c r="I5828" s="219">
        <v>3</v>
      </c>
      <c r="J5828" s="220">
        <f t="shared" si="788"/>
        <v>0.28971000000000002</v>
      </c>
      <c r="K5828" s="118"/>
      <c r="L5828" s="111">
        <v>3</v>
      </c>
      <c r="M5828" s="117">
        <f t="shared" si="789"/>
        <v>0.28971000000000002</v>
      </c>
      <c r="N5828" s="119">
        <f t="shared" si="790"/>
        <v>0</v>
      </c>
      <c r="O5828" s="120">
        <f t="shared" si="791"/>
        <v>0</v>
      </c>
      <c r="P5828" s="98">
        <v>7.8</v>
      </c>
      <c r="Q5828" s="91">
        <v>3</v>
      </c>
      <c r="R5828" s="91" t="s">
        <v>756</v>
      </c>
      <c r="S5828" s="111"/>
    </row>
    <row r="5829" spans="1:19" ht="15.6">
      <c r="A5829" s="110" t="s">
        <v>311</v>
      </c>
      <c r="B5829" s="111" t="s">
        <v>232</v>
      </c>
      <c r="C5829" s="112" t="s">
        <v>228</v>
      </c>
      <c r="D5829" s="113" t="s">
        <v>152</v>
      </c>
      <c r="E5829" s="216" t="s">
        <v>15</v>
      </c>
      <c r="F5829" s="216" t="s">
        <v>22</v>
      </c>
      <c r="G5829" s="217">
        <v>10.73</v>
      </c>
      <c r="H5829" s="221">
        <v>7.5</v>
      </c>
      <c r="I5829" s="219">
        <v>14</v>
      </c>
      <c r="J5829" s="220">
        <f t="shared" si="788"/>
        <v>1.1266500000000002</v>
      </c>
      <c r="K5829" s="118"/>
      <c r="L5829" s="111">
        <v>14</v>
      </c>
      <c r="M5829" s="117">
        <f t="shared" si="789"/>
        <v>1.1266500000000002</v>
      </c>
      <c r="N5829" s="119">
        <f t="shared" si="790"/>
        <v>0</v>
      </c>
      <c r="O5829" s="120">
        <f t="shared" si="791"/>
        <v>0</v>
      </c>
      <c r="P5829" s="91"/>
      <c r="Q5829" s="91">
        <v>14</v>
      </c>
      <c r="R5829" s="91" t="s">
        <v>757</v>
      </c>
      <c r="S5829" s="111"/>
    </row>
    <row r="5830" spans="1:19" ht="15.6">
      <c r="A5830" s="110" t="s">
        <v>311</v>
      </c>
      <c r="B5830" s="111" t="s">
        <v>232</v>
      </c>
      <c r="C5830" s="112" t="s">
        <v>228</v>
      </c>
      <c r="D5830" s="113" t="s">
        <v>152</v>
      </c>
      <c r="E5830" s="216" t="s">
        <v>15</v>
      </c>
      <c r="F5830" s="216" t="s">
        <v>22</v>
      </c>
      <c r="G5830" s="217">
        <v>10.73</v>
      </c>
      <c r="H5830" s="221">
        <v>11.4</v>
      </c>
      <c r="I5830" s="219">
        <v>4</v>
      </c>
      <c r="J5830" s="220">
        <f t="shared" si="788"/>
        <v>0.489288</v>
      </c>
      <c r="K5830" s="118"/>
      <c r="L5830" s="111">
        <v>4</v>
      </c>
      <c r="M5830" s="117">
        <f t="shared" si="789"/>
        <v>0.489288</v>
      </c>
      <c r="N5830" s="119">
        <f t="shared" si="790"/>
        <v>0</v>
      </c>
      <c r="O5830" s="120">
        <f t="shared" si="791"/>
        <v>0</v>
      </c>
      <c r="P5830" s="111"/>
      <c r="Q5830" s="111"/>
      <c r="R5830" s="159"/>
      <c r="S5830" s="111"/>
    </row>
    <row r="5831" spans="1:19" ht="15.6">
      <c r="A5831" s="110" t="s">
        <v>311</v>
      </c>
      <c r="B5831" s="111" t="s">
        <v>232</v>
      </c>
      <c r="C5831" s="112" t="s">
        <v>228</v>
      </c>
      <c r="D5831" s="113" t="s">
        <v>152</v>
      </c>
      <c r="E5831" s="216" t="s">
        <v>15</v>
      </c>
      <c r="F5831" s="216" t="s">
        <v>22</v>
      </c>
      <c r="G5831" s="217">
        <v>10.73</v>
      </c>
      <c r="H5831" s="221">
        <v>11.2</v>
      </c>
      <c r="I5831" s="219">
        <v>1</v>
      </c>
      <c r="J5831" s="220">
        <f t="shared" si="788"/>
        <v>0.12017600000000001</v>
      </c>
      <c r="K5831" s="118"/>
      <c r="L5831" s="111">
        <v>1</v>
      </c>
      <c r="M5831" s="117">
        <f t="shared" si="789"/>
        <v>0.12017600000000001</v>
      </c>
      <c r="N5831" s="119">
        <f t="shared" si="790"/>
        <v>0</v>
      </c>
      <c r="O5831" s="120">
        <f t="shared" si="791"/>
        <v>0</v>
      </c>
      <c r="P5831" s="111"/>
      <c r="Q5831" s="111"/>
      <c r="R5831" s="159"/>
      <c r="S5831" s="111"/>
    </row>
    <row r="5832" spans="1:19" ht="15.6">
      <c r="A5832" s="110" t="s">
        <v>311</v>
      </c>
      <c r="B5832" s="111" t="s">
        <v>232</v>
      </c>
      <c r="C5832" s="112" t="s">
        <v>228</v>
      </c>
      <c r="D5832" s="113" t="s">
        <v>152</v>
      </c>
      <c r="E5832" s="216" t="s">
        <v>15</v>
      </c>
      <c r="F5832" s="216" t="s">
        <v>22</v>
      </c>
      <c r="G5832" s="217">
        <v>10.73</v>
      </c>
      <c r="H5832" s="221">
        <v>12</v>
      </c>
      <c r="I5832" s="219">
        <v>1</v>
      </c>
      <c r="J5832" s="220">
        <f t="shared" si="788"/>
        <v>0.12875999999999999</v>
      </c>
      <c r="K5832" s="118"/>
      <c r="L5832" s="111">
        <v>1</v>
      </c>
      <c r="M5832" s="117">
        <f t="shared" si="789"/>
        <v>0.12875999999999999</v>
      </c>
      <c r="N5832" s="119">
        <f t="shared" si="790"/>
        <v>0</v>
      </c>
      <c r="O5832" s="120">
        <f t="shared" si="791"/>
        <v>0</v>
      </c>
      <c r="P5832" s="111"/>
      <c r="Q5832" s="111"/>
      <c r="R5832" s="111"/>
      <c r="S5832" s="111"/>
    </row>
    <row r="5833" spans="1:19" ht="15.6">
      <c r="A5833" s="110" t="s">
        <v>311</v>
      </c>
      <c r="B5833" s="111" t="s">
        <v>232</v>
      </c>
      <c r="C5833" s="112" t="s">
        <v>228</v>
      </c>
      <c r="D5833" s="113" t="s">
        <v>152</v>
      </c>
      <c r="E5833" s="216" t="s">
        <v>15</v>
      </c>
      <c r="F5833" s="216" t="s">
        <v>22</v>
      </c>
      <c r="G5833" s="217">
        <v>10.73</v>
      </c>
      <c r="H5833" s="221">
        <v>11.4</v>
      </c>
      <c r="I5833" s="219">
        <v>1</v>
      </c>
      <c r="J5833" s="220">
        <f t="shared" si="788"/>
        <v>0.122322</v>
      </c>
      <c r="K5833" s="118"/>
      <c r="L5833" s="111">
        <v>1</v>
      </c>
      <c r="M5833" s="117">
        <f t="shared" si="789"/>
        <v>0.122322</v>
      </c>
      <c r="N5833" s="119">
        <f t="shared" si="790"/>
        <v>0</v>
      </c>
      <c r="O5833" s="120">
        <f t="shared" si="791"/>
        <v>0</v>
      </c>
      <c r="P5833" s="111"/>
      <c r="Q5833" s="111"/>
      <c r="R5833" s="111"/>
      <c r="S5833" s="111"/>
    </row>
    <row r="5834" spans="1:19" ht="15.6">
      <c r="A5834" s="110" t="s">
        <v>311</v>
      </c>
      <c r="B5834" s="111" t="s">
        <v>232</v>
      </c>
      <c r="C5834" s="112" t="s">
        <v>228</v>
      </c>
      <c r="D5834" s="113" t="s">
        <v>152</v>
      </c>
      <c r="E5834" s="216" t="s">
        <v>15</v>
      </c>
      <c r="F5834" s="216" t="s">
        <v>22</v>
      </c>
      <c r="G5834" s="217">
        <v>10.73</v>
      </c>
      <c r="H5834" s="221">
        <v>10.4</v>
      </c>
      <c r="I5834" s="219">
        <v>2</v>
      </c>
      <c r="J5834" s="220">
        <f t="shared" si="788"/>
        <v>0.22318400000000002</v>
      </c>
      <c r="K5834" s="118"/>
      <c r="L5834" s="111">
        <v>2</v>
      </c>
      <c r="M5834" s="117">
        <f t="shared" si="789"/>
        <v>0.22318400000000002</v>
      </c>
      <c r="N5834" s="119">
        <f t="shared" si="790"/>
        <v>0</v>
      </c>
      <c r="O5834" s="120">
        <f t="shared" si="791"/>
        <v>0</v>
      </c>
      <c r="P5834" s="111"/>
      <c r="Q5834" s="111"/>
      <c r="R5834" s="111"/>
      <c r="S5834" s="111"/>
    </row>
    <row r="5835" spans="1:19" ht="15.6">
      <c r="A5835" s="110" t="s">
        <v>311</v>
      </c>
      <c r="B5835" s="111" t="s">
        <v>232</v>
      </c>
      <c r="C5835" s="112" t="s">
        <v>228</v>
      </c>
      <c r="D5835" s="113" t="s">
        <v>152</v>
      </c>
      <c r="E5835" s="216" t="s">
        <v>15</v>
      </c>
      <c r="F5835" s="216" t="s">
        <v>22</v>
      </c>
      <c r="G5835" s="217">
        <v>10.73</v>
      </c>
      <c r="H5835" s="221">
        <v>9.5</v>
      </c>
      <c r="I5835" s="219">
        <v>1</v>
      </c>
      <c r="J5835" s="220">
        <f t="shared" si="788"/>
        <v>0.101935</v>
      </c>
      <c r="K5835" s="118"/>
      <c r="L5835" s="111">
        <v>1</v>
      </c>
      <c r="M5835" s="117">
        <f t="shared" si="789"/>
        <v>0.101935</v>
      </c>
      <c r="N5835" s="119">
        <f t="shared" si="790"/>
        <v>0</v>
      </c>
      <c r="O5835" s="120">
        <f t="shared" si="791"/>
        <v>0</v>
      </c>
      <c r="P5835" s="98">
        <v>7.8</v>
      </c>
      <c r="Q5835" s="91">
        <v>1</v>
      </c>
      <c r="R5835" s="91" t="s">
        <v>756</v>
      </c>
      <c r="S5835" s="111"/>
    </row>
    <row r="5836" spans="1:19" ht="15.6">
      <c r="A5836" s="110" t="s">
        <v>311</v>
      </c>
      <c r="B5836" s="111" t="s">
        <v>232</v>
      </c>
      <c r="C5836" s="112" t="s">
        <v>228</v>
      </c>
      <c r="D5836" s="113" t="s">
        <v>152</v>
      </c>
      <c r="E5836" s="216" t="s">
        <v>15</v>
      </c>
      <c r="F5836" s="216" t="s">
        <v>22</v>
      </c>
      <c r="G5836" s="217">
        <v>10.73</v>
      </c>
      <c r="H5836" s="221">
        <v>9.4</v>
      </c>
      <c r="I5836" s="219">
        <v>3</v>
      </c>
      <c r="J5836" s="220">
        <f t="shared" si="788"/>
        <v>0.30258600000000002</v>
      </c>
      <c r="K5836" s="118"/>
      <c r="L5836" s="111">
        <v>3</v>
      </c>
      <c r="M5836" s="117">
        <f t="shared" si="789"/>
        <v>0.30258600000000008</v>
      </c>
      <c r="N5836" s="119">
        <f t="shared" si="790"/>
        <v>0</v>
      </c>
      <c r="O5836" s="120">
        <f t="shared" si="791"/>
        <v>0</v>
      </c>
      <c r="P5836" s="111"/>
      <c r="Q5836" s="111"/>
      <c r="R5836" s="111"/>
      <c r="S5836" s="111"/>
    </row>
    <row r="5837" spans="1:19" ht="15.6">
      <c r="A5837" s="110" t="s">
        <v>311</v>
      </c>
      <c r="B5837" s="111" t="s">
        <v>232</v>
      </c>
      <c r="C5837" s="112" t="s">
        <v>228</v>
      </c>
      <c r="D5837" s="113" t="s">
        <v>152</v>
      </c>
      <c r="E5837" s="216" t="s">
        <v>15</v>
      </c>
      <c r="F5837" s="216" t="s">
        <v>22</v>
      </c>
      <c r="G5837" s="217">
        <v>10.73</v>
      </c>
      <c r="H5837" s="221">
        <v>9</v>
      </c>
      <c r="I5837" s="219">
        <v>1</v>
      </c>
      <c r="J5837" s="220">
        <f t="shared" si="788"/>
        <v>9.6570000000000003E-2</v>
      </c>
      <c r="K5837" s="118"/>
      <c r="L5837" s="111">
        <v>1</v>
      </c>
      <c r="M5837" s="117">
        <f t="shared" si="789"/>
        <v>9.6570000000000003E-2</v>
      </c>
      <c r="N5837" s="119">
        <f t="shared" si="790"/>
        <v>0</v>
      </c>
      <c r="O5837" s="120">
        <f t="shared" si="791"/>
        <v>0</v>
      </c>
      <c r="P5837" s="98">
        <v>7.8</v>
      </c>
      <c r="Q5837" s="91">
        <v>1</v>
      </c>
      <c r="R5837" s="91" t="s">
        <v>756</v>
      </c>
      <c r="S5837" s="111"/>
    </row>
    <row r="5838" spans="1:19" ht="15.6">
      <c r="A5838" s="110" t="s">
        <v>311</v>
      </c>
      <c r="B5838" s="111" t="s">
        <v>232</v>
      </c>
      <c r="C5838" s="112" t="s">
        <v>228</v>
      </c>
      <c r="D5838" s="113" t="s">
        <v>152</v>
      </c>
      <c r="E5838" s="216" t="s">
        <v>15</v>
      </c>
      <c r="F5838" s="216" t="s">
        <v>22</v>
      </c>
      <c r="G5838" s="217">
        <v>10.73</v>
      </c>
      <c r="H5838" s="221">
        <v>9.4</v>
      </c>
      <c r="I5838" s="219">
        <v>1</v>
      </c>
      <c r="J5838" s="220">
        <f t="shared" si="788"/>
        <v>0.10086200000000001</v>
      </c>
      <c r="K5838" s="118"/>
      <c r="L5838" s="111">
        <v>1</v>
      </c>
      <c r="M5838" s="117">
        <f t="shared" si="789"/>
        <v>0.10086200000000001</v>
      </c>
      <c r="N5838" s="119">
        <f t="shared" si="790"/>
        <v>0</v>
      </c>
      <c r="O5838" s="120">
        <f t="shared" si="791"/>
        <v>0</v>
      </c>
      <c r="P5838" s="111"/>
      <c r="Q5838" s="111"/>
      <c r="R5838" s="111"/>
      <c r="S5838" s="111"/>
    </row>
    <row r="5839" spans="1:19" ht="15.6">
      <c r="A5839" s="110" t="s">
        <v>311</v>
      </c>
      <c r="B5839" s="111" t="s">
        <v>232</v>
      </c>
      <c r="C5839" s="112" t="s">
        <v>228</v>
      </c>
      <c r="D5839" s="113" t="s">
        <v>152</v>
      </c>
      <c r="E5839" s="216" t="s">
        <v>15</v>
      </c>
      <c r="F5839" s="216" t="s">
        <v>22</v>
      </c>
      <c r="G5839" s="217">
        <v>10.73</v>
      </c>
      <c r="H5839" s="221">
        <v>11.6</v>
      </c>
      <c r="I5839" s="219">
        <v>3</v>
      </c>
      <c r="J5839" s="220">
        <f t="shared" si="788"/>
        <v>0.37340400000000001</v>
      </c>
      <c r="K5839" s="118"/>
      <c r="L5839" s="111">
        <v>3</v>
      </c>
      <c r="M5839" s="117">
        <f t="shared" si="789"/>
        <v>0.37340400000000001</v>
      </c>
      <c r="N5839" s="119">
        <f t="shared" si="790"/>
        <v>0</v>
      </c>
      <c r="O5839" s="120">
        <f t="shared" si="791"/>
        <v>0</v>
      </c>
      <c r="P5839" s="111"/>
      <c r="Q5839" s="111"/>
      <c r="R5839" s="111"/>
      <c r="S5839" s="111"/>
    </row>
    <row r="5840" spans="1:19" ht="15.6">
      <c r="A5840" s="110" t="s">
        <v>311</v>
      </c>
      <c r="B5840" s="111" t="s">
        <v>232</v>
      </c>
      <c r="C5840" s="112" t="s">
        <v>228</v>
      </c>
      <c r="D5840" s="113" t="s">
        <v>152</v>
      </c>
      <c r="E5840" s="216" t="s">
        <v>15</v>
      </c>
      <c r="F5840" s="216" t="s">
        <v>22</v>
      </c>
      <c r="G5840" s="217">
        <v>10.73</v>
      </c>
      <c r="H5840" s="221">
        <v>12</v>
      </c>
      <c r="I5840" s="219">
        <v>2</v>
      </c>
      <c r="J5840" s="220">
        <f t="shared" si="788"/>
        <v>0.25751999999999997</v>
      </c>
      <c r="K5840" s="118"/>
      <c r="L5840" s="111">
        <v>2</v>
      </c>
      <c r="M5840" s="117">
        <f t="shared" si="789"/>
        <v>0.25751999999999997</v>
      </c>
      <c r="N5840" s="119">
        <f t="shared" si="790"/>
        <v>0</v>
      </c>
      <c r="O5840" s="120">
        <f t="shared" si="791"/>
        <v>0</v>
      </c>
      <c r="P5840" s="111"/>
      <c r="Q5840" s="111"/>
      <c r="R5840" s="111"/>
      <c r="S5840" s="111"/>
    </row>
    <row r="5841" spans="1:19" ht="15.6">
      <c r="A5841" s="110" t="s">
        <v>311</v>
      </c>
      <c r="B5841" s="111" t="s">
        <v>232</v>
      </c>
      <c r="C5841" s="112" t="s">
        <v>228</v>
      </c>
      <c r="D5841" s="113" t="s">
        <v>152</v>
      </c>
      <c r="E5841" s="216" t="s">
        <v>15</v>
      </c>
      <c r="F5841" s="216" t="s">
        <v>22</v>
      </c>
      <c r="G5841" s="217">
        <v>10.73</v>
      </c>
      <c r="H5841" s="221">
        <v>12</v>
      </c>
      <c r="I5841" s="219">
        <v>1</v>
      </c>
      <c r="J5841" s="220">
        <f t="shared" si="788"/>
        <v>0.12875999999999999</v>
      </c>
      <c r="K5841" s="118"/>
      <c r="L5841" s="111">
        <v>1</v>
      </c>
      <c r="M5841" s="117">
        <f t="shared" si="789"/>
        <v>0.12875999999999999</v>
      </c>
      <c r="N5841" s="119">
        <f t="shared" si="790"/>
        <v>0</v>
      </c>
      <c r="O5841" s="120">
        <f t="shared" si="791"/>
        <v>0</v>
      </c>
      <c r="P5841" s="111"/>
      <c r="Q5841" s="111"/>
      <c r="R5841" s="111"/>
      <c r="S5841" s="111"/>
    </row>
    <row r="5842" spans="1:19" ht="15.6">
      <c r="A5842" s="110" t="s">
        <v>311</v>
      </c>
      <c r="B5842" s="111" t="s">
        <v>232</v>
      </c>
      <c r="C5842" s="112" t="s">
        <v>228</v>
      </c>
      <c r="D5842" s="113" t="s">
        <v>152</v>
      </c>
      <c r="E5842" s="216" t="s">
        <v>15</v>
      </c>
      <c r="F5842" s="216" t="s">
        <v>22</v>
      </c>
      <c r="G5842" s="217">
        <v>10.73</v>
      </c>
      <c r="H5842" s="221">
        <v>11.9</v>
      </c>
      <c r="I5842" s="219">
        <v>1</v>
      </c>
      <c r="J5842" s="220">
        <f t="shared" si="788"/>
        <v>0.12768700000000002</v>
      </c>
      <c r="K5842" s="118"/>
      <c r="L5842" s="111">
        <v>1</v>
      </c>
      <c r="M5842" s="117">
        <f t="shared" si="789"/>
        <v>0.12768700000000002</v>
      </c>
      <c r="N5842" s="119">
        <f t="shared" si="790"/>
        <v>0</v>
      </c>
      <c r="O5842" s="120">
        <f t="shared" si="791"/>
        <v>0</v>
      </c>
      <c r="P5842" s="111"/>
      <c r="Q5842" s="111"/>
      <c r="R5842" s="111"/>
      <c r="S5842" s="111"/>
    </row>
    <row r="5843" spans="1:19" ht="15.6">
      <c r="A5843" s="110" t="s">
        <v>311</v>
      </c>
      <c r="B5843" s="111" t="s">
        <v>232</v>
      </c>
      <c r="C5843" s="112" t="s">
        <v>228</v>
      </c>
      <c r="D5843" s="113" t="s">
        <v>152</v>
      </c>
      <c r="E5843" s="216" t="s">
        <v>15</v>
      </c>
      <c r="F5843" s="216" t="s">
        <v>22</v>
      </c>
      <c r="G5843" s="217">
        <v>10.73</v>
      </c>
      <c r="H5843" s="221">
        <v>11.5</v>
      </c>
      <c r="I5843" s="219">
        <v>1</v>
      </c>
      <c r="J5843" s="220">
        <f t="shared" si="788"/>
        <v>0.123395</v>
      </c>
      <c r="K5843" s="118"/>
      <c r="L5843" s="111">
        <v>1</v>
      </c>
      <c r="M5843" s="117">
        <f t="shared" si="789"/>
        <v>0.123395</v>
      </c>
      <c r="N5843" s="119">
        <f t="shared" si="790"/>
        <v>0</v>
      </c>
      <c r="O5843" s="120">
        <f t="shared" si="791"/>
        <v>0</v>
      </c>
      <c r="P5843" s="111"/>
      <c r="Q5843" s="111"/>
      <c r="R5843" s="111"/>
      <c r="S5843" s="111"/>
    </row>
    <row r="5844" spans="1:19" ht="15.6">
      <c r="A5844" s="110" t="s">
        <v>311</v>
      </c>
      <c r="B5844" s="111" t="s">
        <v>232</v>
      </c>
      <c r="C5844" s="112" t="s">
        <v>228</v>
      </c>
      <c r="D5844" s="113" t="s">
        <v>152</v>
      </c>
      <c r="E5844" s="216" t="s">
        <v>15</v>
      </c>
      <c r="F5844" s="216" t="s">
        <v>22</v>
      </c>
      <c r="G5844" s="217">
        <v>10.73</v>
      </c>
      <c r="H5844" s="221">
        <v>10.5</v>
      </c>
      <c r="I5844" s="219">
        <v>1</v>
      </c>
      <c r="J5844" s="220">
        <f t="shared" si="788"/>
        <v>0.112665</v>
      </c>
      <c r="K5844" s="118"/>
      <c r="L5844" s="111">
        <v>1</v>
      </c>
      <c r="M5844" s="117">
        <f t="shared" si="789"/>
        <v>0.112665</v>
      </c>
      <c r="N5844" s="119">
        <f t="shared" si="790"/>
        <v>0</v>
      </c>
      <c r="O5844" s="120">
        <f t="shared" si="791"/>
        <v>0</v>
      </c>
      <c r="P5844" s="111"/>
      <c r="Q5844" s="111"/>
      <c r="R5844" s="111"/>
      <c r="S5844" s="111"/>
    </row>
    <row r="5845" spans="1:19" ht="15.6">
      <c r="A5845" s="110" t="s">
        <v>311</v>
      </c>
      <c r="B5845" s="111" t="s">
        <v>232</v>
      </c>
      <c r="C5845" s="112" t="s">
        <v>228</v>
      </c>
      <c r="D5845" s="113" t="s">
        <v>152</v>
      </c>
      <c r="E5845" s="216" t="s">
        <v>15</v>
      </c>
      <c r="F5845" s="216" t="s">
        <v>22</v>
      </c>
      <c r="G5845" s="217">
        <v>10.73</v>
      </c>
      <c r="H5845" s="221">
        <v>7.8</v>
      </c>
      <c r="I5845" s="219">
        <v>2</v>
      </c>
      <c r="J5845" s="220">
        <f t="shared" si="788"/>
        <v>0.16738800000000001</v>
      </c>
      <c r="K5845" s="118"/>
      <c r="L5845" s="111">
        <v>2</v>
      </c>
      <c r="M5845" s="117">
        <f t="shared" si="789"/>
        <v>0.16738800000000001</v>
      </c>
      <c r="N5845" s="119">
        <f t="shared" si="790"/>
        <v>0</v>
      </c>
      <c r="O5845" s="120">
        <f t="shared" si="791"/>
        <v>0</v>
      </c>
      <c r="P5845" s="111"/>
      <c r="Q5845" s="111"/>
      <c r="R5845" s="111"/>
      <c r="S5845" s="111"/>
    </row>
    <row r="5846" spans="1:19" ht="15.6">
      <c r="A5846" s="110" t="s">
        <v>311</v>
      </c>
      <c r="B5846" s="111" t="s">
        <v>232</v>
      </c>
      <c r="C5846" s="112" t="s">
        <v>228</v>
      </c>
      <c r="D5846" s="113" t="s">
        <v>152</v>
      </c>
      <c r="E5846" s="216" t="s">
        <v>15</v>
      </c>
      <c r="F5846" s="216" t="s">
        <v>22</v>
      </c>
      <c r="G5846" s="217">
        <v>10.73</v>
      </c>
      <c r="H5846" s="221">
        <v>9</v>
      </c>
      <c r="I5846" s="219">
        <v>1</v>
      </c>
      <c r="J5846" s="220">
        <f t="shared" si="788"/>
        <v>9.6570000000000003E-2</v>
      </c>
      <c r="K5846" s="118"/>
      <c r="L5846" s="111">
        <v>1</v>
      </c>
      <c r="M5846" s="117">
        <f t="shared" si="789"/>
        <v>9.6570000000000003E-2</v>
      </c>
      <c r="N5846" s="119">
        <f t="shared" si="790"/>
        <v>0</v>
      </c>
      <c r="O5846" s="120">
        <f t="shared" si="791"/>
        <v>0</v>
      </c>
      <c r="P5846" s="98">
        <v>7.8</v>
      </c>
      <c r="Q5846" s="91">
        <v>1</v>
      </c>
      <c r="R5846" s="91" t="s">
        <v>756</v>
      </c>
      <c r="S5846" s="111"/>
    </row>
    <row r="5847" spans="1:19" ht="15.6">
      <c r="A5847" s="110" t="s">
        <v>311</v>
      </c>
      <c r="B5847" s="111" t="s">
        <v>232</v>
      </c>
      <c r="C5847" s="112" t="s">
        <v>228</v>
      </c>
      <c r="D5847" s="113" t="s">
        <v>152</v>
      </c>
      <c r="E5847" s="216" t="s">
        <v>15</v>
      </c>
      <c r="F5847" s="216" t="s">
        <v>22</v>
      </c>
      <c r="G5847" s="217">
        <v>10.73</v>
      </c>
      <c r="H5847" s="221">
        <v>10.4</v>
      </c>
      <c r="I5847" s="219">
        <v>1</v>
      </c>
      <c r="J5847" s="220">
        <f t="shared" si="788"/>
        <v>0.11159200000000001</v>
      </c>
      <c r="K5847" s="118"/>
      <c r="L5847" s="111">
        <v>1</v>
      </c>
      <c r="M5847" s="117">
        <f t="shared" si="789"/>
        <v>0.11159200000000001</v>
      </c>
      <c r="N5847" s="119">
        <f t="shared" si="790"/>
        <v>0</v>
      </c>
      <c r="O5847" s="120">
        <f t="shared" si="791"/>
        <v>0</v>
      </c>
      <c r="P5847" s="111"/>
      <c r="Q5847" s="111"/>
      <c r="R5847" s="111"/>
      <c r="S5847" s="111"/>
    </row>
    <row r="5848" spans="1:19" ht="15.6">
      <c r="A5848" s="110" t="s">
        <v>311</v>
      </c>
      <c r="B5848" s="111" t="s">
        <v>232</v>
      </c>
      <c r="C5848" s="112" t="s">
        <v>228</v>
      </c>
      <c r="D5848" s="113" t="s">
        <v>152</v>
      </c>
      <c r="E5848" s="216" t="s">
        <v>15</v>
      </c>
      <c r="F5848" s="216" t="s">
        <v>22</v>
      </c>
      <c r="G5848" s="217">
        <v>10.73</v>
      </c>
      <c r="H5848" s="221">
        <v>11</v>
      </c>
      <c r="I5848" s="219">
        <v>1</v>
      </c>
      <c r="J5848" s="220">
        <f t="shared" si="788"/>
        <v>0.11803</v>
      </c>
      <c r="K5848" s="118"/>
      <c r="L5848" s="111">
        <v>1</v>
      </c>
      <c r="M5848" s="117">
        <f t="shared" si="789"/>
        <v>0.11803</v>
      </c>
      <c r="N5848" s="119">
        <f t="shared" si="790"/>
        <v>0</v>
      </c>
      <c r="O5848" s="120">
        <f t="shared" si="791"/>
        <v>0</v>
      </c>
      <c r="P5848" s="111"/>
      <c r="Q5848" s="111"/>
      <c r="R5848" s="111"/>
      <c r="S5848" s="111"/>
    </row>
    <row r="5849" spans="1:19" ht="15.6">
      <c r="A5849" s="110" t="s">
        <v>311</v>
      </c>
      <c r="B5849" s="111" t="s">
        <v>232</v>
      </c>
      <c r="C5849" s="112" t="s">
        <v>228</v>
      </c>
      <c r="D5849" s="113" t="s">
        <v>152</v>
      </c>
      <c r="E5849" s="216" t="s">
        <v>15</v>
      </c>
      <c r="F5849" s="216" t="s">
        <v>22</v>
      </c>
      <c r="G5849" s="217">
        <v>10.73</v>
      </c>
      <c r="H5849" s="221">
        <v>11.6</v>
      </c>
      <c r="I5849" s="219">
        <v>5</v>
      </c>
      <c r="J5849" s="220">
        <f t="shared" si="788"/>
        <v>0.62234</v>
      </c>
      <c r="K5849" s="118"/>
      <c r="L5849" s="111">
        <v>5</v>
      </c>
      <c r="M5849" s="117">
        <f t="shared" si="789"/>
        <v>0.62234</v>
      </c>
      <c r="N5849" s="119">
        <f t="shared" si="790"/>
        <v>0</v>
      </c>
      <c r="O5849" s="120">
        <f t="shared" si="791"/>
        <v>0</v>
      </c>
      <c r="P5849" s="111"/>
      <c r="Q5849" s="111"/>
      <c r="R5849" s="111"/>
      <c r="S5849" s="111"/>
    </row>
    <row r="5850" spans="1:19" ht="15.6">
      <c r="A5850" s="110" t="s">
        <v>311</v>
      </c>
      <c r="B5850" s="111" t="s">
        <v>232</v>
      </c>
      <c r="C5850" s="112" t="s">
        <v>228</v>
      </c>
      <c r="D5850" s="113" t="s">
        <v>152</v>
      </c>
      <c r="E5850" s="216" t="s">
        <v>15</v>
      </c>
      <c r="F5850" s="216" t="s">
        <v>22</v>
      </c>
      <c r="G5850" s="217">
        <v>10.73</v>
      </c>
      <c r="H5850" s="221">
        <v>6.8</v>
      </c>
      <c r="I5850" s="219">
        <v>1</v>
      </c>
      <c r="J5850" s="220">
        <f t="shared" si="788"/>
        <v>7.2964000000000001E-2</v>
      </c>
      <c r="K5850" s="118"/>
      <c r="L5850" s="111">
        <v>1</v>
      </c>
      <c r="M5850" s="117">
        <f t="shared" si="789"/>
        <v>7.2964000000000001E-2</v>
      </c>
      <c r="N5850" s="119">
        <f t="shared" si="790"/>
        <v>0</v>
      </c>
      <c r="O5850" s="120">
        <f t="shared" si="791"/>
        <v>0</v>
      </c>
      <c r="P5850" s="91">
        <v>6</v>
      </c>
      <c r="Q5850" s="91">
        <v>1</v>
      </c>
      <c r="R5850" s="91" t="s">
        <v>735</v>
      </c>
      <c r="S5850" s="111"/>
    </row>
    <row r="5851" spans="1:19" ht="15.6">
      <c r="A5851" s="110" t="s">
        <v>311</v>
      </c>
      <c r="B5851" s="111" t="s">
        <v>232</v>
      </c>
      <c r="C5851" s="112" t="s">
        <v>228</v>
      </c>
      <c r="D5851" s="113" t="s">
        <v>152</v>
      </c>
      <c r="E5851" s="216" t="s">
        <v>15</v>
      </c>
      <c r="F5851" s="216" t="s">
        <v>22</v>
      </c>
      <c r="G5851" s="217">
        <v>10.73</v>
      </c>
      <c r="H5851" s="221">
        <v>6.9</v>
      </c>
      <c r="I5851" s="219">
        <v>1</v>
      </c>
      <c r="J5851" s="220">
        <f t="shared" si="788"/>
        <v>7.4037000000000006E-2</v>
      </c>
      <c r="K5851" s="118"/>
      <c r="L5851" s="111">
        <v>1</v>
      </c>
      <c r="M5851" s="117">
        <f t="shared" si="789"/>
        <v>7.4037000000000006E-2</v>
      </c>
      <c r="N5851" s="119">
        <f t="shared" si="790"/>
        <v>0</v>
      </c>
      <c r="O5851" s="120">
        <f t="shared" si="791"/>
        <v>0</v>
      </c>
      <c r="P5851" s="91">
        <v>6.1</v>
      </c>
      <c r="Q5851" s="91">
        <v>1</v>
      </c>
      <c r="R5851" s="91" t="s">
        <v>607</v>
      </c>
      <c r="S5851" s="111"/>
    </row>
    <row r="5852" spans="1:19" ht="15.6">
      <c r="A5852" s="110" t="s">
        <v>311</v>
      </c>
      <c r="B5852" s="111" t="s">
        <v>232</v>
      </c>
      <c r="C5852" s="112" t="s">
        <v>228</v>
      </c>
      <c r="D5852" s="113" t="s">
        <v>152</v>
      </c>
      <c r="E5852" s="216" t="s">
        <v>15</v>
      </c>
      <c r="F5852" s="216" t="s">
        <v>22</v>
      </c>
      <c r="G5852" s="217">
        <v>10.73</v>
      </c>
      <c r="H5852" s="221">
        <v>11</v>
      </c>
      <c r="I5852" s="219">
        <v>3</v>
      </c>
      <c r="J5852" s="220">
        <f t="shared" si="788"/>
        <v>0.35409000000000002</v>
      </c>
      <c r="K5852" s="118"/>
      <c r="L5852" s="111">
        <v>3</v>
      </c>
      <c r="M5852" s="117">
        <f t="shared" si="789"/>
        <v>0.35409000000000002</v>
      </c>
      <c r="N5852" s="119">
        <f t="shared" si="790"/>
        <v>0</v>
      </c>
      <c r="O5852" s="120">
        <f t="shared" si="791"/>
        <v>0</v>
      </c>
      <c r="P5852" s="111"/>
      <c r="Q5852" s="111"/>
      <c r="R5852" s="111"/>
      <c r="S5852" s="111"/>
    </row>
    <row r="5853" spans="1:19" ht="15.6">
      <c r="A5853" s="110" t="s">
        <v>311</v>
      </c>
      <c r="B5853" s="111" t="s">
        <v>232</v>
      </c>
      <c r="C5853" s="112" t="s">
        <v>228</v>
      </c>
      <c r="D5853" s="113" t="s">
        <v>152</v>
      </c>
      <c r="E5853" s="216" t="s">
        <v>15</v>
      </c>
      <c r="F5853" s="216" t="s">
        <v>22</v>
      </c>
      <c r="G5853" s="217">
        <v>10.73</v>
      </c>
      <c r="H5853" s="221">
        <v>11.3</v>
      </c>
      <c r="I5853" s="219">
        <v>1</v>
      </c>
      <c r="J5853" s="220">
        <f t="shared" si="788"/>
        <v>0.12124900000000001</v>
      </c>
      <c r="K5853" s="118"/>
      <c r="L5853" s="111">
        <v>1</v>
      </c>
      <c r="M5853" s="117">
        <f t="shared" si="789"/>
        <v>0.12124900000000001</v>
      </c>
      <c r="N5853" s="119">
        <f t="shared" si="790"/>
        <v>0</v>
      </c>
      <c r="O5853" s="120">
        <f t="shared" si="791"/>
        <v>0</v>
      </c>
      <c r="P5853" s="111"/>
      <c r="Q5853" s="111"/>
      <c r="R5853" s="111"/>
      <c r="S5853" s="111"/>
    </row>
    <row r="5854" spans="1:19" ht="15.6">
      <c r="A5854" s="110" t="s">
        <v>311</v>
      </c>
      <c r="B5854" s="111" t="s">
        <v>232</v>
      </c>
      <c r="C5854" s="112" t="s">
        <v>228</v>
      </c>
      <c r="D5854" s="113" t="s">
        <v>152</v>
      </c>
      <c r="E5854" s="216" t="s">
        <v>15</v>
      </c>
      <c r="F5854" s="216" t="s">
        <v>22</v>
      </c>
      <c r="G5854" s="217">
        <v>10.73</v>
      </c>
      <c r="H5854" s="221">
        <v>7.2</v>
      </c>
      <c r="I5854" s="219">
        <v>1</v>
      </c>
      <c r="J5854" s="220">
        <f t="shared" si="788"/>
        <v>7.7256000000000005E-2</v>
      </c>
      <c r="K5854" s="118"/>
      <c r="L5854" s="111">
        <v>1</v>
      </c>
      <c r="M5854" s="117">
        <f t="shared" si="789"/>
        <v>7.7256000000000005E-2</v>
      </c>
      <c r="N5854" s="119">
        <f t="shared" si="790"/>
        <v>0</v>
      </c>
      <c r="O5854" s="120">
        <f t="shared" si="791"/>
        <v>0</v>
      </c>
      <c r="P5854" s="91"/>
      <c r="Q5854" s="91">
        <v>1</v>
      </c>
      <c r="R5854" s="91" t="s">
        <v>757</v>
      </c>
      <c r="S5854" s="111"/>
    </row>
    <row r="5855" spans="1:19" ht="15.6">
      <c r="A5855" s="110" t="s">
        <v>311</v>
      </c>
      <c r="B5855" s="111" t="s">
        <v>232</v>
      </c>
      <c r="C5855" s="112" t="s">
        <v>228</v>
      </c>
      <c r="D5855" s="113" t="s">
        <v>152</v>
      </c>
      <c r="E5855" s="216" t="s">
        <v>15</v>
      </c>
      <c r="F5855" s="216" t="s">
        <v>22</v>
      </c>
      <c r="G5855" s="217">
        <v>10.73</v>
      </c>
      <c r="H5855" s="221">
        <v>7.4</v>
      </c>
      <c r="I5855" s="219">
        <v>1</v>
      </c>
      <c r="J5855" s="220">
        <f t="shared" si="788"/>
        <v>7.9402E-2</v>
      </c>
      <c r="K5855" s="118"/>
      <c r="L5855" s="111">
        <v>1</v>
      </c>
      <c r="M5855" s="117">
        <f t="shared" si="789"/>
        <v>7.9402E-2</v>
      </c>
      <c r="N5855" s="119">
        <f t="shared" si="790"/>
        <v>0</v>
      </c>
      <c r="O5855" s="120">
        <f t="shared" si="791"/>
        <v>0</v>
      </c>
      <c r="P5855" s="91"/>
      <c r="Q5855" s="91">
        <v>1</v>
      </c>
      <c r="R5855" s="91" t="s">
        <v>757</v>
      </c>
      <c r="S5855" s="111"/>
    </row>
    <row r="5856" spans="1:19" ht="15.6">
      <c r="A5856" s="110" t="s">
        <v>311</v>
      </c>
      <c r="B5856" s="111" t="s">
        <v>232</v>
      </c>
      <c r="C5856" s="112" t="s">
        <v>228</v>
      </c>
      <c r="D5856" s="113" t="s">
        <v>152</v>
      </c>
      <c r="E5856" s="216" t="s">
        <v>15</v>
      </c>
      <c r="F5856" s="216" t="s">
        <v>22</v>
      </c>
      <c r="G5856" s="217">
        <v>10.73</v>
      </c>
      <c r="H5856" s="221">
        <v>7.5</v>
      </c>
      <c r="I5856" s="219">
        <v>4</v>
      </c>
      <c r="J5856" s="220">
        <f t="shared" si="788"/>
        <v>0.32190000000000002</v>
      </c>
      <c r="K5856" s="118"/>
      <c r="L5856" s="111">
        <v>4</v>
      </c>
      <c r="M5856" s="117">
        <f t="shared" si="789"/>
        <v>0.32190000000000002</v>
      </c>
      <c r="N5856" s="119">
        <f t="shared" si="790"/>
        <v>0</v>
      </c>
      <c r="O5856" s="120">
        <f t="shared" si="791"/>
        <v>0</v>
      </c>
      <c r="P5856" s="91"/>
      <c r="Q5856" s="91">
        <v>4</v>
      </c>
      <c r="R5856" s="91" t="s">
        <v>734</v>
      </c>
      <c r="S5856" s="111"/>
    </row>
    <row r="5857" spans="1:19" ht="15.6">
      <c r="A5857" s="110" t="s">
        <v>311</v>
      </c>
      <c r="B5857" s="111" t="s">
        <v>232</v>
      </c>
      <c r="C5857" s="112" t="s">
        <v>228</v>
      </c>
      <c r="D5857" s="113" t="s">
        <v>152</v>
      </c>
      <c r="E5857" s="216" t="s">
        <v>15</v>
      </c>
      <c r="F5857" s="216" t="s">
        <v>22</v>
      </c>
      <c r="G5857" s="217">
        <v>10.73</v>
      </c>
      <c r="H5857" s="221">
        <v>7.6</v>
      </c>
      <c r="I5857" s="219">
        <v>14</v>
      </c>
      <c r="J5857" s="220">
        <f t="shared" si="788"/>
        <v>1.141672</v>
      </c>
      <c r="K5857" s="118"/>
      <c r="L5857" s="111">
        <v>14</v>
      </c>
      <c r="M5857" s="117">
        <f t="shared" si="789"/>
        <v>1.141672</v>
      </c>
      <c r="N5857" s="119">
        <f t="shared" si="790"/>
        <v>0</v>
      </c>
      <c r="O5857" s="120">
        <f t="shared" si="791"/>
        <v>0</v>
      </c>
      <c r="P5857" s="91"/>
      <c r="Q5857" s="91">
        <v>14</v>
      </c>
      <c r="R5857" s="91" t="s">
        <v>734</v>
      </c>
      <c r="S5857" s="111"/>
    </row>
    <row r="5858" spans="1:19" ht="15.6">
      <c r="A5858" s="110" t="s">
        <v>311</v>
      </c>
      <c r="B5858" s="111" t="s">
        <v>232</v>
      </c>
      <c r="C5858" s="112" t="s">
        <v>228</v>
      </c>
      <c r="D5858" s="113" t="s">
        <v>152</v>
      </c>
      <c r="E5858" s="216" t="s">
        <v>15</v>
      </c>
      <c r="F5858" s="216" t="s">
        <v>22</v>
      </c>
      <c r="G5858" s="217">
        <v>10.73</v>
      </c>
      <c r="H5858" s="221">
        <v>9</v>
      </c>
      <c r="I5858" s="219">
        <v>3</v>
      </c>
      <c r="J5858" s="220">
        <f t="shared" si="788"/>
        <v>0.28971000000000002</v>
      </c>
      <c r="K5858" s="118"/>
      <c r="L5858" s="111">
        <v>3</v>
      </c>
      <c r="M5858" s="117">
        <f t="shared" si="789"/>
        <v>0.28971000000000002</v>
      </c>
      <c r="N5858" s="119">
        <f t="shared" si="790"/>
        <v>0</v>
      </c>
      <c r="O5858" s="120">
        <f t="shared" si="791"/>
        <v>0</v>
      </c>
      <c r="P5858" s="91">
        <v>7.8</v>
      </c>
      <c r="Q5858" s="91">
        <v>3</v>
      </c>
      <c r="R5858" s="91" t="s">
        <v>756</v>
      </c>
      <c r="S5858" s="111"/>
    </row>
    <row r="5859" spans="1:19" ht="15.6">
      <c r="A5859" s="110" t="s">
        <v>311</v>
      </c>
      <c r="B5859" s="111" t="s">
        <v>232</v>
      </c>
      <c r="C5859" s="112" t="s">
        <v>228</v>
      </c>
      <c r="D5859" s="113" t="s">
        <v>152</v>
      </c>
      <c r="E5859" s="216" t="s">
        <v>15</v>
      </c>
      <c r="F5859" s="216" t="s">
        <v>22</v>
      </c>
      <c r="G5859" s="217">
        <v>10.73</v>
      </c>
      <c r="H5859" s="221">
        <v>11</v>
      </c>
      <c r="I5859" s="219">
        <v>16</v>
      </c>
      <c r="J5859" s="220">
        <f t="shared" si="788"/>
        <v>1.8884799999999999</v>
      </c>
      <c r="K5859" s="118"/>
      <c r="L5859" s="111">
        <v>16</v>
      </c>
      <c r="M5859" s="117">
        <f t="shared" si="789"/>
        <v>1.8884799999999999</v>
      </c>
      <c r="N5859" s="119">
        <f t="shared" si="790"/>
        <v>0</v>
      </c>
      <c r="O5859" s="120">
        <f t="shared" si="791"/>
        <v>0</v>
      </c>
      <c r="P5859" s="111"/>
      <c r="Q5859" s="111"/>
      <c r="R5859" s="111"/>
      <c r="S5859" s="111"/>
    </row>
    <row r="5860" spans="1:19" ht="15.6">
      <c r="A5860" s="110" t="s">
        <v>311</v>
      </c>
      <c r="B5860" s="111" t="s">
        <v>232</v>
      </c>
      <c r="C5860" s="112" t="s">
        <v>228</v>
      </c>
      <c r="D5860" s="113" t="s">
        <v>152</v>
      </c>
      <c r="E5860" s="216" t="s">
        <v>15</v>
      </c>
      <c r="F5860" s="216" t="s">
        <v>22</v>
      </c>
      <c r="G5860" s="217">
        <v>10.73</v>
      </c>
      <c r="H5860" s="221">
        <v>11.4</v>
      </c>
      <c r="I5860" s="219">
        <v>5</v>
      </c>
      <c r="J5860" s="220">
        <f t="shared" si="788"/>
        <v>0.61160999999999999</v>
      </c>
      <c r="K5860" s="118"/>
      <c r="L5860" s="111">
        <v>5</v>
      </c>
      <c r="M5860" s="117">
        <f t="shared" si="789"/>
        <v>0.61160999999999999</v>
      </c>
      <c r="N5860" s="119">
        <f t="shared" si="790"/>
        <v>0</v>
      </c>
      <c r="O5860" s="120">
        <f t="shared" si="791"/>
        <v>0</v>
      </c>
      <c r="P5860" s="111"/>
      <c r="Q5860" s="111"/>
      <c r="R5860" s="111"/>
      <c r="S5860" s="111"/>
    </row>
    <row r="5861" spans="1:19" ht="15.6">
      <c r="A5861" s="110" t="s">
        <v>311</v>
      </c>
      <c r="B5861" s="111" t="s">
        <v>232</v>
      </c>
      <c r="C5861" s="112" t="s">
        <v>228</v>
      </c>
      <c r="D5861" s="113" t="s">
        <v>152</v>
      </c>
      <c r="E5861" s="216" t="s">
        <v>15</v>
      </c>
      <c r="F5861" s="216" t="s">
        <v>22</v>
      </c>
      <c r="G5861" s="217">
        <v>10.73</v>
      </c>
      <c r="H5861" s="221">
        <v>9.4</v>
      </c>
      <c r="I5861" s="219">
        <v>8</v>
      </c>
      <c r="J5861" s="220">
        <f t="shared" si="788"/>
        <v>0.80689600000000006</v>
      </c>
      <c r="K5861" s="118"/>
      <c r="L5861" s="111">
        <v>8</v>
      </c>
      <c r="M5861" s="117">
        <f t="shared" si="789"/>
        <v>0.80689600000000006</v>
      </c>
      <c r="N5861" s="119">
        <f t="shared" si="790"/>
        <v>0</v>
      </c>
      <c r="O5861" s="120">
        <f t="shared" si="791"/>
        <v>0</v>
      </c>
      <c r="P5861" s="111"/>
      <c r="Q5861" s="111"/>
      <c r="R5861" s="111"/>
      <c r="S5861" s="111"/>
    </row>
    <row r="5862" spans="1:19" ht="15.6">
      <c r="A5862" s="110" t="s">
        <v>311</v>
      </c>
      <c r="B5862" s="111" t="s">
        <v>232</v>
      </c>
      <c r="C5862" s="112" t="s">
        <v>228</v>
      </c>
      <c r="D5862" s="113" t="s">
        <v>152</v>
      </c>
      <c r="E5862" s="216" t="s">
        <v>15</v>
      </c>
      <c r="F5862" s="216" t="s">
        <v>22</v>
      </c>
      <c r="G5862" s="217">
        <v>10.73</v>
      </c>
      <c r="H5862" s="221">
        <v>10.4</v>
      </c>
      <c r="I5862" s="219">
        <v>7</v>
      </c>
      <c r="J5862" s="220">
        <f t="shared" si="788"/>
        <v>0.78114400000000017</v>
      </c>
      <c r="K5862" s="118"/>
      <c r="L5862" s="111">
        <v>7</v>
      </c>
      <c r="M5862" s="117">
        <f t="shared" si="789"/>
        <v>0.78114400000000006</v>
      </c>
      <c r="N5862" s="119">
        <f t="shared" si="790"/>
        <v>0</v>
      </c>
      <c r="O5862" s="120">
        <f t="shared" si="791"/>
        <v>0</v>
      </c>
      <c r="P5862" s="111"/>
      <c r="Q5862" s="111"/>
      <c r="R5862" s="111"/>
      <c r="S5862" s="111"/>
    </row>
    <row r="5863" spans="1:19" ht="15.6">
      <c r="A5863" s="110" t="s">
        <v>311</v>
      </c>
      <c r="B5863" s="111" t="s">
        <v>232</v>
      </c>
      <c r="C5863" s="112" t="s">
        <v>228</v>
      </c>
      <c r="D5863" s="113" t="s">
        <v>152</v>
      </c>
      <c r="E5863" s="216" t="s">
        <v>15</v>
      </c>
      <c r="F5863" s="216" t="s">
        <v>22</v>
      </c>
      <c r="G5863" s="217">
        <v>10.73</v>
      </c>
      <c r="H5863" s="221">
        <v>12</v>
      </c>
      <c r="I5863" s="219">
        <v>9</v>
      </c>
      <c r="J5863" s="220">
        <f t="shared" si="788"/>
        <v>1.1588399999999999</v>
      </c>
      <c r="K5863" s="118"/>
      <c r="L5863" s="111">
        <v>9</v>
      </c>
      <c r="M5863" s="117">
        <f t="shared" si="789"/>
        <v>1.1588400000000001</v>
      </c>
      <c r="N5863" s="119">
        <f t="shared" si="790"/>
        <v>0</v>
      </c>
      <c r="O5863" s="120">
        <f t="shared" si="791"/>
        <v>0</v>
      </c>
      <c r="P5863" s="111"/>
      <c r="Q5863" s="111"/>
      <c r="R5863" s="111"/>
      <c r="S5863" s="111"/>
    </row>
    <row r="5864" spans="1:19" ht="15.6">
      <c r="A5864" s="110" t="s">
        <v>311</v>
      </c>
      <c r="B5864" s="111" t="s">
        <v>232</v>
      </c>
      <c r="C5864" s="112" t="s">
        <v>228</v>
      </c>
      <c r="D5864" s="113" t="s">
        <v>152</v>
      </c>
      <c r="E5864" s="216" t="s">
        <v>15</v>
      </c>
      <c r="F5864" s="216" t="s">
        <v>22</v>
      </c>
      <c r="G5864" s="217">
        <v>10.73</v>
      </c>
      <c r="H5864" s="221">
        <v>7.6</v>
      </c>
      <c r="I5864" s="219">
        <v>2</v>
      </c>
      <c r="J5864" s="220">
        <f t="shared" si="788"/>
        <v>0.16309599999999999</v>
      </c>
      <c r="K5864" s="118"/>
      <c r="L5864" s="111">
        <v>2</v>
      </c>
      <c r="M5864" s="117">
        <f t="shared" si="789"/>
        <v>0.16309599999999999</v>
      </c>
      <c r="N5864" s="119">
        <f t="shared" si="790"/>
        <v>0</v>
      </c>
      <c r="O5864" s="120">
        <f t="shared" si="791"/>
        <v>0</v>
      </c>
      <c r="P5864" s="91"/>
      <c r="Q5864" s="91">
        <v>2</v>
      </c>
      <c r="R5864" s="91" t="s">
        <v>757</v>
      </c>
      <c r="S5864" s="111"/>
    </row>
    <row r="5865" spans="1:19" ht="15.6">
      <c r="A5865" s="110" t="s">
        <v>311</v>
      </c>
      <c r="B5865" s="111" t="s">
        <v>232</v>
      </c>
      <c r="C5865" s="112" t="s">
        <v>228</v>
      </c>
      <c r="D5865" s="113" t="s">
        <v>152</v>
      </c>
      <c r="E5865" s="216" t="s">
        <v>15</v>
      </c>
      <c r="F5865" s="216" t="s">
        <v>22</v>
      </c>
      <c r="G5865" s="217">
        <v>10.73</v>
      </c>
      <c r="H5865" s="221">
        <v>7.8</v>
      </c>
      <c r="I5865" s="219">
        <v>8</v>
      </c>
      <c r="J5865" s="220">
        <f t="shared" si="788"/>
        <v>0.66955200000000004</v>
      </c>
      <c r="K5865" s="118"/>
      <c r="L5865" s="111">
        <v>8</v>
      </c>
      <c r="M5865" s="117">
        <f t="shared" si="789"/>
        <v>0.66955200000000004</v>
      </c>
      <c r="N5865" s="119">
        <f t="shared" si="790"/>
        <v>0</v>
      </c>
      <c r="O5865" s="120">
        <f t="shared" si="791"/>
        <v>0</v>
      </c>
      <c r="P5865" s="111"/>
      <c r="Q5865" s="111"/>
      <c r="R5865" s="111"/>
      <c r="S5865" s="111"/>
    </row>
    <row r="5866" spans="1:19" ht="15.6">
      <c r="A5866" s="110" t="s">
        <v>311</v>
      </c>
      <c r="B5866" s="111" t="s">
        <v>232</v>
      </c>
      <c r="C5866" s="112" t="s">
        <v>228</v>
      </c>
      <c r="D5866" s="113" t="s">
        <v>152</v>
      </c>
      <c r="E5866" s="216" t="s">
        <v>15</v>
      </c>
      <c r="F5866" s="216" t="s">
        <v>22</v>
      </c>
      <c r="G5866" s="217">
        <v>10.73</v>
      </c>
      <c r="H5866" s="221">
        <v>9.4</v>
      </c>
      <c r="I5866" s="219">
        <v>7</v>
      </c>
      <c r="J5866" s="220">
        <f t="shared" si="788"/>
        <v>0.70603400000000005</v>
      </c>
      <c r="K5866" s="118"/>
      <c r="L5866" s="111">
        <v>7</v>
      </c>
      <c r="M5866" s="117">
        <f t="shared" si="789"/>
        <v>0.70603399999999994</v>
      </c>
      <c r="N5866" s="119">
        <f t="shared" si="790"/>
        <v>0</v>
      </c>
      <c r="O5866" s="120">
        <f t="shared" si="791"/>
        <v>0</v>
      </c>
      <c r="P5866" s="111"/>
      <c r="Q5866" s="111"/>
      <c r="R5866" s="111"/>
      <c r="S5866" s="111"/>
    </row>
    <row r="5867" spans="1:19" ht="15.6">
      <c r="A5867" s="110" t="s">
        <v>311</v>
      </c>
      <c r="B5867" s="111" t="s">
        <v>232</v>
      </c>
      <c r="C5867" s="112" t="s">
        <v>228</v>
      </c>
      <c r="D5867" s="113" t="s">
        <v>152</v>
      </c>
      <c r="E5867" s="216" t="s">
        <v>15</v>
      </c>
      <c r="F5867" s="216" t="s">
        <v>22</v>
      </c>
      <c r="G5867" s="217">
        <v>10.73</v>
      </c>
      <c r="H5867" s="221">
        <v>10.4</v>
      </c>
      <c r="I5867" s="219">
        <v>3</v>
      </c>
      <c r="J5867" s="220">
        <f t="shared" si="788"/>
        <v>0.33477600000000007</v>
      </c>
      <c r="K5867" s="118"/>
      <c r="L5867" s="111">
        <v>3</v>
      </c>
      <c r="M5867" s="117">
        <f t="shared" si="789"/>
        <v>0.33477600000000007</v>
      </c>
      <c r="N5867" s="119">
        <f t="shared" si="790"/>
        <v>0</v>
      </c>
      <c r="O5867" s="120">
        <f t="shared" si="791"/>
        <v>0</v>
      </c>
      <c r="P5867" s="111"/>
      <c r="Q5867" s="111"/>
      <c r="R5867" s="111"/>
      <c r="S5867" s="111"/>
    </row>
    <row r="5868" spans="1:19" ht="15.6">
      <c r="A5868" s="110" t="s">
        <v>311</v>
      </c>
      <c r="B5868" s="111" t="s">
        <v>232</v>
      </c>
      <c r="C5868" s="112" t="s">
        <v>228</v>
      </c>
      <c r="D5868" s="113" t="s">
        <v>152</v>
      </c>
      <c r="E5868" s="216" t="s">
        <v>15</v>
      </c>
      <c r="F5868" s="216" t="s">
        <v>22</v>
      </c>
      <c r="G5868" s="217">
        <v>10.73</v>
      </c>
      <c r="H5868" s="221">
        <v>11.6</v>
      </c>
      <c r="I5868" s="219">
        <v>1</v>
      </c>
      <c r="J5868" s="220">
        <f t="shared" si="788"/>
        <v>0.12446800000000001</v>
      </c>
      <c r="K5868" s="118"/>
      <c r="L5868" s="111">
        <v>1</v>
      </c>
      <c r="M5868" s="117">
        <f t="shared" si="789"/>
        <v>0.12446800000000001</v>
      </c>
      <c r="N5868" s="119">
        <f t="shared" si="790"/>
        <v>0</v>
      </c>
      <c r="O5868" s="120">
        <f t="shared" si="791"/>
        <v>0</v>
      </c>
      <c r="P5868" s="111"/>
      <c r="Q5868" s="111"/>
      <c r="R5868" s="111"/>
      <c r="S5868" s="111"/>
    </row>
    <row r="5869" spans="1:19" ht="15.6">
      <c r="A5869" s="110" t="s">
        <v>311</v>
      </c>
      <c r="B5869" s="111" t="s">
        <v>232</v>
      </c>
      <c r="C5869" s="112" t="s">
        <v>228</v>
      </c>
      <c r="D5869" s="113" t="s">
        <v>152</v>
      </c>
      <c r="E5869" s="216" t="s">
        <v>15</v>
      </c>
      <c r="F5869" s="216" t="s">
        <v>22</v>
      </c>
      <c r="G5869" s="217">
        <v>10.73</v>
      </c>
      <c r="H5869" s="221">
        <v>12</v>
      </c>
      <c r="I5869" s="219">
        <v>7</v>
      </c>
      <c r="J5869" s="220">
        <f t="shared" si="788"/>
        <v>0.9013199999999999</v>
      </c>
      <c r="K5869" s="118"/>
      <c r="L5869" s="111">
        <v>7</v>
      </c>
      <c r="M5869" s="117">
        <f t="shared" si="789"/>
        <v>0.90132000000000001</v>
      </c>
      <c r="N5869" s="119">
        <f t="shared" si="790"/>
        <v>0</v>
      </c>
      <c r="O5869" s="120">
        <f t="shared" si="791"/>
        <v>0</v>
      </c>
      <c r="P5869" s="111"/>
      <c r="Q5869" s="111"/>
      <c r="R5869" s="111"/>
      <c r="S5869" s="111"/>
    </row>
    <row r="5870" spans="1:19" ht="15.6">
      <c r="A5870" s="232"/>
      <c r="B5870" s="233"/>
      <c r="C5870" s="234"/>
      <c r="D5870" s="235"/>
      <c r="E5870" s="236"/>
      <c r="F5870" s="236"/>
      <c r="G5870" s="237"/>
      <c r="H5870" s="238"/>
      <c r="I5870" s="239"/>
      <c r="J5870" s="240"/>
      <c r="K5870" s="241"/>
      <c r="L5870" s="233"/>
      <c r="M5870" s="242"/>
      <c r="N5870" s="243"/>
      <c r="O5870" s="244"/>
      <c r="P5870" s="233"/>
      <c r="Q5870" s="233"/>
      <c r="R5870" s="233"/>
      <c r="S5870" s="233"/>
    </row>
    <row r="5871" spans="1:19" ht="15.6">
      <c r="A5871" s="110" t="s">
        <v>311</v>
      </c>
      <c r="B5871" s="111" t="s">
        <v>232</v>
      </c>
      <c r="C5871" s="112" t="s">
        <v>228</v>
      </c>
      <c r="D5871" s="113" t="s">
        <v>152</v>
      </c>
      <c r="E5871" s="216" t="s">
        <v>15</v>
      </c>
      <c r="F5871" s="216" t="s">
        <v>22</v>
      </c>
      <c r="G5871" s="217">
        <v>10.73</v>
      </c>
      <c r="H5871" s="221">
        <v>7.8</v>
      </c>
      <c r="I5871" s="219">
        <f>25+26+25</f>
        <v>76</v>
      </c>
      <c r="J5871" s="220">
        <f t="shared" ref="J5871:J5873" si="792">(G5871*H5871*I5871/1000)</f>
        <v>6.3607440000000004</v>
      </c>
      <c r="K5871" s="118"/>
      <c r="L5871" s="111">
        <v>76</v>
      </c>
      <c r="M5871" s="117">
        <f t="shared" ref="M5871:M5873" si="793">H5871*L5871*G5871/1000</f>
        <v>6.3607439999999995</v>
      </c>
      <c r="N5871" s="119">
        <f t="shared" ref="N5871:N5873" si="794">I5871-L5871</f>
        <v>0</v>
      </c>
      <c r="O5871" s="120">
        <f t="shared" ref="O5871:O5873" si="795">H5871*N5871*G5871/1000</f>
        <v>0</v>
      </c>
      <c r="P5871" s="111"/>
      <c r="Q5871" s="111"/>
      <c r="R5871" s="111"/>
      <c r="S5871" s="111"/>
    </row>
    <row r="5872" spans="1:19" ht="15.6">
      <c r="A5872" s="110" t="s">
        <v>311</v>
      </c>
      <c r="B5872" s="111" t="s">
        <v>232</v>
      </c>
      <c r="C5872" s="112" t="s">
        <v>228</v>
      </c>
      <c r="D5872" s="113" t="s">
        <v>152</v>
      </c>
      <c r="E5872" s="216" t="s">
        <v>15</v>
      </c>
      <c r="F5872" s="216" t="s">
        <v>22</v>
      </c>
      <c r="G5872" s="217">
        <v>10.73</v>
      </c>
      <c r="H5872" s="221">
        <v>11.6</v>
      </c>
      <c r="I5872" s="219">
        <v>12</v>
      </c>
      <c r="J5872" s="220">
        <f t="shared" si="792"/>
        <v>1.4936160000000001</v>
      </c>
      <c r="K5872" s="118"/>
      <c r="L5872" s="111">
        <v>12</v>
      </c>
      <c r="M5872" s="117">
        <f t="shared" si="793"/>
        <v>1.4936160000000001</v>
      </c>
      <c r="N5872" s="119">
        <f t="shared" si="794"/>
        <v>0</v>
      </c>
      <c r="O5872" s="120">
        <f t="shared" si="795"/>
        <v>0</v>
      </c>
      <c r="P5872" s="111"/>
      <c r="Q5872" s="111"/>
      <c r="R5872" s="111"/>
      <c r="S5872" s="111"/>
    </row>
    <row r="5873" spans="1:19" ht="15.6">
      <c r="A5873" s="110" t="s">
        <v>311</v>
      </c>
      <c r="B5873" s="111" t="s">
        <v>232</v>
      </c>
      <c r="C5873" s="112" t="s">
        <v>228</v>
      </c>
      <c r="D5873" s="113" t="s">
        <v>152</v>
      </c>
      <c r="E5873" s="216" t="s">
        <v>15</v>
      </c>
      <c r="F5873" s="216" t="s">
        <v>22</v>
      </c>
      <c r="G5873" s="217">
        <v>10.73</v>
      </c>
      <c r="H5873" s="221">
        <v>12</v>
      </c>
      <c r="I5873" s="219">
        <v>1</v>
      </c>
      <c r="J5873" s="220">
        <f t="shared" si="792"/>
        <v>0.12875999999999999</v>
      </c>
      <c r="K5873" s="118"/>
      <c r="L5873" s="111">
        <v>1</v>
      </c>
      <c r="M5873" s="117">
        <f t="shared" si="793"/>
        <v>0.12875999999999999</v>
      </c>
      <c r="N5873" s="119">
        <f t="shared" si="794"/>
        <v>0</v>
      </c>
      <c r="O5873" s="120">
        <f t="shared" si="795"/>
        <v>0</v>
      </c>
      <c r="P5873" s="91">
        <v>12</v>
      </c>
      <c r="Q5873" s="91">
        <v>1</v>
      </c>
      <c r="R5873" s="98" t="s">
        <v>739</v>
      </c>
      <c r="S5873" s="111"/>
    </row>
    <row r="5874" spans="1:19">
      <c r="A5874" s="213"/>
      <c r="B5874" s="213"/>
      <c r="C5874" s="213"/>
      <c r="D5874" s="213"/>
      <c r="E5874" s="213"/>
      <c r="F5874" s="213"/>
      <c r="G5874" s="213"/>
      <c r="H5874" s="213"/>
      <c r="I5874" s="215">
        <f>SUM(I5815:I5873)</f>
        <v>1554</v>
      </c>
      <c r="J5874" s="214">
        <f>SUM(J5815:J5873)</f>
        <v>158.05719200000004</v>
      </c>
      <c r="K5874" s="213"/>
      <c r="L5874" s="215">
        <f>SUM(L5815:L5873)</f>
        <v>1554</v>
      </c>
      <c r="M5874" s="214">
        <f>SUM(M5815:M5873)</f>
        <v>158.05719200000004</v>
      </c>
      <c r="N5874" s="78">
        <f>SUM(N5815:N5873)</f>
        <v>0</v>
      </c>
      <c r="O5874" s="128">
        <f>SUM(O5815:O5873)</f>
        <v>0</v>
      </c>
      <c r="P5874" s="213"/>
      <c r="Q5874" s="80">
        <f>SUM(Q5815:Q5873)</f>
        <v>59</v>
      </c>
      <c r="R5874" s="213"/>
      <c r="S5874" s="215"/>
    </row>
    <row r="5876" spans="1:19" ht="15.6">
      <c r="A5876" s="110" t="s">
        <v>432</v>
      </c>
      <c r="B5876" s="111" t="s">
        <v>232</v>
      </c>
      <c r="C5876" s="112" t="s">
        <v>433</v>
      </c>
      <c r="D5876" s="113" t="s">
        <v>152</v>
      </c>
      <c r="E5876" s="216" t="s">
        <v>15</v>
      </c>
      <c r="F5876" s="216" t="s">
        <v>22</v>
      </c>
      <c r="G5876" s="217">
        <v>10.7</v>
      </c>
      <c r="H5876" s="218">
        <v>10</v>
      </c>
      <c r="I5876" s="219">
        <v>1</v>
      </c>
      <c r="J5876" s="220">
        <f t="shared" ref="J5876:J5881" si="796">(G5876*H5876*I5876/1000)</f>
        <v>0.107</v>
      </c>
      <c r="K5876" s="118" t="s">
        <v>233</v>
      </c>
      <c r="L5876" s="111">
        <v>1</v>
      </c>
      <c r="M5876" s="117">
        <f t="shared" ref="M5876:M5881" si="797">H5876*L5876*G5876/1000</f>
        <v>0.107</v>
      </c>
      <c r="N5876" s="119">
        <f t="shared" ref="N5876:N5881" si="798">I5876-L5876</f>
        <v>0</v>
      </c>
      <c r="O5876" s="120">
        <f t="shared" ref="O5876:O5879" si="799">H5876*N5876*G5876/1000</f>
        <v>0</v>
      </c>
      <c r="P5876" s="75">
        <v>7.8</v>
      </c>
      <c r="Q5876" s="72">
        <v>1</v>
      </c>
      <c r="R5876" s="72" t="s">
        <v>701</v>
      </c>
    </row>
    <row r="5877" spans="1:19" ht="15.6">
      <c r="A5877" s="110" t="s">
        <v>432</v>
      </c>
      <c r="B5877" s="111" t="s">
        <v>232</v>
      </c>
      <c r="C5877" s="112" t="s">
        <v>433</v>
      </c>
      <c r="D5877" s="113" t="s">
        <v>152</v>
      </c>
      <c r="E5877" s="216" t="s">
        <v>15</v>
      </c>
      <c r="F5877" s="216" t="s">
        <v>22</v>
      </c>
      <c r="G5877" s="217">
        <v>10.7</v>
      </c>
      <c r="H5877" s="218">
        <v>9.5</v>
      </c>
      <c r="I5877" s="219">
        <v>1</v>
      </c>
      <c r="J5877" s="220">
        <f t="shared" si="796"/>
        <v>0.10164999999999999</v>
      </c>
      <c r="K5877" s="118" t="s">
        <v>233</v>
      </c>
      <c r="L5877" s="111">
        <v>1</v>
      </c>
      <c r="M5877" s="117">
        <f t="shared" si="797"/>
        <v>0.10164999999999999</v>
      </c>
      <c r="N5877" s="119">
        <f t="shared" si="798"/>
        <v>0</v>
      </c>
      <c r="O5877" s="120">
        <f t="shared" si="799"/>
        <v>0</v>
      </c>
      <c r="P5877" s="75">
        <v>7.8</v>
      </c>
      <c r="Q5877" s="72">
        <v>1</v>
      </c>
      <c r="R5877" s="72" t="s">
        <v>701</v>
      </c>
    </row>
    <row r="5878" spans="1:19" ht="15.6">
      <c r="A5878" s="110" t="s">
        <v>432</v>
      </c>
      <c r="B5878" s="111" t="s">
        <v>232</v>
      </c>
      <c r="C5878" s="112" t="s">
        <v>433</v>
      </c>
      <c r="D5878" s="113" t="s">
        <v>152</v>
      </c>
      <c r="E5878" s="216" t="s">
        <v>15</v>
      </c>
      <c r="F5878" s="216" t="s">
        <v>22</v>
      </c>
      <c r="G5878" s="217">
        <v>10.7</v>
      </c>
      <c r="H5878" s="218">
        <v>9.1999999999999993</v>
      </c>
      <c r="I5878" s="219">
        <v>1</v>
      </c>
      <c r="J5878" s="220">
        <f t="shared" si="796"/>
        <v>9.8439999999999986E-2</v>
      </c>
      <c r="K5878" s="118" t="s">
        <v>233</v>
      </c>
      <c r="L5878" s="111">
        <v>1</v>
      </c>
      <c r="M5878" s="117">
        <f t="shared" si="797"/>
        <v>9.8439999999999986E-2</v>
      </c>
      <c r="N5878" s="119">
        <f t="shared" si="798"/>
        <v>0</v>
      </c>
      <c r="O5878" s="120">
        <f t="shared" si="799"/>
        <v>0</v>
      </c>
      <c r="P5878" s="75">
        <v>7.8</v>
      </c>
      <c r="Q5878" s="72">
        <v>1</v>
      </c>
      <c r="R5878" s="72" t="s">
        <v>701</v>
      </c>
    </row>
    <row r="5879" spans="1:19" ht="15.6">
      <c r="A5879" s="110" t="s">
        <v>432</v>
      </c>
      <c r="B5879" s="111" t="s">
        <v>232</v>
      </c>
      <c r="C5879" s="112" t="s">
        <v>433</v>
      </c>
      <c r="D5879" s="113" t="s">
        <v>152</v>
      </c>
      <c r="E5879" s="216" t="s">
        <v>15</v>
      </c>
      <c r="F5879" s="216" t="s">
        <v>22</v>
      </c>
      <c r="G5879" s="217">
        <v>10.7</v>
      </c>
      <c r="H5879" s="218">
        <v>10.4</v>
      </c>
      <c r="I5879" s="219">
        <v>1</v>
      </c>
      <c r="J5879" s="220">
        <f t="shared" si="796"/>
        <v>0.11128</v>
      </c>
      <c r="K5879" s="118" t="s">
        <v>235</v>
      </c>
      <c r="L5879" s="219">
        <v>1</v>
      </c>
      <c r="M5879" s="117">
        <f t="shared" si="797"/>
        <v>0.11128</v>
      </c>
      <c r="N5879" s="119">
        <f t="shared" si="798"/>
        <v>0</v>
      </c>
      <c r="O5879" s="120">
        <f t="shared" si="799"/>
        <v>0</v>
      </c>
      <c r="P5879" s="111"/>
      <c r="Q5879" s="111"/>
      <c r="R5879" s="111"/>
    </row>
    <row r="5880" spans="1:19" ht="15.6">
      <c r="A5880" s="110" t="s">
        <v>432</v>
      </c>
      <c r="B5880" s="111" t="s">
        <v>232</v>
      </c>
      <c r="C5880" s="112" t="s">
        <v>433</v>
      </c>
      <c r="D5880" s="113" t="s">
        <v>152</v>
      </c>
      <c r="E5880" s="216" t="s">
        <v>15</v>
      </c>
      <c r="F5880" s="216" t="s">
        <v>22</v>
      </c>
      <c r="G5880" s="217">
        <v>10.7</v>
      </c>
      <c r="H5880" s="218">
        <v>10.5</v>
      </c>
      <c r="I5880" s="219">
        <v>1</v>
      </c>
      <c r="J5880" s="220">
        <f t="shared" si="796"/>
        <v>0.11234999999999999</v>
      </c>
      <c r="K5880" s="118" t="s">
        <v>235</v>
      </c>
      <c r="L5880" s="111">
        <v>1</v>
      </c>
      <c r="M5880" s="117">
        <f t="shared" si="797"/>
        <v>0.11234999999999999</v>
      </c>
      <c r="N5880" s="119">
        <f t="shared" si="798"/>
        <v>0</v>
      </c>
      <c r="O5880" s="120">
        <f>H5880*N5880*G5880/1000</f>
        <v>0</v>
      </c>
      <c r="P5880" s="111"/>
      <c r="Q5880" s="111"/>
      <c r="R5880" s="111"/>
    </row>
    <row r="5881" spans="1:19" ht="15.6">
      <c r="A5881" s="110" t="s">
        <v>432</v>
      </c>
      <c r="B5881" s="111" t="s">
        <v>232</v>
      </c>
      <c r="C5881" s="112" t="s">
        <v>433</v>
      </c>
      <c r="D5881" s="113" t="s">
        <v>152</v>
      </c>
      <c r="E5881" s="216" t="s">
        <v>15</v>
      </c>
      <c r="F5881" s="216" t="s">
        <v>22</v>
      </c>
      <c r="G5881" s="217">
        <v>10.7</v>
      </c>
      <c r="H5881" s="218">
        <v>11.6</v>
      </c>
      <c r="I5881" s="219">
        <v>1</v>
      </c>
      <c r="J5881" s="220">
        <f t="shared" si="796"/>
        <v>0.12411999999999999</v>
      </c>
      <c r="K5881" s="118" t="s">
        <v>235</v>
      </c>
      <c r="L5881" s="111">
        <v>1</v>
      </c>
      <c r="M5881" s="117">
        <f t="shared" si="797"/>
        <v>0.12411999999999999</v>
      </c>
      <c r="N5881" s="119">
        <f t="shared" si="798"/>
        <v>0</v>
      </c>
      <c r="O5881" s="120">
        <f>H5881*N5881*G5881/1000</f>
        <v>0</v>
      </c>
      <c r="P5881" s="111"/>
      <c r="Q5881" s="111"/>
      <c r="R5881" s="111"/>
    </row>
    <row r="5882" spans="1:19">
      <c r="N5882" s="215">
        <f>SUM(N5876:N5881)</f>
        <v>0</v>
      </c>
      <c r="Q5882" s="215">
        <f>SUM(Q5876:Q5881)</f>
        <v>3</v>
      </c>
    </row>
    <row r="5884" spans="1:19" ht="15.6">
      <c r="A5884" s="110" t="s">
        <v>554</v>
      </c>
      <c r="B5884" s="111" t="s">
        <v>505</v>
      </c>
      <c r="C5884" s="112" t="s">
        <v>449</v>
      </c>
      <c r="D5884" s="113" t="s">
        <v>20</v>
      </c>
      <c r="E5884" s="216" t="s">
        <v>15</v>
      </c>
      <c r="F5884" s="216" t="s">
        <v>22</v>
      </c>
      <c r="G5884" s="217">
        <v>10.73</v>
      </c>
      <c r="H5884" s="218">
        <v>10.5</v>
      </c>
      <c r="I5884" s="219">
        <v>27</v>
      </c>
      <c r="J5884" s="220">
        <f t="shared" ref="J5884:J5899" si="800">(G5884*H5884*I5884/1000)</f>
        <v>3.0419550000000002</v>
      </c>
      <c r="K5884" s="118"/>
      <c r="L5884" s="219">
        <v>27</v>
      </c>
      <c r="M5884" s="117">
        <f t="shared" ref="M5884:M5899" si="801">H5884*L5884*G5884/1000</f>
        <v>3.0419549999999997</v>
      </c>
      <c r="N5884" s="119">
        <f t="shared" ref="N5884:N5899" si="802">I5884-L5884</f>
        <v>0</v>
      </c>
      <c r="O5884" s="120">
        <f t="shared" ref="O5884:O5898" si="803">H5884*N5884*G5884/1000</f>
        <v>0</v>
      </c>
      <c r="P5884" s="130"/>
      <c r="Q5884" s="111"/>
      <c r="R5884" s="111"/>
    </row>
    <row r="5885" spans="1:19" ht="15.6">
      <c r="A5885" s="110" t="s">
        <v>554</v>
      </c>
      <c r="B5885" s="111" t="s">
        <v>505</v>
      </c>
      <c r="C5885" s="112" t="s">
        <v>449</v>
      </c>
      <c r="D5885" s="113" t="s">
        <v>20</v>
      </c>
      <c r="E5885" s="216" t="s">
        <v>15</v>
      </c>
      <c r="F5885" s="216" t="s">
        <v>22</v>
      </c>
      <c r="G5885" s="217">
        <v>10.73</v>
      </c>
      <c r="H5885" s="218">
        <v>10.5</v>
      </c>
      <c r="I5885" s="219">
        <v>27</v>
      </c>
      <c r="J5885" s="220">
        <f t="shared" si="800"/>
        <v>3.0419550000000002</v>
      </c>
      <c r="K5885" s="118"/>
      <c r="L5885" s="219">
        <v>27</v>
      </c>
      <c r="M5885" s="117">
        <f t="shared" si="801"/>
        <v>3.0419549999999997</v>
      </c>
      <c r="N5885" s="119">
        <f t="shared" si="802"/>
        <v>0</v>
      </c>
      <c r="O5885" s="120">
        <f t="shared" si="803"/>
        <v>0</v>
      </c>
      <c r="P5885" s="130"/>
      <c r="Q5885" s="111"/>
      <c r="R5885" s="111"/>
    </row>
    <row r="5886" spans="1:19" ht="15.6">
      <c r="A5886" s="110" t="s">
        <v>554</v>
      </c>
      <c r="B5886" s="111" t="s">
        <v>505</v>
      </c>
      <c r="C5886" s="112" t="s">
        <v>449</v>
      </c>
      <c r="D5886" s="113" t="s">
        <v>20</v>
      </c>
      <c r="E5886" s="216" t="s">
        <v>15</v>
      </c>
      <c r="F5886" s="216" t="s">
        <v>22</v>
      </c>
      <c r="G5886" s="217">
        <v>10.73</v>
      </c>
      <c r="H5886" s="218">
        <v>10.5</v>
      </c>
      <c r="I5886" s="219">
        <v>9</v>
      </c>
      <c r="J5886" s="220">
        <f t="shared" si="800"/>
        <v>1.0139849999999999</v>
      </c>
      <c r="K5886" s="118"/>
      <c r="L5886" s="219">
        <v>9</v>
      </c>
      <c r="M5886" s="117">
        <f t="shared" si="801"/>
        <v>1.0139849999999999</v>
      </c>
      <c r="N5886" s="119">
        <f t="shared" si="802"/>
        <v>0</v>
      </c>
      <c r="O5886" s="120">
        <f t="shared" si="803"/>
        <v>0</v>
      </c>
      <c r="P5886" s="130"/>
      <c r="Q5886" s="111"/>
      <c r="R5886" s="111"/>
    </row>
    <row r="5887" spans="1:19" ht="15.6">
      <c r="A5887" s="110" t="s">
        <v>554</v>
      </c>
      <c r="B5887" s="111" t="s">
        <v>505</v>
      </c>
      <c r="C5887" s="112" t="s">
        <v>449</v>
      </c>
      <c r="D5887" s="113" t="s">
        <v>20</v>
      </c>
      <c r="E5887" s="216" t="s">
        <v>15</v>
      </c>
      <c r="F5887" s="216" t="s">
        <v>22</v>
      </c>
      <c r="G5887" s="217">
        <v>10.73</v>
      </c>
      <c r="H5887" s="218">
        <v>10.25</v>
      </c>
      <c r="I5887" s="219">
        <v>2</v>
      </c>
      <c r="J5887" s="220">
        <f t="shared" si="800"/>
        <v>0.21996499999999999</v>
      </c>
      <c r="K5887" s="118"/>
      <c r="L5887" s="219">
        <v>2</v>
      </c>
      <c r="M5887" s="117">
        <f t="shared" si="801"/>
        <v>0.21996499999999999</v>
      </c>
      <c r="N5887" s="119">
        <f t="shared" si="802"/>
        <v>0</v>
      </c>
      <c r="O5887" s="120">
        <f t="shared" si="803"/>
        <v>0</v>
      </c>
      <c r="P5887" s="172">
        <v>9.35</v>
      </c>
      <c r="Q5887" s="93">
        <v>2</v>
      </c>
      <c r="R5887" s="93" t="s">
        <v>701</v>
      </c>
    </row>
    <row r="5888" spans="1:19" ht="15.6">
      <c r="A5888" s="110" t="s">
        <v>554</v>
      </c>
      <c r="B5888" s="111" t="s">
        <v>505</v>
      </c>
      <c r="C5888" s="112" t="s">
        <v>449</v>
      </c>
      <c r="D5888" s="113" t="s">
        <v>20</v>
      </c>
      <c r="E5888" s="216" t="s">
        <v>15</v>
      </c>
      <c r="F5888" s="216" t="s">
        <v>22</v>
      </c>
      <c r="G5888" s="217">
        <v>10.73</v>
      </c>
      <c r="H5888" s="218">
        <v>10.3</v>
      </c>
      <c r="I5888" s="219">
        <v>3</v>
      </c>
      <c r="J5888" s="220">
        <f t="shared" si="800"/>
        <v>0.33155699999999999</v>
      </c>
      <c r="K5888" s="118"/>
      <c r="L5888" s="219">
        <v>3</v>
      </c>
      <c r="M5888" s="117">
        <f t="shared" si="801"/>
        <v>0.33155699999999999</v>
      </c>
      <c r="N5888" s="119">
        <f t="shared" si="802"/>
        <v>0</v>
      </c>
      <c r="O5888" s="120">
        <f t="shared" si="803"/>
        <v>0</v>
      </c>
      <c r="P5888" s="172">
        <v>9.35</v>
      </c>
      <c r="Q5888" s="93">
        <v>3</v>
      </c>
      <c r="R5888" s="93" t="s">
        <v>701</v>
      </c>
    </row>
    <row r="5889" spans="1:18" ht="15.6">
      <c r="A5889" s="110" t="s">
        <v>554</v>
      </c>
      <c r="B5889" s="111" t="s">
        <v>505</v>
      </c>
      <c r="C5889" s="112" t="s">
        <v>449</v>
      </c>
      <c r="D5889" s="113" t="s">
        <v>20</v>
      </c>
      <c r="E5889" s="216" t="s">
        <v>15</v>
      </c>
      <c r="F5889" s="216" t="s">
        <v>22</v>
      </c>
      <c r="G5889" s="217">
        <v>10.73</v>
      </c>
      <c r="H5889" s="218">
        <v>10.5</v>
      </c>
      <c r="I5889" s="219">
        <v>1</v>
      </c>
      <c r="J5889" s="220">
        <f t="shared" si="800"/>
        <v>0.112665</v>
      </c>
      <c r="K5889" s="118"/>
      <c r="L5889" s="219">
        <v>1</v>
      </c>
      <c r="M5889" s="117">
        <f t="shared" si="801"/>
        <v>0.112665</v>
      </c>
      <c r="N5889" s="119">
        <f t="shared" si="802"/>
        <v>0</v>
      </c>
      <c r="O5889" s="120">
        <f t="shared" si="803"/>
        <v>0</v>
      </c>
      <c r="P5889" s="130"/>
      <c r="Q5889" s="111"/>
      <c r="R5889" s="111"/>
    </row>
    <row r="5890" spans="1:18" ht="15.6">
      <c r="A5890" s="110" t="s">
        <v>554</v>
      </c>
      <c r="B5890" s="111" t="s">
        <v>505</v>
      </c>
      <c r="C5890" s="112" t="s">
        <v>449</v>
      </c>
      <c r="D5890" s="113" t="s">
        <v>20</v>
      </c>
      <c r="E5890" s="216" t="s">
        <v>15</v>
      </c>
      <c r="F5890" s="216" t="s">
        <v>22</v>
      </c>
      <c r="G5890" s="217">
        <v>10.73</v>
      </c>
      <c r="H5890" s="218">
        <v>10.5</v>
      </c>
      <c r="I5890" s="219">
        <v>14</v>
      </c>
      <c r="J5890" s="220">
        <f t="shared" si="800"/>
        <v>1.5773100000000002</v>
      </c>
      <c r="K5890" s="118"/>
      <c r="L5890" s="219">
        <v>14</v>
      </c>
      <c r="M5890" s="117">
        <f t="shared" si="801"/>
        <v>1.5773100000000002</v>
      </c>
      <c r="N5890" s="119">
        <f t="shared" si="802"/>
        <v>0</v>
      </c>
      <c r="O5890" s="120">
        <f t="shared" si="803"/>
        <v>0</v>
      </c>
      <c r="P5890" s="130"/>
      <c r="Q5890" s="111"/>
      <c r="R5890" s="111"/>
    </row>
    <row r="5891" spans="1:18" ht="15.6">
      <c r="A5891" s="110" t="s">
        <v>554</v>
      </c>
      <c r="B5891" s="111" t="s">
        <v>505</v>
      </c>
      <c r="C5891" s="112" t="s">
        <v>449</v>
      </c>
      <c r="D5891" s="113" t="s">
        <v>20</v>
      </c>
      <c r="E5891" s="216" t="s">
        <v>15</v>
      </c>
      <c r="F5891" s="216" t="s">
        <v>22</v>
      </c>
      <c r="G5891" s="217">
        <v>10.73</v>
      </c>
      <c r="H5891" s="218">
        <v>8.5</v>
      </c>
      <c r="I5891" s="219">
        <v>14</v>
      </c>
      <c r="J5891" s="220">
        <f t="shared" si="800"/>
        <v>1.2768699999999999</v>
      </c>
      <c r="K5891" s="118"/>
      <c r="L5891" s="219">
        <v>14</v>
      </c>
      <c r="M5891" s="117">
        <f t="shared" si="801"/>
        <v>1.2768700000000002</v>
      </c>
      <c r="N5891" s="119">
        <f t="shared" si="802"/>
        <v>0</v>
      </c>
      <c r="O5891" s="120">
        <f t="shared" si="803"/>
        <v>0</v>
      </c>
      <c r="P5891" s="130"/>
      <c r="Q5891" s="111"/>
      <c r="R5891" s="111"/>
    </row>
    <row r="5892" spans="1:18" ht="15.6">
      <c r="A5892" s="110" t="s">
        <v>554</v>
      </c>
      <c r="B5892" s="111" t="s">
        <v>505</v>
      </c>
      <c r="C5892" s="112" t="s">
        <v>449</v>
      </c>
      <c r="D5892" s="113" t="s">
        <v>20</v>
      </c>
      <c r="E5892" s="216" t="s">
        <v>15</v>
      </c>
      <c r="F5892" s="216" t="s">
        <v>22</v>
      </c>
      <c r="G5892" s="217">
        <v>10.73</v>
      </c>
      <c r="H5892" s="218">
        <v>7.9</v>
      </c>
      <c r="I5892" s="219">
        <v>1</v>
      </c>
      <c r="J5892" s="220">
        <f t="shared" si="800"/>
        <v>8.4767000000000009E-2</v>
      </c>
      <c r="K5892" s="118"/>
      <c r="L5892" s="219">
        <v>1</v>
      </c>
      <c r="M5892" s="117">
        <f t="shared" si="801"/>
        <v>8.4767000000000009E-2</v>
      </c>
      <c r="N5892" s="119">
        <f t="shared" si="802"/>
        <v>0</v>
      </c>
      <c r="O5892" s="120">
        <f t="shared" si="803"/>
        <v>0</v>
      </c>
      <c r="P5892" s="172">
        <v>7.8</v>
      </c>
      <c r="Q5892" s="93">
        <v>1</v>
      </c>
      <c r="R5892" s="93" t="s">
        <v>701</v>
      </c>
    </row>
    <row r="5893" spans="1:18" ht="15.6">
      <c r="A5893" s="110" t="s">
        <v>554</v>
      </c>
      <c r="B5893" s="111" t="s">
        <v>505</v>
      </c>
      <c r="C5893" s="112" t="s">
        <v>449</v>
      </c>
      <c r="D5893" s="113" t="s">
        <v>20</v>
      </c>
      <c r="E5893" s="216" t="s">
        <v>15</v>
      </c>
      <c r="F5893" s="216" t="s">
        <v>22</v>
      </c>
      <c r="G5893" s="217">
        <v>10.73</v>
      </c>
      <c r="H5893" s="218">
        <v>8</v>
      </c>
      <c r="I5893" s="219">
        <v>1</v>
      </c>
      <c r="J5893" s="220">
        <f t="shared" si="800"/>
        <v>8.584E-2</v>
      </c>
      <c r="K5893" s="118"/>
      <c r="L5893" s="219">
        <v>1</v>
      </c>
      <c r="M5893" s="117">
        <f t="shared" si="801"/>
        <v>8.584E-2</v>
      </c>
      <c r="N5893" s="119">
        <f t="shared" si="802"/>
        <v>0</v>
      </c>
      <c r="O5893" s="120">
        <f t="shared" si="803"/>
        <v>0</v>
      </c>
      <c r="P5893" s="172">
        <v>7.8</v>
      </c>
      <c r="Q5893" s="93">
        <v>1</v>
      </c>
      <c r="R5893" s="93" t="s">
        <v>701</v>
      </c>
    </row>
    <row r="5894" spans="1:18" ht="15.6">
      <c r="A5894" s="110" t="s">
        <v>554</v>
      </c>
      <c r="B5894" s="111" t="s">
        <v>505</v>
      </c>
      <c r="C5894" s="112" t="s">
        <v>449</v>
      </c>
      <c r="D5894" s="113" t="s">
        <v>20</v>
      </c>
      <c r="E5894" s="216" t="s">
        <v>15</v>
      </c>
      <c r="F5894" s="216" t="s">
        <v>22</v>
      </c>
      <c r="G5894" s="217">
        <v>10.73</v>
      </c>
      <c r="H5894" s="218">
        <v>10</v>
      </c>
      <c r="I5894" s="219">
        <v>1</v>
      </c>
      <c r="J5894" s="220">
        <f t="shared" si="800"/>
        <v>0.10730000000000001</v>
      </c>
      <c r="K5894" s="118"/>
      <c r="L5894" s="219">
        <v>1</v>
      </c>
      <c r="M5894" s="117">
        <f t="shared" si="801"/>
        <v>0.10730000000000001</v>
      </c>
      <c r="N5894" s="119">
        <f t="shared" si="802"/>
        <v>0</v>
      </c>
      <c r="O5894" s="120">
        <f t="shared" si="803"/>
        <v>0</v>
      </c>
      <c r="P5894" s="172">
        <v>7.8</v>
      </c>
      <c r="Q5894" s="93">
        <v>1</v>
      </c>
      <c r="R5894" s="93" t="s">
        <v>701</v>
      </c>
    </row>
    <row r="5895" spans="1:18" ht="15.6">
      <c r="A5895" s="110" t="s">
        <v>554</v>
      </c>
      <c r="B5895" s="111" t="s">
        <v>505</v>
      </c>
      <c r="C5895" s="112" t="s">
        <v>449</v>
      </c>
      <c r="D5895" s="113" t="s">
        <v>20</v>
      </c>
      <c r="E5895" s="216" t="s">
        <v>15</v>
      </c>
      <c r="F5895" s="216" t="s">
        <v>22</v>
      </c>
      <c r="G5895" s="217">
        <v>10.73</v>
      </c>
      <c r="H5895" s="218">
        <v>10.3</v>
      </c>
      <c r="I5895" s="219">
        <v>1</v>
      </c>
      <c r="J5895" s="220">
        <f t="shared" si="800"/>
        <v>0.11051900000000001</v>
      </c>
      <c r="K5895" s="118"/>
      <c r="L5895" s="219">
        <v>1</v>
      </c>
      <c r="M5895" s="117">
        <f t="shared" si="801"/>
        <v>0.11051900000000001</v>
      </c>
      <c r="N5895" s="119">
        <f t="shared" si="802"/>
        <v>0</v>
      </c>
      <c r="O5895" s="120">
        <f t="shared" si="803"/>
        <v>0</v>
      </c>
      <c r="P5895" s="172">
        <v>7.8</v>
      </c>
      <c r="Q5895" s="93">
        <v>1</v>
      </c>
      <c r="R5895" s="93" t="s">
        <v>701</v>
      </c>
    </row>
    <row r="5896" spans="1:18" ht="15.6">
      <c r="A5896" s="110" t="s">
        <v>554</v>
      </c>
      <c r="B5896" s="111" t="s">
        <v>505</v>
      </c>
      <c r="C5896" s="112" t="s">
        <v>449</v>
      </c>
      <c r="D5896" s="113" t="s">
        <v>20</v>
      </c>
      <c r="E5896" s="216" t="s">
        <v>15</v>
      </c>
      <c r="F5896" s="216" t="s">
        <v>22</v>
      </c>
      <c r="G5896" s="217">
        <v>10.73</v>
      </c>
      <c r="H5896" s="218">
        <v>11.6</v>
      </c>
      <c r="I5896" s="219">
        <v>2</v>
      </c>
      <c r="J5896" s="220">
        <f t="shared" si="800"/>
        <v>0.24893600000000002</v>
      </c>
      <c r="K5896" s="118"/>
      <c r="L5896" s="219">
        <v>2</v>
      </c>
      <c r="M5896" s="117">
        <f t="shared" si="801"/>
        <v>0.24893600000000002</v>
      </c>
      <c r="N5896" s="119">
        <f t="shared" si="802"/>
        <v>0</v>
      </c>
      <c r="O5896" s="120">
        <f t="shared" si="803"/>
        <v>0</v>
      </c>
      <c r="P5896" s="172">
        <v>11.6</v>
      </c>
      <c r="Q5896" s="93">
        <v>2</v>
      </c>
      <c r="R5896" s="93" t="s">
        <v>701</v>
      </c>
    </row>
    <row r="5897" spans="1:18" ht="15.6">
      <c r="A5897" s="110" t="s">
        <v>554</v>
      </c>
      <c r="B5897" s="111" t="s">
        <v>505</v>
      </c>
      <c r="C5897" s="112" t="s">
        <v>449</v>
      </c>
      <c r="D5897" s="113" t="s">
        <v>20</v>
      </c>
      <c r="E5897" s="216" t="s">
        <v>15</v>
      </c>
      <c r="F5897" s="216" t="s">
        <v>22</v>
      </c>
      <c r="G5897" s="217">
        <v>10.73</v>
      </c>
      <c r="H5897" s="218">
        <v>12</v>
      </c>
      <c r="I5897" s="219">
        <v>1</v>
      </c>
      <c r="J5897" s="220">
        <f t="shared" si="800"/>
        <v>0.12875999999999999</v>
      </c>
      <c r="K5897" s="118"/>
      <c r="L5897" s="219">
        <v>1</v>
      </c>
      <c r="M5897" s="117">
        <f t="shared" si="801"/>
        <v>0.12875999999999999</v>
      </c>
      <c r="N5897" s="119">
        <f t="shared" si="802"/>
        <v>0</v>
      </c>
      <c r="O5897" s="120">
        <f t="shared" si="803"/>
        <v>0</v>
      </c>
      <c r="P5897" s="172">
        <v>12</v>
      </c>
      <c r="Q5897" s="93">
        <v>1</v>
      </c>
      <c r="R5897" s="93" t="s">
        <v>701</v>
      </c>
    </row>
    <row r="5898" spans="1:18" ht="15.6">
      <c r="A5898" s="110" t="s">
        <v>554</v>
      </c>
      <c r="B5898" s="111" t="s">
        <v>505</v>
      </c>
      <c r="C5898" s="112" t="s">
        <v>449</v>
      </c>
      <c r="D5898" s="113" t="s">
        <v>20</v>
      </c>
      <c r="E5898" s="216" t="s">
        <v>15</v>
      </c>
      <c r="F5898" s="216" t="s">
        <v>22</v>
      </c>
      <c r="G5898" s="217">
        <v>10.73</v>
      </c>
      <c r="H5898" s="218">
        <v>10.5</v>
      </c>
      <c r="I5898" s="219">
        <v>30</v>
      </c>
      <c r="J5898" s="220">
        <f t="shared" si="800"/>
        <v>3.3799500000000005</v>
      </c>
      <c r="K5898" s="118"/>
      <c r="L5898" s="219">
        <f>19+11</f>
        <v>30</v>
      </c>
      <c r="M5898" s="117">
        <f t="shared" si="801"/>
        <v>3.3799500000000005</v>
      </c>
      <c r="N5898" s="119">
        <f t="shared" si="802"/>
        <v>0</v>
      </c>
      <c r="O5898" s="120">
        <f t="shared" si="803"/>
        <v>0</v>
      </c>
      <c r="P5898" s="130"/>
      <c r="Q5898" s="111"/>
      <c r="R5898" s="111"/>
    </row>
    <row r="5899" spans="1:18" ht="15.6">
      <c r="A5899" s="110" t="s">
        <v>554</v>
      </c>
      <c r="B5899" s="111" t="s">
        <v>505</v>
      </c>
      <c r="C5899" s="112" t="s">
        <v>449</v>
      </c>
      <c r="D5899" s="113" t="s">
        <v>20</v>
      </c>
      <c r="E5899" s="216" t="s">
        <v>15</v>
      </c>
      <c r="F5899" s="216" t="s">
        <v>22</v>
      </c>
      <c r="G5899" s="217">
        <v>10.73</v>
      </c>
      <c r="H5899" s="218">
        <v>12</v>
      </c>
      <c r="I5899" s="219">
        <v>29</v>
      </c>
      <c r="J5899" s="220">
        <f t="shared" si="800"/>
        <v>3.7340399999999998</v>
      </c>
      <c r="K5899" s="118"/>
      <c r="L5899" s="219">
        <v>29</v>
      </c>
      <c r="M5899" s="117">
        <f t="shared" si="801"/>
        <v>3.7340399999999998</v>
      </c>
      <c r="N5899" s="119">
        <f t="shared" si="802"/>
        <v>0</v>
      </c>
      <c r="O5899" s="120">
        <f>H5899*N5899*G5899/1000</f>
        <v>0</v>
      </c>
      <c r="P5899" s="130"/>
      <c r="Q5899" s="111"/>
      <c r="R5899" s="111"/>
    </row>
    <row r="5900" spans="1:18">
      <c r="A5900" s="213"/>
      <c r="B5900" s="213"/>
      <c r="C5900" s="213"/>
      <c r="D5900" s="213"/>
      <c r="E5900" s="213"/>
      <c r="F5900" s="213"/>
      <c r="G5900" s="213"/>
      <c r="H5900" s="213"/>
      <c r="I5900" s="215">
        <f>SUM(I5884:I5899)</f>
        <v>163</v>
      </c>
      <c r="J5900" s="214">
        <f>SUM(J5884:J5899)</f>
        <v>18.496373999999999</v>
      </c>
      <c r="K5900" s="213"/>
      <c r="L5900" s="215">
        <f>SUM(L5884:L5899)</f>
        <v>163</v>
      </c>
      <c r="M5900" s="214">
        <f>SUM(M5884:M5899)</f>
        <v>18.496373999999999</v>
      </c>
      <c r="N5900" s="215">
        <f>SUM(N5884:N5899)</f>
        <v>0</v>
      </c>
      <c r="O5900" s="214">
        <f>SUM(O5884:O5899)</f>
        <v>0</v>
      </c>
      <c r="P5900" s="213"/>
      <c r="Q5900" s="215">
        <f>SUM(Q5884:Q5899)</f>
        <v>12</v>
      </c>
      <c r="R5900" s="213"/>
    </row>
    <row r="5902" spans="1:18">
      <c r="A5902" s="42" t="s">
        <v>77</v>
      </c>
      <c r="B5902" s="3" t="s">
        <v>68</v>
      </c>
      <c r="C5902" s="3">
        <v>191</v>
      </c>
      <c r="D5902" s="12" t="s">
        <v>20</v>
      </c>
      <c r="E5902" s="7" t="s">
        <v>15</v>
      </c>
      <c r="F5902" s="7" t="s">
        <v>30</v>
      </c>
      <c r="G5902" s="11">
        <v>9.26</v>
      </c>
      <c r="H5902" s="184">
        <v>6.8</v>
      </c>
      <c r="I5902" s="56">
        <v>1</v>
      </c>
      <c r="J5902" s="10">
        <v>6.2967999999999996E-2</v>
      </c>
      <c r="K5902" s="17">
        <v>1</v>
      </c>
      <c r="L5902" s="18">
        <v>6.2967999999999996E-2</v>
      </c>
      <c r="M5902" s="19">
        <v>0</v>
      </c>
      <c r="N5902" s="13">
        <v>0</v>
      </c>
      <c r="O5902" s="75">
        <v>6.4</v>
      </c>
      <c r="P5902" s="74">
        <v>1</v>
      </c>
      <c r="Q5902" s="74" t="s">
        <v>739</v>
      </c>
    </row>
    <row r="5903" spans="1:18">
      <c r="A5903" s="42" t="s">
        <v>77</v>
      </c>
      <c r="B5903" s="3" t="s">
        <v>68</v>
      </c>
      <c r="C5903" s="3">
        <v>191</v>
      </c>
      <c r="D5903" s="12" t="s">
        <v>20</v>
      </c>
      <c r="E5903" s="7" t="s">
        <v>15</v>
      </c>
      <c r="F5903" s="7" t="s">
        <v>30</v>
      </c>
      <c r="G5903" s="11">
        <v>9.26</v>
      </c>
      <c r="H5903" s="184">
        <v>7.8</v>
      </c>
      <c r="I5903" s="56">
        <v>2</v>
      </c>
      <c r="J5903" s="10">
        <v>0.144456</v>
      </c>
      <c r="K5903" s="17">
        <v>2</v>
      </c>
      <c r="L5903" s="18">
        <v>0.144456</v>
      </c>
      <c r="M5903" s="19">
        <v>0</v>
      </c>
      <c r="N5903" s="13">
        <v>0</v>
      </c>
      <c r="O5903" s="75">
        <v>6.4</v>
      </c>
      <c r="P5903" s="74">
        <v>2</v>
      </c>
      <c r="Q5903" s="74" t="s">
        <v>739</v>
      </c>
    </row>
    <row r="5904" spans="1:18">
      <c r="A5904" s="42" t="s">
        <v>77</v>
      </c>
      <c r="B5904" s="3" t="s">
        <v>68</v>
      </c>
      <c r="C5904" s="3">
        <v>191</v>
      </c>
      <c r="D5904" s="12" t="s">
        <v>20</v>
      </c>
      <c r="E5904" s="7" t="s">
        <v>15</v>
      </c>
      <c r="F5904" s="7" t="s">
        <v>30</v>
      </c>
      <c r="G5904" s="11">
        <v>9.26</v>
      </c>
      <c r="H5904" s="184">
        <v>8.8000000000000007</v>
      </c>
      <c r="I5904" s="56">
        <v>1</v>
      </c>
      <c r="J5904" s="10">
        <v>8.1488000000000005E-2</v>
      </c>
      <c r="K5904" s="17">
        <v>1</v>
      </c>
      <c r="L5904" s="18">
        <v>8.1488000000000005E-2</v>
      </c>
      <c r="M5904" s="19">
        <v>0</v>
      </c>
      <c r="N5904" s="13">
        <v>0</v>
      </c>
      <c r="O5904" s="75">
        <v>6.4</v>
      </c>
      <c r="P5904" s="74">
        <v>1</v>
      </c>
      <c r="Q5904" s="74" t="s">
        <v>739</v>
      </c>
    </row>
    <row r="5905" spans="1:17">
      <c r="A5905" s="48" t="s">
        <v>179</v>
      </c>
      <c r="B5905" s="48" t="s">
        <v>169</v>
      </c>
      <c r="C5905" s="32"/>
      <c r="D5905" s="69" t="s">
        <v>152</v>
      </c>
      <c r="E5905" s="69" t="s">
        <v>15</v>
      </c>
      <c r="F5905" s="69" t="s">
        <v>30</v>
      </c>
      <c r="G5905" s="61">
        <v>9.26</v>
      </c>
      <c r="H5905" s="62">
        <v>8.5</v>
      </c>
      <c r="I5905" s="60">
        <v>2</v>
      </c>
      <c r="J5905" s="62">
        <v>0.15741999999999998</v>
      </c>
      <c r="K5905" s="67"/>
      <c r="L5905" s="63">
        <v>0</v>
      </c>
      <c r="M5905" s="64">
        <v>2</v>
      </c>
      <c r="N5905" s="65">
        <v>0.15741999999999998</v>
      </c>
      <c r="O5905" s="511"/>
      <c r="P5905" s="72"/>
      <c r="Q5905" s="72"/>
    </row>
    <row r="5906" spans="1:17">
      <c r="A5906" s="48" t="s">
        <v>179</v>
      </c>
      <c r="B5906" s="48" t="s">
        <v>169</v>
      </c>
      <c r="C5906" s="32"/>
      <c r="D5906" s="69" t="s">
        <v>152</v>
      </c>
      <c r="E5906" s="69" t="s">
        <v>15</v>
      </c>
      <c r="F5906" s="69" t="s">
        <v>30</v>
      </c>
      <c r="G5906" s="61">
        <v>9.26</v>
      </c>
      <c r="H5906" s="62">
        <v>8.6</v>
      </c>
      <c r="I5906" s="60">
        <v>3</v>
      </c>
      <c r="J5906" s="62">
        <v>0.23890799999999998</v>
      </c>
      <c r="K5906" s="67"/>
      <c r="L5906" s="63">
        <v>0</v>
      </c>
      <c r="M5906" s="64">
        <v>3</v>
      </c>
      <c r="N5906" s="65">
        <v>0.23890799999999995</v>
      </c>
      <c r="O5906" s="511"/>
      <c r="P5906" s="72"/>
      <c r="Q5906" s="72"/>
    </row>
    <row r="5907" spans="1:17">
      <c r="A5907" s="48" t="s">
        <v>179</v>
      </c>
      <c r="B5907" s="48" t="s">
        <v>169</v>
      </c>
      <c r="C5907" s="32"/>
      <c r="D5907" s="69" t="s">
        <v>152</v>
      </c>
      <c r="E5907" s="69" t="s">
        <v>15</v>
      </c>
      <c r="F5907" s="69" t="s">
        <v>30</v>
      </c>
      <c r="G5907" s="61">
        <v>9.26</v>
      </c>
      <c r="H5907" s="62">
        <v>5.8</v>
      </c>
      <c r="I5907" s="60">
        <v>1</v>
      </c>
      <c r="J5907" s="62">
        <v>5.3707999999999999E-2</v>
      </c>
      <c r="K5907" s="67"/>
      <c r="L5907" s="63">
        <v>0</v>
      </c>
      <c r="M5907" s="64">
        <v>1</v>
      </c>
      <c r="N5907" s="65">
        <v>5.3707999999999999E-2</v>
      </c>
      <c r="O5907" s="511"/>
      <c r="P5907" s="72"/>
      <c r="Q5907" s="72"/>
    </row>
    <row r="5908" spans="1:17">
      <c r="A5908" s="48" t="s">
        <v>179</v>
      </c>
      <c r="B5908" s="48" t="s">
        <v>169</v>
      </c>
      <c r="C5908" s="32"/>
      <c r="D5908" s="69" t="s">
        <v>152</v>
      </c>
      <c r="E5908" s="69" t="s">
        <v>15</v>
      </c>
      <c r="F5908" s="69" t="s">
        <v>30</v>
      </c>
      <c r="G5908" s="61">
        <v>9.26</v>
      </c>
      <c r="H5908" s="62">
        <v>6.7</v>
      </c>
      <c r="I5908" s="60">
        <v>1</v>
      </c>
      <c r="J5908" s="62">
        <v>6.2042E-2</v>
      </c>
      <c r="K5908" s="67"/>
      <c r="L5908" s="63">
        <v>0</v>
      </c>
      <c r="M5908" s="64">
        <v>1</v>
      </c>
      <c r="N5908" s="65">
        <v>6.2042E-2</v>
      </c>
      <c r="O5908" s="511"/>
      <c r="P5908" s="72"/>
      <c r="Q5908" s="72"/>
    </row>
    <row r="5909" spans="1:17">
      <c r="A5909" s="48" t="s">
        <v>179</v>
      </c>
      <c r="B5909" s="48" t="s">
        <v>169</v>
      </c>
      <c r="C5909" s="32"/>
      <c r="D5909" s="69" t="s">
        <v>152</v>
      </c>
      <c r="E5909" s="69" t="s">
        <v>15</v>
      </c>
      <c r="F5909" s="69" t="s">
        <v>30</v>
      </c>
      <c r="G5909" s="61">
        <v>9.26</v>
      </c>
      <c r="H5909" s="62">
        <v>7.5</v>
      </c>
      <c r="I5909" s="60">
        <v>1</v>
      </c>
      <c r="J5909" s="62">
        <v>6.9449999999999998E-2</v>
      </c>
      <c r="K5909" s="67"/>
      <c r="L5909" s="63">
        <v>0</v>
      </c>
      <c r="M5909" s="64">
        <v>1</v>
      </c>
      <c r="N5909" s="65">
        <v>6.9449999999999998E-2</v>
      </c>
      <c r="O5909" s="511"/>
      <c r="P5909" s="72"/>
      <c r="Q5909" s="72"/>
    </row>
    <row r="5910" spans="1:17">
      <c r="A5910" s="48" t="s">
        <v>179</v>
      </c>
      <c r="B5910" s="48" t="s">
        <v>169</v>
      </c>
      <c r="C5910" s="32"/>
      <c r="D5910" s="69" t="s">
        <v>152</v>
      </c>
      <c r="E5910" s="69" t="s">
        <v>15</v>
      </c>
      <c r="F5910" s="69" t="s">
        <v>30</v>
      </c>
      <c r="G5910" s="61">
        <v>9.26</v>
      </c>
      <c r="H5910" s="331">
        <v>12</v>
      </c>
      <c r="I5910" s="60">
        <v>1</v>
      </c>
      <c r="J5910" s="62">
        <v>0.11112000000000001</v>
      </c>
      <c r="K5910" s="67"/>
      <c r="L5910" s="63">
        <v>0</v>
      </c>
      <c r="M5910" s="64">
        <v>1</v>
      </c>
      <c r="N5910" s="65">
        <v>0.11112000000000001</v>
      </c>
      <c r="O5910" s="511"/>
      <c r="P5910" s="72"/>
      <c r="Q5910" s="72"/>
    </row>
    <row r="5911" spans="1:17">
      <c r="A5911" s="42" t="s">
        <v>78</v>
      </c>
      <c r="B5911" s="3" t="s">
        <v>79</v>
      </c>
      <c r="C5911" s="3">
        <v>3</v>
      </c>
      <c r="D5911" s="12" t="s">
        <v>20</v>
      </c>
      <c r="E5911" s="7" t="s">
        <v>15</v>
      </c>
      <c r="F5911" s="7" t="s">
        <v>30</v>
      </c>
      <c r="G5911" s="11">
        <v>9.26</v>
      </c>
      <c r="H5911" s="184">
        <v>8.3000000000000007</v>
      </c>
      <c r="I5911" s="26">
        <v>1</v>
      </c>
      <c r="J5911" s="10">
        <v>7.685800000000001E-2</v>
      </c>
      <c r="K5911" s="17">
        <v>1</v>
      </c>
      <c r="L5911" s="18">
        <v>7.685800000000001E-2</v>
      </c>
      <c r="M5911" s="19">
        <v>0</v>
      </c>
      <c r="N5911" s="13">
        <v>0</v>
      </c>
      <c r="O5911" s="75">
        <v>6.4</v>
      </c>
      <c r="P5911" s="74">
        <v>1</v>
      </c>
      <c r="Q5911" s="74" t="s">
        <v>739</v>
      </c>
    </row>
    <row r="5912" spans="1:17">
      <c r="A5912" s="42" t="s">
        <v>90</v>
      </c>
      <c r="B5912" s="48" t="s">
        <v>148</v>
      </c>
      <c r="C5912" s="32">
        <v>70</v>
      </c>
      <c r="D5912" s="48" t="s">
        <v>20</v>
      </c>
      <c r="E5912" s="48" t="s">
        <v>15</v>
      </c>
      <c r="F5912" s="48" t="s">
        <v>30</v>
      </c>
      <c r="G5912" s="11">
        <v>9.26</v>
      </c>
      <c r="H5912" s="184">
        <v>5.7</v>
      </c>
      <c r="I5912" s="362">
        <v>1</v>
      </c>
      <c r="J5912" s="10">
        <v>5.2782000000000003E-2</v>
      </c>
      <c r="K5912" s="32"/>
      <c r="L5912" s="18">
        <v>0</v>
      </c>
      <c r="M5912" s="19">
        <v>1</v>
      </c>
      <c r="N5912" s="13">
        <v>5.2782000000000003E-2</v>
      </c>
      <c r="O5912" s="75"/>
      <c r="P5912" s="72"/>
      <c r="Q5912" s="72"/>
    </row>
    <row r="5913" spans="1:17">
      <c r="A5913" s="42" t="s">
        <v>90</v>
      </c>
      <c r="B5913" s="48" t="s">
        <v>148</v>
      </c>
      <c r="C5913" s="32">
        <v>70</v>
      </c>
      <c r="D5913" s="48" t="s">
        <v>20</v>
      </c>
      <c r="E5913" s="48" t="s">
        <v>15</v>
      </c>
      <c r="F5913" s="48" t="s">
        <v>30</v>
      </c>
      <c r="G5913" s="11">
        <v>9.26</v>
      </c>
      <c r="H5913" s="184">
        <v>7.1</v>
      </c>
      <c r="I5913" s="362">
        <v>1</v>
      </c>
      <c r="J5913" s="10">
        <v>6.5745999999999999E-2</v>
      </c>
      <c r="K5913" s="32">
        <v>1</v>
      </c>
      <c r="L5913" s="18">
        <v>6.5745999999999999E-2</v>
      </c>
      <c r="M5913" s="19">
        <v>0</v>
      </c>
      <c r="N5913" s="13">
        <v>0</v>
      </c>
      <c r="O5913" s="75">
        <v>6.4</v>
      </c>
      <c r="P5913" s="72">
        <v>1</v>
      </c>
      <c r="Q5913" s="74" t="s">
        <v>739</v>
      </c>
    </row>
    <row r="5914" spans="1:17">
      <c r="A5914" s="42" t="s">
        <v>90</v>
      </c>
      <c r="B5914" s="48" t="s">
        <v>148</v>
      </c>
      <c r="C5914" s="32">
        <v>70</v>
      </c>
      <c r="D5914" s="48" t="s">
        <v>20</v>
      </c>
      <c r="E5914" s="48" t="s">
        <v>15</v>
      </c>
      <c r="F5914" s="48" t="s">
        <v>30</v>
      </c>
      <c r="G5914" s="11">
        <v>9.26</v>
      </c>
      <c r="H5914" s="184">
        <v>6.3</v>
      </c>
      <c r="I5914" s="7">
        <v>1</v>
      </c>
      <c r="J5914" s="10">
        <v>5.8337999999999994E-2</v>
      </c>
      <c r="K5914" s="32">
        <v>1</v>
      </c>
      <c r="L5914" s="18">
        <v>5.8337999999999994E-2</v>
      </c>
      <c r="M5914" s="19">
        <v>0</v>
      </c>
      <c r="N5914" s="13">
        <v>0</v>
      </c>
      <c r="O5914" s="75">
        <v>6.4</v>
      </c>
      <c r="P5914" s="72">
        <v>1</v>
      </c>
      <c r="Q5914" s="74" t="s">
        <v>739</v>
      </c>
    </row>
    <row r="5915" spans="1:17">
      <c r="A5915" s="42" t="s">
        <v>90</v>
      </c>
      <c r="B5915" s="48" t="s">
        <v>148</v>
      </c>
      <c r="C5915" s="32">
        <v>70</v>
      </c>
      <c r="D5915" s="48" t="s">
        <v>20</v>
      </c>
      <c r="E5915" s="48" t="s">
        <v>15</v>
      </c>
      <c r="F5915" s="48" t="s">
        <v>30</v>
      </c>
      <c r="G5915" s="11">
        <v>9.26</v>
      </c>
      <c r="H5915" s="184">
        <v>9.1999999999999993</v>
      </c>
      <c r="I5915" s="362">
        <v>1</v>
      </c>
      <c r="J5915" s="10">
        <v>8.519199999999999E-2</v>
      </c>
      <c r="K5915" s="32">
        <v>1</v>
      </c>
      <c r="L5915" s="18">
        <v>8.519199999999999E-2</v>
      </c>
      <c r="M5915" s="19">
        <v>0</v>
      </c>
      <c r="N5915" s="13">
        <v>0</v>
      </c>
      <c r="O5915" s="75">
        <v>6.4</v>
      </c>
      <c r="P5915" s="72">
        <v>1</v>
      </c>
      <c r="Q5915" s="74" t="s">
        <v>739</v>
      </c>
    </row>
    <row r="5916" spans="1:17">
      <c r="A5916" s="42" t="s">
        <v>90</v>
      </c>
      <c r="B5916" s="48" t="s">
        <v>148</v>
      </c>
      <c r="C5916" s="32">
        <v>70</v>
      </c>
      <c r="D5916" s="48" t="s">
        <v>20</v>
      </c>
      <c r="E5916" s="48" t="s">
        <v>15</v>
      </c>
      <c r="F5916" s="48" t="s">
        <v>30</v>
      </c>
      <c r="G5916" s="11">
        <v>9.26</v>
      </c>
      <c r="H5916" s="184">
        <v>9.3000000000000007</v>
      </c>
      <c r="I5916" s="7">
        <v>1</v>
      </c>
      <c r="J5916" s="10">
        <v>8.6118000000000014E-2</v>
      </c>
      <c r="K5916" s="32">
        <v>1</v>
      </c>
      <c r="L5916" s="18">
        <v>8.6118000000000014E-2</v>
      </c>
      <c r="M5916" s="19">
        <v>0</v>
      </c>
      <c r="N5916" s="13">
        <v>0</v>
      </c>
      <c r="O5916" s="75">
        <v>6.4</v>
      </c>
      <c r="P5916" s="72">
        <v>1</v>
      </c>
      <c r="Q5916" s="74" t="s">
        <v>739</v>
      </c>
    </row>
    <row r="5917" spans="1:17">
      <c r="A5917" s="42" t="s">
        <v>90</v>
      </c>
      <c r="B5917" s="48" t="s">
        <v>148</v>
      </c>
      <c r="C5917" s="32">
        <v>71</v>
      </c>
      <c r="D5917" s="48" t="s">
        <v>89</v>
      </c>
      <c r="E5917" s="48" t="s">
        <v>15</v>
      </c>
      <c r="F5917" s="48" t="s">
        <v>30</v>
      </c>
      <c r="G5917" s="11">
        <v>9.26</v>
      </c>
      <c r="H5917" s="184">
        <v>6.8</v>
      </c>
      <c r="I5917" s="7">
        <v>1</v>
      </c>
      <c r="J5917" s="10">
        <v>6.2967999999999996E-2</v>
      </c>
      <c r="K5917" s="32">
        <v>1</v>
      </c>
      <c r="L5917" s="18">
        <v>6.2967999999999996E-2</v>
      </c>
      <c r="M5917" s="19">
        <v>0</v>
      </c>
      <c r="N5917" s="13">
        <v>0</v>
      </c>
      <c r="O5917" s="75">
        <v>6.4</v>
      </c>
      <c r="P5917" s="72">
        <v>1</v>
      </c>
      <c r="Q5917" s="74" t="s">
        <v>739</v>
      </c>
    </row>
    <row r="5918" spans="1:17">
      <c r="A5918" s="42" t="s">
        <v>90</v>
      </c>
      <c r="B5918" s="48" t="s">
        <v>148</v>
      </c>
      <c r="C5918" s="32">
        <v>71</v>
      </c>
      <c r="D5918" s="48" t="s">
        <v>89</v>
      </c>
      <c r="E5918" s="48" t="s">
        <v>15</v>
      </c>
      <c r="F5918" s="48" t="s">
        <v>30</v>
      </c>
      <c r="G5918" s="11">
        <v>9.26</v>
      </c>
      <c r="H5918" s="184">
        <v>7.8</v>
      </c>
      <c r="I5918" s="7">
        <v>2</v>
      </c>
      <c r="J5918" s="10">
        <v>0.144456</v>
      </c>
      <c r="K5918" s="32">
        <v>2</v>
      </c>
      <c r="L5918" s="18">
        <v>0.144456</v>
      </c>
      <c r="M5918" s="19">
        <v>0</v>
      </c>
      <c r="N5918" s="13">
        <v>0</v>
      </c>
      <c r="O5918" s="75">
        <v>6.4</v>
      </c>
      <c r="P5918" s="72">
        <v>2</v>
      </c>
      <c r="Q5918" s="74" t="s">
        <v>739</v>
      </c>
    </row>
    <row r="5919" spans="1:17">
      <c r="A5919" s="42" t="s">
        <v>90</v>
      </c>
      <c r="B5919" s="48" t="s">
        <v>148</v>
      </c>
      <c r="C5919" s="32">
        <v>71</v>
      </c>
      <c r="D5919" s="48" t="s">
        <v>89</v>
      </c>
      <c r="E5919" s="48" t="s">
        <v>15</v>
      </c>
      <c r="F5919" s="48" t="s">
        <v>30</v>
      </c>
      <c r="G5919" s="11">
        <v>9.26</v>
      </c>
      <c r="H5919" s="184">
        <v>8</v>
      </c>
      <c r="I5919" s="362">
        <v>1</v>
      </c>
      <c r="J5919" s="10">
        <v>7.4079999999999993E-2</v>
      </c>
      <c r="K5919" s="32">
        <v>1</v>
      </c>
      <c r="L5919" s="18">
        <v>7.4079999999999993E-2</v>
      </c>
      <c r="M5919" s="19">
        <v>0</v>
      </c>
      <c r="N5919" s="13">
        <v>0</v>
      </c>
      <c r="O5919" s="75">
        <v>6.4</v>
      </c>
      <c r="P5919" s="72">
        <v>1</v>
      </c>
      <c r="Q5919" s="74" t="s">
        <v>739</v>
      </c>
    </row>
    <row r="5920" spans="1:17">
      <c r="A5920" s="42" t="s">
        <v>90</v>
      </c>
      <c r="B5920" s="3"/>
      <c r="C5920" s="3">
        <v>122</v>
      </c>
      <c r="D5920" s="12" t="s">
        <v>20</v>
      </c>
      <c r="E5920" s="7" t="s">
        <v>15</v>
      </c>
      <c r="F5920" s="7" t="s">
        <v>30</v>
      </c>
      <c r="G5920" s="11">
        <v>9.26</v>
      </c>
      <c r="H5920" s="184">
        <v>9.1999999999999993</v>
      </c>
      <c r="I5920" s="26">
        <v>4</v>
      </c>
      <c r="J5920" s="10">
        <v>0.34076799999999996</v>
      </c>
      <c r="K5920" s="17">
        <v>4</v>
      </c>
      <c r="L5920" s="18">
        <v>0.34076799999999996</v>
      </c>
      <c r="M5920" s="19">
        <v>0</v>
      </c>
      <c r="N5920" s="13">
        <v>0</v>
      </c>
      <c r="O5920" s="75">
        <v>6.4</v>
      </c>
      <c r="P5920" s="74">
        <v>4</v>
      </c>
      <c r="Q5920" s="74" t="s">
        <v>739</v>
      </c>
    </row>
    <row r="5921" spans="1:17">
      <c r="A5921" s="42" t="s">
        <v>90</v>
      </c>
      <c r="B5921" s="3"/>
      <c r="C5921" s="3">
        <v>154</v>
      </c>
      <c r="D5921" s="12" t="s">
        <v>20</v>
      </c>
      <c r="E5921" s="7" t="s">
        <v>15</v>
      </c>
      <c r="F5921" s="7" t="s">
        <v>30</v>
      </c>
      <c r="G5921" s="11">
        <v>9.26</v>
      </c>
      <c r="H5921" s="184">
        <v>8.6999999999999993</v>
      </c>
      <c r="I5921" s="56">
        <v>1</v>
      </c>
      <c r="J5921" s="10">
        <v>8.0561999999999995E-2</v>
      </c>
      <c r="K5921" s="17">
        <v>1</v>
      </c>
      <c r="L5921" s="18">
        <v>8.0561999999999995E-2</v>
      </c>
      <c r="M5921" s="19">
        <v>0</v>
      </c>
      <c r="N5921" s="13">
        <v>0</v>
      </c>
      <c r="O5921" s="75">
        <v>6</v>
      </c>
      <c r="P5921" s="74">
        <v>1</v>
      </c>
      <c r="Q5921" s="74" t="s">
        <v>758</v>
      </c>
    </row>
    <row r="5922" spans="1:17">
      <c r="A5922" s="42" t="s">
        <v>90</v>
      </c>
      <c r="B5922" s="3"/>
      <c r="C5922" s="3">
        <v>154</v>
      </c>
      <c r="D5922" s="12" t="s">
        <v>20</v>
      </c>
      <c r="E5922" s="7" t="s">
        <v>15</v>
      </c>
      <c r="F5922" s="7" t="s">
        <v>30</v>
      </c>
      <c r="G5922" s="11">
        <v>9.26</v>
      </c>
      <c r="H5922" s="184">
        <v>8</v>
      </c>
      <c r="I5922" s="26">
        <v>1</v>
      </c>
      <c r="J5922" s="10">
        <v>7.4079999999999993E-2</v>
      </c>
      <c r="K5922" s="17">
        <v>1</v>
      </c>
      <c r="L5922" s="18">
        <v>7.4079999999999993E-2</v>
      </c>
      <c r="M5922" s="19">
        <v>0</v>
      </c>
      <c r="N5922" s="13">
        <v>0</v>
      </c>
      <c r="O5922" s="75">
        <v>6</v>
      </c>
      <c r="P5922" s="74">
        <v>1</v>
      </c>
      <c r="Q5922" s="74" t="s">
        <v>758</v>
      </c>
    </row>
    <row r="5923" spans="1:17">
      <c r="A5923" s="42" t="s">
        <v>90</v>
      </c>
      <c r="B5923" s="3"/>
      <c r="C5923" s="3">
        <v>161</v>
      </c>
      <c r="D5923" s="12" t="s">
        <v>20</v>
      </c>
      <c r="E5923" s="7" t="s">
        <v>15</v>
      </c>
      <c r="F5923" s="7" t="s">
        <v>30</v>
      </c>
      <c r="G5923" s="11">
        <v>9.26</v>
      </c>
      <c r="H5923" s="184">
        <v>11.9</v>
      </c>
      <c r="I5923" s="56">
        <v>1</v>
      </c>
      <c r="J5923" s="10">
        <v>0.110194</v>
      </c>
      <c r="K5923" s="22">
        <v>1</v>
      </c>
      <c r="L5923" s="18">
        <v>0.110194</v>
      </c>
      <c r="M5923" s="19">
        <v>0</v>
      </c>
      <c r="N5923" s="13">
        <v>0</v>
      </c>
      <c r="O5923" s="73">
        <v>11.9</v>
      </c>
      <c r="P5923" s="74">
        <v>1</v>
      </c>
      <c r="Q5923" s="74" t="s">
        <v>739</v>
      </c>
    </row>
    <row r="5924" spans="1:17">
      <c r="A5924" s="42" t="s">
        <v>90</v>
      </c>
      <c r="B5924" s="3"/>
      <c r="C5924" s="3">
        <v>185</v>
      </c>
      <c r="D5924" s="12" t="s">
        <v>94</v>
      </c>
      <c r="E5924" s="7" t="s">
        <v>15</v>
      </c>
      <c r="F5924" s="7" t="s">
        <v>30</v>
      </c>
      <c r="G5924" s="11">
        <v>9.26</v>
      </c>
      <c r="H5924" s="184">
        <v>10.5</v>
      </c>
      <c r="I5924" s="56">
        <v>1</v>
      </c>
      <c r="J5924" s="10">
        <v>9.7230000000000011E-2</v>
      </c>
      <c r="K5924" s="17">
        <v>1</v>
      </c>
      <c r="L5924" s="18">
        <v>9.7230000000000011E-2</v>
      </c>
      <c r="M5924" s="19">
        <v>0</v>
      </c>
      <c r="N5924" s="13">
        <v>0</v>
      </c>
      <c r="O5924" s="73">
        <v>9</v>
      </c>
      <c r="P5924" s="74">
        <v>1</v>
      </c>
      <c r="Q5924" s="74" t="s">
        <v>739</v>
      </c>
    </row>
    <row r="5925" spans="1:17">
      <c r="A5925" s="42" t="s">
        <v>90</v>
      </c>
      <c r="B5925" s="3"/>
      <c r="C5925" s="3">
        <v>185</v>
      </c>
      <c r="D5925" s="12" t="s">
        <v>94</v>
      </c>
      <c r="E5925" s="7" t="s">
        <v>15</v>
      </c>
      <c r="F5925" s="7" t="s">
        <v>30</v>
      </c>
      <c r="G5925" s="11">
        <v>9.26</v>
      </c>
      <c r="H5925" s="184">
        <v>11.5</v>
      </c>
      <c r="I5925" s="56">
        <v>1</v>
      </c>
      <c r="J5925" s="10">
        <v>0.10649</v>
      </c>
      <c r="K5925" s="17">
        <v>1</v>
      </c>
      <c r="L5925" s="18">
        <v>0.10649</v>
      </c>
      <c r="M5925" s="19">
        <v>0</v>
      </c>
      <c r="N5925" s="13">
        <v>0</v>
      </c>
      <c r="O5925" s="73">
        <v>9</v>
      </c>
      <c r="P5925" s="74">
        <v>1</v>
      </c>
      <c r="Q5925" s="74" t="s">
        <v>739</v>
      </c>
    </row>
    <row r="5926" spans="1:17">
      <c r="A5926" s="42" t="s">
        <v>90</v>
      </c>
      <c r="B5926" s="3"/>
      <c r="C5926" s="3">
        <v>187</v>
      </c>
      <c r="D5926" s="12" t="s">
        <v>20</v>
      </c>
      <c r="E5926" s="7" t="s">
        <v>15</v>
      </c>
      <c r="F5926" s="7" t="s">
        <v>30</v>
      </c>
      <c r="G5926" s="11">
        <v>9.26</v>
      </c>
      <c r="H5926" s="184">
        <v>12</v>
      </c>
      <c r="I5926" s="26">
        <v>2</v>
      </c>
      <c r="J5926" s="10">
        <v>0.22224000000000002</v>
      </c>
      <c r="K5926" s="17">
        <v>2</v>
      </c>
      <c r="L5926" s="18">
        <v>0.22224000000000002</v>
      </c>
      <c r="M5926" s="19">
        <v>0</v>
      </c>
      <c r="N5926" s="13">
        <v>0</v>
      </c>
      <c r="O5926" s="72"/>
      <c r="P5926" s="74"/>
      <c r="Q5926" s="81"/>
    </row>
    <row r="5927" spans="1:17">
      <c r="A5927" s="42" t="s">
        <v>90</v>
      </c>
      <c r="B5927" s="3"/>
      <c r="C5927" s="3">
        <v>189</v>
      </c>
      <c r="D5927" s="12" t="s">
        <v>89</v>
      </c>
      <c r="E5927" s="7" t="s">
        <v>15</v>
      </c>
      <c r="F5927" s="7" t="s">
        <v>30</v>
      </c>
      <c r="G5927" s="11">
        <v>9.26</v>
      </c>
      <c r="H5927" s="184">
        <v>9.6999999999999993</v>
      </c>
      <c r="I5927" s="26">
        <v>2</v>
      </c>
      <c r="J5927" s="10">
        <v>0.17964399999999997</v>
      </c>
      <c r="K5927" s="17">
        <v>2</v>
      </c>
      <c r="L5927" s="18">
        <v>0.17964399999999997</v>
      </c>
      <c r="M5927" s="19">
        <v>0</v>
      </c>
      <c r="N5927" s="13">
        <v>0</v>
      </c>
      <c r="O5927" s="73"/>
      <c r="P5927" s="74"/>
      <c r="Q5927" s="74"/>
    </row>
    <row r="5928" spans="1:17">
      <c r="A5928" s="42" t="s">
        <v>90</v>
      </c>
      <c r="B5928" s="3"/>
      <c r="C5928" s="3">
        <v>189</v>
      </c>
      <c r="D5928" s="12" t="s">
        <v>89</v>
      </c>
      <c r="E5928" s="7" t="s">
        <v>15</v>
      </c>
      <c r="F5928" s="7" t="s">
        <v>30</v>
      </c>
      <c r="G5928" s="11">
        <v>9.26</v>
      </c>
      <c r="H5928" s="184">
        <v>9.5</v>
      </c>
      <c r="I5928" s="26">
        <v>1</v>
      </c>
      <c r="J5928" s="10">
        <v>8.7969999999999993E-2</v>
      </c>
      <c r="K5928" s="17">
        <v>1</v>
      </c>
      <c r="L5928" s="18">
        <v>8.7969999999999993E-2</v>
      </c>
      <c r="M5928" s="19">
        <v>0</v>
      </c>
      <c r="N5928" s="13">
        <v>0</v>
      </c>
      <c r="O5928" s="73"/>
      <c r="P5928" s="74"/>
      <c r="Q5928" s="74"/>
    </row>
    <row r="5929" spans="1:17">
      <c r="A5929" s="42" t="s">
        <v>90</v>
      </c>
      <c r="B5929" s="3"/>
      <c r="C5929" s="3">
        <v>189</v>
      </c>
      <c r="D5929" s="12" t="s">
        <v>89</v>
      </c>
      <c r="E5929" s="7" t="s">
        <v>15</v>
      </c>
      <c r="F5929" s="7" t="s">
        <v>30</v>
      </c>
      <c r="G5929" s="11">
        <v>9.26</v>
      </c>
      <c r="H5929" s="184">
        <v>9</v>
      </c>
      <c r="I5929" s="26">
        <v>1</v>
      </c>
      <c r="J5929" s="10">
        <v>8.3339999999999997E-2</v>
      </c>
      <c r="K5929" s="17">
        <v>1</v>
      </c>
      <c r="L5929" s="18">
        <v>8.3339999999999997E-2</v>
      </c>
      <c r="M5929" s="19">
        <v>0</v>
      </c>
      <c r="N5929" s="13">
        <v>0</v>
      </c>
      <c r="O5929" s="72"/>
      <c r="P5929" s="74"/>
      <c r="Q5929" s="81"/>
    </row>
    <row r="5930" spans="1:17">
      <c r="A5930" s="42" t="s">
        <v>90</v>
      </c>
      <c r="B5930" s="3"/>
      <c r="C5930" s="3">
        <v>189</v>
      </c>
      <c r="D5930" s="12" t="s">
        <v>89</v>
      </c>
      <c r="E5930" s="7" t="s">
        <v>15</v>
      </c>
      <c r="F5930" s="7" t="s">
        <v>30</v>
      </c>
      <c r="G5930" s="11">
        <v>9.26</v>
      </c>
      <c r="H5930" s="184">
        <v>8.3000000000000007</v>
      </c>
      <c r="I5930" s="26">
        <v>1</v>
      </c>
      <c r="J5930" s="10">
        <v>7.685800000000001E-2</v>
      </c>
      <c r="K5930" s="17">
        <v>1</v>
      </c>
      <c r="L5930" s="18">
        <v>7.685800000000001E-2</v>
      </c>
      <c r="M5930" s="19">
        <v>0</v>
      </c>
      <c r="N5930" s="13">
        <v>0</v>
      </c>
      <c r="O5930" s="72"/>
      <c r="P5930" s="74"/>
      <c r="Q5930" s="81"/>
    </row>
    <row r="5931" spans="1:17">
      <c r="A5931" s="42" t="s">
        <v>90</v>
      </c>
      <c r="B5931" s="3"/>
      <c r="C5931" s="3">
        <v>189</v>
      </c>
      <c r="D5931" s="12" t="s">
        <v>89</v>
      </c>
      <c r="E5931" s="7" t="s">
        <v>15</v>
      </c>
      <c r="F5931" s="7" t="s">
        <v>30</v>
      </c>
      <c r="G5931" s="11">
        <v>9.26</v>
      </c>
      <c r="H5931" s="184">
        <v>8</v>
      </c>
      <c r="I5931" s="26">
        <v>1</v>
      </c>
      <c r="J5931" s="10">
        <v>7.4079999999999993E-2</v>
      </c>
      <c r="K5931" s="17">
        <v>1</v>
      </c>
      <c r="L5931" s="18">
        <v>7.4079999999999993E-2</v>
      </c>
      <c r="M5931" s="19">
        <v>0</v>
      </c>
      <c r="N5931" s="13">
        <v>0</v>
      </c>
      <c r="O5931" s="72"/>
      <c r="P5931" s="74"/>
      <c r="Q5931" s="81"/>
    </row>
    <row r="5932" spans="1:17">
      <c r="A5932" s="42" t="s">
        <v>90</v>
      </c>
      <c r="B5932" s="3"/>
      <c r="C5932" s="3">
        <v>189</v>
      </c>
      <c r="D5932" s="12" t="s">
        <v>89</v>
      </c>
      <c r="E5932" s="7" t="s">
        <v>15</v>
      </c>
      <c r="F5932" s="7" t="s">
        <v>30</v>
      </c>
      <c r="G5932" s="11">
        <v>9.26</v>
      </c>
      <c r="H5932" s="184">
        <v>6.7</v>
      </c>
      <c r="I5932" s="26">
        <v>1</v>
      </c>
      <c r="J5932" s="10">
        <v>6.2042E-2</v>
      </c>
      <c r="K5932" s="17">
        <v>1</v>
      </c>
      <c r="L5932" s="18">
        <v>6.2042E-2</v>
      </c>
      <c r="M5932" s="19">
        <v>0</v>
      </c>
      <c r="N5932" s="13">
        <v>0</v>
      </c>
      <c r="O5932" s="75">
        <v>6</v>
      </c>
      <c r="P5932" s="74">
        <v>1</v>
      </c>
      <c r="Q5932" s="74" t="s">
        <v>758</v>
      </c>
    </row>
    <row r="5933" spans="1:17">
      <c r="A5933" s="42" t="s">
        <v>90</v>
      </c>
      <c r="B5933" s="3"/>
      <c r="C5933" s="3">
        <v>189</v>
      </c>
      <c r="D5933" s="12" t="s">
        <v>89</v>
      </c>
      <c r="E5933" s="7" t="s">
        <v>15</v>
      </c>
      <c r="F5933" s="7" t="s">
        <v>30</v>
      </c>
      <c r="G5933" s="11">
        <v>9.26</v>
      </c>
      <c r="H5933" s="184">
        <v>10.9</v>
      </c>
      <c r="I5933" s="26">
        <v>2</v>
      </c>
      <c r="J5933" s="10">
        <v>0.20186799999999999</v>
      </c>
      <c r="K5933" s="17">
        <v>2</v>
      </c>
      <c r="L5933" s="18">
        <v>0.20186799999999999</v>
      </c>
      <c r="M5933" s="19">
        <v>0</v>
      </c>
      <c r="N5933" s="13">
        <v>0</v>
      </c>
      <c r="O5933" s="73"/>
      <c r="P5933" s="74"/>
      <c r="Q5933" s="74"/>
    </row>
    <row r="5934" spans="1:17">
      <c r="A5934" s="47" t="s">
        <v>147</v>
      </c>
      <c r="B5934" s="48" t="s">
        <v>148</v>
      </c>
      <c r="C5934" s="32">
        <v>361</v>
      </c>
      <c r="D5934" s="48" t="s">
        <v>20</v>
      </c>
      <c r="E5934" s="48" t="s">
        <v>160</v>
      </c>
      <c r="F5934" s="48" t="s">
        <v>30</v>
      </c>
      <c r="G5934" s="11">
        <v>9.26</v>
      </c>
      <c r="H5934" s="184">
        <v>9.6</v>
      </c>
      <c r="I5934" s="7">
        <v>2</v>
      </c>
      <c r="J5934" s="10">
        <v>0.17779200000000001</v>
      </c>
      <c r="K5934" s="17">
        <v>2</v>
      </c>
      <c r="L5934" s="18">
        <v>0.17779200000000001</v>
      </c>
      <c r="M5934" s="19">
        <v>0</v>
      </c>
      <c r="N5934" s="13">
        <v>0</v>
      </c>
      <c r="O5934" s="72"/>
      <c r="P5934" s="74"/>
      <c r="Q5934" s="81"/>
    </row>
    <row r="5935" spans="1:17">
      <c r="A5935" s="47" t="s">
        <v>147</v>
      </c>
      <c r="B5935" s="48" t="s">
        <v>148</v>
      </c>
      <c r="C5935" s="32">
        <v>361</v>
      </c>
      <c r="D5935" s="48" t="s">
        <v>20</v>
      </c>
      <c r="E5935" s="48" t="s">
        <v>160</v>
      </c>
      <c r="F5935" s="48" t="s">
        <v>30</v>
      </c>
      <c r="G5935" s="11">
        <v>9.26</v>
      </c>
      <c r="H5935" s="184">
        <v>9.3000000000000007</v>
      </c>
      <c r="I5935" s="7">
        <v>1</v>
      </c>
      <c r="J5935" s="10">
        <v>8.6118000000000014E-2</v>
      </c>
      <c r="K5935" s="32">
        <v>1</v>
      </c>
      <c r="L5935" s="18">
        <v>8.6118000000000014E-2</v>
      </c>
      <c r="M5935" s="19">
        <v>0</v>
      </c>
      <c r="N5935" s="13">
        <v>0</v>
      </c>
      <c r="O5935" s="79"/>
      <c r="P5935" s="72"/>
      <c r="Q5935" s="75"/>
    </row>
    <row r="5936" spans="1:17">
      <c r="A5936" s="42" t="s">
        <v>78</v>
      </c>
      <c r="B5936" s="3" t="s">
        <v>80</v>
      </c>
      <c r="C5936" s="3">
        <v>5</v>
      </c>
      <c r="D5936" s="12" t="s">
        <v>20</v>
      </c>
      <c r="E5936" s="7" t="s">
        <v>15</v>
      </c>
      <c r="F5936" s="7" t="s">
        <v>30</v>
      </c>
      <c r="G5936" s="11">
        <v>9.26</v>
      </c>
      <c r="H5936" s="184">
        <v>12</v>
      </c>
      <c r="I5936" s="26">
        <v>3</v>
      </c>
      <c r="J5936" s="10">
        <v>0.33335999999999999</v>
      </c>
      <c r="K5936" s="17">
        <v>3</v>
      </c>
      <c r="L5936" s="18">
        <v>0.33335999999999999</v>
      </c>
      <c r="M5936" s="19">
        <v>0</v>
      </c>
      <c r="N5936" s="13">
        <v>0</v>
      </c>
      <c r="O5936" s="73"/>
      <c r="P5936" s="74"/>
      <c r="Q5936" s="81"/>
    </row>
    <row r="5937" spans="1:18">
      <c r="A5937" s="42" t="s">
        <v>78</v>
      </c>
      <c r="B5937" s="3" t="s">
        <v>80</v>
      </c>
      <c r="C5937" s="3">
        <v>5</v>
      </c>
      <c r="D5937" s="12" t="s">
        <v>20</v>
      </c>
      <c r="E5937" s="7" t="s">
        <v>15</v>
      </c>
      <c r="F5937" s="7" t="s">
        <v>30</v>
      </c>
      <c r="G5937" s="11">
        <v>9.26</v>
      </c>
      <c r="H5937" s="184">
        <v>11</v>
      </c>
      <c r="I5937" s="26">
        <v>1</v>
      </c>
      <c r="J5937" s="10">
        <v>0.10186000000000001</v>
      </c>
      <c r="K5937" s="17">
        <v>1</v>
      </c>
      <c r="L5937" s="18">
        <v>0.10186000000000001</v>
      </c>
      <c r="M5937" s="19">
        <v>0</v>
      </c>
      <c r="N5937" s="13">
        <v>0</v>
      </c>
      <c r="O5937" s="73"/>
      <c r="P5937" s="74"/>
      <c r="Q5937" s="81"/>
    </row>
    <row r="5938" spans="1:18">
      <c r="A5938" s="45" t="s">
        <v>136</v>
      </c>
      <c r="B5938" s="32" t="s">
        <v>137</v>
      </c>
      <c r="C5938" s="3">
        <v>50</v>
      </c>
      <c r="D5938" s="20" t="s">
        <v>20</v>
      </c>
      <c r="E5938" s="7" t="s">
        <v>15</v>
      </c>
      <c r="F5938" s="7" t="s">
        <v>30</v>
      </c>
      <c r="G5938" s="11">
        <v>9.26</v>
      </c>
      <c r="H5938" s="185">
        <v>10.9</v>
      </c>
      <c r="I5938" s="40">
        <v>1</v>
      </c>
      <c r="J5938" s="10">
        <v>0.100934</v>
      </c>
      <c r="K5938" s="17">
        <v>1</v>
      </c>
      <c r="L5938" s="18">
        <v>0.100934</v>
      </c>
      <c r="M5938" s="19">
        <v>0</v>
      </c>
      <c r="N5938" s="13">
        <v>0</v>
      </c>
      <c r="O5938" s="73">
        <v>9</v>
      </c>
      <c r="P5938" s="74">
        <v>1</v>
      </c>
      <c r="Q5938" s="74" t="s">
        <v>739</v>
      </c>
    </row>
    <row r="5939" spans="1:18">
      <c r="A5939" s="45" t="s">
        <v>136</v>
      </c>
      <c r="B5939" s="32" t="s">
        <v>137</v>
      </c>
      <c r="C5939" s="3">
        <v>57</v>
      </c>
      <c r="D5939" s="20" t="s">
        <v>20</v>
      </c>
      <c r="E5939" s="7" t="s">
        <v>15</v>
      </c>
      <c r="F5939" s="7" t="s">
        <v>30</v>
      </c>
      <c r="G5939" s="11">
        <v>9.26</v>
      </c>
      <c r="H5939" s="185">
        <v>10.9</v>
      </c>
      <c r="I5939" s="40">
        <v>2</v>
      </c>
      <c r="J5939" s="10">
        <v>0.20186799999999999</v>
      </c>
      <c r="K5939" s="17">
        <v>2</v>
      </c>
      <c r="L5939" s="18">
        <v>0.20186799999999999</v>
      </c>
      <c r="M5939" s="19">
        <v>0</v>
      </c>
      <c r="N5939" s="13">
        <v>0</v>
      </c>
      <c r="O5939" s="73">
        <v>9</v>
      </c>
      <c r="P5939" s="74">
        <v>2</v>
      </c>
      <c r="Q5939" s="74" t="s">
        <v>739</v>
      </c>
    </row>
    <row r="5940" spans="1:18">
      <c r="A5940" s="45" t="s">
        <v>136</v>
      </c>
      <c r="B5940" s="32" t="s">
        <v>137</v>
      </c>
      <c r="C5940" s="3">
        <v>57</v>
      </c>
      <c r="D5940" s="20" t="s">
        <v>20</v>
      </c>
      <c r="E5940" s="7" t="s">
        <v>15</v>
      </c>
      <c r="F5940" s="7" t="s">
        <v>30</v>
      </c>
      <c r="G5940" s="11">
        <v>9.26</v>
      </c>
      <c r="H5940" s="185">
        <v>9.6</v>
      </c>
      <c r="I5940" s="40">
        <v>1</v>
      </c>
      <c r="J5940" s="10">
        <v>8.8896000000000003E-2</v>
      </c>
      <c r="K5940" s="17">
        <v>1</v>
      </c>
      <c r="L5940" s="18">
        <v>8.8896000000000003E-2</v>
      </c>
      <c r="M5940" s="19">
        <v>0</v>
      </c>
      <c r="N5940" s="13">
        <v>0</v>
      </c>
      <c r="O5940" s="73">
        <v>9</v>
      </c>
      <c r="P5940" s="74">
        <v>1</v>
      </c>
      <c r="Q5940" s="74" t="s">
        <v>739</v>
      </c>
    </row>
    <row r="5941" spans="1:18">
      <c r="A5941" s="45" t="s">
        <v>136</v>
      </c>
      <c r="B5941" s="32" t="s">
        <v>137</v>
      </c>
      <c r="C5941" s="3">
        <v>57</v>
      </c>
      <c r="D5941" s="20" t="s">
        <v>20</v>
      </c>
      <c r="E5941" s="7" t="s">
        <v>15</v>
      </c>
      <c r="F5941" s="7" t="s">
        <v>30</v>
      </c>
      <c r="G5941" s="11">
        <v>9.26</v>
      </c>
      <c r="H5941" s="185">
        <v>8.6</v>
      </c>
      <c r="I5941" s="40">
        <v>1</v>
      </c>
      <c r="J5941" s="10">
        <v>7.9635999999999998E-2</v>
      </c>
      <c r="K5941" s="17"/>
      <c r="L5941" s="18">
        <v>0</v>
      </c>
      <c r="M5941" s="19">
        <v>1</v>
      </c>
      <c r="N5941" s="13">
        <v>7.9635999999999998E-2</v>
      </c>
      <c r="O5941" s="79"/>
      <c r="P5941" s="72"/>
      <c r="Q5941" s="72"/>
    </row>
    <row r="5942" spans="1:18">
      <c r="A5942" s="45" t="s">
        <v>136</v>
      </c>
      <c r="B5942" s="32" t="s">
        <v>137</v>
      </c>
      <c r="C5942" s="3">
        <v>57</v>
      </c>
      <c r="D5942" s="20" t="s">
        <v>20</v>
      </c>
      <c r="E5942" s="7" t="s">
        <v>15</v>
      </c>
      <c r="F5942" s="7" t="s">
        <v>30</v>
      </c>
      <c r="G5942" s="11">
        <v>9.26</v>
      </c>
      <c r="H5942" s="185">
        <v>10</v>
      </c>
      <c r="I5942" s="40">
        <v>1</v>
      </c>
      <c r="J5942" s="10">
        <v>9.2599999999999988E-2</v>
      </c>
      <c r="K5942" s="17">
        <v>1</v>
      </c>
      <c r="L5942" s="18">
        <v>9.2599999999999988E-2</v>
      </c>
      <c r="M5942" s="19">
        <v>0</v>
      </c>
      <c r="N5942" s="13">
        <v>0</v>
      </c>
      <c r="O5942" s="73">
        <v>9</v>
      </c>
      <c r="P5942" s="74">
        <v>1</v>
      </c>
      <c r="Q5942" s="74" t="s">
        <v>739</v>
      </c>
    </row>
    <row r="5943" spans="1:18">
      <c r="A5943" s="45" t="s">
        <v>136</v>
      </c>
      <c r="B5943" s="32" t="s">
        <v>137</v>
      </c>
      <c r="C5943" s="3">
        <v>62</v>
      </c>
      <c r="D5943" s="20" t="s">
        <v>20</v>
      </c>
      <c r="E5943" s="7" t="s">
        <v>15</v>
      </c>
      <c r="F5943" s="7" t="s">
        <v>30</v>
      </c>
      <c r="G5943" s="11">
        <v>9.26</v>
      </c>
      <c r="H5943" s="185">
        <v>9.3000000000000007</v>
      </c>
      <c r="I5943" s="40">
        <v>1</v>
      </c>
      <c r="J5943" s="10">
        <v>8.6118000000000014E-2</v>
      </c>
      <c r="K5943" s="17">
        <v>1</v>
      </c>
      <c r="L5943" s="18">
        <v>8.6118000000000014E-2</v>
      </c>
      <c r="M5943" s="19">
        <v>0</v>
      </c>
      <c r="N5943" s="13">
        <v>0</v>
      </c>
      <c r="O5943" s="73">
        <v>9</v>
      </c>
      <c r="P5943" s="72">
        <v>1</v>
      </c>
      <c r="Q5943" s="74" t="s">
        <v>739</v>
      </c>
    </row>
    <row r="5944" spans="1:18">
      <c r="A5944" s="45" t="s">
        <v>136</v>
      </c>
      <c r="B5944" s="32" t="s">
        <v>137</v>
      </c>
      <c r="C5944" s="3">
        <v>62</v>
      </c>
      <c r="D5944" s="20" t="s">
        <v>20</v>
      </c>
      <c r="E5944" s="7" t="s">
        <v>15</v>
      </c>
      <c r="F5944" s="7" t="s">
        <v>30</v>
      </c>
      <c r="G5944" s="11">
        <v>9.26</v>
      </c>
      <c r="H5944" s="185">
        <v>9.6</v>
      </c>
      <c r="I5944" s="40">
        <v>1</v>
      </c>
      <c r="J5944" s="10">
        <v>8.8896000000000003E-2</v>
      </c>
      <c r="K5944" s="17">
        <v>1</v>
      </c>
      <c r="L5944" s="18">
        <v>8.8896000000000003E-2</v>
      </c>
      <c r="M5944" s="19">
        <v>0</v>
      </c>
      <c r="N5944" s="13">
        <v>0</v>
      </c>
      <c r="O5944" s="73">
        <v>9</v>
      </c>
      <c r="P5944" s="74">
        <v>1</v>
      </c>
      <c r="Q5944" s="74" t="s">
        <v>739</v>
      </c>
    </row>
    <row r="5945" spans="1:18">
      <c r="A5945" s="45" t="s">
        <v>136</v>
      </c>
      <c r="B5945" s="32" t="s">
        <v>137</v>
      </c>
      <c r="C5945" s="3">
        <v>79</v>
      </c>
      <c r="D5945" s="20" t="s">
        <v>113</v>
      </c>
      <c r="E5945" s="7" t="s">
        <v>15</v>
      </c>
      <c r="F5945" s="7" t="s">
        <v>30</v>
      </c>
      <c r="G5945" s="11">
        <v>9.26</v>
      </c>
      <c r="H5945" s="185">
        <v>11.6</v>
      </c>
      <c r="I5945" s="40">
        <v>1</v>
      </c>
      <c r="J5945" s="10">
        <v>0.107416</v>
      </c>
      <c r="K5945" s="17">
        <v>1</v>
      </c>
      <c r="L5945" s="18">
        <v>0.107416</v>
      </c>
      <c r="M5945" s="19">
        <v>0</v>
      </c>
      <c r="N5945" s="13">
        <v>0</v>
      </c>
      <c r="O5945" s="73">
        <v>9</v>
      </c>
      <c r="P5945" s="74">
        <v>1</v>
      </c>
      <c r="Q5945" s="74" t="s">
        <v>739</v>
      </c>
    </row>
    <row r="5946" spans="1:18">
      <c r="A5946" s="45" t="s">
        <v>136</v>
      </c>
      <c r="B5946" s="48" t="s">
        <v>171</v>
      </c>
      <c r="C5946" s="32">
        <v>149</v>
      </c>
      <c r="D5946" s="48" t="s">
        <v>94</v>
      </c>
      <c r="E5946" s="48" t="s">
        <v>15</v>
      </c>
      <c r="F5946" s="48" t="s">
        <v>30</v>
      </c>
      <c r="G5946" s="11">
        <v>9.26</v>
      </c>
      <c r="H5946" s="10">
        <v>11</v>
      </c>
      <c r="I5946" s="7">
        <v>4</v>
      </c>
      <c r="J5946" s="10">
        <v>0.40744000000000002</v>
      </c>
      <c r="K5946" s="17">
        <v>4</v>
      </c>
      <c r="L5946" s="18">
        <v>0.40744000000000002</v>
      </c>
      <c r="M5946" s="19">
        <v>0</v>
      </c>
      <c r="N5946" s="13">
        <v>0</v>
      </c>
      <c r="O5946" s="73">
        <v>10.85</v>
      </c>
      <c r="P5946" s="74">
        <v>4</v>
      </c>
      <c r="Q5946" s="74" t="s">
        <v>739</v>
      </c>
    </row>
    <row r="5947" spans="1:18">
      <c r="M5947" s="215">
        <f>SUM(M5902:M5946)</f>
        <v>11</v>
      </c>
      <c r="O5947" s="77"/>
      <c r="P5947" s="461">
        <f>SUM(P5902:P5946)</f>
        <v>35</v>
      </c>
      <c r="Q5947" s="77"/>
    </row>
    <row r="5949" spans="1:18" ht="15.6">
      <c r="A5949" s="110" t="s">
        <v>248</v>
      </c>
      <c r="B5949" s="111" t="s">
        <v>227</v>
      </c>
      <c r="C5949" s="112" t="s">
        <v>228</v>
      </c>
      <c r="D5949" s="113" t="s">
        <v>94</v>
      </c>
      <c r="E5949" s="216" t="s">
        <v>15</v>
      </c>
      <c r="F5949" s="216" t="s">
        <v>30</v>
      </c>
      <c r="G5949" s="217">
        <v>9.26</v>
      </c>
      <c r="H5949" s="218">
        <v>11</v>
      </c>
      <c r="I5949" s="219">
        <v>2</v>
      </c>
      <c r="J5949" s="220">
        <f t="shared" ref="J5949:J5967" si="804">(G5949*H5949*I5949/1000)</f>
        <v>0.20372000000000001</v>
      </c>
      <c r="K5949" s="118"/>
      <c r="L5949" s="45">
        <v>2</v>
      </c>
      <c r="M5949" s="117">
        <f t="shared" ref="M5949:M5967" si="805">H5949*L5949*G5949/1000</f>
        <v>0.20372000000000001</v>
      </c>
      <c r="N5949" s="119">
        <f t="shared" ref="N5949:N5967" si="806">I5949-L5949</f>
        <v>0</v>
      </c>
      <c r="O5949" s="120">
        <f t="shared" ref="O5949:O5967" si="807">H5949*N5949*G5949/1000</f>
        <v>0</v>
      </c>
      <c r="P5949" s="111"/>
      <c r="Q5949" s="111"/>
      <c r="R5949" s="111"/>
    </row>
    <row r="5950" spans="1:18" ht="15.6">
      <c r="A5950" s="110" t="s">
        <v>248</v>
      </c>
      <c r="B5950" s="111" t="s">
        <v>227</v>
      </c>
      <c r="C5950" s="112" t="s">
        <v>228</v>
      </c>
      <c r="D5950" s="113" t="s">
        <v>94</v>
      </c>
      <c r="E5950" s="216" t="s">
        <v>15</v>
      </c>
      <c r="F5950" s="216" t="s">
        <v>30</v>
      </c>
      <c r="G5950" s="217">
        <v>9.26</v>
      </c>
      <c r="H5950" s="218">
        <v>10.5</v>
      </c>
      <c r="I5950" s="219">
        <v>2</v>
      </c>
      <c r="J5950" s="220">
        <f t="shared" si="804"/>
        <v>0.19446000000000002</v>
      </c>
      <c r="K5950" s="118"/>
      <c r="L5950" s="45">
        <v>2</v>
      </c>
      <c r="M5950" s="117">
        <f t="shared" si="805"/>
        <v>0.19446000000000002</v>
      </c>
      <c r="N5950" s="119">
        <f t="shared" si="806"/>
        <v>0</v>
      </c>
      <c r="O5950" s="120">
        <f t="shared" si="807"/>
        <v>0</v>
      </c>
      <c r="P5950" s="111"/>
      <c r="Q5950" s="111"/>
      <c r="R5950" s="111"/>
    </row>
    <row r="5951" spans="1:18" ht="15.6">
      <c r="A5951" s="110" t="s">
        <v>248</v>
      </c>
      <c r="B5951" s="111" t="s">
        <v>227</v>
      </c>
      <c r="C5951" s="112" t="s">
        <v>228</v>
      </c>
      <c r="D5951" s="113" t="s">
        <v>94</v>
      </c>
      <c r="E5951" s="216" t="s">
        <v>15</v>
      </c>
      <c r="F5951" s="216" t="s">
        <v>30</v>
      </c>
      <c r="G5951" s="217">
        <v>9.26</v>
      </c>
      <c r="H5951" s="218">
        <v>10</v>
      </c>
      <c r="I5951" s="219">
        <v>8</v>
      </c>
      <c r="J5951" s="220">
        <f t="shared" si="804"/>
        <v>0.7407999999999999</v>
      </c>
      <c r="K5951" s="118"/>
      <c r="L5951" s="111">
        <v>8</v>
      </c>
      <c r="M5951" s="117">
        <f t="shared" si="805"/>
        <v>0.7407999999999999</v>
      </c>
      <c r="N5951" s="119">
        <f t="shared" si="806"/>
        <v>0</v>
      </c>
      <c r="O5951" s="120">
        <f t="shared" si="807"/>
        <v>0</v>
      </c>
      <c r="P5951" s="111"/>
      <c r="Q5951" s="111"/>
      <c r="R5951" s="111"/>
    </row>
    <row r="5952" spans="1:18" ht="15.6">
      <c r="A5952" s="110" t="s">
        <v>248</v>
      </c>
      <c r="B5952" s="111" t="s">
        <v>227</v>
      </c>
      <c r="C5952" s="112" t="s">
        <v>228</v>
      </c>
      <c r="D5952" s="113" t="s">
        <v>94</v>
      </c>
      <c r="E5952" s="216" t="s">
        <v>15</v>
      </c>
      <c r="F5952" s="216" t="s">
        <v>30</v>
      </c>
      <c r="G5952" s="217">
        <v>9.26</v>
      </c>
      <c r="H5952" s="218">
        <v>9.5</v>
      </c>
      <c r="I5952" s="219">
        <v>2</v>
      </c>
      <c r="J5952" s="220">
        <f t="shared" si="804"/>
        <v>0.17593999999999999</v>
      </c>
      <c r="K5952" s="118"/>
      <c r="L5952" s="111">
        <v>2</v>
      </c>
      <c r="M5952" s="117">
        <f t="shared" si="805"/>
        <v>0.17593999999999999</v>
      </c>
      <c r="N5952" s="119">
        <f t="shared" si="806"/>
        <v>0</v>
      </c>
      <c r="O5952" s="120">
        <f t="shared" si="807"/>
        <v>0</v>
      </c>
      <c r="P5952" s="111"/>
      <c r="Q5952" s="111"/>
      <c r="R5952" s="111"/>
    </row>
    <row r="5953" spans="1:18" ht="15.6">
      <c r="A5953" s="110" t="s">
        <v>248</v>
      </c>
      <c r="B5953" s="111" t="s">
        <v>227</v>
      </c>
      <c r="C5953" s="112" t="s">
        <v>228</v>
      </c>
      <c r="D5953" s="113" t="s">
        <v>94</v>
      </c>
      <c r="E5953" s="216" t="s">
        <v>15</v>
      </c>
      <c r="F5953" s="216" t="s">
        <v>30</v>
      </c>
      <c r="G5953" s="217">
        <v>9.26</v>
      </c>
      <c r="H5953" s="218">
        <v>8</v>
      </c>
      <c r="I5953" s="219">
        <v>6</v>
      </c>
      <c r="J5953" s="220">
        <f t="shared" si="804"/>
        <v>0.44448000000000004</v>
      </c>
      <c r="K5953" s="118"/>
      <c r="L5953" s="111">
        <v>6</v>
      </c>
      <c r="M5953" s="117">
        <f t="shared" si="805"/>
        <v>0.44448000000000004</v>
      </c>
      <c r="N5953" s="119">
        <f t="shared" si="806"/>
        <v>0</v>
      </c>
      <c r="O5953" s="120">
        <f t="shared" si="807"/>
        <v>0</v>
      </c>
      <c r="P5953" s="111"/>
      <c r="Q5953" s="111"/>
      <c r="R5953" s="111"/>
    </row>
    <row r="5954" spans="1:18" ht="15.6">
      <c r="A5954" s="110" t="s">
        <v>248</v>
      </c>
      <c r="B5954" s="111" t="s">
        <v>227</v>
      </c>
      <c r="C5954" s="112" t="s">
        <v>228</v>
      </c>
      <c r="D5954" s="113" t="s">
        <v>94</v>
      </c>
      <c r="E5954" s="216" t="s">
        <v>15</v>
      </c>
      <c r="F5954" s="216" t="s">
        <v>30</v>
      </c>
      <c r="G5954" s="217">
        <v>9.26</v>
      </c>
      <c r="H5954" s="218">
        <v>9</v>
      </c>
      <c r="I5954" s="219">
        <v>13</v>
      </c>
      <c r="J5954" s="220">
        <f t="shared" si="804"/>
        <v>1.08342</v>
      </c>
      <c r="K5954" s="118"/>
      <c r="L5954" s="111">
        <v>13</v>
      </c>
      <c r="M5954" s="117">
        <f t="shared" si="805"/>
        <v>1.08342</v>
      </c>
      <c r="N5954" s="119">
        <f t="shared" si="806"/>
        <v>0</v>
      </c>
      <c r="O5954" s="120">
        <f t="shared" si="807"/>
        <v>0</v>
      </c>
      <c r="P5954" s="111"/>
      <c r="Q5954" s="111"/>
      <c r="R5954" s="111"/>
    </row>
    <row r="5955" spans="1:18" ht="15.6">
      <c r="A5955" s="110" t="s">
        <v>248</v>
      </c>
      <c r="B5955" s="111" t="s">
        <v>227</v>
      </c>
      <c r="C5955" s="112" t="s">
        <v>228</v>
      </c>
      <c r="D5955" s="113" t="s">
        <v>94</v>
      </c>
      <c r="E5955" s="216" t="s">
        <v>15</v>
      </c>
      <c r="F5955" s="216" t="s">
        <v>30</v>
      </c>
      <c r="G5955" s="217">
        <v>9.26</v>
      </c>
      <c r="H5955" s="218">
        <v>8</v>
      </c>
      <c r="I5955" s="219">
        <v>1</v>
      </c>
      <c r="J5955" s="220">
        <f t="shared" si="804"/>
        <v>7.4079999999999993E-2</v>
      </c>
      <c r="K5955" s="118"/>
      <c r="L5955" s="111">
        <v>1</v>
      </c>
      <c r="M5955" s="117">
        <f t="shared" si="805"/>
        <v>7.4079999999999993E-2</v>
      </c>
      <c r="N5955" s="145">
        <f t="shared" si="806"/>
        <v>0</v>
      </c>
      <c r="O5955" s="120">
        <f t="shared" si="807"/>
        <v>0</v>
      </c>
      <c r="P5955" s="72" t="s">
        <v>759</v>
      </c>
      <c r="Q5955" s="72">
        <v>1</v>
      </c>
      <c r="R5955" s="72" t="s">
        <v>701</v>
      </c>
    </row>
    <row r="5956" spans="1:18" ht="15.6">
      <c r="A5956" s="110" t="s">
        <v>248</v>
      </c>
      <c r="B5956" s="111" t="s">
        <v>227</v>
      </c>
      <c r="C5956" s="112" t="s">
        <v>228</v>
      </c>
      <c r="D5956" s="113" t="s">
        <v>94</v>
      </c>
      <c r="E5956" s="216" t="s">
        <v>15</v>
      </c>
      <c r="F5956" s="216" t="s">
        <v>30</v>
      </c>
      <c r="G5956" s="217">
        <v>9.26</v>
      </c>
      <c r="H5956" s="218">
        <v>6.5</v>
      </c>
      <c r="I5956" s="219">
        <v>11</v>
      </c>
      <c r="J5956" s="220">
        <f t="shared" si="804"/>
        <v>0.66208999999999996</v>
      </c>
      <c r="K5956" s="118"/>
      <c r="L5956" s="111">
        <v>11</v>
      </c>
      <c r="M5956" s="117">
        <f t="shared" si="805"/>
        <v>0.66209000000000007</v>
      </c>
      <c r="N5956" s="145">
        <f t="shared" si="806"/>
        <v>0</v>
      </c>
      <c r="O5956" s="120">
        <f t="shared" si="807"/>
        <v>0</v>
      </c>
      <c r="P5956" s="72" t="s">
        <v>759</v>
      </c>
      <c r="Q5956" s="72">
        <v>11</v>
      </c>
      <c r="R5956" s="72" t="s">
        <v>701</v>
      </c>
    </row>
    <row r="5957" spans="1:18" ht="15.6">
      <c r="A5957" s="110" t="s">
        <v>248</v>
      </c>
      <c r="B5957" s="111" t="s">
        <v>227</v>
      </c>
      <c r="C5957" s="112" t="s">
        <v>228</v>
      </c>
      <c r="D5957" s="113" t="s">
        <v>94</v>
      </c>
      <c r="E5957" s="216" t="s">
        <v>15</v>
      </c>
      <c r="F5957" s="216" t="s">
        <v>30</v>
      </c>
      <c r="G5957" s="217">
        <v>9.26</v>
      </c>
      <c r="H5957" s="218">
        <v>10</v>
      </c>
      <c r="I5957" s="219">
        <v>19</v>
      </c>
      <c r="J5957" s="220">
        <f t="shared" si="804"/>
        <v>1.7593999999999999</v>
      </c>
      <c r="K5957" s="118"/>
      <c r="L5957" s="111">
        <v>19</v>
      </c>
      <c r="M5957" s="117">
        <f t="shared" si="805"/>
        <v>1.7593999999999999</v>
      </c>
      <c r="N5957" s="119">
        <f t="shared" si="806"/>
        <v>0</v>
      </c>
      <c r="O5957" s="120">
        <f t="shared" si="807"/>
        <v>0</v>
      </c>
      <c r="P5957" s="72"/>
      <c r="Q5957" s="72"/>
      <c r="R5957" s="72"/>
    </row>
    <row r="5958" spans="1:18" ht="15.6">
      <c r="A5958" s="110" t="s">
        <v>248</v>
      </c>
      <c r="B5958" s="111" t="s">
        <v>227</v>
      </c>
      <c r="C5958" s="112" t="s">
        <v>228</v>
      </c>
      <c r="D5958" s="113" t="s">
        <v>94</v>
      </c>
      <c r="E5958" s="216" t="s">
        <v>15</v>
      </c>
      <c r="F5958" s="216" t="s">
        <v>30</v>
      </c>
      <c r="G5958" s="217">
        <v>9.26</v>
      </c>
      <c r="H5958" s="221">
        <v>10.3</v>
      </c>
      <c r="I5958" s="219">
        <v>14</v>
      </c>
      <c r="J5958" s="220">
        <f t="shared" si="804"/>
        <v>1.3352919999999999</v>
      </c>
      <c r="K5958" s="118"/>
      <c r="L5958" s="111">
        <v>14</v>
      </c>
      <c r="M5958" s="117">
        <f t="shared" si="805"/>
        <v>1.3352920000000001</v>
      </c>
      <c r="N5958" s="119">
        <f t="shared" si="806"/>
        <v>0</v>
      </c>
      <c r="O5958" s="120">
        <f t="shared" si="807"/>
        <v>0</v>
      </c>
      <c r="P5958" s="72"/>
      <c r="Q5958" s="72"/>
      <c r="R5958" s="72"/>
    </row>
    <row r="5959" spans="1:18" ht="15.6">
      <c r="A5959" s="110" t="s">
        <v>248</v>
      </c>
      <c r="B5959" s="111" t="s">
        <v>227</v>
      </c>
      <c r="C5959" s="112" t="s">
        <v>228</v>
      </c>
      <c r="D5959" s="113" t="s">
        <v>94</v>
      </c>
      <c r="E5959" s="216" t="s">
        <v>15</v>
      </c>
      <c r="F5959" s="216" t="s">
        <v>30</v>
      </c>
      <c r="G5959" s="217">
        <v>9.26</v>
      </c>
      <c r="H5959" s="221">
        <v>7</v>
      </c>
      <c r="I5959" s="219">
        <v>1</v>
      </c>
      <c r="J5959" s="220">
        <f t="shared" si="804"/>
        <v>6.4819999999999989E-2</v>
      </c>
      <c r="K5959" s="118"/>
      <c r="L5959" s="111">
        <v>1</v>
      </c>
      <c r="M5959" s="117">
        <f t="shared" si="805"/>
        <v>6.4819999999999989E-2</v>
      </c>
      <c r="N5959" s="145">
        <f t="shared" si="806"/>
        <v>0</v>
      </c>
      <c r="O5959" s="120">
        <f t="shared" si="807"/>
        <v>0</v>
      </c>
      <c r="P5959" s="72" t="s">
        <v>759</v>
      </c>
      <c r="Q5959" s="72">
        <v>1</v>
      </c>
      <c r="R5959" s="72" t="s">
        <v>701</v>
      </c>
    </row>
    <row r="5960" spans="1:18" ht="15.6">
      <c r="A5960" s="110" t="s">
        <v>248</v>
      </c>
      <c r="B5960" s="111" t="s">
        <v>227</v>
      </c>
      <c r="C5960" s="112" t="s">
        <v>228</v>
      </c>
      <c r="D5960" s="113" t="s">
        <v>94</v>
      </c>
      <c r="E5960" s="216" t="s">
        <v>15</v>
      </c>
      <c r="F5960" s="216" t="s">
        <v>30</v>
      </c>
      <c r="G5960" s="217">
        <v>9.26</v>
      </c>
      <c r="H5960" s="221">
        <v>7.5</v>
      </c>
      <c r="I5960" s="219">
        <v>1</v>
      </c>
      <c r="J5960" s="220">
        <f t="shared" si="804"/>
        <v>6.9449999999999998E-2</v>
      </c>
      <c r="K5960" s="118"/>
      <c r="L5960" s="111">
        <v>1</v>
      </c>
      <c r="M5960" s="117">
        <f t="shared" si="805"/>
        <v>6.9449999999999998E-2</v>
      </c>
      <c r="N5960" s="145">
        <f t="shared" si="806"/>
        <v>0</v>
      </c>
      <c r="O5960" s="120">
        <f t="shared" si="807"/>
        <v>0</v>
      </c>
      <c r="P5960" s="72" t="s">
        <v>759</v>
      </c>
      <c r="Q5960" s="72">
        <v>1</v>
      </c>
      <c r="R5960" s="72" t="s">
        <v>701</v>
      </c>
    </row>
    <row r="5961" spans="1:18" ht="15.6">
      <c r="A5961" s="110" t="s">
        <v>248</v>
      </c>
      <c r="B5961" s="111" t="s">
        <v>227</v>
      </c>
      <c r="C5961" s="112" t="s">
        <v>228</v>
      </c>
      <c r="D5961" s="113" t="s">
        <v>94</v>
      </c>
      <c r="E5961" s="216" t="s">
        <v>15</v>
      </c>
      <c r="F5961" s="216" t="s">
        <v>30</v>
      </c>
      <c r="G5961" s="217">
        <v>9.26</v>
      </c>
      <c r="H5961" s="221">
        <v>9</v>
      </c>
      <c r="I5961" s="219">
        <v>2</v>
      </c>
      <c r="J5961" s="220">
        <f t="shared" si="804"/>
        <v>0.16667999999999999</v>
      </c>
      <c r="K5961" s="118"/>
      <c r="L5961" s="111">
        <v>2</v>
      </c>
      <c r="M5961" s="117">
        <f t="shared" si="805"/>
        <v>0.16667999999999999</v>
      </c>
      <c r="N5961" s="145">
        <f t="shared" si="806"/>
        <v>0</v>
      </c>
      <c r="O5961" s="120">
        <f t="shared" si="807"/>
        <v>0</v>
      </c>
      <c r="P5961" s="72" t="s">
        <v>759</v>
      </c>
      <c r="Q5961" s="72">
        <v>2</v>
      </c>
      <c r="R5961" s="72" t="s">
        <v>701</v>
      </c>
    </row>
    <row r="5962" spans="1:18" ht="15.6">
      <c r="A5962" s="110" t="s">
        <v>248</v>
      </c>
      <c r="B5962" s="111" t="s">
        <v>227</v>
      </c>
      <c r="C5962" s="112" t="s">
        <v>228</v>
      </c>
      <c r="D5962" s="113" t="s">
        <v>94</v>
      </c>
      <c r="E5962" s="216" t="s">
        <v>15</v>
      </c>
      <c r="F5962" s="216" t="s">
        <v>30</v>
      </c>
      <c r="G5962" s="217">
        <v>9.26</v>
      </c>
      <c r="H5962" s="221">
        <v>8</v>
      </c>
      <c r="I5962" s="219">
        <v>4</v>
      </c>
      <c r="J5962" s="220">
        <f t="shared" si="804"/>
        <v>0.29631999999999997</v>
      </c>
      <c r="K5962" s="118"/>
      <c r="L5962" s="111">
        <v>4</v>
      </c>
      <c r="M5962" s="117">
        <f t="shared" si="805"/>
        <v>0.29631999999999997</v>
      </c>
      <c r="N5962" s="145">
        <f t="shared" si="806"/>
        <v>0</v>
      </c>
      <c r="O5962" s="120">
        <f t="shared" si="807"/>
        <v>0</v>
      </c>
      <c r="P5962" s="72" t="s">
        <v>759</v>
      </c>
      <c r="Q5962" s="72">
        <v>4</v>
      </c>
      <c r="R5962" s="72" t="s">
        <v>701</v>
      </c>
    </row>
    <row r="5963" spans="1:18" ht="15.6">
      <c r="A5963" s="110" t="s">
        <v>248</v>
      </c>
      <c r="B5963" s="111" t="s">
        <v>227</v>
      </c>
      <c r="C5963" s="112" t="s">
        <v>228</v>
      </c>
      <c r="D5963" s="113" t="s">
        <v>94</v>
      </c>
      <c r="E5963" s="216" t="s">
        <v>15</v>
      </c>
      <c r="F5963" s="216" t="s">
        <v>30</v>
      </c>
      <c r="G5963" s="217">
        <v>9.26</v>
      </c>
      <c r="H5963" s="221">
        <v>8.5</v>
      </c>
      <c r="I5963" s="219">
        <v>2</v>
      </c>
      <c r="J5963" s="220">
        <f t="shared" si="804"/>
        <v>0.15741999999999998</v>
      </c>
      <c r="K5963" s="118"/>
      <c r="L5963" s="111">
        <v>2</v>
      </c>
      <c r="M5963" s="117">
        <f t="shared" si="805"/>
        <v>0.15741999999999998</v>
      </c>
      <c r="N5963" s="145">
        <f t="shared" si="806"/>
        <v>0</v>
      </c>
      <c r="O5963" s="120">
        <f t="shared" si="807"/>
        <v>0</v>
      </c>
      <c r="P5963" s="72" t="s">
        <v>759</v>
      </c>
      <c r="Q5963" s="72">
        <v>2</v>
      </c>
      <c r="R5963" s="72" t="s">
        <v>701</v>
      </c>
    </row>
    <row r="5964" spans="1:18" ht="15.6">
      <c r="A5964" s="110" t="s">
        <v>248</v>
      </c>
      <c r="B5964" s="111" t="s">
        <v>227</v>
      </c>
      <c r="C5964" s="112" t="s">
        <v>228</v>
      </c>
      <c r="D5964" s="113" t="s">
        <v>94</v>
      </c>
      <c r="E5964" s="216" t="s">
        <v>15</v>
      </c>
      <c r="F5964" s="216" t="s">
        <v>30</v>
      </c>
      <c r="G5964" s="217">
        <v>9.26</v>
      </c>
      <c r="H5964" s="221">
        <v>9.5</v>
      </c>
      <c r="I5964" s="219">
        <v>1</v>
      </c>
      <c r="J5964" s="220">
        <f t="shared" si="804"/>
        <v>8.7969999999999993E-2</v>
      </c>
      <c r="K5964" s="118"/>
      <c r="L5964" s="111">
        <v>1</v>
      </c>
      <c r="M5964" s="117">
        <f t="shared" si="805"/>
        <v>8.7969999999999993E-2</v>
      </c>
      <c r="N5964" s="119">
        <f t="shared" si="806"/>
        <v>0</v>
      </c>
      <c r="O5964" s="120">
        <f t="shared" si="807"/>
        <v>0</v>
      </c>
      <c r="P5964" s="111"/>
      <c r="Q5964" s="111"/>
      <c r="R5964" s="111"/>
    </row>
    <row r="5965" spans="1:18" ht="15.6">
      <c r="A5965" s="110" t="s">
        <v>248</v>
      </c>
      <c r="B5965" s="111" t="s">
        <v>227</v>
      </c>
      <c r="C5965" s="112" t="s">
        <v>228</v>
      </c>
      <c r="D5965" s="113" t="s">
        <v>94</v>
      </c>
      <c r="E5965" s="216" t="s">
        <v>15</v>
      </c>
      <c r="F5965" s="216" t="s">
        <v>30</v>
      </c>
      <c r="G5965" s="217">
        <v>9.26</v>
      </c>
      <c r="H5965" s="221">
        <v>11</v>
      </c>
      <c r="I5965" s="219">
        <v>3</v>
      </c>
      <c r="J5965" s="220">
        <f t="shared" si="804"/>
        <v>0.30557999999999996</v>
      </c>
      <c r="K5965" s="118"/>
      <c r="L5965" s="45">
        <v>3</v>
      </c>
      <c r="M5965" s="117">
        <f t="shared" si="805"/>
        <v>0.30557999999999996</v>
      </c>
      <c r="N5965" s="119">
        <f t="shared" si="806"/>
        <v>0</v>
      </c>
      <c r="O5965" s="120">
        <f t="shared" si="807"/>
        <v>0</v>
      </c>
      <c r="P5965" s="111"/>
      <c r="Q5965" s="111"/>
      <c r="R5965" s="111"/>
    </row>
    <row r="5966" spans="1:18" ht="15.6">
      <c r="A5966" s="110" t="s">
        <v>248</v>
      </c>
      <c r="B5966" s="111" t="s">
        <v>227</v>
      </c>
      <c r="C5966" s="112" t="s">
        <v>228</v>
      </c>
      <c r="D5966" s="113" t="s">
        <v>94</v>
      </c>
      <c r="E5966" s="216" t="s">
        <v>15</v>
      </c>
      <c r="F5966" s="216" t="s">
        <v>30</v>
      </c>
      <c r="G5966" s="217">
        <v>9.26</v>
      </c>
      <c r="H5966" s="221">
        <v>11.5</v>
      </c>
      <c r="I5966" s="219">
        <v>1</v>
      </c>
      <c r="J5966" s="220">
        <f t="shared" si="804"/>
        <v>0.10649</v>
      </c>
      <c r="K5966" s="118"/>
      <c r="L5966" s="45">
        <v>1</v>
      </c>
      <c r="M5966" s="117">
        <f t="shared" si="805"/>
        <v>0.10649</v>
      </c>
      <c r="N5966" s="119">
        <f t="shared" si="806"/>
        <v>0</v>
      </c>
      <c r="O5966" s="120">
        <f t="shared" si="807"/>
        <v>0</v>
      </c>
      <c r="P5966" s="111"/>
      <c r="Q5966" s="111"/>
      <c r="R5966" s="111"/>
    </row>
    <row r="5967" spans="1:18" ht="15.6">
      <c r="A5967" s="110" t="s">
        <v>248</v>
      </c>
      <c r="B5967" s="111" t="s">
        <v>227</v>
      </c>
      <c r="C5967" s="112" t="s">
        <v>228</v>
      </c>
      <c r="D5967" s="113" t="s">
        <v>94</v>
      </c>
      <c r="E5967" s="216" t="s">
        <v>15</v>
      </c>
      <c r="F5967" s="216" t="s">
        <v>30</v>
      </c>
      <c r="G5967" s="217">
        <v>9.26</v>
      </c>
      <c r="H5967" s="221">
        <v>12</v>
      </c>
      <c r="I5967" s="219">
        <v>3</v>
      </c>
      <c r="J5967" s="220">
        <f t="shared" si="804"/>
        <v>0.33335999999999999</v>
      </c>
      <c r="K5967" s="118"/>
      <c r="L5967" s="45">
        <v>3</v>
      </c>
      <c r="M5967" s="117">
        <f t="shared" si="805"/>
        <v>0.33335999999999999</v>
      </c>
      <c r="N5967" s="119">
        <f t="shared" si="806"/>
        <v>0</v>
      </c>
      <c r="O5967" s="120">
        <f t="shared" si="807"/>
        <v>0</v>
      </c>
      <c r="P5967" s="111"/>
      <c r="Q5967" s="111"/>
      <c r="R5967" s="111"/>
    </row>
    <row r="5968" spans="1:18">
      <c r="A5968" s="213"/>
      <c r="B5968" s="213"/>
      <c r="C5968" s="213"/>
      <c r="D5968" s="213"/>
      <c r="E5968" s="213"/>
      <c r="F5968" s="213"/>
      <c r="G5968" s="213"/>
      <c r="H5968" s="213"/>
      <c r="I5968" s="215">
        <f>SUM(I5949:I5967)</f>
        <v>96</v>
      </c>
      <c r="J5968" s="214">
        <f>SUM(J5949:J5967)</f>
        <v>8.2617720000000006</v>
      </c>
      <c r="K5968" s="213"/>
      <c r="L5968" s="215">
        <f>SUM(L5949:L5967)</f>
        <v>96</v>
      </c>
      <c r="M5968" s="214">
        <f>SUM(M5949:M5967)</f>
        <v>8.2617720000000006</v>
      </c>
      <c r="N5968" s="78">
        <f>SUM(N5949:N5967)</f>
        <v>0</v>
      </c>
      <c r="O5968" s="128">
        <f>SUM(O5949:O5967)</f>
        <v>0</v>
      </c>
      <c r="P5968" s="213"/>
      <c r="Q5968" s="78">
        <f>SUM(Q5949:Q5967)</f>
        <v>22</v>
      </c>
      <c r="R5968" s="213"/>
    </row>
    <row r="5970" spans="1:18" ht="15.6">
      <c r="A5970" s="110" t="s">
        <v>311</v>
      </c>
      <c r="B5970" s="111" t="s">
        <v>232</v>
      </c>
      <c r="C5970" s="112" t="s">
        <v>228</v>
      </c>
      <c r="D5970" s="113" t="s">
        <v>152</v>
      </c>
      <c r="E5970" s="216" t="s">
        <v>15</v>
      </c>
      <c r="F5970" s="216" t="s">
        <v>30</v>
      </c>
      <c r="G5970" s="217">
        <v>9.26</v>
      </c>
      <c r="H5970" s="218">
        <v>7.4</v>
      </c>
      <c r="I5970" s="219">
        <v>1</v>
      </c>
      <c r="J5970" s="220">
        <f t="shared" ref="J5970:J5986" si="808">(G5970*H5970*I5970/1000)</f>
        <v>6.8524000000000002E-2</v>
      </c>
      <c r="K5970" s="118"/>
      <c r="L5970" s="111"/>
      <c r="M5970" s="117">
        <f t="shared" ref="M5970:M5986" si="809">H5970*L5970*G5970/1000</f>
        <v>0</v>
      </c>
      <c r="N5970" s="119">
        <f t="shared" ref="N5970:N5986" si="810">I5970-L5970</f>
        <v>1</v>
      </c>
      <c r="O5970" s="120">
        <f t="shared" ref="O5970:O5986" si="811">H5970*N5970*G5970/1000</f>
        <v>6.8524000000000002E-2</v>
      </c>
      <c r="P5970" s="111"/>
      <c r="Q5970" s="213"/>
      <c r="R5970" s="111"/>
    </row>
    <row r="5971" spans="1:18" ht="15.6">
      <c r="A5971" s="110" t="s">
        <v>311</v>
      </c>
      <c r="B5971" s="111" t="s">
        <v>232</v>
      </c>
      <c r="C5971" s="112" t="s">
        <v>228</v>
      </c>
      <c r="D5971" s="113" t="s">
        <v>152</v>
      </c>
      <c r="E5971" s="216" t="s">
        <v>15</v>
      </c>
      <c r="F5971" s="216" t="s">
        <v>30</v>
      </c>
      <c r="G5971" s="217">
        <v>9.26</v>
      </c>
      <c r="H5971" s="218">
        <v>9</v>
      </c>
      <c r="I5971" s="219">
        <v>1</v>
      </c>
      <c r="J5971" s="220">
        <f t="shared" si="808"/>
        <v>8.3339999999999997E-2</v>
      </c>
      <c r="K5971" s="118"/>
      <c r="L5971" s="111">
        <v>1</v>
      </c>
      <c r="M5971" s="117">
        <f t="shared" si="809"/>
        <v>8.3339999999999997E-2</v>
      </c>
      <c r="N5971" s="119">
        <f t="shared" si="810"/>
        <v>0</v>
      </c>
      <c r="O5971" s="120">
        <f t="shared" si="811"/>
        <v>0</v>
      </c>
      <c r="P5971" s="75">
        <v>9</v>
      </c>
      <c r="Q5971" s="513">
        <v>1</v>
      </c>
      <c r="R5971" s="72" t="s">
        <v>760</v>
      </c>
    </row>
    <row r="5972" spans="1:18" ht="15.6">
      <c r="A5972" s="110" t="s">
        <v>311</v>
      </c>
      <c r="B5972" s="111" t="s">
        <v>232</v>
      </c>
      <c r="C5972" s="112" t="s">
        <v>228</v>
      </c>
      <c r="D5972" s="113" t="s">
        <v>152</v>
      </c>
      <c r="E5972" s="216" t="s">
        <v>15</v>
      </c>
      <c r="F5972" s="216" t="s">
        <v>30</v>
      </c>
      <c r="G5972" s="217">
        <v>9.26</v>
      </c>
      <c r="H5972" s="218">
        <v>9.3000000000000007</v>
      </c>
      <c r="I5972" s="219">
        <v>2</v>
      </c>
      <c r="J5972" s="220">
        <f t="shared" si="808"/>
        <v>0.17223600000000003</v>
      </c>
      <c r="K5972" s="118"/>
      <c r="L5972" s="111">
        <v>2</v>
      </c>
      <c r="M5972" s="117">
        <f t="shared" si="809"/>
        <v>0.17223600000000003</v>
      </c>
      <c r="N5972" s="119">
        <f t="shared" si="810"/>
        <v>0</v>
      </c>
      <c r="O5972" s="120">
        <f t="shared" si="811"/>
        <v>0</v>
      </c>
      <c r="P5972" s="75">
        <v>9</v>
      </c>
      <c r="Q5972" s="513">
        <v>2</v>
      </c>
      <c r="R5972" s="72" t="s">
        <v>760</v>
      </c>
    </row>
    <row r="5973" spans="1:18" ht="15.6">
      <c r="A5973" s="110" t="s">
        <v>311</v>
      </c>
      <c r="B5973" s="111" t="s">
        <v>232</v>
      </c>
      <c r="C5973" s="112" t="s">
        <v>228</v>
      </c>
      <c r="D5973" s="113" t="s">
        <v>152</v>
      </c>
      <c r="E5973" s="216" t="s">
        <v>15</v>
      </c>
      <c r="F5973" s="216" t="s">
        <v>30</v>
      </c>
      <c r="G5973" s="217">
        <v>9.26</v>
      </c>
      <c r="H5973" s="218">
        <v>10</v>
      </c>
      <c r="I5973" s="219">
        <v>1</v>
      </c>
      <c r="J5973" s="220">
        <f t="shared" si="808"/>
        <v>9.2599999999999988E-2</v>
      </c>
      <c r="K5973" s="118"/>
      <c r="L5973" s="111">
        <v>1</v>
      </c>
      <c r="M5973" s="117">
        <f t="shared" si="809"/>
        <v>9.2599999999999988E-2</v>
      </c>
      <c r="N5973" s="119">
        <f t="shared" si="810"/>
        <v>0</v>
      </c>
      <c r="O5973" s="120">
        <f t="shared" si="811"/>
        <v>0</v>
      </c>
      <c r="P5973" s="75">
        <v>9.8000000000000007</v>
      </c>
      <c r="Q5973" s="513">
        <v>1</v>
      </c>
      <c r="R5973" s="72" t="s">
        <v>760</v>
      </c>
    </row>
    <row r="5974" spans="1:18" ht="15.6">
      <c r="A5974" s="110" t="s">
        <v>311</v>
      </c>
      <c r="B5974" s="111" t="s">
        <v>232</v>
      </c>
      <c r="C5974" s="112" t="s">
        <v>228</v>
      </c>
      <c r="D5974" s="113" t="s">
        <v>152</v>
      </c>
      <c r="E5974" s="216" t="s">
        <v>15</v>
      </c>
      <c r="F5974" s="216" t="s">
        <v>30</v>
      </c>
      <c r="G5974" s="217">
        <v>9.26</v>
      </c>
      <c r="H5974" s="218">
        <v>11</v>
      </c>
      <c r="I5974" s="219">
        <v>3</v>
      </c>
      <c r="J5974" s="220">
        <f t="shared" si="808"/>
        <v>0.30557999999999996</v>
      </c>
      <c r="K5974" s="118"/>
      <c r="L5974" s="111">
        <v>3</v>
      </c>
      <c r="M5974" s="117">
        <f t="shared" si="809"/>
        <v>0.30557999999999996</v>
      </c>
      <c r="N5974" s="119">
        <f t="shared" si="810"/>
        <v>0</v>
      </c>
      <c r="O5974" s="120">
        <f t="shared" si="811"/>
        <v>0</v>
      </c>
      <c r="P5974" s="111"/>
      <c r="Q5974" s="76"/>
      <c r="R5974" s="111"/>
    </row>
    <row r="5975" spans="1:18" ht="15.6">
      <c r="A5975" s="110" t="s">
        <v>311</v>
      </c>
      <c r="B5975" s="111" t="s">
        <v>232</v>
      </c>
      <c r="C5975" s="112" t="s">
        <v>228</v>
      </c>
      <c r="D5975" s="113" t="s">
        <v>152</v>
      </c>
      <c r="E5975" s="216" t="s">
        <v>15</v>
      </c>
      <c r="F5975" s="216" t="s">
        <v>30</v>
      </c>
      <c r="G5975" s="217">
        <v>9.26</v>
      </c>
      <c r="H5975" s="218">
        <v>9.5</v>
      </c>
      <c r="I5975" s="219">
        <f>36+11+34+35+5</f>
        <v>121</v>
      </c>
      <c r="J5975" s="220">
        <f t="shared" si="808"/>
        <v>10.644369999999999</v>
      </c>
      <c r="K5975" s="118"/>
      <c r="L5975" s="111">
        <v>121</v>
      </c>
      <c r="M5975" s="117">
        <f t="shared" si="809"/>
        <v>10.644369999999999</v>
      </c>
      <c r="N5975" s="119">
        <f t="shared" si="810"/>
        <v>0</v>
      </c>
      <c r="O5975" s="120">
        <f t="shared" si="811"/>
        <v>0</v>
      </c>
      <c r="P5975" s="111"/>
      <c r="Q5975" s="76"/>
      <c r="R5975" s="111"/>
    </row>
    <row r="5976" spans="1:18" ht="15.6">
      <c r="A5976" s="110" t="s">
        <v>311</v>
      </c>
      <c r="B5976" s="111" t="s">
        <v>232</v>
      </c>
      <c r="C5976" s="112" t="s">
        <v>228</v>
      </c>
      <c r="D5976" s="113" t="s">
        <v>152</v>
      </c>
      <c r="E5976" s="216" t="s">
        <v>15</v>
      </c>
      <c r="F5976" s="216" t="s">
        <v>30</v>
      </c>
      <c r="G5976" s="217">
        <v>9.26</v>
      </c>
      <c r="H5976" s="218">
        <v>10.5</v>
      </c>
      <c r="I5976" s="219">
        <f>28+5+29+1</f>
        <v>63</v>
      </c>
      <c r="J5976" s="220">
        <f t="shared" si="808"/>
        <v>6.125490000000001</v>
      </c>
      <c r="K5976" s="118"/>
      <c r="L5976" s="111">
        <f>58+2+3</f>
        <v>63</v>
      </c>
      <c r="M5976" s="117">
        <f t="shared" si="809"/>
        <v>6.1254900000000001</v>
      </c>
      <c r="N5976" s="119">
        <f t="shared" si="810"/>
        <v>0</v>
      </c>
      <c r="O5976" s="120">
        <f t="shared" si="811"/>
        <v>0</v>
      </c>
      <c r="P5976" s="111"/>
      <c r="Q5976" s="76"/>
      <c r="R5976" s="111"/>
    </row>
    <row r="5977" spans="1:18" ht="15.6">
      <c r="A5977" s="110" t="s">
        <v>311</v>
      </c>
      <c r="B5977" s="111" t="s">
        <v>232</v>
      </c>
      <c r="C5977" s="112" t="s">
        <v>228</v>
      </c>
      <c r="D5977" s="113" t="s">
        <v>152</v>
      </c>
      <c r="E5977" s="216" t="s">
        <v>15</v>
      </c>
      <c r="F5977" s="216" t="s">
        <v>30</v>
      </c>
      <c r="G5977" s="217">
        <v>9.26</v>
      </c>
      <c r="H5977" s="218">
        <v>10.3</v>
      </c>
      <c r="I5977" s="219">
        <f>33+19+34+4</f>
        <v>90</v>
      </c>
      <c r="J5977" s="220">
        <f t="shared" si="808"/>
        <v>8.5840200000000006</v>
      </c>
      <c r="K5977" s="118"/>
      <c r="L5977" s="111">
        <f>80+6+4</f>
        <v>90</v>
      </c>
      <c r="M5977" s="117">
        <f t="shared" si="809"/>
        <v>8.5840200000000006</v>
      </c>
      <c r="N5977" s="119">
        <f t="shared" si="810"/>
        <v>0</v>
      </c>
      <c r="O5977" s="120">
        <f t="shared" si="811"/>
        <v>0</v>
      </c>
      <c r="P5977" s="111"/>
      <c r="Q5977" s="76"/>
      <c r="R5977" s="111"/>
    </row>
    <row r="5978" spans="1:18" ht="15.6">
      <c r="A5978" s="110" t="s">
        <v>311</v>
      </c>
      <c r="B5978" s="111" t="s">
        <v>232</v>
      </c>
      <c r="C5978" s="112" t="s">
        <v>228</v>
      </c>
      <c r="D5978" s="113" t="s">
        <v>152</v>
      </c>
      <c r="E5978" s="216" t="s">
        <v>15</v>
      </c>
      <c r="F5978" s="216" t="s">
        <v>30</v>
      </c>
      <c r="G5978" s="217">
        <v>9.26</v>
      </c>
      <c r="H5978" s="218">
        <v>11.3</v>
      </c>
      <c r="I5978" s="219">
        <f>23+20</f>
        <v>43</v>
      </c>
      <c r="J5978" s="220">
        <f t="shared" si="808"/>
        <v>4.4994339999999999</v>
      </c>
      <c r="K5978" s="118"/>
      <c r="L5978" s="111">
        <f>11+28+4</f>
        <v>43</v>
      </c>
      <c r="M5978" s="117">
        <f t="shared" si="809"/>
        <v>4.4994339999999999</v>
      </c>
      <c r="N5978" s="119">
        <f t="shared" si="810"/>
        <v>0</v>
      </c>
      <c r="O5978" s="120">
        <f t="shared" si="811"/>
        <v>0</v>
      </c>
      <c r="P5978" s="333"/>
      <c r="Q5978" s="76"/>
      <c r="R5978" s="111"/>
    </row>
    <row r="5979" spans="1:18" ht="15.6">
      <c r="A5979" s="110" t="s">
        <v>311</v>
      </c>
      <c r="B5979" s="111" t="s">
        <v>232</v>
      </c>
      <c r="C5979" s="112" t="s">
        <v>228</v>
      </c>
      <c r="D5979" s="113" t="s">
        <v>152</v>
      </c>
      <c r="E5979" s="216" t="s">
        <v>15</v>
      </c>
      <c r="F5979" s="216" t="s">
        <v>30</v>
      </c>
      <c r="G5979" s="217">
        <v>9.26</v>
      </c>
      <c r="H5979" s="218">
        <v>11.8</v>
      </c>
      <c r="I5979" s="219">
        <f>26+28+9+28+30</f>
        <v>121</v>
      </c>
      <c r="J5979" s="220">
        <f t="shared" si="808"/>
        <v>13.221428</v>
      </c>
      <c r="K5979" s="118"/>
      <c r="L5979" s="111">
        <f>121+34</f>
        <v>155</v>
      </c>
      <c r="M5979" s="117">
        <f t="shared" si="809"/>
        <v>16.936540000000001</v>
      </c>
      <c r="N5979" s="230">
        <f t="shared" si="810"/>
        <v>-34</v>
      </c>
      <c r="O5979" s="231">
        <f t="shared" si="811"/>
        <v>-3.7151120000000004</v>
      </c>
      <c r="P5979" s="44"/>
      <c r="Q5979" s="111"/>
      <c r="R5979" s="111"/>
    </row>
    <row r="5980" spans="1:18" ht="15.6">
      <c r="A5980" s="110" t="s">
        <v>311</v>
      </c>
      <c r="B5980" s="111" t="s">
        <v>232</v>
      </c>
      <c r="C5980" s="112" t="s">
        <v>228</v>
      </c>
      <c r="D5980" s="113" t="s">
        <v>152</v>
      </c>
      <c r="E5980" s="216" t="s">
        <v>15</v>
      </c>
      <c r="F5980" s="216" t="s">
        <v>30</v>
      </c>
      <c r="G5980" s="217">
        <v>9.26</v>
      </c>
      <c r="H5980" s="218">
        <v>8.6999999999999993</v>
      </c>
      <c r="I5980" s="219">
        <v>1</v>
      </c>
      <c r="J5980" s="220">
        <f t="shared" si="808"/>
        <v>8.0561999999999995E-2</v>
      </c>
      <c r="K5980" s="118"/>
      <c r="L5980" s="111">
        <v>1</v>
      </c>
      <c r="M5980" s="117">
        <f t="shared" si="809"/>
        <v>8.0561999999999995E-2</v>
      </c>
      <c r="N5980" s="119">
        <f t="shared" si="810"/>
        <v>0</v>
      </c>
      <c r="O5980" s="120">
        <f t="shared" si="811"/>
        <v>0</v>
      </c>
      <c r="P5980" s="72">
        <v>8.1</v>
      </c>
      <c r="Q5980" s="72">
        <v>1</v>
      </c>
      <c r="R5980" s="72" t="s">
        <v>760</v>
      </c>
    </row>
    <row r="5981" spans="1:18" ht="15.6">
      <c r="A5981" s="110" t="s">
        <v>311</v>
      </c>
      <c r="B5981" s="111" t="s">
        <v>232</v>
      </c>
      <c r="C5981" s="112" t="s">
        <v>228</v>
      </c>
      <c r="D5981" s="113" t="s">
        <v>152</v>
      </c>
      <c r="E5981" s="216" t="s">
        <v>15</v>
      </c>
      <c r="F5981" s="216" t="s">
        <v>30</v>
      </c>
      <c r="G5981" s="217">
        <v>9.26</v>
      </c>
      <c r="H5981" s="218">
        <v>9.4</v>
      </c>
      <c r="I5981" s="219">
        <v>1</v>
      </c>
      <c r="J5981" s="220">
        <f t="shared" si="808"/>
        <v>8.7043999999999996E-2</v>
      </c>
      <c r="K5981" s="118"/>
      <c r="L5981" s="111">
        <v>1</v>
      </c>
      <c r="M5981" s="117">
        <f t="shared" si="809"/>
        <v>8.7043999999999996E-2</v>
      </c>
      <c r="N5981" s="119">
        <f t="shared" si="810"/>
        <v>0</v>
      </c>
      <c r="O5981" s="120">
        <f t="shared" si="811"/>
        <v>0</v>
      </c>
      <c r="P5981" s="72">
        <v>8.1</v>
      </c>
      <c r="Q5981" s="72">
        <v>1</v>
      </c>
      <c r="R5981" s="72" t="s">
        <v>760</v>
      </c>
    </row>
    <row r="5982" spans="1:18" ht="15.6">
      <c r="A5982" s="110" t="s">
        <v>311</v>
      </c>
      <c r="B5982" s="111" t="s">
        <v>232</v>
      </c>
      <c r="C5982" s="112" t="s">
        <v>228</v>
      </c>
      <c r="D5982" s="113" t="s">
        <v>152</v>
      </c>
      <c r="E5982" s="216" t="s">
        <v>15</v>
      </c>
      <c r="F5982" s="216" t="s">
        <v>30</v>
      </c>
      <c r="G5982" s="217">
        <v>9.26</v>
      </c>
      <c r="H5982" s="218">
        <v>11</v>
      </c>
      <c r="I5982" s="219">
        <v>1</v>
      </c>
      <c r="J5982" s="220">
        <f t="shared" si="808"/>
        <v>0.10186000000000001</v>
      </c>
      <c r="K5982" s="118"/>
      <c r="L5982" s="45">
        <v>1</v>
      </c>
      <c r="M5982" s="117">
        <f t="shared" si="809"/>
        <v>0.10186000000000001</v>
      </c>
      <c r="N5982" s="119">
        <f t="shared" si="810"/>
        <v>0</v>
      </c>
      <c r="O5982" s="120">
        <f t="shared" si="811"/>
        <v>0</v>
      </c>
      <c r="P5982" s="111"/>
      <c r="Q5982" s="111"/>
      <c r="R5982" s="111"/>
    </row>
    <row r="5983" spans="1:18" ht="15.6">
      <c r="A5983" s="110" t="s">
        <v>311</v>
      </c>
      <c r="B5983" s="111" t="s">
        <v>232</v>
      </c>
      <c r="C5983" s="112" t="s">
        <v>228</v>
      </c>
      <c r="D5983" s="113" t="s">
        <v>152</v>
      </c>
      <c r="E5983" s="216" t="s">
        <v>15</v>
      </c>
      <c r="F5983" s="216" t="s">
        <v>30</v>
      </c>
      <c r="G5983" s="217">
        <v>9.26</v>
      </c>
      <c r="H5983" s="218">
        <v>10.6</v>
      </c>
      <c r="I5983" s="219">
        <v>1</v>
      </c>
      <c r="J5983" s="220">
        <f t="shared" si="808"/>
        <v>9.8155999999999993E-2</v>
      </c>
      <c r="K5983" s="118"/>
      <c r="L5983" s="45">
        <v>1</v>
      </c>
      <c r="M5983" s="117">
        <f t="shared" si="809"/>
        <v>9.8155999999999993E-2</v>
      </c>
      <c r="N5983" s="119">
        <f t="shared" si="810"/>
        <v>0</v>
      </c>
      <c r="O5983" s="120">
        <f t="shared" si="811"/>
        <v>0</v>
      </c>
      <c r="P5983" s="111"/>
      <c r="Q5983" s="111"/>
      <c r="R5983" s="111"/>
    </row>
    <row r="5984" spans="1:18" ht="15.6">
      <c r="A5984" s="110" t="s">
        <v>311</v>
      </c>
      <c r="B5984" s="111" t="s">
        <v>232</v>
      </c>
      <c r="C5984" s="112" t="s">
        <v>228</v>
      </c>
      <c r="D5984" s="113" t="s">
        <v>152</v>
      </c>
      <c r="E5984" s="216" t="s">
        <v>15</v>
      </c>
      <c r="F5984" s="216" t="s">
        <v>30</v>
      </c>
      <c r="G5984" s="217">
        <v>9.26</v>
      </c>
      <c r="H5984" s="218">
        <v>11.2</v>
      </c>
      <c r="I5984" s="219">
        <v>3</v>
      </c>
      <c r="J5984" s="220">
        <f t="shared" si="808"/>
        <v>0.31113599999999997</v>
      </c>
      <c r="K5984" s="118"/>
      <c r="L5984" s="45">
        <v>3</v>
      </c>
      <c r="M5984" s="117">
        <f t="shared" si="809"/>
        <v>0.31113599999999997</v>
      </c>
      <c r="N5984" s="119">
        <f t="shared" si="810"/>
        <v>0</v>
      </c>
      <c r="O5984" s="120">
        <f t="shared" si="811"/>
        <v>0</v>
      </c>
      <c r="P5984" s="111"/>
      <c r="Q5984" s="111"/>
      <c r="R5984" s="111"/>
    </row>
    <row r="5985" spans="1:20" ht="15.6">
      <c r="A5985" s="110" t="s">
        <v>311</v>
      </c>
      <c r="B5985" s="111" t="s">
        <v>232</v>
      </c>
      <c r="C5985" s="112" t="s">
        <v>228</v>
      </c>
      <c r="D5985" s="113" t="s">
        <v>152</v>
      </c>
      <c r="E5985" s="216" t="s">
        <v>15</v>
      </c>
      <c r="F5985" s="216" t="s">
        <v>30</v>
      </c>
      <c r="G5985" s="217">
        <v>9.26</v>
      </c>
      <c r="H5985" s="218">
        <v>11.8</v>
      </c>
      <c r="I5985" s="219">
        <v>5</v>
      </c>
      <c r="J5985" s="220">
        <f t="shared" si="808"/>
        <v>0.54634000000000005</v>
      </c>
      <c r="K5985" s="118"/>
      <c r="L5985" s="111">
        <v>5</v>
      </c>
      <c r="M5985" s="117">
        <f t="shared" si="809"/>
        <v>0.54634000000000005</v>
      </c>
      <c r="N5985" s="119">
        <f t="shared" si="810"/>
        <v>0</v>
      </c>
      <c r="O5985" s="120">
        <f t="shared" si="811"/>
        <v>0</v>
      </c>
      <c r="P5985" s="111"/>
      <c r="Q5985" s="111"/>
      <c r="R5985" s="111"/>
    </row>
    <row r="5986" spans="1:20" ht="15.6">
      <c r="A5986" s="110" t="s">
        <v>311</v>
      </c>
      <c r="B5986" s="111" t="s">
        <v>232</v>
      </c>
      <c r="C5986" s="112" t="s">
        <v>228</v>
      </c>
      <c r="D5986" s="113" t="s">
        <v>152</v>
      </c>
      <c r="E5986" s="216" t="s">
        <v>15</v>
      </c>
      <c r="F5986" s="216" t="s">
        <v>30</v>
      </c>
      <c r="G5986" s="217">
        <v>9.26</v>
      </c>
      <c r="H5986" s="218">
        <v>11.3</v>
      </c>
      <c r="I5986" s="219">
        <v>2</v>
      </c>
      <c r="J5986" s="220">
        <f t="shared" si="808"/>
        <v>0.20927600000000002</v>
      </c>
      <c r="K5986" s="118"/>
      <c r="L5986" s="111">
        <v>2</v>
      </c>
      <c r="M5986" s="117">
        <f t="shared" si="809"/>
        <v>0.20927600000000002</v>
      </c>
      <c r="N5986" s="119">
        <f t="shared" si="810"/>
        <v>0</v>
      </c>
      <c r="O5986" s="120">
        <f t="shared" si="811"/>
        <v>0</v>
      </c>
      <c r="P5986" s="72">
        <v>11.3</v>
      </c>
      <c r="Q5986" s="72">
        <v>2</v>
      </c>
      <c r="R5986" s="72" t="s">
        <v>395</v>
      </c>
    </row>
    <row r="5987" spans="1:20">
      <c r="A5987" s="213"/>
      <c r="B5987" s="213"/>
      <c r="C5987" s="213"/>
      <c r="D5987" s="213"/>
      <c r="E5987" s="213"/>
      <c r="F5987" s="213"/>
      <c r="G5987" s="213"/>
      <c r="H5987" s="213"/>
      <c r="I5987" s="215">
        <f>SUM(I5970:I5986)</f>
        <v>460</v>
      </c>
      <c r="J5987" s="214">
        <f>SUM(J5970:J5986)</f>
        <v>45.231396000000004</v>
      </c>
      <c r="K5987" s="213"/>
      <c r="L5987" s="215">
        <f>SUM(L5970:L5986)</f>
        <v>493</v>
      </c>
      <c r="M5987" s="214">
        <f>SUM(M5970:M5986)</f>
        <v>48.877984000000005</v>
      </c>
      <c r="N5987" s="78">
        <f>SUM(N5970:N5986)</f>
        <v>-33</v>
      </c>
      <c r="O5987" s="128">
        <f>SUM(O5970:O5986)</f>
        <v>-3.6465880000000004</v>
      </c>
      <c r="P5987" s="213"/>
      <c r="Q5987" s="80">
        <f>SUM(Q5970:Q5986)</f>
        <v>8</v>
      </c>
      <c r="R5987" s="213"/>
    </row>
    <row r="5989" spans="1:20" ht="15.6">
      <c r="A5989" s="110" t="s">
        <v>436</v>
      </c>
      <c r="B5989" s="111" t="s">
        <v>232</v>
      </c>
      <c r="C5989" s="112" t="s">
        <v>228</v>
      </c>
      <c r="D5989" s="113" t="s">
        <v>152</v>
      </c>
      <c r="E5989" s="216" t="s">
        <v>15</v>
      </c>
      <c r="F5989" s="216" t="s">
        <v>30</v>
      </c>
      <c r="G5989" s="217">
        <v>9.26</v>
      </c>
      <c r="H5989" s="218">
        <v>10.3</v>
      </c>
      <c r="I5989" s="219">
        <f>32+14+31+26+30+30+19</f>
        <v>182</v>
      </c>
      <c r="J5989" s="220">
        <f t="shared" ref="J5989:J5997" si="812">(G5989*H5989*I5989/1000)</f>
        <v>17.358795999999998</v>
      </c>
      <c r="K5989" s="118"/>
      <c r="L5989" s="111">
        <v>182</v>
      </c>
      <c r="M5989" s="117">
        <f t="shared" ref="M5989:M5997" si="813">H5989*L5989*G5989/1000</f>
        <v>17.358796000000002</v>
      </c>
      <c r="N5989" s="119">
        <f t="shared" ref="N5989:N5997" si="814">I5989-L5989</f>
        <v>0</v>
      </c>
      <c r="O5989" s="120">
        <f t="shared" ref="O5989:O5997" si="815">H5989*N5989*G5989/1000</f>
        <v>0</v>
      </c>
      <c r="P5989" s="111"/>
      <c r="Q5989" s="111"/>
      <c r="R5989" s="111"/>
    </row>
    <row r="5990" spans="1:20" ht="15.6">
      <c r="A5990" s="110" t="s">
        <v>436</v>
      </c>
      <c r="B5990" s="111" t="s">
        <v>232</v>
      </c>
      <c r="C5990" s="112" t="s">
        <v>228</v>
      </c>
      <c r="D5990" s="113" t="s">
        <v>152</v>
      </c>
      <c r="E5990" s="216" t="s">
        <v>15</v>
      </c>
      <c r="F5990" s="216" t="s">
        <v>30</v>
      </c>
      <c r="G5990" s="217">
        <v>9.26</v>
      </c>
      <c r="H5990" s="218">
        <v>11.3</v>
      </c>
      <c r="I5990" s="219">
        <f>15+31</f>
        <v>46</v>
      </c>
      <c r="J5990" s="220">
        <f t="shared" si="812"/>
        <v>4.8133479999999995</v>
      </c>
      <c r="K5990" s="118"/>
      <c r="L5990" s="111">
        <f>39+7</f>
        <v>46</v>
      </c>
      <c r="M5990" s="117">
        <f t="shared" si="813"/>
        <v>4.8133480000000013</v>
      </c>
      <c r="N5990" s="119">
        <f t="shared" si="814"/>
        <v>0</v>
      </c>
      <c r="O5990" s="120">
        <f t="shared" si="815"/>
        <v>0</v>
      </c>
      <c r="P5990" s="111"/>
      <c r="Q5990" s="111"/>
      <c r="R5990" s="111"/>
    </row>
    <row r="5991" spans="1:20" ht="15.6">
      <c r="A5991" s="110" t="s">
        <v>436</v>
      </c>
      <c r="B5991" s="111" t="s">
        <v>232</v>
      </c>
      <c r="C5991" s="112" t="s">
        <v>228</v>
      </c>
      <c r="D5991" s="113" t="s">
        <v>152</v>
      </c>
      <c r="E5991" s="216" t="s">
        <v>15</v>
      </c>
      <c r="F5991" s="216" t="s">
        <v>30</v>
      </c>
      <c r="G5991" s="217">
        <v>9.26</v>
      </c>
      <c r="H5991" s="218">
        <v>11.8</v>
      </c>
      <c r="I5991" s="219">
        <f>27+32+32+33+26+26+26+26+28+29+29+29+27</f>
        <v>370</v>
      </c>
      <c r="J5991" s="220">
        <f t="shared" si="812"/>
        <v>40.429160000000003</v>
      </c>
      <c r="K5991" s="118"/>
      <c r="L5991" s="111">
        <v>370</v>
      </c>
      <c r="M5991" s="117">
        <f t="shared" si="813"/>
        <v>40.429159999999996</v>
      </c>
      <c r="N5991" s="119">
        <f t="shared" si="814"/>
        <v>0</v>
      </c>
      <c r="O5991" s="120">
        <f t="shared" si="815"/>
        <v>0</v>
      </c>
      <c r="P5991" s="111"/>
      <c r="Q5991" s="111"/>
      <c r="R5991" s="111"/>
    </row>
    <row r="5992" spans="1:20" ht="15.6">
      <c r="A5992" s="110" t="s">
        <v>436</v>
      </c>
      <c r="B5992" s="111" t="s">
        <v>232</v>
      </c>
      <c r="C5992" s="112" t="s">
        <v>228</v>
      </c>
      <c r="D5992" s="113" t="s">
        <v>152</v>
      </c>
      <c r="E5992" s="216" t="s">
        <v>15</v>
      </c>
      <c r="F5992" s="216" t="s">
        <v>30</v>
      </c>
      <c r="G5992" s="217">
        <v>9.26</v>
      </c>
      <c r="H5992" s="218">
        <v>12</v>
      </c>
      <c r="I5992" s="219">
        <f>5+17</f>
        <v>22</v>
      </c>
      <c r="J5992" s="220">
        <f t="shared" si="812"/>
        <v>2.4446400000000001</v>
      </c>
      <c r="K5992" s="118"/>
      <c r="L5992" s="111">
        <f>19+3</f>
        <v>22</v>
      </c>
      <c r="M5992" s="117">
        <f t="shared" si="813"/>
        <v>2.4446399999999997</v>
      </c>
      <c r="N5992" s="119">
        <f t="shared" si="814"/>
        <v>0</v>
      </c>
      <c r="O5992" s="120">
        <f t="shared" si="815"/>
        <v>0</v>
      </c>
      <c r="P5992" s="111"/>
      <c r="Q5992" s="111"/>
      <c r="R5992" s="111"/>
    </row>
    <row r="5993" spans="1:20" ht="15.6">
      <c r="A5993" s="110" t="s">
        <v>436</v>
      </c>
      <c r="B5993" s="111" t="s">
        <v>232</v>
      </c>
      <c r="C5993" s="112" t="s">
        <v>228</v>
      </c>
      <c r="D5993" s="113" t="s">
        <v>152</v>
      </c>
      <c r="E5993" s="216" t="s">
        <v>15</v>
      </c>
      <c r="F5993" s="216" t="s">
        <v>30</v>
      </c>
      <c r="G5993" s="217">
        <v>9.26</v>
      </c>
      <c r="H5993" s="218">
        <v>9</v>
      </c>
      <c r="I5993" s="219">
        <v>1</v>
      </c>
      <c r="J5993" s="220">
        <f t="shared" si="812"/>
        <v>8.3339999999999997E-2</v>
      </c>
      <c r="K5993" s="118"/>
      <c r="L5993" s="111">
        <v>1</v>
      </c>
      <c r="M5993" s="117">
        <f t="shared" si="813"/>
        <v>8.3339999999999997E-2</v>
      </c>
      <c r="N5993" s="119">
        <f t="shared" si="814"/>
        <v>0</v>
      </c>
      <c r="O5993" s="120">
        <f t="shared" si="815"/>
        <v>0</v>
      </c>
      <c r="P5993" s="75">
        <v>9</v>
      </c>
      <c r="Q5993" s="72">
        <v>1</v>
      </c>
      <c r="R5993" s="72" t="s">
        <v>762</v>
      </c>
    </row>
    <row r="5994" spans="1:20" ht="15.6">
      <c r="A5994" s="110" t="s">
        <v>436</v>
      </c>
      <c r="B5994" s="111" t="s">
        <v>232</v>
      </c>
      <c r="C5994" s="112" t="s">
        <v>228</v>
      </c>
      <c r="D5994" s="113" t="s">
        <v>152</v>
      </c>
      <c r="E5994" s="216" t="s">
        <v>15</v>
      </c>
      <c r="F5994" s="216" t="s">
        <v>30</v>
      </c>
      <c r="G5994" s="217">
        <v>9.26</v>
      </c>
      <c r="H5994" s="218">
        <v>10</v>
      </c>
      <c r="I5994" s="219">
        <v>1</v>
      </c>
      <c r="J5994" s="220">
        <f t="shared" si="812"/>
        <v>9.2599999999999988E-2</v>
      </c>
      <c r="K5994" s="118"/>
      <c r="L5994" s="111">
        <v>1</v>
      </c>
      <c r="M5994" s="117">
        <f t="shared" si="813"/>
        <v>9.2599999999999988E-2</v>
      </c>
      <c r="N5994" s="119">
        <f t="shared" si="814"/>
        <v>0</v>
      </c>
      <c r="O5994" s="120">
        <f t="shared" si="815"/>
        <v>0</v>
      </c>
      <c r="P5994" s="75">
        <v>9</v>
      </c>
      <c r="Q5994" s="72">
        <v>1</v>
      </c>
      <c r="R5994" s="72" t="s">
        <v>762</v>
      </c>
    </row>
    <row r="5995" spans="1:20" ht="15.6">
      <c r="A5995" s="110" t="s">
        <v>436</v>
      </c>
      <c r="B5995" s="111" t="s">
        <v>232</v>
      </c>
      <c r="C5995" s="112" t="s">
        <v>228</v>
      </c>
      <c r="D5995" s="113" t="s">
        <v>152</v>
      </c>
      <c r="E5995" s="216" t="s">
        <v>15</v>
      </c>
      <c r="F5995" s="216" t="s">
        <v>30</v>
      </c>
      <c r="G5995" s="217">
        <v>9.26</v>
      </c>
      <c r="H5995" s="221">
        <v>10</v>
      </c>
      <c r="I5995" s="219">
        <v>5</v>
      </c>
      <c r="J5995" s="220">
        <f t="shared" si="812"/>
        <v>0.46300000000000002</v>
      </c>
      <c r="K5995" s="118"/>
      <c r="L5995" s="111">
        <v>4</v>
      </c>
      <c r="M5995" s="117">
        <f t="shared" si="813"/>
        <v>0.37039999999999995</v>
      </c>
      <c r="N5995" s="119">
        <f t="shared" si="814"/>
        <v>1</v>
      </c>
      <c r="O5995" s="120">
        <f t="shared" si="815"/>
        <v>9.2599999999999988E-2</v>
      </c>
      <c r="P5995" s="75" t="s">
        <v>761</v>
      </c>
      <c r="Q5995" s="72">
        <v>5</v>
      </c>
      <c r="R5995" s="72" t="s">
        <v>763</v>
      </c>
    </row>
    <row r="5996" spans="1:20" ht="15.6">
      <c r="A5996" s="110" t="s">
        <v>436</v>
      </c>
      <c r="B5996" s="111" t="s">
        <v>232</v>
      </c>
      <c r="C5996" s="112" t="s">
        <v>228</v>
      </c>
      <c r="D5996" s="113" t="s">
        <v>152</v>
      </c>
      <c r="E5996" s="216" t="s">
        <v>15</v>
      </c>
      <c r="F5996" s="216" t="s">
        <v>30</v>
      </c>
      <c r="G5996" s="217">
        <v>9.26</v>
      </c>
      <c r="H5996" s="221">
        <v>9.8000000000000007</v>
      </c>
      <c r="I5996" s="219">
        <v>4</v>
      </c>
      <c r="J5996" s="220">
        <f t="shared" si="812"/>
        <v>0.36299200000000004</v>
      </c>
      <c r="K5996" s="118"/>
      <c r="L5996" s="111">
        <f>3+1</f>
        <v>4</v>
      </c>
      <c r="M5996" s="117">
        <f t="shared" si="813"/>
        <v>0.36299200000000004</v>
      </c>
      <c r="N5996" s="119">
        <f t="shared" si="814"/>
        <v>0</v>
      </c>
      <c r="O5996" s="120">
        <f t="shared" si="815"/>
        <v>0</v>
      </c>
      <c r="P5996" s="75">
        <v>9</v>
      </c>
      <c r="Q5996" s="72">
        <v>1</v>
      </c>
      <c r="R5996" s="72" t="s">
        <v>762</v>
      </c>
    </row>
    <row r="5997" spans="1:20" ht="15.6">
      <c r="A5997" s="110" t="s">
        <v>436</v>
      </c>
      <c r="B5997" s="111" t="s">
        <v>232</v>
      </c>
      <c r="C5997" s="112" t="s">
        <v>228</v>
      </c>
      <c r="D5997" s="113" t="s">
        <v>152</v>
      </c>
      <c r="E5997" s="216" t="s">
        <v>15</v>
      </c>
      <c r="F5997" s="216" t="s">
        <v>30</v>
      </c>
      <c r="G5997" s="217">
        <v>9.26</v>
      </c>
      <c r="H5997" s="221">
        <v>9</v>
      </c>
      <c r="I5997" s="219">
        <v>1</v>
      </c>
      <c r="J5997" s="220">
        <f t="shared" si="812"/>
        <v>8.3339999999999997E-2</v>
      </c>
      <c r="K5997" s="118"/>
      <c r="L5997" s="111">
        <v>1</v>
      </c>
      <c r="M5997" s="117">
        <f t="shared" si="813"/>
        <v>8.3339999999999997E-2</v>
      </c>
      <c r="N5997" s="119">
        <f t="shared" si="814"/>
        <v>0</v>
      </c>
      <c r="O5997" s="120">
        <f t="shared" si="815"/>
        <v>0</v>
      </c>
      <c r="P5997" s="75">
        <v>9</v>
      </c>
      <c r="Q5997" s="72">
        <v>1</v>
      </c>
      <c r="R5997" s="72" t="s">
        <v>762</v>
      </c>
    </row>
    <row r="5998" spans="1:20">
      <c r="A5998" s="213"/>
      <c r="B5998" s="213"/>
      <c r="C5998" s="213"/>
      <c r="D5998" s="213"/>
      <c r="E5998" s="213"/>
      <c r="F5998" s="213"/>
      <c r="G5998" s="213"/>
      <c r="H5998" s="213"/>
      <c r="I5998" s="215">
        <f>SUM(I5989:I5997)</f>
        <v>632</v>
      </c>
      <c r="J5998" s="214">
        <f>SUM(J5989:J5997)</f>
        <v>66.131216000000023</v>
      </c>
      <c r="K5998" s="213"/>
      <c r="L5998" s="215">
        <f>SUM(L5989:L5997)</f>
        <v>631</v>
      </c>
      <c r="M5998" s="214">
        <f>SUM(M5989:M5997)</f>
        <v>66.038616000000019</v>
      </c>
      <c r="N5998" s="215">
        <f>SUM(N5989:N5997)</f>
        <v>1</v>
      </c>
      <c r="O5998" s="214">
        <f>SUM(O5989:O5997)</f>
        <v>9.2599999999999988E-2</v>
      </c>
      <c r="P5998" s="213"/>
      <c r="Q5998" s="215">
        <f>SUM(Q5989:Q5997)</f>
        <v>9</v>
      </c>
      <c r="R5998" s="213"/>
    </row>
    <row r="6000" spans="1:20" ht="15.6">
      <c r="A6000" s="110" t="s">
        <v>554</v>
      </c>
      <c r="B6000" s="111" t="s">
        <v>505</v>
      </c>
      <c r="C6000" s="112" t="s">
        <v>449</v>
      </c>
      <c r="D6000" s="113" t="s">
        <v>152</v>
      </c>
      <c r="E6000" s="216" t="s">
        <v>15</v>
      </c>
      <c r="F6000" s="216" t="s">
        <v>30</v>
      </c>
      <c r="G6000" s="217">
        <v>9.26</v>
      </c>
      <c r="H6000" s="218">
        <v>9.1999999999999993</v>
      </c>
      <c r="I6000" s="219">
        <v>1</v>
      </c>
      <c r="J6000" s="220">
        <f t="shared" ref="J6000:J6014" si="816">(G6000*H6000*I6000/1000)</f>
        <v>8.519199999999999E-2</v>
      </c>
      <c r="K6000" s="118"/>
      <c r="L6000" s="111"/>
      <c r="M6000" s="117">
        <f t="shared" ref="M6000:M6014" si="817">H6000*L6000*G6000/1000</f>
        <v>0</v>
      </c>
      <c r="N6000" s="119">
        <f t="shared" ref="N6000:N6014" si="818">I6000-L6000</f>
        <v>1</v>
      </c>
      <c r="O6000" s="120">
        <f t="shared" ref="O6000:O6014" si="819">H6000*N6000*G6000/1000</f>
        <v>8.519199999999999E-2</v>
      </c>
      <c r="P6000" s="111"/>
      <c r="Q6000" s="111"/>
      <c r="R6000" s="111"/>
      <c r="S6000" s="213"/>
      <c r="T6000" s="213"/>
    </row>
    <row r="6001" spans="1:20" ht="15.6">
      <c r="A6001" s="110" t="s">
        <v>554</v>
      </c>
      <c r="B6001" s="111" t="s">
        <v>505</v>
      </c>
      <c r="C6001" s="112" t="s">
        <v>449</v>
      </c>
      <c r="D6001" s="113" t="s">
        <v>152</v>
      </c>
      <c r="E6001" s="216" t="s">
        <v>15</v>
      </c>
      <c r="F6001" s="216" t="s">
        <v>30</v>
      </c>
      <c r="G6001" s="217">
        <v>9.26</v>
      </c>
      <c r="H6001" s="218">
        <v>11.7</v>
      </c>
      <c r="I6001" s="219">
        <v>2</v>
      </c>
      <c r="J6001" s="220">
        <f t="shared" si="816"/>
        <v>0.21668399999999996</v>
      </c>
      <c r="K6001" s="118"/>
      <c r="L6001" s="111">
        <v>2</v>
      </c>
      <c r="M6001" s="117">
        <f t="shared" si="817"/>
        <v>0.21668399999999996</v>
      </c>
      <c r="N6001" s="119">
        <f t="shared" si="818"/>
        <v>0</v>
      </c>
      <c r="O6001" s="120">
        <f t="shared" si="819"/>
        <v>0</v>
      </c>
      <c r="P6001" s="111"/>
      <c r="Q6001" s="111"/>
      <c r="R6001" s="91">
        <v>11.3</v>
      </c>
      <c r="S6001" s="156">
        <v>2</v>
      </c>
      <c r="T6001" s="156" t="s">
        <v>764</v>
      </c>
    </row>
    <row r="6002" spans="1:20" ht="15.6">
      <c r="A6002" s="110" t="s">
        <v>554</v>
      </c>
      <c r="B6002" s="111" t="s">
        <v>505</v>
      </c>
      <c r="C6002" s="112" t="s">
        <v>449</v>
      </c>
      <c r="D6002" s="113" t="s">
        <v>152</v>
      </c>
      <c r="E6002" s="216" t="s">
        <v>15</v>
      </c>
      <c r="F6002" s="216" t="s">
        <v>30</v>
      </c>
      <c r="G6002" s="217">
        <v>9.26</v>
      </c>
      <c r="H6002" s="218">
        <v>10</v>
      </c>
      <c r="I6002" s="219">
        <v>32</v>
      </c>
      <c r="J6002" s="220">
        <f t="shared" si="816"/>
        <v>2.9631999999999996</v>
      </c>
      <c r="K6002" s="118"/>
      <c r="L6002" s="111">
        <v>32</v>
      </c>
      <c r="M6002" s="117">
        <f t="shared" si="817"/>
        <v>2.9631999999999996</v>
      </c>
      <c r="N6002" s="119">
        <f t="shared" si="818"/>
        <v>0</v>
      </c>
      <c r="O6002" s="120">
        <f t="shared" si="819"/>
        <v>0</v>
      </c>
      <c r="P6002" s="111"/>
      <c r="Q6002" s="111"/>
      <c r="R6002" s="111"/>
      <c r="S6002" s="213"/>
      <c r="T6002" s="213"/>
    </row>
    <row r="6003" spans="1:20" ht="15.6">
      <c r="A6003" s="110" t="s">
        <v>554</v>
      </c>
      <c r="B6003" s="111" t="s">
        <v>505</v>
      </c>
      <c r="C6003" s="112" t="s">
        <v>449</v>
      </c>
      <c r="D6003" s="113" t="s">
        <v>152</v>
      </c>
      <c r="E6003" s="216" t="s">
        <v>15</v>
      </c>
      <c r="F6003" s="216" t="s">
        <v>30</v>
      </c>
      <c r="G6003" s="217">
        <v>9.26</v>
      </c>
      <c r="H6003" s="218">
        <v>10</v>
      </c>
      <c r="I6003" s="219">
        <v>10</v>
      </c>
      <c r="J6003" s="220">
        <f t="shared" si="816"/>
        <v>0.92600000000000005</v>
      </c>
      <c r="K6003" s="118"/>
      <c r="L6003" s="111">
        <v>10</v>
      </c>
      <c r="M6003" s="117">
        <f t="shared" si="817"/>
        <v>0.92600000000000005</v>
      </c>
      <c r="N6003" s="119">
        <f t="shared" si="818"/>
        <v>0</v>
      </c>
      <c r="O6003" s="120">
        <f t="shared" si="819"/>
        <v>0</v>
      </c>
      <c r="P6003" s="111"/>
      <c r="Q6003" s="111"/>
      <c r="R6003" s="111"/>
      <c r="S6003" s="213"/>
      <c r="T6003" s="213"/>
    </row>
    <row r="6004" spans="1:20" ht="15.6">
      <c r="A6004" s="110" t="s">
        <v>554</v>
      </c>
      <c r="B6004" s="111" t="s">
        <v>505</v>
      </c>
      <c r="C6004" s="112" t="s">
        <v>449</v>
      </c>
      <c r="D6004" s="113" t="s">
        <v>152</v>
      </c>
      <c r="E6004" s="216" t="s">
        <v>15</v>
      </c>
      <c r="F6004" s="216" t="s">
        <v>30</v>
      </c>
      <c r="G6004" s="217">
        <v>9.26</v>
      </c>
      <c r="H6004" s="218">
        <v>10.5</v>
      </c>
      <c r="I6004" s="219">
        <v>18</v>
      </c>
      <c r="J6004" s="220">
        <f t="shared" si="816"/>
        <v>1.75014</v>
      </c>
      <c r="K6004" s="118"/>
      <c r="L6004" s="111">
        <v>18</v>
      </c>
      <c r="M6004" s="117">
        <f t="shared" si="817"/>
        <v>1.7501399999999998</v>
      </c>
      <c r="N6004" s="119">
        <f t="shared" si="818"/>
        <v>0</v>
      </c>
      <c r="O6004" s="120">
        <f t="shared" si="819"/>
        <v>0</v>
      </c>
      <c r="P6004" s="111"/>
      <c r="Q6004" s="111"/>
      <c r="R6004" s="111"/>
      <c r="S6004" s="213"/>
      <c r="T6004" s="213"/>
    </row>
    <row r="6005" spans="1:20" ht="15.6">
      <c r="A6005" s="110" t="s">
        <v>554</v>
      </c>
      <c r="B6005" s="111" t="s">
        <v>505</v>
      </c>
      <c r="C6005" s="112" t="s">
        <v>449</v>
      </c>
      <c r="D6005" s="113" t="s">
        <v>152</v>
      </c>
      <c r="E6005" s="216" t="s">
        <v>15</v>
      </c>
      <c r="F6005" s="216" t="s">
        <v>30</v>
      </c>
      <c r="G6005" s="217">
        <v>9.26</v>
      </c>
      <c r="H6005" s="218">
        <v>10.5</v>
      </c>
      <c r="I6005" s="219">
        <v>35</v>
      </c>
      <c r="J6005" s="220">
        <f t="shared" si="816"/>
        <v>3.4030500000000004</v>
      </c>
      <c r="K6005" s="118"/>
      <c r="L6005" s="111">
        <v>35</v>
      </c>
      <c r="M6005" s="117">
        <f t="shared" si="817"/>
        <v>3.4030499999999999</v>
      </c>
      <c r="N6005" s="119">
        <f t="shared" si="818"/>
        <v>0</v>
      </c>
      <c r="O6005" s="120">
        <f t="shared" si="819"/>
        <v>0</v>
      </c>
      <c r="P6005" s="111"/>
      <c r="Q6005" s="111"/>
      <c r="R6005" s="111"/>
      <c r="S6005" s="213"/>
      <c r="T6005" s="213"/>
    </row>
    <row r="6006" spans="1:20" ht="15.6">
      <c r="A6006" s="110" t="s">
        <v>554</v>
      </c>
      <c r="B6006" s="111" t="s">
        <v>505</v>
      </c>
      <c r="C6006" s="112" t="s">
        <v>449</v>
      </c>
      <c r="D6006" s="113" t="s">
        <v>152</v>
      </c>
      <c r="E6006" s="216" t="s">
        <v>15</v>
      </c>
      <c r="F6006" s="216" t="s">
        <v>30</v>
      </c>
      <c r="G6006" s="217">
        <v>9.26</v>
      </c>
      <c r="H6006" s="218">
        <v>10.5</v>
      </c>
      <c r="I6006" s="219">
        <v>32</v>
      </c>
      <c r="J6006" s="220">
        <f t="shared" si="816"/>
        <v>3.1113600000000003</v>
      </c>
      <c r="K6006" s="118"/>
      <c r="L6006" s="111">
        <v>32</v>
      </c>
      <c r="M6006" s="117">
        <f t="shared" si="817"/>
        <v>3.1113600000000003</v>
      </c>
      <c r="N6006" s="119">
        <f t="shared" si="818"/>
        <v>0</v>
      </c>
      <c r="O6006" s="120">
        <f t="shared" si="819"/>
        <v>0</v>
      </c>
      <c r="P6006" s="111"/>
      <c r="Q6006" s="111"/>
      <c r="R6006" s="111"/>
      <c r="S6006" s="213"/>
      <c r="T6006" s="213"/>
    </row>
    <row r="6007" spans="1:20" ht="15.6">
      <c r="A6007" s="110" t="s">
        <v>554</v>
      </c>
      <c r="B6007" s="111" t="s">
        <v>505</v>
      </c>
      <c r="C6007" s="112" t="s">
        <v>449</v>
      </c>
      <c r="D6007" s="113" t="s">
        <v>152</v>
      </c>
      <c r="E6007" s="216" t="s">
        <v>15</v>
      </c>
      <c r="F6007" s="216" t="s">
        <v>30</v>
      </c>
      <c r="G6007" s="217">
        <v>9.26</v>
      </c>
      <c r="H6007" s="218">
        <v>10.5</v>
      </c>
      <c r="I6007" s="219">
        <v>32</v>
      </c>
      <c r="J6007" s="220">
        <f t="shared" si="816"/>
        <v>3.1113600000000003</v>
      </c>
      <c r="K6007" s="118"/>
      <c r="L6007" s="111">
        <v>32</v>
      </c>
      <c r="M6007" s="117">
        <f t="shared" si="817"/>
        <v>3.1113600000000003</v>
      </c>
      <c r="N6007" s="119">
        <f t="shared" si="818"/>
        <v>0</v>
      </c>
      <c r="O6007" s="120">
        <f t="shared" si="819"/>
        <v>0</v>
      </c>
      <c r="P6007" s="111"/>
      <c r="Q6007" s="111"/>
      <c r="R6007" s="111"/>
      <c r="S6007" s="213"/>
      <c r="T6007" s="213"/>
    </row>
    <row r="6008" spans="1:20" ht="15.6">
      <c r="A6008" s="110" t="s">
        <v>554</v>
      </c>
      <c r="B6008" s="111" t="s">
        <v>505</v>
      </c>
      <c r="C6008" s="112" t="s">
        <v>449</v>
      </c>
      <c r="D6008" s="113" t="s">
        <v>152</v>
      </c>
      <c r="E6008" s="216" t="s">
        <v>15</v>
      </c>
      <c r="F6008" s="216" t="s">
        <v>30</v>
      </c>
      <c r="G6008" s="217">
        <v>9.26</v>
      </c>
      <c r="H6008" s="218">
        <v>10.5</v>
      </c>
      <c r="I6008" s="219">
        <v>32</v>
      </c>
      <c r="J6008" s="220">
        <f t="shared" si="816"/>
        <v>3.1113600000000003</v>
      </c>
      <c r="K6008" s="118"/>
      <c r="L6008" s="111">
        <v>32</v>
      </c>
      <c r="M6008" s="117">
        <f t="shared" si="817"/>
        <v>3.1113600000000003</v>
      </c>
      <c r="N6008" s="119">
        <f t="shared" si="818"/>
        <v>0</v>
      </c>
      <c r="O6008" s="120">
        <f t="shared" si="819"/>
        <v>0</v>
      </c>
      <c r="P6008" s="111"/>
      <c r="Q6008" s="111"/>
      <c r="R6008" s="111"/>
      <c r="S6008" s="213"/>
      <c r="T6008" s="213"/>
    </row>
    <row r="6009" spans="1:20" ht="15.6">
      <c r="A6009" s="110" t="s">
        <v>554</v>
      </c>
      <c r="B6009" s="111" t="s">
        <v>505</v>
      </c>
      <c r="C6009" s="112" t="s">
        <v>449</v>
      </c>
      <c r="D6009" s="113" t="s">
        <v>152</v>
      </c>
      <c r="E6009" s="216" t="s">
        <v>15</v>
      </c>
      <c r="F6009" s="216" t="s">
        <v>30</v>
      </c>
      <c r="G6009" s="217">
        <v>9.26</v>
      </c>
      <c r="H6009" s="218">
        <v>10.5</v>
      </c>
      <c r="I6009" s="219">
        <v>32</v>
      </c>
      <c r="J6009" s="220">
        <f t="shared" si="816"/>
        <v>3.1113600000000003</v>
      </c>
      <c r="K6009" s="118"/>
      <c r="L6009" s="111">
        <v>32</v>
      </c>
      <c r="M6009" s="117">
        <f t="shared" si="817"/>
        <v>3.1113600000000003</v>
      </c>
      <c r="N6009" s="119">
        <f t="shared" si="818"/>
        <v>0</v>
      </c>
      <c r="O6009" s="120">
        <f t="shared" si="819"/>
        <v>0</v>
      </c>
      <c r="P6009" s="111"/>
      <c r="Q6009" s="111"/>
      <c r="R6009" s="111"/>
      <c r="S6009" s="213"/>
      <c r="T6009" s="213"/>
    </row>
    <row r="6010" spans="1:20" ht="15.6">
      <c r="A6010" s="110" t="s">
        <v>554</v>
      </c>
      <c r="B6010" s="111" t="s">
        <v>505</v>
      </c>
      <c r="C6010" s="112" t="s">
        <v>449</v>
      </c>
      <c r="D6010" s="113" t="s">
        <v>152</v>
      </c>
      <c r="E6010" s="216" t="s">
        <v>15</v>
      </c>
      <c r="F6010" s="216" t="s">
        <v>30</v>
      </c>
      <c r="G6010" s="217">
        <v>9.26</v>
      </c>
      <c r="H6010" s="218">
        <v>10.5</v>
      </c>
      <c r="I6010" s="219">
        <v>32</v>
      </c>
      <c r="J6010" s="220">
        <f t="shared" si="816"/>
        <v>3.1113600000000003</v>
      </c>
      <c r="K6010" s="118"/>
      <c r="L6010" s="111">
        <v>32</v>
      </c>
      <c r="M6010" s="117">
        <f t="shared" si="817"/>
        <v>3.1113600000000003</v>
      </c>
      <c r="N6010" s="119">
        <f t="shared" si="818"/>
        <v>0</v>
      </c>
      <c r="O6010" s="120">
        <f t="shared" si="819"/>
        <v>0</v>
      </c>
      <c r="P6010" s="111"/>
      <c r="Q6010" s="111"/>
      <c r="R6010" s="111"/>
      <c r="S6010" s="213"/>
      <c r="T6010" s="213"/>
    </row>
    <row r="6011" spans="1:20" ht="15.6">
      <c r="A6011" s="110" t="s">
        <v>554</v>
      </c>
      <c r="B6011" s="111" t="s">
        <v>505</v>
      </c>
      <c r="C6011" s="112" t="s">
        <v>449</v>
      </c>
      <c r="D6011" s="113" t="s">
        <v>152</v>
      </c>
      <c r="E6011" s="216" t="s">
        <v>15</v>
      </c>
      <c r="F6011" s="216" t="s">
        <v>30</v>
      </c>
      <c r="G6011" s="217">
        <v>9.26</v>
      </c>
      <c r="H6011" s="218">
        <v>12</v>
      </c>
      <c r="I6011" s="219">
        <v>30</v>
      </c>
      <c r="J6011" s="220">
        <f t="shared" si="816"/>
        <v>3.3336000000000006</v>
      </c>
      <c r="K6011" s="118"/>
      <c r="L6011" s="111">
        <v>30</v>
      </c>
      <c r="M6011" s="117">
        <f t="shared" si="817"/>
        <v>3.3336000000000001</v>
      </c>
      <c r="N6011" s="119">
        <f t="shared" si="818"/>
        <v>0</v>
      </c>
      <c r="O6011" s="120">
        <f t="shared" si="819"/>
        <v>0</v>
      </c>
      <c r="P6011" s="111"/>
      <c r="Q6011" s="111"/>
      <c r="R6011" s="111"/>
      <c r="S6011" s="213"/>
      <c r="T6011" s="213"/>
    </row>
    <row r="6012" spans="1:20" ht="15.6">
      <c r="A6012" s="110" t="s">
        <v>554</v>
      </c>
      <c r="B6012" s="111" t="s">
        <v>505</v>
      </c>
      <c r="C6012" s="112" t="s">
        <v>449</v>
      </c>
      <c r="D6012" s="113" t="s">
        <v>152</v>
      </c>
      <c r="E6012" s="216" t="s">
        <v>15</v>
      </c>
      <c r="F6012" s="216" t="s">
        <v>30</v>
      </c>
      <c r="G6012" s="217">
        <v>9.26</v>
      </c>
      <c r="H6012" s="218">
        <v>12</v>
      </c>
      <c r="I6012" s="219">
        <v>12</v>
      </c>
      <c r="J6012" s="220">
        <f t="shared" si="816"/>
        <v>1.33344</v>
      </c>
      <c r="K6012" s="118"/>
      <c r="L6012" s="111">
        <f>3+9</f>
        <v>12</v>
      </c>
      <c r="M6012" s="117">
        <f t="shared" si="817"/>
        <v>1.33344</v>
      </c>
      <c r="N6012" s="119">
        <f t="shared" si="818"/>
        <v>0</v>
      </c>
      <c r="O6012" s="120">
        <f t="shared" si="819"/>
        <v>0</v>
      </c>
      <c r="P6012" s="111"/>
      <c r="Q6012" s="111"/>
      <c r="R6012" s="102">
        <v>11.3</v>
      </c>
      <c r="S6012" s="156">
        <v>9</v>
      </c>
      <c r="T6012" s="156" t="s">
        <v>764</v>
      </c>
    </row>
    <row r="6013" spans="1:20" ht="15.6">
      <c r="A6013" s="110" t="s">
        <v>554</v>
      </c>
      <c r="B6013" s="111" t="s">
        <v>505</v>
      </c>
      <c r="C6013" s="112" t="s">
        <v>449</v>
      </c>
      <c r="D6013" s="113" t="s">
        <v>152</v>
      </c>
      <c r="E6013" s="216" t="s">
        <v>15</v>
      </c>
      <c r="F6013" s="216" t="s">
        <v>30</v>
      </c>
      <c r="G6013" s="217">
        <v>9.26</v>
      </c>
      <c r="H6013" s="218">
        <v>11.5</v>
      </c>
      <c r="I6013" s="219">
        <v>2</v>
      </c>
      <c r="J6013" s="220">
        <f t="shared" si="816"/>
        <v>0.21298</v>
      </c>
      <c r="K6013" s="118"/>
      <c r="L6013" s="111">
        <v>2</v>
      </c>
      <c r="M6013" s="117">
        <f t="shared" si="817"/>
        <v>0.21298</v>
      </c>
      <c r="N6013" s="119">
        <f t="shared" si="818"/>
        <v>0</v>
      </c>
      <c r="O6013" s="120">
        <f t="shared" si="819"/>
        <v>0</v>
      </c>
      <c r="P6013" s="111">
        <v>10</v>
      </c>
      <c r="Q6013" s="111">
        <v>2</v>
      </c>
      <c r="R6013" s="130"/>
      <c r="S6013" s="213"/>
      <c r="T6013" s="213"/>
    </row>
    <row r="6014" spans="1:20" ht="15.6">
      <c r="A6014" s="110" t="s">
        <v>554</v>
      </c>
      <c r="B6014" s="111" t="s">
        <v>505</v>
      </c>
      <c r="C6014" s="112" t="s">
        <v>449</v>
      </c>
      <c r="D6014" s="113" t="s">
        <v>152</v>
      </c>
      <c r="E6014" s="216" t="s">
        <v>15</v>
      </c>
      <c r="F6014" s="216" t="s">
        <v>30</v>
      </c>
      <c r="G6014" s="217">
        <v>9.26</v>
      </c>
      <c r="H6014" s="218">
        <v>11.65</v>
      </c>
      <c r="I6014" s="219">
        <v>3</v>
      </c>
      <c r="J6014" s="220">
        <f t="shared" si="816"/>
        <v>0.32363700000000001</v>
      </c>
      <c r="K6014" s="118"/>
      <c r="L6014" s="111">
        <f>2+1</f>
        <v>3</v>
      </c>
      <c r="M6014" s="117">
        <f t="shared" si="817"/>
        <v>0.32363700000000001</v>
      </c>
      <c r="N6014" s="119">
        <f t="shared" si="818"/>
        <v>0</v>
      </c>
      <c r="O6014" s="120">
        <f t="shared" si="819"/>
        <v>0</v>
      </c>
      <c r="P6014" s="111">
        <v>10</v>
      </c>
      <c r="Q6014" s="111">
        <v>2</v>
      </c>
      <c r="R6014" s="102">
        <v>11.3</v>
      </c>
      <c r="S6014" s="190">
        <v>1</v>
      </c>
      <c r="T6014" s="156" t="s">
        <v>764</v>
      </c>
    </row>
    <row r="6015" spans="1:20">
      <c r="N6015" s="215">
        <f>SUM(N6000:N6014)</f>
        <v>1</v>
      </c>
      <c r="S6015" s="215">
        <f>SUM(S6000:S6014)</f>
        <v>12</v>
      </c>
    </row>
    <row r="6018" spans="1:20" ht="15.6">
      <c r="A6018" s="110" t="s">
        <v>448</v>
      </c>
      <c r="B6018" s="111" t="s">
        <v>232</v>
      </c>
      <c r="C6018" s="112" t="s">
        <v>468</v>
      </c>
      <c r="D6018" s="113" t="s">
        <v>326</v>
      </c>
      <c r="E6018" s="216" t="s">
        <v>14</v>
      </c>
      <c r="F6018" s="216" t="s">
        <v>30</v>
      </c>
      <c r="G6018" s="217">
        <v>9.26</v>
      </c>
      <c r="H6018" s="218">
        <v>8.6</v>
      </c>
      <c r="I6018" s="219">
        <v>1</v>
      </c>
      <c r="J6018" s="220">
        <f t="shared" ref="J6018:J6036" si="820">(G6018*H6018*I6018/1000)</f>
        <v>7.9635999999999998E-2</v>
      </c>
      <c r="K6018" s="118"/>
      <c r="L6018" s="219">
        <v>1</v>
      </c>
      <c r="M6018" s="117">
        <f t="shared" ref="M6018:M6036" si="821">H6018*L6018*G6018/1000</f>
        <v>7.9635999999999998E-2</v>
      </c>
      <c r="N6018" s="119">
        <f t="shared" ref="N6018:N6032" si="822">I6018-L6018</f>
        <v>0</v>
      </c>
      <c r="O6018" s="120">
        <f t="shared" ref="O6018:O6031" si="823">H6018*N6018*G6018/1000</f>
        <v>0</v>
      </c>
      <c r="P6018" s="130"/>
      <c r="Q6018" s="111"/>
      <c r="R6018" s="72">
        <v>6.5</v>
      </c>
      <c r="S6018" s="77">
        <v>1</v>
      </c>
      <c r="T6018" s="77" t="s">
        <v>701</v>
      </c>
    </row>
    <row r="6019" spans="1:20" ht="15.6">
      <c r="A6019" s="110" t="s">
        <v>448</v>
      </c>
      <c r="B6019" s="111" t="s">
        <v>232</v>
      </c>
      <c r="C6019" s="112" t="s">
        <v>468</v>
      </c>
      <c r="D6019" s="113" t="s">
        <v>326</v>
      </c>
      <c r="E6019" s="216" t="s">
        <v>14</v>
      </c>
      <c r="F6019" s="216" t="s">
        <v>30</v>
      </c>
      <c r="G6019" s="217">
        <v>9.26</v>
      </c>
      <c r="H6019" s="218">
        <v>8</v>
      </c>
      <c r="I6019" s="219">
        <v>1</v>
      </c>
      <c r="J6019" s="220">
        <f t="shared" si="820"/>
        <v>7.4079999999999993E-2</v>
      </c>
      <c r="K6019" s="118"/>
      <c r="L6019" s="219">
        <v>1</v>
      </c>
      <c r="M6019" s="117">
        <f t="shared" si="821"/>
        <v>7.4079999999999993E-2</v>
      </c>
      <c r="N6019" s="119">
        <f t="shared" si="822"/>
        <v>0</v>
      </c>
      <c r="O6019" s="120">
        <f t="shared" si="823"/>
        <v>0</v>
      </c>
      <c r="P6019" s="130">
        <v>6.5</v>
      </c>
      <c r="Q6019" s="111">
        <v>1</v>
      </c>
      <c r="R6019" s="111"/>
      <c r="S6019" s="213"/>
      <c r="T6019" s="213"/>
    </row>
    <row r="6020" spans="1:20" ht="15.6">
      <c r="A6020" s="110" t="s">
        <v>448</v>
      </c>
      <c r="B6020" s="111" t="s">
        <v>232</v>
      </c>
      <c r="C6020" s="112" t="s">
        <v>468</v>
      </c>
      <c r="D6020" s="113" t="s">
        <v>326</v>
      </c>
      <c r="E6020" s="216" t="s">
        <v>14</v>
      </c>
      <c r="F6020" s="216" t="s">
        <v>30</v>
      </c>
      <c r="G6020" s="217">
        <v>9.26</v>
      </c>
      <c r="H6020" s="218">
        <v>8.4</v>
      </c>
      <c r="I6020" s="219">
        <v>2</v>
      </c>
      <c r="J6020" s="220">
        <f t="shared" si="820"/>
        <v>0.15556800000000001</v>
      </c>
      <c r="K6020" s="118"/>
      <c r="L6020" s="219">
        <v>2</v>
      </c>
      <c r="M6020" s="117">
        <f t="shared" si="821"/>
        <v>0.15556800000000001</v>
      </c>
      <c r="N6020" s="119">
        <f t="shared" si="822"/>
        <v>0</v>
      </c>
      <c r="O6020" s="120">
        <f t="shared" si="823"/>
        <v>0</v>
      </c>
      <c r="P6020" s="130">
        <v>6.5</v>
      </c>
      <c r="Q6020" s="111">
        <v>2</v>
      </c>
      <c r="R6020" s="111"/>
      <c r="S6020" s="213"/>
      <c r="T6020" s="213"/>
    </row>
    <row r="6021" spans="1:20" ht="15.6">
      <c r="A6021" s="110" t="s">
        <v>448</v>
      </c>
      <c r="B6021" s="111" t="s">
        <v>232</v>
      </c>
      <c r="C6021" s="112" t="s">
        <v>468</v>
      </c>
      <c r="D6021" s="113" t="s">
        <v>326</v>
      </c>
      <c r="E6021" s="216" t="s">
        <v>14</v>
      </c>
      <c r="F6021" s="216" t="s">
        <v>30</v>
      </c>
      <c r="G6021" s="217">
        <v>9.26</v>
      </c>
      <c r="H6021" s="218">
        <v>8.5</v>
      </c>
      <c r="I6021" s="219">
        <v>6</v>
      </c>
      <c r="J6021" s="220">
        <f t="shared" si="820"/>
        <v>0.47226000000000001</v>
      </c>
      <c r="K6021" s="118"/>
      <c r="L6021" s="219">
        <f>4+2</f>
        <v>6</v>
      </c>
      <c r="M6021" s="117">
        <f t="shared" si="821"/>
        <v>0.47226000000000001</v>
      </c>
      <c r="N6021" s="119">
        <f t="shared" si="822"/>
        <v>0</v>
      </c>
      <c r="O6021" s="120">
        <f t="shared" si="823"/>
        <v>0</v>
      </c>
      <c r="P6021" s="130">
        <v>6.35</v>
      </c>
      <c r="Q6021" s="111">
        <v>4</v>
      </c>
      <c r="R6021" s="72">
        <v>6.5</v>
      </c>
      <c r="S6021" s="77">
        <v>2</v>
      </c>
      <c r="T6021" s="77" t="s">
        <v>701</v>
      </c>
    </row>
    <row r="6022" spans="1:20" ht="15.6">
      <c r="A6022" s="110" t="s">
        <v>448</v>
      </c>
      <c r="B6022" s="111" t="s">
        <v>232</v>
      </c>
      <c r="C6022" s="112" t="s">
        <v>468</v>
      </c>
      <c r="D6022" s="113" t="s">
        <v>326</v>
      </c>
      <c r="E6022" s="216" t="s">
        <v>14</v>
      </c>
      <c r="F6022" s="216" t="s">
        <v>30</v>
      </c>
      <c r="G6022" s="217">
        <v>9.26</v>
      </c>
      <c r="H6022" s="218">
        <v>8.9</v>
      </c>
      <c r="I6022" s="219">
        <v>4</v>
      </c>
      <c r="J6022" s="220">
        <f t="shared" si="820"/>
        <v>0.329656</v>
      </c>
      <c r="K6022" s="118"/>
      <c r="L6022" s="219">
        <v>4</v>
      </c>
      <c r="M6022" s="117">
        <f t="shared" si="821"/>
        <v>0.329656</v>
      </c>
      <c r="N6022" s="119">
        <f t="shared" si="822"/>
        <v>0</v>
      </c>
      <c r="O6022" s="120">
        <f t="shared" si="823"/>
        <v>0</v>
      </c>
      <c r="P6022" s="130"/>
      <c r="Q6022" s="111"/>
      <c r="R6022" s="72">
        <v>6.5</v>
      </c>
      <c r="S6022" s="77">
        <v>4</v>
      </c>
      <c r="T6022" s="77" t="s">
        <v>701</v>
      </c>
    </row>
    <row r="6023" spans="1:20" ht="15.6">
      <c r="A6023" s="110" t="s">
        <v>448</v>
      </c>
      <c r="B6023" s="111" t="s">
        <v>232</v>
      </c>
      <c r="C6023" s="112" t="s">
        <v>468</v>
      </c>
      <c r="D6023" s="113" t="s">
        <v>326</v>
      </c>
      <c r="E6023" s="216" t="s">
        <v>14</v>
      </c>
      <c r="F6023" s="216" t="s">
        <v>30</v>
      </c>
      <c r="G6023" s="217">
        <v>9.26</v>
      </c>
      <c r="H6023" s="218">
        <v>9</v>
      </c>
      <c r="I6023" s="219">
        <v>1</v>
      </c>
      <c r="J6023" s="220">
        <f t="shared" si="820"/>
        <v>8.3339999999999997E-2</v>
      </c>
      <c r="K6023" s="118"/>
      <c r="L6023" s="219">
        <v>1</v>
      </c>
      <c r="M6023" s="117">
        <f t="shared" si="821"/>
        <v>8.3339999999999997E-2</v>
      </c>
      <c r="N6023" s="119">
        <f t="shared" si="822"/>
        <v>0</v>
      </c>
      <c r="O6023" s="120">
        <f t="shared" si="823"/>
        <v>0</v>
      </c>
      <c r="P6023" s="130">
        <v>9.15</v>
      </c>
      <c r="Q6023" s="111">
        <v>1</v>
      </c>
      <c r="R6023" s="111"/>
      <c r="S6023" s="213"/>
      <c r="T6023" s="213"/>
    </row>
    <row r="6024" spans="1:20" ht="15.6">
      <c r="A6024" s="110" t="s">
        <v>448</v>
      </c>
      <c r="B6024" s="111" t="s">
        <v>232</v>
      </c>
      <c r="C6024" s="112" t="s">
        <v>468</v>
      </c>
      <c r="D6024" s="113" t="s">
        <v>326</v>
      </c>
      <c r="E6024" s="216" t="s">
        <v>14</v>
      </c>
      <c r="F6024" s="216" t="s">
        <v>30</v>
      </c>
      <c r="G6024" s="217">
        <v>9.26</v>
      </c>
      <c r="H6024" s="218">
        <v>9.6999999999999993</v>
      </c>
      <c r="I6024" s="219">
        <f>24+14+22+10</f>
        <v>70</v>
      </c>
      <c r="J6024" s="220">
        <f t="shared" si="820"/>
        <v>6.287539999999999</v>
      </c>
      <c r="K6024" s="118"/>
      <c r="L6024" s="219">
        <v>70</v>
      </c>
      <c r="M6024" s="117">
        <f t="shared" si="821"/>
        <v>6.2875399999999999</v>
      </c>
      <c r="N6024" s="119">
        <f t="shared" si="822"/>
        <v>0</v>
      </c>
      <c r="O6024" s="120">
        <f t="shared" si="823"/>
        <v>0</v>
      </c>
      <c r="P6024" s="130">
        <v>9.15</v>
      </c>
      <c r="Q6024" s="111">
        <v>21</v>
      </c>
      <c r="R6024" s="111"/>
      <c r="S6024" s="213"/>
      <c r="T6024" s="213"/>
    </row>
    <row r="6025" spans="1:20" ht="15.6">
      <c r="A6025" s="110" t="s">
        <v>448</v>
      </c>
      <c r="B6025" s="111" t="s">
        <v>232</v>
      </c>
      <c r="C6025" s="112" t="s">
        <v>468</v>
      </c>
      <c r="D6025" s="113" t="s">
        <v>326</v>
      </c>
      <c r="E6025" s="216" t="s">
        <v>14</v>
      </c>
      <c r="F6025" s="216" t="s">
        <v>30</v>
      </c>
      <c r="G6025" s="217">
        <v>9.26</v>
      </c>
      <c r="H6025" s="218">
        <v>10.5</v>
      </c>
      <c r="I6025" s="219">
        <f>32+29+21+22</f>
        <v>104</v>
      </c>
      <c r="J6025" s="220">
        <f t="shared" si="820"/>
        <v>10.11192</v>
      </c>
      <c r="K6025" s="118"/>
      <c r="L6025" s="219">
        <v>104</v>
      </c>
      <c r="M6025" s="117">
        <f t="shared" si="821"/>
        <v>10.11192</v>
      </c>
      <c r="N6025" s="119">
        <f t="shared" si="822"/>
        <v>0</v>
      </c>
      <c r="O6025" s="120">
        <f t="shared" si="823"/>
        <v>0</v>
      </c>
      <c r="P6025" s="130">
        <v>9.15</v>
      </c>
      <c r="Q6025" s="111">
        <v>4</v>
      </c>
      <c r="R6025" s="111"/>
      <c r="S6025" s="213"/>
      <c r="T6025" s="213"/>
    </row>
    <row r="6026" spans="1:20" ht="15.6">
      <c r="A6026" s="110" t="s">
        <v>448</v>
      </c>
      <c r="B6026" s="111" t="s">
        <v>232</v>
      </c>
      <c r="C6026" s="112" t="s">
        <v>468</v>
      </c>
      <c r="D6026" s="113" t="s">
        <v>326</v>
      </c>
      <c r="E6026" s="216" t="s">
        <v>14</v>
      </c>
      <c r="F6026" s="216" t="s">
        <v>30</v>
      </c>
      <c r="G6026" s="217">
        <v>9.26</v>
      </c>
      <c r="H6026" s="218">
        <v>11.6</v>
      </c>
      <c r="I6026" s="219">
        <f>29+29+26+17</f>
        <v>101</v>
      </c>
      <c r="J6026" s="220">
        <f t="shared" si="820"/>
        <v>10.849015999999999</v>
      </c>
      <c r="K6026" s="118"/>
      <c r="L6026" s="219">
        <v>101</v>
      </c>
      <c r="M6026" s="117">
        <f t="shared" si="821"/>
        <v>10.849015999999999</v>
      </c>
      <c r="N6026" s="119">
        <f t="shared" si="822"/>
        <v>0</v>
      </c>
      <c r="O6026" s="120">
        <f t="shared" si="823"/>
        <v>0</v>
      </c>
      <c r="P6026" s="130"/>
      <c r="Q6026" s="111"/>
      <c r="R6026" s="111"/>
      <c r="S6026" s="213"/>
      <c r="T6026" s="213"/>
    </row>
    <row r="6027" spans="1:20" ht="15.6">
      <c r="A6027" s="110" t="s">
        <v>448</v>
      </c>
      <c r="B6027" s="111" t="s">
        <v>232</v>
      </c>
      <c r="C6027" s="112" t="s">
        <v>468</v>
      </c>
      <c r="D6027" s="113" t="s">
        <v>326</v>
      </c>
      <c r="E6027" s="216" t="s">
        <v>14</v>
      </c>
      <c r="F6027" s="216" t="s">
        <v>30</v>
      </c>
      <c r="G6027" s="217">
        <v>9.26</v>
      </c>
      <c r="H6027" s="218">
        <v>9</v>
      </c>
      <c r="I6027" s="219">
        <v>4</v>
      </c>
      <c r="J6027" s="220">
        <f t="shared" si="820"/>
        <v>0.33335999999999999</v>
      </c>
      <c r="K6027" s="118"/>
      <c r="L6027" s="219">
        <v>4</v>
      </c>
      <c r="M6027" s="117">
        <f t="shared" si="821"/>
        <v>0.33335999999999999</v>
      </c>
      <c r="N6027" s="119">
        <f t="shared" si="822"/>
        <v>0</v>
      </c>
      <c r="O6027" s="120">
        <f t="shared" si="823"/>
        <v>0</v>
      </c>
      <c r="P6027" s="130"/>
      <c r="Q6027" s="111"/>
      <c r="R6027" s="72">
        <v>6.5</v>
      </c>
      <c r="S6027" s="77">
        <v>4</v>
      </c>
      <c r="T6027" s="77" t="s">
        <v>701</v>
      </c>
    </row>
    <row r="6028" spans="1:20" ht="15.6">
      <c r="A6028" s="110" t="s">
        <v>448</v>
      </c>
      <c r="B6028" s="111" t="s">
        <v>232</v>
      </c>
      <c r="C6028" s="112" t="s">
        <v>468</v>
      </c>
      <c r="D6028" s="113" t="s">
        <v>326</v>
      </c>
      <c r="E6028" s="216" t="s">
        <v>14</v>
      </c>
      <c r="F6028" s="216" t="s">
        <v>30</v>
      </c>
      <c r="G6028" s="217">
        <v>9.26</v>
      </c>
      <c r="H6028" s="218">
        <v>8.8000000000000007</v>
      </c>
      <c r="I6028" s="219">
        <v>2</v>
      </c>
      <c r="J6028" s="220">
        <f t="shared" si="820"/>
        <v>0.16297600000000001</v>
      </c>
      <c r="K6028" s="118"/>
      <c r="L6028" s="219">
        <v>2</v>
      </c>
      <c r="M6028" s="117">
        <f t="shared" si="821"/>
        <v>0.16297600000000001</v>
      </c>
      <c r="N6028" s="119">
        <f t="shared" si="822"/>
        <v>0</v>
      </c>
      <c r="O6028" s="120">
        <f t="shared" si="823"/>
        <v>0</v>
      </c>
      <c r="P6028" s="130"/>
      <c r="Q6028" s="111"/>
      <c r="R6028" s="72">
        <v>6.5</v>
      </c>
      <c r="S6028" s="77">
        <v>2</v>
      </c>
      <c r="T6028" s="77" t="s">
        <v>701</v>
      </c>
    </row>
    <row r="6029" spans="1:20" ht="15.6">
      <c r="A6029" s="110" t="s">
        <v>448</v>
      </c>
      <c r="B6029" s="111" t="s">
        <v>232</v>
      </c>
      <c r="C6029" s="112" t="s">
        <v>468</v>
      </c>
      <c r="D6029" s="113" t="s">
        <v>326</v>
      </c>
      <c r="E6029" s="216" t="s">
        <v>14</v>
      </c>
      <c r="F6029" s="216" t="s">
        <v>30</v>
      </c>
      <c r="G6029" s="217">
        <v>9.26</v>
      </c>
      <c r="H6029" s="218">
        <v>8</v>
      </c>
      <c r="I6029" s="219">
        <v>2</v>
      </c>
      <c r="J6029" s="220">
        <f t="shared" si="820"/>
        <v>0.14815999999999999</v>
      </c>
      <c r="K6029" s="118"/>
      <c r="L6029" s="219">
        <v>2</v>
      </c>
      <c r="M6029" s="117">
        <f t="shared" si="821"/>
        <v>0.14815999999999999</v>
      </c>
      <c r="N6029" s="119">
        <f t="shared" si="822"/>
        <v>0</v>
      </c>
      <c r="O6029" s="120">
        <f t="shared" si="823"/>
        <v>0</v>
      </c>
      <c r="P6029" s="130">
        <v>6.5</v>
      </c>
      <c r="Q6029" s="111">
        <v>2</v>
      </c>
      <c r="R6029" s="111"/>
      <c r="S6029" s="213"/>
      <c r="T6029" s="213"/>
    </row>
    <row r="6030" spans="1:20" ht="15.6">
      <c r="A6030" s="110" t="s">
        <v>448</v>
      </c>
      <c r="B6030" s="111" t="s">
        <v>232</v>
      </c>
      <c r="C6030" s="112" t="s">
        <v>468</v>
      </c>
      <c r="D6030" s="113" t="s">
        <v>326</v>
      </c>
      <c r="E6030" s="216" t="s">
        <v>14</v>
      </c>
      <c r="F6030" s="216" t="s">
        <v>30</v>
      </c>
      <c r="G6030" s="217">
        <v>9.26</v>
      </c>
      <c r="H6030" s="218">
        <v>7.4</v>
      </c>
      <c r="I6030" s="219">
        <v>1</v>
      </c>
      <c r="J6030" s="220">
        <f t="shared" si="820"/>
        <v>6.8524000000000002E-2</v>
      </c>
      <c r="K6030" s="118"/>
      <c r="L6030" s="219">
        <v>1</v>
      </c>
      <c r="M6030" s="117">
        <f t="shared" si="821"/>
        <v>6.8524000000000002E-2</v>
      </c>
      <c r="N6030" s="119">
        <f t="shared" si="822"/>
        <v>0</v>
      </c>
      <c r="O6030" s="120">
        <f t="shared" si="823"/>
        <v>0</v>
      </c>
      <c r="P6030" s="130">
        <v>6.5</v>
      </c>
      <c r="Q6030" s="111">
        <v>1</v>
      </c>
      <c r="R6030" s="111"/>
      <c r="S6030" s="213"/>
      <c r="T6030" s="213"/>
    </row>
    <row r="6031" spans="1:20" ht="15.6">
      <c r="A6031" s="110" t="s">
        <v>448</v>
      </c>
      <c r="B6031" s="111" t="s">
        <v>232</v>
      </c>
      <c r="C6031" s="112" t="s">
        <v>468</v>
      </c>
      <c r="D6031" s="113" t="s">
        <v>326</v>
      </c>
      <c r="E6031" s="216" t="s">
        <v>14</v>
      </c>
      <c r="F6031" s="216" t="s">
        <v>30</v>
      </c>
      <c r="G6031" s="217">
        <v>9.26</v>
      </c>
      <c r="H6031" s="218">
        <v>8.1999999999999993</v>
      </c>
      <c r="I6031" s="219">
        <v>1</v>
      </c>
      <c r="J6031" s="220">
        <f t="shared" si="820"/>
        <v>7.5931999999999986E-2</v>
      </c>
      <c r="K6031" s="118"/>
      <c r="L6031" s="219">
        <v>1</v>
      </c>
      <c r="M6031" s="117">
        <f t="shared" si="821"/>
        <v>7.5931999999999986E-2</v>
      </c>
      <c r="N6031" s="119">
        <f t="shared" si="822"/>
        <v>0</v>
      </c>
      <c r="O6031" s="120">
        <f t="shared" si="823"/>
        <v>0</v>
      </c>
      <c r="P6031" s="130">
        <v>6.5</v>
      </c>
      <c r="Q6031" s="111">
        <v>1</v>
      </c>
      <c r="R6031" s="111"/>
      <c r="S6031" s="213"/>
      <c r="T6031" s="213"/>
    </row>
    <row r="6032" spans="1:20" ht="15.6">
      <c r="A6032" s="110" t="s">
        <v>448</v>
      </c>
      <c r="B6032" s="111" t="s">
        <v>232</v>
      </c>
      <c r="C6032" s="112" t="s">
        <v>468</v>
      </c>
      <c r="D6032" s="113" t="s">
        <v>326</v>
      </c>
      <c r="E6032" s="216" t="s">
        <v>14</v>
      </c>
      <c r="F6032" s="216" t="s">
        <v>30</v>
      </c>
      <c r="G6032" s="217">
        <v>9.26</v>
      </c>
      <c r="H6032" s="218">
        <v>6.5</v>
      </c>
      <c r="I6032" s="219">
        <v>1</v>
      </c>
      <c r="J6032" s="220">
        <f t="shared" si="820"/>
        <v>6.019E-2</v>
      </c>
      <c r="K6032" s="118"/>
      <c r="L6032" s="219">
        <v>1</v>
      </c>
      <c r="M6032" s="117">
        <f t="shared" si="821"/>
        <v>6.019E-2</v>
      </c>
      <c r="N6032" s="119">
        <f t="shared" si="822"/>
        <v>0</v>
      </c>
      <c r="O6032" s="120">
        <f>H6032*N6032*G6032/1000</f>
        <v>0</v>
      </c>
      <c r="P6032" s="111"/>
      <c r="Q6032" s="111"/>
      <c r="R6032" s="111"/>
      <c r="S6032" s="213"/>
      <c r="T6032" s="213"/>
    </row>
    <row r="6033" spans="1:20" ht="15.6">
      <c r="A6033" s="110" t="s">
        <v>448</v>
      </c>
      <c r="B6033" s="111" t="s">
        <v>232</v>
      </c>
      <c r="C6033" s="112" t="s">
        <v>468</v>
      </c>
      <c r="D6033" s="113" t="s">
        <v>326</v>
      </c>
      <c r="E6033" s="216" t="s">
        <v>14</v>
      </c>
      <c r="F6033" s="216" t="s">
        <v>30</v>
      </c>
      <c r="G6033" s="217">
        <v>9.26</v>
      </c>
      <c r="H6033" s="218">
        <v>6.35</v>
      </c>
      <c r="I6033" s="219">
        <v>2</v>
      </c>
      <c r="J6033" s="220">
        <f t="shared" si="820"/>
        <v>0.11760199999999998</v>
      </c>
      <c r="K6033" s="118"/>
      <c r="L6033" s="219">
        <v>2</v>
      </c>
      <c r="M6033" s="117">
        <f t="shared" si="821"/>
        <v>0.11760199999999998</v>
      </c>
      <c r="N6033" s="119">
        <f>I6033-L6033</f>
        <v>0</v>
      </c>
      <c r="O6033" s="120">
        <f>H6033*N6033*G6033/1000</f>
        <v>0</v>
      </c>
      <c r="P6033" s="111"/>
      <c r="Q6033" s="111"/>
      <c r="R6033" s="111"/>
      <c r="S6033" s="213"/>
      <c r="T6033" s="213"/>
    </row>
    <row r="6034" spans="1:20" ht="15.6">
      <c r="A6034" s="110" t="s">
        <v>448</v>
      </c>
      <c r="B6034" s="111" t="s">
        <v>232</v>
      </c>
      <c r="C6034" s="112" t="s">
        <v>468</v>
      </c>
      <c r="D6034" s="113" t="s">
        <v>326</v>
      </c>
      <c r="E6034" s="216" t="s">
        <v>14</v>
      </c>
      <c r="F6034" s="216" t="s">
        <v>30</v>
      </c>
      <c r="G6034" s="217">
        <v>9.26</v>
      </c>
      <c r="H6034" s="218">
        <v>6.35</v>
      </c>
      <c r="I6034" s="219">
        <f>29+41+41+37+22</f>
        <v>170</v>
      </c>
      <c r="J6034" s="220">
        <f t="shared" si="820"/>
        <v>9.9961699999999976</v>
      </c>
      <c r="K6034" s="118"/>
      <c r="L6034" s="219">
        <v>170</v>
      </c>
      <c r="M6034" s="117">
        <f t="shared" si="821"/>
        <v>9.9961699999999993</v>
      </c>
      <c r="N6034" s="119">
        <f t="shared" ref="N6034:N6036" si="824">I6034-L6034</f>
        <v>0</v>
      </c>
      <c r="O6034" s="120">
        <f t="shared" ref="O6034:O6036" si="825">H6034*N6034*G6034/1000</f>
        <v>0</v>
      </c>
      <c r="P6034" s="111"/>
      <c r="Q6034" s="111"/>
      <c r="R6034" s="111"/>
      <c r="S6034" s="213"/>
      <c r="T6034" s="213"/>
    </row>
    <row r="6035" spans="1:20" ht="15.6">
      <c r="A6035" s="110" t="s">
        <v>448</v>
      </c>
      <c r="B6035" s="111" t="s">
        <v>232</v>
      </c>
      <c r="C6035" s="112" t="s">
        <v>468</v>
      </c>
      <c r="D6035" s="113" t="s">
        <v>326</v>
      </c>
      <c r="E6035" s="216" t="s">
        <v>14</v>
      </c>
      <c r="F6035" s="216" t="s">
        <v>30</v>
      </c>
      <c r="G6035" s="217">
        <v>9.26</v>
      </c>
      <c r="H6035" s="218">
        <v>6.5</v>
      </c>
      <c r="I6035" s="219">
        <f>39+43+35+37+35+35+35+38+31</f>
        <v>328</v>
      </c>
      <c r="J6035" s="220">
        <f t="shared" si="820"/>
        <v>19.742319999999999</v>
      </c>
      <c r="K6035" s="118"/>
      <c r="L6035" s="219">
        <f>39+43+35+37+35+35+35+38+31</f>
        <v>328</v>
      </c>
      <c r="M6035" s="117">
        <f t="shared" si="821"/>
        <v>19.742319999999999</v>
      </c>
      <c r="N6035" s="119">
        <f t="shared" si="824"/>
        <v>0</v>
      </c>
      <c r="O6035" s="120">
        <f t="shared" si="825"/>
        <v>0</v>
      </c>
      <c r="P6035" s="111"/>
      <c r="Q6035" s="111"/>
      <c r="R6035" s="111"/>
      <c r="S6035" s="213"/>
      <c r="T6035" s="213"/>
    </row>
    <row r="6036" spans="1:20" ht="15.6">
      <c r="A6036" s="110" t="s">
        <v>448</v>
      </c>
      <c r="B6036" s="111" t="s">
        <v>232</v>
      </c>
      <c r="C6036" s="112" t="s">
        <v>468</v>
      </c>
      <c r="D6036" s="113" t="s">
        <v>326</v>
      </c>
      <c r="E6036" s="216" t="s">
        <v>14</v>
      </c>
      <c r="F6036" s="216" t="s">
        <v>30</v>
      </c>
      <c r="G6036" s="217">
        <v>9.26</v>
      </c>
      <c r="H6036" s="218">
        <v>9.15</v>
      </c>
      <c r="I6036" s="219">
        <f>33+32+34+32+32+35+35+40</f>
        <v>273</v>
      </c>
      <c r="J6036" s="220">
        <f t="shared" si="820"/>
        <v>23.131017</v>
      </c>
      <c r="K6036" s="118"/>
      <c r="L6036" s="219">
        <f>33+32+34+32+32+35+35+40</f>
        <v>273</v>
      </c>
      <c r="M6036" s="117">
        <f t="shared" si="821"/>
        <v>23.131017000000003</v>
      </c>
      <c r="N6036" s="119">
        <f t="shared" si="824"/>
        <v>0</v>
      </c>
      <c r="O6036" s="120">
        <f t="shared" si="825"/>
        <v>0</v>
      </c>
      <c r="P6036" s="111"/>
      <c r="Q6036" s="111"/>
      <c r="R6036" s="111"/>
      <c r="S6036" s="213"/>
      <c r="T6036" s="213"/>
    </row>
    <row r="6037" spans="1:20">
      <c r="N6037" s="215">
        <f>SUM(N6018:N6036)</f>
        <v>0</v>
      </c>
      <c r="S6037" s="215">
        <f>SUM(S6018:S6036)</f>
        <v>13</v>
      </c>
    </row>
    <row r="6039" spans="1:20" ht="15.6">
      <c r="A6039" s="110" t="s">
        <v>554</v>
      </c>
      <c r="B6039" s="111" t="s">
        <v>232</v>
      </c>
      <c r="C6039" s="112" t="s">
        <v>449</v>
      </c>
      <c r="D6039" s="113" t="s">
        <v>326</v>
      </c>
      <c r="E6039" s="216" t="s">
        <v>14</v>
      </c>
      <c r="F6039" s="216" t="s">
        <v>30</v>
      </c>
      <c r="G6039" s="217">
        <v>9.26</v>
      </c>
      <c r="H6039" s="218">
        <v>10</v>
      </c>
      <c r="I6039" s="219">
        <v>2</v>
      </c>
      <c r="J6039" s="220">
        <f t="shared" ref="J6039:J6062" si="826">(G6039*H6039*I6039/1000)</f>
        <v>0.18519999999999998</v>
      </c>
      <c r="K6039" s="118"/>
      <c r="L6039" s="219">
        <v>2</v>
      </c>
      <c r="M6039" s="117">
        <f t="shared" ref="M6039:M6062" si="827">H6039*L6039*G6039/1000</f>
        <v>0.18519999999999998</v>
      </c>
      <c r="N6039" s="119">
        <f t="shared" ref="N6039:N6062" si="828">I6039-L6039</f>
        <v>0</v>
      </c>
      <c r="O6039" s="120">
        <f t="shared" ref="O6039:O6062" si="829">H6039*N6039*G6039/1000</f>
        <v>0</v>
      </c>
      <c r="P6039" s="102">
        <v>9.15</v>
      </c>
      <c r="Q6039" s="91">
        <v>2</v>
      </c>
      <c r="R6039" s="91" t="s">
        <v>701</v>
      </c>
    </row>
    <row r="6040" spans="1:20" ht="15.6">
      <c r="A6040" s="110" t="s">
        <v>554</v>
      </c>
      <c r="B6040" s="111" t="s">
        <v>232</v>
      </c>
      <c r="C6040" s="112" t="s">
        <v>449</v>
      </c>
      <c r="D6040" s="113" t="s">
        <v>326</v>
      </c>
      <c r="E6040" s="216" t="s">
        <v>14</v>
      </c>
      <c r="F6040" s="216" t="s">
        <v>30</v>
      </c>
      <c r="G6040" s="217">
        <v>9.26</v>
      </c>
      <c r="H6040" s="218">
        <v>8.6999999999999993</v>
      </c>
      <c r="I6040" s="219">
        <v>1</v>
      </c>
      <c r="J6040" s="220">
        <f t="shared" si="826"/>
        <v>8.0561999999999995E-2</v>
      </c>
      <c r="K6040" s="118"/>
      <c r="L6040" s="219">
        <v>1</v>
      </c>
      <c r="M6040" s="117">
        <f t="shared" si="827"/>
        <v>8.0561999999999995E-2</v>
      </c>
      <c r="N6040" s="119">
        <f t="shared" si="828"/>
        <v>0</v>
      </c>
      <c r="O6040" s="120">
        <f t="shared" si="829"/>
        <v>0</v>
      </c>
      <c r="P6040" s="102">
        <v>6.5</v>
      </c>
      <c r="Q6040" s="91">
        <v>1</v>
      </c>
      <c r="R6040" s="91" t="s">
        <v>701</v>
      </c>
    </row>
    <row r="6041" spans="1:20" ht="15.6">
      <c r="A6041" s="110" t="s">
        <v>554</v>
      </c>
      <c r="B6041" s="111" t="s">
        <v>232</v>
      </c>
      <c r="C6041" s="112" t="s">
        <v>449</v>
      </c>
      <c r="D6041" s="113" t="s">
        <v>326</v>
      </c>
      <c r="E6041" s="216" t="s">
        <v>14</v>
      </c>
      <c r="F6041" s="216" t="s">
        <v>30</v>
      </c>
      <c r="G6041" s="217">
        <v>9.26</v>
      </c>
      <c r="H6041" s="218">
        <v>11</v>
      </c>
      <c r="I6041" s="219">
        <v>1</v>
      </c>
      <c r="J6041" s="220">
        <f t="shared" si="826"/>
        <v>0.10186000000000001</v>
      </c>
      <c r="K6041" s="118"/>
      <c r="L6041" s="219">
        <v>1</v>
      </c>
      <c r="M6041" s="117">
        <f t="shared" si="827"/>
        <v>0.10186000000000001</v>
      </c>
      <c r="N6041" s="119">
        <f t="shared" si="828"/>
        <v>0</v>
      </c>
      <c r="O6041" s="120">
        <f t="shared" si="829"/>
        <v>0</v>
      </c>
      <c r="P6041" s="130"/>
      <c r="Q6041" s="111"/>
      <c r="R6041" s="111"/>
    </row>
    <row r="6042" spans="1:20" ht="15.6">
      <c r="A6042" s="110" t="s">
        <v>554</v>
      </c>
      <c r="B6042" s="111" t="s">
        <v>232</v>
      </c>
      <c r="C6042" s="112" t="s">
        <v>449</v>
      </c>
      <c r="D6042" s="113" t="s">
        <v>326</v>
      </c>
      <c r="E6042" s="216" t="s">
        <v>14</v>
      </c>
      <c r="F6042" s="216" t="s">
        <v>30</v>
      </c>
      <c r="G6042" s="217">
        <v>9.26</v>
      </c>
      <c r="H6042" s="218">
        <v>11</v>
      </c>
      <c r="I6042" s="219">
        <v>30</v>
      </c>
      <c r="J6042" s="220">
        <f t="shared" si="826"/>
        <v>3.0558000000000001</v>
      </c>
      <c r="K6042" s="118"/>
      <c r="L6042" s="219">
        <v>30</v>
      </c>
      <c r="M6042" s="117">
        <f t="shared" si="827"/>
        <v>3.0557999999999996</v>
      </c>
      <c r="N6042" s="119">
        <f t="shared" si="828"/>
        <v>0</v>
      </c>
      <c r="O6042" s="120">
        <f t="shared" si="829"/>
        <v>0</v>
      </c>
      <c r="P6042" s="130"/>
      <c r="Q6042" s="111"/>
      <c r="R6042" s="111"/>
    </row>
    <row r="6043" spans="1:20" ht="15.6">
      <c r="A6043" s="110" t="s">
        <v>554</v>
      </c>
      <c r="B6043" s="111" t="s">
        <v>232</v>
      </c>
      <c r="C6043" s="112" t="s">
        <v>449</v>
      </c>
      <c r="D6043" s="113" t="s">
        <v>326</v>
      </c>
      <c r="E6043" s="216" t="s">
        <v>14</v>
      </c>
      <c r="F6043" s="216" t="s">
        <v>30</v>
      </c>
      <c r="G6043" s="217">
        <v>9.26</v>
      </c>
      <c r="H6043" s="218">
        <v>11</v>
      </c>
      <c r="I6043" s="219">
        <v>30</v>
      </c>
      <c r="J6043" s="220">
        <f t="shared" si="826"/>
        <v>3.0558000000000001</v>
      </c>
      <c r="K6043" s="118"/>
      <c r="L6043" s="219">
        <v>30</v>
      </c>
      <c r="M6043" s="117">
        <f t="shared" si="827"/>
        <v>3.0557999999999996</v>
      </c>
      <c r="N6043" s="119">
        <f t="shared" si="828"/>
        <v>0</v>
      </c>
      <c r="O6043" s="120">
        <f t="shared" si="829"/>
        <v>0</v>
      </c>
      <c r="P6043" s="130"/>
      <c r="Q6043" s="111"/>
      <c r="R6043" s="111"/>
    </row>
    <row r="6044" spans="1:20" ht="15.6">
      <c r="A6044" s="110" t="s">
        <v>554</v>
      </c>
      <c r="B6044" s="111" t="s">
        <v>232</v>
      </c>
      <c r="C6044" s="112" t="s">
        <v>449</v>
      </c>
      <c r="D6044" s="113" t="s">
        <v>326</v>
      </c>
      <c r="E6044" s="216" t="s">
        <v>14</v>
      </c>
      <c r="F6044" s="216" t="s">
        <v>30</v>
      </c>
      <c r="G6044" s="217">
        <v>9.26</v>
      </c>
      <c r="H6044" s="218">
        <v>11.6</v>
      </c>
      <c r="I6044" s="219">
        <v>30</v>
      </c>
      <c r="J6044" s="220">
        <f t="shared" si="826"/>
        <v>3.22248</v>
      </c>
      <c r="K6044" s="118"/>
      <c r="L6044" s="219">
        <v>30</v>
      </c>
      <c r="M6044" s="117">
        <f t="shared" si="827"/>
        <v>3.22248</v>
      </c>
      <c r="N6044" s="119">
        <f t="shared" si="828"/>
        <v>0</v>
      </c>
      <c r="O6044" s="120">
        <f t="shared" si="829"/>
        <v>0</v>
      </c>
      <c r="P6044" s="130"/>
      <c r="Q6044" s="111"/>
      <c r="R6044" s="111"/>
    </row>
    <row r="6045" spans="1:20" ht="15.6">
      <c r="A6045" s="110" t="s">
        <v>554</v>
      </c>
      <c r="B6045" s="111" t="s">
        <v>232</v>
      </c>
      <c r="C6045" s="112" t="s">
        <v>449</v>
      </c>
      <c r="D6045" s="113" t="s">
        <v>326</v>
      </c>
      <c r="E6045" s="216" t="s">
        <v>14</v>
      </c>
      <c r="F6045" s="216" t="s">
        <v>30</v>
      </c>
      <c r="G6045" s="217">
        <v>9.26</v>
      </c>
      <c r="H6045" s="218">
        <v>7.14</v>
      </c>
      <c r="I6045" s="219">
        <v>30</v>
      </c>
      <c r="J6045" s="220">
        <f t="shared" si="826"/>
        <v>1.983492</v>
      </c>
      <c r="K6045" s="118"/>
      <c r="L6045" s="219">
        <v>30</v>
      </c>
      <c r="M6045" s="117">
        <f t="shared" si="827"/>
        <v>1.983492</v>
      </c>
      <c r="N6045" s="119">
        <f t="shared" si="828"/>
        <v>0</v>
      </c>
      <c r="O6045" s="120">
        <f t="shared" si="829"/>
        <v>0</v>
      </c>
      <c r="P6045" s="130"/>
      <c r="Q6045" s="111"/>
      <c r="R6045" s="111"/>
    </row>
    <row r="6046" spans="1:20" ht="15.6">
      <c r="A6046" s="110" t="s">
        <v>554</v>
      </c>
      <c r="B6046" s="111" t="s">
        <v>232</v>
      </c>
      <c r="C6046" s="112" t="s">
        <v>449</v>
      </c>
      <c r="D6046" s="113" t="s">
        <v>326</v>
      </c>
      <c r="E6046" s="216" t="s">
        <v>14</v>
      </c>
      <c r="F6046" s="216" t="s">
        <v>30</v>
      </c>
      <c r="G6046" s="217">
        <v>9.26</v>
      </c>
      <c r="H6046" s="218">
        <v>11</v>
      </c>
      <c r="I6046" s="219">
        <v>30</v>
      </c>
      <c r="J6046" s="220">
        <f t="shared" si="826"/>
        <v>3.0558000000000001</v>
      </c>
      <c r="K6046" s="118"/>
      <c r="L6046" s="219">
        <v>30</v>
      </c>
      <c r="M6046" s="117">
        <f t="shared" si="827"/>
        <v>3.0557999999999996</v>
      </c>
      <c r="N6046" s="119">
        <f t="shared" si="828"/>
        <v>0</v>
      </c>
      <c r="O6046" s="120">
        <f t="shared" si="829"/>
        <v>0</v>
      </c>
      <c r="P6046" s="130"/>
      <c r="Q6046" s="111"/>
      <c r="R6046" s="111"/>
    </row>
    <row r="6047" spans="1:20" ht="15.6">
      <c r="A6047" s="110" t="s">
        <v>554</v>
      </c>
      <c r="B6047" s="111" t="s">
        <v>232</v>
      </c>
      <c r="C6047" s="112" t="s">
        <v>449</v>
      </c>
      <c r="D6047" s="113" t="s">
        <v>326</v>
      </c>
      <c r="E6047" s="216" t="s">
        <v>14</v>
      </c>
      <c r="F6047" s="216" t="s">
        <v>30</v>
      </c>
      <c r="G6047" s="217">
        <v>9.26</v>
      </c>
      <c r="H6047" s="218">
        <v>7.14</v>
      </c>
      <c r="I6047" s="219">
        <v>30</v>
      </c>
      <c r="J6047" s="220">
        <f t="shared" si="826"/>
        <v>1.983492</v>
      </c>
      <c r="K6047" s="118"/>
      <c r="L6047" s="219">
        <f>27+3</f>
        <v>30</v>
      </c>
      <c r="M6047" s="117">
        <f t="shared" si="827"/>
        <v>1.983492</v>
      </c>
      <c r="N6047" s="119">
        <f t="shared" si="828"/>
        <v>0</v>
      </c>
      <c r="O6047" s="120">
        <f t="shared" si="829"/>
        <v>0</v>
      </c>
      <c r="P6047" s="102">
        <v>6.5</v>
      </c>
      <c r="Q6047" s="91">
        <v>3</v>
      </c>
      <c r="R6047" s="91" t="s">
        <v>701</v>
      </c>
    </row>
    <row r="6048" spans="1:20" ht="15.6">
      <c r="A6048" s="110" t="s">
        <v>554</v>
      </c>
      <c r="B6048" s="111" t="s">
        <v>232</v>
      </c>
      <c r="C6048" s="112" t="s">
        <v>449</v>
      </c>
      <c r="D6048" s="113" t="s">
        <v>326</v>
      </c>
      <c r="E6048" s="216" t="s">
        <v>14</v>
      </c>
      <c r="F6048" s="216" t="s">
        <v>30</v>
      </c>
      <c r="G6048" s="217">
        <v>9.26</v>
      </c>
      <c r="H6048" s="218">
        <v>11</v>
      </c>
      <c r="I6048" s="219">
        <v>30</v>
      </c>
      <c r="J6048" s="220">
        <f t="shared" si="826"/>
        <v>3.0558000000000001</v>
      </c>
      <c r="K6048" s="118"/>
      <c r="L6048" s="219">
        <v>30</v>
      </c>
      <c r="M6048" s="117">
        <f t="shared" si="827"/>
        <v>3.0557999999999996</v>
      </c>
      <c r="N6048" s="119">
        <f t="shared" si="828"/>
        <v>0</v>
      </c>
      <c r="O6048" s="120">
        <f t="shared" si="829"/>
        <v>0</v>
      </c>
      <c r="P6048" s="130"/>
      <c r="Q6048" s="111"/>
      <c r="R6048" s="111"/>
    </row>
    <row r="6049" spans="1:18" ht="15.6">
      <c r="A6049" s="110" t="s">
        <v>554</v>
      </c>
      <c r="B6049" s="111" t="s">
        <v>232</v>
      </c>
      <c r="C6049" s="112" t="s">
        <v>449</v>
      </c>
      <c r="D6049" s="113" t="s">
        <v>326</v>
      </c>
      <c r="E6049" s="216" t="s">
        <v>14</v>
      </c>
      <c r="F6049" s="216" t="s">
        <v>30</v>
      </c>
      <c r="G6049" s="217">
        <v>9.26</v>
      </c>
      <c r="H6049" s="218">
        <v>11</v>
      </c>
      <c r="I6049" s="219">
        <v>30</v>
      </c>
      <c r="J6049" s="220">
        <f t="shared" si="826"/>
        <v>3.0558000000000001</v>
      </c>
      <c r="K6049" s="118"/>
      <c r="L6049" s="219">
        <v>30</v>
      </c>
      <c r="M6049" s="117">
        <f t="shared" si="827"/>
        <v>3.0557999999999996</v>
      </c>
      <c r="N6049" s="119">
        <f t="shared" si="828"/>
        <v>0</v>
      </c>
      <c r="O6049" s="120">
        <f t="shared" si="829"/>
        <v>0</v>
      </c>
      <c r="P6049" s="130"/>
      <c r="Q6049" s="111"/>
      <c r="R6049" s="111"/>
    </row>
    <row r="6050" spans="1:18" ht="15.6">
      <c r="A6050" s="110" t="s">
        <v>554</v>
      </c>
      <c r="B6050" s="111" t="s">
        <v>232</v>
      </c>
      <c r="C6050" s="112" t="s">
        <v>449</v>
      </c>
      <c r="D6050" s="113" t="s">
        <v>326</v>
      </c>
      <c r="E6050" s="216" t="s">
        <v>14</v>
      </c>
      <c r="F6050" s="216" t="s">
        <v>30</v>
      </c>
      <c r="G6050" s="217">
        <v>9.26</v>
      </c>
      <c r="H6050" s="218">
        <v>11</v>
      </c>
      <c r="I6050" s="219">
        <v>30</v>
      </c>
      <c r="J6050" s="220">
        <f t="shared" si="826"/>
        <v>3.0558000000000001</v>
      </c>
      <c r="K6050" s="118"/>
      <c r="L6050" s="219">
        <v>30</v>
      </c>
      <c r="M6050" s="117">
        <f t="shared" si="827"/>
        <v>3.0557999999999996</v>
      </c>
      <c r="N6050" s="119">
        <f t="shared" si="828"/>
        <v>0</v>
      </c>
      <c r="O6050" s="120">
        <f t="shared" si="829"/>
        <v>0</v>
      </c>
      <c r="P6050" s="130"/>
      <c r="Q6050" s="111"/>
      <c r="R6050" s="111"/>
    </row>
    <row r="6051" spans="1:18" ht="15.6">
      <c r="A6051" s="110" t="s">
        <v>554</v>
      </c>
      <c r="B6051" s="111" t="s">
        <v>232</v>
      </c>
      <c r="C6051" s="112" t="s">
        <v>449</v>
      </c>
      <c r="D6051" s="113" t="s">
        <v>326</v>
      </c>
      <c r="E6051" s="216" t="s">
        <v>14</v>
      </c>
      <c r="F6051" s="216" t="s">
        <v>30</v>
      </c>
      <c r="G6051" s="217">
        <v>9.26</v>
      </c>
      <c r="H6051" s="218">
        <v>11</v>
      </c>
      <c r="I6051" s="219">
        <v>30</v>
      </c>
      <c r="J6051" s="220">
        <f t="shared" si="826"/>
        <v>3.0558000000000001</v>
      </c>
      <c r="K6051" s="118"/>
      <c r="L6051" s="219">
        <v>30</v>
      </c>
      <c r="M6051" s="117">
        <f t="shared" si="827"/>
        <v>3.0557999999999996</v>
      </c>
      <c r="N6051" s="119">
        <f t="shared" si="828"/>
        <v>0</v>
      </c>
      <c r="O6051" s="120">
        <f t="shared" si="829"/>
        <v>0</v>
      </c>
      <c r="P6051" s="130"/>
      <c r="Q6051" s="111"/>
      <c r="R6051" s="111"/>
    </row>
    <row r="6052" spans="1:18" ht="15.6">
      <c r="A6052" s="110" t="s">
        <v>554</v>
      </c>
      <c r="B6052" s="111" t="s">
        <v>232</v>
      </c>
      <c r="C6052" s="112" t="s">
        <v>449</v>
      </c>
      <c r="D6052" s="113" t="s">
        <v>326</v>
      </c>
      <c r="E6052" s="216" t="s">
        <v>14</v>
      </c>
      <c r="F6052" s="216" t="s">
        <v>30</v>
      </c>
      <c r="G6052" s="217">
        <v>9.26</v>
      </c>
      <c r="H6052" s="218">
        <v>11.6</v>
      </c>
      <c r="I6052" s="219">
        <v>16</v>
      </c>
      <c r="J6052" s="220">
        <f t="shared" si="826"/>
        <v>1.718656</v>
      </c>
      <c r="K6052" s="118"/>
      <c r="L6052" s="219">
        <f>5+8+3</f>
        <v>16</v>
      </c>
      <c r="M6052" s="117">
        <f t="shared" si="827"/>
        <v>1.718656</v>
      </c>
      <c r="N6052" s="119">
        <f t="shared" si="828"/>
        <v>0</v>
      </c>
      <c r="O6052" s="120">
        <f t="shared" si="829"/>
        <v>0</v>
      </c>
      <c r="P6052" s="102">
        <v>9.15</v>
      </c>
      <c r="Q6052" s="91">
        <v>3</v>
      </c>
      <c r="R6052" s="91" t="s">
        <v>701</v>
      </c>
    </row>
    <row r="6053" spans="1:18" ht="15.6">
      <c r="A6053" s="110" t="s">
        <v>554</v>
      </c>
      <c r="B6053" s="111" t="s">
        <v>232</v>
      </c>
      <c r="C6053" s="112" t="s">
        <v>449</v>
      </c>
      <c r="D6053" s="113" t="s">
        <v>326</v>
      </c>
      <c r="E6053" s="216" t="s">
        <v>14</v>
      </c>
      <c r="F6053" s="216" t="s">
        <v>30</v>
      </c>
      <c r="G6053" s="217">
        <v>9.26</v>
      </c>
      <c r="H6053" s="218">
        <v>11</v>
      </c>
      <c r="I6053" s="219">
        <v>26</v>
      </c>
      <c r="J6053" s="220">
        <f t="shared" si="826"/>
        <v>2.6483600000000003</v>
      </c>
      <c r="K6053" s="118"/>
      <c r="L6053" s="219">
        <v>26</v>
      </c>
      <c r="M6053" s="117">
        <f t="shared" si="827"/>
        <v>2.6483600000000003</v>
      </c>
      <c r="N6053" s="119">
        <f t="shared" si="828"/>
        <v>0</v>
      </c>
      <c r="O6053" s="120">
        <f t="shared" si="829"/>
        <v>0</v>
      </c>
      <c r="P6053" s="130"/>
      <c r="Q6053" s="111"/>
      <c r="R6053" s="111"/>
    </row>
    <row r="6054" spans="1:18" ht="15.6">
      <c r="A6054" s="110" t="s">
        <v>554</v>
      </c>
      <c r="B6054" s="111" t="s">
        <v>232</v>
      </c>
      <c r="C6054" s="112" t="s">
        <v>449</v>
      </c>
      <c r="D6054" s="113" t="s">
        <v>326</v>
      </c>
      <c r="E6054" s="216" t="s">
        <v>14</v>
      </c>
      <c r="F6054" s="216" t="s">
        <v>30</v>
      </c>
      <c r="G6054" s="217">
        <v>9.26</v>
      </c>
      <c r="H6054" s="218">
        <v>10.5</v>
      </c>
      <c r="I6054" s="219">
        <v>18</v>
      </c>
      <c r="J6054" s="220">
        <f t="shared" si="826"/>
        <v>1.75014</v>
      </c>
      <c r="K6054" s="118"/>
      <c r="L6054" s="219">
        <f>12+6</f>
        <v>18</v>
      </c>
      <c r="M6054" s="117">
        <f t="shared" si="827"/>
        <v>1.7501399999999998</v>
      </c>
      <c r="N6054" s="119">
        <f t="shared" si="828"/>
        <v>0</v>
      </c>
      <c r="O6054" s="120">
        <f t="shared" si="829"/>
        <v>0</v>
      </c>
      <c r="P6054" s="102">
        <v>9.15</v>
      </c>
      <c r="Q6054" s="91">
        <v>6</v>
      </c>
      <c r="R6054" s="91" t="s">
        <v>701</v>
      </c>
    </row>
    <row r="6055" spans="1:18" ht="15.6">
      <c r="A6055" s="110" t="s">
        <v>554</v>
      </c>
      <c r="B6055" s="111" t="s">
        <v>232</v>
      </c>
      <c r="C6055" s="112" t="s">
        <v>449</v>
      </c>
      <c r="D6055" s="113" t="s">
        <v>326</v>
      </c>
      <c r="E6055" s="216" t="s">
        <v>14</v>
      </c>
      <c r="F6055" s="216" t="s">
        <v>30</v>
      </c>
      <c r="G6055" s="217">
        <v>9.26</v>
      </c>
      <c r="H6055" s="218">
        <v>7.14</v>
      </c>
      <c r="I6055" s="219">
        <v>1</v>
      </c>
      <c r="J6055" s="220">
        <f t="shared" si="826"/>
        <v>6.6116399999999992E-2</v>
      </c>
      <c r="K6055" s="118"/>
      <c r="L6055" s="219">
        <v>1</v>
      </c>
      <c r="M6055" s="117">
        <f t="shared" si="827"/>
        <v>6.6116399999999992E-2</v>
      </c>
      <c r="N6055" s="119">
        <f t="shared" si="828"/>
        <v>0</v>
      </c>
      <c r="O6055" s="120">
        <f t="shared" si="829"/>
        <v>0</v>
      </c>
      <c r="P6055" s="102">
        <v>6.5</v>
      </c>
      <c r="Q6055" s="91">
        <v>1</v>
      </c>
      <c r="R6055" s="91" t="s">
        <v>701</v>
      </c>
    </row>
    <row r="6056" spans="1:18" ht="15.6">
      <c r="A6056" s="110" t="s">
        <v>554</v>
      </c>
      <c r="B6056" s="111" t="s">
        <v>232</v>
      </c>
      <c r="C6056" s="112" t="s">
        <v>449</v>
      </c>
      <c r="D6056" s="113" t="s">
        <v>326</v>
      </c>
      <c r="E6056" s="216" t="s">
        <v>14</v>
      </c>
      <c r="F6056" s="216" t="s">
        <v>30</v>
      </c>
      <c r="G6056" s="217">
        <v>9.26</v>
      </c>
      <c r="H6056" s="218">
        <v>9.6</v>
      </c>
      <c r="I6056" s="219">
        <v>23</v>
      </c>
      <c r="J6056" s="220">
        <f t="shared" si="826"/>
        <v>2.0446079999999998</v>
      </c>
      <c r="K6056" s="118"/>
      <c r="L6056" s="219">
        <v>23</v>
      </c>
      <c r="M6056" s="117">
        <f t="shared" si="827"/>
        <v>2.0446079999999998</v>
      </c>
      <c r="N6056" s="119">
        <f t="shared" si="828"/>
        <v>0</v>
      </c>
      <c r="O6056" s="120">
        <f t="shared" si="829"/>
        <v>0</v>
      </c>
      <c r="P6056" s="130"/>
      <c r="Q6056" s="111"/>
      <c r="R6056" s="111"/>
    </row>
    <row r="6057" spans="1:18" ht="15.6">
      <c r="A6057" s="110" t="s">
        <v>554</v>
      </c>
      <c r="B6057" s="111" t="s">
        <v>232</v>
      </c>
      <c r="C6057" s="112" t="s">
        <v>449</v>
      </c>
      <c r="D6057" s="113" t="s">
        <v>326</v>
      </c>
      <c r="E6057" s="216" t="s">
        <v>14</v>
      </c>
      <c r="F6057" s="216" t="s">
        <v>30</v>
      </c>
      <c r="G6057" s="217">
        <v>9.26</v>
      </c>
      <c r="H6057" s="218">
        <v>9</v>
      </c>
      <c r="I6057" s="219">
        <v>21</v>
      </c>
      <c r="J6057" s="220">
        <f t="shared" si="826"/>
        <v>1.75014</v>
      </c>
      <c r="K6057" s="118"/>
      <c r="L6057" s="219">
        <f>14+7</f>
        <v>21</v>
      </c>
      <c r="M6057" s="117">
        <f t="shared" si="827"/>
        <v>1.7501399999999998</v>
      </c>
      <c r="N6057" s="119">
        <f t="shared" si="828"/>
        <v>0</v>
      </c>
      <c r="O6057" s="120">
        <f t="shared" si="829"/>
        <v>0</v>
      </c>
      <c r="P6057" s="102">
        <v>6.5</v>
      </c>
      <c r="Q6057" s="91">
        <v>7</v>
      </c>
      <c r="R6057" s="91" t="s">
        <v>701</v>
      </c>
    </row>
    <row r="6058" spans="1:18" ht="15.6">
      <c r="A6058" s="110" t="s">
        <v>554</v>
      </c>
      <c r="B6058" s="111" t="s">
        <v>232</v>
      </c>
      <c r="C6058" s="112" t="s">
        <v>449</v>
      </c>
      <c r="D6058" s="113" t="s">
        <v>326</v>
      </c>
      <c r="E6058" s="216" t="s">
        <v>14</v>
      </c>
      <c r="F6058" s="216" t="s">
        <v>30</v>
      </c>
      <c r="G6058" s="217">
        <v>9.26</v>
      </c>
      <c r="H6058" s="218">
        <v>6.75</v>
      </c>
      <c r="I6058" s="219">
        <v>1</v>
      </c>
      <c r="J6058" s="220">
        <f t="shared" si="826"/>
        <v>6.2504999999999991E-2</v>
      </c>
      <c r="K6058" s="118"/>
      <c r="L6058" s="219">
        <v>1</v>
      </c>
      <c r="M6058" s="117">
        <f t="shared" si="827"/>
        <v>6.2504999999999991E-2</v>
      </c>
      <c r="N6058" s="119">
        <f t="shared" si="828"/>
        <v>0</v>
      </c>
      <c r="O6058" s="120">
        <f t="shared" si="829"/>
        <v>0</v>
      </c>
      <c r="P6058" s="130"/>
      <c r="Q6058" s="111"/>
      <c r="R6058" s="111"/>
    </row>
    <row r="6059" spans="1:18" ht="15.6">
      <c r="A6059" s="110" t="s">
        <v>554</v>
      </c>
      <c r="B6059" s="111" t="s">
        <v>232</v>
      </c>
      <c r="C6059" s="112" t="s">
        <v>449</v>
      </c>
      <c r="D6059" s="113" t="s">
        <v>326</v>
      </c>
      <c r="E6059" s="216" t="s">
        <v>14</v>
      </c>
      <c r="F6059" s="216" t="s">
        <v>30</v>
      </c>
      <c r="G6059" s="217">
        <v>9.26</v>
      </c>
      <c r="H6059" s="218">
        <v>7.1</v>
      </c>
      <c r="I6059" s="219">
        <v>1</v>
      </c>
      <c r="J6059" s="220">
        <f t="shared" si="826"/>
        <v>6.5745999999999999E-2</v>
      </c>
      <c r="K6059" s="118"/>
      <c r="L6059" s="219">
        <v>1</v>
      </c>
      <c r="M6059" s="117">
        <f t="shared" si="827"/>
        <v>6.5745999999999999E-2</v>
      </c>
      <c r="N6059" s="119">
        <f t="shared" si="828"/>
        <v>0</v>
      </c>
      <c r="O6059" s="120">
        <f t="shared" si="829"/>
        <v>0</v>
      </c>
      <c r="P6059" s="130"/>
      <c r="Q6059" s="111"/>
      <c r="R6059" s="111"/>
    </row>
    <row r="6060" spans="1:18" ht="15.6">
      <c r="A6060" s="110" t="s">
        <v>554</v>
      </c>
      <c r="B6060" s="111" t="s">
        <v>232</v>
      </c>
      <c r="C6060" s="112" t="s">
        <v>449</v>
      </c>
      <c r="D6060" s="113" t="s">
        <v>326</v>
      </c>
      <c r="E6060" s="216" t="s">
        <v>14</v>
      </c>
      <c r="F6060" s="216" t="s">
        <v>30</v>
      </c>
      <c r="G6060" s="217">
        <v>9.26</v>
      </c>
      <c r="H6060" s="218">
        <v>8.1</v>
      </c>
      <c r="I6060" s="219">
        <v>1</v>
      </c>
      <c r="J6060" s="220">
        <f t="shared" si="826"/>
        <v>7.5006000000000003E-2</v>
      </c>
      <c r="K6060" s="118"/>
      <c r="L6060" s="219">
        <v>1</v>
      </c>
      <c r="M6060" s="117">
        <f t="shared" si="827"/>
        <v>7.5006000000000003E-2</v>
      </c>
      <c r="N6060" s="119">
        <f t="shared" si="828"/>
        <v>0</v>
      </c>
      <c r="O6060" s="120">
        <f t="shared" si="829"/>
        <v>0</v>
      </c>
      <c r="P6060" s="102">
        <v>6.5</v>
      </c>
      <c r="Q6060" s="91">
        <v>1</v>
      </c>
      <c r="R6060" s="91" t="s">
        <v>701</v>
      </c>
    </row>
    <row r="6061" spans="1:18" ht="15.6">
      <c r="A6061" s="110" t="s">
        <v>554</v>
      </c>
      <c r="B6061" s="111" t="s">
        <v>232</v>
      </c>
      <c r="C6061" s="112" t="s">
        <v>449</v>
      </c>
      <c r="D6061" s="113" t="s">
        <v>326</v>
      </c>
      <c r="E6061" s="216" t="s">
        <v>14</v>
      </c>
      <c r="F6061" s="216" t="s">
        <v>30</v>
      </c>
      <c r="G6061" s="217">
        <v>9.26</v>
      </c>
      <c r="H6061" s="218">
        <v>8.75</v>
      </c>
      <c r="I6061" s="219">
        <v>1</v>
      </c>
      <c r="J6061" s="220">
        <f t="shared" si="826"/>
        <v>8.1024999999999986E-2</v>
      </c>
      <c r="K6061" s="118"/>
      <c r="L6061" s="219">
        <v>1</v>
      </c>
      <c r="M6061" s="117">
        <f t="shared" si="827"/>
        <v>8.1024999999999986E-2</v>
      </c>
      <c r="N6061" s="119">
        <f t="shared" si="828"/>
        <v>0</v>
      </c>
      <c r="O6061" s="120">
        <f t="shared" si="829"/>
        <v>0</v>
      </c>
      <c r="P6061" s="102">
        <v>6.5</v>
      </c>
      <c r="Q6061" s="91">
        <v>1</v>
      </c>
      <c r="R6061" s="91" t="s">
        <v>701</v>
      </c>
    </row>
    <row r="6062" spans="1:18" ht="15.6">
      <c r="A6062" s="110" t="s">
        <v>554</v>
      </c>
      <c r="B6062" s="111" t="s">
        <v>232</v>
      </c>
      <c r="C6062" s="112" t="s">
        <v>449</v>
      </c>
      <c r="D6062" s="113" t="s">
        <v>326</v>
      </c>
      <c r="E6062" s="216" t="s">
        <v>14</v>
      </c>
      <c r="F6062" s="216" t="s">
        <v>30</v>
      </c>
      <c r="G6062" s="217">
        <v>9.26</v>
      </c>
      <c r="H6062" s="418">
        <v>11</v>
      </c>
      <c r="I6062" s="419">
        <v>1</v>
      </c>
      <c r="J6062" s="420">
        <f t="shared" si="826"/>
        <v>0.10186000000000001</v>
      </c>
      <c r="K6062" s="183" t="s">
        <v>26</v>
      </c>
      <c r="L6062" s="419"/>
      <c r="M6062" s="193">
        <f t="shared" si="827"/>
        <v>0</v>
      </c>
      <c r="N6062" s="141">
        <f t="shared" si="828"/>
        <v>1</v>
      </c>
      <c r="O6062" s="142">
        <f t="shared" si="829"/>
        <v>0.10186000000000001</v>
      </c>
      <c r="P6062" s="130"/>
      <c r="Q6062" s="111"/>
      <c r="R6062" s="111"/>
    </row>
    <row r="6063" spans="1:18">
      <c r="N6063" s="215">
        <f>SUM(N6039:N6062)</f>
        <v>1</v>
      </c>
      <c r="Q6063" s="215">
        <f>SUM(Q6039:Q6062)</f>
        <v>25</v>
      </c>
      <c r="R6063" s="215"/>
    </row>
    <row r="6066" spans="1:21" ht="15.6">
      <c r="A6066" s="110" t="s">
        <v>554</v>
      </c>
      <c r="B6066" s="111" t="s">
        <v>232</v>
      </c>
      <c r="C6066" s="112" t="s">
        <v>449</v>
      </c>
      <c r="D6066" s="113" t="s">
        <v>326</v>
      </c>
      <c r="E6066" s="216" t="s">
        <v>14</v>
      </c>
      <c r="F6066" s="216" t="s">
        <v>22</v>
      </c>
      <c r="G6066" s="217">
        <v>10.73</v>
      </c>
      <c r="H6066" s="218">
        <v>8.75</v>
      </c>
      <c r="I6066" s="219">
        <v>7</v>
      </c>
      <c r="J6066" s="220">
        <f t="shared" ref="J6066:J6074" si="830">(G6066*H6066*I6066/1000)</f>
        <v>0.65721249999999998</v>
      </c>
      <c r="K6066" s="118"/>
      <c r="L6066" s="219">
        <v>7</v>
      </c>
      <c r="M6066" s="117">
        <f t="shared" ref="M6066:M6074" si="831">H6066*L6066*G6066/1000</f>
        <v>0.65721249999999998</v>
      </c>
      <c r="N6066" s="119">
        <f t="shared" ref="N6066:N6074" si="832">I6066-L6066</f>
        <v>0</v>
      </c>
      <c r="O6066" s="120">
        <f t="shared" ref="O6066:O6072" si="833">H6066*N6066*G6066/1000</f>
        <v>0</v>
      </c>
      <c r="P6066" s="130"/>
      <c r="Q6066" s="111"/>
      <c r="R6066" s="111"/>
      <c r="S6066" s="213"/>
      <c r="T6066" s="213"/>
      <c r="U6066" s="213"/>
    </row>
    <row r="6067" spans="1:21" ht="15.6">
      <c r="A6067" s="110" t="s">
        <v>554</v>
      </c>
      <c r="B6067" s="111" t="s">
        <v>232</v>
      </c>
      <c r="C6067" s="112" t="s">
        <v>449</v>
      </c>
      <c r="D6067" s="113" t="s">
        <v>326</v>
      </c>
      <c r="E6067" s="216" t="s">
        <v>14</v>
      </c>
      <c r="F6067" s="216" t="s">
        <v>22</v>
      </c>
      <c r="G6067" s="217">
        <v>10.73</v>
      </c>
      <c r="H6067" s="218">
        <v>7.6</v>
      </c>
      <c r="I6067" s="219">
        <v>9</v>
      </c>
      <c r="J6067" s="220">
        <f t="shared" si="830"/>
        <v>0.73393200000000003</v>
      </c>
      <c r="K6067" s="118"/>
      <c r="L6067" s="219">
        <v>9</v>
      </c>
      <c r="M6067" s="117">
        <f t="shared" si="831"/>
        <v>0.73393199999999992</v>
      </c>
      <c r="N6067" s="119">
        <f t="shared" si="832"/>
        <v>0</v>
      </c>
      <c r="O6067" s="120">
        <f t="shared" si="833"/>
        <v>0</v>
      </c>
      <c r="P6067" s="130"/>
      <c r="Q6067" s="111"/>
      <c r="R6067" s="111"/>
      <c r="S6067" s="213"/>
      <c r="T6067" s="213"/>
      <c r="U6067" s="213"/>
    </row>
    <row r="6068" spans="1:21" ht="15.6">
      <c r="A6068" s="110" t="s">
        <v>554</v>
      </c>
      <c r="B6068" s="111" t="s">
        <v>232</v>
      </c>
      <c r="C6068" s="112" t="s">
        <v>449</v>
      </c>
      <c r="D6068" s="113" t="s">
        <v>326</v>
      </c>
      <c r="E6068" s="216" t="s">
        <v>14</v>
      </c>
      <c r="F6068" s="216" t="s">
        <v>22</v>
      </c>
      <c r="G6068" s="217">
        <v>10.73</v>
      </c>
      <c r="H6068" s="218">
        <v>11.5</v>
      </c>
      <c r="I6068" s="219">
        <v>7</v>
      </c>
      <c r="J6068" s="220">
        <f t="shared" si="830"/>
        <v>0.86376500000000012</v>
      </c>
      <c r="K6068" s="118"/>
      <c r="L6068" s="219">
        <v>7</v>
      </c>
      <c r="M6068" s="117">
        <f t="shared" si="831"/>
        <v>0.86376500000000001</v>
      </c>
      <c r="N6068" s="119">
        <f t="shared" si="832"/>
        <v>0</v>
      </c>
      <c r="O6068" s="120">
        <f t="shared" si="833"/>
        <v>0</v>
      </c>
      <c r="P6068" s="130"/>
      <c r="Q6068" s="111"/>
      <c r="R6068" s="111"/>
      <c r="S6068" s="213"/>
      <c r="T6068" s="213"/>
      <c r="U6068" s="213"/>
    </row>
    <row r="6069" spans="1:21" ht="15.6">
      <c r="A6069" s="110" t="s">
        <v>554</v>
      </c>
      <c r="B6069" s="111" t="s">
        <v>232</v>
      </c>
      <c r="C6069" s="112" t="s">
        <v>449</v>
      </c>
      <c r="D6069" s="113" t="s">
        <v>326</v>
      </c>
      <c r="E6069" s="216" t="s">
        <v>14</v>
      </c>
      <c r="F6069" s="216" t="s">
        <v>22</v>
      </c>
      <c r="G6069" s="217">
        <v>10.73</v>
      </c>
      <c r="H6069" s="218">
        <v>12</v>
      </c>
      <c r="I6069" s="219">
        <v>7</v>
      </c>
      <c r="J6069" s="220">
        <f t="shared" si="830"/>
        <v>0.9013199999999999</v>
      </c>
      <c r="K6069" s="118"/>
      <c r="L6069" s="219">
        <f>2+4+1</f>
        <v>7</v>
      </c>
      <c r="M6069" s="117">
        <f t="shared" si="831"/>
        <v>0.90132000000000001</v>
      </c>
      <c r="N6069" s="119">
        <f t="shared" si="832"/>
        <v>0</v>
      </c>
      <c r="O6069" s="120">
        <f t="shared" si="833"/>
        <v>0</v>
      </c>
      <c r="P6069" s="130">
        <v>10</v>
      </c>
      <c r="Q6069" s="111">
        <v>2</v>
      </c>
      <c r="R6069" s="79" t="s">
        <v>765</v>
      </c>
      <c r="S6069" s="77">
        <v>5</v>
      </c>
      <c r="T6069" s="77" t="s">
        <v>768</v>
      </c>
      <c r="U6069" s="213"/>
    </row>
    <row r="6070" spans="1:21" ht="15.6">
      <c r="A6070" s="110" t="s">
        <v>554</v>
      </c>
      <c r="B6070" s="111" t="s">
        <v>232</v>
      </c>
      <c r="C6070" s="112" t="s">
        <v>449</v>
      </c>
      <c r="D6070" s="113" t="s">
        <v>326</v>
      </c>
      <c r="E6070" s="216" t="s">
        <v>14</v>
      </c>
      <c r="F6070" s="216" t="s">
        <v>22</v>
      </c>
      <c r="G6070" s="217">
        <v>10.73</v>
      </c>
      <c r="H6070" s="218">
        <v>8.75</v>
      </c>
      <c r="I6070" s="219">
        <v>13</v>
      </c>
      <c r="J6070" s="220">
        <f t="shared" si="830"/>
        <v>1.2205375000000001</v>
      </c>
      <c r="K6070" s="118"/>
      <c r="L6070" s="219">
        <v>13</v>
      </c>
      <c r="M6070" s="117">
        <f t="shared" si="831"/>
        <v>1.2205375000000001</v>
      </c>
      <c r="N6070" s="119">
        <f t="shared" si="832"/>
        <v>0</v>
      </c>
      <c r="O6070" s="120">
        <f t="shared" si="833"/>
        <v>0</v>
      </c>
      <c r="P6070" s="130"/>
      <c r="Q6070" s="111"/>
      <c r="R6070" s="111"/>
      <c r="S6070" s="213"/>
      <c r="T6070" s="213"/>
      <c r="U6070" s="213"/>
    </row>
    <row r="6071" spans="1:21" ht="15.6">
      <c r="A6071" s="110" t="s">
        <v>554</v>
      </c>
      <c r="B6071" s="111" t="s">
        <v>232</v>
      </c>
      <c r="C6071" s="112" t="s">
        <v>449</v>
      </c>
      <c r="D6071" s="113" t="s">
        <v>326</v>
      </c>
      <c r="E6071" s="216" t="s">
        <v>14</v>
      </c>
      <c r="F6071" s="216" t="s">
        <v>22</v>
      </c>
      <c r="G6071" s="217">
        <v>10.73</v>
      </c>
      <c r="H6071" s="218">
        <v>11.5</v>
      </c>
      <c r="I6071" s="219">
        <v>12</v>
      </c>
      <c r="J6071" s="220">
        <f t="shared" si="830"/>
        <v>1.4807400000000002</v>
      </c>
      <c r="K6071" s="118"/>
      <c r="L6071" s="219">
        <v>12</v>
      </c>
      <c r="M6071" s="117">
        <f t="shared" si="831"/>
        <v>1.4807399999999999</v>
      </c>
      <c r="N6071" s="119">
        <f t="shared" si="832"/>
        <v>0</v>
      </c>
      <c r="O6071" s="120">
        <f t="shared" si="833"/>
        <v>0</v>
      </c>
      <c r="P6071" s="130"/>
      <c r="Q6071" s="111"/>
      <c r="R6071" s="111"/>
      <c r="S6071" s="213"/>
      <c r="T6071" s="213"/>
      <c r="U6071" s="213"/>
    </row>
    <row r="6072" spans="1:21" ht="15.6">
      <c r="A6072" s="110" t="s">
        <v>554</v>
      </c>
      <c r="B6072" s="111" t="s">
        <v>232</v>
      </c>
      <c r="C6072" s="112" t="s">
        <v>449</v>
      </c>
      <c r="D6072" s="113" t="s">
        <v>326</v>
      </c>
      <c r="E6072" s="216" t="s">
        <v>14</v>
      </c>
      <c r="F6072" s="216" t="s">
        <v>22</v>
      </c>
      <c r="G6072" s="217">
        <v>10.73</v>
      </c>
      <c r="H6072" s="218">
        <v>7.6</v>
      </c>
      <c r="I6072" s="219">
        <v>9</v>
      </c>
      <c r="J6072" s="220">
        <f t="shared" si="830"/>
        <v>0.73393200000000003</v>
      </c>
      <c r="K6072" s="118"/>
      <c r="L6072" s="219">
        <v>9</v>
      </c>
      <c r="M6072" s="117">
        <f t="shared" si="831"/>
        <v>0.73393199999999992</v>
      </c>
      <c r="N6072" s="119">
        <f t="shared" si="832"/>
        <v>0</v>
      </c>
      <c r="O6072" s="120">
        <f t="shared" si="833"/>
        <v>0</v>
      </c>
      <c r="P6072" s="130"/>
      <c r="Q6072" s="111"/>
      <c r="R6072" s="111"/>
      <c r="S6072" s="213"/>
      <c r="T6072" s="213"/>
      <c r="U6072" s="213"/>
    </row>
    <row r="6073" spans="1:21" ht="15.6">
      <c r="A6073" s="110" t="s">
        <v>554</v>
      </c>
      <c r="B6073" s="111" t="s">
        <v>232</v>
      </c>
      <c r="C6073" s="112" t="s">
        <v>449</v>
      </c>
      <c r="D6073" s="113" t="s">
        <v>326</v>
      </c>
      <c r="E6073" s="216" t="s">
        <v>14</v>
      </c>
      <c r="F6073" s="216" t="s">
        <v>22</v>
      </c>
      <c r="G6073" s="217">
        <v>10.73</v>
      </c>
      <c r="H6073" s="218">
        <v>7.6</v>
      </c>
      <c r="I6073" s="219">
        <v>4</v>
      </c>
      <c r="J6073" s="220">
        <f t="shared" si="830"/>
        <v>0.32619199999999998</v>
      </c>
      <c r="K6073" s="118"/>
      <c r="L6073" s="219">
        <v>4</v>
      </c>
      <c r="M6073" s="117">
        <f t="shared" si="831"/>
        <v>0.32619199999999998</v>
      </c>
      <c r="N6073" s="119">
        <f t="shared" si="832"/>
        <v>0</v>
      </c>
      <c r="O6073" s="120">
        <f>H6073*N6073*G6073/1000</f>
        <v>0</v>
      </c>
      <c r="P6073" s="130"/>
      <c r="Q6073" s="111"/>
      <c r="R6073" s="79">
        <v>7.1</v>
      </c>
      <c r="S6073" s="77">
        <v>4</v>
      </c>
      <c r="T6073" s="77" t="s">
        <v>767</v>
      </c>
      <c r="U6073" s="213"/>
    </row>
    <row r="6074" spans="1:21" ht="15.6">
      <c r="A6074" s="110" t="s">
        <v>554</v>
      </c>
      <c r="B6074" s="111" t="s">
        <v>232</v>
      </c>
      <c r="C6074" s="112" t="s">
        <v>449</v>
      </c>
      <c r="D6074" s="113" t="s">
        <v>326</v>
      </c>
      <c r="E6074" s="216" t="s">
        <v>14</v>
      </c>
      <c r="F6074" s="216" t="s">
        <v>22</v>
      </c>
      <c r="G6074" s="217">
        <v>10.73</v>
      </c>
      <c r="H6074" s="218">
        <v>11</v>
      </c>
      <c r="I6074" s="219">
        <v>1</v>
      </c>
      <c r="J6074" s="220">
        <f t="shared" si="830"/>
        <v>0.11803</v>
      </c>
      <c r="K6074" s="118"/>
      <c r="L6074" s="219">
        <v>1</v>
      </c>
      <c r="M6074" s="117">
        <f t="shared" si="831"/>
        <v>0.11803</v>
      </c>
      <c r="N6074" s="119">
        <f t="shared" si="832"/>
        <v>0</v>
      </c>
      <c r="O6074" s="120">
        <f>H6074*N6074*G6074/1000</f>
        <v>0</v>
      </c>
      <c r="P6074" s="130"/>
      <c r="Q6074" s="111"/>
      <c r="R6074" s="79">
        <v>6.45</v>
      </c>
      <c r="S6074" s="77">
        <v>1</v>
      </c>
      <c r="T6074" s="77" t="s">
        <v>766</v>
      </c>
      <c r="U6074" s="213"/>
    </row>
    <row r="6075" spans="1:21">
      <c r="A6075" s="213"/>
      <c r="B6075" s="213"/>
      <c r="C6075" s="213"/>
      <c r="D6075" s="213"/>
      <c r="E6075" s="213"/>
      <c r="F6075" s="213"/>
      <c r="G6075" s="213"/>
      <c r="H6075" s="213"/>
      <c r="I6075" s="215">
        <f>SUM(I6066:I6074)</f>
        <v>69</v>
      </c>
      <c r="J6075" s="214">
        <f>SUM(J6066:J6074)</f>
        <v>7.0356610000000002</v>
      </c>
      <c r="K6075" s="213"/>
      <c r="L6075" s="215">
        <f>SUM(L6066:L6074)</f>
        <v>69</v>
      </c>
      <c r="M6075" s="214">
        <f>SUM(M6066:M6074)</f>
        <v>7.0356610000000002</v>
      </c>
      <c r="N6075" s="78">
        <f>SUM(N6066:N6074)</f>
        <v>0</v>
      </c>
      <c r="O6075" s="128">
        <f>SUM(O6066:O6074)</f>
        <v>0</v>
      </c>
      <c r="P6075" s="213"/>
      <c r="Q6075" s="213"/>
      <c r="R6075" s="213"/>
      <c r="S6075" s="78">
        <f>SUM(S6066:S6074)</f>
        <v>10</v>
      </c>
      <c r="T6075" s="213"/>
      <c r="U6075" s="213"/>
    </row>
    <row r="6077" spans="1:21" ht="15.6">
      <c r="A6077" s="110" t="s">
        <v>448</v>
      </c>
      <c r="B6077" s="111" t="s">
        <v>232</v>
      </c>
      <c r="C6077" s="112" t="s">
        <v>449</v>
      </c>
      <c r="D6077" s="113" t="s">
        <v>326</v>
      </c>
      <c r="E6077" s="216" t="s">
        <v>14</v>
      </c>
      <c r="F6077" s="216" t="s">
        <v>28</v>
      </c>
      <c r="G6077" s="217">
        <v>12.2</v>
      </c>
      <c r="H6077" s="218">
        <v>11.9</v>
      </c>
      <c r="I6077" s="219">
        <v>20</v>
      </c>
      <c r="J6077" s="220">
        <f t="shared" ref="J6077:J6088" si="834">(G6077*H6077*I6077/1000)</f>
        <v>2.9036000000000004</v>
      </c>
      <c r="K6077" s="118"/>
      <c r="L6077" s="219">
        <v>20</v>
      </c>
      <c r="M6077" s="117">
        <f t="shared" ref="M6077:M6088" si="835">H6077*L6077*G6077/1000</f>
        <v>2.9036</v>
      </c>
      <c r="N6077" s="119">
        <f t="shared" ref="N6077:N6086" si="836">I6077-L6077</f>
        <v>0</v>
      </c>
      <c r="O6077" s="120">
        <f t="shared" ref="O6077:O6086" si="837">H6077*N6077*G6077/1000</f>
        <v>0</v>
      </c>
      <c r="P6077" s="111"/>
      <c r="Q6077" s="111"/>
      <c r="R6077" s="111"/>
    </row>
    <row r="6078" spans="1:21" ht="15.6">
      <c r="A6078" s="110" t="s">
        <v>448</v>
      </c>
      <c r="B6078" s="111" t="s">
        <v>232</v>
      </c>
      <c r="C6078" s="112" t="s">
        <v>449</v>
      </c>
      <c r="D6078" s="113" t="s">
        <v>326</v>
      </c>
      <c r="E6078" s="216" t="s">
        <v>14</v>
      </c>
      <c r="F6078" s="216" t="s">
        <v>28</v>
      </c>
      <c r="G6078" s="217">
        <v>12.2</v>
      </c>
      <c r="H6078" s="218">
        <v>8</v>
      </c>
      <c r="I6078" s="219">
        <v>26</v>
      </c>
      <c r="J6078" s="220">
        <f t="shared" si="834"/>
        <v>2.5375999999999999</v>
      </c>
      <c r="K6078" s="118"/>
      <c r="L6078" s="219">
        <v>26</v>
      </c>
      <c r="M6078" s="117">
        <f t="shared" si="835"/>
        <v>2.5375999999999999</v>
      </c>
      <c r="N6078" s="119">
        <f t="shared" si="836"/>
        <v>0</v>
      </c>
      <c r="O6078" s="120">
        <f t="shared" si="837"/>
        <v>0</v>
      </c>
      <c r="P6078" s="111"/>
      <c r="Q6078" s="111"/>
      <c r="R6078" s="111"/>
    </row>
    <row r="6079" spans="1:21" ht="15.6">
      <c r="A6079" s="110" t="s">
        <v>448</v>
      </c>
      <c r="B6079" s="111" t="s">
        <v>232</v>
      </c>
      <c r="C6079" s="112" t="s">
        <v>449</v>
      </c>
      <c r="D6079" s="113" t="s">
        <v>326</v>
      </c>
      <c r="E6079" s="216" t="s">
        <v>14</v>
      </c>
      <c r="F6079" s="216" t="s">
        <v>28</v>
      </c>
      <c r="G6079" s="217">
        <v>12.2</v>
      </c>
      <c r="H6079" s="218">
        <v>8</v>
      </c>
      <c r="I6079" s="219">
        <v>23</v>
      </c>
      <c r="J6079" s="220">
        <f t="shared" si="834"/>
        <v>2.2447999999999997</v>
      </c>
      <c r="K6079" s="118"/>
      <c r="L6079" s="219">
        <v>23</v>
      </c>
      <c r="M6079" s="117">
        <f t="shared" si="835"/>
        <v>2.2447999999999997</v>
      </c>
      <c r="N6079" s="119">
        <f t="shared" si="836"/>
        <v>0</v>
      </c>
      <c r="O6079" s="120">
        <f t="shared" si="837"/>
        <v>0</v>
      </c>
      <c r="P6079" s="111"/>
      <c r="Q6079" s="111"/>
      <c r="R6079" s="111"/>
    </row>
    <row r="6080" spans="1:21" ht="15.6">
      <c r="A6080" s="110" t="s">
        <v>448</v>
      </c>
      <c r="B6080" s="111" t="s">
        <v>232</v>
      </c>
      <c r="C6080" s="112" t="s">
        <v>449</v>
      </c>
      <c r="D6080" s="113" t="s">
        <v>326</v>
      </c>
      <c r="E6080" s="216" t="s">
        <v>14</v>
      </c>
      <c r="F6080" s="216" t="s">
        <v>28</v>
      </c>
      <c r="G6080" s="217">
        <v>12.2</v>
      </c>
      <c r="H6080" s="218">
        <v>11.9</v>
      </c>
      <c r="I6080" s="219">
        <v>21</v>
      </c>
      <c r="J6080" s="220">
        <f t="shared" si="834"/>
        <v>3.0487800000000003</v>
      </c>
      <c r="K6080" s="118"/>
      <c r="L6080" s="219">
        <v>21</v>
      </c>
      <c r="M6080" s="117">
        <f t="shared" si="835"/>
        <v>3.0487799999999998</v>
      </c>
      <c r="N6080" s="119">
        <f t="shared" si="836"/>
        <v>0</v>
      </c>
      <c r="O6080" s="120">
        <f t="shared" si="837"/>
        <v>0</v>
      </c>
      <c r="P6080" s="111"/>
      <c r="Q6080" s="111"/>
      <c r="R6080" s="111"/>
    </row>
    <row r="6081" spans="1:18" ht="15.6">
      <c r="A6081" s="110" t="s">
        <v>448</v>
      </c>
      <c r="B6081" s="111" t="s">
        <v>232</v>
      </c>
      <c r="C6081" s="112" t="s">
        <v>449</v>
      </c>
      <c r="D6081" s="113" t="s">
        <v>326</v>
      </c>
      <c r="E6081" s="216" t="s">
        <v>14</v>
      </c>
      <c r="F6081" s="216" t="s">
        <v>28</v>
      </c>
      <c r="G6081" s="217">
        <v>12.2</v>
      </c>
      <c r="H6081" s="218">
        <v>7.5</v>
      </c>
      <c r="I6081" s="219">
        <v>2</v>
      </c>
      <c r="J6081" s="220">
        <f t="shared" si="834"/>
        <v>0.183</v>
      </c>
      <c r="K6081" s="118"/>
      <c r="L6081" s="219">
        <v>2</v>
      </c>
      <c r="M6081" s="117">
        <f t="shared" si="835"/>
        <v>0.183</v>
      </c>
      <c r="N6081" s="119">
        <f t="shared" si="836"/>
        <v>0</v>
      </c>
      <c r="O6081" s="120">
        <f t="shared" si="837"/>
        <v>0</v>
      </c>
      <c r="P6081" s="93">
        <v>7.95</v>
      </c>
      <c r="Q6081" s="93">
        <v>2</v>
      </c>
      <c r="R6081" s="93" t="s">
        <v>770</v>
      </c>
    </row>
    <row r="6082" spans="1:18" ht="15.6">
      <c r="A6082" s="110" t="s">
        <v>448</v>
      </c>
      <c r="B6082" s="111" t="s">
        <v>232</v>
      </c>
      <c r="C6082" s="112" t="s">
        <v>449</v>
      </c>
      <c r="D6082" s="113" t="s">
        <v>326</v>
      </c>
      <c r="E6082" s="216" t="s">
        <v>14</v>
      </c>
      <c r="F6082" s="216" t="s">
        <v>28</v>
      </c>
      <c r="G6082" s="217">
        <v>12.2</v>
      </c>
      <c r="H6082" s="218">
        <v>8.75</v>
      </c>
      <c r="I6082" s="219">
        <v>3</v>
      </c>
      <c r="J6082" s="220">
        <f t="shared" si="834"/>
        <v>0.32024999999999998</v>
      </c>
      <c r="K6082" s="118"/>
      <c r="L6082" s="219">
        <f>2+1</f>
        <v>3</v>
      </c>
      <c r="M6082" s="117">
        <f t="shared" si="835"/>
        <v>0.32024999999999998</v>
      </c>
      <c r="N6082" s="119">
        <f t="shared" si="836"/>
        <v>0</v>
      </c>
      <c r="O6082" s="120">
        <f t="shared" si="837"/>
        <v>0</v>
      </c>
      <c r="P6082" s="93">
        <v>7.95</v>
      </c>
      <c r="Q6082" s="93">
        <v>1</v>
      </c>
      <c r="R6082" s="93" t="s">
        <v>769</v>
      </c>
    </row>
    <row r="6083" spans="1:18" ht="15.6">
      <c r="A6083" s="110" t="s">
        <v>448</v>
      </c>
      <c r="B6083" s="111" t="s">
        <v>232</v>
      </c>
      <c r="C6083" s="112" t="s">
        <v>449</v>
      </c>
      <c r="D6083" s="113" t="s">
        <v>326</v>
      </c>
      <c r="E6083" s="216" t="s">
        <v>14</v>
      </c>
      <c r="F6083" s="216" t="s">
        <v>28</v>
      </c>
      <c r="G6083" s="217">
        <v>12.2</v>
      </c>
      <c r="H6083" s="218">
        <v>11.5</v>
      </c>
      <c r="I6083" s="219">
        <v>1</v>
      </c>
      <c r="J6083" s="220">
        <f t="shared" si="834"/>
        <v>0.14029999999999998</v>
      </c>
      <c r="K6083" s="118"/>
      <c r="L6083" s="219">
        <v>1</v>
      </c>
      <c r="M6083" s="117">
        <f t="shared" si="835"/>
        <v>0.14029999999999998</v>
      </c>
      <c r="N6083" s="119">
        <f t="shared" si="836"/>
        <v>0</v>
      </c>
      <c r="O6083" s="120">
        <f t="shared" si="837"/>
        <v>0</v>
      </c>
      <c r="P6083" s="111"/>
      <c r="Q6083" s="111"/>
      <c r="R6083" s="111"/>
    </row>
    <row r="6084" spans="1:18" ht="15.6">
      <c r="A6084" s="110" t="s">
        <v>448</v>
      </c>
      <c r="B6084" s="111" t="s">
        <v>232</v>
      </c>
      <c r="C6084" s="112" t="s">
        <v>449</v>
      </c>
      <c r="D6084" s="113" t="s">
        <v>326</v>
      </c>
      <c r="E6084" s="216" t="s">
        <v>14</v>
      </c>
      <c r="F6084" s="216" t="s">
        <v>28</v>
      </c>
      <c r="G6084" s="217">
        <v>12.2</v>
      </c>
      <c r="H6084" s="218">
        <v>8</v>
      </c>
      <c r="I6084" s="219">
        <v>23</v>
      </c>
      <c r="J6084" s="220">
        <f t="shared" si="834"/>
        <v>2.2447999999999997</v>
      </c>
      <c r="K6084" s="118"/>
      <c r="L6084" s="219">
        <v>23</v>
      </c>
      <c r="M6084" s="117">
        <f t="shared" si="835"/>
        <v>2.2447999999999997</v>
      </c>
      <c r="N6084" s="119">
        <f t="shared" si="836"/>
        <v>0</v>
      </c>
      <c r="O6084" s="120">
        <f t="shared" si="837"/>
        <v>0</v>
      </c>
      <c r="P6084" s="111"/>
      <c r="Q6084" s="111"/>
      <c r="R6084" s="111"/>
    </row>
    <row r="6085" spans="1:18" ht="15.6">
      <c r="A6085" s="110" t="s">
        <v>448</v>
      </c>
      <c r="B6085" s="111" t="s">
        <v>232</v>
      </c>
      <c r="C6085" s="112" t="s">
        <v>449</v>
      </c>
      <c r="D6085" s="113" t="s">
        <v>326</v>
      </c>
      <c r="E6085" s="216" t="s">
        <v>14</v>
      </c>
      <c r="F6085" s="216" t="s">
        <v>28</v>
      </c>
      <c r="G6085" s="217">
        <v>12.2</v>
      </c>
      <c r="H6085" s="218">
        <v>11.9</v>
      </c>
      <c r="I6085" s="219">
        <v>6</v>
      </c>
      <c r="J6085" s="220">
        <f t="shared" si="834"/>
        <v>0.87108000000000008</v>
      </c>
      <c r="K6085" s="118"/>
      <c r="L6085" s="219">
        <v>6</v>
      </c>
      <c r="M6085" s="117">
        <f t="shared" si="835"/>
        <v>0.87108000000000008</v>
      </c>
      <c r="N6085" s="119">
        <f t="shared" si="836"/>
        <v>0</v>
      </c>
      <c r="O6085" s="120">
        <f t="shared" si="837"/>
        <v>0</v>
      </c>
      <c r="P6085" s="111"/>
      <c r="Q6085" s="111"/>
      <c r="R6085" s="111"/>
    </row>
    <row r="6086" spans="1:18" ht="15.6">
      <c r="A6086" s="110" t="s">
        <v>448</v>
      </c>
      <c r="B6086" s="111" t="s">
        <v>232</v>
      </c>
      <c r="C6086" s="112" t="s">
        <v>449</v>
      </c>
      <c r="D6086" s="113" t="s">
        <v>326</v>
      </c>
      <c r="E6086" s="216" t="s">
        <v>14</v>
      </c>
      <c r="F6086" s="216" t="s">
        <v>28</v>
      </c>
      <c r="G6086" s="217">
        <v>12.2</v>
      </c>
      <c r="H6086" s="218">
        <v>11.9</v>
      </c>
      <c r="I6086" s="219">
        <v>25</v>
      </c>
      <c r="J6086" s="220">
        <f t="shared" si="834"/>
        <v>3.6295000000000002</v>
      </c>
      <c r="K6086" s="118"/>
      <c r="L6086" s="219">
        <v>25</v>
      </c>
      <c r="M6086" s="117">
        <f t="shared" si="835"/>
        <v>3.6295000000000002</v>
      </c>
      <c r="N6086" s="119">
        <f t="shared" si="836"/>
        <v>0</v>
      </c>
      <c r="O6086" s="120">
        <f t="shared" si="837"/>
        <v>0</v>
      </c>
      <c r="P6086" s="111"/>
      <c r="Q6086" s="111"/>
      <c r="R6086" s="111"/>
    </row>
    <row r="6087" spans="1:18" ht="15.6">
      <c r="A6087" s="110" t="s">
        <v>448</v>
      </c>
      <c r="B6087" s="111" t="s">
        <v>232</v>
      </c>
      <c r="C6087" s="112" t="s">
        <v>449</v>
      </c>
      <c r="D6087" s="113" t="s">
        <v>326</v>
      </c>
      <c r="E6087" s="216" t="s">
        <v>14</v>
      </c>
      <c r="F6087" s="216" t="s">
        <v>28</v>
      </c>
      <c r="G6087" s="217">
        <v>12.2</v>
      </c>
      <c r="H6087" s="218">
        <v>8</v>
      </c>
      <c r="I6087" s="219">
        <v>9</v>
      </c>
      <c r="J6087" s="220">
        <f t="shared" si="834"/>
        <v>0.87839999999999996</v>
      </c>
      <c r="K6087" s="118"/>
      <c r="L6087" s="219">
        <v>9</v>
      </c>
      <c r="M6087" s="117">
        <f t="shared" si="835"/>
        <v>0.87839999999999996</v>
      </c>
      <c r="N6087" s="119">
        <f>I6087-L6087</f>
        <v>0</v>
      </c>
      <c r="O6087" s="120">
        <f>H6087*N6087*G6087/1000</f>
        <v>0</v>
      </c>
      <c r="P6087" s="111"/>
      <c r="Q6087" s="111"/>
      <c r="R6087" s="111"/>
    </row>
    <row r="6088" spans="1:18" ht="15.6">
      <c r="A6088" s="110" t="s">
        <v>448</v>
      </c>
      <c r="B6088" s="111" t="s">
        <v>232</v>
      </c>
      <c r="C6088" s="112" t="s">
        <v>449</v>
      </c>
      <c r="D6088" s="113" t="s">
        <v>326</v>
      </c>
      <c r="E6088" s="216" t="s">
        <v>14</v>
      </c>
      <c r="F6088" s="216" t="s">
        <v>28</v>
      </c>
      <c r="G6088" s="217">
        <v>12.2</v>
      </c>
      <c r="H6088" s="218">
        <v>11.7</v>
      </c>
      <c r="I6088" s="219">
        <v>1</v>
      </c>
      <c r="J6088" s="220">
        <f t="shared" si="834"/>
        <v>0.14273999999999998</v>
      </c>
      <c r="K6088" s="118"/>
      <c r="L6088" s="219">
        <v>1</v>
      </c>
      <c r="M6088" s="117">
        <f t="shared" si="835"/>
        <v>0.14273999999999998</v>
      </c>
      <c r="N6088" s="119">
        <f>I6088-L6088</f>
        <v>0</v>
      </c>
      <c r="O6088" s="120">
        <f>H6088*N6088*G6088/1000</f>
        <v>0</v>
      </c>
      <c r="P6088" s="111"/>
      <c r="Q6088" s="111"/>
      <c r="R6088" s="111"/>
    </row>
    <row r="6089" spans="1:18">
      <c r="A6089" s="213"/>
      <c r="B6089" s="213"/>
      <c r="C6089" s="213"/>
      <c r="D6089" s="213"/>
      <c r="E6089" s="213"/>
      <c r="F6089" s="213"/>
      <c r="G6089" s="213"/>
      <c r="H6089" s="213"/>
      <c r="I6089" s="215">
        <f>SUM(I6077:I6088)</f>
        <v>160</v>
      </c>
      <c r="J6089" s="214">
        <f>SUM(J6077:J6088)</f>
        <v>19.144849999999998</v>
      </c>
      <c r="K6089" s="213"/>
      <c r="L6089" s="215">
        <f>SUM(L6077:L6088)</f>
        <v>160</v>
      </c>
      <c r="M6089" s="214">
        <f>SUM(M6077:M6088)</f>
        <v>19.144849999999998</v>
      </c>
      <c r="N6089" s="78">
        <f>SUM(N6077:N6088)</f>
        <v>0</v>
      </c>
      <c r="O6089" s="128">
        <f>SUM(O6077:O6088)</f>
        <v>0</v>
      </c>
      <c r="P6089" s="213"/>
      <c r="Q6089" s="80">
        <f>SUM(Q6077:Q6088)</f>
        <v>3</v>
      </c>
      <c r="R6089" s="213"/>
    </row>
    <row r="6094" spans="1:18">
      <c r="A6094" s="110" t="s">
        <v>665</v>
      </c>
      <c r="B6094" s="111" t="s">
        <v>227</v>
      </c>
      <c r="C6094" s="112" t="s">
        <v>449</v>
      </c>
      <c r="D6094" s="113" t="s">
        <v>24</v>
      </c>
      <c r="E6094" s="369" t="s">
        <v>14</v>
      </c>
      <c r="F6094" s="369" t="s">
        <v>32</v>
      </c>
      <c r="G6094" s="370">
        <v>8.3000000000000007</v>
      </c>
      <c r="H6094" s="126">
        <v>8.35</v>
      </c>
      <c r="I6094" s="213">
        <f>7</f>
        <v>7</v>
      </c>
      <c r="J6094" s="117">
        <f t="shared" ref="J6094:J6099" si="838">H6094*G6094*I6094/1000</f>
        <v>0.48513500000000004</v>
      </c>
      <c r="K6094" s="118"/>
      <c r="L6094" s="111">
        <v>7</v>
      </c>
      <c r="M6094" s="117">
        <f t="shared" ref="M6094:M6099" si="839">H6094*L6094*G6094/1000</f>
        <v>0.48513499999999998</v>
      </c>
      <c r="N6094" s="119">
        <f t="shared" ref="N6094:N6099" si="840">I6094-L6094</f>
        <v>0</v>
      </c>
      <c r="O6094" s="120">
        <f t="shared" ref="O6094:O6099" si="841">H6094*N6094*G6094/1000</f>
        <v>0</v>
      </c>
      <c r="P6094" s="111"/>
      <c r="Q6094" s="32"/>
      <c r="R6094" s="32"/>
    </row>
    <row r="6095" spans="1:18">
      <c r="A6095" s="110" t="s">
        <v>665</v>
      </c>
      <c r="B6095" s="111" t="s">
        <v>227</v>
      </c>
      <c r="C6095" s="112" t="s">
        <v>449</v>
      </c>
      <c r="D6095" s="113" t="s">
        <v>24</v>
      </c>
      <c r="E6095" s="369" t="s">
        <v>14</v>
      </c>
      <c r="F6095" s="369" t="s">
        <v>32</v>
      </c>
      <c r="G6095" s="370">
        <v>8.3000000000000007</v>
      </c>
      <c r="H6095" s="126">
        <v>12</v>
      </c>
      <c r="I6095" s="213">
        <v>31</v>
      </c>
      <c r="J6095" s="117">
        <f t="shared" si="838"/>
        <v>3.0876000000000006</v>
      </c>
      <c r="K6095" s="118"/>
      <c r="L6095" s="111">
        <v>31</v>
      </c>
      <c r="M6095" s="117">
        <f t="shared" si="839"/>
        <v>3.0876000000000006</v>
      </c>
      <c r="N6095" s="119">
        <f t="shared" si="840"/>
        <v>0</v>
      </c>
      <c r="O6095" s="120">
        <f t="shared" si="841"/>
        <v>0</v>
      </c>
      <c r="P6095" s="111"/>
      <c r="Q6095" s="32"/>
      <c r="R6095" s="32"/>
    </row>
    <row r="6096" spans="1:18">
      <c r="A6096" s="110" t="s">
        <v>665</v>
      </c>
      <c r="B6096" s="111" t="s">
        <v>227</v>
      </c>
      <c r="C6096" s="112" t="s">
        <v>449</v>
      </c>
      <c r="D6096" s="113" t="s">
        <v>24</v>
      </c>
      <c r="E6096" s="369" t="s">
        <v>14</v>
      </c>
      <c r="F6096" s="369" t="s">
        <v>32</v>
      </c>
      <c r="G6096" s="370">
        <v>8.3000000000000007</v>
      </c>
      <c r="H6096" s="126">
        <v>11.7</v>
      </c>
      <c r="I6096" s="213">
        <v>13</v>
      </c>
      <c r="J6096" s="117">
        <f t="shared" si="838"/>
        <v>1.2624300000000002</v>
      </c>
      <c r="K6096" s="118"/>
      <c r="L6096" s="111">
        <v>3</v>
      </c>
      <c r="M6096" s="117">
        <f t="shared" si="839"/>
        <v>0.29132999999999998</v>
      </c>
      <c r="N6096" s="119">
        <f t="shared" si="840"/>
        <v>10</v>
      </c>
      <c r="O6096" s="120">
        <f t="shared" si="841"/>
        <v>0.97110000000000019</v>
      </c>
      <c r="P6096" s="79">
        <v>11.7</v>
      </c>
      <c r="Q6096" s="72">
        <v>3</v>
      </c>
      <c r="R6096" s="72" t="s">
        <v>773</v>
      </c>
    </row>
    <row r="6097" spans="1:19">
      <c r="A6097" s="110" t="s">
        <v>665</v>
      </c>
      <c r="B6097" s="111" t="s">
        <v>227</v>
      </c>
      <c r="C6097" s="112" t="s">
        <v>449</v>
      </c>
      <c r="D6097" s="113" t="s">
        <v>24</v>
      </c>
      <c r="E6097" s="369" t="s">
        <v>14</v>
      </c>
      <c r="F6097" s="369" t="s">
        <v>32</v>
      </c>
      <c r="G6097" s="370">
        <v>8.3000000000000007</v>
      </c>
      <c r="H6097" s="126">
        <v>11.5</v>
      </c>
      <c r="I6097" s="213">
        <v>4</v>
      </c>
      <c r="J6097" s="117">
        <f t="shared" si="838"/>
        <v>0.38180000000000003</v>
      </c>
      <c r="K6097" s="118"/>
      <c r="L6097" s="111">
        <v>4</v>
      </c>
      <c r="M6097" s="117">
        <f t="shared" si="839"/>
        <v>0.38180000000000003</v>
      </c>
      <c r="N6097" s="119">
        <f t="shared" si="840"/>
        <v>0</v>
      </c>
      <c r="O6097" s="120">
        <f t="shared" si="841"/>
        <v>0</v>
      </c>
      <c r="P6097" s="111"/>
      <c r="Q6097" s="32"/>
      <c r="R6097" s="32"/>
    </row>
    <row r="6098" spans="1:19">
      <c r="A6098" s="110" t="s">
        <v>665</v>
      </c>
      <c r="B6098" s="111" t="s">
        <v>227</v>
      </c>
      <c r="C6098" s="112" t="s">
        <v>449</v>
      </c>
      <c r="D6098" s="113" t="s">
        <v>24</v>
      </c>
      <c r="E6098" s="369" t="s">
        <v>14</v>
      </c>
      <c r="F6098" s="369" t="s">
        <v>32</v>
      </c>
      <c r="G6098" s="370">
        <v>8.3000000000000007</v>
      </c>
      <c r="H6098" s="126">
        <v>11</v>
      </c>
      <c r="I6098" s="213">
        <v>8</v>
      </c>
      <c r="J6098" s="117">
        <f t="shared" si="838"/>
        <v>0.73040000000000005</v>
      </c>
      <c r="K6098" s="118"/>
      <c r="L6098" s="111">
        <v>8</v>
      </c>
      <c r="M6098" s="117">
        <f t="shared" si="839"/>
        <v>0.73040000000000005</v>
      </c>
      <c r="N6098" s="119">
        <f t="shared" si="840"/>
        <v>0</v>
      </c>
      <c r="O6098" s="120">
        <f t="shared" si="841"/>
        <v>0</v>
      </c>
      <c r="P6098" s="111"/>
      <c r="Q6098" s="32"/>
      <c r="R6098" s="32"/>
    </row>
    <row r="6099" spans="1:19">
      <c r="A6099" s="110" t="s">
        <v>665</v>
      </c>
      <c r="B6099" s="111" t="s">
        <v>227</v>
      </c>
      <c r="C6099" s="112" t="s">
        <v>449</v>
      </c>
      <c r="D6099" s="113" t="s">
        <v>24</v>
      </c>
      <c r="E6099" s="369" t="s">
        <v>14</v>
      </c>
      <c r="F6099" s="369" t="s">
        <v>32</v>
      </c>
      <c r="G6099" s="370">
        <v>8.3000000000000007</v>
      </c>
      <c r="H6099" s="126">
        <v>11.2</v>
      </c>
      <c r="I6099" s="213">
        <v>1</v>
      </c>
      <c r="J6099" s="117">
        <f t="shared" si="838"/>
        <v>9.2960000000000015E-2</v>
      </c>
      <c r="K6099" s="118"/>
      <c r="L6099" s="111">
        <v>1</v>
      </c>
      <c r="M6099" s="117">
        <f t="shared" si="839"/>
        <v>9.2960000000000015E-2</v>
      </c>
      <c r="N6099" s="119">
        <f t="shared" si="840"/>
        <v>0</v>
      </c>
      <c r="O6099" s="120">
        <f t="shared" si="841"/>
        <v>0</v>
      </c>
      <c r="P6099" s="111"/>
      <c r="Q6099" s="32"/>
      <c r="R6099" s="32"/>
    </row>
    <row r="6102" spans="1:19">
      <c r="A6102" s="42" t="s">
        <v>90</v>
      </c>
      <c r="B6102" s="3"/>
      <c r="C6102" s="3">
        <v>132</v>
      </c>
      <c r="D6102" s="20" t="s">
        <v>17</v>
      </c>
      <c r="E6102" s="7" t="s">
        <v>15</v>
      </c>
      <c r="F6102" s="7" t="s">
        <v>39</v>
      </c>
      <c r="G6102" s="11">
        <v>14.66</v>
      </c>
      <c r="H6102" s="8">
        <v>6.4</v>
      </c>
      <c r="I6102" s="26">
        <v>2</v>
      </c>
      <c r="J6102" s="10">
        <v>0.18764800000000004</v>
      </c>
      <c r="K6102" s="17"/>
      <c r="L6102" s="18">
        <v>0</v>
      </c>
      <c r="M6102" s="310">
        <v>2</v>
      </c>
      <c r="N6102" s="165">
        <v>0.18764800000000004</v>
      </c>
      <c r="O6102" s="73"/>
      <c r="P6102" s="2"/>
      <c r="Q6102" s="2"/>
    </row>
    <row r="6105" spans="1:19" ht="15.6">
      <c r="A6105" s="110" t="s">
        <v>365</v>
      </c>
      <c r="B6105" s="111" t="s">
        <v>232</v>
      </c>
      <c r="C6105" s="112" t="s">
        <v>228</v>
      </c>
      <c r="D6105" s="113" t="s">
        <v>24</v>
      </c>
      <c r="E6105" s="114" t="s">
        <v>14</v>
      </c>
      <c r="F6105" s="115" t="s">
        <v>48</v>
      </c>
      <c r="G6105" s="116">
        <v>23.45</v>
      </c>
      <c r="H6105" s="125">
        <v>10</v>
      </c>
      <c r="I6105" s="111">
        <v>4</v>
      </c>
      <c r="J6105" s="117">
        <f t="shared" ref="J6105:J6108" si="842">H6105*G6105*I6105/1000</f>
        <v>0.93799999999999994</v>
      </c>
      <c r="K6105" s="118"/>
      <c r="L6105" s="111">
        <v>4</v>
      </c>
      <c r="M6105" s="117">
        <f t="shared" ref="M6105:M6108" si="843">H6105*L6105*G6105/1000</f>
        <v>0.93799999999999994</v>
      </c>
      <c r="N6105" s="119">
        <f t="shared" ref="N6105:N6108" si="844">I6105-L6105</f>
        <v>0</v>
      </c>
      <c r="O6105" s="120">
        <f t="shared" ref="O6105:O6108" si="845">H6105*N6105*G6105/1000</f>
        <v>0</v>
      </c>
      <c r="P6105" s="111"/>
      <c r="Q6105" s="32"/>
    </row>
    <row r="6106" spans="1:19" ht="15.6">
      <c r="A6106" s="110" t="s">
        <v>365</v>
      </c>
      <c r="B6106" s="111" t="s">
        <v>232</v>
      </c>
      <c r="C6106" s="112" t="s">
        <v>228</v>
      </c>
      <c r="D6106" s="113" t="s">
        <v>24</v>
      </c>
      <c r="E6106" s="114" t="s">
        <v>14</v>
      </c>
      <c r="F6106" s="115" t="s">
        <v>48</v>
      </c>
      <c r="G6106" s="116">
        <v>23.45</v>
      </c>
      <c r="H6106" s="125">
        <v>11</v>
      </c>
      <c r="I6106" s="111">
        <v>2</v>
      </c>
      <c r="J6106" s="117">
        <f t="shared" si="842"/>
        <v>0.51590000000000003</v>
      </c>
      <c r="K6106" s="118"/>
      <c r="L6106" s="111">
        <v>2</v>
      </c>
      <c r="M6106" s="117">
        <f t="shared" si="843"/>
        <v>0.51590000000000003</v>
      </c>
      <c r="N6106" s="119">
        <f t="shared" si="844"/>
        <v>0</v>
      </c>
      <c r="O6106" s="120">
        <f t="shared" si="845"/>
        <v>0</v>
      </c>
      <c r="P6106" s="111"/>
      <c r="Q6106" s="32"/>
    </row>
    <row r="6107" spans="1:19" ht="15.6">
      <c r="A6107" s="110" t="s">
        <v>365</v>
      </c>
      <c r="B6107" s="111" t="s">
        <v>232</v>
      </c>
      <c r="C6107" s="112" t="s">
        <v>228</v>
      </c>
      <c r="D6107" s="113" t="s">
        <v>24</v>
      </c>
      <c r="E6107" s="114" t="s">
        <v>14</v>
      </c>
      <c r="F6107" s="115" t="s">
        <v>48</v>
      </c>
      <c r="G6107" s="116">
        <v>23.45</v>
      </c>
      <c r="H6107" s="125">
        <v>9</v>
      </c>
      <c r="I6107" s="111">
        <v>1</v>
      </c>
      <c r="J6107" s="117">
        <f t="shared" si="842"/>
        <v>0.21104999999999999</v>
      </c>
      <c r="K6107" s="118"/>
      <c r="L6107" s="111">
        <v>1</v>
      </c>
      <c r="M6107" s="117">
        <f t="shared" si="843"/>
        <v>0.21104999999999999</v>
      </c>
      <c r="N6107" s="119">
        <f t="shared" si="844"/>
        <v>0</v>
      </c>
      <c r="O6107" s="120">
        <f t="shared" si="845"/>
        <v>0</v>
      </c>
      <c r="P6107" s="111"/>
      <c r="Q6107" s="32"/>
    </row>
    <row r="6108" spans="1:19" ht="15.6">
      <c r="A6108" s="110" t="s">
        <v>365</v>
      </c>
      <c r="B6108" s="111" t="s">
        <v>232</v>
      </c>
      <c r="C6108" s="112" t="s">
        <v>228</v>
      </c>
      <c r="D6108" s="113" t="s">
        <v>24</v>
      </c>
      <c r="E6108" s="114" t="s">
        <v>14</v>
      </c>
      <c r="F6108" s="115" t="s">
        <v>48</v>
      </c>
      <c r="G6108" s="116">
        <v>23.45</v>
      </c>
      <c r="H6108" s="125">
        <v>12</v>
      </c>
      <c r="I6108" s="111">
        <f>4+12</f>
        <v>16</v>
      </c>
      <c r="J6108" s="117">
        <f t="shared" si="842"/>
        <v>4.5023999999999997</v>
      </c>
      <c r="K6108" s="118"/>
      <c r="L6108" s="111">
        <f>2+1+1</f>
        <v>4</v>
      </c>
      <c r="M6108" s="117">
        <f t="shared" si="843"/>
        <v>1.1255999999999999</v>
      </c>
      <c r="N6108" s="119">
        <f t="shared" si="844"/>
        <v>12</v>
      </c>
      <c r="O6108" s="120">
        <f t="shared" si="845"/>
        <v>3.3767999999999998</v>
      </c>
      <c r="P6108" s="72">
        <v>12</v>
      </c>
      <c r="Q6108" s="72">
        <v>1</v>
      </c>
      <c r="R6108" s="72" t="s">
        <v>773</v>
      </c>
    </row>
    <row r="6109" spans="1:19">
      <c r="A6109" s="213"/>
      <c r="B6109" s="213"/>
      <c r="C6109" s="213"/>
      <c r="D6109" s="213"/>
      <c r="E6109" s="213"/>
      <c r="F6109" s="213"/>
      <c r="G6109" s="213"/>
      <c r="H6109" s="213"/>
      <c r="I6109" s="215">
        <f>SUM(I6105:I6108)</f>
        <v>23</v>
      </c>
      <c r="J6109" s="214">
        <f>SUM(J6105:J6108)</f>
        <v>6.1673499999999999</v>
      </c>
      <c r="K6109" s="213"/>
      <c r="L6109" s="215">
        <f>SUM(L6105:L6108)</f>
        <v>11</v>
      </c>
      <c r="M6109" s="214">
        <f>SUM(M6105:M6108)</f>
        <v>2.7905499999999996</v>
      </c>
      <c r="N6109" s="215">
        <f>SUM(N6105:N6108)</f>
        <v>12</v>
      </c>
      <c r="O6109" s="214">
        <f>SUM(O6105:O6108)</f>
        <v>3.3767999999999998</v>
      </c>
      <c r="P6109" s="213"/>
      <c r="Q6109" s="213"/>
    </row>
    <row r="6111" spans="1:19">
      <c r="A6111" s="42" t="s">
        <v>90</v>
      </c>
      <c r="B6111" s="3"/>
      <c r="C6111" s="3">
        <v>139</v>
      </c>
      <c r="D6111" s="20" t="s">
        <v>24</v>
      </c>
      <c r="E6111" s="7" t="s">
        <v>14</v>
      </c>
      <c r="F6111" s="7" t="s">
        <v>42</v>
      </c>
      <c r="G6111" s="11">
        <v>19.72</v>
      </c>
      <c r="H6111" s="8">
        <v>12</v>
      </c>
      <c r="I6111" s="26">
        <v>1</v>
      </c>
      <c r="J6111" s="10">
        <v>0.23663999999999999</v>
      </c>
      <c r="K6111" s="17">
        <v>1</v>
      </c>
      <c r="L6111" s="18">
        <v>0.23663999999999999</v>
      </c>
      <c r="M6111" s="19">
        <v>0</v>
      </c>
      <c r="N6111" s="13">
        <v>0</v>
      </c>
      <c r="O6111" s="9"/>
      <c r="P6111" s="2"/>
      <c r="Q6111" s="81">
        <v>12</v>
      </c>
      <c r="R6111" s="77">
        <v>1</v>
      </c>
      <c r="S6111" s="77" t="s">
        <v>713</v>
      </c>
    </row>
    <row r="6112" spans="1:19">
      <c r="A6112" s="42" t="s">
        <v>90</v>
      </c>
      <c r="B6112" s="3"/>
      <c r="C6112" s="3">
        <v>139</v>
      </c>
      <c r="D6112" s="20" t="s">
        <v>24</v>
      </c>
      <c r="E6112" s="7" t="s">
        <v>14</v>
      </c>
      <c r="F6112" s="7" t="s">
        <v>42</v>
      </c>
      <c r="G6112" s="11">
        <v>19.72</v>
      </c>
      <c r="H6112" s="8">
        <v>6</v>
      </c>
      <c r="I6112" s="26">
        <v>2</v>
      </c>
      <c r="J6112" s="10">
        <v>0.23663999999999999</v>
      </c>
      <c r="K6112" s="17">
        <v>2</v>
      </c>
      <c r="L6112" s="18">
        <v>0.23663999999999999</v>
      </c>
      <c r="M6112" s="19">
        <v>0</v>
      </c>
      <c r="N6112" s="13">
        <v>0</v>
      </c>
      <c r="O6112" s="9">
        <v>6</v>
      </c>
      <c r="P6112" s="2">
        <v>1</v>
      </c>
      <c r="Q6112" s="81">
        <v>6</v>
      </c>
      <c r="R6112" s="77">
        <v>1</v>
      </c>
      <c r="S6112" s="77" t="s">
        <v>713</v>
      </c>
    </row>
    <row r="6115" spans="1:18">
      <c r="A6115" s="110" t="s">
        <v>303</v>
      </c>
      <c r="B6115" s="111" t="s">
        <v>232</v>
      </c>
      <c r="C6115" s="112" t="s">
        <v>228</v>
      </c>
      <c r="D6115" s="113" t="s">
        <v>17</v>
      </c>
      <c r="E6115" s="175" t="s">
        <v>15</v>
      </c>
      <c r="F6115" s="175" t="s">
        <v>44</v>
      </c>
      <c r="G6115" s="176">
        <v>13.4</v>
      </c>
      <c r="H6115" s="177">
        <v>7.5</v>
      </c>
      <c r="I6115" s="178">
        <f>24+11</f>
        <v>35</v>
      </c>
      <c r="J6115" s="174">
        <f t="shared" ref="J6115:J6131" si="846">(G6115*H6115*I6115/1000)</f>
        <v>3.5175000000000001</v>
      </c>
      <c r="K6115" s="118"/>
      <c r="L6115" s="111">
        <f>24+3+8</f>
        <v>35</v>
      </c>
      <c r="M6115" s="117">
        <f t="shared" ref="M6115:M6131" si="847">H6115*L6115*G6115/1000</f>
        <v>3.5175000000000001</v>
      </c>
      <c r="N6115" s="119">
        <f t="shared" ref="N6115:N6131" si="848">I6115-L6115</f>
        <v>0</v>
      </c>
      <c r="O6115" s="120">
        <f t="shared" ref="O6115:O6131" si="849">H6115*N6115*G6115/1000</f>
        <v>0</v>
      </c>
      <c r="P6115" s="159"/>
      <c r="Q6115" s="111"/>
      <c r="R6115" s="111"/>
    </row>
    <row r="6116" spans="1:18">
      <c r="A6116" s="110" t="s">
        <v>303</v>
      </c>
      <c r="B6116" s="111" t="s">
        <v>232</v>
      </c>
      <c r="C6116" s="112" t="s">
        <v>228</v>
      </c>
      <c r="D6116" s="113" t="s">
        <v>17</v>
      </c>
      <c r="E6116" s="175" t="s">
        <v>15</v>
      </c>
      <c r="F6116" s="175" t="s">
        <v>44</v>
      </c>
      <c r="G6116" s="176">
        <v>13.4</v>
      </c>
      <c r="H6116" s="177">
        <v>10.5</v>
      </c>
      <c r="I6116" s="178">
        <f>22+19</f>
        <v>41</v>
      </c>
      <c r="J6116" s="174">
        <f t="shared" si="846"/>
        <v>5.7687000000000008</v>
      </c>
      <c r="K6116" s="118"/>
      <c r="L6116" s="111">
        <v>41</v>
      </c>
      <c r="M6116" s="117">
        <f t="shared" si="847"/>
        <v>5.7686999999999999</v>
      </c>
      <c r="N6116" s="119">
        <f t="shared" si="848"/>
        <v>0</v>
      </c>
      <c r="O6116" s="120">
        <f t="shared" si="849"/>
        <v>0</v>
      </c>
      <c r="P6116" s="159"/>
      <c r="Q6116" s="111"/>
      <c r="R6116" s="111"/>
    </row>
    <row r="6117" spans="1:18">
      <c r="A6117" s="110" t="s">
        <v>303</v>
      </c>
      <c r="B6117" s="111" t="s">
        <v>232</v>
      </c>
      <c r="C6117" s="112" t="s">
        <v>228</v>
      </c>
      <c r="D6117" s="113" t="s">
        <v>17</v>
      </c>
      <c r="E6117" s="175" t="s">
        <v>15</v>
      </c>
      <c r="F6117" s="175" t="s">
        <v>44</v>
      </c>
      <c r="G6117" s="176">
        <v>13.4</v>
      </c>
      <c r="H6117" s="177">
        <v>12</v>
      </c>
      <c r="I6117" s="178">
        <v>14</v>
      </c>
      <c r="J6117" s="174">
        <f t="shared" si="846"/>
        <v>2.2512000000000003</v>
      </c>
      <c r="K6117" s="118"/>
      <c r="L6117" s="111">
        <f>9+4</f>
        <v>13</v>
      </c>
      <c r="M6117" s="117">
        <f t="shared" si="847"/>
        <v>2.0904000000000003</v>
      </c>
      <c r="N6117" s="119">
        <f t="shared" si="848"/>
        <v>1</v>
      </c>
      <c r="O6117" s="120">
        <f t="shared" si="849"/>
        <v>0.1608</v>
      </c>
      <c r="P6117" s="159"/>
      <c r="Q6117" s="111"/>
      <c r="R6117" s="111"/>
    </row>
    <row r="6118" spans="1:18">
      <c r="A6118" s="110" t="s">
        <v>303</v>
      </c>
      <c r="B6118" s="111" t="s">
        <v>232</v>
      </c>
      <c r="C6118" s="112" t="s">
        <v>228</v>
      </c>
      <c r="D6118" s="113" t="s">
        <v>17</v>
      </c>
      <c r="E6118" s="175" t="s">
        <v>15</v>
      </c>
      <c r="F6118" s="175" t="s">
        <v>44</v>
      </c>
      <c r="G6118" s="176">
        <v>13.4</v>
      </c>
      <c r="H6118" s="177">
        <v>7.8</v>
      </c>
      <c r="I6118" s="178">
        <v>14</v>
      </c>
      <c r="J6118" s="174">
        <f t="shared" si="846"/>
        <v>1.4632799999999999</v>
      </c>
      <c r="K6118" s="118"/>
      <c r="L6118" s="111">
        <f>4+10</f>
        <v>14</v>
      </c>
      <c r="M6118" s="117">
        <f t="shared" si="847"/>
        <v>1.4632799999999999</v>
      </c>
      <c r="N6118" s="119">
        <f t="shared" si="848"/>
        <v>0</v>
      </c>
      <c r="O6118" s="120">
        <f t="shared" si="849"/>
        <v>0</v>
      </c>
      <c r="P6118" s="159"/>
      <c r="Q6118" s="111"/>
      <c r="R6118" s="111"/>
    </row>
    <row r="6119" spans="1:18">
      <c r="A6119" s="110" t="s">
        <v>303</v>
      </c>
      <c r="B6119" s="111" t="s">
        <v>232</v>
      </c>
      <c r="C6119" s="112" t="s">
        <v>228</v>
      </c>
      <c r="D6119" s="113" t="s">
        <v>17</v>
      </c>
      <c r="E6119" s="175" t="s">
        <v>15</v>
      </c>
      <c r="F6119" s="175" t="s">
        <v>44</v>
      </c>
      <c r="G6119" s="176">
        <v>13.4</v>
      </c>
      <c r="H6119" s="177">
        <v>8.6</v>
      </c>
      <c r="I6119" s="178">
        <v>7</v>
      </c>
      <c r="J6119" s="174">
        <f t="shared" si="846"/>
        <v>0.80667999999999995</v>
      </c>
      <c r="K6119" s="118"/>
      <c r="L6119" s="111">
        <v>7</v>
      </c>
      <c r="M6119" s="117">
        <f t="shared" si="847"/>
        <v>0.80667999999999995</v>
      </c>
      <c r="N6119" s="119">
        <f t="shared" si="848"/>
        <v>0</v>
      </c>
      <c r="O6119" s="120">
        <f t="shared" si="849"/>
        <v>0</v>
      </c>
      <c r="P6119" s="159"/>
      <c r="Q6119" s="111"/>
      <c r="R6119" s="111"/>
    </row>
    <row r="6120" spans="1:18">
      <c r="A6120" s="110" t="s">
        <v>303</v>
      </c>
      <c r="B6120" s="111" t="s">
        <v>232</v>
      </c>
      <c r="C6120" s="112" t="s">
        <v>228</v>
      </c>
      <c r="D6120" s="113" t="s">
        <v>17</v>
      </c>
      <c r="E6120" s="175" t="s">
        <v>15</v>
      </c>
      <c r="F6120" s="175" t="s">
        <v>44</v>
      </c>
      <c r="G6120" s="176">
        <v>13.4</v>
      </c>
      <c r="H6120" s="177">
        <v>11.8</v>
      </c>
      <c r="I6120" s="178">
        <v>11</v>
      </c>
      <c r="J6120" s="174">
        <f t="shared" si="846"/>
        <v>1.7393200000000002</v>
      </c>
      <c r="K6120" s="118"/>
      <c r="L6120" s="111">
        <v>11</v>
      </c>
      <c r="M6120" s="117">
        <f t="shared" si="847"/>
        <v>1.7393200000000002</v>
      </c>
      <c r="N6120" s="119">
        <f t="shared" si="848"/>
        <v>0</v>
      </c>
      <c r="O6120" s="120">
        <f t="shared" si="849"/>
        <v>0</v>
      </c>
      <c r="P6120" s="159"/>
      <c r="Q6120" s="111"/>
      <c r="R6120" s="111"/>
    </row>
    <row r="6121" spans="1:18">
      <c r="A6121" s="110" t="s">
        <v>303</v>
      </c>
      <c r="B6121" s="111" t="s">
        <v>232</v>
      </c>
      <c r="C6121" s="112" t="s">
        <v>228</v>
      </c>
      <c r="D6121" s="113" t="s">
        <v>17</v>
      </c>
      <c r="E6121" s="175" t="s">
        <v>15</v>
      </c>
      <c r="F6121" s="175" t="s">
        <v>44</v>
      </c>
      <c r="G6121" s="176">
        <v>13.4</v>
      </c>
      <c r="H6121" s="177">
        <v>11.9</v>
      </c>
      <c r="I6121" s="178">
        <v>14</v>
      </c>
      <c r="J6121" s="174">
        <f t="shared" si="846"/>
        <v>2.23244</v>
      </c>
      <c r="K6121" s="118"/>
      <c r="L6121" s="111">
        <v>14</v>
      </c>
      <c r="M6121" s="117">
        <f t="shared" si="847"/>
        <v>2.23244</v>
      </c>
      <c r="N6121" s="119">
        <f t="shared" si="848"/>
        <v>0</v>
      </c>
      <c r="O6121" s="120">
        <f t="shared" si="849"/>
        <v>0</v>
      </c>
      <c r="P6121" s="159"/>
      <c r="Q6121" s="111"/>
      <c r="R6121" s="111"/>
    </row>
    <row r="6122" spans="1:18">
      <c r="A6122" s="110" t="s">
        <v>303</v>
      </c>
      <c r="B6122" s="111" t="s">
        <v>232</v>
      </c>
      <c r="C6122" s="112" t="s">
        <v>228</v>
      </c>
      <c r="D6122" s="113" t="s">
        <v>17</v>
      </c>
      <c r="E6122" s="175" t="s">
        <v>15</v>
      </c>
      <c r="F6122" s="175" t="s">
        <v>44</v>
      </c>
      <c r="G6122" s="176">
        <v>13.4</v>
      </c>
      <c r="H6122" s="177">
        <v>10</v>
      </c>
      <c r="I6122" s="178">
        <v>3</v>
      </c>
      <c r="J6122" s="174">
        <f t="shared" si="846"/>
        <v>0.40200000000000002</v>
      </c>
      <c r="K6122" s="118"/>
      <c r="L6122" s="111">
        <f>2+1</f>
        <v>3</v>
      </c>
      <c r="M6122" s="117">
        <f t="shared" si="847"/>
        <v>0.40200000000000002</v>
      </c>
      <c r="N6122" s="119">
        <f t="shared" si="848"/>
        <v>0</v>
      </c>
      <c r="O6122" s="120">
        <f t="shared" si="849"/>
        <v>0</v>
      </c>
      <c r="P6122" s="159"/>
      <c r="Q6122" s="111"/>
      <c r="R6122" s="111"/>
    </row>
    <row r="6123" spans="1:18">
      <c r="A6123" s="110" t="s">
        <v>303</v>
      </c>
      <c r="B6123" s="111" t="s">
        <v>232</v>
      </c>
      <c r="C6123" s="112" t="s">
        <v>228</v>
      </c>
      <c r="D6123" s="113" t="s">
        <v>17</v>
      </c>
      <c r="E6123" s="175" t="s">
        <v>15</v>
      </c>
      <c r="F6123" s="175" t="s">
        <v>44</v>
      </c>
      <c r="G6123" s="176">
        <v>13.4</v>
      </c>
      <c r="H6123" s="177">
        <v>12</v>
      </c>
      <c r="I6123" s="178">
        <v>2</v>
      </c>
      <c r="J6123" s="174">
        <f t="shared" si="846"/>
        <v>0.3216</v>
      </c>
      <c r="K6123" s="118"/>
      <c r="L6123" s="111"/>
      <c r="M6123" s="117">
        <f t="shared" si="847"/>
        <v>0</v>
      </c>
      <c r="N6123" s="119">
        <f t="shared" si="848"/>
        <v>2</v>
      </c>
      <c r="O6123" s="120">
        <f t="shared" si="849"/>
        <v>0.3216</v>
      </c>
      <c r="P6123" s="159"/>
      <c r="Q6123" s="111"/>
      <c r="R6123" s="111"/>
    </row>
    <row r="6124" spans="1:18">
      <c r="A6124" s="110" t="s">
        <v>303</v>
      </c>
      <c r="B6124" s="111" t="s">
        <v>232</v>
      </c>
      <c r="C6124" s="112" t="s">
        <v>228</v>
      </c>
      <c r="D6124" s="113" t="s">
        <v>17</v>
      </c>
      <c r="E6124" s="175" t="s">
        <v>15</v>
      </c>
      <c r="F6124" s="175" t="s">
        <v>44</v>
      </c>
      <c r="G6124" s="176">
        <v>13.4</v>
      </c>
      <c r="H6124" s="177">
        <v>11.6</v>
      </c>
      <c r="I6124" s="178">
        <v>1</v>
      </c>
      <c r="J6124" s="174">
        <f t="shared" si="846"/>
        <v>0.15543999999999999</v>
      </c>
      <c r="K6124" s="118"/>
      <c r="L6124" s="111">
        <v>1</v>
      </c>
      <c r="M6124" s="117">
        <f t="shared" si="847"/>
        <v>0.15543999999999999</v>
      </c>
      <c r="N6124" s="119">
        <f t="shared" si="848"/>
        <v>0</v>
      </c>
      <c r="O6124" s="120">
        <f t="shared" si="849"/>
        <v>0</v>
      </c>
      <c r="P6124" s="159"/>
      <c r="Q6124" s="111"/>
      <c r="R6124" s="111"/>
    </row>
    <row r="6125" spans="1:18">
      <c r="A6125" s="110" t="s">
        <v>303</v>
      </c>
      <c r="B6125" s="111" t="s">
        <v>232</v>
      </c>
      <c r="C6125" s="112" t="s">
        <v>228</v>
      </c>
      <c r="D6125" s="113" t="s">
        <v>17</v>
      </c>
      <c r="E6125" s="175" t="s">
        <v>15</v>
      </c>
      <c r="F6125" s="175" t="s">
        <v>44</v>
      </c>
      <c r="G6125" s="176">
        <v>13.4</v>
      </c>
      <c r="H6125" s="177">
        <v>11.5</v>
      </c>
      <c r="I6125" s="178">
        <v>1</v>
      </c>
      <c r="J6125" s="174">
        <f t="shared" si="846"/>
        <v>0.15409999999999999</v>
      </c>
      <c r="K6125" s="118"/>
      <c r="L6125" s="111">
        <v>1</v>
      </c>
      <c r="M6125" s="117">
        <f t="shared" si="847"/>
        <v>0.15409999999999999</v>
      </c>
      <c r="N6125" s="119">
        <f t="shared" si="848"/>
        <v>0</v>
      </c>
      <c r="O6125" s="120">
        <f t="shared" si="849"/>
        <v>0</v>
      </c>
      <c r="P6125" s="159"/>
      <c r="Q6125" s="111"/>
      <c r="R6125" s="111"/>
    </row>
    <row r="6126" spans="1:18">
      <c r="A6126" s="110" t="s">
        <v>303</v>
      </c>
      <c r="B6126" s="111" t="s">
        <v>232</v>
      </c>
      <c r="C6126" s="112" t="s">
        <v>228</v>
      </c>
      <c r="D6126" s="113" t="s">
        <v>17</v>
      </c>
      <c r="E6126" s="175" t="s">
        <v>15</v>
      </c>
      <c r="F6126" s="175" t="s">
        <v>44</v>
      </c>
      <c r="G6126" s="176">
        <v>13.4</v>
      </c>
      <c r="H6126" s="177">
        <v>10.5</v>
      </c>
      <c r="I6126" s="178">
        <v>2</v>
      </c>
      <c r="J6126" s="174">
        <f t="shared" si="846"/>
        <v>0.28140000000000004</v>
      </c>
      <c r="K6126" s="118"/>
      <c r="L6126" s="111">
        <v>1</v>
      </c>
      <c r="M6126" s="117">
        <f t="shared" si="847"/>
        <v>0.14070000000000002</v>
      </c>
      <c r="N6126" s="119">
        <f t="shared" si="848"/>
        <v>1</v>
      </c>
      <c r="O6126" s="120">
        <f t="shared" si="849"/>
        <v>0.14070000000000002</v>
      </c>
      <c r="P6126" s="159"/>
      <c r="Q6126" s="111"/>
      <c r="R6126" s="111"/>
    </row>
    <row r="6127" spans="1:18">
      <c r="A6127" s="110" t="s">
        <v>303</v>
      </c>
      <c r="B6127" s="111" t="s">
        <v>232</v>
      </c>
      <c r="C6127" s="112" t="s">
        <v>228</v>
      </c>
      <c r="D6127" s="113" t="s">
        <v>17</v>
      </c>
      <c r="E6127" s="175" t="s">
        <v>15</v>
      </c>
      <c r="F6127" s="175" t="s">
        <v>44</v>
      </c>
      <c r="G6127" s="176">
        <v>13.4</v>
      </c>
      <c r="H6127" s="177">
        <v>10.4</v>
      </c>
      <c r="I6127" s="178">
        <v>1</v>
      </c>
      <c r="J6127" s="174">
        <f t="shared" si="846"/>
        <v>0.13936000000000001</v>
      </c>
      <c r="K6127" s="118"/>
      <c r="L6127" s="111">
        <v>1</v>
      </c>
      <c r="M6127" s="117">
        <f t="shared" si="847"/>
        <v>0.13936000000000001</v>
      </c>
      <c r="N6127" s="119">
        <f t="shared" si="848"/>
        <v>0</v>
      </c>
      <c r="O6127" s="120">
        <f t="shared" si="849"/>
        <v>0</v>
      </c>
      <c r="P6127" s="159"/>
      <c r="Q6127" s="111"/>
      <c r="R6127" s="111"/>
    </row>
    <row r="6128" spans="1:18">
      <c r="A6128" s="110" t="s">
        <v>303</v>
      </c>
      <c r="B6128" s="111" t="s">
        <v>232</v>
      </c>
      <c r="C6128" s="112" t="s">
        <v>228</v>
      </c>
      <c r="D6128" s="113" t="s">
        <v>17</v>
      </c>
      <c r="E6128" s="175" t="s">
        <v>15</v>
      </c>
      <c r="F6128" s="175" t="s">
        <v>44</v>
      </c>
      <c r="G6128" s="176">
        <v>13.4</v>
      </c>
      <c r="H6128" s="177">
        <v>6.9</v>
      </c>
      <c r="I6128" s="178">
        <v>1</v>
      </c>
      <c r="J6128" s="174">
        <f t="shared" si="846"/>
        <v>9.2460000000000014E-2</v>
      </c>
      <c r="K6128" s="118"/>
      <c r="L6128" s="111">
        <v>1</v>
      </c>
      <c r="M6128" s="117">
        <f t="shared" si="847"/>
        <v>9.2460000000000014E-2</v>
      </c>
      <c r="N6128" s="119">
        <f t="shared" si="848"/>
        <v>0</v>
      </c>
      <c r="O6128" s="120">
        <f t="shared" si="849"/>
        <v>0</v>
      </c>
      <c r="P6128" s="159"/>
      <c r="Q6128" s="111"/>
      <c r="R6128" s="111"/>
    </row>
    <row r="6129" spans="1:20">
      <c r="A6129" s="110" t="s">
        <v>303</v>
      </c>
      <c r="B6129" s="111" t="s">
        <v>232</v>
      </c>
      <c r="C6129" s="112" t="s">
        <v>228</v>
      </c>
      <c r="D6129" s="113" t="s">
        <v>17</v>
      </c>
      <c r="E6129" s="175" t="s">
        <v>15</v>
      </c>
      <c r="F6129" s="175" t="s">
        <v>44</v>
      </c>
      <c r="G6129" s="176">
        <v>13.4</v>
      </c>
      <c r="H6129" s="177">
        <v>6.5</v>
      </c>
      <c r="I6129" s="178">
        <v>1</v>
      </c>
      <c r="J6129" s="174">
        <f t="shared" si="846"/>
        <v>8.7100000000000011E-2</v>
      </c>
      <c r="K6129" s="118"/>
      <c r="L6129" s="111">
        <v>1</v>
      </c>
      <c r="M6129" s="117">
        <f t="shared" si="847"/>
        <v>8.7100000000000011E-2</v>
      </c>
      <c r="N6129" s="119">
        <f t="shared" si="848"/>
        <v>0</v>
      </c>
      <c r="O6129" s="120">
        <f t="shared" si="849"/>
        <v>0</v>
      </c>
      <c r="P6129" s="159"/>
      <c r="Q6129" s="111"/>
      <c r="R6129" s="111"/>
    </row>
    <row r="6130" spans="1:20">
      <c r="A6130" s="110" t="s">
        <v>303</v>
      </c>
      <c r="B6130" s="111" t="s">
        <v>232</v>
      </c>
      <c r="C6130" s="112" t="s">
        <v>228</v>
      </c>
      <c r="D6130" s="113" t="s">
        <v>17</v>
      </c>
      <c r="E6130" s="175" t="s">
        <v>15</v>
      </c>
      <c r="F6130" s="175" t="s">
        <v>44</v>
      </c>
      <c r="G6130" s="176">
        <v>13.4</v>
      </c>
      <c r="H6130" s="177">
        <v>7.2</v>
      </c>
      <c r="I6130" s="178">
        <v>1</v>
      </c>
      <c r="J6130" s="174">
        <f t="shared" si="846"/>
        <v>9.648000000000001E-2</v>
      </c>
      <c r="K6130" s="118"/>
      <c r="L6130" s="111">
        <v>1</v>
      </c>
      <c r="M6130" s="117">
        <f t="shared" si="847"/>
        <v>9.648000000000001E-2</v>
      </c>
      <c r="N6130" s="119">
        <f t="shared" si="848"/>
        <v>0</v>
      </c>
      <c r="O6130" s="120">
        <f t="shared" si="849"/>
        <v>0</v>
      </c>
      <c r="P6130" s="75"/>
      <c r="Q6130" s="72">
        <v>1</v>
      </c>
      <c r="R6130" s="72" t="s">
        <v>774</v>
      </c>
    </row>
    <row r="6131" spans="1:20">
      <c r="A6131" s="110" t="s">
        <v>303</v>
      </c>
      <c r="B6131" s="111" t="s">
        <v>232</v>
      </c>
      <c r="C6131" s="112" t="s">
        <v>228</v>
      </c>
      <c r="D6131" s="113" t="s">
        <v>17</v>
      </c>
      <c r="E6131" s="175" t="s">
        <v>15</v>
      </c>
      <c r="F6131" s="175" t="s">
        <v>44</v>
      </c>
      <c r="G6131" s="176">
        <v>13.4</v>
      </c>
      <c r="H6131" s="177">
        <v>7.2</v>
      </c>
      <c r="I6131" s="178">
        <v>1</v>
      </c>
      <c r="J6131" s="174">
        <f t="shared" si="846"/>
        <v>9.648000000000001E-2</v>
      </c>
      <c r="K6131" s="118"/>
      <c r="L6131" s="111">
        <v>1</v>
      </c>
      <c r="M6131" s="117">
        <f t="shared" si="847"/>
        <v>9.648000000000001E-2</v>
      </c>
      <c r="N6131" s="119">
        <f t="shared" si="848"/>
        <v>0</v>
      </c>
      <c r="O6131" s="120">
        <f t="shared" si="849"/>
        <v>0</v>
      </c>
      <c r="P6131" s="75"/>
      <c r="Q6131" s="72">
        <v>1</v>
      </c>
      <c r="R6131" s="72" t="s">
        <v>774</v>
      </c>
    </row>
    <row r="6132" spans="1:20">
      <c r="A6132" s="213"/>
      <c r="B6132" s="213"/>
      <c r="C6132" s="213"/>
      <c r="D6132" s="213"/>
      <c r="E6132" s="213"/>
      <c r="F6132" s="213"/>
      <c r="G6132" s="213"/>
      <c r="H6132" s="213"/>
      <c r="I6132" s="78">
        <f>SUM(I6115:I6131)</f>
        <v>150</v>
      </c>
      <c r="J6132" s="214">
        <f>SUM(J6115:J6131)</f>
        <v>19.605540000000001</v>
      </c>
      <c r="K6132" s="213"/>
      <c r="L6132" s="78">
        <f>SUM(L6115:L6131)</f>
        <v>146</v>
      </c>
      <c r="M6132" s="128">
        <f>SUM(M6115:M6131)</f>
        <v>18.982439999999997</v>
      </c>
      <c r="N6132" s="78">
        <f>SUM(N6115:N6131)</f>
        <v>4</v>
      </c>
      <c r="O6132" s="128">
        <f>SUM(O6115:O6131)</f>
        <v>0.62309999999999999</v>
      </c>
      <c r="P6132" s="213"/>
      <c r="Q6132" s="213"/>
      <c r="R6132" s="213"/>
    </row>
    <row r="6135" spans="1:20" ht="15.6">
      <c r="A6135" s="110" t="s">
        <v>638</v>
      </c>
      <c r="B6135" s="111" t="s">
        <v>505</v>
      </c>
      <c r="C6135" s="112" t="s">
        <v>449</v>
      </c>
      <c r="D6135" s="113" t="s">
        <v>17</v>
      </c>
      <c r="E6135" s="114" t="s">
        <v>15</v>
      </c>
      <c r="F6135" s="115" t="s">
        <v>42</v>
      </c>
      <c r="G6135" s="116">
        <v>19.72</v>
      </c>
      <c r="H6135" s="125">
        <v>11.5</v>
      </c>
      <c r="I6135" s="468">
        <v>9</v>
      </c>
      <c r="J6135" s="117">
        <f t="shared" ref="J6135:J6137" si="850">H6135*G6135*I6135/1000</f>
        <v>2.0410199999999996</v>
      </c>
      <c r="K6135" s="32"/>
      <c r="L6135" s="111">
        <v>1</v>
      </c>
      <c r="M6135" s="117">
        <f t="shared" ref="M6135:M6137" si="851">H6135*L6135*G6135/1000</f>
        <v>0.22677999999999998</v>
      </c>
      <c r="N6135" s="119">
        <f t="shared" ref="N6135:N6137" si="852">I6135-L6135</f>
        <v>8</v>
      </c>
      <c r="O6135" s="120">
        <f t="shared" ref="O6135:O6137" si="853">H6135*N6135*G6135/1000</f>
        <v>1.8142399999999999</v>
      </c>
      <c r="P6135" s="111"/>
      <c r="Q6135" s="111"/>
      <c r="R6135" s="77">
        <v>11.5</v>
      </c>
      <c r="S6135" s="77">
        <v>1</v>
      </c>
      <c r="T6135" s="77" t="s">
        <v>775</v>
      </c>
    </row>
    <row r="6136" spans="1:20" ht="15.6">
      <c r="A6136" s="110" t="s">
        <v>638</v>
      </c>
      <c r="B6136" s="111" t="s">
        <v>505</v>
      </c>
      <c r="C6136" s="112" t="s">
        <v>449</v>
      </c>
      <c r="D6136" s="113" t="s">
        <v>17</v>
      </c>
      <c r="E6136" s="114" t="s">
        <v>15</v>
      </c>
      <c r="F6136" s="115" t="s">
        <v>42</v>
      </c>
      <c r="G6136" s="116">
        <v>19.72</v>
      </c>
      <c r="H6136" s="125">
        <v>11.1</v>
      </c>
      <c r="I6136" s="468">
        <v>2</v>
      </c>
      <c r="J6136" s="117">
        <f t="shared" si="850"/>
        <v>0.43778399999999995</v>
      </c>
      <c r="K6136" s="32"/>
      <c r="L6136" s="111">
        <v>2</v>
      </c>
      <c r="M6136" s="117">
        <f t="shared" si="851"/>
        <v>0.43778399999999995</v>
      </c>
      <c r="N6136" s="119">
        <f t="shared" si="852"/>
        <v>0</v>
      </c>
      <c r="O6136" s="120">
        <f t="shared" si="853"/>
        <v>0</v>
      </c>
      <c r="P6136" s="111">
        <v>9.25</v>
      </c>
      <c r="Q6136" s="111">
        <v>2</v>
      </c>
      <c r="R6136" s="213"/>
      <c r="S6136" s="213"/>
      <c r="T6136" s="213"/>
    </row>
    <row r="6137" spans="1:20" ht="15.6">
      <c r="A6137" s="110" t="s">
        <v>638</v>
      </c>
      <c r="B6137" s="111" t="s">
        <v>505</v>
      </c>
      <c r="C6137" s="112" t="s">
        <v>449</v>
      </c>
      <c r="D6137" s="113" t="s">
        <v>17</v>
      </c>
      <c r="E6137" s="114" t="s">
        <v>15</v>
      </c>
      <c r="F6137" s="115" t="s">
        <v>42</v>
      </c>
      <c r="G6137" s="116">
        <v>19.72</v>
      </c>
      <c r="H6137" s="125">
        <v>11</v>
      </c>
      <c r="I6137" s="468">
        <v>4</v>
      </c>
      <c r="J6137" s="117">
        <f t="shared" si="850"/>
        <v>0.8676799999999999</v>
      </c>
      <c r="K6137" s="32"/>
      <c r="L6137" s="111">
        <v>4</v>
      </c>
      <c r="M6137" s="117">
        <f t="shared" si="851"/>
        <v>0.8676799999999999</v>
      </c>
      <c r="N6137" s="119">
        <f t="shared" si="852"/>
        <v>0</v>
      </c>
      <c r="O6137" s="120">
        <f t="shared" si="853"/>
        <v>0</v>
      </c>
      <c r="P6137" s="111">
        <v>10.5</v>
      </c>
      <c r="Q6137" s="111">
        <v>4</v>
      </c>
      <c r="R6137" s="213"/>
      <c r="S6137" s="213"/>
      <c r="T6137" s="213"/>
    </row>
    <row r="6141" spans="1:20">
      <c r="A6141" s="42" t="s">
        <v>77</v>
      </c>
      <c r="B6141" s="3" t="s">
        <v>68</v>
      </c>
      <c r="C6141" s="3">
        <v>236</v>
      </c>
      <c r="D6141" s="38" t="s">
        <v>63</v>
      </c>
      <c r="E6141" s="7" t="s">
        <v>15</v>
      </c>
      <c r="F6141" s="1" t="s">
        <v>37</v>
      </c>
      <c r="G6141" s="11">
        <v>18.149999999999999</v>
      </c>
      <c r="H6141" s="36">
        <v>9</v>
      </c>
      <c r="I6141" s="37">
        <v>1</v>
      </c>
      <c r="J6141" s="10">
        <v>0.16335</v>
      </c>
      <c r="K6141" s="37">
        <v>1</v>
      </c>
      <c r="L6141" s="18">
        <v>0.16335</v>
      </c>
      <c r="M6141" s="19">
        <v>0</v>
      </c>
      <c r="N6141" s="13">
        <v>0</v>
      </c>
      <c r="O6141" s="89">
        <v>8.1999999999999993</v>
      </c>
      <c r="P6141" s="90">
        <v>1</v>
      </c>
      <c r="Q6141" s="90" t="s">
        <v>602</v>
      </c>
    </row>
    <row r="6142" spans="1:20">
      <c r="A6142" s="42" t="s">
        <v>77</v>
      </c>
      <c r="B6142" s="3" t="s">
        <v>68</v>
      </c>
      <c r="C6142" s="3">
        <v>236</v>
      </c>
      <c r="D6142" s="38" t="s">
        <v>63</v>
      </c>
      <c r="E6142" s="7" t="s">
        <v>15</v>
      </c>
      <c r="F6142" s="1" t="s">
        <v>37</v>
      </c>
      <c r="G6142" s="11">
        <v>18.149999999999999</v>
      </c>
      <c r="H6142" s="36">
        <v>9.3000000000000007</v>
      </c>
      <c r="I6142" s="37">
        <v>1</v>
      </c>
      <c r="J6142" s="10">
        <v>0.168795</v>
      </c>
      <c r="K6142" s="37">
        <v>1</v>
      </c>
      <c r="L6142" s="18">
        <v>0.168795</v>
      </c>
      <c r="M6142" s="19">
        <v>0</v>
      </c>
      <c r="N6142" s="13">
        <v>0</v>
      </c>
      <c r="O6142" s="89">
        <v>8.1999999999999993</v>
      </c>
      <c r="P6142" s="90">
        <v>1</v>
      </c>
      <c r="Q6142" s="90" t="s">
        <v>602</v>
      </c>
    </row>
    <row r="6143" spans="1:20">
      <c r="A6143" s="42" t="s">
        <v>90</v>
      </c>
      <c r="B6143" s="48" t="s">
        <v>148</v>
      </c>
      <c r="C6143" s="32">
        <v>75</v>
      </c>
      <c r="D6143" s="48" t="s">
        <v>106</v>
      </c>
      <c r="E6143" s="48" t="s">
        <v>15</v>
      </c>
      <c r="F6143" s="48" t="s">
        <v>37</v>
      </c>
      <c r="G6143" s="11">
        <v>18.149999999999999</v>
      </c>
      <c r="H6143" s="8">
        <v>8.3000000000000007</v>
      </c>
      <c r="I6143" s="7">
        <v>1</v>
      </c>
      <c r="J6143" s="10">
        <v>0.150645</v>
      </c>
      <c r="K6143" s="32">
        <v>1</v>
      </c>
      <c r="L6143" s="18">
        <v>0.150645</v>
      </c>
      <c r="M6143" s="19">
        <v>0</v>
      </c>
      <c r="N6143" s="13">
        <v>0</v>
      </c>
      <c r="O6143" s="89">
        <v>8.1999999999999993</v>
      </c>
      <c r="P6143" s="91">
        <v>1</v>
      </c>
      <c r="Q6143" s="90" t="s">
        <v>602</v>
      </c>
    </row>
    <row r="6144" spans="1:20">
      <c r="P6144" s="76">
        <f>SUM(P6141:P6143)</f>
        <v>3</v>
      </c>
    </row>
    <row r="6146" spans="1:20" ht="15.6">
      <c r="A6146" s="110" t="s">
        <v>340</v>
      </c>
      <c r="B6146" s="111" t="s">
        <v>232</v>
      </c>
      <c r="C6146" s="112" t="s">
        <v>228</v>
      </c>
      <c r="D6146" s="113" t="s">
        <v>341</v>
      </c>
      <c r="E6146" s="114" t="s">
        <v>15</v>
      </c>
      <c r="F6146" s="115" t="s">
        <v>37</v>
      </c>
      <c r="G6146" s="116">
        <v>18.2</v>
      </c>
      <c r="H6146" s="125">
        <v>9.5</v>
      </c>
      <c r="I6146" s="111">
        <f>13+15</f>
        <v>28</v>
      </c>
      <c r="J6146" s="117">
        <f t="shared" ref="J6146:J6151" si="854">H6146*G6146*I6146/1000</f>
        <v>4.8411999999999997</v>
      </c>
      <c r="K6146" s="118"/>
      <c r="L6146" s="111">
        <v>28</v>
      </c>
      <c r="M6146" s="117">
        <f t="shared" ref="M6146:M6151" si="855">H6146*L6146*G6146/1000</f>
        <v>4.8411999999999997</v>
      </c>
      <c r="N6146" s="119">
        <f t="shared" ref="N6146:N6151" si="856">I6146-L6146</f>
        <v>0</v>
      </c>
      <c r="O6146" s="120">
        <f t="shared" ref="O6146:O6151" si="857">H6146*N6146*G6146/1000</f>
        <v>0</v>
      </c>
      <c r="P6146" s="111"/>
      <c r="Q6146" s="32"/>
      <c r="R6146" s="213"/>
    </row>
    <row r="6147" spans="1:20" ht="15.6">
      <c r="A6147" s="110" t="s">
        <v>340</v>
      </c>
      <c r="B6147" s="111" t="s">
        <v>232</v>
      </c>
      <c r="C6147" s="112" t="s">
        <v>228</v>
      </c>
      <c r="D6147" s="113" t="s">
        <v>341</v>
      </c>
      <c r="E6147" s="114" t="s">
        <v>15</v>
      </c>
      <c r="F6147" s="115" t="s">
        <v>37</v>
      </c>
      <c r="G6147" s="116">
        <v>18.2</v>
      </c>
      <c r="H6147" s="125">
        <v>10.8</v>
      </c>
      <c r="I6147" s="111">
        <v>6</v>
      </c>
      <c r="J6147" s="117">
        <f t="shared" si="854"/>
        <v>1.1793600000000002</v>
      </c>
      <c r="K6147" s="118"/>
      <c r="L6147" s="111">
        <v>6</v>
      </c>
      <c r="M6147" s="117">
        <f t="shared" si="855"/>
        <v>1.1793600000000002</v>
      </c>
      <c r="N6147" s="119">
        <f t="shared" si="856"/>
        <v>0</v>
      </c>
      <c r="O6147" s="120">
        <f t="shared" si="857"/>
        <v>0</v>
      </c>
      <c r="P6147" s="111"/>
      <c r="Q6147" s="32"/>
      <c r="R6147" s="213"/>
    </row>
    <row r="6148" spans="1:20" ht="15.6">
      <c r="A6148" s="110" t="s">
        <v>340</v>
      </c>
      <c r="B6148" s="111" t="s">
        <v>232</v>
      </c>
      <c r="C6148" s="112" t="s">
        <v>228</v>
      </c>
      <c r="D6148" s="113" t="s">
        <v>341</v>
      </c>
      <c r="E6148" s="114" t="s">
        <v>15</v>
      </c>
      <c r="F6148" s="115" t="s">
        <v>37</v>
      </c>
      <c r="G6148" s="116">
        <v>18.2</v>
      </c>
      <c r="H6148" s="125">
        <v>10.6</v>
      </c>
      <c r="I6148" s="111">
        <v>1</v>
      </c>
      <c r="J6148" s="117">
        <f t="shared" si="854"/>
        <v>0.19291999999999998</v>
      </c>
      <c r="K6148" s="118" t="s">
        <v>233</v>
      </c>
      <c r="L6148" s="111">
        <v>1</v>
      </c>
      <c r="M6148" s="117">
        <f t="shared" si="855"/>
        <v>0.19291999999999998</v>
      </c>
      <c r="N6148" s="119">
        <f t="shared" si="856"/>
        <v>0</v>
      </c>
      <c r="O6148" s="120">
        <f t="shared" si="857"/>
        <v>0</v>
      </c>
      <c r="P6148" s="98">
        <v>10.6</v>
      </c>
      <c r="Q6148" s="156">
        <v>1</v>
      </c>
      <c r="R6148" s="156" t="s">
        <v>739</v>
      </c>
    </row>
    <row r="6149" spans="1:20" ht="15.6">
      <c r="A6149" s="110" t="s">
        <v>340</v>
      </c>
      <c r="B6149" s="111" t="s">
        <v>232</v>
      </c>
      <c r="C6149" s="112" t="s">
        <v>228</v>
      </c>
      <c r="D6149" s="113" t="s">
        <v>341</v>
      </c>
      <c r="E6149" s="114" t="s">
        <v>15</v>
      </c>
      <c r="F6149" s="115" t="s">
        <v>37</v>
      </c>
      <c r="G6149" s="116">
        <v>18.2</v>
      </c>
      <c r="H6149" s="125">
        <v>10.4</v>
      </c>
      <c r="I6149" s="111">
        <v>1</v>
      </c>
      <c r="J6149" s="117">
        <f t="shared" si="854"/>
        <v>0.18928</v>
      </c>
      <c r="K6149" s="118" t="s">
        <v>233</v>
      </c>
      <c r="L6149" s="111">
        <v>1</v>
      </c>
      <c r="M6149" s="117">
        <f t="shared" si="855"/>
        <v>0.18928</v>
      </c>
      <c r="N6149" s="119">
        <f t="shared" si="856"/>
        <v>0</v>
      </c>
      <c r="O6149" s="120">
        <f t="shared" si="857"/>
        <v>0</v>
      </c>
      <c r="P6149" s="98">
        <v>9.5</v>
      </c>
      <c r="Q6149" s="156">
        <v>1</v>
      </c>
      <c r="R6149" s="156" t="s">
        <v>739</v>
      </c>
    </row>
    <row r="6150" spans="1:20" ht="15.6">
      <c r="A6150" s="110" t="s">
        <v>340</v>
      </c>
      <c r="B6150" s="111" t="s">
        <v>232</v>
      </c>
      <c r="C6150" s="112" t="s">
        <v>228</v>
      </c>
      <c r="D6150" s="113" t="s">
        <v>341</v>
      </c>
      <c r="E6150" s="114" t="s">
        <v>15</v>
      </c>
      <c r="F6150" s="115" t="s">
        <v>37</v>
      </c>
      <c r="G6150" s="116">
        <v>18.2</v>
      </c>
      <c r="H6150" s="125">
        <v>9.5</v>
      </c>
      <c r="I6150" s="111">
        <v>2</v>
      </c>
      <c r="J6150" s="117">
        <f t="shared" si="854"/>
        <v>0.3458</v>
      </c>
      <c r="K6150" s="118" t="s">
        <v>252</v>
      </c>
      <c r="L6150" s="111">
        <v>2</v>
      </c>
      <c r="M6150" s="117">
        <f t="shared" si="855"/>
        <v>0.3458</v>
      </c>
      <c r="N6150" s="119">
        <f t="shared" si="856"/>
        <v>0</v>
      </c>
      <c r="O6150" s="120">
        <f t="shared" si="857"/>
        <v>0</v>
      </c>
      <c r="P6150" s="159"/>
      <c r="Q6150" s="32"/>
      <c r="R6150" s="213"/>
    </row>
    <row r="6151" spans="1:20" ht="15.6">
      <c r="A6151" s="110" t="s">
        <v>340</v>
      </c>
      <c r="B6151" s="111" t="s">
        <v>232</v>
      </c>
      <c r="C6151" s="112" t="s">
        <v>228</v>
      </c>
      <c r="D6151" s="113" t="s">
        <v>341</v>
      </c>
      <c r="E6151" s="114" t="s">
        <v>15</v>
      </c>
      <c r="F6151" s="115" t="s">
        <v>37</v>
      </c>
      <c r="G6151" s="116">
        <v>18.2</v>
      </c>
      <c r="H6151" s="125">
        <v>9.4</v>
      </c>
      <c r="I6151" s="111">
        <v>1</v>
      </c>
      <c r="J6151" s="117">
        <f t="shared" si="854"/>
        <v>0.17108000000000001</v>
      </c>
      <c r="K6151" s="118" t="s">
        <v>252</v>
      </c>
      <c r="L6151" s="111">
        <v>1</v>
      </c>
      <c r="M6151" s="117">
        <f t="shared" si="855"/>
        <v>0.17108000000000001</v>
      </c>
      <c r="N6151" s="119">
        <f t="shared" si="856"/>
        <v>0</v>
      </c>
      <c r="O6151" s="120">
        <f t="shared" si="857"/>
        <v>0</v>
      </c>
      <c r="P6151" s="98">
        <v>8.1999999999999993</v>
      </c>
      <c r="Q6151" s="91">
        <v>1</v>
      </c>
      <c r="R6151" s="156" t="s">
        <v>739</v>
      </c>
    </row>
    <row r="6152" spans="1:20">
      <c r="A6152" s="32"/>
      <c r="B6152" s="32"/>
      <c r="C6152" s="32"/>
      <c r="D6152" s="32"/>
      <c r="E6152" s="32"/>
      <c r="F6152" s="32"/>
      <c r="G6152" s="32"/>
      <c r="H6152" s="32"/>
      <c r="I6152" s="129">
        <f>SUM(I6146:I6151)</f>
        <v>39</v>
      </c>
      <c r="J6152" s="124">
        <f>SUM(J6146:J6151)</f>
        <v>6.9196399999999993</v>
      </c>
      <c r="K6152" s="32"/>
      <c r="L6152" s="129">
        <f>SUM(L6146:L6151)</f>
        <v>39</v>
      </c>
      <c r="M6152" s="124">
        <f>SUM(M6146:M6151)</f>
        <v>6.9196399999999993</v>
      </c>
      <c r="N6152" s="131">
        <f>SUM(N6146:N6151)</f>
        <v>0</v>
      </c>
      <c r="O6152" s="132">
        <f>SUM(O6146:O6151)</f>
        <v>0</v>
      </c>
      <c r="P6152" s="32"/>
      <c r="Q6152" s="131">
        <f>SUM(Q6146:Q6151)</f>
        <v>3</v>
      </c>
      <c r="R6152" s="213"/>
    </row>
    <row r="6155" spans="1:20" ht="15.6">
      <c r="B6155" s="110" t="s">
        <v>504</v>
      </c>
      <c r="C6155" s="111" t="s">
        <v>232</v>
      </c>
      <c r="D6155" s="112" t="s">
        <v>449</v>
      </c>
      <c r="E6155" s="113" t="s">
        <v>507</v>
      </c>
      <c r="F6155" s="114" t="s">
        <v>15</v>
      </c>
      <c r="G6155" s="115" t="s">
        <v>37</v>
      </c>
      <c r="H6155" s="116">
        <v>18.2</v>
      </c>
      <c r="I6155" s="125">
        <v>11.6</v>
      </c>
      <c r="J6155" s="111">
        <v>9</v>
      </c>
      <c r="K6155" s="117">
        <f t="shared" ref="K6155:K6159" si="858">I6155*H6155*J6155/1000</f>
        <v>1.9000799999999998</v>
      </c>
      <c r="L6155" s="118"/>
      <c r="M6155" s="111">
        <f>8+1</f>
        <v>9</v>
      </c>
      <c r="N6155" s="117">
        <f t="shared" ref="N6155:N6159" si="859">I6155*M6155*H6155/1000</f>
        <v>1.9000799999999998</v>
      </c>
      <c r="O6155" s="119">
        <f t="shared" ref="O6155:O6159" si="860">J6155-M6155</f>
        <v>0</v>
      </c>
      <c r="P6155" s="120">
        <f t="shared" ref="P6155:P6158" si="861">I6155*O6155*H6155/1000</f>
        <v>0</v>
      </c>
      <c r="Q6155" s="130"/>
      <c r="R6155" s="320"/>
      <c r="S6155" s="32"/>
      <c r="T6155" s="32"/>
    </row>
    <row r="6156" spans="1:20" ht="15.6">
      <c r="B6156" s="110" t="s">
        <v>504</v>
      </c>
      <c r="C6156" s="111" t="s">
        <v>232</v>
      </c>
      <c r="D6156" s="112" t="s">
        <v>449</v>
      </c>
      <c r="E6156" s="113" t="s">
        <v>507</v>
      </c>
      <c r="F6156" s="114" t="s">
        <v>15</v>
      </c>
      <c r="G6156" s="115" t="s">
        <v>37</v>
      </c>
      <c r="H6156" s="116">
        <v>18.2</v>
      </c>
      <c r="I6156" s="125">
        <v>10</v>
      </c>
      <c r="J6156" s="111">
        <v>10</v>
      </c>
      <c r="K6156" s="117">
        <f t="shared" si="858"/>
        <v>1.82</v>
      </c>
      <c r="L6156" s="118"/>
      <c r="M6156" s="111">
        <v>10</v>
      </c>
      <c r="N6156" s="117">
        <f t="shared" si="859"/>
        <v>1.82</v>
      </c>
      <c r="O6156" s="119">
        <f t="shared" si="860"/>
        <v>0</v>
      </c>
      <c r="P6156" s="120">
        <f t="shared" si="861"/>
        <v>0</v>
      </c>
      <c r="Q6156" s="130"/>
      <c r="R6156" s="320"/>
      <c r="S6156" s="32"/>
      <c r="T6156" s="32"/>
    </row>
    <row r="6157" spans="1:20" ht="15.6">
      <c r="B6157" s="110" t="s">
        <v>504</v>
      </c>
      <c r="C6157" s="111" t="s">
        <v>232</v>
      </c>
      <c r="D6157" s="112" t="s">
        <v>449</v>
      </c>
      <c r="E6157" s="113" t="s">
        <v>507</v>
      </c>
      <c r="F6157" s="114" t="s">
        <v>15</v>
      </c>
      <c r="G6157" s="115" t="s">
        <v>37</v>
      </c>
      <c r="H6157" s="116">
        <v>18.2</v>
      </c>
      <c r="I6157" s="125">
        <v>12.1</v>
      </c>
      <c r="J6157" s="111">
        <v>1</v>
      </c>
      <c r="K6157" s="117">
        <f t="shared" si="858"/>
        <v>0.22022</v>
      </c>
      <c r="L6157" s="118"/>
      <c r="M6157" s="111">
        <v>1</v>
      </c>
      <c r="N6157" s="117">
        <f t="shared" si="859"/>
        <v>0.22022</v>
      </c>
      <c r="O6157" s="119">
        <f t="shared" si="860"/>
        <v>0</v>
      </c>
      <c r="P6157" s="120">
        <f t="shared" si="861"/>
        <v>0</v>
      </c>
      <c r="Q6157" s="102">
        <v>11.8</v>
      </c>
      <c r="R6157" s="414">
        <v>1</v>
      </c>
      <c r="S6157" s="156" t="s">
        <v>739</v>
      </c>
      <c r="T6157" s="32"/>
    </row>
    <row r="6158" spans="1:20" ht="15.6">
      <c r="B6158" s="110" t="s">
        <v>504</v>
      </c>
      <c r="C6158" s="111" t="s">
        <v>232</v>
      </c>
      <c r="D6158" s="112" t="s">
        <v>449</v>
      </c>
      <c r="E6158" s="113" t="s">
        <v>507</v>
      </c>
      <c r="F6158" s="114" t="s">
        <v>15</v>
      </c>
      <c r="G6158" s="115" t="s">
        <v>37</v>
      </c>
      <c r="H6158" s="116">
        <v>18.2</v>
      </c>
      <c r="I6158" s="125">
        <v>10</v>
      </c>
      <c r="J6158" s="111">
        <v>14</v>
      </c>
      <c r="K6158" s="117">
        <f t="shared" si="858"/>
        <v>2.548</v>
      </c>
      <c r="L6158" s="118"/>
      <c r="M6158" s="111">
        <f>12+2</f>
        <v>14</v>
      </c>
      <c r="N6158" s="117">
        <f t="shared" si="859"/>
        <v>2.548</v>
      </c>
      <c r="O6158" s="119">
        <f t="shared" si="860"/>
        <v>0</v>
      </c>
      <c r="P6158" s="120">
        <f t="shared" si="861"/>
        <v>0</v>
      </c>
      <c r="Q6158" s="102">
        <v>9.5</v>
      </c>
      <c r="R6158" s="414">
        <v>2</v>
      </c>
      <c r="S6158" s="156" t="s">
        <v>739</v>
      </c>
      <c r="T6158" s="32"/>
    </row>
    <row r="6159" spans="1:20" ht="15.6">
      <c r="B6159" s="110" t="s">
        <v>504</v>
      </c>
      <c r="C6159" s="111" t="s">
        <v>232</v>
      </c>
      <c r="D6159" s="112" t="s">
        <v>449</v>
      </c>
      <c r="E6159" s="113" t="s">
        <v>507</v>
      </c>
      <c r="F6159" s="114" t="s">
        <v>15</v>
      </c>
      <c r="G6159" s="115" t="s">
        <v>37</v>
      </c>
      <c r="H6159" s="116">
        <v>18.2</v>
      </c>
      <c r="I6159" s="125">
        <v>11.6</v>
      </c>
      <c r="J6159" s="111">
        <v>14</v>
      </c>
      <c r="K6159" s="117">
        <f t="shared" si="858"/>
        <v>2.9556799999999996</v>
      </c>
      <c r="L6159" s="118"/>
      <c r="M6159" s="111">
        <v>14</v>
      </c>
      <c r="N6159" s="117">
        <f t="shared" si="859"/>
        <v>2.9556799999999996</v>
      </c>
      <c r="O6159" s="119">
        <f t="shared" si="860"/>
        <v>0</v>
      </c>
      <c r="P6159" s="120">
        <f>I6159*O6159*H6159/1000</f>
        <v>0</v>
      </c>
      <c r="Q6159" s="130"/>
      <c r="R6159" s="320"/>
      <c r="S6159" s="32"/>
      <c r="T6159" s="32"/>
    </row>
    <row r="6160" spans="1:20">
      <c r="B6160" s="213"/>
      <c r="C6160" s="213"/>
      <c r="D6160" s="213"/>
      <c r="E6160" s="213"/>
      <c r="F6160" s="213"/>
      <c r="G6160" s="213"/>
      <c r="H6160" s="213"/>
      <c r="I6160" s="213"/>
      <c r="J6160" s="215">
        <f>SUM(J6155:J6159)</f>
        <v>48</v>
      </c>
      <c r="K6160" s="128">
        <f>SUM(K6155:K6159)</f>
        <v>9.4439799999999998</v>
      </c>
      <c r="L6160" s="213"/>
      <c r="M6160" s="215">
        <f>SUM(M6155:M6159)</f>
        <v>48</v>
      </c>
      <c r="N6160" s="128">
        <f>SUM(N6155:N6159)</f>
        <v>9.4439799999999998</v>
      </c>
      <c r="O6160" s="78">
        <f>SUM(O6155:O6159)</f>
        <v>0</v>
      </c>
      <c r="P6160" s="128">
        <f>SUM(P6155:P6159)</f>
        <v>0</v>
      </c>
      <c r="Q6160" s="213"/>
      <c r="R6160" s="78">
        <f>SUM(R6155:R6159)</f>
        <v>3</v>
      </c>
      <c r="S6160" s="213"/>
      <c r="T6160" s="213"/>
    </row>
    <row r="6161" spans="1:18">
      <c r="R6161" s="215">
        <f>+R6160+Q6152+P6144</f>
        <v>9</v>
      </c>
    </row>
    <row r="6163" spans="1:18">
      <c r="A6163" s="42" t="s">
        <v>77</v>
      </c>
      <c r="B6163" s="3" t="s">
        <v>68</v>
      </c>
      <c r="C6163" s="3">
        <v>230</v>
      </c>
      <c r="D6163" s="20" t="s">
        <v>63</v>
      </c>
      <c r="E6163" s="7" t="s">
        <v>15</v>
      </c>
      <c r="F6163" s="7" t="s">
        <v>40</v>
      </c>
      <c r="G6163" s="11">
        <v>16.5</v>
      </c>
      <c r="H6163" s="8">
        <v>7.1</v>
      </c>
      <c r="I6163" s="26">
        <v>1</v>
      </c>
      <c r="J6163" s="10">
        <v>0.11714999999999999</v>
      </c>
      <c r="K6163" s="17">
        <v>1</v>
      </c>
      <c r="L6163" s="18">
        <v>0.11714999999999999</v>
      </c>
      <c r="M6163" s="19">
        <v>0</v>
      </c>
      <c r="N6163" s="13">
        <v>0</v>
      </c>
      <c r="O6163" s="89">
        <v>6.9</v>
      </c>
      <c r="P6163" s="90">
        <v>1</v>
      </c>
      <c r="Q6163" s="90" t="s">
        <v>789</v>
      </c>
    </row>
    <row r="6164" spans="1:18">
      <c r="A6164" s="47" t="s">
        <v>147</v>
      </c>
      <c r="B6164" s="48" t="s">
        <v>148</v>
      </c>
      <c r="C6164" s="32">
        <v>370</v>
      </c>
      <c r="D6164" s="48" t="s">
        <v>106</v>
      </c>
      <c r="E6164" s="48" t="s">
        <v>160</v>
      </c>
      <c r="F6164" s="48" t="s">
        <v>40</v>
      </c>
      <c r="G6164" s="11">
        <v>16.5</v>
      </c>
      <c r="H6164" s="8">
        <v>7.5</v>
      </c>
      <c r="I6164" s="7">
        <v>2</v>
      </c>
      <c r="J6164" s="10">
        <v>0.2475</v>
      </c>
      <c r="K6164" s="32">
        <v>2</v>
      </c>
      <c r="L6164" s="18">
        <v>0.2475</v>
      </c>
      <c r="M6164" s="19">
        <v>0</v>
      </c>
      <c r="N6164" s="13">
        <v>0</v>
      </c>
      <c r="O6164" s="89">
        <v>6.9</v>
      </c>
      <c r="P6164" s="91">
        <v>2</v>
      </c>
      <c r="Q6164" s="90" t="s">
        <v>789</v>
      </c>
    </row>
    <row r="6165" spans="1:18">
      <c r="A6165" s="47" t="s">
        <v>147</v>
      </c>
      <c r="B6165" s="48" t="s">
        <v>148</v>
      </c>
      <c r="C6165" s="32">
        <v>370</v>
      </c>
      <c r="D6165" s="48" t="s">
        <v>106</v>
      </c>
      <c r="E6165" s="48" t="s">
        <v>160</v>
      </c>
      <c r="F6165" s="48" t="s">
        <v>40</v>
      </c>
      <c r="G6165" s="11">
        <v>16.5</v>
      </c>
      <c r="H6165" s="8">
        <v>7.3</v>
      </c>
      <c r="I6165" s="7">
        <v>1</v>
      </c>
      <c r="J6165" s="10">
        <v>0.12045</v>
      </c>
      <c r="K6165" s="32">
        <v>1</v>
      </c>
      <c r="L6165" s="18">
        <v>0.12045</v>
      </c>
      <c r="M6165" s="19">
        <v>0</v>
      </c>
      <c r="N6165" s="13">
        <v>0</v>
      </c>
      <c r="O6165" s="89">
        <v>6.9</v>
      </c>
      <c r="P6165" s="91">
        <v>1</v>
      </c>
      <c r="Q6165" s="90" t="s">
        <v>789</v>
      </c>
    </row>
    <row r="6166" spans="1:18">
      <c r="A6166" s="47" t="s">
        <v>147</v>
      </c>
      <c r="B6166" s="48" t="s">
        <v>148</v>
      </c>
      <c r="C6166" s="32">
        <v>370</v>
      </c>
      <c r="D6166" s="48" t="s">
        <v>106</v>
      </c>
      <c r="E6166" s="48" t="s">
        <v>160</v>
      </c>
      <c r="F6166" s="48" t="s">
        <v>40</v>
      </c>
      <c r="G6166" s="11">
        <v>16.5</v>
      </c>
      <c r="H6166" s="8">
        <v>7.4</v>
      </c>
      <c r="I6166" s="7">
        <v>1</v>
      </c>
      <c r="J6166" s="10">
        <v>0.12210000000000001</v>
      </c>
      <c r="K6166" s="32">
        <v>1</v>
      </c>
      <c r="L6166" s="18">
        <v>0.12210000000000001</v>
      </c>
      <c r="M6166" s="19">
        <v>0</v>
      </c>
      <c r="N6166" s="13">
        <v>0</v>
      </c>
      <c r="O6166" s="89">
        <v>6.9</v>
      </c>
      <c r="P6166" s="91">
        <v>1</v>
      </c>
      <c r="Q6166" s="90" t="s">
        <v>789</v>
      </c>
    </row>
    <row r="6167" spans="1:18">
      <c r="P6167" s="76">
        <f>SUM(P6163:P6166)</f>
        <v>5</v>
      </c>
    </row>
    <row r="6169" spans="1:18" ht="15.6">
      <c r="A6169" s="110" t="s">
        <v>344</v>
      </c>
      <c r="B6169" s="111" t="s">
        <v>232</v>
      </c>
      <c r="C6169" s="112" t="s">
        <v>228</v>
      </c>
      <c r="D6169" s="113" t="s">
        <v>342</v>
      </c>
      <c r="E6169" s="114" t="s">
        <v>15</v>
      </c>
      <c r="F6169" s="115" t="s">
        <v>40</v>
      </c>
      <c r="G6169" s="116">
        <v>16.5</v>
      </c>
      <c r="H6169" s="125">
        <v>8.3000000000000007</v>
      </c>
      <c r="I6169" s="111">
        <f>7+7</f>
        <v>14</v>
      </c>
      <c r="J6169" s="117">
        <f>H6169*G6169*I6169/1000</f>
        <v>1.9173000000000002</v>
      </c>
      <c r="K6169" s="118"/>
      <c r="L6169" s="111">
        <v>14</v>
      </c>
      <c r="M6169" s="117">
        <f t="shared" ref="M6169:M6175" si="862">H6169*L6169*G6169/1000</f>
        <v>1.9173000000000002</v>
      </c>
      <c r="N6169" s="119">
        <f t="shared" ref="N6169:N6175" si="863">I6169-L6169</f>
        <v>0</v>
      </c>
      <c r="O6169" s="120">
        <f t="shared" ref="O6169:O6175" si="864">H6169*N6169*G6169/1000</f>
        <v>0</v>
      </c>
      <c r="P6169" s="111"/>
      <c r="Q6169" s="32"/>
      <c r="R6169" s="213"/>
    </row>
    <row r="6170" spans="1:18" ht="15.6">
      <c r="A6170" s="110" t="s">
        <v>344</v>
      </c>
      <c r="B6170" s="111" t="s">
        <v>232</v>
      </c>
      <c r="C6170" s="112" t="s">
        <v>228</v>
      </c>
      <c r="D6170" s="113" t="s">
        <v>342</v>
      </c>
      <c r="E6170" s="114" t="s">
        <v>15</v>
      </c>
      <c r="F6170" s="115" t="s">
        <v>40</v>
      </c>
      <c r="G6170" s="116">
        <v>16.5</v>
      </c>
      <c r="H6170" s="125">
        <v>9.1</v>
      </c>
      <c r="I6170" s="111">
        <f>2+21+5</f>
        <v>28</v>
      </c>
      <c r="J6170" s="117">
        <f>H6170*G6170*I6170/1000</f>
        <v>4.2042000000000002</v>
      </c>
      <c r="K6170" s="118"/>
      <c r="L6170" s="111">
        <v>28</v>
      </c>
      <c r="M6170" s="117">
        <f t="shared" si="862"/>
        <v>4.2042000000000002</v>
      </c>
      <c r="N6170" s="119">
        <f t="shared" si="863"/>
        <v>0</v>
      </c>
      <c r="O6170" s="120">
        <f t="shared" si="864"/>
        <v>0</v>
      </c>
      <c r="P6170" s="111"/>
      <c r="Q6170" s="32"/>
      <c r="R6170" s="213"/>
    </row>
    <row r="6171" spans="1:18" ht="15.6">
      <c r="A6171" s="110" t="s">
        <v>344</v>
      </c>
      <c r="B6171" s="111" t="s">
        <v>232</v>
      </c>
      <c r="C6171" s="112" t="s">
        <v>228</v>
      </c>
      <c r="D6171" s="113" t="s">
        <v>342</v>
      </c>
      <c r="E6171" s="114" t="s">
        <v>15</v>
      </c>
      <c r="F6171" s="115" t="s">
        <v>40</v>
      </c>
      <c r="G6171" s="116">
        <v>16.5</v>
      </c>
      <c r="H6171" s="125">
        <v>11.3</v>
      </c>
      <c r="I6171" s="111">
        <f>2+7</f>
        <v>9</v>
      </c>
      <c r="J6171" s="117">
        <f>H6171*G6171*I6171/1000</f>
        <v>1.6780500000000003</v>
      </c>
      <c r="K6171" s="118"/>
      <c r="L6171" s="111">
        <v>9</v>
      </c>
      <c r="M6171" s="117">
        <f t="shared" si="862"/>
        <v>1.67805</v>
      </c>
      <c r="N6171" s="119">
        <f t="shared" si="863"/>
        <v>0</v>
      </c>
      <c r="O6171" s="120">
        <f t="shared" si="864"/>
        <v>0</v>
      </c>
      <c r="P6171" s="111"/>
      <c r="Q6171" s="32"/>
      <c r="R6171" s="213"/>
    </row>
    <row r="6172" spans="1:18" ht="15.6">
      <c r="A6172" s="110" t="s">
        <v>344</v>
      </c>
      <c r="B6172" s="111" t="s">
        <v>232</v>
      </c>
      <c r="C6172" s="112" t="s">
        <v>228</v>
      </c>
      <c r="D6172" s="113" t="s">
        <v>342</v>
      </c>
      <c r="E6172" s="114" t="s">
        <v>15</v>
      </c>
      <c r="F6172" s="115" t="s">
        <v>40</v>
      </c>
      <c r="G6172" s="116">
        <v>16.5</v>
      </c>
      <c r="H6172" s="125">
        <v>9.1</v>
      </c>
      <c r="I6172" s="111">
        <v>6</v>
      </c>
      <c r="J6172" s="117">
        <f>H6172*G6172*I6172/1000</f>
        <v>0.90090000000000015</v>
      </c>
      <c r="K6172" s="118"/>
      <c r="L6172" s="111">
        <v>6</v>
      </c>
      <c r="M6172" s="117">
        <f t="shared" si="862"/>
        <v>0.90089999999999981</v>
      </c>
      <c r="N6172" s="119">
        <f t="shared" si="863"/>
        <v>0</v>
      </c>
      <c r="O6172" s="120">
        <f t="shared" si="864"/>
        <v>0</v>
      </c>
      <c r="P6172" s="102">
        <v>6.9</v>
      </c>
      <c r="Q6172" s="91">
        <v>6</v>
      </c>
      <c r="R6172" s="90" t="s">
        <v>789</v>
      </c>
    </row>
    <row r="6173" spans="1:18" ht="15.6">
      <c r="A6173" s="110" t="s">
        <v>344</v>
      </c>
      <c r="B6173" s="111" t="s">
        <v>232</v>
      </c>
      <c r="C6173" s="112" t="s">
        <v>228</v>
      </c>
      <c r="D6173" s="113" t="s">
        <v>342</v>
      </c>
      <c r="E6173" s="114" t="s">
        <v>15</v>
      </c>
      <c r="F6173" s="115" t="s">
        <v>40</v>
      </c>
      <c r="G6173" s="116">
        <v>16.5</v>
      </c>
      <c r="H6173" s="125">
        <v>11.2</v>
      </c>
      <c r="I6173" s="111">
        <v>2</v>
      </c>
      <c r="J6173" s="117">
        <f t="shared" ref="J6173:J6175" si="865">H6173*G6173*I6173/1000</f>
        <v>0.36959999999999998</v>
      </c>
      <c r="K6173" s="118" t="s">
        <v>343</v>
      </c>
      <c r="L6173" s="111">
        <f>1+1</f>
        <v>2</v>
      </c>
      <c r="M6173" s="117">
        <f t="shared" si="862"/>
        <v>0.36959999999999998</v>
      </c>
      <c r="N6173" s="119">
        <f t="shared" si="863"/>
        <v>0</v>
      </c>
      <c r="O6173" s="120">
        <f t="shared" si="864"/>
        <v>0</v>
      </c>
      <c r="P6173" s="102">
        <v>11.1</v>
      </c>
      <c r="Q6173" s="91">
        <v>1</v>
      </c>
      <c r="R6173" s="90" t="s">
        <v>789</v>
      </c>
    </row>
    <row r="6174" spans="1:18" ht="15.6">
      <c r="A6174" s="110" t="s">
        <v>344</v>
      </c>
      <c r="B6174" s="111" t="s">
        <v>232</v>
      </c>
      <c r="C6174" s="112" t="s">
        <v>228</v>
      </c>
      <c r="D6174" s="113" t="s">
        <v>342</v>
      </c>
      <c r="E6174" s="114" t="s">
        <v>15</v>
      </c>
      <c r="F6174" s="115" t="s">
        <v>40</v>
      </c>
      <c r="G6174" s="116">
        <v>16.5</v>
      </c>
      <c r="H6174" s="125">
        <v>7.9</v>
      </c>
      <c r="I6174" s="111">
        <v>2</v>
      </c>
      <c r="J6174" s="117">
        <f t="shared" si="865"/>
        <v>0.26069999999999999</v>
      </c>
      <c r="K6174" s="118" t="s">
        <v>343</v>
      </c>
      <c r="L6174" s="111">
        <v>2</v>
      </c>
      <c r="M6174" s="117">
        <f t="shared" si="862"/>
        <v>0.26069999999999999</v>
      </c>
      <c r="N6174" s="119">
        <f t="shared" si="863"/>
        <v>0</v>
      </c>
      <c r="O6174" s="120">
        <f t="shared" si="864"/>
        <v>0</v>
      </c>
      <c r="P6174" s="102">
        <v>6.9</v>
      </c>
      <c r="Q6174" s="91">
        <v>2</v>
      </c>
      <c r="R6174" s="90" t="s">
        <v>789</v>
      </c>
    </row>
    <row r="6175" spans="1:18" ht="15.6">
      <c r="A6175" s="110" t="s">
        <v>344</v>
      </c>
      <c r="B6175" s="111" t="s">
        <v>232</v>
      </c>
      <c r="C6175" s="112" t="s">
        <v>228</v>
      </c>
      <c r="D6175" s="113" t="s">
        <v>342</v>
      </c>
      <c r="E6175" s="114" t="s">
        <v>15</v>
      </c>
      <c r="F6175" s="115" t="s">
        <v>40</v>
      </c>
      <c r="G6175" s="116">
        <v>16.5</v>
      </c>
      <c r="H6175" s="125">
        <v>11.3</v>
      </c>
      <c r="I6175" s="111">
        <v>1</v>
      </c>
      <c r="J6175" s="117">
        <f t="shared" si="865"/>
        <v>0.18645</v>
      </c>
      <c r="K6175" s="118" t="s">
        <v>343</v>
      </c>
      <c r="L6175" s="111">
        <v>1</v>
      </c>
      <c r="M6175" s="117">
        <f t="shared" si="862"/>
        <v>0.18645</v>
      </c>
      <c r="N6175" s="119">
        <f t="shared" si="863"/>
        <v>0</v>
      </c>
      <c r="O6175" s="120">
        <f t="shared" si="864"/>
        <v>0</v>
      </c>
      <c r="P6175" s="111"/>
      <c r="Q6175" s="32"/>
      <c r="R6175" s="213"/>
    </row>
    <row r="6176" spans="1:18">
      <c r="A6176" s="32"/>
      <c r="B6176" s="32"/>
      <c r="C6176" s="32"/>
      <c r="D6176" s="32"/>
      <c r="E6176" s="32"/>
      <c r="F6176" s="32"/>
      <c r="G6176" s="32"/>
      <c r="H6176" s="32"/>
      <c r="I6176" s="129">
        <f>SUM(I6169:I6175)</f>
        <v>62</v>
      </c>
      <c r="J6176" s="132">
        <f>SUM(J6169:J6175)</f>
        <v>9.5172000000000008</v>
      </c>
      <c r="K6176" s="32"/>
      <c r="L6176" s="129">
        <f>SUM(L6169:L6175)</f>
        <v>62</v>
      </c>
      <c r="M6176" s="124">
        <f>SUM(M6169:M6175)</f>
        <v>9.5172000000000008</v>
      </c>
      <c r="N6176" s="131">
        <f>SUM(N6169:N6175)</f>
        <v>0</v>
      </c>
      <c r="O6176" s="124">
        <f>SUM(O6169:O6175)</f>
        <v>0</v>
      </c>
      <c r="P6176" s="32"/>
      <c r="Q6176" s="131">
        <f>SUM(Q6169:Q6175)</f>
        <v>9</v>
      </c>
      <c r="R6176" s="213"/>
    </row>
    <row r="6179" spans="1:20" ht="15.6">
      <c r="A6179" s="110" t="s">
        <v>518</v>
      </c>
      <c r="B6179" s="111" t="s">
        <v>505</v>
      </c>
      <c r="C6179" s="112" t="s">
        <v>449</v>
      </c>
      <c r="D6179" s="113" t="s">
        <v>130</v>
      </c>
      <c r="E6179" s="114" t="s">
        <v>15</v>
      </c>
      <c r="F6179" s="115" t="s">
        <v>39</v>
      </c>
      <c r="G6179" s="116">
        <v>14.7</v>
      </c>
      <c r="H6179" s="125">
        <v>10.5</v>
      </c>
      <c r="I6179" s="111">
        <v>3</v>
      </c>
      <c r="J6179" s="117">
        <f t="shared" ref="J6179:J6228" si="866">H6179*G6179*I6179/1000</f>
        <v>0.46304999999999996</v>
      </c>
      <c r="K6179" s="118"/>
      <c r="L6179" s="111">
        <v>3</v>
      </c>
      <c r="M6179" s="117">
        <f t="shared" ref="M6179:M6228" si="867">H6179*L6179*G6179/1000</f>
        <v>0.46304999999999996</v>
      </c>
      <c r="N6179" s="119">
        <f t="shared" ref="N6179:N6228" si="868">I6179-L6179</f>
        <v>0</v>
      </c>
      <c r="O6179" s="120">
        <f t="shared" ref="O6179:O6227" si="869">H6179*N6179*G6179/1000</f>
        <v>0</v>
      </c>
      <c r="P6179" s="130"/>
      <c r="Q6179" s="320"/>
      <c r="R6179" s="32"/>
      <c r="S6179" s="32"/>
      <c r="T6179" s="213"/>
    </row>
    <row r="6180" spans="1:20" ht="15.6">
      <c r="A6180" s="110" t="s">
        <v>518</v>
      </c>
      <c r="B6180" s="111" t="s">
        <v>505</v>
      </c>
      <c r="C6180" s="112" t="s">
        <v>449</v>
      </c>
      <c r="D6180" s="113" t="s">
        <v>130</v>
      </c>
      <c r="E6180" s="114" t="s">
        <v>15</v>
      </c>
      <c r="F6180" s="115" t="s">
        <v>39</v>
      </c>
      <c r="G6180" s="116">
        <v>14.7</v>
      </c>
      <c r="H6180" s="125">
        <v>12</v>
      </c>
      <c r="I6180" s="111">
        <v>10</v>
      </c>
      <c r="J6180" s="117">
        <f t="shared" si="866"/>
        <v>1.7639999999999998</v>
      </c>
      <c r="K6180" s="118"/>
      <c r="L6180" s="111">
        <v>10</v>
      </c>
      <c r="M6180" s="117">
        <f t="shared" si="867"/>
        <v>1.764</v>
      </c>
      <c r="N6180" s="119">
        <f t="shared" si="868"/>
        <v>0</v>
      </c>
      <c r="O6180" s="120">
        <f t="shared" si="869"/>
        <v>0</v>
      </c>
      <c r="P6180" s="130"/>
      <c r="Q6180" s="320"/>
      <c r="R6180" s="32"/>
      <c r="S6180" s="32"/>
      <c r="T6180" s="213"/>
    </row>
    <row r="6181" spans="1:20" ht="15.6">
      <c r="A6181" s="110" t="s">
        <v>518</v>
      </c>
      <c r="B6181" s="111" t="s">
        <v>505</v>
      </c>
      <c r="C6181" s="112" t="s">
        <v>449</v>
      </c>
      <c r="D6181" s="113" t="s">
        <v>130</v>
      </c>
      <c r="E6181" s="114" t="s">
        <v>15</v>
      </c>
      <c r="F6181" s="115" t="s">
        <v>39</v>
      </c>
      <c r="G6181" s="116">
        <v>14.7</v>
      </c>
      <c r="H6181" s="125">
        <v>12</v>
      </c>
      <c r="I6181" s="111">
        <v>15</v>
      </c>
      <c r="J6181" s="117">
        <f t="shared" si="866"/>
        <v>2.6459999999999995</v>
      </c>
      <c r="K6181" s="118"/>
      <c r="L6181" s="111">
        <v>15</v>
      </c>
      <c r="M6181" s="117">
        <f t="shared" si="867"/>
        <v>2.6459999999999999</v>
      </c>
      <c r="N6181" s="119">
        <f t="shared" si="868"/>
        <v>0</v>
      </c>
      <c r="O6181" s="120">
        <f t="shared" si="869"/>
        <v>0</v>
      </c>
      <c r="P6181" s="130"/>
      <c r="Q6181" s="320"/>
      <c r="R6181" s="32"/>
      <c r="S6181" s="32"/>
      <c r="T6181" s="213"/>
    </row>
    <row r="6182" spans="1:20" ht="15.6">
      <c r="A6182" s="110" t="s">
        <v>518</v>
      </c>
      <c r="B6182" s="111" t="s">
        <v>505</v>
      </c>
      <c r="C6182" s="112" t="s">
        <v>449</v>
      </c>
      <c r="D6182" s="113" t="s">
        <v>130</v>
      </c>
      <c r="E6182" s="114" t="s">
        <v>15</v>
      </c>
      <c r="F6182" s="115" t="s">
        <v>39</v>
      </c>
      <c r="G6182" s="116">
        <v>14.7</v>
      </c>
      <c r="H6182" s="125">
        <v>12</v>
      </c>
      <c r="I6182" s="111">
        <v>20</v>
      </c>
      <c r="J6182" s="117">
        <f t="shared" si="866"/>
        <v>3.5279999999999996</v>
      </c>
      <c r="K6182" s="118"/>
      <c r="L6182" s="111">
        <f>20+18</f>
        <v>38</v>
      </c>
      <c r="M6182" s="117">
        <f t="shared" si="867"/>
        <v>6.7031999999999998</v>
      </c>
      <c r="N6182" s="230">
        <f t="shared" si="868"/>
        <v>-18</v>
      </c>
      <c r="O6182" s="231">
        <f t="shared" si="869"/>
        <v>-3.1751999999999998</v>
      </c>
      <c r="P6182" s="405" t="s">
        <v>522</v>
      </c>
      <c r="Q6182" s="320"/>
      <c r="R6182" s="32"/>
      <c r="S6182" s="32"/>
      <c r="T6182" s="213"/>
    </row>
    <row r="6183" spans="1:20" ht="15.6">
      <c r="A6183" s="110" t="s">
        <v>518</v>
      </c>
      <c r="B6183" s="111" t="s">
        <v>505</v>
      </c>
      <c r="C6183" s="112" t="s">
        <v>449</v>
      </c>
      <c r="D6183" s="113" t="s">
        <v>130</v>
      </c>
      <c r="E6183" s="114" t="s">
        <v>15</v>
      </c>
      <c r="F6183" s="115" t="s">
        <v>39</v>
      </c>
      <c r="G6183" s="116">
        <v>14.7</v>
      </c>
      <c r="H6183" s="125">
        <v>11.7</v>
      </c>
      <c r="I6183" s="111">
        <v>8</v>
      </c>
      <c r="J6183" s="117">
        <f t="shared" si="866"/>
        <v>1.3759199999999998</v>
      </c>
      <c r="K6183" s="118"/>
      <c r="L6183" s="111">
        <f>7+1</f>
        <v>8</v>
      </c>
      <c r="M6183" s="117">
        <f t="shared" si="867"/>
        <v>1.3759199999999998</v>
      </c>
      <c r="N6183" s="119">
        <f t="shared" si="868"/>
        <v>0</v>
      </c>
      <c r="O6183" s="120">
        <f t="shared" si="869"/>
        <v>0</v>
      </c>
      <c r="P6183" s="130">
        <v>10.5</v>
      </c>
      <c r="Q6183" s="320">
        <v>7</v>
      </c>
      <c r="R6183" s="98">
        <v>11.4</v>
      </c>
      <c r="S6183" s="91">
        <v>1</v>
      </c>
      <c r="T6183" s="156" t="s">
        <v>739</v>
      </c>
    </row>
    <row r="6184" spans="1:20" ht="15.6">
      <c r="A6184" s="110" t="s">
        <v>518</v>
      </c>
      <c r="B6184" s="111" t="s">
        <v>505</v>
      </c>
      <c r="C6184" s="112" t="s">
        <v>449</v>
      </c>
      <c r="D6184" s="113" t="s">
        <v>130</v>
      </c>
      <c r="E6184" s="114" t="s">
        <v>15</v>
      </c>
      <c r="F6184" s="115" t="s">
        <v>39</v>
      </c>
      <c r="G6184" s="116">
        <v>14.7</v>
      </c>
      <c r="H6184" s="125">
        <v>11.5</v>
      </c>
      <c r="I6184" s="111">
        <v>1</v>
      </c>
      <c r="J6184" s="117">
        <f t="shared" si="866"/>
        <v>0.16904999999999998</v>
      </c>
      <c r="K6184" s="118"/>
      <c r="L6184" s="111">
        <v>1</v>
      </c>
      <c r="M6184" s="117">
        <f t="shared" si="867"/>
        <v>0.16904999999999998</v>
      </c>
      <c r="N6184" s="119">
        <f t="shared" si="868"/>
        <v>0</v>
      </c>
      <c r="O6184" s="120">
        <f t="shared" si="869"/>
        <v>0</v>
      </c>
      <c r="P6184" s="130"/>
      <c r="Q6184" s="320"/>
      <c r="R6184" s="98">
        <v>11.4</v>
      </c>
      <c r="S6184" s="91">
        <v>1</v>
      </c>
      <c r="T6184" s="156" t="s">
        <v>739</v>
      </c>
    </row>
    <row r="6185" spans="1:20" ht="15.6">
      <c r="A6185" s="110" t="s">
        <v>518</v>
      </c>
      <c r="B6185" s="111" t="s">
        <v>505</v>
      </c>
      <c r="C6185" s="112" t="s">
        <v>449</v>
      </c>
      <c r="D6185" s="113" t="s">
        <v>130</v>
      </c>
      <c r="E6185" s="114" t="s">
        <v>15</v>
      </c>
      <c r="F6185" s="115" t="s">
        <v>39</v>
      </c>
      <c r="G6185" s="116">
        <v>14.7</v>
      </c>
      <c r="H6185" s="125">
        <v>11.7</v>
      </c>
      <c r="I6185" s="111">
        <v>2</v>
      </c>
      <c r="J6185" s="117">
        <f t="shared" si="866"/>
        <v>0.34397999999999995</v>
      </c>
      <c r="K6185" s="118"/>
      <c r="L6185" s="111">
        <v>2</v>
      </c>
      <c r="M6185" s="117">
        <f t="shared" si="867"/>
        <v>0.34397999999999995</v>
      </c>
      <c r="N6185" s="119">
        <f t="shared" si="868"/>
        <v>0</v>
      </c>
      <c r="O6185" s="120">
        <f t="shared" si="869"/>
        <v>0</v>
      </c>
      <c r="P6185" s="130"/>
      <c r="Q6185" s="320"/>
      <c r="R6185" s="98">
        <v>11.4</v>
      </c>
      <c r="S6185" s="91">
        <v>2</v>
      </c>
      <c r="T6185" s="156" t="s">
        <v>739</v>
      </c>
    </row>
    <row r="6186" spans="1:20" ht="15.6">
      <c r="A6186" s="110" t="s">
        <v>518</v>
      </c>
      <c r="B6186" s="111" t="s">
        <v>505</v>
      </c>
      <c r="C6186" s="112" t="s">
        <v>449</v>
      </c>
      <c r="D6186" s="113" t="s">
        <v>130</v>
      </c>
      <c r="E6186" s="114" t="s">
        <v>15</v>
      </c>
      <c r="F6186" s="115" t="s">
        <v>39</v>
      </c>
      <c r="G6186" s="116">
        <v>14.7</v>
      </c>
      <c r="H6186" s="125">
        <v>12</v>
      </c>
      <c r="I6186" s="111">
        <v>22</v>
      </c>
      <c r="J6186" s="117">
        <f t="shared" si="866"/>
        <v>3.8807999999999994</v>
      </c>
      <c r="K6186" s="118"/>
      <c r="L6186" s="111">
        <v>22</v>
      </c>
      <c r="M6186" s="117">
        <f t="shared" si="867"/>
        <v>3.8807999999999998</v>
      </c>
      <c r="N6186" s="119">
        <f t="shared" si="868"/>
        <v>0</v>
      </c>
      <c r="O6186" s="120">
        <f t="shared" si="869"/>
        <v>0</v>
      </c>
      <c r="P6186" s="130"/>
      <c r="Q6186" s="320"/>
      <c r="R6186" s="33"/>
      <c r="S6186" s="32"/>
      <c r="T6186" s="213"/>
    </row>
    <row r="6187" spans="1:20" ht="15.6">
      <c r="A6187" s="110" t="s">
        <v>518</v>
      </c>
      <c r="B6187" s="111" t="s">
        <v>505</v>
      </c>
      <c r="C6187" s="112" t="s">
        <v>449</v>
      </c>
      <c r="D6187" s="113" t="s">
        <v>130</v>
      </c>
      <c r="E6187" s="114" t="s">
        <v>15</v>
      </c>
      <c r="F6187" s="115" t="s">
        <v>39</v>
      </c>
      <c r="G6187" s="116">
        <v>14.7</v>
      </c>
      <c r="H6187" s="125">
        <v>12</v>
      </c>
      <c r="I6187" s="111">
        <v>22</v>
      </c>
      <c r="J6187" s="117">
        <f t="shared" si="866"/>
        <v>3.8807999999999994</v>
      </c>
      <c r="K6187" s="118"/>
      <c r="L6187" s="111">
        <v>22</v>
      </c>
      <c r="M6187" s="117">
        <f t="shared" si="867"/>
        <v>3.8807999999999998</v>
      </c>
      <c r="N6187" s="119">
        <f t="shared" si="868"/>
        <v>0</v>
      </c>
      <c r="O6187" s="120">
        <f t="shared" si="869"/>
        <v>0</v>
      </c>
      <c r="P6187" s="130"/>
      <c r="Q6187" s="320"/>
      <c r="R6187" s="33"/>
      <c r="S6187" s="32"/>
      <c r="T6187" s="213"/>
    </row>
    <row r="6188" spans="1:20" ht="15.6">
      <c r="A6188" s="110" t="s">
        <v>518</v>
      </c>
      <c r="B6188" s="111" t="s">
        <v>505</v>
      </c>
      <c r="C6188" s="112" t="s">
        <v>449</v>
      </c>
      <c r="D6188" s="113" t="s">
        <v>130</v>
      </c>
      <c r="E6188" s="114" t="s">
        <v>15</v>
      </c>
      <c r="F6188" s="115" t="s">
        <v>39</v>
      </c>
      <c r="G6188" s="116">
        <v>14.7</v>
      </c>
      <c r="H6188" s="125">
        <v>8</v>
      </c>
      <c r="I6188" s="111">
        <v>1</v>
      </c>
      <c r="J6188" s="117">
        <f t="shared" si="866"/>
        <v>0.1176</v>
      </c>
      <c r="K6188" s="118"/>
      <c r="L6188" s="111">
        <v>1</v>
      </c>
      <c r="M6188" s="117">
        <f t="shared" si="867"/>
        <v>0.1176</v>
      </c>
      <c r="N6188" s="119">
        <f t="shared" si="868"/>
        <v>0</v>
      </c>
      <c r="O6188" s="120">
        <f t="shared" si="869"/>
        <v>0</v>
      </c>
      <c r="P6188" s="130"/>
      <c r="Q6188" s="320"/>
      <c r="R6188" s="98">
        <v>6</v>
      </c>
      <c r="S6188" s="91">
        <v>1</v>
      </c>
      <c r="T6188" s="156" t="s">
        <v>677</v>
      </c>
    </row>
    <row r="6189" spans="1:20" ht="15.6">
      <c r="A6189" s="110" t="s">
        <v>518</v>
      </c>
      <c r="B6189" s="111" t="s">
        <v>505</v>
      </c>
      <c r="C6189" s="112" t="s">
        <v>449</v>
      </c>
      <c r="D6189" s="113" t="s">
        <v>130</v>
      </c>
      <c r="E6189" s="114" t="s">
        <v>15</v>
      </c>
      <c r="F6189" s="115" t="s">
        <v>39</v>
      </c>
      <c r="G6189" s="116">
        <v>14.7</v>
      </c>
      <c r="H6189" s="125">
        <v>8.3000000000000007</v>
      </c>
      <c r="I6189" s="111">
        <v>2</v>
      </c>
      <c r="J6189" s="117">
        <f t="shared" si="866"/>
        <v>0.24402000000000001</v>
      </c>
      <c r="K6189" s="118"/>
      <c r="L6189" s="111">
        <v>2</v>
      </c>
      <c r="M6189" s="117">
        <f t="shared" si="867"/>
        <v>0.24402000000000001</v>
      </c>
      <c r="N6189" s="119">
        <f t="shared" si="868"/>
        <v>0</v>
      </c>
      <c r="O6189" s="120">
        <f t="shared" si="869"/>
        <v>0</v>
      </c>
      <c r="P6189" s="130"/>
      <c r="Q6189" s="320"/>
      <c r="R6189" s="98">
        <v>6</v>
      </c>
      <c r="S6189" s="91">
        <v>2</v>
      </c>
      <c r="T6189" s="156" t="s">
        <v>677</v>
      </c>
    </row>
    <row r="6190" spans="1:20" ht="15.6">
      <c r="A6190" s="110" t="s">
        <v>518</v>
      </c>
      <c r="B6190" s="111" t="s">
        <v>505</v>
      </c>
      <c r="C6190" s="112" t="s">
        <v>449</v>
      </c>
      <c r="D6190" s="113" t="s">
        <v>130</v>
      </c>
      <c r="E6190" s="114" t="s">
        <v>15</v>
      </c>
      <c r="F6190" s="115" t="s">
        <v>39</v>
      </c>
      <c r="G6190" s="116">
        <v>14.7</v>
      </c>
      <c r="H6190" s="125">
        <v>10.5</v>
      </c>
      <c r="I6190" s="111">
        <v>1</v>
      </c>
      <c r="J6190" s="117">
        <f t="shared" si="866"/>
        <v>0.15434999999999999</v>
      </c>
      <c r="K6190" s="118"/>
      <c r="L6190" s="111">
        <v>1</v>
      </c>
      <c r="M6190" s="117">
        <f t="shared" si="867"/>
        <v>0.15434999999999999</v>
      </c>
      <c r="N6190" s="119">
        <f t="shared" si="868"/>
        <v>0</v>
      </c>
      <c r="O6190" s="120">
        <f t="shared" si="869"/>
        <v>0</v>
      </c>
      <c r="P6190" s="130"/>
      <c r="Q6190" s="320"/>
      <c r="R6190" s="33"/>
      <c r="S6190" s="32"/>
      <c r="T6190" s="213"/>
    </row>
    <row r="6191" spans="1:20" ht="15.6">
      <c r="A6191" s="110" t="s">
        <v>518</v>
      </c>
      <c r="B6191" s="111" t="s">
        <v>505</v>
      </c>
      <c r="C6191" s="112" t="s">
        <v>449</v>
      </c>
      <c r="D6191" s="113" t="s">
        <v>130</v>
      </c>
      <c r="E6191" s="114" t="s">
        <v>15</v>
      </c>
      <c r="F6191" s="115" t="s">
        <v>39</v>
      </c>
      <c r="G6191" s="116">
        <v>14.7</v>
      </c>
      <c r="H6191" s="125">
        <v>11.5</v>
      </c>
      <c r="I6191" s="111">
        <v>1</v>
      </c>
      <c r="J6191" s="117">
        <f t="shared" si="866"/>
        <v>0.16904999999999998</v>
      </c>
      <c r="K6191" s="118"/>
      <c r="L6191" s="111">
        <v>1</v>
      </c>
      <c r="M6191" s="117">
        <f t="shared" si="867"/>
        <v>0.16904999999999998</v>
      </c>
      <c r="N6191" s="119">
        <f t="shared" si="868"/>
        <v>0</v>
      </c>
      <c r="O6191" s="120">
        <f t="shared" si="869"/>
        <v>0</v>
      </c>
      <c r="P6191" s="130"/>
      <c r="Q6191" s="320"/>
      <c r="R6191" s="98">
        <v>11.4</v>
      </c>
      <c r="S6191" s="91">
        <v>1</v>
      </c>
      <c r="T6191" s="156" t="s">
        <v>739</v>
      </c>
    </row>
    <row r="6192" spans="1:20" ht="15.6">
      <c r="A6192" s="110" t="s">
        <v>518</v>
      </c>
      <c r="B6192" s="111" t="s">
        <v>505</v>
      </c>
      <c r="C6192" s="112" t="s">
        <v>449</v>
      </c>
      <c r="D6192" s="113" t="s">
        <v>130</v>
      </c>
      <c r="E6192" s="114" t="s">
        <v>15</v>
      </c>
      <c r="F6192" s="115" t="s">
        <v>39</v>
      </c>
      <c r="G6192" s="116">
        <v>14.7</v>
      </c>
      <c r="H6192" s="125">
        <v>11.7</v>
      </c>
      <c r="I6192" s="111">
        <v>1</v>
      </c>
      <c r="J6192" s="117">
        <f t="shared" si="866"/>
        <v>0.17198999999999998</v>
      </c>
      <c r="K6192" s="118"/>
      <c r="L6192" s="111">
        <v>1</v>
      </c>
      <c r="M6192" s="117">
        <f t="shared" si="867"/>
        <v>0.17198999999999998</v>
      </c>
      <c r="N6192" s="119">
        <f t="shared" si="868"/>
        <v>0</v>
      </c>
      <c r="O6192" s="120">
        <f t="shared" si="869"/>
        <v>0</v>
      </c>
      <c r="P6192" s="130"/>
      <c r="Q6192" s="320"/>
      <c r="R6192" s="98">
        <v>11.4</v>
      </c>
      <c r="S6192" s="91">
        <v>1</v>
      </c>
      <c r="T6192" s="156" t="s">
        <v>739</v>
      </c>
    </row>
    <row r="6193" spans="1:20" ht="15.6">
      <c r="A6193" s="110" t="s">
        <v>518</v>
      </c>
      <c r="B6193" s="111" t="s">
        <v>505</v>
      </c>
      <c r="C6193" s="112" t="s">
        <v>449</v>
      </c>
      <c r="D6193" s="113" t="s">
        <v>130</v>
      </c>
      <c r="E6193" s="114" t="s">
        <v>15</v>
      </c>
      <c r="F6193" s="115" t="s">
        <v>39</v>
      </c>
      <c r="G6193" s="116">
        <v>14.7</v>
      </c>
      <c r="H6193" s="125">
        <v>8.6</v>
      </c>
      <c r="I6193" s="111">
        <v>5</v>
      </c>
      <c r="J6193" s="117">
        <f t="shared" si="866"/>
        <v>0.63209999999999988</v>
      </c>
      <c r="K6193" s="118"/>
      <c r="L6193" s="111">
        <f>3+2</f>
        <v>5</v>
      </c>
      <c r="M6193" s="117">
        <f t="shared" si="867"/>
        <v>0.6321</v>
      </c>
      <c r="N6193" s="119">
        <f t="shared" si="868"/>
        <v>0</v>
      </c>
      <c r="O6193" s="120">
        <f t="shared" si="869"/>
        <v>0</v>
      </c>
      <c r="P6193" s="130"/>
      <c r="Q6193" s="320"/>
      <c r="R6193" s="98">
        <v>8.5500000000000007</v>
      </c>
      <c r="S6193" s="91">
        <v>2</v>
      </c>
      <c r="T6193" s="156" t="s">
        <v>733</v>
      </c>
    </row>
    <row r="6194" spans="1:20" ht="15.6">
      <c r="A6194" s="110" t="s">
        <v>518</v>
      </c>
      <c r="B6194" s="111" t="s">
        <v>505</v>
      </c>
      <c r="C6194" s="112" t="s">
        <v>449</v>
      </c>
      <c r="D6194" s="113" t="s">
        <v>130</v>
      </c>
      <c r="E6194" s="114" t="s">
        <v>15</v>
      </c>
      <c r="F6194" s="115" t="s">
        <v>39</v>
      </c>
      <c r="G6194" s="116">
        <v>14.7</v>
      </c>
      <c r="H6194" s="125">
        <v>8.6</v>
      </c>
      <c r="I6194" s="111">
        <v>20</v>
      </c>
      <c r="J6194" s="117">
        <f t="shared" si="866"/>
        <v>2.5283999999999995</v>
      </c>
      <c r="K6194" s="118"/>
      <c r="L6194" s="111">
        <v>20</v>
      </c>
      <c r="M6194" s="117">
        <f t="shared" si="867"/>
        <v>2.5284</v>
      </c>
      <c r="N6194" s="119">
        <f t="shared" si="868"/>
        <v>0</v>
      </c>
      <c r="O6194" s="120">
        <f t="shared" si="869"/>
        <v>0</v>
      </c>
      <c r="P6194" s="130"/>
      <c r="Q6194" s="320"/>
      <c r="R6194" s="32"/>
      <c r="S6194" s="32"/>
      <c r="T6194" s="213"/>
    </row>
    <row r="6195" spans="1:20" ht="15.6">
      <c r="A6195" s="110" t="s">
        <v>518</v>
      </c>
      <c r="B6195" s="111" t="s">
        <v>505</v>
      </c>
      <c r="C6195" s="112" t="s">
        <v>449</v>
      </c>
      <c r="D6195" s="113" t="s">
        <v>130</v>
      </c>
      <c r="E6195" s="114" t="s">
        <v>15</v>
      </c>
      <c r="F6195" s="115" t="s">
        <v>39</v>
      </c>
      <c r="G6195" s="116">
        <v>14.7</v>
      </c>
      <c r="H6195" s="125">
        <v>8.6</v>
      </c>
      <c r="I6195" s="111">
        <v>13</v>
      </c>
      <c r="J6195" s="117">
        <f t="shared" si="866"/>
        <v>1.6434599999999997</v>
      </c>
      <c r="K6195" s="118"/>
      <c r="L6195" s="111">
        <v>13</v>
      </c>
      <c r="M6195" s="117">
        <f t="shared" si="867"/>
        <v>1.6434599999999997</v>
      </c>
      <c r="N6195" s="119">
        <f t="shared" si="868"/>
        <v>0</v>
      </c>
      <c r="O6195" s="120">
        <f t="shared" si="869"/>
        <v>0</v>
      </c>
      <c r="P6195" s="130"/>
      <c r="Q6195" s="320"/>
      <c r="R6195" s="32"/>
      <c r="S6195" s="32"/>
      <c r="T6195" s="213"/>
    </row>
    <row r="6196" spans="1:20" ht="15.6">
      <c r="A6196" s="110" t="s">
        <v>518</v>
      </c>
      <c r="B6196" s="111" t="s">
        <v>505</v>
      </c>
      <c r="C6196" s="112" t="s">
        <v>449</v>
      </c>
      <c r="D6196" s="113" t="s">
        <v>130</v>
      </c>
      <c r="E6196" s="114" t="s">
        <v>15</v>
      </c>
      <c r="F6196" s="115" t="s">
        <v>39</v>
      </c>
      <c r="G6196" s="116">
        <v>14.7</v>
      </c>
      <c r="H6196" s="125">
        <v>12</v>
      </c>
      <c r="I6196" s="111">
        <v>20</v>
      </c>
      <c r="J6196" s="117">
        <f t="shared" si="866"/>
        <v>3.5279999999999996</v>
      </c>
      <c r="K6196" s="118"/>
      <c r="L6196" s="111">
        <v>20</v>
      </c>
      <c r="M6196" s="117">
        <f t="shared" si="867"/>
        <v>3.528</v>
      </c>
      <c r="N6196" s="119">
        <f t="shared" si="868"/>
        <v>0</v>
      </c>
      <c r="O6196" s="120">
        <f t="shared" si="869"/>
        <v>0</v>
      </c>
      <c r="P6196" s="130"/>
      <c r="Q6196" s="320"/>
      <c r="R6196" s="32"/>
      <c r="S6196" s="32"/>
      <c r="T6196" s="213"/>
    </row>
    <row r="6197" spans="1:20" ht="15.6">
      <c r="A6197" s="110" t="s">
        <v>518</v>
      </c>
      <c r="B6197" s="111" t="s">
        <v>505</v>
      </c>
      <c r="C6197" s="112" t="s">
        <v>449</v>
      </c>
      <c r="D6197" s="113" t="s">
        <v>130</v>
      </c>
      <c r="E6197" s="114" t="s">
        <v>15</v>
      </c>
      <c r="F6197" s="115" t="s">
        <v>39</v>
      </c>
      <c r="G6197" s="116">
        <v>14.7</v>
      </c>
      <c r="H6197" s="126">
        <v>12</v>
      </c>
      <c r="I6197" s="321">
        <v>20</v>
      </c>
      <c r="J6197" s="117">
        <f t="shared" si="866"/>
        <v>3.5279999999999996</v>
      </c>
      <c r="K6197" s="118"/>
      <c r="L6197" s="111">
        <v>20</v>
      </c>
      <c r="M6197" s="117">
        <f t="shared" si="867"/>
        <v>3.528</v>
      </c>
      <c r="N6197" s="119">
        <f t="shared" si="868"/>
        <v>0</v>
      </c>
      <c r="O6197" s="120">
        <f t="shared" si="869"/>
        <v>0</v>
      </c>
      <c r="P6197" s="130"/>
      <c r="Q6197" s="320"/>
      <c r="R6197" s="32"/>
      <c r="S6197" s="32"/>
      <c r="T6197" s="213"/>
    </row>
    <row r="6198" spans="1:20" ht="15.6">
      <c r="A6198" s="110" t="s">
        <v>518</v>
      </c>
      <c r="B6198" s="111" t="s">
        <v>505</v>
      </c>
      <c r="C6198" s="112" t="s">
        <v>449</v>
      </c>
      <c r="D6198" s="113" t="s">
        <v>130</v>
      </c>
      <c r="E6198" s="114" t="s">
        <v>15</v>
      </c>
      <c r="F6198" s="115" t="s">
        <v>39</v>
      </c>
      <c r="G6198" s="116">
        <v>14.7</v>
      </c>
      <c r="H6198" s="126">
        <v>12</v>
      </c>
      <c r="I6198" s="321">
        <v>20</v>
      </c>
      <c r="J6198" s="117">
        <f t="shared" si="866"/>
        <v>3.5279999999999996</v>
      </c>
      <c r="K6198" s="118"/>
      <c r="L6198" s="111">
        <v>20</v>
      </c>
      <c r="M6198" s="117">
        <f t="shared" si="867"/>
        <v>3.528</v>
      </c>
      <c r="N6198" s="119">
        <f t="shared" si="868"/>
        <v>0</v>
      </c>
      <c r="O6198" s="120">
        <f t="shared" si="869"/>
        <v>0</v>
      </c>
      <c r="P6198" s="130"/>
      <c r="Q6198" s="320"/>
      <c r="R6198" s="32"/>
      <c r="S6198" s="32"/>
      <c r="T6198" s="213"/>
    </row>
    <row r="6199" spans="1:20" ht="15.6">
      <c r="A6199" s="110" t="s">
        <v>518</v>
      </c>
      <c r="B6199" s="111" t="s">
        <v>505</v>
      </c>
      <c r="C6199" s="112" t="s">
        <v>449</v>
      </c>
      <c r="D6199" s="113" t="s">
        <v>130</v>
      </c>
      <c r="E6199" s="114" t="s">
        <v>15</v>
      </c>
      <c r="F6199" s="115" t="s">
        <v>39</v>
      </c>
      <c r="G6199" s="116">
        <v>14.7</v>
      </c>
      <c r="H6199" s="126">
        <v>12</v>
      </c>
      <c r="I6199" s="321">
        <v>20</v>
      </c>
      <c r="J6199" s="117">
        <f t="shared" si="866"/>
        <v>3.5279999999999996</v>
      </c>
      <c r="K6199" s="118"/>
      <c r="L6199" s="111">
        <v>20</v>
      </c>
      <c r="M6199" s="117">
        <f t="shared" si="867"/>
        <v>3.528</v>
      </c>
      <c r="N6199" s="119">
        <f t="shared" si="868"/>
        <v>0</v>
      </c>
      <c r="O6199" s="120">
        <f t="shared" si="869"/>
        <v>0</v>
      </c>
      <c r="P6199" s="130"/>
      <c r="Q6199" s="320"/>
      <c r="R6199" s="32"/>
      <c r="S6199" s="32"/>
      <c r="T6199" s="213"/>
    </row>
    <row r="6200" spans="1:20" ht="15.6">
      <c r="A6200" s="110" t="s">
        <v>518</v>
      </c>
      <c r="B6200" s="111" t="s">
        <v>505</v>
      </c>
      <c r="C6200" s="112" t="s">
        <v>449</v>
      </c>
      <c r="D6200" s="113" t="s">
        <v>130</v>
      </c>
      <c r="E6200" s="114" t="s">
        <v>15</v>
      </c>
      <c r="F6200" s="115" t="s">
        <v>39</v>
      </c>
      <c r="G6200" s="116">
        <v>14.7</v>
      </c>
      <c r="H6200" s="126">
        <v>12</v>
      </c>
      <c r="I6200" s="321">
        <v>20</v>
      </c>
      <c r="J6200" s="117">
        <f t="shared" si="866"/>
        <v>3.5279999999999996</v>
      </c>
      <c r="K6200" s="118"/>
      <c r="L6200" s="111">
        <v>20</v>
      </c>
      <c r="M6200" s="117">
        <f t="shared" si="867"/>
        <v>3.528</v>
      </c>
      <c r="N6200" s="119">
        <f t="shared" si="868"/>
        <v>0</v>
      </c>
      <c r="O6200" s="120">
        <f t="shared" si="869"/>
        <v>0</v>
      </c>
      <c r="P6200" s="130"/>
      <c r="Q6200" s="320"/>
      <c r="R6200" s="32"/>
      <c r="S6200" s="32"/>
      <c r="T6200" s="213"/>
    </row>
    <row r="6201" spans="1:20" ht="15.6">
      <c r="A6201" s="110" t="s">
        <v>518</v>
      </c>
      <c r="B6201" s="111" t="s">
        <v>505</v>
      </c>
      <c r="C6201" s="112" t="s">
        <v>449</v>
      </c>
      <c r="D6201" s="113" t="s">
        <v>130</v>
      </c>
      <c r="E6201" s="114" t="s">
        <v>15</v>
      </c>
      <c r="F6201" s="115" t="s">
        <v>39</v>
      </c>
      <c r="G6201" s="116">
        <v>14.7</v>
      </c>
      <c r="H6201" s="126">
        <v>12</v>
      </c>
      <c r="I6201" s="321">
        <v>20</v>
      </c>
      <c r="J6201" s="117">
        <f t="shared" si="866"/>
        <v>3.5279999999999996</v>
      </c>
      <c r="K6201" s="118"/>
      <c r="L6201" s="111">
        <v>20</v>
      </c>
      <c r="M6201" s="117">
        <f t="shared" si="867"/>
        <v>3.528</v>
      </c>
      <c r="N6201" s="119">
        <f t="shared" si="868"/>
        <v>0</v>
      </c>
      <c r="O6201" s="120">
        <f t="shared" si="869"/>
        <v>0</v>
      </c>
      <c r="P6201" s="130"/>
      <c r="Q6201" s="320"/>
      <c r="R6201" s="32"/>
      <c r="S6201" s="32"/>
      <c r="T6201" s="213"/>
    </row>
    <row r="6202" spans="1:20" ht="15.6">
      <c r="A6202" s="110" t="s">
        <v>518</v>
      </c>
      <c r="B6202" s="111" t="s">
        <v>505</v>
      </c>
      <c r="C6202" s="112" t="s">
        <v>449</v>
      </c>
      <c r="D6202" s="113" t="s">
        <v>130</v>
      </c>
      <c r="E6202" s="114" t="s">
        <v>15</v>
      </c>
      <c r="F6202" s="115" t="s">
        <v>39</v>
      </c>
      <c r="G6202" s="116">
        <v>14.7</v>
      </c>
      <c r="H6202" s="126">
        <v>12</v>
      </c>
      <c r="I6202" s="321">
        <v>18</v>
      </c>
      <c r="J6202" s="117">
        <f t="shared" si="866"/>
        <v>3.1751999999999998</v>
      </c>
      <c r="K6202" s="118"/>
      <c r="L6202" s="111">
        <v>18</v>
      </c>
      <c r="M6202" s="117">
        <f t="shared" si="867"/>
        <v>3.1751999999999998</v>
      </c>
      <c r="N6202" s="119">
        <f t="shared" si="868"/>
        <v>0</v>
      </c>
      <c r="O6202" s="120">
        <f t="shared" si="869"/>
        <v>0</v>
      </c>
      <c r="P6202" s="130"/>
      <c r="Q6202" s="320"/>
      <c r="R6202" s="32"/>
      <c r="S6202" s="32"/>
      <c r="T6202" s="213"/>
    </row>
    <row r="6203" spans="1:20" ht="15.6">
      <c r="A6203" s="110" t="s">
        <v>518</v>
      </c>
      <c r="B6203" s="111" t="s">
        <v>505</v>
      </c>
      <c r="C6203" s="112" t="s">
        <v>449</v>
      </c>
      <c r="D6203" s="113" t="s">
        <v>130</v>
      </c>
      <c r="E6203" s="114" t="s">
        <v>15</v>
      </c>
      <c r="F6203" s="115" t="s">
        <v>39</v>
      </c>
      <c r="G6203" s="116">
        <v>14.7</v>
      </c>
      <c r="H6203" s="126">
        <v>12</v>
      </c>
      <c r="I6203" s="321">
        <v>18</v>
      </c>
      <c r="J6203" s="117">
        <f t="shared" si="866"/>
        <v>3.1751999999999998</v>
      </c>
      <c r="K6203" s="118"/>
      <c r="L6203" s="111">
        <v>18</v>
      </c>
      <c r="M6203" s="117">
        <f t="shared" si="867"/>
        <v>3.1751999999999998</v>
      </c>
      <c r="N6203" s="119">
        <f t="shared" si="868"/>
        <v>0</v>
      </c>
      <c r="O6203" s="120">
        <f t="shared" si="869"/>
        <v>0</v>
      </c>
      <c r="P6203" s="130"/>
      <c r="Q6203" s="320"/>
      <c r="R6203" s="32"/>
      <c r="S6203" s="32"/>
      <c r="T6203" s="213"/>
    </row>
    <row r="6204" spans="1:20" ht="15.6">
      <c r="A6204" s="110" t="s">
        <v>518</v>
      </c>
      <c r="B6204" s="111" t="s">
        <v>505</v>
      </c>
      <c r="C6204" s="112" t="s">
        <v>449</v>
      </c>
      <c r="D6204" s="113" t="s">
        <v>130</v>
      </c>
      <c r="E6204" s="114" t="s">
        <v>15</v>
      </c>
      <c r="F6204" s="115" t="s">
        <v>39</v>
      </c>
      <c r="G6204" s="116">
        <v>14.7</v>
      </c>
      <c r="H6204" s="126">
        <v>12</v>
      </c>
      <c r="I6204" s="321">
        <v>18</v>
      </c>
      <c r="J6204" s="117">
        <f t="shared" si="866"/>
        <v>3.1751999999999998</v>
      </c>
      <c r="K6204" s="118"/>
      <c r="L6204" s="111">
        <v>18</v>
      </c>
      <c r="M6204" s="117">
        <f t="shared" si="867"/>
        <v>3.1751999999999998</v>
      </c>
      <c r="N6204" s="119">
        <f t="shared" si="868"/>
        <v>0</v>
      </c>
      <c r="O6204" s="120">
        <f t="shared" si="869"/>
        <v>0</v>
      </c>
      <c r="P6204" s="130"/>
      <c r="Q6204" s="320"/>
      <c r="R6204" s="32"/>
      <c r="S6204" s="32"/>
      <c r="T6204" s="213"/>
    </row>
    <row r="6205" spans="1:20" ht="15.6">
      <c r="A6205" s="110" t="s">
        <v>518</v>
      </c>
      <c r="B6205" s="111" t="s">
        <v>505</v>
      </c>
      <c r="C6205" s="112" t="s">
        <v>449</v>
      </c>
      <c r="D6205" s="113" t="s">
        <v>130</v>
      </c>
      <c r="E6205" s="114" t="s">
        <v>15</v>
      </c>
      <c r="F6205" s="115" t="s">
        <v>39</v>
      </c>
      <c r="G6205" s="116">
        <v>14.7</v>
      </c>
      <c r="H6205" s="126">
        <v>12</v>
      </c>
      <c r="I6205" s="321">
        <v>18</v>
      </c>
      <c r="J6205" s="117">
        <f t="shared" si="866"/>
        <v>3.1751999999999998</v>
      </c>
      <c r="K6205" s="118"/>
      <c r="L6205" s="111">
        <v>18</v>
      </c>
      <c r="M6205" s="117">
        <f t="shared" si="867"/>
        <v>3.1751999999999998</v>
      </c>
      <c r="N6205" s="119">
        <f t="shared" si="868"/>
        <v>0</v>
      </c>
      <c r="O6205" s="120">
        <f t="shared" si="869"/>
        <v>0</v>
      </c>
      <c r="P6205" s="130"/>
      <c r="Q6205" s="320"/>
      <c r="R6205" s="32"/>
      <c r="S6205" s="32"/>
      <c r="T6205" s="213"/>
    </row>
    <row r="6206" spans="1:20" ht="15.6">
      <c r="A6206" s="110" t="s">
        <v>518</v>
      </c>
      <c r="B6206" s="111" t="s">
        <v>505</v>
      </c>
      <c r="C6206" s="112" t="s">
        <v>449</v>
      </c>
      <c r="D6206" s="113" t="s">
        <v>130</v>
      </c>
      <c r="E6206" s="114" t="s">
        <v>15</v>
      </c>
      <c r="F6206" s="115" t="s">
        <v>39</v>
      </c>
      <c r="G6206" s="116">
        <v>14.7</v>
      </c>
      <c r="H6206" s="126">
        <v>12</v>
      </c>
      <c r="I6206" s="321">
        <v>18</v>
      </c>
      <c r="J6206" s="117">
        <f t="shared" si="866"/>
        <v>3.1751999999999998</v>
      </c>
      <c r="K6206" s="118"/>
      <c r="L6206" s="111">
        <v>18</v>
      </c>
      <c r="M6206" s="117">
        <f t="shared" si="867"/>
        <v>3.1751999999999998</v>
      </c>
      <c r="N6206" s="119">
        <f t="shared" si="868"/>
        <v>0</v>
      </c>
      <c r="O6206" s="120">
        <f t="shared" si="869"/>
        <v>0</v>
      </c>
      <c r="P6206" s="130"/>
      <c r="Q6206" s="320"/>
      <c r="R6206" s="32"/>
      <c r="S6206" s="32"/>
      <c r="T6206" s="213"/>
    </row>
    <row r="6207" spans="1:20" ht="15.6">
      <c r="A6207" s="110" t="s">
        <v>518</v>
      </c>
      <c r="B6207" s="111" t="s">
        <v>505</v>
      </c>
      <c r="C6207" s="112" t="s">
        <v>449</v>
      </c>
      <c r="D6207" s="113" t="s">
        <v>130</v>
      </c>
      <c r="E6207" s="114" t="s">
        <v>15</v>
      </c>
      <c r="F6207" s="115" t="s">
        <v>39</v>
      </c>
      <c r="G6207" s="116">
        <v>14.7</v>
      </c>
      <c r="H6207" s="126">
        <v>12</v>
      </c>
      <c r="I6207" s="321">
        <v>18</v>
      </c>
      <c r="J6207" s="117">
        <f t="shared" si="866"/>
        <v>3.1751999999999998</v>
      </c>
      <c r="K6207" s="118"/>
      <c r="L6207" s="111">
        <v>18</v>
      </c>
      <c r="M6207" s="117">
        <f t="shared" si="867"/>
        <v>3.1751999999999998</v>
      </c>
      <c r="N6207" s="119">
        <f t="shared" si="868"/>
        <v>0</v>
      </c>
      <c r="O6207" s="120">
        <f t="shared" si="869"/>
        <v>0</v>
      </c>
      <c r="P6207" s="130"/>
      <c r="Q6207" s="320"/>
      <c r="R6207" s="32"/>
      <c r="S6207" s="32"/>
      <c r="T6207" s="213"/>
    </row>
    <row r="6208" spans="1:20" ht="15.6">
      <c r="A6208" s="110" t="s">
        <v>518</v>
      </c>
      <c r="B6208" s="111" t="s">
        <v>505</v>
      </c>
      <c r="C6208" s="112" t="s">
        <v>449</v>
      </c>
      <c r="D6208" s="113" t="s">
        <v>130</v>
      </c>
      <c r="E6208" s="114" t="s">
        <v>15</v>
      </c>
      <c r="F6208" s="115" t="s">
        <v>39</v>
      </c>
      <c r="G6208" s="116">
        <v>14.7</v>
      </c>
      <c r="H6208" s="126">
        <v>12</v>
      </c>
      <c r="I6208" s="321">
        <v>18</v>
      </c>
      <c r="J6208" s="117">
        <f t="shared" si="866"/>
        <v>3.1751999999999998</v>
      </c>
      <c r="K6208" s="118"/>
      <c r="L6208" s="111">
        <v>18</v>
      </c>
      <c r="M6208" s="117">
        <f t="shared" si="867"/>
        <v>3.1751999999999998</v>
      </c>
      <c r="N6208" s="119">
        <f t="shared" si="868"/>
        <v>0</v>
      </c>
      <c r="O6208" s="120">
        <f t="shared" si="869"/>
        <v>0</v>
      </c>
      <c r="P6208" s="130"/>
      <c r="Q6208" s="320"/>
      <c r="R6208" s="32"/>
      <c r="S6208" s="32"/>
      <c r="T6208" s="213"/>
    </row>
    <row r="6209" spans="1:20" ht="15.6">
      <c r="A6209" s="110" t="s">
        <v>518</v>
      </c>
      <c r="B6209" s="111" t="s">
        <v>505</v>
      </c>
      <c r="C6209" s="112" t="s">
        <v>449</v>
      </c>
      <c r="D6209" s="113" t="s">
        <v>130</v>
      </c>
      <c r="E6209" s="114" t="s">
        <v>15</v>
      </c>
      <c r="F6209" s="115" t="s">
        <v>39</v>
      </c>
      <c r="G6209" s="116">
        <v>14.7</v>
      </c>
      <c r="H6209" s="126">
        <v>12</v>
      </c>
      <c r="I6209" s="321">
        <v>20</v>
      </c>
      <c r="J6209" s="117">
        <f t="shared" si="866"/>
        <v>3.5279999999999996</v>
      </c>
      <c r="K6209" s="118"/>
      <c r="L6209" s="111">
        <v>20</v>
      </c>
      <c r="M6209" s="117">
        <f t="shared" si="867"/>
        <v>3.528</v>
      </c>
      <c r="N6209" s="119">
        <f t="shared" si="868"/>
        <v>0</v>
      </c>
      <c r="O6209" s="120">
        <f t="shared" si="869"/>
        <v>0</v>
      </c>
      <c r="P6209" s="130"/>
      <c r="Q6209" s="320"/>
      <c r="R6209" s="32"/>
      <c r="S6209" s="32"/>
      <c r="T6209" s="213"/>
    </row>
    <row r="6210" spans="1:20" ht="15.6">
      <c r="A6210" s="110" t="s">
        <v>518</v>
      </c>
      <c r="B6210" s="111" t="s">
        <v>505</v>
      </c>
      <c r="C6210" s="112" t="s">
        <v>449</v>
      </c>
      <c r="D6210" s="113" t="s">
        <v>130</v>
      </c>
      <c r="E6210" s="114" t="s">
        <v>15</v>
      </c>
      <c r="F6210" s="115" t="s">
        <v>39</v>
      </c>
      <c r="G6210" s="116">
        <v>14.7</v>
      </c>
      <c r="H6210" s="126">
        <v>12</v>
      </c>
      <c r="I6210" s="321">
        <v>20</v>
      </c>
      <c r="J6210" s="117">
        <f t="shared" si="866"/>
        <v>3.5279999999999996</v>
      </c>
      <c r="K6210" s="118"/>
      <c r="L6210" s="111">
        <v>20</v>
      </c>
      <c r="M6210" s="117">
        <f t="shared" si="867"/>
        <v>3.528</v>
      </c>
      <c r="N6210" s="119">
        <f t="shared" si="868"/>
        <v>0</v>
      </c>
      <c r="O6210" s="120">
        <f t="shared" si="869"/>
        <v>0</v>
      </c>
      <c r="P6210" s="130"/>
      <c r="Q6210" s="320"/>
      <c r="R6210" s="32"/>
      <c r="S6210" s="32"/>
      <c r="T6210" s="213"/>
    </row>
    <row r="6211" spans="1:20" ht="15.6">
      <c r="A6211" s="110" t="s">
        <v>518</v>
      </c>
      <c r="B6211" s="111" t="s">
        <v>505</v>
      </c>
      <c r="C6211" s="112" t="s">
        <v>449</v>
      </c>
      <c r="D6211" s="113" t="s">
        <v>130</v>
      </c>
      <c r="E6211" s="114" t="s">
        <v>15</v>
      </c>
      <c r="F6211" s="115" t="s">
        <v>39</v>
      </c>
      <c r="G6211" s="116">
        <v>14.7</v>
      </c>
      <c r="H6211" s="126">
        <v>12</v>
      </c>
      <c r="I6211" s="321">
        <v>20</v>
      </c>
      <c r="J6211" s="117">
        <f t="shared" si="866"/>
        <v>3.5279999999999996</v>
      </c>
      <c r="K6211" s="118"/>
      <c r="L6211" s="111">
        <v>20</v>
      </c>
      <c r="M6211" s="117">
        <f t="shared" si="867"/>
        <v>3.528</v>
      </c>
      <c r="N6211" s="119">
        <f t="shared" si="868"/>
        <v>0</v>
      </c>
      <c r="O6211" s="120">
        <f t="shared" si="869"/>
        <v>0</v>
      </c>
      <c r="P6211" s="130"/>
      <c r="Q6211" s="320"/>
      <c r="R6211" s="32"/>
      <c r="S6211" s="32"/>
      <c r="T6211" s="213"/>
    </row>
    <row r="6212" spans="1:20" ht="15.6">
      <c r="A6212" s="110" t="s">
        <v>518</v>
      </c>
      <c r="B6212" s="111" t="s">
        <v>505</v>
      </c>
      <c r="C6212" s="112" t="s">
        <v>449</v>
      </c>
      <c r="D6212" s="113" t="s">
        <v>130</v>
      </c>
      <c r="E6212" s="114" t="s">
        <v>15</v>
      </c>
      <c r="F6212" s="115" t="s">
        <v>39</v>
      </c>
      <c r="G6212" s="116">
        <v>14.7</v>
      </c>
      <c r="H6212" s="126">
        <v>12</v>
      </c>
      <c r="I6212" s="321">
        <v>20</v>
      </c>
      <c r="J6212" s="117">
        <f t="shared" si="866"/>
        <v>3.5279999999999996</v>
      </c>
      <c r="K6212" s="118"/>
      <c r="L6212" s="111">
        <v>20</v>
      </c>
      <c r="M6212" s="117">
        <f t="shared" si="867"/>
        <v>3.528</v>
      </c>
      <c r="N6212" s="119">
        <f t="shared" si="868"/>
        <v>0</v>
      </c>
      <c r="O6212" s="120">
        <f t="shared" si="869"/>
        <v>0</v>
      </c>
      <c r="P6212" s="130"/>
      <c r="Q6212" s="320"/>
      <c r="R6212" s="32"/>
      <c r="S6212" s="32"/>
      <c r="T6212" s="213"/>
    </row>
    <row r="6213" spans="1:20" ht="15.6">
      <c r="A6213" s="110" t="s">
        <v>518</v>
      </c>
      <c r="B6213" s="111" t="s">
        <v>505</v>
      </c>
      <c r="C6213" s="112" t="s">
        <v>449</v>
      </c>
      <c r="D6213" s="113" t="s">
        <v>130</v>
      </c>
      <c r="E6213" s="114" t="s">
        <v>15</v>
      </c>
      <c r="F6213" s="115" t="s">
        <v>39</v>
      </c>
      <c r="G6213" s="116">
        <v>14.7</v>
      </c>
      <c r="H6213" s="126">
        <v>12</v>
      </c>
      <c r="I6213" s="321">
        <v>6</v>
      </c>
      <c r="J6213" s="117">
        <f t="shared" si="866"/>
        <v>1.0583999999999998</v>
      </c>
      <c r="K6213" s="118"/>
      <c r="L6213" s="111">
        <v>6</v>
      </c>
      <c r="M6213" s="117">
        <f t="shared" si="867"/>
        <v>1.0583999999999998</v>
      </c>
      <c r="N6213" s="119">
        <f t="shared" si="868"/>
        <v>0</v>
      </c>
      <c r="O6213" s="120">
        <f t="shared" si="869"/>
        <v>0</v>
      </c>
      <c r="P6213" s="130"/>
      <c r="Q6213" s="320"/>
      <c r="R6213" s="32"/>
      <c r="S6213" s="32"/>
      <c r="T6213" s="213"/>
    </row>
    <row r="6214" spans="1:20" ht="15.6">
      <c r="A6214" s="110" t="s">
        <v>518</v>
      </c>
      <c r="B6214" s="111" t="s">
        <v>505</v>
      </c>
      <c r="C6214" s="112" t="s">
        <v>449</v>
      </c>
      <c r="D6214" s="113" t="s">
        <v>130</v>
      </c>
      <c r="E6214" s="114" t="s">
        <v>15</v>
      </c>
      <c r="F6214" s="115" t="s">
        <v>39</v>
      </c>
      <c r="G6214" s="116">
        <v>14.7</v>
      </c>
      <c r="H6214" s="126">
        <v>10.5</v>
      </c>
      <c r="I6214" s="321">
        <v>7</v>
      </c>
      <c r="J6214" s="117">
        <f t="shared" si="866"/>
        <v>1.0804500000000001</v>
      </c>
      <c r="K6214" s="118"/>
      <c r="L6214" s="111">
        <v>7</v>
      </c>
      <c r="M6214" s="117">
        <f t="shared" si="867"/>
        <v>1.0804500000000001</v>
      </c>
      <c r="N6214" s="119">
        <f t="shared" si="868"/>
        <v>0</v>
      </c>
      <c r="O6214" s="120">
        <f t="shared" si="869"/>
        <v>0</v>
      </c>
      <c r="P6214" s="130"/>
      <c r="Q6214" s="320"/>
      <c r="R6214" s="32"/>
      <c r="S6214" s="32"/>
      <c r="T6214" s="213"/>
    </row>
    <row r="6215" spans="1:20" ht="15.6">
      <c r="A6215" s="110" t="s">
        <v>518</v>
      </c>
      <c r="B6215" s="111" t="s">
        <v>505</v>
      </c>
      <c r="C6215" s="112" t="s">
        <v>449</v>
      </c>
      <c r="D6215" s="113" t="s">
        <v>130</v>
      </c>
      <c r="E6215" s="114" t="s">
        <v>15</v>
      </c>
      <c r="F6215" s="115" t="s">
        <v>39</v>
      </c>
      <c r="G6215" s="116">
        <v>14.7</v>
      </c>
      <c r="H6215" s="126">
        <v>11.7</v>
      </c>
      <c r="I6215" s="321">
        <v>12</v>
      </c>
      <c r="J6215" s="117">
        <f t="shared" si="866"/>
        <v>2.0638799999999997</v>
      </c>
      <c r="K6215" s="118"/>
      <c r="L6215" s="111">
        <f>10+2</f>
        <v>12</v>
      </c>
      <c r="M6215" s="117">
        <f t="shared" si="867"/>
        <v>2.0638799999999997</v>
      </c>
      <c r="N6215" s="119">
        <f t="shared" si="868"/>
        <v>0</v>
      </c>
      <c r="O6215" s="120">
        <f t="shared" si="869"/>
        <v>0</v>
      </c>
      <c r="P6215" s="130">
        <v>11.7</v>
      </c>
      <c r="Q6215" s="320">
        <v>10</v>
      </c>
      <c r="R6215" s="102">
        <v>11.4</v>
      </c>
      <c r="S6215" s="91">
        <v>2</v>
      </c>
      <c r="T6215" s="156" t="s">
        <v>739</v>
      </c>
    </row>
    <row r="6216" spans="1:20" ht="15.6">
      <c r="A6216" s="110" t="s">
        <v>518</v>
      </c>
      <c r="B6216" s="111" t="s">
        <v>505</v>
      </c>
      <c r="C6216" s="112" t="s">
        <v>449</v>
      </c>
      <c r="D6216" s="113" t="s">
        <v>130</v>
      </c>
      <c r="E6216" s="114" t="s">
        <v>15</v>
      </c>
      <c r="F6216" s="115" t="s">
        <v>39</v>
      </c>
      <c r="G6216" s="116">
        <v>14.7</v>
      </c>
      <c r="H6216" s="126">
        <v>11.5</v>
      </c>
      <c r="I6216" s="321">
        <v>1</v>
      </c>
      <c r="J6216" s="117">
        <f t="shared" si="866"/>
        <v>0.16904999999999998</v>
      </c>
      <c r="K6216" s="118"/>
      <c r="L6216" s="111">
        <v>1</v>
      </c>
      <c r="M6216" s="117">
        <f t="shared" si="867"/>
        <v>0.16904999999999998</v>
      </c>
      <c r="N6216" s="119">
        <f t="shared" si="868"/>
        <v>0</v>
      </c>
      <c r="O6216" s="120">
        <f t="shared" si="869"/>
        <v>0</v>
      </c>
      <c r="P6216" s="130"/>
      <c r="Q6216" s="320"/>
      <c r="R6216" s="102">
        <v>11.4</v>
      </c>
      <c r="S6216" s="91">
        <v>1</v>
      </c>
      <c r="T6216" s="156" t="s">
        <v>739</v>
      </c>
    </row>
    <row r="6217" spans="1:20" ht="15.6">
      <c r="A6217" s="110" t="s">
        <v>518</v>
      </c>
      <c r="B6217" s="111" t="s">
        <v>505</v>
      </c>
      <c r="C6217" s="112" t="s">
        <v>449</v>
      </c>
      <c r="D6217" s="113" t="s">
        <v>130</v>
      </c>
      <c r="E6217" s="114" t="s">
        <v>15</v>
      </c>
      <c r="F6217" s="115" t="s">
        <v>39</v>
      </c>
      <c r="G6217" s="116">
        <v>14.7</v>
      </c>
      <c r="H6217" s="126">
        <v>8.6</v>
      </c>
      <c r="I6217" s="321">
        <v>6</v>
      </c>
      <c r="J6217" s="117">
        <f t="shared" si="866"/>
        <v>0.75851999999999997</v>
      </c>
      <c r="K6217" s="118"/>
      <c r="L6217" s="111">
        <v>6</v>
      </c>
      <c r="M6217" s="117">
        <f t="shared" si="867"/>
        <v>0.75851999999999986</v>
      </c>
      <c r="N6217" s="119">
        <f t="shared" si="868"/>
        <v>0</v>
      </c>
      <c r="O6217" s="120">
        <f t="shared" si="869"/>
        <v>0</v>
      </c>
      <c r="P6217" s="130"/>
      <c r="Q6217" s="320"/>
      <c r="R6217" s="55"/>
      <c r="S6217" s="32"/>
      <c r="T6217" s="213"/>
    </row>
    <row r="6218" spans="1:20" ht="15.6">
      <c r="A6218" s="110" t="s">
        <v>518</v>
      </c>
      <c r="B6218" s="111" t="s">
        <v>505</v>
      </c>
      <c r="C6218" s="112" t="s">
        <v>449</v>
      </c>
      <c r="D6218" s="113" t="s">
        <v>130</v>
      </c>
      <c r="E6218" s="114" t="s">
        <v>15</v>
      </c>
      <c r="F6218" s="115" t="s">
        <v>39</v>
      </c>
      <c r="G6218" s="116">
        <v>14.7</v>
      </c>
      <c r="H6218" s="126">
        <v>12</v>
      </c>
      <c r="I6218" s="321">
        <v>18</v>
      </c>
      <c r="J6218" s="117">
        <f t="shared" si="866"/>
        <v>3.1751999999999998</v>
      </c>
      <c r="K6218" s="118"/>
      <c r="L6218" s="111">
        <v>18</v>
      </c>
      <c r="M6218" s="117">
        <f t="shared" si="867"/>
        <v>3.1751999999999998</v>
      </c>
      <c r="N6218" s="119">
        <f t="shared" si="868"/>
        <v>0</v>
      </c>
      <c r="O6218" s="120">
        <f t="shared" si="869"/>
        <v>0</v>
      </c>
      <c r="P6218" s="130"/>
      <c r="Q6218" s="320"/>
      <c r="R6218" s="55"/>
      <c r="S6218" s="32"/>
      <c r="T6218" s="213"/>
    </row>
    <row r="6219" spans="1:20" ht="15.6">
      <c r="A6219" s="110" t="s">
        <v>518</v>
      </c>
      <c r="B6219" s="111" t="s">
        <v>505</v>
      </c>
      <c r="C6219" s="112" t="s">
        <v>449</v>
      </c>
      <c r="D6219" s="113" t="s">
        <v>130</v>
      </c>
      <c r="E6219" s="114" t="s">
        <v>15</v>
      </c>
      <c r="F6219" s="115" t="s">
        <v>39</v>
      </c>
      <c r="G6219" s="116">
        <v>14.7</v>
      </c>
      <c r="H6219" s="126">
        <v>12</v>
      </c>
      <c r="I6219" s="321">
        <v>20</v>
      </c>
      <c r="J6219" s="117">
        <f t="shared" si="866"/>
        <v>3.5279999999999996</v>
      </c>
      <c r="K6219" s="118"/>
      <c r="L6219" s="111">
        <v>20</v>
      </c>
      <c r="M6219" s="117">
        <f t="shared" si="867"/>
        <v>3.528</v>
      </c>
      <c r="N6219" s="119">
        <f t="shared" si="868"/>
        <v>0</v>
      </c>
      <c r="O6219" s="120">
        <f t="shared" si="869"/>
        <v>0</v>
      </c>
      <c r="P6219" s="130"/>
      <c r="Q6219" s="320"/>
      <c r="R6219" s="55"/>
      <c r="S6219" s="32"/>
      <c r="T6219" s="213"/>
    </row>
    <row r="6220" spans="1:20" ht="15.6">
      <c r="A6220" s="110" t="s">
        <v>518</v>
      </c>
      <c r="B6220" s="111" t="s">
        <v>505</v>
      </c>
      <c r="C6220" s="112" t="s">
        <v>449</v>
      </c>
      <c r="D6220" s="113" t="s">
        <v>130</v>
      </c>
      <c r="E6220" s="114" t="s">
        <v>15</v>
      </c>
      <c r="F6220" s="115" t="s">
        <v>39</v>
      </c>
      <c r="G6220" s="116">
        <v>14.7</v>
      </c>
      <c r="H6220" s="126">
        <v>11.7</v>
      </c>
      <c r="I6220" s="321">
        <v>4</v>
      </c>
      <c r="J6220" s="117">
        <f t="shared" si="866"/>
        <v>0.6879599999999999</v>
      </c>
      <c r="K6220" s="118"/>
      <c r="L6220" s="111">
        <v>4</v>
      </c>
      <c r="M6220" s="117">
        <f t="shared" si="867"/>
        <v>0.6879599999999999</v>
      </c>
      <c r="N6220" s="119">
        <f t="shared" si="868"/>
        <v>0</v>
      </c>
      <c r="O6220" s="120">
        <f t="shared" si="869"/>
        <v>0</v>
      </c>
      <c r="P6220" s="130"/>
      <c r="Q6220" s="320"/>
      <c r="R6220" s="102">
        <v>11</v>
      </c>
      <c r="S6220" s="91">
        <v>4</v>
      </c>
      <c r="T6220" s="156" t="s">
        <v>677</v>
      </c>
    </row>
    <row r="6221" spans="1:20" ht="15.6">
      <c r="A6221" s="110" t="s">
        <v>518</v>
      </c>
      <c r="B6221" s="111" t="s">
        <v>505</v>
      </c>
      <c r="C6221" s="112" t="s">
        <v>449</v>
      </c>
      <c r="D6221" s="113" t="s">
        <v>130</v>
      </c>
      <c r="E6221" s="114" t="s">
        <v>15</v>
      </c>
      <c r="F6221" s="115" t="s">
        <v>39</v>
      </c>
      <c r="G6221" s="116">
        <v>14.7</v>
      </c>
      <c r="H6221" s="126">
        <v>11.5</v>
      </c>
      <c r="I6221" s="321">
        <v>1</v>
      </c>
      <c r="J6221" s="117">
        <f t="shared" si="866"/>
        <v>0.16904999999999998</v>
      </c>
      <c r="K6221" s="118"/>
      <c r="L6221" s="111">
        <v>1</v>
      </c>
      <c r="M6221" s="117">
        <f t="shared" si="867"/>
        <v>0.16904999999999998</v>
      </c>
      <c r="N6221" s="119">
        <f t="shared" si="868"/>
        <v>0</v>
      </c>
      <c r="O6221" s="120">
        <f t="shared" si="869"/>
        <v>0</v>
      </c>
      <c r="P6221" s="130"/>
      <c r="Q6221" s="320"/>
      <c r="R6221" s="102">
        <v>11.4</v>
      </c>
      <c r="S6221" s="91">
        <v>1</v>
      </c>
      <c r="T6221" s="156" t="s">
        <v>739</v>
      </c>
    </row>
    <row r="6222" spans="1:20" ht="15.6">
      <c r="A6222" s="110" t="s">
        <v>518</v>
      </c>
      <c r="B6222" s="111" t="s">
        <v>505</v>
      </c>
      <c r="C6222" s="112" t="s">
        <v>449</v>
      </c>
      <c r="D6222" s="113" t="s">
        <v>130</v>
      </c>
      <c r="E6222" s="114" t="s">
        <v>15</v>
      </c>
      <c r="F6222" s="115" t="s">
        <v>39</v>
      </c>
      <c r="G6222" s="116">
        <v>14.7</v>
      </c>
      <c r="H6222" s="126">
        <v>11.3</v>
      </c>
      <c r="I6222" s="321">
        <v>1</v>
      </c>
      <c r="J6222" s="117">
        <f t="shared" si="866"/>
        <v>0.16611000000000001</v>
      </c>
      <c r="K6222" s="118"/>
      <c r="L6222" s="111">
        <v>1</v>
      </c>
      <c r="M6222" s="117">
        <f t="shared" si="867"/>
        <v>0.16611000000000001</v>
      </c>
      <c r="N6222" s="119">
        <f t="shared" si="868"/>
        <v>0</v>
      </c>
      <c r="O6222" s="120">
        <f t="shared" si="869"/>
        <v>0</v>
      </c>
      <c r="P6222" s="130"/>
      <c r="Q6222" s="320"/>
      <c r="R6222" s="102">
        <v>8.5500000000000007</v>
      </c>
      <c r="S6222" s="91">
        <v>1</v>
      </c>
      <c r="T6222" s="156" t="s">
        <v>733</v>
      </c>
    </row>
    <row r="6223" spans="1:20" ht="15.6">
      <c r="A6223" s="110" t="s">
        <v>518</v>
      </c>
      <c r="B6223" s="111" t="s">
        <v>505</v>
      </c>
      <c r="C6223" s="112" t="s">
        <v>449</v>
      </c>
      <c r="D6223" s="113" t="s">
        <v>130</v>
      </c>
      <c r="E6223" s="114" t="s">
        <v>15</v>
      </c>
      <c r="F6223" s="115" t="s">
        <v>39</v>
      </c>
      <c r="G6223" s="116">
        <v>14.7</v>
      </c>
      <c r="H6223" s="126">
        <v>10</v>
      </c>
      <c r="I6223" s="321">
        <v>1</v>
      </c>
      <c r="J6223" s="117">
        <f t="shared" si="866"/>
        <v>0.14699999999999999</v>
      </c>
      <c r="K6223" s="118"/>
      <c r="L6223" s="111">
        <v>1</v>
      </c>
      <c r="M6223" s="117">
        <f t="shared" si="867"/>
        <v>0.14699999999999999</v>
      </c>
      <c r="N6223" s="119">
        <f t="shared" si="868"/>
        <v>0</v>
      </c>
      <c r="O6223" s="120">
        <f t="shared" si="869"/>
        <v>0</v>
      </c>
      <c r="P6223" s="130"/>
      <c r="Q6223" s="320"/>
      <c r="R6223" s="102">
        <v>8.5500000000000007</v>
      </c>
      <c r="S6223" s="91">
        <v>1</v>
      </c>
      <c r="T6223" s="156" t="s">
        <v>733</v>
      </c>
    </row>
    <row r="6224" spans="1:20" ht="15.6">
      <c r="A6224" s="110" t="s">
        <v>518</v>
      </c>
      <c r="B6224" s="111" t="s">
        <v>505</v>
      </c>
      <c r="C6224" s="112" t="s">
        <v>449</v>
      </c>
      <c r="D6224" s="113" t="s">
        <v>130</v>
      </c>
      <c r="E6224" s="114" t="s">
        <v>15</v>
      </c>
      <c r="F6224" s="115" t="s">
        <v>39</v>
      </c>
      <c r="G6224" s="116">
        <v>14.7</v>
      </c>
      <c r="H6224" s="126">
        <v>8.1999999999999993</v>
      </c>
      <c r="I6224" s="321">
        <v>2</v>
      </c>
      <c r="J6224" s="117">
        <f t="shared" si="866"/>
        <v>0.24107999999999996</v>
      </c>
      <c r="K6224" s="118"/>
      <c r="L6224" s="111"/>
      <c r="M6224" s="117">
        <f t="shared" si="867"/>
        <v>0</v>
      </c>
      <c r="N6224" s="119">
        <f t="shared" si="868"/>
        <v>2</v>
      </c>
      <c r="O6224" s="120">
        <f t="shared" si="869"/>
        <v>0.24107999999999996</v>
      </c>
      <c r="P6224" s="130"/>
      <c r="Q6224" s="320"/>
      <c r="R6224" s="32"/>
      <c r="S6224" s="32"/>
      <c r="T6224" s="213"/>
    </row>
    <row r="6225" spans="1:20" ht="15.6">
      <c r="A6225" s="110" t="s">
        <v>518</v>
      </c>
      <c r="B6225" s="111" t="s">
        <v>505</v>
      </c>
      <c r="C6225" s="112" t="s">
        <v>449</v>
      </c>
      <c r="D6225" s="113" t="s">
        <v>130</v>
      </c>
      <c r="E6225" s="114" t="s">
        <v>15</v>
      </c>
      <c r="F6225" s="115" t="s">
        <v>39</v>
      </c>
      <c r="G6225" s="116">
        <v>14.7</v>
      </c>
      <c r="H6225" s="126">
        <v>8.6</v>
      </c>
      <c r="I6225" s="321">
        <v>20</v>
      </c>
      <c r="J6225" s="117">
        <f t="shared" si="866"/>
        <v>2.5283999999999995</v>
      </c>
      <c r="K6225" s="118"/>
      <c r="L6225" s="111">
        <v>20</v>
      </c>
      <c r="M6225" s="117">
        <f t="shared" si="867"/>
        <v>2.5284</v>
      </c>
      <c r="N6225" s="119">
        <f t="shared" si="868"/>
        <v>0</v>
      </c>
      <c r="O6225" s="120">
        <f t="shared" si="869"/>
        <v>0</v>
      </c>
      <c r="P6225" s="130"/>
      <c r="Q6225" s="320"/>
      <c r="R6225" s="32"/>
      <c r="S6225" s="32"/>
      <c r="T6225" s="213"/>
    </row>
    <row r="6226" spans="1:20" ht="15.6">
      <c r="A6226" s="110" t="s">
        <v>518</v>
      </c>
      <c r="B6226" s="111" t="s">
        <v>505</v>
      </c>
      <c r="C6226" s="112" t="s">
        <v>449</v>
      </c>
      <c r="D6226" s="113" t="s">
        <v>130</v>
      </c>
      <c r="E6226" s="114" t="s">
        <v>15</v>
      </c>
      <c r="F6226" s="115" t="s">
        <v>39</v>
      </c>
      <c r="G6226" s="116">
        <v>14.7</v>
      </c>
      <c r="H6226" s="126">
        <v>8.6</v>
      </c>
      <c r="I6226" s="321">
        <v>21</v>
      </c>
      <c r="J6226" s="117">
        <f t="shared" si="866"/>
        <v>2.6548199999999995</v>
      </c>
      <c r="K6226" s="118"/>
      <c r="L6226" s="111">
        <v>21</v>
      </c>
      <c r="M6226" s="117">
        <f t="shared" si="867"/>
        <v>2.6548199999999995</v>
      </c>
      <c r="N6226" s="119">
        <f t="shared" si="868"/>
        <v>0</v>
      </c>
      <c r="O6226" s="120">
        <f t="shared" si="869"/>
        <v>0</v>
      </c>
      <c r="P6226" s="130"/>
      <c r="Q6226" s="320"/>
      <c r="R6226" s="32"/>
      <c r="S6226" s="32"/>
      <c r="T6226" s="213"/>
    </row>
    <row r="6227" spans="1:20" ht="15.6">
      <c r="A6227" s="110" t="s">
        <v>518</v>
      </c>
      <c r="B6227" s="111" t="s">
        <v>505</v>
      </c>
      <c r="C6227" s="112" t="s">
        <v>449</v>
      </c>
      <c r="D6227" s="113" t="s">
        <v>130</v>
      </c>
      <c r="E6227" s="114" t="s">
        <v>15</v>
      </c>
      <c r="F6227" s="115" t="s">
        <v>39</v>
      </c>
      <c r="G6227" s="116">
        <v>14.7</v>
      </c>
      <c r="H6227" s="126">
        <v>8.6</v>
      </c>
      <c r="I6227" s="321">
        <v>9</v>
      </c>
      <c r="J6227" s="117">
        <f t="shared" si="866"/>
        <v>1.13778</v>
      </c>
      <c r="K6227" s="118"/>
      <c r="L6227" s="111">
        <v>9</v>
      </c>
      <c r="M6227" s="117">
        <f t="shared" si="867"/>
        <v>1.1377799999999998</v>
      </c>
      <c r="N6227" s="119">
        <f t="shared" si="868"/>
        <v>0</v>
      </c>
      <c r="O6227" s="120">
        <f t="shared" si="869"/>
        <v>0</v>
      </c>
      <c r="P6227" s="130"/>
      <c r="Q6227" s="320"/>
      <c r="R6227" s="32"/>
      <c r="S6227" s="32"/>
      <c r="T6227" s="213"/>
    </row>
    <row r="6228" spans="1:20" ht="15.6">
      <c r="A6228" s="110" t="s">
        <v>518</v>
      </c>
      <c r="B6228" s="111" t="s">
        <v>505</v>
      </c>
      <c r="C6228" s="112" t="s">
        <v>449</v>
      </c>
      <c r="D6228" s="113" t="s">
        <v>130</v>
      </c>
      <c r="E6228" s="114" t="s">
        <v>15</v>
      </c>
      <c r="F6228" s="115" t="s">
        <v>39</v>
      </c>
      <c r="G6228" s="116">
        <v>14.7</v>
      </c>
      <c r="H6228" s="126">
        <v>7</v>
      </c>
      <c r="I6228" s="321">
        <v>1</v>
      </c>
      <c r="J6228" s="117">
        <f t="shared" si="866"/>
        <v>0.10289999999999999</v>
      </c>
      <c r="K6228" s="118"/>
      <c r="L6228" s="111">
        <v>1</v>
      </c>
      <c r="M6228" s="117">
        <f t="shared" si="867"/>
        <v>0.10289999999999999</v>
      </c>
      <c r="N6228" s="119">
        <f t="shared" si="868"/>
        <v>0</v>
      </c>
      <c r="O6228" s="120">
        <f>H6228*N6228*G6228/1000</f>
        <v>0</v>
      </c>
      <c r="P6228" s="130"/>
      <c r="Q6228" s="320"/>
      <c r="R6228" s="102">
        <v>6</v>
      </c>
      <c r="S6228" s="91">
        <v>1</v>
      </c>
      <c r="T6228" s="156" t="s">
        <v>677</v>
      </c>
    </row>
    <row r="6229" spans="1:20">
      <c r="A6229" s="213"/>
      <c r="B6229" s="213"/>
      <c r="C6229" s="213"/>
      <c r="D6229" s="213"/>
      <c r="E6229" s="213"/>
      <c r="F6229" s="213"/>
      <c r="G6229" s="213"/>
      <c r="H6229" s="213"/>
      <c r="I6229" s="215">
        <f>SUM(I6179:I6228)</f>
        <v>603</v>
      </c>
      <c r="J6229" s="214">
        <f>SUM(J6179:J6228)</f>
        <v>100.88757000000004</v>
      </c>
      <c r="K6229" s="213"/>
      <c r="L6229" s="215">
        <f>SUM(L6179:L6228)</f>
        <v>619</v>
      </c>
      <c r="M6229" s="214">
        <f>SUM(M6179:M6228)</f>
        <v>103.82169000000005</v>
      </c>
      <c r="N6229" s="78">
        <f>SUM(N6179:N6228)</f>
        <v>-16</v>
      </c>
      <c r="O6229" s="214">
        <f>SUM(O6179:O6228)</f>
        <v>-2.9341200000000001</v>
      </c>
      <c r="P6229" s="213"/>
      <c r="Q6229" s="213"/>
      <c r="R6229" s="213"/>
      <c r="S6229" s="80">
        <f>SUM(S6179:S6228)</f>
        <v>22</v>
      </c>
      <c r="T6229" s="213"/>
    </row>
    <row r="6231" spans="1:20">
      <c r="A6231" s="42" t="s">
        <v>78</v>
      </c>
      <c r="B6231" s="3" t="s">
        <v>79</v>
      </c>
      <c r="C6231" s="3">
        <v>5</v>
      </c>
      <c r="D6231" s="20" t="s">
        <v>24</v>
      </c>
      <c r="E6231" s="7" t="s">
        <v>14</v>
      </c>
      <c r="F6231" s="7" t="s">
        <v>37</v>
      </c>
      <c r="G6231" s="11">
        <v>18.149999999999999</v>
      </c>
      <c r="H6231" s="8">
        <v>11.3</v>
      </c>
      <c r="I6231" s="26">
        <v>6</v>
      </c>
      <c r="J6231" s="10">
        <v>1.2305699999999999</v>
      </c>
      <c r="K6231" s="17">
        <v>6</v>
      </c>
      <c r="L6231" s="18">
        <v>1.2305700000000002</v>
      </c>
      <c r="M6231" s="19">
        <v>0</v>
      </c>
      <c r="N6231" s="13">
        <v>0</v>
      </c>
      <c r="O6231" s="9"/>
      <c r="P6231" s="2"/>
      <c r="Q6231" s="2"/>
    </row>
    <row r="6232" spans="1:20">
      <c r="A6232" s="42" t="s">
        <v>90</v>
      </c>
      <c r="B6232" s="48" t="s">
        <v>148</v>
      </c>
      <c r="C6232" s="32">
        <v>54</v>
      </c>
      <c r="D6232" s="48" t="s">
        <v>24</v>
      </c>
      <c r="E6232" s="48" t="s">
        <v>14</v>
      </c>
      <c r="F6232" s="48" t="s">
        <v>37</v>
      </c>
      <c r="G6232" s="11">
        <v>18.149999999999999</v>
      </c>
      <c r="H6232" s="8">
        <v>11.35</v>
      </c>
      <c r="I6232" s="7">
        <v>1</v>
      </c>
      <c r="J6232" s="10">
        <v>0.20600249999999998</v>
      </c>
      <c r="K6232" s="32">
        <v>1</v>
      </c>
      <c r="L6232" s="18">
        <v>0.20600249999999998</v>
      </c>
      <c r="M6232" s="19">
        <v>0</v>
      </c>
      <c r="N6232" s="13">
        <v>0</v>
      </c>
      <c r="O6232" s="32"/>
      <c r="P6232" s="32"/>
      <c r="Q6232" s="2"/>
    </row>
    <row r="6233" spans="1:20">
      <c r="A6233" s="42" t="s">
        <v>90</v>
      </c>
      <c r="B6233" s="48" t="s">
        <v>148</v>
      </c>
      <c r="C6233" s="32">
        <v>76</v>
      </c>
      <c r="D6233" s="48" t="s">
        <v>19</v>
      </c>
      <c r="E6233" s="48" t="s">
        <v>14</v>
      </c>
      <c r="F6233" s="48" t="s">
        <v>37</v>
      </c>
      <c r="G6233" s="11">
        <v>18.149999999999999</v>
      </c>
      <c r="H6233" s="52">
        <v>7.5</v>
      </c>
      <c r="I6233" s="7">
        <v>5</v>
      </c>
      <c r="J6233" s="10">
        <v>0.68062500000000004</v>
      </c>
      <c r="K6233" s="32">
        <v>1</v>
      </c>
      <c r="L6233" s="18">
        <v>0.136125</v>
      </c>
      <c r="M6233" s="19">
        <v>4</v>
      </c>
      <c r="N6233" s="13">
        <v>0.54449999999999998</v>
      </c>
      <c r="O6233" s="94">
        <v>6</v>
      </c>
      <c r="P6233" s="93">
        <v>1</v>
      </c>
      <c r="Q6233" s="93" t="s">
        <v>790</v>
      </c>
    </row>
    <row r="6234" spans="1:20">
      <c r="A6234" s="42" t="s">
        <v>90</v>
      </c>
      <c r="B6234" s="3"/>
      <c r="C6234" s="3">
        <v>108</v>
      </c>
      <c r="D6234" s="20" t="s">
        <v>19</v>
      </c>
      <c r="E6234" s="7" t="s">
        <v>14</v>
      </c>
      <c r="F6234" s="7" t="s">
        <v>37</v>
      </c>
      <c r="G6234" s="11">
        <v>18.149999999999999</v>
      </c>
      <c r="H6234" s="8">
        <v>11.5</v>
      </c>
      <c r="I6234" s="26">
        <v>1</v>
      </c>
      <c r="J6234" s="10">
        <v>0.20872499999999999</v>
      </c>
      <c r="K6234" s="17"/>
      <c r="L6234" s="18">
        <v>0</v>
      </c>
      <c r="M6234" s="19">
        <v>1</v>
      </c>
      <c r="N6234" s="13">
        <v>0.20872499999999999</v>
      </c>
      <c r="O6234" s="9"/>
      <c r="P6234" s="2"/>
      <c r="Q6234" s="2"/>
    </row>
    <row r="6235" spans="1:20">
      <c r="A6235" s="42" t="s">
        <v>90</v>
      </c>
      <c r="B6235" s="3"/>
      <c r="C6235" s="3">
        <v>108</v>
      </c>
      <c r="D6235" s="20" t="s">
        <v>19</v>
      </c>
      <c r="E6235" s="7" t="s">
        <v>14</v>
      </c>
      <c r="F6235" s="7" t="s">
        <v>37</v>
      </c>
      <c r="G6235" s="11">
        <v>18.149999999999999</v>
      </c>
      <c r="H6235" s="8">
        <v>12</v>
      </c>
      <c r="I6235" s="26">
        <v>1</v>
      </c>
      <c r="J6235" s="10">
        <v>0.21779999999999999</v>
      </c>
      <c r="K6235" s="17"/>
      <c r="L6235" s="18">
        <v>0</v>
      </c>
      <c r="M6235" s="19">
        <v>1</v>
      </c>
      <c r="N6235" s="13">
        <v>0.21779999999999999</v>
      </c>
      <c r="O6235" s="9"/>
      <c r="P6235" s="2"/>
      <c r="Q6235" s="2"/>
    </row>
    <row r="6236" spans="1:20">
      <c r="A6236" s="42" t="s">
        <v>90</v>
      </c>
      <c r="B6236" s="3"/>
      <c r="C6236" s="3">
        <v>194</v>
      </c>
      <c r="D6236" s="12" t="s">
        <v>19</v>
      </c>
      <c r="E6236" s="7" t="s">
        <v>14</v>
      </c>
      <c r="F6236" s="7" t="s">
        <v>37</v>
      </c>
      <c r="G6236" s="11">
        <v>18.149999999999999</v>
      </c>
      <c r="H6236" s="8">
        <v>12</v>
      </c>
      <c r="I6236" s="26">
        <v>1</v>
      </c>
      <c r="J6236" s="10">
        <v>0.21779999999999999</v>
      </c>
      <c r="K6236" s="17"/>
      <c r="L6236" s="18">
        <v>0</v>
      </c>
      <c r="M6236" s="19">
        <v>1</v>
      </c>
      <c r="N6236" s="13">
        <v>0.21779999999999999</v>
      </c>
      <c r="O6236" s="9"/>
      <c r="P6236" s="2"/>
      <c r="Q6236" s="2"/>
    </row>
    <row r="6237" spans="1:20">
      <c r="A6237" s="42" t="s">
        <v>90</v>
      </c>
      <c r="B6237" s="3"/>
      <c r="C6237" s="3"/>
      <c r="D6237" s="12"/>
      <c r="E6237" s="7" t="s">
        <v>14</v>
      </c>
      <c r="F6237" s="7" t="s">
        <v>37</v>
      </c>
      <c r="G6237" s="11">
        <v>18.149999999999999</v>
      </c>
      <c r="H6237" s="8">
        <v>11.7</v>
      </c>
      <c r="I6237" s="17">
        <v>1</v>
      </c>
      <c r="J6237" s="10">
        <v>0.21235499999999996</v>
      </c>
      <c r="K6237" s="17"/>
      <c r="L6237" s="18">
        <v>0</v>
      </c>
      <c r="M6237" s="19">
        <v>1</v>
      </c>
      <c r="N6237" s="13">
        <v>0.21235499999999996</v>
      </c>
      <c r="O6237" s="9"/>
      <c r="P6237" s="2"/>
      <c r="Q6237" s="2"/>
    </row>
    <row r="6238" spans="1:20">
      <c r="A6238" s="45" t="s">
        <v>136</v>
      </c>
      <c r="B6238" s="32" t="s">
        <v>137</v>
      </c>
      <c r="C6238" s="3">
        <v>41</v>
      </c>
      <c r="D6238" s="20" t="s">
        <v>19</v>
      </c>
      <c r="E6238" s="7" t="s">
        <v>14</v>
      </c>
      <c r="F6238" s="7" t="s">
        <v>37</v>
      </c>
      <c r="G6238" s="11">
        <v>18.149999999999999</v>
      </c>
      <c r="H6238" s="33">
        <v>9.4</v>
      </c>
      <c r="I6238" s="40">
        <v>2</v>
      </c>
      <c r="J6238" s="10">
        <v>0.34121999999999997</v>
      </c>
      <c r="K6238" s="17"/>
      <c r="L6238" s="18">
        <v>0</v>
      </c>
      <c r="M6238" s="19">
        <v>2</v>
      </c>
      <c r="N6238" s="13">
        <v>0.34121999999999997</v>
      </c>
      <c r="O6238" s="32"/>
      <c r="P6238" s="32"/>
      <c r="Q6238" s="32"/>
    </row>
    <row r="6239" spans="1:20">
      <c r="A6239" s="45" t="s">
        <v>136</v>
      </c>
      <c r="B6239" s="32" t="s">
        <v>137</v>
      </c>
      <c r="C6239" s="3">
        <v>43</v>
      </c>
      <c r="D6239" s="20" t="s">
        <v>19</v>
      </c>
      <c r="E6239" s="7" t="s">
        <v>14</v>
      </c>
      <c r="F6239" s="7" t="s">
        <v>37</v>
      </c>
      <c r="G6239" s="11">
        <v>18.149999999999999</v>
      </c>
      <c r="H6239" s="33">
        <v>12</v>
      </c>
      <c r="I6239" s="40">
        <v>4</v>
      </c>
      <c r="J6239" s="10">
        <v>0.87119999999999997</v>
      </c>
      <c r="K6239" s="17">
        <v>2</v>
      </c>
      <c r="L6239" s="18">
        <v>0.43559999999999999</v>
      </c>
      <c r="M6239" s="19">
        <v>2</v>
      </c>
      <c r="N6239" s="13">
        <v>0.43559999999999999</v>
      </c>
      <c r="O6239" s="32"/>
      <c r="P6239" s="32"/>
      <c r="Q6239" s="32"/>
    </row>
    <row r="6240" spans="1:20">
      <c r="A6240" s="45" t="s">
        <v>136</v>
      </c>
      <c r="B6240" s="32" t="s">
        <v>137</v>
      </c>
      <c r="C6240" s="3">
        <v>43</v>
      </c>
      <c r="D6240" s="20" t="s">
        <v>19</v>
      </c>
      <c r="E6240" s="7" t="s">
        <v>14</v>
      </c>
      <c r="F6240" s="7" t="s">
        <v>37</v>
      </c>
      <c r="G6240" s="11">
        <v>18.149999999999999</v>
      </c>
      <c r="H6240" s="33">
        <v>9.4</v>
      </c>
      <c r="I6240" s="40">
        <v>1</v>
      </c>
      <c r="J6240" s="10">
        <v>0.17060999999999998</v>
      </c>
      <c r="K6240" s="17"/>
      <c r="L6240" s="18">
        <v>0</v>
      </c>
      <c r="M6240" s="19">
        <v>1</v>
      </c>
      <c r="N6240" s="13">
        <v>0.17060999999999998</v>
      </c>
      <c r="O6240" s="32"/>
      <c r="P6240" s="32"/>
      <c r="Q6240" s="32"/>
    </row>
    <row r="6241" spans="1:17">
      <c r="A6241" s="45" t="s">
        <v>136</v>
      </c>
      <c r="B6241" s="48" t="s">
        <v>171</v>
      </c>
      <c r="C6241" s="32">
        <v>107</v>
      </c>
      <c r="D6241" s="48" t="s">
        <v>19</v>
      </c>
      <c r="E6241" s="48" t="s">
        <v>14</v>
      </c>
      <c r="F6241" s="48" t="s">
        <v>37</v>
      </c>
      <c r="G6241" s="11">
        <v>18.149999999999999</v>
      </c>
      <c r="H6241" s="52">
        <v>11.6</v>
      </c>
      <c r="I6241" s="7">
        <v>1</v>
      </c>
      <c r="J6241" s="10">
        <v>0.21053999999999998</v>
      </c>
      <c r="K6241" s="32"/>
      <c r="L6241" s="18">
        <v>0</v>
      </c>
      <c r="M6241" s="19">
        <v>1</v>
      </c>
      <c r="N6241" s="13">
        <v>0.21053999999999998</v>
      </c>
      <c r="O6241" s="32"/>
      <c r="P6241" s="32"/>
      <c r="Q6241" s="32"/>
    </row>
    <row r="6242" spans="1:17">
      <c r="A6242" s="45" t="s">
        <v>136</v>
      </c>
      <c r="B6242" s="48" t="s">
        <v>171</v>
      </c>
      <c r="C6242" s="32">
        <v>107</v>
      </c>
      <c r="D6242" s="48" t="s">
        <v>19</v>
      </c>
      <c r="E6242" s="48" t="s">
        <v>14</v>
      </c>
      <c r="F6242" s="48" t="s">
        <v>37</v>
      </c>
      <c r="G6242" s="11">
        <v>18.149999999999999</v>
      </c>
      <c r="H6242" s="52">
        <v>12</v>
      </c>
      <c r="I6242" s="7">
        <v>10</v>
      </c>
      <c r="J6242" s="10">
        <v>2.1779999999999999</v>
      </c>
      <c r="K6242" s="32"/>
      <c r="L6242" s="18">
        <v>0</v>
      </c>
      <c r="M6242" s="19">
        <v>10</v>
      </c>
      <c r="N6242" s="13">
        <v>2.1779999999999999</v>
      </c>
      <c r="O6242" s="32"/>
      <c r="P6242" s="32"/>
      <c r="Q6242" s="32"/>
    </row>
    <row r="6243" spans="1:17">
      <c r="M6243" s="215">
        <f>SUM(M6231:M6242)</f>
        <v>24</v>
      </c>
      <c r="P6243" s="215">
        <f>SUM(P6231:P6242)</f>
        <v>1</v>
      </c>
    </row>
    <row r="6246" spans="1:17">
      <c r="A6246" s="42" t="s">
        <v>77</v>
      </c>
      <c r="B6246" s="3" t="s">
        <v>68</v>
      </c>
      <c r="C6246" s="3">
        <v>203</v>
      </c>
      <c r="D6246" s="20" t="s">
        <v>24</v>
      </c>
      <c r="E6246" s="7" t="s">
        <v>14</v>
      </c>
      <c r="F6246" s="7" t="s">
        <v>39</v>
      </c>
      <c r="G6246" s="11">
        <v>14.66</v>
      </c>
      <c r="H6246" s="8">
        <v>8.1</v>
      </c>
      <c r="I6246" s="26">
        <v>1</v>
      </c>
      <c r="J6246" s="10">
        <v>0.11874599999999999</v>
      </c>
      <c r="K6246" s="17">
        <v>1</v>
      </c>
      <c r="L6246" s="18">
        <v>0.11874599999999999</v>
      </c>
      <c r="M6246" s="19">
        <v>0</v>
      </c>
      <c r="N6246" s="13">
        <v>0</v>
      </c>
      <c r="O6246" s="9"/>
      <c r="P6246" s="90">
        <v>1</v>
      </c>
      <c r="Q6246" s="90" t="s">
        <v>642</v>
      </c>
    </row>
    <row r="6247" spans="1:17">
      <c r="A6247" s="42" t="s">
        <v>77</v>
      </c>
      <c r="B6247" s="3" t="s">
        <v>68</v>
      </c>
      <c r="C6247" s="3">
        <v>227</v>
      </c>
      <c r="D6247" s="12" t="s">
        <v>19</v>
      </c>
      <c r="E6247" s="7" t="s">
        <v>14</v>
      </c>
      <c r="F6247" s="7" t="s">
        <v>39</v>
      </c>
      <c r="G6247" s="11">
        <v>14.66</v>
      </c>
      <c r="H6247" s="8">
        <v>8.1</v>
      </c>
      <c r="I6247" s="26">
        <v>2</v>
      </c>
      <c r="J6247" s="10">
        <v>0.23749199999999998</v>
      </c>
      <c r="K6247" s="17">
        <v>2</v>
      </c>
      <c r="L6247" s="18">
        <v>0.23749199999999998</v>
      </c>
      <c r="M6247" s="19">
        <v>0</v>
      </c>
      <c r="N6247" s="13">
        <v>0</v>
      </c>
      <c r="O6247" s="9"/>
      <c r="P6247" s="90">
        <v>2</v>
      </c>
      <c r="Q6247" s="90" t="s">
        <v>642</v>
      </c>
    </row>
    <row r="6248" spans="1:17">
      <c r="A6248" s="48" t="s">
        <v>168</v>
      </c>
      <c r="B6248" s="48" t="s">
        <v>169</v>
      </c>
      <c r="C6248" s="32">
        <v>6</v>
      </c>
      <c r="D6248" s="48" t="s">
        <v>19</v>
      </c>
      <c r="E6248" s="48" t="s">
        <v>14</v>
      </c>
      <c r="F6248" s="48" t="s">
        <v>39</v>
      </c>
      <c r="G6248" s="11">
        <v>14.66</v>
      </c>
      <c r="H6248" s="8">
        <v>8.6999999999999993</v>
      </c>
      <c r="I6248" s="7">
        <v>1</v>
      </c>
      <c r="J6248" s="10">
        <v>0.12754199999999999</v>
      </c>
      <c r="K6248" s="32">
        <v>1</v>
      </c>
      <c r="L6248" s="18">
        <v>0.12754199999999999</v>
      </c>
      <c r="M6248" s="19">
        <v>0</v>
      </c>
      <c r="N6248" s="13">
        <v>0</v>
      </c>
      <c r="O6248" s="32"/>
      <c r="P6248" s="91">
        <v>1</v>
      </c>
      <c r="Q6248" s="91" t="s">
        <v>631</v>
      </c>
    </row>
    <row r="6249" spans="1:17">
      <c r="A6249" s="42" t="s">
        <v>90</v>
      </c>
      <c r="B6249" s="48" t="s">
        <v>148</v>
      </c>
      <c r="C6249" s="32">
        <v>88</v>
      </c>
      <c r="D6249" s="48" t="s">
        <v>24</v>
      </c>
      <c r="E6249" s="48" t="s">
        <v>14</v>
      </c>
      <c r="F6249" s="48" t="s">
        <v>39</v>
      </c>
      <c r="G6249" s="11">
        <v>14.66</v>
      </c>
      <c r="H6249" s="8">
        <v>7</v>
      </c>
      <c r="I6249" s="7">
        <v>2</v>
      </c>
      <c r="J6249" s="10">
        <v>0.20524000000000001</v>
      </c>
      <c r="K6249" s="32">
        <v>2</v>
      </c>
      <c r="L6249" s="18">
        <v>0.20524000000000001</v>
      </c>
      <c r="M6249" s="19">
        <v>0</v>
      </c>
      <c r="N6249" s="13">
        <v>0</v>
      </c>
      <c r="O6249" s="32"/>
      <c r="P6249" s="91">
        <v>2</v>
      </c>
      <c r="Q6249" s="91" t="s">
        <v>631</v>
      </c>
    </row>
    <row r="6250" spans="1:17">
      <c r="A6250" s="42" t="s">
        <v>90</v>
      </c>
      <c r="B6250" s="48" t="s">
        <v>148</v>
      </c>
      <c r="C6250" s="32">
        <v>88</v>
      </c>
      <c r="D6250" s="48" t="s">
        <v>24</v>
      </c>
      <c r="E6250" s="48" t="s">
        <v>14</v>
      </c>
      <c r="F6250" s="48" t="s">
        <v>39</v>
      </c>
      <c r="G6250" s="11">
        <v>14.66</v>
      </c>
      <c r="H6250" s="8">
        <v>7.4</v>
      </c>
      <c r="I6250" s="7">
        <v>1</v>
      </c>
      <c r="J6250" s="10">
        <v>0.10848400000000001</v>
      </c>
      <c r="K6250" s="32">
        <v>1</v>
      </c>
      <c r="L6250" s="18">
        <v>0.10848400000000001</v>
      </c>
      <c r="M6250" s="19">
        <v>0</v>
      </c>
      <c r="N6250" s="13">
        <v>0</v>
      </c>
      <c r="O6250" s="32"/>
      <c r="P6250" s="91">
        <v>1</v>
      </c>
      <c r="Q6250" s="91" t="s">
        <v>631</v>
      </c>
    </row>
    <row r="6251" spans="1:17">
      <c r="A6251" s="42" t="s">
        <v>90</v>
      </c>
      <c r="B6251" s="3"/>
      <c r="C6251" s="3">
        <v>124</v>
      </c>
      <c r="D6251" s="20" t="s">
        <v>19</v>
      </c>
      <c r="E6251" s="7" t="s">
        <v>14</v>
      </c>
      <c r="F6251" s="7" t="s">
        <v>39</v>
      </c>
      <c r="G6251" s="11">
        <v>14.66</v>
      </c>
      <c r="H6251" s="8">
        <v>6.5</v>
      </c>
      <c r="I6251" s="26">
        <v>2</v>
      </c>
      <c r="J6251" s="10">
        <v>0.19058</v>
      </c>
      <c r="K6251" s="17">
        <v>2</v>
      </c>
      <c r="L6251" s="18">
        <v>0.19058</v>
      </c>
      <c r="M6251" s="19">
        <v>0</v>
      </c>
      <c r="N6251" s="13">
        <v>0</v>
      </c>
      <c r="O6251" s="9"/>
      <c r="P6251" s="90">
        <v>2</v>
      </c>
      <c r="Q6251" s="90" t="s">
        <v>642</v>
      </c>
    </row>
    <row r="6252" spans="1:17">
      <c r="A6252" s="42" t="s">
        <v>90</v>
      </c>
      <c r="B6252" s="3"/>
      <c r="C6252" s="3">
        <v>124</v>
      </c>
      <c r="D6252" s="20" t="s">
        <v>19</v>
      </c>
      <c r="E6252" s="7" t="s">
        <v>14</v>
      </c>
      <c r="F6252" s="7" t="s">
        <v>39</v>
      </c>
      <c r="G6252" s="11">
        <v>14.66</v>
      </c>
      <c r="H6252" s="8">
        <v>7</v>
      </c>
      <c r="I6252" s="26">
        <v>1</v>
      </c>
      <c r="J6252" s="10">
        <v>0.10262</v>
      </c>
      <c r="K6252" s="17">
        <v>1</v>
      </c>
      <c r="L6252" s="18">
        <v>0.10262</v>
      </c>
      <c r="M6252" s="19">
        <v>0</v>
      </c>
      <c r="N6252" s="13">
        <v>0</v>
      </c>
      <c r="O6252" s="9"/>
      <c r="P6252" s="90">
        <v>1</v>
      </c>
      <c r="Q6252" s="90" t="s">
        <v>642</v>
      </c>
    </row>
    <row r="6253" spans="1:17">
      <c r="A6253" s="42" t="s">
        <v>90</v>
      </c>
      <c r="B6253" s="3"/>
      <c r="C6253" s="3">
        <v>124</v>
      </c>
      <c r="D6253" s="20" t="s">
        <v>19</v>
      </c>
      <c r="E6253" s="7" t="s">
        <v>14</v>
      </c>
      <c r="F6253" s="7" t="s">
        <v>39</v>
      </c>
      <c r="G6253" s="11">
        <v>14.66</v>
      </c>
      <c r="H6253" s="8">
        <v>6.6</v>
      </c>
      <c r="I6253" s="26">
        <v>1</v>
      </c>
      <c r="J6253" s="10">
        <v>9.6755999999999995E-2</v>
      </c>
      <c r="K6253" s="17">
        <v>1</v>
      </c>
      <c r="L6253" s="18">
        <v>9.6755999999999995E-2</v>
      </c>
      <c r="M6253" s="19">
        <v>0</v>
      </c>
      <c r="N6253" s="13">
        <v>0</v>
      </c>
      <c r="O6253" s="9"/>
      <c r="P6253" s="90">
        <v>1</v>
      </c>
      <c r="Q6253" s="90" t="s">
        <v>642</v>
      </c>
    </row>
    <row r="6254" spans="1:17">
      <c r="A6254" s="42" t="s">
        <v>90</v>
      </c>
      <c r="B6254" s="3"/>
      <c r="C6254" s="3">
        <v>124</v>
      </c>
      <c r="D6254" s="20" t="s">
        <v>19</v>
      </c>
      <c r="E6254" s="7" t="s">
        <v>14</v>
      </c>
      <c r="F6254" s="7" t="s">
        <v>39</v>
      </c>
      <c r="G6254" s="11">
        <v>14.66</v>
      </c>
      <c r="H6254" s="8">
        <v>8</v>
      </c>
      <c r="I6254" s="26">
        <v>3</v>
      </c>
      <c r="J6254" s="10">
        <v>0.35184000000000004</v>
      </c>
      <c r="K6254" s="17">
        <v>3</v>
      </c>
      <c r="L6254" s="18">
        <v>0.35184000000000004</v>
      </c>
      <c r="M6254" s="19">
        <v>0</v>
      </c>
      <c r="N6254" s="13">
        <v>0</v>
      </c>
      <c r="O6254" s="9"/>
      <c r="P6254" s="90">
        <v>3</v>
      </c>
      <c r="Q6254" s="90" t="s">
        <v>642</v>
      </c>
    </row>
    <row r="6255" spans="1:17">
      <c r="A6255" s="47" t="s">
        <v>147</v>
      </c>
      <c r="B6255" s="48" t="s">
        <v>148</v>
      </c>
      <c r="C6255" s="32">
        <v>367</v>
      </c>
      <c r="D6255" s="48" t="s">
        <v>19</v>
      </c>
      <c r="E6255" s="48" t="s">
        <v>14</v>
      </c>
      <c r="F6255" s="48" t="s">
        <v>39</v>
      </c>
      <c r="G6255" s="11">
        <v>14.66</v>
      </c>
      <c r="H6255" s="8">
        <v>8.4</v>
      </c>
      <c r="I6255" s="7">
        <v>10</v>
      </c>
      <c r="J6255" s="10">
        <v>1.2314400000000001</v>
      </c>
      <c r="K6255" s="17">
        <v>10</v>
      </c>
      <c r="L6255" s="18">
        <v>1.2314400000000001</v>
      </c>
      <c r="M6255" s="19">
        <v>0</v>
      </c>
      <c r="N6255" s="13">
        <v>0</v>
      </c>
      <c r="O6255" s="32"/>
      <c r="P6255" s="90">
        <v>10</v>
      </c>
      <c r="Q6255" s="90" t="s">
        <v>642</v>
      </c>
    </row>
    <row r="6256" spans="1:17">
      <c r="A6256" s="47" t="s">
        <v>147</v>
      </c>
      <c r="B6256" s="48" t="s">
        <v>148</v>
      </c>
      <c r="C6256" s="32">
        <v>290</v>
      </c>
      <c r="D6256" s="48" t="s">
        <v>19</v>
      </c>
      <c r="E6256" s="48" t="s">
        <v>14</v>
      </c>
      <c r="F6256" s="48" t="s">
        <v>39</v>
      </c>
      <c r="G6256" s="11">
        <v>14.66</v>
      </c>
      <c r="H6256" s="8">
        <v>7.4</v>
      </c>
      <c r="I6256" s="7">
        <v>1</v>
      </c>
      <c r="J6256" s="10">
        <v>0.10848400000000001</v>
      </c>
      <c r="K6256" s="32">
        <v>1</v>
      </c>
      <c r="L6256" s="18">
        <v>0.10848400000000001</v>
      </c>
      <c r="M6256" s="19">
        <v>0</v>
      </c>
      <c r="N6256" s="13">
        <v>0</v>
      </c>
      <c r="O6256" s="32"/>
      <c r="P6256" s="91">
        <v>1</v>
      </c>
      <c r="Q6256" s="91" t="s">
        <v>631</v>
      </c>
    </row>
    <row r="6257" spans="1:19">
      <c r="A6257" s="45" t="s">
        <v>136</v>
      </c>
      <c r="B6257" s="32" t="s">
        <v>137</v>
      </c>
      <c r="C6257" s="3">
        <v>87</v>
      </c>
      <c r="D6257" s="20" t="s">
        <v>19</v>
      </c>
      <c r="E6257" s="7" t="s">
        <v>14</v>
      </c>
      <c r="F6257" s="7" t="s">
        <v>39</v>
      </c>
      <c r="G6257" s="11">
        <v>14.66</v>
      </c>
      <c r="H6257" s="55">
        <v>6.5</v>
      </c>
      <c r="I6257" s="40">
        <v>1</v>
      </c>
      <c r="J6257" s="10">
        <v>9.529E-2</v>
      </c>
      <c r="K6257" s="17">
        <v>1</v>
      </c>
      <c r="L6257" s="18">
        <v>9.529E-2</v>
      </c>
      <c r="M6257" s="19">
        <v>0</v>
      </c>
      <c r="N6257" s="13">
        <v>0</v>
      </c>
      <c r="O6257" s="32"/>
      <c r="P6257" s="91">
        <v>1</v>
      </c>
      <c r="Q6257" s="91" t="s">
        <v>631</v>
      </c>
    </row>
    <row r="6258" spans="1:19">
      <c r="A6258" s="45" t="s">
        <v>136</v>
      </c>
      <c r="B6258" s="32" t="s">
        <v>137</v>
      </c>
      <c r="C6258" s="3">
        <v>87</v>
      </c>
      <c r="D6258" s="20" t="s">
        <v>19</v>
      </c>
      <c r="E6258" s="7" t="s">
        <v>14</v>
      </c>
      <c r="F6258" s="7" t="s">
        <v>39</v>
      </c>
      <c r="G6258" s="11">
        <v>14.66</v>
      </c>
      <c r="H6258" s="55">
        <v>6.7</v>
      </c>
      <c r="I6258" s="40">
        <v>1</v>
      </c>
      <c r="J6258" s="10">
        <v>9.8222000000000004E-2</v>
      </c>
      <c r="K6258" s="17">
        <v>1</v>
      </c>
      <c r="L6258" s="18">
        <v>9.8222000000000004E-2</v>
      </c>
      <c r="M6258" s="19">
        <v>0</v>
      </c>
      <c r="N6258" s="13">
        <v>0</v>
      </c>
      <c r="O6258" s="32"/>
      <c r="P6258" s="91">
        <v>1</v>
      </c>
      <c r="Q6258" s="91" t="s">
        <v>631</v>
      </c>
    </row>
    <row r="6259" spans="1:19">
      <c r="A6259" s="45" t="s">
        <v>136</v>
      </c>
      <c r="B6259" s="32" t="s">
        <v>137</v>
      </c>
      <c r="C6259" s="3">
        <v>87</v>
      </c>
      <c r="D6259" s="20" t="s">
        <v>19</v>
      </c>
      <c r="E6259" s="7" t="s">
        <v>14</v>
      </c>
      <c r="F6259" s="7" t="s">
        <v>39</v>
      </c>
      <c r="G6259" s="11">
        <v>14.66</v>
      </c>
      <c r="H6259" s="55">
        <v>7.2</v>
      </c>
      <c r="I6259" s="40">
        <v>1</v>
      </c>
      <c r="J6259" s="10">
        <v>0.10555200000000001</v>
      </c>
      <c r="K6259" s="17">
        <v>1</v>
      </c>
      <c r="L6259" s="18">
        <v>0.10555200000000001</v>
      </c>
      <c r="M6259" s="19">
        <v>0</v>
      </c>
      <c r="N6259" s="13">
        <v>0</v>
      </c>
      <c r="O6259" s="32"/>
      <c r="P6259" s="91">
        <v>1</v>
      </c>
      <c r="Q6259" s="91" t="s">
        <v>631</v>
      </c>
    </row>
    <row r="6260" spans="1:19">
      <c r="A6260" s="45" t="s">
        <v>136</v>
      </c>
      <c r="B6260" s="32" t="s">
        <v>137</v>
      </c>
      <c r="C6260" s="3">
        <v>87</v>
      </c>
      <c r="D6260" s="20" t="s">
        <v>19</v>
      </c>
      <c r="E6260" s="7" t="s">
        <v>14</v>
      </c>
      <c r="F6260" s="7" t="s">
        <v>39</v>
      </c>
      <c r="G6260" s="11">
        <v>14.66</v>
      </c>
      <c r="H6260" s="55">
        <v>8.4</v>
      </c>
      <c r="I6260" s="40">
        <v>1</v>
      </c>
      <c r="J6260" s="10">
        <v>0.123144</v>
      </c>
      <c r="K6260" s="17">
        <v>1</v>
      </c>
      <c r="L6260" s="18">
        <v>0.123144</v>
      </c>
      <c r="M6260" s="19">
        <v>0</v>
      </c>
      <c r="N6260" s="13">
        <v>0</v>
      </c>
      <c r="O6260" s="32"/>
      <c r="P6260" s="91">
        <v>1</v>
      </c>
      <c r="Q6260" s="91" t="s">
        <v>631</v>
      </c>
    </row>
    <row r="6261" spans="1:19">
      <c r="A6261" s="45" t="s">
        <v>136</v>
      </c>
      <c r="B6261" s="32" t="s">
        <v>137</v>
      </c>
      <c r="C6261" s="3">
        <v>88</v>
      </c>
      <c r="D6261" s="20" t="s">
        <v>19</v>
      </c>
      <c r="E6261" s="7" t="s">
        <v>14</v>
      </c>
      <c r="F6261" s="7" t="s">
        <v>39</v>
      </c>
      <c r="G6261" s="11">
        <v>14.66</v>
      </c>
      <c r="H6261" s="55">
        <v>6.4</v>
      </c>
      <c r="I6261" s="40">
        <v>1</v>
      </c>
      <c r="J6261" s="10">
        <v>9.3824000000000018E-2</v>
      </c>
      <c r="K6261" s="17">
        <v>1</v>
      </c>
      <c r="L6261" s="18">
        <v>9.3824000000000018E-2</v>
      </c>
      <c r="M6261" s="19">
        <v>0</v>
      </c>
      <c r="N6261" s="13">
        <v>0</v>
      </c>
      <c r="O6261" s="32"/>
      <c r="P6261" s="91">
        <v>1</v>
      </c>
      <c r="Q6261" s="91" t="s">
        <v>631</v>
      </c>
    </row>
    <row r="6262" spans="1:19">
      <c r="A6262" s="45" t="s">
        <v>136</v>
      </c>
      <c r="B6262" s="32" t="s">
        <v>137</v>
      </c>
      <c r="C6262" s="3">
        <v>88</v>
      </c>
      <c r="D6262" s="20" t="s">
        <v>19</v>
      </c>
      <c r="E6262" s="7" t="s">
        <v>14</v>
      </c>
      <c r="F6262" s="7" t="s">
        <v>39</v>
      </c>
      <c r="G6262" s="11">
        <v>14.66</v>
      </c>
      <c r="H6262" s="55">
        <v>7.7</v>
      </c>
      <c r="I6262" s="40">
        <v>1</v>
      </c>
      <c r="J6262" s="10">
        <v>0.11288200000000001</v>
      </c>
      <c r="K6262" s="17">
        <v>1</v>
      </c>
      <c r="L6262" s="18">
        <v>0.11288200000000001</v>
      </c>
      <c r="M6262" s="19">
        <v>0</v>
      </c>
      <c r="N6262" s="13">
        <v>0</v>
      </c>
      <c r="O6262" s="32"/>
      <c r="P6262" s="91">
        <v>1</v>
      </c>
      <c r="Q6262" s="91" t="s">
        <v>631</v>
      </c>
    </row>
    <row r="6263" spans="1:19">
      <c r="A6263" s="45" t="s">
        <v>136</v>
      </c>
      <c r="B6263" s="32" t="s">
        <v>137</v>
      </c>
      <c r="C6263" s="3">
        <v>88</v>
      </c>
      <c r="D6263" s="20" t="s">
        <v>19</v>
      </c>
      <c r="E6263" s="7" t="s">
        <v>14</v>
      </c>
      <c r="F6263" s="7" t="s">
        <v>39</v>
      </c>
      <c r="G6263" s="11">
        <v>14.66</v>
      </c>
      <c r="H6263" s="55">
        <v>8</v>
      </c>
      <c r="I6263" s="40">
        <v>2</v>
      </c>
      <c r="J6263" s="10">
        <v>0.23455999999999999</v>
      </c>
      <c r="K6263" s="17">
        <v>2</v>
      </c>
      <c r="L6263" s="18">
        <v>0.23455999999999999</v>
      </c>
      <c r="M6263" s="19">
        <v>0</v>
      </c>
      <c r="N6263" s="13">
        <v>0</v>
      </c>
      <c r="O6263" s="32"/>
      <c r="P6263" s="91">
        <v>2</v>
      </c>
      <c r="Q6263" s="91" t="s">
        <v>631</v>
      </c>
    </row>
    <row r="6264" spans="1:19">
      <c r="A6264" s="45" t="s">
        <v>136</v>
      </c>
      <c r="B6264" s="32" t="s">
        <v>137</v>
      </c>
      <c r="C6264" s="3">
        <v>88</v>
      </c>
      <c r="D6264" s="20" t="s">
        <v>19</v>
      </c>
      <c r="E6264" s="7" t="s">
        <v>14</v>
      </c>
      <c r="F6264" s="7" t="s">
        <v>39</v>
      </c>
      <c r="G6264" s="11">
        <v>14.66</v>
      </c>
      <c r="H6264" s="55">
        <v>8.1</v>
      </c>
      <c r="I6264" s="40">
        <v>1</v>
      </c>
      <c r="J6264" s="10">
        <v>0.11874599999999999</v>
      </c>
      <c r="K6264" s="17">
        <v>1</v>
      </c>
      <c r="L6264" s="18">
        <v>0.11874599999999999</v>
      </c>
      <c r="M6264" s="19">
        <v>0</v>
      </c>
      <c r="N6264" s="13">
        <v>0</v>
      </c>
      <c r="O6264" s="32"/>
      <c r="P6264" s="91">
        <v>1</v>
      </c>
      <c r="Q6264" s="91" t="s">
        <v>631</v>
      </c>
    </row>
    <row r="6265" spans="1:19">
      <c r="A6265" s="45" t="s">
        <v>136</v>
      </c>
      <c r="B6265" s="32" t="s">
        <v>137</v>
      </c>
      <c r="C6265" s="3">
        <v>89</v>
      </c>
      <c r="D6265" s="20" t="s">
        <v>19</v>
      </c>
      <c r="E6265" s="7" t="s">
        <v>14</v>
      </c>
      <c r="F6265" s="7" t="s">
        <v>39</v>
      </c>
      <c r="G6265" s="11">
        <v>14.66</v>
      </c>
      <c r="H6265" s="55">
        <v>8.8000000000000007</v>
      </c>
      <c r="I6265" s="40">
        <v>3</v>
      </c>
      <c r="J6265" s="10">
        <v>0.38702399999999998</v>
      </c>
      <c r="K6265" s="17">
        <v>3</v>
      </c>
      <c r="L6265" s="18">
        <v>0.38702400000000003</v>
      </c>
      <c r="M6265" s="19">
        <v>0</v>
      </c>
      <c r="N6265" s="13">
        <v>0</v>
      </c>
      <c r="O6265" s="32"/>
      <c r="P6265" s="91">
        <v>3</v>
      </c>
      <c r="Q6265" s="91" t="s">
        <v>631</v>
      </c>
    </row>
    <row r="6266" spans="1:19">
      <c r="P6266" s="76">
        <f>SUM(P6246:P6265)</f>
        <v>37</v>
      </c>
    </row>
    <row r="6268" spans="1:19" ht="15.6">
      <c r="A6268" s="110" t="s">
        <v>644</v>
      </c>
      <c r="B6268" s="111" t="s">
        <v>232</v>
      </c>
      <c r="C6268" s="112" t="s">
        <v>449</v>
      </c>
      <c r="D6268" s="113" t="s">
        <v>19</v>
      </c>
      <c r="E6268" s="114" t="s">
        <v>14</v>
      </c>
      <c r="F6268" s="115" t="s">
        <v>39</v>
      </c>
      <c r="G6268" s="116">
        <v>14.7</v>
      </c>
      <c r="H6268" s="125">
        <v>9.1</v>
      </c>
      <c r="I6268" s="111">
        <v>23</v>
      </c>
      <c r="J6268" s="117">
        <f t="shared" ref="J6268:J6275" si="870">H6268*G6268*I6268/1000</f>
        <v>3.0767099999999994</v>
      </c>
      <c r="K6268" s="118"/>
      <c r="L6268" s="111">
        <v>23</v>
      </c>
      <c r="M6268" s="117">
        <f t="shared" ref="M6268:M6275" si="871">H6268*L6268*G6268/1000</f>
        <v>3.0767099999999994</v>
      </c>
      <c r="N6268" s="119">
        <f t="shared" ref="N6268:N6275" si="872">I6268-L6268</f>
        <v>0</v>
      </c>
      <c r="O6268" s="120">
        <f t="shared" ref="O6268:O6275" si="873">H6268*N6268*G6268/1000</f>
        <v>0</v>
      </c>
      <c r="P6268" s="130"/>
      <c r="Q6268" s="320"/>
      <c r="R6268" s="32"/>
      <c r="S6268" s="32"/>
    </row>
    <row r="6269" spans="1:19" ht="15.6">
      <c r="A6269" s="110" t="s">
        <v>644</v>
      </c>
      <c r="B6269" s="111" t="s">
        <v>232</v>
      </c>
      <c r="C6269" s="112" t="s">
        <v>449</v>
      </c>
      <c r="D6269" s="113" t="s">
        <v>19</v>
      </c>
      <c r="E6269" s="114" t="s">
        <v>14</v>
      </c>
      <c r="F6269" s="115" t="s">
        <v>39</v>
      </c>
      <c r="G6269" s="116">
        <v>14.7</v>
      </c>
      <c r="H6269" s="125">
        <v>9.1</v>
      </c>
      <c r="I6269" s="111">
        <v>23</v>
      </c>
      <c r="J6269" s="117">
        <f t="shared" si="870"/>
        <v>3.0767099999999994</v>
      </c>
      <c r="K6269" s="118"/>
      <c r="L6269" s="111">
        <v>23</v>
      </c>
      <c r="M6269" s="117">
        <f t="shared" si="871"/>
        <v>3.0767099999999994</v>
      </c>
      <c r="N6269" s="119">
        <f t="shared" si="872"/>
        <v>0</v>
      </c>
      <c r="O6269" s="120">
        <f t="shared" si="873"/>
        <v>0</v>
      </c>
      <c r="P6269" s="130"/>
      <c r="Q6269" s="320"/>
      <c r="R6269" s="32"/>
      <c r="S6269" s="32"/>
    </row>
    <row r="6270" spans="1:19" ht="15.6">
      <c r="A6270" s="110" t="s">
        <v>644</v>
      </c>
      <c r="B6270" s="111" t="s">
        <v>232</v>
      </c>
      <c r="C6270" s="112" t="s">
        <v>449</v>
      </c>
      <c r="D6270" s="113" t="s">
        <v>19</v>
      </c>
      <c r="E6270" s="114" t="s">
        <v>14</v>
      </c>
      <c r="F6270" s="115" t="s">
        <v>39</v>
      </c>
      <c r="G6270" s="116">
        <v>14.7</v>
      </c>
      <c r="H6270" s="125">
        <v>9.1</v>
      </c>
      <c r="I6270" s="111">
        <v>23</v>
      </c>
      <c r="J6270" s="117">
        <f t="shared" si="870"/>
        <v>3.0767099999999994</v>
      </c>
      <c r="K6270" s="118"/>
      <c r="L6270" s="111">
        <v>23</v>
      </c>
      <c r="M6270" s="117">
        <f t="shared" si="871"/>
        <v>3.0767099999999994</v>
      </c>
      <c r="N6270" s="119">
        <f t="shared" si="872"/>
        <v>0</v>
      </c>
      <c r="O6270" s="120">
        <f t="shared" si="873"/>
        <v>0</v>
      </c>
      <c r="P6270" s="130"/>
      <c r="Q6270" s="320"/>
      <c r="R6270" s="32"/>
      <c r="S6270" s="32"/>
    </row>
    <row r="6271" spans="1:19" ht="15.6">
      <c r="A6271" s="110" t="s">
        <v>644</v>
      </c>
      <c r="B6271" s="111" t="s">
        <v>232</v>
      </c>
      <c r="C6271" s="112" t="s">
        <v>449</v>
      </c>
      <c r="D6271" s="113" t="s">
        <v>19</v>
      </c>
      <c r="E6271" s="114" t="s">
        <v>14</v>
      </c>
      <c r="F6271" s="115" t="s">
        <v>39</v>
      </c>
      <c r="G6271" s="116">
        <v>14.7</v>
      </c>
      <c r="H6271" s="125">
        <v>9.1</v>
      </c>
      <c r="I6271" s="111">
        <v>6</v>
      </c>
      <c r="J6271" s="117">
        <f t="shared" si="870"/>
        <v>0.80261999999999989</v>
      </c>
      <c r="K6271" s="118"/>
      <c r="L6271" s="111">
        <v>6</v>
      </c>
      <c r="M6271" s="117">
        <f t="shared" si="871"/>
        <v>0.80261999999999989</v>
      </c>
      <c r="N6271" s="119">
        <f t="shared" si="872"/>
        <v>0</v>
      </c>
      <c r="O6271" s="120">
        <f t="shared" si="873"/>
        <v>0</v>
      </c>
      <c r="P6271" s="130"/>
      <c r="Q6271" s="320"/>
      <c r="R6271" s="32"/>
      <c r="S6271" s="32"/>
    </row>
    <row r="6272" spans="1:19" ht="15.6">
      <c r="A6272" s="110" t="s">
        <v>644</v>
      </c>
      <c r="B6272" s="111" t="s">
        <v>232</v>
      </c>
      <c r="C6272" s="112" t="s">
        <v>449</v>
      </c>
      <c r="D6272" s="113" t="s">
        <v>19</v>
      </c>
      <c r="E6272" s="114" t="s">
        <v>14</v>
      </c>
      <c r="F6272" s="115" t="s">
        <v>39</v>
      </c>
      <c r="G6272" s="116">
        <v>14.7</v>
      </c>
      <c r="H6272" s="125">
        <v>9.1</v>
      </c>
      <c r="I6272" s="111">
        <v>8</v>
      </c>
      <c r="J6272" s="117">
        <f t="shared" si="870"/>
        <v>1.0701599999999998</v>
      </c>
      <c r="K6272" s="118"/>
      <c r="L6272" s="111">
        <v>8</v>
      </c>
      <c r="M6272" s="117">
        <f t="shared" si="871"/>
        <v>1.0701599999999998</v>
      </c>
      <c r="N6272" s="119">
        <f t="shared" si="872"/>
        <v>0</v>
      </c>
      <c r="O6272" s="120">
        <f t="shared" si="873"/>
        <v>0</v>
      </c>
      <c r="P6272" s="130"/>
      <c r="Q6272" s="320"/>
      <c r="R6272" s="32"/>
      <c r="S6272" s="32"/>
    </row>
    <row r="6273" spans="1:19" ht="15.6">
      <c r="A6273" s="110" t="s">
        <v>644</v>
      </c>
      <c r="B6273" s="111" t="s">
        <v>232</v>
      </c>
      <c r="C6273" s="112" t="s">
        <v>449</v>
      </c>
      <c r="D6273" s="113" t="s">
        <v>19</v>
      </c>
      <c r="E6273" s="114" t="s">
        <v>14</v>
      </c>
      <c r="F6273" s="115" t="s">
        <v>39</v>
      </c>
      <c r="G6273" s="116">
        <v>14.7</v>
      </c>
      <c r="H6273" s="125">
        <v>8.5</v>
      </c>
      <c r="I6273" s="111">
        <v>1</v>
      </c>
      <c r="J6273" s="117">
        <f t="shared" si="870"/>
        <v>0.12494999999999999</v>
      </c>
      <c r="K6273" s="118"/>
      <c r="L6273" s="111">
        <v>1</v>
      </c>
      <c r="M6273" s="117">
        <f t="shared" si="871"/>
        <v>0.12494999999999999</v>
      </c>
      <c r="N6273" s="119">
        <f t="shared" si="872"/>
        <v>0</v>
      </c>
      <c r="O6273" s="120">
        <f t="shared" si="873"/>
        <v>0</v>
      </c>
      <c r="P6273" s="130"/>
      <c r="Q6273" s="414">
        <v>1</v>
      </c>
      <c r="R6273" s="91" t="s">
        <v>631</v>
      </c>
      <c r="S6273" s="32"/>
    </row>
    <row r="6274" spans="1:19" ht="15.6">
      <c r="A6274" s="110" t="s">
        <v>644</v>
      </c>
      <c r="B6274" s="111" t="s">
        <v>232</v>
      </c>
      <c r="C6274" s="112" t="s">
        <v>449</v>
      </c>
      <c r="D6274" s="113" t="s">
        <v>19</v>
      </c>
      <c r="E6274" s="114" t="s">
        <v>14</v>
      </c>
      <c r="F6274" s="115" t="s">
        <v>39</v>
      </c>
      <c r="G6274" s="116">
        <v>14.7</v>
      </c>
      <c r="H6274" s="125">
        <v>8.6999999999999993</v>
      </c>
      <c r="I6274" s="111">
        <v>1</v>
      </c>
      <c r="J6274" s="117">
        <f t="shared" si="870"/>
        <v>0.12788999999999998</v>
      </c>
      <c r="K6274" s="118"/>
      <c r="L6274" s="111">
        <v>1</v>
      </c>
      <c r="M6274" s="117">
        <f t="shared" si="871"/>
        <v>0.12788999999999998</v>
      </c>
      <c r="N6274" s="119">
        <f t="shared" si="872"/>
        <v>0</v>
      </c>
      <c r="O6274" s="120">
        <f t="shared" si="873"/>
        <v>0</v>
      </c>
      <c r="P6274" s="130"/>
      <c r="Q6274" s="414">
        <v>1</v>
      </c>
      <c r="R6274" s="91" t="s">
        <v>631</v>
      </c>
      <c r="S6274" s="32"/>
    </row>
    <row r="6275" spans="1:19" ht="15.6">
      <c r="A6275" s="110" t="s">
        <v>644</v>
      </c>
      <c r="B6275" s="111" t="s">
        <v>232</v>
      </c>
      <c r="C6275" s="112" t="s">
        <v>449</v>
      </c>
      <c r="D6275" s="113" t="s">
        <v>19</v>
      </c>
      <c r="E6275" s="114" t="s">
        <v>14</v>
      </c>
      <c r="F6275" s="115" t="s">
        <v>39</v>
      </c>
      <c r="G6275" s="116">
        <v>14.7</v>
      </c>
      <c r="H6275" s="125">
        <v>9.1</v>
      </c>
      <c r="I6275" s="111">
        <v>26</v>
      </c>
      <c r="J6275" s="117">
        <f t="shared" si="870"/>
        <v>3.4780199999999994</v>
      </c>
      <c r="K6275" s="118"/>
      <c r="L6275" s="111">
        <v>26</v>
      </c>
      <c r="M6275" s="117">
        <f t="shared" si="871"/>
        <v>3.4780199999999994</v>
      </c>
      <c r="N6275" s="119">
        <f t="shared" si="872"/>
        <v>0</v>
      </c>
      <c r="O6275" s="120">
        <f t="shared" si="873"/>
        <v>0</v>
      </c>
      <c r="P6275" s="130"/>
      <c r="Q6275" s="320"/>
      <c r="R6275" s="32"/>
      <c r="S6275" s="32"/>
    </row>
    <row r="6276" spans="1:19">
      <c r="A6276" s="213"/>
      <c r="B6276" s="213"/>
      <c r="C6276" s="213"/>
      <c r="D6276" s="213"/>
      <c r="E6276" s="213"/>
      <c r="F6276" s="213"/>
      <c r="G6276" s="213"/>
      <c r="H6276" s="213"/>
      <c r="I6276" s="215">
        <f>SUM(I6268:I6275)</f>
        <v>111</v>
      </c>
      <c r="J6276" s="214">
        <f>SUM(J6268:J6275)</f>
        <v>14.833769999999998</v>
      </c>
      <c r="K6276" s="213"/>
      <c r="L6276" s="215">
        <f>SUM(L6268:L6275)</f>
        <v>111</v>
      </c>
      <c r="M6276" s="214">
        <f>SUM(M6268:M6275)</f>
        <v>14.833769999999998</v>
      </c>
      <c r="N6276" s="215">
        <f>SUM(N6268:N6275)</f>
        <v>0</v>
      </c>
      <c r="O6276" s="214">
        <f>SUM(O6268:O6275)</f>
        <v>0</v>
      </c>
      <c r="P6276" s="213"/>
      <c r="Q6276" s="215">
        <f>SUM(Q6268:Q6275)</f>
        <v>2</v>
      </c>
      <c r="R6276" s="213"/>
      <c r="S6276" s="213"/>
    </row>
    <row r="6280" spans="1:19">
      <c r="A6280" s="42" t="s">
        <v>77</v>
      </c>
      <c r="B6280" s="3" t="s">
        <v>68</v>
      </c>
      <c r="C6280" s="3">
        <v>206</v>
      </c>
      <c r="D6280" s="20" t="s">
        <v>63</v>
      </c>
      <c r="E6280" s="7" t="s">
        <v>15</v>
      </c>
      <c r="F6280" s="7" t="s">
        <v>48</v>
      </c>
      <c r="G6280" s="11">
        <v>23.6</v>
      </c>
      <c r="H6280" s="8">
        <v>8.3000000000000007</v>
      </c>
      <c r="I6280" s="26">
        <v>1</v>
      </c>
      <c r="J6280" s="10">
        <v>0.19588000000000003</v>
      </c>
      <c r="K6280" s="17">
        <v>1</v>
      </c>
      <c r="L6280" s="18">
        <v>0.19588000000000003</v>
      </c>
      <c r="M6280" s="19">
        <v>0</v>
      </c>
      <c r="N6280" s="13">
        <v>0</v>
      </c>
      <c r="O6280" s="73">
        <v>7.2</v>
      </c>
      <c r="P6280" s="74">
        <v>1</v>
      </c>
      <c r="Q6280" s="74" t="s">
        <v>760</v>
      </c>
    </row>
    <row r="6281" spans="1:19">
      <c r="A6281" s="42" t="s">
        <v>77</v>
      </c>
      <c r="B6281" s="3" t="s">
        <v>68</v>
      </c>
      <c r="C6281" s="3">
        <v>206</v>
      </c>
      <c r="D6281" s="20" t="s">
        <v>63</v>
      </c>
      <c r="E6281" s="7" t="s">
        <v>15</v>
      </c>
      <c r="F6281" s="7" t="s">
        <v>48</v>
      </c>
      <c r="G6281" s="11">
        <v>23.6</v>
      </c>
      <c r="H6281" s="8">
        <v>11</v>
      </c>
      <c r="I6281" s="26">
        <v>1</v>
      </c>
      <c r="J6281" s="10">
        <v>0.2596</v>
      </c>
      <c r="K6281" s="17">
        <v>1</v>
      </c>
      <c r="L6281" s="18">
        <v>0.2596</v>
      </c>
      <c r="M6281" s="19">
        <v>0</v>
      </c>
      <c r="N6281" s="13">
        <v>0</v>
      </c>
      <c r="O6281" s="73">
        <v>10.25</v>
      </c>
      <c r="P6281" s="74">
        <v>1</v>
      </c>
      <c r="Q6281" s="74" t="s">
        <v>760</v>
      </c>
    </row>
    <row r="6282" spans="1:19">
      <c r="A6282" s="48" t="s">
        <v>179</v>
      </c>
      <c r="B6282" s="48" t="s">
        <v>180</v>
      </c>
      <c r="C6282" s="32"/>
      <c r="D6282" s="48" t="s">
        <v>152</v>
      </c>
      <c r="E6282" s="48" t="s">
        <v>15</v>
      </c>
      <c r="F6282" s="48" t="s">
        <v>48</v>
      </c>
      <c r="G6282" s="11">
        <v>23.6</v>
      </c>
      <c r="H6282" s="9">
        <v>6.7</v>
      </c>
      <c r="I6282" s="7">
        <v>2</v>
      </c>
      <c r="J6282" s="10">
        <v>0.31624000000000002</v>
      </c>
      <c r="K6282" s="32">
        <v>2</v>
      </c>
      <c r="L6282" s="18">
        <v>0.31624000000000002</v>
      </c>
      <c r="M6282" s="19">
        <v>0</v>
      </c>
      <c r="N6282" s="13">
        <v>0</v>
      </c>
      <c r="O6282" s="72"/>
      <c r="P6282" s="72">
        <v>2</v>
      </c>
      <c r="Q6282" s="74" t="s">
        <v>791</v>
      </c>
    </row>
    <row r="6283" spans="1:19">
      <c r="A6283" s="42" t="s">
        <v>90</v>
      </c>
      <c r="B6283" s="48" t="s">
        <v>148</v>
      </c>
      <c r="C6283" s="32">
        <v>78</v>
      </c>
      <c r="D6283" s="69" t="s">
        <v>20</v>
      </c>
      <c r="E6283" s="69" t="s">
        <v>15</v>
      </c>
      <c r="F6283" s="69" t="s">
        <v>48</v>
      </c>
      <c r="G6283" s="61">
        <v>23.6</v>
      </c>
      <c r="H6283" s="70">
        <v>12</v>
      </c>
      <c r="I6283" s="60">
        <v>1</v>
      </c>
      <c r="J6283" s="62">
        <v>0.28320000000000006</v>
      </c>
      <c r="K6283" s="67"/>
      <c r="L6283" s="63">
        <v>0</v>
      </c>
      <c r="M6283" s="64">
        <v>1</v>
      </c>
      <c r="N6283" s="65">
        <v>0.28320000000000006</v>
      </c>
      <c r="O6283" s="32"/>
      <c r="P6283" s="32"/>
      <c r="Q6283" s="32"/>
    </row>
    <row r="6284" spans="1:19">
      <c r="A6284" s="45" t="s">
        <v>136</v>
      </c>
      <c r="B6284" s="32" t="s">
        <v>137</v>
      </c>
      <c r="C6284" s="3">
        <v>22</v>
      </c>
      <c r="D6284" s="20" t="s">
        <v>106</v>
      </c>
      <c r="E6284" s="7" t="s">
        <v>15</v>
      </c>
      <c r="F6284" s="7" t="s">
        <v>48</v>
      </c>
      <c r="G6284" s="11">
        <v>23.6</v>
      </c>
      <c r="H6284" s="33">
        <v>10.7</v>
      </c>
      <c r="I6284" s="40">
        <v>1</v>
      </c>
      <c r="J6284" s="10">
        <v>0.25252000000000002</v>
      </c>
      <c r="K6284" s="17">
        <v>1</v>
      </c>
      <c r="L6284" s="18">
        <v>0.25252000000000002</v>
      </c>
      <c r="M6284" s="19">
        <v>0</v>
      </c>
      <c r="N6284" s="13">
        <v>0</v>
      </c>
      <c r="O6284" s="72">
        <v>10.25</v>
      </c>
      <c r="P6284" s="72">
        <v>1</v>
      </c>
      <c r="Q6284" s="74" t="s">
        <v>760</v>
      </c>
    </row>
    <row r="6285" spans="1:19">
      <c r="M6285" s="215">
        <f>SUM(M6280:M6284)</f>
        <v>1</v>
      </c>
      <c r="P6285" s="215">
        <f>SUM(P6280:P6284)</f>
        <v>5</v>
      </c>
    </row>
    <row r="6288" spans="1:19" ht="15.6">
      <c r="A6288" s="110" t="s">
        <v>365</v>
      </c>
      <c r="B6288" s="111" t="s">
        <v>232</v>
      </c>
      <c r="C6288" s="112" t="s">
        <v>228</v>
      </c>
      <c r="D6288" s="113" t="s">
        <v>382</v>
      </c>
      <c r="E6288" s="114" t="s">
        <v>15</v>
      </c>
      <c r="F6288" s="115" t="s">
        <v>48</v>
      </c>
      <c r="G6288" s="116">
        <v>23.6</v>
      </c>
      <c r="H6288" s="125">
        <v>8.6999999999999993</v>
      </c>
      <c r="I6288" s="111">
        <f>14+14+14+14+5+16+15+7+15+16+17</f>
        <v>147</v>
      </c>
      <c r="J6288" s="117">
        <f t="shared" ref="J6288:J6289" si="874">H6288*G6288*I6288/1000</f>
        <v>30.182039999999997</v>
      </c>
      <c r="K6288" s="118"/>
      <c r="L6288" s="111">
        <f>144+3</f>
        <v>147</v>
      </c>
      <c r="M6288" s="117">
        <f t="shared" ref="M6288:M6292" si="875">H6288*L6288*G6288/1000</f>
        <v>30.182039999999997</v>
      </c>
      <c r="N6288" s="119">
        <f t="shared" ref="N6288:N6292" si="876">I6288-L6288</f>
        <v>0</v>
      </c>
      <c r="O6288" s="120">
        <f>H6288*N6288*G6288/1000</f>
        <v>0</v>
      </c>
      <c r="P6288" s="98">
        <v>7.2</v>
      </c>
      <c r="Q6288" s="91">
        <v>3</v>
      </c>
      <c r="R6288" s="557" t="s">
        <v>760</v>
      </c>
    </row>
    <row r="6289" spans="1:21" ht="15.6">
      <c r="A6289" s="110" t="s">
        <v>365</v>
      </c>
      <c r="B6289" s="111" t="s">
        <v>232</v>
      </c>
      <c r="C6289" s="112" t="s">
        <v>228</v>
      </c>
      <c r="D6289" s="113" t="s">
        <v>382</v>
      </c>
      <c r="E6289" s="114" t="s">
        <v>15</v>
      </c>
      <c r="F6289" s="115" t="s">
        <v>48</v>
      </c>
      <c r="G6289" s="116">
        <v>23.6</v>
      </c>
      <c r="H6289" s="125">
        <v>8.5</v>
      </c>
      <c r="I6289" s="111">
        <v>1</v>
      </c>
      <c r="J6289" s="117">
        <f t="shared" si="874"/>
        <v>0.20060000000000003</v>
      </c>
      <c r="K6289" s="118"/>
      <c r="L6289" s="111">
        <v>1</v>
      </c>
      <c r="M6289" s="117">
        <f t="shared" si="875"/>
        <v>0.20060000000000003</v>
      </c>
      <c r="N6289" s="119">
        <f t="shared" si="876"/>
        <v>0</v>
      </c>
      <c r="O6289" s="120">
        <f>H6289*N6289*G6289/1000</f>
        <v>0</v>
      </c>
      <c r="P6289" s="98">
        <v>7.2</v>
      </c>
      <c r="Q6289" s="91">
        <v>1</v>
      </c>
      <c r="R6289" s="557" t="s">
        <v>760</v>
      </c>
    </row>
    <row r="6290" spans="1:21" ht="15.6">
      <c r="A6290" s="110" t="s">
        <v>365</v>
      </c>
      <c r="B6290" s="111" t="s">
        <v>232</v>
      </c>
      <c r="C6290" s="112" t="s">
        <v>228</v>
      </c>
      <c r="D6290" s="113" t="s">
        <v>382</v>
      </c>
      <c r="E6290" s="114" t="s">
        <v>15</v>
      </c>
      <c r="F6290" s="115" t="s">
        <v>48</v>
      </c>
      <c r="G6290" s="116">
        <v>23.6</v>
      </c>
      <c r="H6290" s="125">
        <v>8.6</v>
      </c>
      <c r="I6290" s="111">
        <v>1</v>
      </c>
      <c r="J6290" s="117">
        <f>H6290*G6290*I6290/1000</f>
        <v>0.20296</v>
      </c>
      <c r="K6290" s="118"/>
      <c r="L6290" s="111">
        <v>1</v>
      </c>
      <c r="M6290" s="117">
        <f t="shared" si="875"/>
        <v>0.20296</v>
      </c>
      <c r="N6290" s="119">
        <f t="shared" si="876"/>
        <v>0</v>
      </c>
      <c r="O6290" s="120">
        <f>H6290*N6290*G6290/1000</f>
        <v>0</v>
      </c>
      <c r="P6290" s="98">
        <v>7.2</v>
      </c>
      <c r="Q6290" s="91">
        <v>1</v>
      </c>
      <c r="R6290" s="557" t="s">
        <v>760</v>
      </c>
    </row>
    <row r="6291" spans="1:21" ht="15.6">
      <c r="A6291" s="110" t="s">
        <v>365</v>
      </c>
      <c r="B6291" s="111" t="s">
        <v>232</v>
      </c>
      <c r="C6291" s="112" t="s">
        <v>228</v>
      </c>
      <c r="D6291" s="113" t="s">
        <v>382</v>
      </c>
      <c r="E6291" s="114" t="s">
        <v>15</v>
      </c>
      <c r="F6291" s="115" t="s">
        <v>48</v>
      </c>
      <c r="G6291" s="116">
        <v>23.6</v>
      </c>
      <c r="H6291" s="125">
        <v>7.5</v>
      </c>
      <c r="I6291" s="111">
        <v>1</v>
      </c>
      <c r="J6291" s="117">
        <f>H6291*G6291*I6291/1000</f>
        <v>0.17699999999999999</v>
      </c>
      <c r="K6291" s="118" t="s">
        <v>381</v>
      </c>
      <c r="L6291" s="111">
        <v>1</v>
      </c>
      <c r="M6291" s="117">
        <f t="shared" si="875"/>
        <v>0.17699999999999999</v>
      </c>
      <c r="N6291" s="119">
        <f t="shared" si="876"/>
        <v>0</v>
      </c>
      <c r="O6291" s="120">
        <f>H6291*N6291*G6291/1000</f>
        <v>0</v>
      </c>
      <c r="P6291" s="98">
        <v>6</v>
      </c>
      <c r="Q6291" s="91">
        <v>1</v>
      </c>
      <c r="R6291" s="557" t="s">
        <v>760</v>
      </c>
    </row>
    <row r="6292" spans="1:21" ht="15.6">
      <c r="A6292" s="110" t="s">
        <v>365</v>
      </c>
      <c r="B6292" s="111" t="s">
        <v>232</v>
      </c>
      <c r="C6292" s="112" t="s">
        <v>228</v>
      </c>
      <c r="D6292" s="113" t="s">
        <v>382</v>
      </c>
      <c r="E6292" s="114" t="s">
        <v>15</v>
      </c>
      <c r="F6292" s="115" t="s">
        <v>48</v>
      </c>
      <c r="G6292" s="116">
        <v>23.6</v>
      </c>
      <c r="H6292" s="125">
        <v>8.6999999999999993</v>
      </c>
      <c r="I6292" s="111">
        <v>6</v>
      </c>
      <c r="J6292" s="117">
        <f>H6292*G6292*I6292/1000</f>
        <v>1.2319200000000001</v>
      </c>
      <c r="K6292" s="118" t="s">
        <v>381</v>
      </c>
      <c r="L6292" s="111"/>
      <c r="M6292" s="117">
        <f t="shared" si="875"/>
        <v>0</v>
      </c>
      <c r="N6292" s="119">
        <f t="shared" si="876"/>
        <v>6</v>
      </c>
      <c r="O6292" s="120">
        <f>H6292*N6292*G6292/1000</f>
        <v>1.2319200000000001</v>
      </c>
      <c r="P6292" s="111"/>
      <c r="Q6292" s="32"/>
      <c r="R6292" s="213"/>
    </row>
    <row r="6293" spans="1:21">
      <c r="A6293" s="213"/>
      <c r="B6293" s="213"/>
      <c r="C6293" s="213"/>
      <c r="D6293" s="213"/>
      <c r="E6293" s="213"/>
      <c r="F6293" s="213"/>
      <c r="G6293" s="213"/>
      <c r="H6293" s="213"/>
      <c r="I6293" s="215">
        <f>SUM(I6288:I6292)</f>
        <v>156</v>
      </c>
      <c r="J6293" s="214">
        <f>SUM(J6288:J6292)</f>
        <v>31.994519999999998</v>
      </c>
      <c r="K6293" s="213"/>
      <c r="L6293" s="215">
        <f>SUM(L6288:L6292)</f>
        <v>150</v>
      </c>
      <c r="M6293" s="214">
        <f>SUM(M6288:M6292)</f>
        <v>30.762599999999999</v>
      </c>
      <c r="N6293" s="215">
        <f>SUM(N6288:N6292)</f>
        <v>6</v>
      </c>
      <c r="O6293" s="214">
        <f>SUM(O6288:O6292)</f>
        <v>1.2319200000000001</v>
      </c>
      <c r="P6293" s="213"/>
      <c r="Q6293" s="215">
        <f>SUM(Q6288:Q6292)</f>
        <v>6</v>
      </c>
      <c r="R6293" s="213"/>
    </row>
    <row r="6296" spans="1:21" ht="15.6">
      <c r="A6296" s="110" t="s">
        <v>547</v>
      </c>
      <c r="B6296" s="111" t="s">
        <v>232</v>
      </c>
      <c r="C6296" s="112" t="s">
        <v>449</v>
      </c>
      <c r="D6296" s="113" t="s">
        <v>506</v>
      </c>
      <c r="E6296" s="114" t="s">
        <v>15</v>
      </c>
      <c r="F6296" s="115" t="s">
        <v>48</v>
      </c>
      <c r="G6296" s="116">
        <v>23.45</v>
      </c>
      <c r="H6296" s="125">
        <v>10</v>
      </c>
      <c r="I6296" s="111">
        <v>3</v>
      </c>
      <c r="J6296" s="117">
        <f>H6296*G6296*I6296/1000</f>
        <v>0.70350000000000001</v>
      </c>
      <c r="K6296" s="32"/>
      <c r="L6296" s="111">
        <v>3</v>
      </c>
      <c r="M6296" s="117">
        <f t="shared" ref="M6296:M6301" si="877">H6296*L6296*G6296/1000</f>
        <v>0.70350000000000001</v>
      </c>
      <c r="N6296" s="119">
        <f t="shared" ref="N6296:N6301" si="878">I6296-L6296</f>
        <v>0</v>
      </c>
      <c r="O6296" s="120">
        <f t="shared" ref="O6296:O6300" si="879">H6296*N6296*G6296/1000</f>
        <v>0</v>
      </c>
      <c r="P6296" s="111"/>
      <c r="Q6296" s="32"/>
      <c r="R6296" s="213"/>
      <c r="S6296" s="213"/>
      <c r="T6296" s="213"/>
      <c r="U6296" s="213"/>
    </row>
    <row r="6297" spans="1:21" ht="15.6">
      <c r="A6297" s="110" t="s">
        <v>547</v>
      </c>
      <c r="B6297" s="111" t="s">
        <v>232</v>
      </c>
      <c r="C6297" s="112" t="s">
        <v>449</v>
      </c>
      <c r="D6297" s="113" t="s">
        <v>506</v>
      </c>
      <c r="E6297" s="114" t="s">
        <v>15</v>
      </c>
      <c r="F6297" s="115" t="s">
        <v>48</v>
      </c>
      <c r="G6297" s="116">
        <v>23.45</v>
      </c>
      <c r="H6297" s="125">
        <v>10</v>
      </c>
      <c r="I6297" s="111">
        <v>6</v>
      </c>
      <c r="J6297" s="117">
        <f t="shared" ref="J6297:J6301" si="880">H6297*G6297*I6297/1000</f>
        <v>1.407</v>
      </c>
      <c r="K6297" s="32"/>
      <c r="L6297" s="111">
        <v>6</v>
      </c>
      <c r="M6297" s="117">
        <f t="shared" si="877"/>
        <v>1.407</v>
      </c>
      <c r="N6297" s="119">
        <f t="shared" si="878"/>
        <v>0</v>
      </c>
      <c r="O6297" s="120">
        <f t="shared" si="879"/>
        <v>0</v>
      </c>
      <c r="P6297" s="111"/>
      <c r="Q6297" s="32"/>
      <c r="R6297" s="213"/>
      <c r="S6297" s="213"/>
      <c r="T6297" s="213"/>
      <c r="U6297" s="213"/>
    </row>
    <row r="6298" spans="1:21" ht="15.6">
      <c r="A6298" s="110" t="s">
        <v>547</v>
      </c>
      <c r="B6298" s="111" t="s">
        <v>232</v>
      </c>
      <c r="C6298" s="112" t="s">
        <v>449</v>
      </c>
      <c r="D6298" s="113" t="s">
        <v>506</v>
      </c>
      <c r="E6298" s="114" t="s">
        <v>15</v>
      </c>
      <c r="F6298" s="115" t="s">
        <v>48</v>
      </c>
      <c r="G6298" s="116">
        <v>23.45</v>
      </c>
      <c r="H6298" s="125">
        <v>12</v>
      </c>
      <c r="I6298" s="111">
        <v>7</v>
      </c>
      <c r="J6298" s="117">
        <f t="shared" si="880"/>
        <v>1.9697999999999998</v>
      </c>
      <c r="K6298" s="32"/>
      <c r="L6298" s="111">
        <v>7</v>
      </c>
      <c r="M6298" s="117">
        <f t="shared" si="877"/>
        <v>1.9698</v>
      </c>
      <c r="N6298" s="119">
        <f t="shared" si="878"/>
        <v>0</v>
      </c>
      <c r="O6298" s="120">
        <f t="shared" si="879"/>
        <v>0</v>
      </c>
      <c r="P6298" s="111"/>
      <c r="Q6298" s="32"/>
      <c r="R6298" s="213"/>
      <c r="S6298" s="213"/>
      <c r="T6298" s="213"/>
      <c r="U6298" s="213"/>
    </row>
    <row r="6299" spans="1:21" ht="15.6">
      <c r="A6299" s="110" t="s">
        <v>547</v>
      </c>
      <c r="B6299" s="111" t="s">
        <v>232</v>
      </c>
      <c r="C6299" s="112" t="s">
        <v>449</v>
      </c>
      <c r="D6299" s="113" t="s">
        <v>506</v>
      </c>
      <c r="E6299" s="114" t="s">
        <v>15</v>
      </c>
      <c r="F6299" s="115" t="s">
        <v>48</v>
      </c>
      <c r="G6299" s="116">
        <v>23.45</v>
      </c>
      <c r="H6299" s="125">
        <v>12</v>
      </c>
      <c r="I6299" s="111">
        <v>7</v>
      </c>
      <c r="J6299" s="117">
        <f t="shared" si="880"/>
        <v>1.9697999999999998</v>
      </c>
      <c r="K6299" s="32"/>
      <c r="L6299" s="111">
        <f>2+5</f>
        <v>7</v>
      </c>
      <c r="M6299" s="117">
        <f t="shared" si="877"/>
        <v>1.9698</v>
      </c>
      <c r="N6299" s="119">
        <f t="shared" si="878"/>
        <v>0</v>
      </c>
      <c r="O6299" s="120">
        <f t="shared" si="879"/>
        <v>0</v>
      </c>
      <c r="P6299" s="111"/>
      <c r="Q6299" s="32"/>
      <c r="R6299" s="213"/>
      <c r="S6299" s="213"/>
      <c r="T6299" s="213"/>
      <c r="U6299" s="213"/>
    </row>
    <row r="6300" spans="1:21" ht="15.6">
      <c r="A6300" s="110" t="s">
        <v>547</v>
      </c>
      <c r="B6300" s="111" t="s">
        <v>232</v>
      </c>
      <c r="C6300" s="112" t="s">
        <v>449</v>
      </c>
      <c r="D6300" s="113" t="s">
        <v>506</v>
      </c>
      <c r="E6300" s="114" t="s">
        <v>15</v>
      </c>
      <c r="F6300" s="115" t="s">
        <v>48</v>
      </c>
      <c r="G6300" s="116">
        <v>23.45</v>
      </c>
      <c r="H6300" s="125">
        <v>12</v>
      </c>
      <c r="I6300" s="111">
        <v>4</v>
      </c>
      <c r="J6300" s="117">
        <f t="shared" si="880"/>
        <v>1.1255999999999999</v>
      </c>
      <c r="K6300" s="32"/>
      <c r="L6300" s="111">
        <f>2+2</f>
        <v>4</v>
      </c>
      <c r="M6300" s="117">
        <f t="shared" si="877"/>
        <v>1.1255999999999999</v>
      </c>
      <c r="N6300" s="119">
        <f t="shared" si="878"/>
        <v>0</v>
      </c>
      <c r="O6300" s="120">
        <f t="shared" si="879"/>
        <v>0</v>
      </c>
      <c r="P6300" s="111"/>
      <c r="Q6300" s="156">
        <v>10.25</v>
      </c>
      <c r="R6300" s="156">
        <v>2</v>
      </c>
      <c r="S6300" s="156" t="s">
        <v>760</v>
      </c>
      <c r="T6300" s="156"/>
      <c r="U6300" s="156"/>
    </row>
    <row r="6301" spans="1:21" ht="15.6">
      <c r="A6301" s="110" t="s">
        <v>547</v>
      </c>
      <c r="B6301" s="111" t="s">
        <v>232</v>
      </c>
      <c r="C6301" s="112" t="s">
        <v>449</v>
      </c>
      <c r="D6301" s="113" t="s">
        <v>506</v>
      </c>
      <c r="E6301" s="114" t="s">
        <v>15</v>
      </c>
      <c r="F6301" s="115" t="s">
        <v>48</v>
      </c>
      <c r="G6301" s="116">
        <v>23.45</v>
      </c>
      <c r="H6301" s="125">
        <v>10</v>
      </c>
      <c r="I6301" s="111">
        <v>1</v>
      </c>
      <c r="J6301" s="117">
        <f t="shared" si="880"/>
        <v>0.23449999999999999</v>
      </c>
      <c r="K6301" s="32"/>
      <c r="L6301" s="111">
        <v>1</v>
      </c>
      <c r="M6301" s="117">
        <f t="shared" si="877"/>
        <v>0.23449999999999999</v>
      </c>
      <c r="N6301" s="119">
        <f t="shared" si="878"/>
        <v>0</v>
      </c>
      <c r="O6301" s="120">
        <f>H6301*N6301*G6301/1000</f>
        <v>0</v>
      </c>
      <c r="P6301" s="111"/>
      <c r="Q6301" s="32"/>
      <c r="R6301" s="213"/>
      <c r="S6301" s="213"/>
      <c r="T6301" s="213"/>
      <c r="U6301" s="213"/>
    </row>
    <row r="6302" spans="1:21">
      <c r="A6302" s="213"/>
      <c r="B6302" s="213"/>
      <c r="C6302" s="213"/>
      <c r="D6302" s="213"/>
      <c r="E6302" s="213"/>
      <c r="F6302" s="213"/>
      <c r="G6302" s="213"/>
      <c r="H6302" s="213"/>
      <c r="I6302" s="215">
        <f>SUM(I6296:I6301)</f>
        <v>28</v>
      </c>
      <c r="J6302" s="214">
        <f>SUM(J6296:J6301)</f>
        <v>7.4101999999999988</v>
      </c>
      <c r="K6302" s="213"/>
      <c r="L6302" s="215">
        <f>SUM(L6296:L6301)</f>
        <v>28</v>
      </c>
      <c r="M6302" s="214">
        <f>SUM(M6296:M6301)</f>
        <v>7.4102000000000006</v>
      </c>
      <c r="N6302" s="215">
        <f>SUM(N6296:N6301)</f>
        <v>0</v>
      </c>
      <c r="O6302" s="214">
        <f>SUM(O6296:O6301)</f>
        <v>0</v>
      </c>
      <c r="P6302" s="213"/>
      <c r="Q6302" s="213"/>
      <c r="R6302" s="213"/>
      <c r="S6302" s="213"/>
      <c r="T6302" s="213"/>
      <c r="U6302" s="213"/>
    </row>
    <row r="6304" spans="1:21" ht="15.6">
      <c r="A6304" s="110" t="s">
        <v>636</v>
      </c>
      <c r="B6304" s="111" t="s">
        <v>232</v>
      </c>
      <c r="C6304" s="112" t="s">
        <v>468</v>
      </c>
      <c r="D6304" s="113" t="s">
        <v>507</v>
      </c>
      <c r="E6304" s="114" t="s">
        <v>15</v>
      </c>
      <c r="F6304" s="115" t="s">
        <v>48</v>
      </c>
      <c r="G6304" s="116">
        <v>23.6</v>
      </c>
      <c r="H6304" s="125">
        <v>12.6</v>
      </c>
      <c r="I6304" s="468">
        <f>11+11+11+11+11+11+11+11+11+11+11+11+11+11+11+11+11+11+11+11+11+11+11+11+11+11+11+11+11+11+11+11+11+11+11+11+11+11+11+11+11+11+11+12+12+12+12+7+10+9+7+2</f>
        <v>556</v>
      </c>
      <c r="J6304" s="117">
        <f>H6304*G6304*I6304/1000</f>
        <v>165.33216000000002</v>
      </c>
      <c r="K6304" s="32"/>
      <c r="L6304" s="111">
        <f>556+2</f>
        <v>558</v>
      </c>
      <c r="M6304" s="117">
        <f>H6304*L6304*G6304/1000</f>
        <v>165.92688000000001</v>
      </c>
      <c r="N6304" s="180">
        <f t="shared" ref="N6304:N6306" si="881">I6304-L6304</f>
        <v>-2</v>
      </c>
      <c r="O6304" s="181">
        <f>H6304*N6304*G6304/1000</f>
        <v>-0.59472000000000003</v>
      </c>
      <c r="P6304" s="111" t="s">
        <v>637</v>
      </c>
      <c r="Q6304" s="32"/>
      <c r="R6304" s="213"/>
    </row>
    <row r="6305" spans="1:18" ht="15.6">
      <c r="A6305" s="110" t="s">
        <v>636</v>
      </c>
      <c r="B6305" s="111" t="s">
        <v>232</v>
      </c>
      <c r="C6305" s="112" t="s">
        <v>468</v>
      </c>
      <c r="D6305" s="113" t="s">
        <v>507</v>
      </c>
      <c r="E6305" s="114" t="s">
        <v>15</v>
      </c>
      <c r="F6305" s="115" t="s">
        <v>48</v>
      </c>
      <c r="G6305" s="116">
        <v>23.6</v>
      </c>
      <c r="H6305" s="125">
        <v>12.2</v>
      </c>
      <c r="I6305" s="111">
        <v>2</v>
      </c>
      <c r="J6305" s="117">
        <f t="shared" ref="J6305:J6306" si="882">H6305*G6305*I6305/1000</f>
        <v>0.57584000000000002</v>
      </c>
      <c r="K6305" s="32"/>
      <c r="L6305" s="111">
        <v>2</v>
      </c>
      <c r="M6305" s="117">
        <f t="shared" ref="M6305:M6306" si="883">H6305*L6305*G6305/1000</f>
        <v>0.57584000000000002</v>
      </c>
      <c r="N6305" s="119">
        <f t="shared" si="881"/>
        <v>0</v>
      </c>
      <c r="O6305" s="120">
        <f>H6305*N6305*G6305/1000</f>
        <v>0</v>
      </c>
      <c r="P6305" s="111"/>
      <c r="Q6305" s="32"/>
      <c r="R6305" s="213"/>
    </row>
    <row r="6306" spans="1:18" ht="15.6">
      <c r="A6306" s="110" t="s">
        <v>636</v>
      </c>
      <c r="B6306" s="111" t="s">
        <v>232</v>
      </c>
      <c r="C6306" s="112" t="s">
        <v>468</v>
      </c>
      <c r="D6306" s="113" t="s">
        <v>507</v>
      </c>
      <c r="E6306" s="114" t="s">
        <v>15</v>
      </c>
      <c r="F6306" s="115" t="s">
        <v>48</v>
      </c>
      <c r="G6306" s="116">
        <v>23.6</v>
      </c>
      <c r="H6306" s="125">
        <v>11.5</v>
      </c>
      <c r="I6306" s="111">
        <v>1</v>
      </c>
      <c r="J6306" s="117">
        <f t="shared" si="882"/>
        <v>0.27140000000000003</v>
      </c>
      <c r="K6306" s="32"/>
      <c r="L6306" s="111">
        <v>1</v>
      </c>
      <c r="M6306" s="117">
        <f t="shared" si="883"/>
        <v>0.27140000000000003</v>
      </c>
      <c r="N6306" s="119">
        <f t="shared" si="881"/>
        <v>0</v>
      </c>
      <c r="O6306" s="120">
        <f>H6306*N6306*G6306/1000</f>
        <v>0</v>
      </c>
      <c r="P6306" s="72">
        <v>10.25</v>
      </c>
      <c r="Q6306" s="72">
        <v>1</v>
      </c>
      <c r="R6306" s="77" t="s">
        <v>760</v>
      </c>
    </row>
    <row r="6307" spans="1:18">
      <c r="A6307" s="213"/>
      <c r="B6307" s="213"/>
      <c r="C6307" s="213"/>
      <c r="D6307" s="213"/>
      <c r="E6307" s="213"/>
      <c r="F6307" s="213"/>
      <c r="G6307" s="213"/>
      <c r="H6307" s="213"/>
      <c r="I6307" s="215">
        <f>SUM(I6304:I6306)</f>
        <v>559</v>
      </c>
      <c r="J6307" s="214">
        <f>SUM(J6304:J6306)</f>
        <v>166.17940000000002</v>
      </c>
      <c r="K6307" s="213"/>
      <c r="L6307" s="215">
        <f>SUM(L6304:L6306)</f>
        <v>561</v>
      </c>
      <c r="M6307" s="214">
        <f>SUM(M6304:M6306)</f>
        <v>166.77412000000001</v>
      </c>
      <c r="N6307" s="215">
        <f>SUM(N6304:N6306)</f>
        <v>-2</v>
      </c>
      <c r="O6307" s="214">
        <f>SUM(O6304:O6306)</f>
        <v>-0.59472000000000003</v>
      </c>
      <c r="P6307" s="213"/>
      <c r="Q6307" s="215">
        <f>SUM(Q6304:Q6306)</f>
        <v>1</v>
      </c>
      <c r="R6307" s="213"/>
    </row>
    <row r="6310" spans="1:18" ht="15.6">
      <c r="A6310" s="110" t="s">
        <v>638</v>
      </c>
      <c r="B6310" s="111" t="s">
        <v>505</v>
      </c>
      <c r="C6310" s="112" t="s">
        <v>449</v>
      </c>
      <c r="D6310" s="113" t="s">
        <v>130</v>
      </c>
      <c r="E6310" s="114" t="s">
        <v>15</v>
      </c>
      <c r="F6310" s="115" t="s">
        <v>48</v>
      </c>
      <c r="G6310" s="116">
        <v>23.6</v>
      </c>
      <c r="H6310" s="125">
        <v>12</v>
      </c>
      <c r="I6310" s="468">
        <v>2</v>
      </c>
      <c r="J6310" s="117">
        <f t="shared" ref="J6310:J6313" si="884">H6310*G6310*I6310/1000</f>
        <v>0.56640000000000013</v>
      </c>
      <c r="K6310" s="32"/>
      <c r="L6310" s="111">
        <v>2</v>
      </c>
      <c r="M6310" s="117">
        <f t="shared" ref="M6310:M6313" si="885">H6310*L6310*G6310/1000</f>
        <v>0.56640000000000013</v>
      </c>
      <c r="N6310" s="119">
        <f t="shared" ref="N6310:N6313" si="886">I6310-L6310</f>
        <v>0</v>
      </c>
      <c r="O6310" s="120">
        <f t="shared" ref="O6310:O6313" si="887">H6310*N6310*G6310/1000</f>
        <v>0</v>
      </c>
      <c r="P6310" s="111"/>
      <c r="Q6310" s="111"/>
      <c r="R6310" s="213"/>
    </row>
    <row r="6311" spans="1:18" ht="15.6">
      <c r="A6311" s="110" t="s">
        <v>638</v>
      </c>
      <c r="B6311" s="111" t="s">
        <v>505</v>
      </c>
      <c r="C6311" s="112" t="s">
        <v>449</v>
      </c>
      <c r="D6311" s="113" t="s">
        <v>130</v>
      </c>
      <c r="E6311" s="114" t="s">
        <v>15</v>
      </c>
      <c r="F6311" s="115" t="s">
        <v>48</v>
      </c>
      <c r="G6311" s="116">
        <v>23.6</v>
      </c>
      <c r="H6311" s="125">
        <v>12</v>
      </c>
      <c r="I6311" s="468">
        <v>3</v>
      </c>
      <c r="J6311" s="117">
        <f t="shared" si="884"/>
        <v>0.84960000000000013</v>
      </c>
      <c r="K6311" s="32"/>
      <c r="L6311" s="111">
        <v>3</v>
      </c>
      <c r="M6311" s="117">
        <f t="shared" si="885"/>
        <v>0.84960000000000002</v>
      </c>
      <c r="N6311" s="119">
        <f t="shared" si="886"/>
        <v>0</v>
      </c>
      <c r="O6311" s="120">
        <f t="shared" si="887"/>
        <v>0</v>
      </c>
      <c r="P6311" s="72">
        <v>10.25</v>
      </c>
      <c r="Q6311" s="72">
        <v>3</v>
      </c>
      <c r="R6311" s="77" t="s">
        <v>760</v>
      </c>
    </row>
    <row r="6312" spans="1:18" ht="15.6">
      <c r="A6312" s="110" t="s">
        <v>638</v>
      </c>
      <c r="B6312" s="111" t="s">
        <v>505</v>
      </c>
      <c r="C6312" s="112" t="s">
        <v>449</v>
      </c>
      <c r="D6312" s="113" t="s">
        <v>130</v>
      </c>
      <c r="E6312" s="114" t="s">
        <v>15</v>
      </c>
      <c r="F6312" s="115" t="s">
        <v>48</v>
      </c>
      <c r="G6312" s="116">
        <v>23.6</v>
      </c>
      <c r="H6312" s="125">
        <v>8.75</v>
      </c>
      <c r="I6312" s="468">
        <v>1</v>
      </c>
      <c r="J6312" s="117">
        <f t="shared" si="884"/>
        <v>0.20649999999999999</v>
      </c>
      <c r="K6312" s="32"/>
      <c r="L6312" s="111"/>
      <c r="M6312" s="117">
        <f t="shared" si="885"/>
        <v>0</v>
      </c>
      <c r="N6312" s="119">
        <f t="shared" si="886"/>
        <v>1</v>
      </c>
      <c r="O6312" s="120">
        <f t="shared" si="887"/>
        <v>0.20649999999999999</v>
      </c>
      <c r="P6312" s="111"/>
      <c r="Q6312" s="111"/>
      <c r="R6312" s="213"/>
    </row>
    <row r="6313" spans="1:18" ht="15.6">
      <c r="A6313" s="110" t="s">
        <v>638</v>
      </c>
      <c r="B6313" s="111" t="s">
        <v>505</v>
      </c>
      <c r="C6313" s="112" t="s">
        <v>449</v>
      </c>
      <c r="D6313" s="113" t="s">
        <v>130</v>
      </c>
      <c r="E6313" s="114" t="s">
        <v>15</v>
      </c>
      <c r="F6313" s="115" t="s">
        <v>48</v>
      </c>
      <c r="G6313" s="116">
        <v>23.6</v>
      </c>
      <c r="H6313" s="125">
        <v>10.4</v>
      </c>
      <c r="I6313" s="468">
        <v>12</v>
      </c>
      <c r="J6313" s="117">
        <f t="shared" si="884"/>
        <v>2.9452800000000003</v>
      </c>
      <c r="K6313" s="32"/>
      <c r="L6313" s="111">
        <v>12</v>
      </c>
      <c r="M6313" s="117">
        <f t="shared" si="885"/>
        <v>2.9452800000000008</v>
      </c>
      <c r="N6313" s="119">
        <f t="shared" si="886"/>
        <v>0</v>
      </c>
      <c r="O6313" s="120">
        <f t="shared" si="887"/>
        <v>0</v>
      </c>
      <c r="P6313" s="111"/>
      <c r="Q6313" s="111"/>
      <c r="R6313" s="213"/>
    </row>
    <row r="6316" spans="1:18">
      <c r="A6316" s="42" t="s">
        <v>77</v>
      </c>
      <c r="B6316" s="3" t="s">
        <v>68</v>
      </c>
      <c r="C6316" s="3">
        <v>108</v>
      </c>
      <c r="D6316" s="20" t="s">
        <v>20</v>
      </c>
      <c r="E6316" s="7" t="s">
        <v>15</v>
      </c>
      <c r="F6316" s="7" t="s">
        <v>50</v>
      </c>
      <c r="G6316" s="11">
        <v>21.7</v>
      </c>
      <c r="H6316" s="8">
        <v>9.6999999999999993</v>
      </c>
      <c r="I6316" s="26">
        <v>1</v>
      </c>
      <c r="J6316" s="10">
        <v>0.21048999999999998</v>
      </c>
      <c r="K6316" s="17">
        <v>1</v>
      </c>
      <c r="L6316" s="18">
        <v>0.21048999999999998</v>
      </c>
      <c r="M6316" s="19">
        <v>0</v>
      </c>
      <c r="N6316" s="13">
        <v>0</v>
      </c>
      <c r="O6316" s="9">
        <v>8.5500000000000007</v>
      </c>
      <c r="P6316" s="74">
        <v>1</v>
      </c>
      <c r="Q6316" s="72" t="s">
        <v>602</v>
      </c>
    </row>
    <row r="6317" spans="1:18">
      <c r="A6317" s="42" t="s">
        <v>77</v>
      </c>
      <c r="B6317" s="3" t="s">
        <v>68</v>
      </c>
      <c r="C6317" s="3">
        <v>108</v>
      </c>
      <c r="D6317" s="20" t="s">
        <v>20</v>
      </c>
      <c r="E6317" s="7" t="s">
        <v>15</v>
      </c>
      <c r="F6317" s="7" t="s">
        <v>50</v>
      </c>
      <c r="G6317" s="11">
        <v>21.7</v>
      </c>
      <c r="H6317" s="8">
        <v>11.2</v>
      </c>
      <c r="I6317" s="26">
        <v>2</v>
      </c>
      <c r="J6317" s="10">
        <v>0.4860799999999999</v>
      </c>
      <c r="K6317" s="17">
        <v>2</v>
      </c>
      <c r="L6317" s="18">
        <v>0.4860799999999999</v>
      </c>
      <c r="M6317" s="19">
        <v>0</v>
      </c>
      <c r="N6317" s="13">
        <v>0</v>
      </c>
      <c r="O6317" s="9">
        <v>8.5500000000000007</v>
      </c>
      <c r="P6317" s="74">
        <v>2</v>
      </c>
      <c r="Q6317" s="72" t="s">
        <v>602</v>
      </c>
    </row>
    <row r="6318" spans="1:18">
      <c r="A6318" s="42" t="s">
        <v>77</v>
      </c>
      <c r="B6318" s="3" t="s">
        <v>68</v>
      </c>
      <c r="C6318" s="3">
        <v>175</v>
      </c>
      <c r="D6318" s="12" t="s">
        <v>20</v>
      </c>
      <c r="E6318" s="7" t="s">
        <v>15</v>
      </c>
      <c r="F6318" s="7" t="s">
        <v>50</v>
      </c>
      <c r="G6318" s="11">
        <v>21.7</v>
      </c>
      <c r="H6318" s="8">
        <v>11.4</v>
      </c>
      <c r="I6318" s="26">
        <v>2</v>
      </c>
      <c r="J6318" s="10">
        <v>0.49475999999999998</v>
      </c>
      <c r="K6318" s="17">
        <v>2</v>
      </c>
      <c r="L6318" s="18">
        <v>0.49475999999999998</v>
      </c>
      <c r="M6318" s="19">
        <v>0</v>
      </c>
      <c r="N6318" s="13">
        <v>0</v>
      </c>
      <c r="O6318" s="9">
        <v>8.5500000000000007</v>
      </c>
      <c r="P6318" s="74">
        <v>2</v>
      </c>
      <c r="Q6318" s="74" t="s">
        <v>792</v>
      </c>
    </row>
    <row r="6319" spans="1:18">
      <c r="A6319" s="42" t="s">
        <v>77</v>
      </c>
      <c r="B6319" s="3" t="s">
        <v>68</v>
      </c>
      <c r="C6319" s="3">
        <v>175</v>
      </c>
      <c r="D6319" s="12" t="s">
        <v>20</v>
      </c>
      <c r="E6319" s="7" t="s">
        <v>15</v>
      </c>
      <c r="F6319" s="7" t="s">
        <v>50</v>
      </c>
      <c r="G6319" s="11">
        <v>21.7</v>
      </c>
      <c r="H6319" s="8">
        <v>12</v>
      </c>
      <c r="I6319" s="26">
        <v>2</v>
      </c>
      <c r="J6319" s="10">
        <v>0.52079999999999993</v>
      </c>
      <c r="K6319" s="17">
        <v>2</v>
      </c>
      <c r="L6319" s="18">
        <v>0.52079999999999993</v>
      </c>
      <c r="M6319" s="19">
        <v>0</v>
      </c>
      <c r="N6319" s="13">
        <v>0</v>
      </c>
      <c r="O6319" s="9">
        <v>8.5500000000000007</v>
      </c>
      <c r="P6319" s="74">
        <v>2</v>
      </c>
      <c r="Q6319" s="74" t="s">
        <v>792</v>
      </c>
    </row>
    <row r="6320" spans="1:18">
      <c r="A6320" s="42" t="s">
        <v>77</v>
      </c>
      <c r="B6320" s="3" t="s">
        <v>68</v>
      </c>
      <c r="C6320" s="3">
        <v>196</v>
      </c>
      <c r="D6320" s="12" t="s">
        <v>20</v>
      </c>
      <c r="E6320" s="7" t="s">
        <v>15</v>
      </c>
      <c r="F6320" s="7" t="s">
        <v>50</v>
      </c>
      <c r="G6320" s="11">
        <v>21.7</v>
      </c>
      <c r="H6320" s="8">
        <v>11.6</v>
      </c>
      <c r="I6320" s="26">
        <v>1</v>
      </c>
      <c r="J6320" s="10">
        <v>0.25171999999999994</v>
      </c>
      <c r="K6320" s="17">
        <v>1</v>
      </c>
      <c r="L6320" s="18">
        <v>0.25171999999999994</v>
      </c>
      <c r="M6320" s="19">
        <v>0</v>
      </c>
      <c r="N6320" s="13">
        <v>0</v>
      </c>
      <c r="O6320" s="9">
        <v>8.5500000000000007</v>
      </c>
      <c r="P6320" s="74">
        <v>1</v>
      </c>
      <c r="Q6320" s="74" t="s">
        <v>792</v>
      </c>
    </row>
    <row r="6321" spans="1:17">
      <c r="A6321" s="48" t="s">
        <v>179</v>
      </c>
      <c r="B6321" s="48" t="s">
        <v>180</v>
      </c>
      <c r="C6321" s="32"/>
      <c r="D6321" s="48" t="s">
        <v>152</v>
      </c>
      <c r="E6321" s="48" t="s">
        <v>15</v>
      </c>
      <c r="F6321" s="48" t="s">
        <v>50</v>
      </c>
      <c r="G6321" s="11">
        <v>21.7</v>
      </c>
      <c r="H6321" s="52">
        <v>11.3</v>
      </c>
      <c r="I6321" s="7">
        <v>2</v>
      </c>
      <c r="J6321" s="10">
        <v>0.49042000000000002</v>
      </c>
      <c r="K6321" s="32">
        <v>2</v>
      </c>
      <c r="L6321" s="18">
        <v>0.49042000000000002</v>
      </c>
      <c r="M6321" s="19">
        <v>0</v>
      </c>
      <c r="N6321" s="13">
        <v>0</v>
      </c>
      <c r="O6321" s="9">
        <v>8.5500000000000007</v>
      </c>
      <c r="P6321" s="72">
        <v>2</v>
      </c>
      <c r="Q6321" s="74" t="s">
        <v>792</v>
      </c>
    </row>
    <row r="6322" spans="1:17">
      <c r="A6322" s="44" t="s">
        <v>78</v>
      </c>
      <c r="B6322" s="32" t="s">
        <v>111</v>
      </c>
      <c r="C6322" s="3">
        <v>6</v>
      </c>
      <c r="D6322" s="20" t="s">
        <v>20</v>
      </c>
      <c r="E6322" s="7" t="s">
        <v>15</v>
      </c>
      <c r="F6322" s="7" t="s">
        <v>50</v>
      </c>
      <c r="G6322" s="11">
        <v>21.7</v>
      </c>
      <c r="H6322" s="55">
        <v>8.9</v>
      </c>
      <c r="I6322" s="40">
        <v>1</v>
      </c>
      <c r="J6322" s="10">
        <v>0.19313</v>
      </c>
      <c r="K6322" s="17">
        <v>1</v>
      </c>
      <c r="L6322" s="18">
        <v>0.19313</v>
      </c>
      <c r="M6322" s="19">
        <v>0</v>
      </c>
      <c r="N6322" s="13">
        <v>0</v>
      </c>
      <c r="O6322" s="32">
        <v>8.5500000000000007</v>
      </c>
      <c r="P6322" s="72">
        <v>1</v>
      </c>
      <c r="Q6322" s="72" t="s">
        <v>602</v>
      </c>
    </row>
    <row r="6323" spans="1:17">
      <c r="A6323" s="44" t="s">
        <v>78</v>
      </c>
      <c r="B6323" s="32" t="s">
        <v>111</v>
      </c>
      <c r="C6323" s="3">
        <v>6</v>
      </c>
      <c r="D6323" s="20" t="s">
        <v>20</v>
      </c>
      <c r="E6323" s="7" t="s">
        <v>15</v>
      </c>
      <c r="F6323" s="7" t="s">
        <v>50</v>
      </c>
      <c r="G6323" s="11">
        <v>21.7</v>
      </c>
      <c r="H6323" s="55">
        <v>9.5</v>
      </c>
      <c r="I6323" s="40">
        <v>1</v>
      </c>
      <c r="J6323" s="10">
        <v>0.20615</v>
      </c>
      <c r="K6323" s="17">
        <v>1</v>
      </c>
      <c r="L6323" s="18">
        <v>0.20615</v>
      </c>
      <c r="M6323" s="19">
        <v>0</v>
      </c>
      <c r="N6323" s="13">
        <v>0</v>
      </c>
      <c r="O6323" s="32">
        <v>8.5500000000000007</v>
      </c>
      <c r="P6323" s="72">
        <v>1</v>
      </c>
      <c r="Q6323" s="72" t="s">
        <v>602</v>
      </c>
    </row>
    <row r="6324" spans="1:17">
      <c r="A6324" s="44" t="s">
        <v>78</v>
      </c>
      <c r="B6324" s="32" t="s">
        <v>111</v>
      </c>
      <c r="C6324" s="3">
        <v>6</v>
      </c>
      <c r="D6324" s="20" t="s">
        <v>20</v>
      </c>
      <c r="E6324" s="7" t="s">
        <v>15</v>
      </c>
      <c r="F6324" s="7" t="s">
        <v>50</v>
      </c>
      <c r="G6324" s="11">
        <v>21.7</v>
      </c>
      <c r="H6324" s="55">
        <v>11.1</v>
      </c>
      <c r="I6324" s="40">
        <v>1</v>
      </c>
      <c r="J6324" s="10">
        <v>0.24086999999999997</v>
      </c>
      <c r="K6324" s="17">
        <v>1</v>
      </c>
      <c r="L6324" s="18">
        <v>0.24086999999999997</v>
      </c>
      <c r="M6324" s="19">
        <v>0</v>
      </c>
      <c r="N6324" s="13">
        <v>0</v>
      </c>
      <c r="O6324" s="32">
        <v>8.5500000000000007</v>
      </c>
      <c r="P6324" s="72">
        <v>1</v>
      </c>
      <c r="Q6324" s="72" t="s">
        <v>602</v>
      </c>
    </row>
    <row r="6325" spans="1:17">
      <c r="A6325" s="44" t="s">
        <v>78</v>
      </c>
      <c r="B6325" s="32" t="s">
        <v>111</v>
      </c>
      <c r="C6325" s="3">
        <v>6</v>
      </c>
      <c r="D6325" s="20" t="s">
        <v>20</v>
      </c>
      <c r="E6325" s="7" t="s">
        <v>15</v>
      </c>
      <c r="F6325" s="7" t="s">
        <v>50</v>
      </c>
      <c r="G6325" s="11">
        <v>21.7</v>
      </c>
      <c r="H6325" s="55">
        <v>11.3</v>
      </c>
      <c r="I6325" s="40">
        <v>1</v>
      </c>
      <c r="J6325" s="10">
        <v>0.24521000000000001</v>
      </c>
      <c r="K6325" s="17">
        <v>1</v>
      </c>
      <c r="L6325" s="18">
        <v>0.24521000000000001</v>
      </c>
      <c r="M6325" s="19">
        <v>0</v>
      </c>
      <c r="N6325" s="13">
        <v>0</v>
      </c>
      <c r="O6325" s="32">
        <v>8.5500000000000007</v>
      </c>
      <c r="P6325" s="72">
        <v>1</v>
      </c>
      <c r="Q6325" s="72" t="s">
        <v>602</v>
      </c>
    </row>
    <row r="6326" spans="1:17">
      <c r="A6326" s="45" t="s">
        <v>136</v>
      </c>
      <c r="B6326" s="32" t="s">
        <v>137</v>
      </c>
      <c r="C6326" s="3">
        <v>66</v>
      </c>
      <c r="D6326" s="20" t="s">
        <v>20</v>
      </c>
      <c r="E6326" s="7" t="s">
        <v>15</v>
      </c>
      <c r="F6326" s="7" t="s">
        <v>50</v>
      </c>
      <c r="G6326" s="11">
        <v>21.7</v>
      </c>
      <c r="H6326" s="55">
        <v>12</v>
      </c>
      <c r="I6326" s="40">
        <v>1</v>
      </c>
      <c r="J6326" s="10">
        <v>0.26039999999999996</v>
      </c>
      <c r="K6326" s="17">
        <v>1</v>
      </c>
      <c r="L6326" s="18">
        <v>0.26039999999999996</v>
      </c>
      <c r="M6326" s="19">
        <v>0</v>
      </c>
      <c r="N6326" s="13">
        <v>0</v>
      </c>
      <c r="O6326" s="32">
        <v>8.5500000000000007</v>
      </c>
      <c r="P6326" s="72">
        <v>1</v>
      </c>
      <c r="Q6326" s="74" t="s">
        <v>792</v>
      </c>
    </row>
    <row r="6327" spans="1:17">
      <c r="A6327" s="45" t="s">
        <v>136</v>
      </c>
      <c r="B6327" s="32" t="s">
        <v>137</v>
      </c>
      <c r="C6327" s="3">
        <v>78</v>
      </c>
      <c r="D6327" s="20" t="s">
        <v>113</v>
      </c>
      <c r="E6327" s="7" t="s">
        <v>15</v>
      </c>
      <c r="F6327" s="7" t="s">
        <v>50</v>
      </c>
      <c r="G6327" s="11">
        <v>21.7</v>
      </c>
      <c r="H6327" s="55">
        <v>11.2</v>
      </c>
      <c r="I6327" s="40">
        <v>1</v>
      </c>
      <c r="J6327" s="10">
        <v>0.24303999999999995</v>
      </c>
      <c r="K6327" s="17">
        <v>1</v>
      </c>
      <c r="L6327" s="18">
        <v>0.24303999999999995</v>
      </c>
      <c r="M6327" s="19">
        <v>0</v>
      </c>
      <c r="N6327" s="13">
        <v>0</v>
      </c>
      <c r="O6327" s="32">
        <v>8.5500000000000007</v>
      </c>
      <c r="P6327" s="72">
        <v>1</v>
      </c>
      <c r="Q6327" s="74" t="s">
        <v>792</v>
      </c>
    </row>
    <row r="6328" spans="1:17">
      <c r="A6328" s="45" t="s">
        <v>136</v>
      </c>
      <c r="B6328" s="32" t="s">
        <v>137</v>
      </c>
      <c r="C6328" s="3">
        <v>78</v>
      </c>
      <c r="D6328" s="20" t="s">
        <v>113</v>
      </c>
      <c r="E6328" s="7" t="s">
        <v>15</v>
      </c>
      <c r="F6328" s="7" t="s">
        <v>50</v>
      </c>
      <c r="G6328" s="11">
        <v>21.7</v>
      </c>
      <c r="H6328" s="55">
        <v>11.3</v>
      </c>
      <c r="I6328" s="40">
        <v>1</v>
      </c>
      <c r="J6328" s="10">
        <v>0.24521000000000001</v>
      </c>
      <c r="K6328" s="17">
        <v>1</v>
      </c>
      <c r="L6328" s="18">
        <v>0.24521000000000001</v>
      </c>
      <c r="M6328" s="19">
        <v>0</v>
      </c>
      <c r="N6328" s="13">
        <v>0</v>
      </c>
      <c r="O6328" s="32">
        <v>8.5500000000000007</v>
      </c>
      <c r="P6328" s="72">
        <v>1</v>
      </c>
      <c r="Q6328" s="74" t="s">
        <v>792</v>
      </c>
    </row>
    <row r="6329" spans="1:17">
      <c r="A6329" s="45" t="s">
        <v>136</v>
      </c>
      <c r="B6329" s="32" t="s">
        <v>137</v>
      </c>
      <c r="C6329" s="3">
        <v>85</v>
      </c>
      <c r="D6329" s="20" t="s">
        <v>20</v>
      </c>
      <c r="E6329" s="7" t="s">
        <v>15</v>
      </c>
      <c r="F6329" s="7" t="s">
        <v>50</v>
      </c>
      <c r="G6329" s="11">
        <v>21.7</v>
      </c>
      <c r="H6329" s="55">
        <v>7.5</v>
      </c>
      <c r="I6329" s="40">
        <v>1</v>
      </c>
      <c r="J6329" s="10">
        <v>0.16275000000000001</v>
      </c>
      <c r="K6329" s="17">
        <v>1</v>
      </c>
      <c r="L6329" s="18">
        <v>0.16275000000000001</v>
      </c>
      <c r="M6329" s="19">
        <v>0</v>
      </c>
      <c r="N6329" s="13">
        <v>0</v>
      </c>
      <c r="O6329" s="33">
        <v>7</v>
      </c>
      <c r="P6329" s="72">
        <v>1</v>
      </c>
      <c r="Q6329" s="72" t="s">
        <v>602</v>
      </c>
    </row>
    <row r="6330" spans="1:17">
      <c r="A6330" s="45" t="s">
        <v>136</v>
      </c>
      <c r="B6330" s="32" t="s">
        <v>137</v>
      </c>
      <c r="C6330" s="3">
        <v>85</v>
      </c>
      <c r="D6330" s="20" t="s">
        <v>20</v>
      </c>
      <c r="E6330" s="7" t="s">
        <v>15</v>
      </c>
      <c r="F6330" s="7" t="s">
        <v>50</v>
      </c>
      <c r="G6330" s="11">
        <v>21.7</v>
      </c>
      <c r="H6330" s="55">
        <v>10.1</v>
      </c>
      <c r="I6330" s="40">
        <v>1</v>
      </c>
      <c r="J6330" s="10">
        <v>0.21916999999999998</v>
      </c>
      <c r="K6330" s="17">
        <v>1</v>
      </c>
      <c r="L6330" s="18">
        <v>0.21916999999999998</v>
      </c>
      <c r="M6330" s="19">
        <v>0</v>
      </c>
      <c r="N6330" s="13">
        <v>0</v>
      </c>
      <c r="O6330" s="33">
        <v>8.5500000000000007</v>
      </c>
      <c r="P6330" s="72">
        <v>1</v>
      </c>
      <c r="Q6330" s="72" t="s">
        <v>602</v>
      </c>
    </row>
    <row r="6331" spans="1:17">
      <c r="A6331" s="45" t="s">
        <v>136</v>
      </c>
      <c r="B6331" s="32" t="s">
        <v>137</v>
      </c>
      <c r="C6331" s="3">
        <v>90</v>
      </c>
      <c r="D6331" s="20" t="s">
        <v>139</v>
      </c>
      <c r="E6331" s="7" t="s">
        <v>15</v>
      </c>
      <c r="F6331" s="7" t="s">
        <v>50</v>
      </c>
      <c r="G6331" s="11">
        <v>21.7</v>
      </c>
      <c r="H6331" s="55">
        <v>7.2</v>
      </c>
      <c r="I6331" s="40">
        <v>1</v>
      </c>
      <c r="J6331" s="10">
        <v>0.15624000000000002</v>
      </c>
      <c r="K6331" s="17">
        <v>1</v>
      </c>
      <c r="L6331" s="18">
        <v>0.15624000000000002</v>
      </c>
      <c r="M6331" s="19">
        <v>0</v>
      </c>
      <c r="N6331" s="13">
        <v>0</v>
      </c>
      <c r="O6331" s="33">
        <v>7</v>
      </c>
      <c r="P6331" s="72">
        <v>1</v>
      </c>
      <c r="Q6331" s="72" t="s">
        <v>602</v>
      </c>
    </row>
    <row r="6332" spans="1:17">
      <c r="A6332" s="45" t="s">
        <v>136</v>
      </c>
      <c r="B6332" s="32" t="s">
        <v>137</v>
      </c>
      <c r="C6332" s="3">
        <v>90</v>
      </c>
      <c r="D6332" s="20" t="s">
        <v>139</v>
      </c>
      <c r="E6332" s="7" t="s">
        <v>15</v>
      </c>
      <c r="F6332" s="7" t="s">
        <v>50</v>
      </c>
      <c r="G6332" s="11">
        <v>21.7</v>
      </c>
      <c r="H6332" s="55">
        <v>12</v>
      </c>
      <c r="I6332" s="40">
        <v>1</v>
      </c>
      <c r="J6332" s="10">
        <v>0.26039999999999996</v>
      </c>
      <c r="K6332" s="17">
        <v>1</v>
      </c>
      <c r="L6332" s="18">
        <v>0.26039999999999996</v>
      </c>
      <c r="M6332" s="19">
        <v>0</v>
      </c>
      <c r="N6332" s="13">
        <v>0</v>
      </c>
      <c r="O6332" s="33">
        <v>8.5500000000000007</v>
      </c>
      <c r="P6332" s="72">
        <v>1</v>
      </c>
      <c r="Q6332" s="72" t="s">
        <v>602</v>
      </c>
    </row>
    <row r="6333" spans="1:17">
      <c r="A6333" s="45" t="s">
        <v>136</v>
      </c>
      <c r="B6333" s="32" t="s">
        <v>137</v>
      </c>
      <c r="C6333" s="3">
        <v>93</v>
      </c>
      <c r="D6333" s="20" t="s">
        <v>20</v>
      </c>
      <c r="E6333" s="7" t="s">
        <v>15</v>
      </c>
      <c r="F6333" s="7" t="s">
        <v>50</v>
      </c>
      <c r="G6333" s="11">
        <v>21.7</v>
      </c>
      <c r="H6333" s="55">
        <v>7</v>
      </c>
      <c r="I6333" s="40">
        <v>1</v>
      </c>
      <c r="J6333" s="10">
        <v>0.15190000000000001</v>
      </c>
      <c r="K6333" s="17">
        <v>1</v>
      </c>
      <c r="L6333" s="18">
        <v>0.15190000000000001</v>
      </c>
      <c r="M6333" s="19">
        <v>0</v>
      </c>
      <c r="N6333" s="13">
        <v>0</v>
      </c>
      <c r="O6333" s="33">
        <v>7</v>
      </c>
      <c r="P6333" s="72">
        <v>1</v>
      </c>
      <c r="Q6333" s="72" t="s">
        <v>602</v>
      </c>
    </row>
    <row r="6334" spans="1:17">
      <c r="A6334" s="45" t="s">
        <v>136</v>
      </c>
      <c r="B6334" s="32" t="s">
        <v>137</v>
      </c>
      <c r="C6334" s="3">
        <v>93</v>
      </c>
      <c r="D6334" s="20" t="s">
        <v>20</v>
      </c>
      <c r="E6334" s="7" t="s">
        <v>15</v>
      </c>
      <c r="F6334" s="7" t="s">
        <v>50</v>
      </c>
      <c r="G6334" s="11">
        <v>21.7</v>
      </c>
      <c r="H6334" s="55">
        <v>7.1</v>
      </c>
      <c r="I6334" s="40">
        <v>1</v>
      </c>
      <c r="J6334" s="10">
        <v>0.15406999999999998</v>
      </c>
      <c r="K6334" s="17">
        <v>1</v>
      </c>
      <c r="L6334" s="18">
        <v>0.15406999999999998</v>
      </c>
      <c r="M6334" s="19">
        <v>0</v>
      </c>
      <c r="N6334" s="13">
        <v>0</v>
      </c>
      <c r="O6334" s="33">
        <v>7</v>
      </c>
      <c r="P6334" s="72">
        <v>1</v>
      </c>
      <c r="Q6334" s="72" t="s">
        <v>602</v>
      </c>
    </row>
    <row r="6335" spans="1:17">
      <c r="A6335" s="45" t="s">
        <v>136</v>
      </c>
      <c r="B6335" s="32" t="s">
        <v>137</v>
      </c>
      <c r="C6335" s="3">
        <v>93</v>
      </c>
      <c r="D6335" s="20" t="s">
        <v>20</v>
      </c>
      <c r="E6335" s="7" t="s">
        <v>15</v>
      </c>
      <c r="F6335" s="7" t="s">
        <v>50</v>
      </c>
      <c r="G6335" s="11">
        <v>21.7</v>
      </c>
      <c r="H6335" s="55">
        <v>7.2</v>
      </c>
      <c r="I6335" s="41">
        <v>2</v>
      </c>
      <c r="J6335" s="10">
        <v>0.31248000000000004</v>
      </c>
      <c r="K6335" s="17">
        <v>2</v>
      </c>
      <c r="L6335" s="18">
        <v>0.31248000000000004</v>
      </c>
      <c r="M6335" s="19">
        <v>0</v>
      </c>
      <c r="N6335" s="13">
        <v>0</v>
      </c>
      <c r="O6335" s="33">
        <v>7</v>
      </c>
      <c r="P6335" s="72">
        <v>2</v>
      </c>
      <c r="Q6335" s="72" t="s">
        <v>602</v>
      </c>
    </row>
    <row r="6336" spans="1:17">
      <c r="P6336" s="76">
        <f>SUM(P6316:P6335)</f>
        <v>25</v>
      </c>
    </row>
    <row r="6338" spans="1:18">
      <c r="A6338" s="42" t="s">
        <v>77</v>
      </c>
      <c r="B6338" s="3" t="s">
        <v>68</v>
      </c>
      <c r="C6338" s="3">
        <v>233</v>
      </c>
      <c r="D6338" s="20" t="s">
        <v>63</v>
      </c>
      <c r="E6338" s="7" t="s">
        <v>15</v>
      </c>
      <c r="F6338" s="7" t="s">
        <v>42</v>
      </c>
      <c r="G6338" s="11">
        <v>19.72</v>
      </c>
      <c r="H6338" s="8">
        <v>6</v>
      </c>
      <c r="I6338" s="26">
        <v>3</v>
      </c>
      <c r="J6338" s="10">
        <v>0.35496</v>
      </c>
      <c r="K6338" s="17"/>
      <c r="L6338" s="18">
        <v>0</v>
      </c>
      <c r="M6338" s="19">
        <v>3</v>
      </c>
      <c r="N6338" s="13">
        <v>0.35496</v>
      </c>
      <c r="O6338" s="9"/>
      <c r="P6338" s="2"/>
      <c r="Q6338" s="2"/>
    </row>
    <row r="6339" spans="1:18">
      <c r="A6339" s="42" t="s">
        <v>77</v>
      </c>
      <c r="B6339" s="3" t="s">
        <v>68</v>
      </c>
      <c r="C6339" s="3">
        <v>254</v>
      </c>
      <c r="D6339" s="12" t="s">
        <v>20</v>
      </c>
      <c r="E6339" s="7" t="s">
        <v>15</v>
      </c>
      <c r="F6339" s="7" t="s">
        <v>42</v>
      </c>
      <c r="G6339" s="11">
        <v>19.72</v>
      </c>
      <c r="H6339" s="8">
        <v>6.6</v>
      </c>
      <c r="I6339" s="26">
        <v>1</v>
      </c>
      <c r="J6339" s="10">
        <v>0.13015199999999999</v>
      </c>
      <c r="K6339" s="17"/>
      <c r="L6339" s="18">
        <v>0</v>
      </c>
      <c r="M6339" s="19">
        <v>1</v>
      </c>
      <c r="N6339" s="13">
        <v>0.13015199999999999</v>
      </c>
      <c r="O6339" s="9"/>
      <c r="P6339" s="2"/>
      <c r="Q6339" s="2"/>
    </row>
    <row r="6340" spans="1:18">
      <c r="A6340" s="42" t="s">
        <v>84</v>
      </c>
      <c r="B6340" s="3" t="s">
        <v>124</v>
      </c>
      <c r="C6340" s="3">
        <v>1</v>
      </c>
      <c r="D6340" s="20" t="s">
        <v>126</v>
      </c>
      <c r="E6340" s="7" t="s">
        <v>15</v>
      </c>
      <c r="F6340" s="7" t="s">
        <v>42</v>
      </c>
      <c r="G6340" s="11">
        <v>19.72</v>
      </c>
      <c r="H6340" s="8">
        <v>6.5</v>
      </c>
      <c r="I6340" s="26">
        <v>1</v>
      </c>
      <c r="J6340" s="10">
        <v>0.12818000000000002</v>
      </c>
      <c r="K6340" s="17">
        <v>1</v>
      </c>
      <c r="L6340" s="18">
        <v>0.12818000000000002</v>
      </c>
      <c r="M6340" s="19">
        <v>0</v>
      </c>
      <c r="N6340" s="13">
        <v>0</v>
      </c>
      <c r="O6340" s="89">
        <v>6</v>
      </c>
      <c r="P6340" s="90">
        <v>1</v>
      </c>
      <c r="Q6340" s="90" t="s">
        <v>793</v>
      </c>
    </row>
    <row r="6341" spans="1:18">
      <c r="A6341" s="42" t="s">
        <v>84</v>
      </c>
      <c r="B6341" s="3" t="s">
        <v>124</v>
      </c>
      <c r="C6341" s="3">
        <v>1</v>
      </c>
      <c r="D6341" s="20" t="s">
        <v>114</v>
      </c>
      <c r="E6341" s="7" t="s">
        <v>15</v>
      </c>
      <c r="F6341" s="7" t="s">
        <v>42</v>
      </c>
      <c r="G6341" s="11">
        <v>19.72</v>
      </c>
      <c r="H6341" s="8">
        <v>4.2</v>
      </c>
      <c r="I6341" s="26">
        <v>2</v>
      </c>
      <c r="J6341" s="10">
        <v>0.16564799999999999</v>
      </c>
      <c r="K6341" s="17"/>
      <c r="L6341" s="18">
        <v>0</v>
      </c>
      <c r="M6341" s="19">
        <v>2</v>
      </c>
      <c r="N6341" s="13">
        <v>0.16564799999999999</v>
      </c>
      <c r="O6341" s="9"/>
      <c r="P6341" s="2"/>
      <c r="Q6341" s="2"/>
    </row>
    <row r="6342" spans="1:18">
      <c r="A6342" s="42" t="s">
        <v>90</v>
      </c>
      <c r="B6342" s="48" t="s">
        <v>148</v>
      </c>
      <c r="C6342" s="32">
        <v>79</v>
      </c>
      <c r="D6342" s="48" t="s">
        <v>20</v>
      </c>
      <c r="E6342" s="48" t="s">
        <v>15</v>
      </c>
      <c r="F6342" s="48" t="s">
        <v>42</v>
      </c>
      <c r="G6342" s="11">
        <v>19.72</v>
      </c>
      <c r="H6342" s="8">
        <v>11.2</v>
      </c>
      <c r="I6342" s="7">
        <v>1</v>
      </c>
      <c r="J6342" s="10">
        <v>0.22086399999999998</v>
      </c>
      <c r="K6342" s="32">
        <v>1</v>
      </c>
      <c r="L6342" s="18">
        <v>0.22086399999999998</v>
      </c>
      <c r="M6342" s="19">
        <v>0</v>
      </c>
      <c r="N6342" s="13">
        <v>0</v>
      </c>
      <c r="O6342" s="91">
        <v>9.25</v>
      </c>
      <c r="P6342" s="91">
        <v>1</v>
      </c>
      <c r="Q6342" s="91" t="s">
        <v>760</v>
      </c>
    </row>
    <row r="6343" spans="1:18">
      <c r="A6343" s="42" t="s">
        <v>90</v>
      </c>
      <c r="B6343" s="48" t="s">
        <v>148</v>
      </c>
      <c r="C6343" s="32">
        <v>79</v>
      </c>
      <c r="D6343" s="48" t="s">
        <v>20</v>
      </c>
      <c r="E6343" s="48" t="s">
        <v>15</v>
      </c>
      <c r="F6343" s="48" t="s">
        <v>42</v>
      </c>
      <c r="G6343" s="11">
        <v>19.72</v>
      </c>
      <c r="H6343" s="8">
        <v>11</v>
      </c>
      <c r="I6343" s="7">
        <v>1</v>
      </c>
      <c r="J6343" s="10">
        <v>0.21691999999999997</v>
      </c>
      <c r="K6343" s="32">
        <v>1</v>
      </c>
      <c r="L6343" s="18">
        <v>0.21691999999999997</v>
      </c>
      <c r="M6343" s="19">
        <v>0</v>
      </c>
      <c r="N6343" s="13">
        <v>0</v>
      </c>
      <c r="O6343" s="91">
        <v>9.25</v>
      </c>
      <c r="P6343" s="91">
        <v>1</v>
      </c>
      <c r="Q6343" s="91" t="s">
        <v>760</v>
      </c>
    </row>
    <row r="6344" spans="1:18">
      <c r="A6344" s="42" t="s">
        <v>78</v>
      </c>
      <c r="B6344" s="3" t="s">
        <v>80</v>
      </c>
      <c r="C6344" s="3">
        <v>1</v>
      </c>
      <c r="D6344" s="12" t="s">
        <v>63</v>
      </c>
      <c r="E6344" s="7" t="s">
        <v>15</v>
      </c>
      <c r="F6344" s="7" t="s">
        <v>42</v>
      </c>
      <c r="G6344" s="11">
        <v>19.72</v>
      </c>
      <c r="H6344" s="8">
        <v>6</v>
      </c>
      <c r="I6344" s="26">
        <v>1</v>
      </c>
      <c r="J6344" s="10">
        <v>0.11831999999999999</v>
      </c>
      <c r="K6344" s="17"/>
      <c r="L6344" s="18">
        <v>0</v>
      </c>
      <c r="M6344" s="19">
        <v>1</v>
      </c>
      <c r="N6344" s="13">
        <v>0.11831999999999999</v>
      </c>
      <c r="O6344" s="9"/>
      <c r="P6344" s="2"/>
      <c r="Q6344" s="2"/>
    </row>
    <row r="6345" spans="1:18">
      <c r="A6345" s="44" t="s">
        <v>78</v>
      </c>
      <c r="B6345" s="32" t="s">
        <v>80</v>
      </c>
      <c r="C6345" s="3">
        <v>1</v>
      </c>
      <c r="D6345" s="20" t="s">
        <v>91</v>
      </c>
      <c r="E6345" s="7" t="s">
        <v>15</v>
      </c>
      <c r="F6345" s="7" t="s">
        <v>42</v>
      </c>
      <c r="G6345" s="11">
        <v>19.72</v>
      </c>
      <c r="H6345" s="55">
        <v>7.5</v>
      </c>
      <c r="I6345" s="40">
        <v>2</v>
      </c>
      <c r="J6345" s="10">
        <v>0.29579999999999995</v>
      </c>
      <c r="K6345" s="17"/>
      <c r="L6345" s="18">
        <v>0</v>
      </c>
      <c r="M6345" s="19">
        <v>2</v>
      </c>
      <c r="N6345" s="13">
        <v>0.29579999999999995</v>
      </c>
      <c r="O6345" s="55"/>
      <c r="P6345" s="32"/>
      <c r="Q6345" s="2"/>
    </row>
    <row r="6346" spans="1:18">
      <c r="A6346" s="44" t="s">
        <v>78</v>
      </c>
      <c r="B6346" s="32" t="s">
        <v>80</v>
      </c>
      <c r="C6346" s="3">
        <v>1</v>
      </c>
      <c r="D6346" s="20" t="s">
        <v>91</v>
      </c>
      <c r="E6346" s="7" t="s">
        <v>15</v>
      </c>
      <c r="F6346" s="7" t="s">
        <v>42</v>
      </c>
      <c r="G6346" s="11">
        <v>19.72</v>
      </c>
      <c r="H6346" s="55">
        <v>8.3000000000000007</v>
      </c>
      <c r="I6346" s="40">
        <v>1</v>
      </c>
      <c r="J6346" s="10">
        <v>0.16367600000000002</v>
      </c>
      <c r="K6346" s="17"/>
      <c r="L6346" s="18">
        <v>0</v>
      </c>
      <c r="M6346" s="19">
        <v>1</v>
      </c>
      <c r="N6346" s="13">
        <v>0.16367600000000002</v>
      </c>
      <c r="O6346" s="55"/>
      <c r="P6346" s="32"/>
      <c r="Q6346" s="2"/>
    </row>
    <row r="6347" spans="1:18">
      <c r="A6347" s="45" t="s">
        <v>136</v>
      </c>
      <c r="B6347" s="32" t="s">
        <v>137</v>
      </c>
      <c r="C6347" s="3">
        <v>7</v>
      </c>
      <c r="D6347" s="20" t="s">
        <v>20</v>
      </c>
      <c r="E6347" s="7" t="s">
        <v>15</v>
      </c>
      <c r="F6347" s="7" t="s">
        <v>42</v>
      </c>
      <c r="G6347" s="11">
        <v>19.72</v>
      </c>
      <c r="H6347" s="55">
        <v>6.2</v>
      </c>
      <c r="I6347" s="40">
        <v>2</v>
      </c>
      <c r="J6347" s="10">
        <v>0.244528</v>
      </c>
      <c r="K6347" s="17"/>
      <c r="L6347" s="18">
        <v>0</v>
      </c>
      <c r="M6347" s="19">
        <v>2</v>
      </c>
      <c r="N6347" s="13">
        <v>0.244528</v>
      </c>
      <c r="O6347" s="32"/>
      <c r="P6347" s="32"/>
      <c r="Q6347" s="32"/>
    </row>
    <row r="6348" spans="1:18">
      <c r="A6348" s="45" t="s">
        <v>136</v>
      </c>
      <c r="B6348" s="32" t="s">
        <v>137</v>
      </c>
      <c r="C6348" s="3">
        <v>99</v>
      </c>
      <c r="D6348" s="20" t="s">
        <v>20</v>
      </c>
      <c r="E6348" s="7" t="s">
        <v>15</v>
      </c>
      <c r="F6348" s="7" t="s">
        <v>42</v>
      </c>
      <c r="G6348" s="11">
        <v>19.72</v>
      </c>
      <c r="H6348" s="55">
        <v>5.4</v>
      </c>
      <c r="I6348" s="41">
        <v>1</v>
      </c>
      <c r="J6348" s="10">
        <v>0.106488</v>
      </c>
      <c r="K6348" s="17"/>
      <c r="L6348" s="18">
        <v>0</v>
      </c>
      <c r="M6348" s="19">
        <v>1</v>
      </c>
      <c r="N6348" s="13">
        <v>0.106488</v>
      </c>
      <c r="O6348" s="33"/>
      <c r="P6348" s="32"/>
      <c r="Q6348" s="32"/>
    </row>
    <row r="6349" spans="1:18">
      <c r="M6349" s="78">
        <f>SUM(M6338:M6348)</f>
        <v>13</v>
      </c>
      <c r="P6349" s="215">
        <f>SUM(P6338:P6348)</f>
        <v>3</v>
      </c>
    </row>
    <row r="6351" spans="1:18" ht="15.6">
      <c r="A6351" s="110" t="s">
        <v>365</v>
      </c>
      <c r="B6351" s="111" t="s">
        <v>232</v>
      </c>
      <c r="C6351" s="112" t="s">
        <v>228</v>
      </c>
      <c r="D6351" s="113" t="s">
        <v>130</v>
      </c>
      <c r="E6351" s="114" t="s">
        <v>15</v>
      </c>
      <c r="F6351" s="115" t="s">
        <v>42</v>
      </c>
      <c r="G6351" s="116">
        <v>19.8</v>
      </c>
      <c r="H6351" s="125">
        <v>12</v>
      </c>
      <c r="I6351" s="111">
        <v>12</v>
      </c>
      <c r="J6351" s="117">
        <f>H6351*G6351*I6351/1000</f>
        <v>2.8512000000000004</v>
      </c>
      <c r="K6351" s="118"/>
      <c r="L6351" s="111">
        <v>12</v>
      </c>
      <c r="M6351" s="117">
        <f t="shared" ref="M6351:M6366" si="888">H6351*L6351*G6351/1000</f>
        <v>2.8512000000000004</v>
      </c>
      <c r="N6351" s="119">
        <f t="shared" ref="N6351:N6366" si="889">I6351-L6351</f>
        <v>0</v>
      </c>
      <c r="O6351" s="120">
        <f t="shared" ref="O6351:O6363" si="890">H6351*N6351*G6351/1000</f>
        <v>0</v>
      </c>
      <c r="P6351" s="111"/>
      <c r="Q6351" s="32"/>
      <c r="R6351" s="213"/>
    </row>
    <row r="6352" spans="1:18" ht="15.6">
      <c r="A6352" s="110" t="s">
        <v>365</v>
      </c>
      <c r="B6352" s="111" t="s">
        <v>232</v>
      </c>
      <c r="C6352" s="112" t="s">
        <v>228</v>
      </c>
      <c r="D6352" s="113" t="s">
        <v>130</v>
      </c>
      <c r="E6352" s="114" t="s">
        <v>15</v>
      </c>
      <c r="F6352" s="115" t="s">
        <v>42</v>
      </c>
      <c r="G6352" s="116">
        <v>19.8</v>
      </c>
      <c r="H6352" s="125">
        <v>11.5</v>
      </c>
      <c r="I6352" s="111">
        <v>12</v>
      </c>
      <c r="J6352" s="117">
        <f>H6352*G6352*I6352/1000</f>
        <v>2.7324000000000002</v>
      </c>
      <c r="K6352" s="118"/>
      <c r="L6352" s="111">
        <v>12</v>
      </c>
      <c r="M6352" s="117">
        <f t="shared" si="888"/>
        <v>2.7324000000000002</v>
      </c>
      <c r="N6352" s="119">
        <f t="shared" si="889"/>
        <v>0</v>
      </c>
      <c r="O6352" s="120">
        <f t="shared" si="890"/>
        <v>0</v>
      </c>
      <c r="P6352" s="111"/>
      <c r="Q6352" s="32"/>
      <c r="R6352" s="213"/>
    </row>
    <row r="6353" spans="1:18" ht="15.6">
      <c r="A6353" s="110" t="s">
        <v>365</v>
      </c>
      <c r="B6353" s="111" t="s">
        <v>232</v>
      </c>
      <c r="C6353" s="112" t="s">
        <v>228</v>
      </c>
      <c r="D6353" s="113" t="s">
        <v>130</v>
      </c>
      <c r="E6353" s="114" t="s">
        <v>15</v>
      </c>
      <c r="F6353" s="115" t="s">
        <v>42</v>
      </c>
      <c r="G6353" s="116">
        <v>19.8</v>
      </c>
      <c r="H6353" s="125">
        <v>12</v>
      </c>
      <c r="I6353" s="111">
        <v>12</v>
      </c>
      <c r="J6353" s="117">
        <f>H6353*G6353*I6353/1000</f>
        <v>2.8512000000000004</v>
      </c>
      <c r="K6353" s="118"/>
      <c r="L6353" s="111">
        <v>12</v>
      </c>
      <c r="M6353" s="117">
        <f t="shared" si="888"/>
        <v>2.8512000000000004</v>
      </c>
      <c r="N6353" s="119">
        <f t="shared" si="889"/>
        <v>0</v>
      </c>
      <c r="O6353" s="120">
        <f t="shared" si="890"/>
        <v>0</v>
      </c>
      <c r="P6353" s="111"/>
      <c r="Q6353" s="32"/>
      <c r="R6353" s="213"/>
    </row>
    <row r="6354" spans="1:18" ht="15.6">
      <c r="A6354" s="110" t="s">
        <v>365</v>
      </c>
      <c r="B6354" s="111" t="s">
        <v>232</v>
      </c>
      <c r="C6354" s="112" t="s">
        <v>228</v>
      </c>
      <c r="D6354" s="113" t="s">
        <v>130</v>
      </c>
      <c r="E6354" s="114" t="s">
        <v>15</v>
      </c>
      <c r="F6354" s="115" t="s">
        <v>42</v>
      </c>
      <c r="G6354" s="116">
        <v>19.8</v>
      </c>
      <c r="H6354" s="125">
        <v>12</v>
      </c>
      <c r="I6354" s="111">
        <v>14</v>
      </c>
      <c r="J6354" s="117">
        <f>H6354*G6354*I6354/1000</f>
        <v>3.3264000000000005</v>
      </c>
      <c r="K6354" s="118"/>
      <c r="L6354" s="111">
        <v>14</v>
      </c>
      <c r="M6354" s="117">
        <f t="shared" si="888"/>
        <v>3.3264</v>
      </c>
      <c r="N6354" s="119">
        <f t="shared" si="889"/>
        <v>0</v>
      </c>
      <c r="O6354" s="120">
        <f t="shared" si="890"/>
        <v>0</v>
      </c>
      <c r="P6354" s="111"/>
      <c r="Q6354" s="32"/>
      <c r="R6354" s="213"/>
    </row>
    <row r="6355" spans="1:18" ht="15.6">
      <c r="A6355" s="110" t="s">
        <v>365</v>
      </c>
      <c r="B6355" s="111" t="s">
        <v>232</v>
      </c>
      <c r="C6355" s="112" t="s">
        <v>228</v>
      </c>
      <c r="D6355" s="113" t="s">
        <v>130</v>
      </c>
      <c r="E6355" s="114" t="s">
        <v>15</v>
      </c>
      <c r="F6355" s="115" t="s">
        <v>42</v>
      </c>
      <c r="G6355" s="116">
        <v>19.8</v>
      </c>
      <c r="H6355" s="125">
        <v>11.9</v>
      </c>
      <c r="I6355" s="111">
        <v>7</v>
      </c>
      <c r="J6355" s="117">
        <f t="shared" ref="J6355:J6366" si="891">H6355*G6355*I6355/1000</f>
        <v>1.6493400000000003</v>
      </c>
      <c r="K6355" s="118"/>
      <c r="L6355" s="111">
        <v>7</v>
      </c>
      <c r="M6355" s="117">
        <f t="shared" si="888"/>
        <v>1.64934</v>
      </c>
      <c r="N6355" s="119">
        <f t="shared" si="889"/>
        <v>0</v>
      </c>
      <c r="O6355" s="120">
        <f t="shared" si="890"/>
        <v>0</v>
      </c>
      <c r="P6355" s="111"/>
      <c r="Q6355" s="32"/>
      <c r="R6355" s="213"/>
    </row>
    <row r="6356" spans="1:18" ht="15.6">
      <c r="A6356" s="110" t="s">
        <v>365</v>
      </c>
      <c r="B6356" s="111" t="s">
        <v>232</v>
      </c>
      <c r="C6356" s="112" t="s">
        <v>228</v>
      </c>
      <c r="D6356" s="113" t="s">
        <v>130</v>
      </c>
      <c r="E6356" s="114" t="s">
        <v>15</v>
      </c>
      <c r="F6356" s="115" t="s">
        <v>42</v>
      </c>
      <c r="G6356" s="116">
        <v>19.8</v>
      </c>
      <c r="H6356" s="125">
        <v>11.5</v>
      </c>
      <c r="I6356" s="111">
        <v>4</v>
      </c>
      <c r="J6356" s="117">
        <f t="shared" si="891"/>
        <v>0.91080000000000005</v>
      </c>
      <c r="K6356" s="118"/>
      <c r="L6356" s="111">
        <v>4</v>
      </c>
      <c r="M6356" s="117">
        <f t="shared" si="888"/>
        <v>0.91080000000000005</v>
      </c>
      <c r="N6356" s="119">
        <f t="shared" si="889"/>
        <v>0</v>
      </c>
      <c r="O6356" s="120">
        <f t="shared" si="890"/>
        <v>0</v>
      </c>
      <c r="P6356" s="111"/>
      <c r="Q6356" s="32"/>
      <c r="R6356" s="213"/>
    </row>
    <row r="6357" spans="1:18" ht="15.6">
      <c r="A6357" s="110" t="s">
        <v>365</v>
      </c>
      <c r="B6357" s="111" t="s">
        <v>232</v>
      </c>
      <c r="C6357" s="112" t="s">
        <v>228</v>
      </c>
      <c r="D6357" s="113" t="s">
        <v>130</v>
      </c>
      <c r="E6357" s="114" t="s">
        <v>15</v>
      </c>
      <c r="F6357" s="115" t="s">
        <v>42</v>
      </c>
      <c r="G6357" s="116">
        <v>19.8</v>
      </c>
      <c r="H6357" s="125">
        <v>11.45</v>
      </c>
      <c r="I6357" s="111">
        <v>1</v>
      </c>
      <c r="J6357" s="117">
        <f t="shared" si="891"/>
        <v>0.22670999999999999</v>
      </c>
      <c r="K6357" s="118"/>
      <c r="L6357" s="111">
        <v>1</v>
      </c>
      <c r="M6357" s="117">
        <f t="shared" si="888"/>
        <v>0.22670999999999999</v>
      </c>
      <c r="N6357" s="119">
        <f t="shared" si="889"/>
        <v>0</v>
      </c>
      <c r="O6357" s="120">
        <f t="shared" si="890"/>
        <v>0</v>
      </c>
      <c r="P6357" s="559">
        <v>10.9</v>
      </c>
      <c r="Q6357" s="77">
        <v>1</v>
      </c>
      <c r="R6357" s="559" t="s">
        <v>794</v>
      </c>
    </row>
    <row r="6358" spans="1:18" ht="15.6">
      <c r="A6358" s="110" t="s">
        <v>365</v>
      </c>
      <c r="B6358" s="111" t="s">
        <v>232</v>
      </c>
      <c r="C6358" s="112" t="s">
        <v>228</v>
      </c>
      <c r="D6358" s="113" t="s">
        <v>130</v>
      </c>
      <c r="E6358" s="114" t="s">
        <v>15</v>
      </c>
      <c r="F6358" s="115" t="s">
        <v>42</v>
      </c>
      <c r="G6358" s="116">
        <v>19.8</v>
      </c>
      <c r="H6358" s="125">
        <v>7.1</v>
      </c>
      <c r="I6358" s="111">
        <v>9</v>
      </c>
      <c r="J6358" s="117">
        <f t="shared" si="891"/>
        <v>1.2652199999999998</v>
      </c>
      <c r="K6358" s="118"/>
      <c r="L6358" s="111">
        <v>9</v>
      </c>
      <c r="M6358" s="117">
        <f t="shared" si="888"/>
        <v>1.26522</v>
      </c>
      <c r="N6358" s="119">
        <f t="shared" si="889"/>
        <v>0</v>
      </c>
      <c r="O6358" s="120">
        <f t="shared" si="890"/>
        <v>0</v>
      </c>
      <c r="P6358" s="111"/>
      <c r="Q6358" s="32"/>
      <c r="R6358" s="213"/>
    </row>
    <row r="6359" spans="1:18" ht="15.6">
      <c r="A6359" s="110" t="s">
        <v>365</v>
      </c>
      <c r="B6359" s="111" t="s">
        <v>232</v>
      </c>
      <c r="C6359" s="112" t="s">
        <v>228</v>
      </c>
      <c r="D6359" s="113" t="s">
        <v>130</v>
      </c>
      <c r="E6359" s="114" t="s">
        <v>15</v>
      </c>
      <c r="F6359" s="115" t="s">
        <v>42</v>
      </c>
      <c r="G6359" s="116">
        <v>19.8</v>
      </c>
      <c r="H6359" s="125">
        <v>10.9</v>
      </c>
      <c r="I6359" s="111">
        <v>1</v>
      </c>
      <c r="J6359" s="117">
        <f t="shared" si="891"/>
        <v>0.21582000000000001</v>
      </c>
      <c r="K6359" s="118"/>
      <c r="L6359" s="111">
        <v>1</v>
      </c>
      <c r="M6359" s="117">
        <f t="shared" si="888"/>
        <v>0.21582000000000001</v>
      </c>
      <c r="N6359" s="119">
        <f t="shared" si="889"/>
        <v>0</v>
      </c>
      <c r="O6359" s="120">
        <f t="shared" si="890"/>
        <v>0</v>
      </c>
      <c r="P6359" s="130"/>
      <c r="Q6359" s="32"/>
      <c r="R6359" s="213"/>
    </row>
    <row r="6360" spans="1:18" ht="15.6">
      <c r="A6360" s="110" t="s">
        <v>365</v>
      </c>
      <c r="B6360" s="111" t="s">
        <v>232</v>
      </c>
      <c r="C6360" s="112" t="s">
        <v>228</v>
      </c>
      <c r="D6360" s="113" t="s">
        <v>130</v>
      </c>
      <c r="E6360" s="114" t="s">
        <v>15</v>
      </c>
      <c r="F6360" s="115" t="s">
        <v>42</v>
      </c>
      <c r="G6360" s="116">
        <v>19.8</v>
      </c>
      <c r="H6360" s="125">
        <v>12</v>
      </c>
      <c r="I6360" s="111">
        <v>6</v>
      </c>
      <c r="J6360" s="117">
        <f t="shared" si="891"/>
        <v>1.4256000000000002</v>
      </c>
      <c r="K6360" s="118"/>
      <c r="L6360" s="111">
        <v>6</v>
      </c>
      <c r="M6360" s="117">
        <f t="shared" si="888"/>
        <v>1.4256000000000002</v>
      </c>
      <c r="N6360" s="119">
        <f t="shared" si="889"/>
        <v>0</v>
      </c>
      <c r="O6360" s="120">
        <f t="shared" si="890"/>
        <v>0</v>
      </c>
      <c r="P6360" s="130"/>
      <c r="Q6360" s="32"/>
      <c r="R6360" s="213"/>
    </row>
    <row r="6361" spans="1:18" ht="15.6">
      <c r="A6361" s="110" t="s">
        <v>365</v>
      </c>
      <c r="B6361" s="111" t="s">
        <v>232</v>
      </c>
      <c r="C6361" s="112" t="s">
        <v>228</v>
      </c>
      <c r="D6361" s="113" t="s">
        <v>130</v>
      </c>
      <c r="E6361" s="114" t="s">
        <v>15</v>
      </c>
      <c r="F6361" s="115" t="s">
        <v>42</v>
      </c>
      <c r="G6361" s="116">
        <v>19.8</v>
      </c>
      <c r="H6361" s="125">
        <v>12</v>
      </c>
      <c r="I6361" s="111">
        <v>13</v>
      </c>
      <c r="J6361" s="117">
        <f t="shared" si="891"/>
        <v>3.0888</v>
      </c>
      <c r="K6361" s="118"/>
      <c r="L6361" s="111">
        <v>13</v>
      </c>
      <c r="M6361" s="117">
        <f t="shared" si="888"/>
        <v>3.0888</v>
      </c>
      <c r="N6361" s="119">
        <f t="shared" si="889"/>
        <v>0</v>
      </c>
      <c r="O6361" s="120">
        <f t="shared" si="890"/>
        <v>0</v>
      </c>
      <c r="P6361" s="130"/>
      <c r="Q6361" s="32"/>
      <c r="R6361" s="213"/>
    </row>
    <row r="6362" spans="1:18" ht="15.6">
      <c r="A6362" s="110" t="s">
        <v>365</v>
      </c>
      <c r="B6362" s="111" t="s">
        <v>232</v>
      </c>
      <c r="C6362" s="112" t="s">
        <v>228</v>
      </c>
      <c r="D6362" s="113" t="s">
        <v>130</v>
      </c>
      <c r="E6362" s="114" t="s">
        <v>15</v>
      </c>
      <c r="F6362" s="115" t="s">
        <v>42</v>
      </c>
      <c r="G6362" s="116">
        <v>19.8</v>
      </c>
      <c r="H6362" s="125">
        <v>12</v>
      </c>
      <c r="I6362" s="111">
        <v>13</v>
      </c>
      <c r="J6362" s="117">
        <f t="shared" si="891"/>
        <v>3.0888</v>
      </c>
      <c r="K6362" s="118"/>
      <c r="L6362" s="111">
        <v>13</v>
      </c>
      <c r="M6362" s="117">
        <f t="shared" si="888"/>
        <v>3.0888</v>
      </c>
      <c r="N6362" s="119">
        <f t="shared" si="889"/>
        <v>0</v>
      </c>
      <c r="O6362" s="120">
        <f t="shared" si="890"/>
        <v>0</v>
      </c>
      <c r="P6362" s="130"/>
      <c r="Q6362" s="32"/>
      <c r="R6362" s="213"/>
    </row>
    <row r="6363" spans="1:18" ht="15.6">
      <c r="A6363" s="110" t="s">
        <v>365</v>
      </c>
      <c r="B6363" s="111" t="s">
        <v>232</v>
      </c>
      <c r="C6363" s="112" t="s">
        <v>228</v>
      </c>
      <c r="D6363" s="113" t="s">
        <v>130</v>
      </c>
      <c r="E6363" s="114" t="s">
        <v>15</v>
      </c>
      <c r="F6363" s="115" t="s">
        <v>42</v>
      </c>
      <c r="G6363" s="116">
        <v>19.8</v>
      </c>
      <c r="H6363" s="125">
        <v>11.9</v>
      </c>
      <c r="I6363" s="111">
        <v>12</v>
      </c>
      <c r="J6363" s="117">
        <f t="shared" si="891"/>
        <v>2.8274400000000002</v>
      </c>
      <c r="K6363" s="118"/>
      <c r="L6363" s="111">
        <v>12</v>
      </c>
      <c r="M6363" s="117">
        <f t="shared" si="888"/>
        <v>2.8274400000000006</v>
      </c>
      <c r="N6363" s="119">
        <f t="shared" si="889"/>
        <v>0</v>
      </c>
      <c r="O6363" s="120">
        <f t="shared" si="890"/>
        <v>0</v>
      </c>
      <c r="P6363" s="130"/>
      <c r="Q6363" s="32"/>
      <c r="R6363" s="213"/>
    </row>
    <row r="6364" spans="1:18" ht="15.6">
      <c r="A6364" s="110" t="s">
        <v>365</v>
      </c>
      <c r="B6364" s="111" t="s">
        <v>232</v>
      </c>
      <c r="C6364" s="112" t="s">
        <v>228</v>
      </c>
      <c r="D6364" s="113" t="s">
        <v>130</v>
      </c>
      <c r="E6364" s="114" t="s">
        <v>15</v>
      </c>
      <c r="F6364" s="115" t="s">
        <v>42</v>
      </c>
      <c r="G6364" s="116">
        <v>19.8</v>
      </c>
      <c r="H6364" s="125">
        <v>11.3</v>
      </c>
      <c r="I6364" s="111">
        <v>1</v>
      </c>
      <c r="J6364" s="117">
        <f t="shared" si="891"/>
        <v>0.22374000000000002</v>
      </c>
      <c r="K6364" s="118"/>
      <c r="L6364" s="111">
        <v>1</v>
      </c>
      <c r="M6364" s="117">
        <f t="shared" si="888"/>
        <v>0.22374000000000002</v>
      </c>
      <c r="N6364" s="119">
        <f t="shared" si="889"/>
        <v>0</v>
      </c>
      <c r="O6364" s="120">
        <f>H6364*N6364*G6364/1000</f>
        <v>0</v>
      </c>
      <c r="P6364" s="130"/>
      <c r="Q6364" s="32"/>
      <c r="R6364" s="213"/>
    </row>
    <row r="6365" spans="1:18" ht="15.6">
      <c r="A6365" s="110" t="s">
        <v>365</v>
      </c>
      <c r="B6365" s="111" t="s">
        <v>232</v>
      </c>
      <c r="C6365" s="112" t="s">
        <v>228</v>
      </c>
      <c r="D6365" s="113" t="s">
        <v>130</v>
      </c>
      <c r="E6365" s="114" t="s">
        <v>15</v>
      </c>
      <c r="F6365" s="115" t="s">
        <v>42</v>
      </c>
      <c r="G6365" s="116">
        <v>19.8</v>
      </c>
      <c r="H6365" s="125">
        <v>11.4</v>
      </c>
      <c r="I6365" s="111">
        <v>1</v>
      </c>
      <c r="J6365" s="117">
        <f t="shared" si="891"/>
        <v>0.22572000000000003</v>
      </c>
      <c r="K6365" s="118"/>
      <c r="L6365" s="111">
        <v>1</v>
      </c>
      <c r="M6365" s="117">
        <f t="shared" si="888"/>
        <v>0.22572000000000003</v>
      </c>
      <c r="N6365" s="119">
        <f t="shared" si="889"/>
        <v>0</v>
      </c>
      <c r="O6365" s="120">
        <f>H6365*N6365*G6365/1000</f>
        <v>0</v>
      </c>
      <c r="P6365" s="130"/>
      <c r="Q6365" s="32"/>
      <c r="R6365" s="213"/>
    </row>
    <row r="6366" spans="1:18" ht="15.6">
      <c r="A6366" s="110" t="s">
        <v>365</v>
      </c>
      <c r="B6366" s="111" t="s">
        <v>232</v>
      </c>
      <c r="C6366" s="112" t="s">
        <v>228</v>
      </c>
      <c r="D6366" s="113" t="s">
        <v>130</v>
      </c>
      <c r="E6366" s="114" t="s">
        <v>15</v>
      </c>
      <c r="F6366" s="115" t="s">
        <v>42</v>
      </c>
      <c r="G6366" s="116">
        <v>19.8</v>
      </c>
      <c r="H6366" s="125">
        <v>11.8</v>
      </c>
      <c r="I6366" s="111">
        <v>1</v>
      </c>
      <c r="J6366" s="117">
        <f t="shared" si="891"/>
        <v>0.23364000000000001</v>
      </c>
      <c r="K6366" s="118"/>
      <c r="L6366" s="111">
        <v>1</v>
      </c>
      <c r="M6366" s="117">
        <f t="shared" si="888"/>
        <v>0.23364000000000001</v>
      </c>
      <c r="N6366" s="119">
        <f t="shared" si="889"/>
        <v>0</v>
      </c>
      <c r="O6366" s="120">
        <f>H6366*N6366*G6366/1000</f>
        <v>0</v>
      </c>
      <c r="P6366" s="130"/>
      <c r="Q6366" s="32"/>
      <c r="R6366" s="213"/>
    </row>
    <row r="6367" spans="1:18">
      <c r="A6367" s="32"/>
      <c r="B6367" s="32"/>
      <c r="C6367" s="32"/>
      <c r="D6367" s="32"/>
      <c r="E6367" s="32"/>
      <c r="F6367" s="32"/>
      <c r="G6367" s="32"/>
      <c r="H6367" s="32"/>
      <c r="I6367" s="123">
        <f>SUM(I6351:I6366)</f>
        <v>119</v>
      </c>
      <c r="J6367" s="124">
        <f>SUM(J6351:J6366)</f>
        <v>27.14283</v>
      </c>
      <c r="K6367" s="32"/>
      <c r="L6367" s="123">
        <f>SUM(L6351:L6366)</f>
        <v>119</v>
      </c>
      <c r="M6367" s="124">
        <f>SUM(M6351:M6366)</f>
        <v>27.142829999999996</v>
      </c>
      <c r="N6367" s="131">
        <f>SUM(N6351:N6366)</f>
        <v>0</v>
      </c>
      <c r="O6367" s="132">
        <f>SUM(O6351:O6366)</f>
        <v>0</v>
      </c>
      <c r="P6367" s="32"/>
      <c r="Q6367" s="131">
        <f>SUM(Q6351:Q6366)</f>
        <v>1</v>
      </c>
      <c r="R6367" s="213"/>
    </row>
    <row r="6369" spans="1:18" ht="15.6">
      <c r="A6369" s="110" t="s">
        <v>547</v>
      </c>
      <c r="B6369" s="111" t="s">
        <v>232</v>
      </c>
      <c r="C6369" s="112" t="s">
        <v>449</v>
      </c>
      <c r="D6369" s="113" t="s">
        <v>506</v>
      </c>
      <c r="E6369" s="114" t="s">
        <v>15</v>
      </c>
      <c r="F6369" s="115" t="s">
        <v>42</v>
      </c>
      <c r="G6369" s="116">
        <v>19.8</v>
      </c>
      <c r="H6369" s="125">
        <v>12</v>
      </c>
      <c r="I6369" s="111">
        <v>13</v>
      </c>
      <c r="J6369" s="117">
        <f>H6369*G6369*I6369/1000</f>
        <v>3.0888</v>
      </c>
      <c r="K6369" s="32"/>
      <c r="L6369" s="111">
        <v>13</v>
      </c>
      <c r="M6369" s="117">
        <f t="shared" ref="M6369:M6373" si="892">H6369*L6369*G6369/1000</f>
        <v>3.0888</v>
      </c>
      <c r="N6369" s="119">
        <f t="shared" ref="N6369:N6373" si="893">I6369-L6369</f>
        <v>0</v>
      </c>
      <c r="O6369" s="120">
        <f t="shared" ref="O6369:O6372" si="894">H6369*N6369*G6369/1000</f>
        <v>0</v>
      </c>
      <c r="P6369" s="111"/>
      <c r="Q6369" s="32"/>
      <c r="R6369" s="213"/>
    </row>
    <row r="6370" spans="1:18" ht="15.6">
      <c r="A6370" s="110" t="s">
        <v>547</v>
      </c>
      <c r="B6370" s="111" t="s">
        <v>232</v>
      </c>
      <c r="C6370" s="112" t="s">
        <v>449</v>
      </c>
      <c r="D6370" s="113" t="s">
        <v>506</v>
      </c>
      <c r="E6370" s="114" t="s">
        <v>15</v>
      </c>
      <c r="F6370" s="115" t="s">
        <v>42</v>
      </c>
      <c r="G6370" s="116">
        <v>19.8</v>
      </c>
      <c r="H6370" s="125">
        <v>9.6</v>
      </c>
      <c r="I6370" s="111">
        <v>11</v>
      </c>
      <c r="J6370" s="117">
        <f>H6370*G6370*I6370/1000</f>
        <v>2.0908800000000003</v>
      </c>
      <c r="K6370" s="32"/>
      <c r="L6370" s="111">
        <v>11</v>
      </c>
      <c r="M6370" s="117">
        <f t="shared" si="892"/>
        <v>2.0908800000000003</v>
      </c>
      <c r="N6370" s="119">
        <f t="shared" si="893"/>
        <v>0</v>
      </c>
      <c r="O6370" s="120">
        <f t="shared" si="894"/>
        <v>0</v>
      </c>
      <c r="P6370" s="111"/>
      <c r="Q6370" s="32"/>
      <c r="R6370" s="213"/>
    </row>
    <row r="6371" spans="1:18" ht="15.6">
      <c r="A6371" s="110" t="s">
        <v>547</v>
      </c>
      <c r="B6371" s="111" t="s">
        <v>232</v>
      </c>
      <c r="C6371" s="112" t="s">
        <v>449</v>
      </c>
      <c r="D6371" s="113" t="s">
        <v>506</v>
      </c>
      <c r="E6371" s="114" t="s">
        <v>15</v>
      </c>
      <c r="F6371" s="115" t="s">
        <v>42</v>
      </c>
      <c r="G6371" s="116">
        <v>19.8</v>
      </c>
      <c r="H6371" s="125">
        <v>12</v>
      </c>
      <c r="I6371" s="111">
        <v>1</v>
      </c>
      <c r="J6371" s="117">
        <f>H6371*G6371*I6371/1000</f>
        <v>0.23760000000000003</v>
      </c>
      <c r="K6371" s="32"/>
      <c r="L6371" s="111">
        <v>1</v>
      </c>
      <c r="M6371" s="117">
        <f t="shared" si="892"/>
        <v>0.23760000000000003</v>
      </c>
      <c r="N6371" s="119">
        <f t="shared" si="893"/>
        <v>0</v>
      </c>
      <c r="O6371" s="120">
        <f t="shared" si="894"/>
        <v>0</v>
      </c>
      <c r="P6371" s="111"/>
      <c r="Q6371" s="32"/>
      <c r="R6371" s="213"/>
    </row>
    <row r="6372" spans="1:18" ht="15.6">
      <c r="A6372" s="110" t="s">
        <v>547</v>
      </c>
      <c r="B6372" s="111" t="s">
        <v>232</v>
      </c>
      <c r="C6372" s="112" t="s">
        <v>449</v>
      </c>
      <c r="D6372" s="113" t="s">
        <v>506</v>
      </c>
      <c r="E6372" s="114" t="s">
        <v>15</v>
      </c>
      <c r="F6372" s="115" t="s">
        <v>42</v>
      </c>
      <c r="G6372" s="116">
        <v>19.8</v>
      </c>
      <c r="H6372" s="125">
        <v>12</v>
      </c>
      <c r="I6372" s="111">
        <v>2</v>
      </c>
      <c r="J6372" s="117">
        <f>H6372*G6372*I6372/1000</f>
        <v>0.47520000000000007</v>
      </c>
      <c r="K6372" s="32"/>
      <c r="L6372" s="111">
        <f>1+1</f>
        <v>2</v>
      </c>
      <c r="M6372" s="117">
        <f t="shared" si="892"/>
        <v>0.47520000000000007</v>
      </c>
      <c r="N6372" s="119">
        <f t="shared" si="893"/>
        <v>0</v>
      </c>
      <c r="O6372" s="120">
        <f t="shared" si="894"/>
        <v>0</v>
      </c>
      <c r="P6372" s="111"/>
      <c r="Q6372" s="32"/>
      <c r="R6372" s="213"/>
    </row>
    <row r="6373" spans="1:18" ht="15.6">
      <c r="A6373" s="110" t="s">
        <v>547</v>
      </c>
      <c r="B6373" s="111" t="s">
        <v>232</v>
      </c>
      <c r="C6373" s="112" t="s">
        <v>449</v>
      </c>
      <c r="D6373" s="113" t="s">
        <v>506</v>
      </c>
      <c r="E6373" s="114" t="s">
        <v>15</v>
      </c>
      <c r="F6373" s="115" t="s">
        <v>42</v>
      </c>
      <c r="G6373" s="116">
        <v>19.8</v>
      </c>
      <c r="H6373" s="125">
        <v>8.5</v>
      </c>
      <c r="I6373" s="111">
        <v>1</v>
      </c>
      <c r="J6373" s="117">
        <f>H6373*G6373*I6373/1000</f>
        <v>0.16830000000000001</v>
      </c>
      <c r="K6373" s="32"/>
      <c r="L6373" s="111">
        <v>1</v>
      </c>
      <c r="M6373" s="117">
        <f t="shared" si="892"/>
        <v>0.16830000000000001</v>
      </c>
      <c r="N6373" s="119">
        <f t="shared" si="893"/>
        <v>0</v>
      </c>
      <c r="O6373" s="120">
        <f>H6373*N6373*G6373/1000</f>
        <v>0</v>
      </c>
      <c r="P6373" s="72">
        <v>8.25</v>
      </c>
      <c r="Q6373" s="72">
        <v>1</v>
      </c>
      <c r="R6373" s="77" t="s">
        <v>760</v>
      </c>
    </row>
    <row r="6374" spans="1:18">
      <c r="A6374" s="213"/>
      <c r="B6374" s="213"/>
      <c r="C6374" s="213"/>
      <c r="D6374" s="213"/>
      <c r="E6374" s="213"/>
      <c r="F6374" s="213"/>
      <c r="G6374" s="213"/>
      <c r="H6374" s="213"/>
      <c r="I6374" s="215">
        <f>SUM(I6369:I6373)</f>
        <v>28</v>
      </c>
      <c r="J6374" s="214">
        <f>SUM(J6369:J6373)</f>
        <v>6.0607800000000003</v>
      </c>
      <c r="K6374" s="213"/>
      <c r="L6374" s="215">
        <f>SUM(L6369:L6373)</f>
        <v>28</v>
      </c>
      <c r="M6374" s="214">
        <f>SUM(M6369:M6373)</f>
        <v>6.0607800000000003</v>
      </c>
      <c r="N6374" s="215">
        <f>SUM(N6369:N6373)</f>
        <v>0</v>
      </c>
      <c r="O6374" s="214">
        <f>SUM(O6369:O6373)</f>
        <v>0</v>
      </c>
      <c r="P6374" s="213"/>
      <c r="Q6374" s="215">
        <f>SUM(Q6369:Q6373)</f>
        <v>1</v>
      </c>
      <c r="R6374" s="213"/>
    </row>
    <row r="6376" spans="1:18" ht="15.6">
      <c r="A6376" s="110" t="s">
        <v>636</v>
      </c>
      <c r="B6376" s="111" t="s">
        <v>232</v>
      </c>
      <c r="C6376" s="112" t="s">
        <v>468</v>
      </c>
      <c r="D6376" s="113" t="s">
        <v>507</v>
      </c>
      <c r="E6376" s="114" t="s">
        <v>15</v>
      </c>
      <c r="F6376" s="115" t="s">
        <v>42</v>
      </c>
      <c r="G6376" s="116">
        <v>19.8</v>
      </c>
      <c r="H6376" s="125">
        <v>11.1</v>
      </c>
      <c r="I6376" s="111">
        <v>244</v>
      </c>
      <c r="J6376" s="117">
        <f>H6376*G6376*I6376/1000</f>
        <v>53.62632</v>
      </c>
      <c r="K6376" s="32"/>
      <c r="L6376" s="111">
        <f>237+7</f>
        <v>244</v>
      </c>
      <c r="M6376" s="117">
        <f>H6376*L6376*G6376/1000</f>
        <v>53.626320000000007</v>
      </c>
      <c r="N6376" s="119">
        <f t="shared" ref="N6376:N6378" si="895">I6376-L6376</f>
        <v>0</v>
      </c>
      <c r="O6376" s="120">
        <f>H6376*N6376*G6376/1000</f>
        <v>0</v>
      </c>
      <c r="P6376" s="111"/>
      <c r="Q6376" s="32"/>
      <c r="R6376" s="213"/>
    </row>
    <row r="6377" spans="1:18" ht="15.6">
      <c r="A6377" s="110" t="s">
        <v>636</v>
      </c>
      <c r="B6377" s="111" t="s">
        <v>232</v>
      </c>
      <c r="C6377" s="112" t="s">
        <v>468</v>
      </c>
      <c r="D6377" s="113" t="s">
        <v>507</v>
      </c>
      <c r="E6377" s="114" t="s">
        <v>15</v>
      </c>
      <c r="F6377" s="115" t="s">
        <v>42</v>
      </c>
      <c r="G6377" s="116">
        <v>19.8</v>
      </c>
      <c r="H6377" s="125">
        <v>10.7</v>
      </c>
      <c r="I6377" s="111">
        <v>1</v>
      </c>
      <c r="J6377" s="117">
        <f t="shared" ref="J6377:J6378" si="896">H6377*G6377*I6377/1000</f>
        <v>0.21185999999999999</v>
      </c>
      <c r="K6377" s="32"/>
      <c r="L6377" s="111">
        <v>1</v>
      </c>
      <c r="M6377" s="117">
        <f>H6377*L6377*G6377/1000</f>
        <v>0.21185999999999999</v>
      </c>
      <c r="N6377" s="119">
        <f t="shared" si="895"/>
        <v>0</v>
      </c>
      <c r="O6377" s="120">
        <f>H6377*N6377*G6377/1000</f>
        <v>0</v>
      </c>
      <c r="P6377" s="101">
        <v>9.25</v>
      </c>
      <c r="Q6377" s="101">
        <v>1</v>
      </c>
      <c r="R6377" s="251" t="s">
        <v>760</v>
      </c>
    </row>
    <row r="6378" spans="1:18" ht="15.6">
      <c r="A6378" s="110" t="s">
        <v>636</v>
      </c>
      <c r="B6378" s="111" t="s">
        <v>232</v>
      </c>
      <c r="C6378" s="112" t="s">
        <v>468</v>
      </c>
      <c r="D6378" s="113" t="s">
        <v>507</v>
      </c>
      <c r="E6378" s="114" t="s">
        <v>15</v>
      </c>
      <c r="F6378" s="115" t="s">
        <v>42</v>
      </c>
      <c r="G6378" s="116">
        <v>19.8</v>
      </c>
      <c r="H6378" s="125">
        <v>11.1</v>
      </c>
      <c r="I6378" s="111">
        <v>2</v>
      </c>
      <c r="J6378" s="117">
        <f t="shared" si="896"/>
        <v>0.43956000000000001</v>
      </c>
      <c r="K6378" s="32"/>
      <c r="L6378" s="111">
        <v>2</v>
      </c>
      <c r="M6378" s="117">
        <f>H6378*L6378*G6378/1000</f>
        <v>0.43956000000000001</v>
      </c>
      <c r="N6378" s="119">
        <f t="shared" si="895"/>
        <v>0</v>
      </c>
      <c r="O6378" s="120">
        <f>H6378*N6378*G6378/1000</f>
        <v>0</v>
      </c>
      <c r="P6378" s="101">
        <v>9.25</v>
      </c>
      <c r="Q6378" s="101">
        <v>2</v>
      </c>
      <c r="R6378" s="251" t="s">
        <v>760</v>
      </c>
    </row>
    <row r="6379" spans="1:18">
      <c r="A6379" s="213"/>
      <c r="B6379" s="213"/>
      <c r="C6379" s="213"/>
      <c r="D6379" s="213"/>
      <c r="E6379" s="213"/>
      <c r="F6379" s="213"/>
      <c r="G6379" s="213"/>
      <c r="H6379" s="213"/>
      <c r="I6379" s="215">
        <f>SUM(I6376:I6378)</f>
        <v>247</v>
      </c>
      <c r="J6379" s="214">
        <f>SUM(J6376:J6378)</f>
        <v>54.277740000000001</v>
      </c>
      <c r="K6379" s="213"/>
      <c r="L6379" s="215">
        <f>SUM(L6376:L6378)</f>
        <v>247</v>
      </c>
      <c r="M6379" s="214">
        <f>SUM(M6376:M6378)</f>
        <v>54.277740000000009</v>
      </c>
      <c r="N6379" s="215">
        <f>SUM(N6376:N6378)</f>
        <v>0</v>
      </c>
      <c r="O6379" s="214">
        <f>SUM(O6376:O6378)</f>
        <v>0</v>
      </c>
      <c r="P6379" s="213"/>
      <c r="Q6379" s="215">
        <f>SUM(Q6376:Q6378)</f>
        <v>3</v>
      </c>
      <c r="R6379" s="213"/>
    </row>
    <row r="6381" spans="1:18">
      <c r="A6381" s="42" t="s">
        <v>90</v>
      </c>
      <c r="B6381" s="48" t="s">
        <v>148</v>
      </c>
      <c r="C6381" s="32">
        <v>92</v>
      </c>
      <c r="D6381" s="35"/>
      <c r="E6381" s="35" t="s">
        <v>14</v>
      </c>
      <c r="F6381" s="48" t="s">
        <v>42</v>
      </c>
      <c r="G6381" s="11">
        <v>19.72</v>
      </c>
      <c r="H6381" s="52">
        <v>11.5</v>
      </c>
      <c r="I6381" s="7">
        <v>1</v>
      </c>
      <c r="J6381" s="10">
        <v>0.22677999999999998</v>
      </c>
      <c r="K6381" s="32">
        <v>1</v>
      </c>
      <c r="L6381" s="18">
        <v>0.22677999999999998</v>
      </c>
      <c r="M6381" s="19">
        <v>0</v>
      </c>
      <c r="N6381" s="13">
        <v>0</v>
      </c>
      <c r="O6381" s="101">
        <v>6.5</v>
      </c>
      <c r="P6381" s="101">
        <v>1</v>
      </c>
      <c r="Q6381" s="101" t="s">
        <v>795</v>
      </c>
    </row>
    <row r="6382" spans="1:18">
      <c r="A6382" s="42" t="s">
        <v>90</v>
      </c>
      <c r="B6382" s="3"/>
      <c r="C6382" s="3">
        <v>139</v>
      </c>
      <c r="D6382" s="20" t="s">
        <v>24</v>
      </c>
      <c r="E6382" s="7" t="s">
        <v>14</v>
      </c>
      <c r="F6382" s="7" t="s">
        <v>42</v>
      </c>
      <c r="G6382" s="11">
        <v>19.72</v>
      </c>
      <c r="H6382" s="8">
        <v>12</v>
      </c>
      <c r="I6382" s="26">
        <v>1</v>
      </c>
      <c r="J6382" s="10">
        <v>0.23663999999999999</v>
      </c>
      <c r="K6382" s="17">
        <v>1</v>
      </c>
      <c r="L6382" s="18">
        <v>0.23663999999999999</v>
      </c>
      <c r="M6382" s="19">
        <v>0</v>
      </c>
      <c r="N6382" s="13">
        <v>0</v>
      </c>
      <c r="O6382" s="9"/>
      <c r="P6382" s="2"/>
      <c r="Q6382" s="50"/>
    </row>
    <row r="6383" spans="1:18">
      <c r="A6383" s="42" t="s">
        <v>90</v>
      </c>
      <c r="B6383" s="3"/>
      <c r="C6383" s="3">
        <v>139</v>
      </c>
      <c r="D6383" s="20" t="s">
        <v>24</v>
      </c>
      <c r="E6383" s="7" t="s">
        <v>14</v>
      </c>
      <c r="F6383" s="7" t="s">
        <v>42</v>
      </c>
      <c r="G6383" s="11">
        <v>19.72</v>
      </c>
      <c r="H6383" s="8">
        <v>6</v>
      </c>
      <c r="I6383" s="26">
        <v>2</v>
      </c>
      <c r="J6383" s="10">
        <v>0.23663999999999999</v>
      </c>
      <c r="K6383" s="17">
        <v>2</v>
      </c>
      <c r="L6383" s="18">
        <v>0.23663999999999999</v>
      </c>
      <c r="M6383" s="19">
        <v>0</v>
      </c>
      <c r="N6383" s="13">
        <v>0</v>
      </c>
      <c r="O6383" s="9"/>
      <c r="P6383" s="2"/>
      <c r="Q6383" s="50"/>
    </row>
    <row r="6384" spans="1:18">
      <c r="A6384" s="42" t="s">
        <v>78</v>
      </c>
      <c r="B6384" s="3" t="s">
        <v>80</v>
      </c>
      <c r="C6384" s="3">
        <v>7</v>
      </c>
      <c r="D6384" s="12" t="s">
        <v>19</v>
      </c>
      <c r="E6384" s="7" t="s">
        <v>14</v>
      </c>
      <c r="F6384" s="7" t="s">
        <v>42</v>
      </c>
      <c r="G6384" s="11">
        <v>19.72</v>
      </c>
      <c r="H6384" s="8">
        <v>11.8</v>
      </c>
      <c r="I6384" s="26">
        <v>1</v>
      </c>
      <c r="J6384" s="10">
        <v>0.23269599999999999</v>
      </c>
      <c r="K6384" s="17">
        <v>1</v>
      </c>
      <c r="L6384" s="18">
        <v>0.23269599999999999</v>
      </c>
      <c r="M6384" s="19">
        <v>0</v>
      </c>
      <c r="N6384" s="13">
        <v>0</v>
      </c>
      <c r="O6384" s="101">
        <v>6.5</v>
      </c>
      <c r="P6384" s="103">
        <v>1</v>
      </c>
      <c r="Q6384" s="101" t="s">
        <v>795</v>
      </c>
    </row>
    <row r="6388" spans="1:16">
      <c r="A6388" s="3" t="s">
        <v>68</v>
      </c>
      <c r="B6388" s="3">
        <v>156</v>
      </c>
      <c r="C6388" s="20" t="s">
        <v>17</v>
      </c>
      <c r="D6388" s="7" t="s">
        <v>15</v>
      </c>
      <c r="E6388" s="7" t="s">
        <v>53</v>
      </c>
      <c r="F6388" s="11">
        <v>35.840000000000003</v>
      </c>
      <c r="G6388" s="8">
        <v>9.5</v>
      </c>
      <c r="H6388" s="26">
        <v>1</v>
      </c>
      <c r="I6388" s="10">
        <v>0.34048</v>
      </c>
      <c r="J6388" s="17">
        <v>1</v>
      </c>
      <c r="K6388" s="18">
        <v>0.34048</v>
      </c>
      <c r="L6388" s="19">
        <v>0</v>
      </c>
      <c r="M6388" s="13">
        <v>0</v>
      </c>
      <c r="N6388" s="9"/>
      <c r="O6388" s="2"/>
      <c r="P6388" s="2"/>
    </row>
    <row r="6389" spans="1:16">
      <c r="A6389" s="3" t="s">
        <v>68</v>
      </c>
      <c r="B6389" s="3">
        <v>156</v>
      </c>
      <c r="C6389" s="20" t="s">
        <v>17</v>
      </c>
      <c r="D6389" s="7" t="s">
        <v>15</v>
      </c>
      <c r="E6389" s="7" t="s">
        <v>53</v>
      </c>
      <c r="F6389" s="11">
        <v>35.840000000000003</v>
      </c>
      <c r="G6389" s="8">
        <v>10</v>
      </c>
      <c r="H6389" s="26">
        <v>1</v>
      </c>
      <c r="I6389" s="10">
        <v>0.35840000000000005</v>
      </c>
      <c r="J6389" s="17">
        <v>1</v>
      </c>
      <c r="K6389" s="18">
        <v>0.35840000000000005</v>
      </c>
      <c r="L6389" s="19">
        <v>0</v>
      </c>
      <c r="M6389" s="13">
        <v>0</v>
      </c>
      <c r="N6389" s="9"/>
      <c r="O6389" s="2"/>
      <c r="P6389" s="2"/>
    </row>
    <row r="6390" spans="1:16">
      <c r="A6390" s="3" t="s">
        <v>68</v>
      </c>
      <c r="B6390" s="3">
        <v>156</v>
      </c>
      <c r="C6390" s="20" t="s">
        <v>17</v>
      </c>
      <c r="D6390" s="7" t="s">
        <v>15</v>
      </c>
      <c r="E6390" s="7" t="s">
        <v>53</v>
      </c>
      <c r="F6390" s="11">
        <v>35.840000000000003</v>
      </c>
      <c r="G6390" s="8">
        <v>11</v>
      </c>
      <c r="H6390" s="26">
        <v>2</v>
      </c>
      <c r="I6390" s="10">
        <v>0.78848000000000007</v>
      </c>
      <c r="J6390" s="17">
        <v>2</v>
      </c>
      <c r="K6390" s="18">
        <v>0.78848000000000007</v>
      </c>
      <c r="L6390" s="19">
        <v>0</v>
      </c>
      <c r="M6390" s="13">
        <v>0</v>
      </c>
      <c r="N6390" s="9"/>
      <c r="O6390" s="2"/>
      <c r="P6390" s="2"/>
    </row>
    <row r="6391" spans="1:16">
      <c r="A6391" s="3" t="s">
        <v>68</v>
      </c>
      <c r="B6391" s="3">
        <v>211</v>
      </c>
      <c r="C6391" s="20" t="s">
        <v>63</v>
      </c>
      <c r="D6391" s="7" t="s">
        <v>15</v>
      </c>
      <c r="E6391" s="7" t="s">
        <v>53</v>
      </c>
      <c r="F6391" s="11">
        <v>35.840000000000003</v>
      </c>
      <c r="G6391" s="8">
        <v>7.4</v>
      </c>
      <c r="H6391" s="26">
        <v>1</v>
      </c>
      <c r="I6391" s="10">
        <v>0.26521600000000006</v>
      </c>
      <c r="J6391" s="17">
        <v>1</v>
      </c>
      <c r="K6391" s="18">
        <v>0.26521600000000006</v>
      </c>
      <c r="L6391" s="19">
        <v>0</v>
      </c>
      <c r="M6391" s="13">
        <v>0</v>
      </c>
      <c r="N6391" s="92">
        <v>7.2</v>
      </c>
      <c r="O6391" s="47">
        <v>1</v>
      </c>
      <c r="P6391" s="47" t="s">
        <v>764</v>
      </c>
    </row>
    <row r="6392" spans="1:16">
      <c r="A6392" s="3" t="s">
        <v>68</v>
      </c>
      <c r="B6392" s="3">
        <v>211</v>
      </c>
      <c r="C6392" s="20" t="s">
        <v>63</v>
      </c>
      <c r="D6392" s="7" t="s">
        <v>15</v>
      </c>
      <c r="E6392" s="7" t="s">
        <v>53</v>
      </c>
      <c r="F6392" s="11">
        <v>35.840000000000003</v>
      </c>
      <c r="G6392" s="8">
        <v>8.1</v>
      </c>
      <c r="H6392" s="26">
        <v>1</v>
      </c>
      <c r="I6392" s="10">
        <v>0.29030400000000001</v>
      </c>
      <c r="J6392" s="17">
        <v>1</v>
      </c>
      <c r="K6392" s="18">
        <v>0.29030400000000001</v>
      </c>
      <c r="L6392" s="19">
        <v>0</v>
      </c>
      <c r="M6392" s="13">
        <v>0</v>
      </c>
      <c r="N6392" s="9"/>
      <c r="O6392" s="2"/>
      <c r="P6392" s="2"/>
    </row>
    <row r="6393" spans="1:16">
      <c r="A6393" s="3" t="s">
        <v>68</v>
      </c>
      <c r="B6393" s="3">
        <v>211</v>
      </c>
      <c r="C6393" s="20" t="s">
        <v>63</v>
      </c>
      <c r="D6393" s="7" t="s">
        <v>15</v>
      </c>
      <c r="E6393" s="7" t="s">
        <v>53</v>
      </c>
      <c r="F6393" s="11">
        <v>35.840000000000003</v>
      </c>
      <c r="G6393" s="8">
        <v>8.4</v>
      </c>
      <c r="H6393" s="26">
        <v>2</v>
      </c>
      <c r="I6393" s="10">
        <v>0.60211200000000009</v>
      </c>
      <c r="J6393" s="17">
        <v>2</v>
      </c>
      <c r="K6393" s="18">
        <v>0.60211200000000009</v>
      </c>
      <c r="L6393" s="19">
        <v>0</v>
      </c>
      <c r="M6393" s="13">
        <v>0</v>
      </c>
      <c r="N6393" s="9"/>
      <c r="O6393" s="2"/>
      <c r="P6393" s="2"/>
    </row>
    <row r="6394" spans="1:16">
      <c r="A6394" s="3" t="s">
        <v>68</v>
      </c>
      <c r="B6394" s="3">
        <v>216</v>
      </c>
      <c r="C6394" s="12" t="s">
        <v>73</v>
      </c>
      <c r="D6394" s="7" t="s">
        <v>15</v>
      </c>
      <c r="E6394" s="7" t="s">
        <v>53</v>
      </c>
      <c r="F6394" s="11">
        <v>35.840000000000003</v>
      </c>
      <c r="G6394" s="8">
        <v>7.4</v>
      </c>
      <c r="H6394" s="26">
        <v>1</v>
      </c>
      <c r="I6394" s="10">
        <v>0.26521600000000006</v>
      </c>
      <c r="J6394" s="17">
        <v>1</v>
      </c>
      <c r="K6394" s="18">
        <v>0.26521600000000006</v>
      </c>
      <c r="L6394" s="19">
        <v>0</v>
      </c>
      <c r="M6394" s="13">
        <v>0</v>
      </c>
      <c r="N6394" s="9"/>
      <c r="O6394" s="2"/>
      <c r="P6394" s="2"/>
    </row>
    <row r="6395" spans="1:16">
      <c r="A6395" s="3" t="s">
        <v>68</v>
      </c>
      <c r="B6395" s="3">
        <v>252</v>
      </c>
      <c r="C6395" s="12" t="s">
        <v>20</v>
      </c>
      <c r="D6395" s="7" t="s">
        <v>15</v>
      </c>
      <c r="E6395" s="7" t="s">
        <v>53</v>
      </c>
      <c r="F6395" s="11">
        <v>35.840000000000003</v>
      </c>
      <c r="G6395" s="8">
        <v>6</v>
      </c>
      <c r="H6395" s="26">
        <v>1</v>
      </c>
      <c r="I6395" s="10">
        <v>0.21504000000000001</v>
      </c>
      <c r="J6395" s="17">
        <v>1</v>
      </c>
      <c r="K6395" s="18">
        <v>0.21504000000000001</v>
      </c>
      <c r="L6395" s="19">
        <v>0</v>
      </c>
      <c r="M6395" s="13">
        <v>0</v>
      </c>
      <c r="N6395" s="9"/>
      <c r="O6395" s="2"/>
      <c r="P6395" s="2"/>
    </row>
    <row r="6396" spans="1:16">
      <c r="A6396" s="3" t="s">
        <v>80</v>
      </c>
      <c r="B6396" s="3">
        <v>15</v>
      </c>
      <c r="C6396" s="20" t="s">
        <v>76</v>
      </c>
      <c r="D6396" s="7" t="s">
        <v>15</v>
      </c>
      <c r="E6396" s="7" t="s">
        <v>53</v>
      </c>
      <c r="F6396" s="11">
        <v>35.840000000000003</v>
      </c>
      <c r="G6396" s="8">
        <v>9.3000000000000007</v>
      </c>
      <c r="H6396" s="26">
        <v>1</v>
      </c>
      <c r="I6396" s="10">
        <v>0.33331200000000005</v>
      </c>
      <c r="J6396" s="17">
        <v>1</v>
      </c>
      <c r="K6396" s="18">
        <v>0.33331200000000005</v>
      </c>
      <c r="L6396" s="19">
        <v>0</v>
      </c>
      <c r="M6396" s="13">
        <v>0</v>
      </c>
      <c r="N6396" s="9"/>
      <c r="O6396" s="32"/>
      <c r="P6396" s="32"/>
    </row>
    <row r="6397" spans="1:16">
      <c r="A6397" s="32" t="s">
        <v>137</v>
      </c>
      <c r="B6397" s="3">
        <v>1</v>
      </c>
      <c r="C6397" s="20" t="s">
        <v>88</v>
      </c>
      <c r="D6397" s="7" t="s">
        <v>15</v>
      </c>
      <c r="E6397" s="7" t="s">
        <v>53</v>
      </c>
      <c r="F6397" s="11">
        <v>35.840000000000003</v>
      </c>
      <c r="G6397" s="55">
        <v>7.5</v>
      </c>
      <c r="H6397" s="40">
        <v>1</v>
      </c>
      <c r="I6397" s="10">
        <v>0.26880000000000004</v>
      </c>
      <c r="J6397" s="17">
        <v>1</v>
      </c>
      <c r="K6397" s="18">
        <v>0.26880000000000004</v>
      </c>
      <c r="L6397" s="19">
        <v>0</v>
      </c>
      <c r="M6397" s="13">
        <v>0</v>
      </c>
      <c r="N6397" s="93">
        <v>7.2</v>
      </c>
      <c r="O6397" s="93">
        <v>1</v>
      </c>
      <c r="P6397" s="47" t="s">
        <v>764</v>
      </c>
    </row>
    <row r="6398" spans="1:16">
      <c r="A6398" s="32" t="s">
        <v>137</v>
      </c>
      <c r="B6398" s="3">
        <v>75</v>
      </c>
      <c r="C6398" s="20" t="s">
        <v>20</v>
      </c>
      <c r="D6398" s="7" t="s">
        <v>15</v>
      </c>
      <c r="E6398" s="7" t="s">
        <v>53</v>
      </c>
      <c r="F6398" s="11">
        <v>35.840000000000003</v>
      </c>
      <c r="G6398" s="55">
        <v>6.15</v>
      </c>
      <c r="H6398" s="40">
        <v>2</v>
      </c>
      <c r="I6398" s="10">
        <v>0.44083200000000006</v>
      </c>
      <c r="J6398" s="17"/>
      <c r="K6398" s="18">
        <v>0</v>
      </c>
      <c r="L6398" s="19">
        <v>2</v>
      </c>
      <c r="M6398" s="13">
        <v>0.44083200000000006</v>
      </c>
      <c r="N6398" s="32"/>
      <c r="O6398" s="32"/>
      <c r="P6398" s="32"/>
    </row>
    <row r="6399" spans="1:16">
      <c r="A6399" s="32" t="s">
        <v>137</v>
      </c>
      <c r="B6399" s="3">
        <v>75</v>
      </c>
      <c r="C6399" s="20" t="s">
        <v>20</v>
      </c>
      <c r="D6399" s="7" t="s">
        <v>15</v>
      </c>
      <c r="E6399" s="7" t="s">
        <v>53</v>
      </c>
      <c r="F6399" s="11">
        <v>35.840000000000003</v>
      </c>
      <c r="G6399" s="55">
        <v>6.5</v>
      </c>
      <c r="H6399" s="40">
        <v>1</v>
      </c>
      <c r="I6399" s="10">
        <v>0.23296000000000003</v>
      </c>
      <c r="J6399" s="17">
        <v>1</v>
      </c>
      <c r="K6399" s="18">
        <v>0.23296000000000003</v>
      </c>
      <c r="L6399" s="19">
        <v>0</v>
      </c>
      <c r="M6399" s="13">
        <v>0</v>
      </c>
      <c r="N6399" s="32"/>
      <c r="O6399" s="111"/>
      <c r="P6399" s="2"/>
    </row>
    <row r="6400" spans="1:16">
      <c r="L6400" s="215">
        <f>SUM(L6388:L6399)</f>
        <v>2</v>
      </c>
      <c r="O6400" s="215">
        <f>SUM(O6388:O6399)</f>
        <v>2</v>
      </c>
    </row>
    <row r="6402" spans="1:22">
      <c r="A6402" s="110" t="s">
        <v>296</v>
      </c>
      <c r="B6402" s="111" t="s">
        <v>299</v>
      </c>
      <c r="C6402" s="112" t="s">
        <v>228</v>
      </c>
      <c r="D6402" s="113" t="s">
        <v>298</v>
      </c>
      <c r="E6402" s="175" t="s">
        <v>15</v>
      </c>
      <c r="F6402" s="175" t="s">
        <v>53</v>
      </c>
      <c r="G6402" s="176">
        <v>35.9</v>
      </c>
      <c r="H6402" s="177">
        <v>8.1</v>
      </c>
      <c r="I6402" s="178">
        <f>12+11+12+11+6</f>
        <v>52</v>
      </c>
      <c r="J6402" s="174">
        <f t="shared" ref="J6402:J6404" si="897">(G6402*H6402*I6402/1000)</f>
        <v>15.121079999999997</v>
      </c>
      <c r="K6402" s="118"/>
      <c r="L6402" s="111">
        <v>52</v>
      </c>
      <c r="M6402" s="117">
        <f t="shared" ref="M6402:M6404" si="898">H6402*L6402*G6402/1000</f>
        <v>15.121079999999997</v>
      </c>
      <c r="N6402" s="119">
        <f t="shared" ref="N6402:N6404" si="899">I6402-L6402</f>
        <v>0</v>
      </c>
      <c r="O6402" s="120">
        <f>H6402*N6402*G6402/1000</f>
        <v>0</v>
      </c>
      <c r="P6402" s="111"/>
      <c r="Q6402" s="111"/>
      <c r="R6402" s="111"/>
    </row>
    <row r="6403" spans="1:22">
      <c r="A6403" s="110" t="s">
        <v>296</v>
      </c>
      <c r="B6403" s="111" t="s">
        <v>299</v>
      </c>
      <c r="C6403" s="112" t="s">
        <v>228</v>
      </c>
      <c r="D6403" s="113" t="s">
        <v>298</v>
      </c>
      <c r="E6403" s="175" t="s">
        <v>15</v>
      </c>
      <c r="F6403" s="175" t="s">
        <v>53</v>
      </c>
      <c r="G6403" s="176">
        <v>35.9</v>
      </c>
      <c r="H6403" s="177">
        <v>7.1</v>
      </c>
      <c r="I6403" s="178">
        <v>1</v>
      </c>
      <c r="J6403" s="174">
        <f t="shared" si="897"/>
        <v>0.25489000000000001</v>
      </c>
      <c r="K6403" s="118"/>
      <c r="L6403" s="111">
        <v>1</v>
      </c>
      <c r="M6403" s="117">
        <f t="shared" si="898"/>
        <v>0.25489000000000001</v>
      </c>
      <c r="N6403" s="119">
        <f t="shared" si="899"/>
        <v>0</v>
      </c>
      <c r="O6403" s="120">
        <f>H6403*N6403*G6403/1000</f>
        <v>0</v>
      </c>
      <c r="P6403" s="72">
        <v>7.2</v>
      </c>
      <c r="Q6403" s="72">
        <v>1</v>
      </c>
      <c r="R6403" s="74" t="s">
        <v>764</v>
      </c>
    </row>
    <row r="6404" spans="1:22">
      <c r="A6404" s="110" t="s">
        <v>296</v>
      </c>
      <c r="B6404" s="111" t="s">
        <v>299</v>
      </c>
      <c r="C6404" s="112" t="s">
        <v>228</v>
      </c>
      <c r="D6404" s="113" t="s">
        <v>298</v>
      </c>
      <c r="E6404" s="175" t="s">
        <v>15</v>
      </c>
      <c r="F6404" s="175" t="s">
        <v>53</v>
      </c>
      <c r="G6404" s="176">
        <v>35.9</v>
      </c>
      <c r="H6404" s="177">
        <v>7.45</v>
      </c>
      <c r="I6404" s="178">
        <v>4</v>
      </c>
      <c r="J6404" s="174">
        <f t="shared" si="897"/>
        <v>1.06982</v>
      </c>
      <c r="K6404" s="118"/>
      <c r="L6404" s="111">
        <v>4</v>
      </c>
      <c r="M6404" s="117">
        <f t="shared" si="898"/>
        <v>1.06982</v>
      </c>
      <c r="N6404" s="119">
        <f t="shared" si="899"/>
        <v>0</v>
      </c>
      <c r="O6404" s="120">
        <f>H6404*N6404*G6404/1000</f>
        <v>0</v>
      </c>
      <c r="P6404" s="72">
        <v>7.2</v>
      </c>
      <c r="Q6404" s="72">
        <v>4</v>
      </c>
      <c r="R6404" s="74" t="s">
        <v>764</v>
      </c>
    </row>
    <row r="6405" spans="1:22">
      <c r="A6405" s="32"/>
      <c r="B6405" s="32"/>
      <c r="C6405" s="32"/>
      <c r="D6405" s="32"/>
      <c r="E6405" s="32"/>
      <c r="F6405" s="32"/>
      <c r="G6405" s="32"/>
      <c r="H6405" s="32"/>
      <c r="I6405" s="131">
        <f>SUM(I6402:I6404)</f>
        <v>57</v>
      </c>
      <c r="J6405" s="124">
        <f>SUM(J6402:J6404)</f>
        <v>16.445789999999995</v>
      </c>
      <c r="K6405" s="32"/>
      <c r="L6405" s="131">
        <f>SUM(L6402:L6404)</f>
        <v>57</v>
      </c>
      <c r="M6405" s="132">
        <f>SUM(M6402:M6404)</f>
        <v>16.445789999999995</v>
      </c>
      <c r="N6405" s="131">
        <f>SUM(N6402:N6404)</f>
        <v>0</v>
      </c>
      <c r="O6405" s="132">
        <f>SUM(O6402:O6404)</f>
        <v>0</v>
      </c>
      <c r="P6405" s="32"/>
      <c r="Q6405" s="131">
        <f>SUM(Q6402:Q6404)</f>
        <v>5</v>
      </c>
      <c r="R6405" s="32"/>
    </row>
    <row r="6408" spans="1:22">
      <c r="A6408" s="110" t="s">
        <v>426</v>
      </c>
      <c r="B6408" s="111" t="s">
        <v>428</v>
      </c>
      <c r="C6408" s="112" t="s">
        <v>228</v>
      </c>
      <c r="D6408" s="113" t="s">
        <v>20</v>
      </c>
      <c r="E6408" s="175" t="s">
        <v>15</v>
      </c>
      <c r="F6408" s="175" t="s">
        <v>53</v>
      </c>
      <c r="G6408" s="176">
        <v>35.9</v>
      </c>
      <c r="H6408" s="177">
        <v>11.3</v>
      </c>
      <c r="I6408" s="178">
        <v>7</v>
      </c>
      <c r="J6408" s="174">
        <f t="shared" ref="J6408:J6414" si="900">(G6408*H6408*I6408/1000)</f>
        <v>2.83969</v>
      </c>
      <c r="K6408" s="118"/>
      <c r="L6408" s="111">
        <v>7</v>
      </c>
      <c r="M6408" s="117">
        <f t="shared" ref="M6408:M6414" si="901">H6408*L6408*G6408/1000</f>
        <v>2.83969</v>
      </c>
      <c r="N6408" s="119">
        <f t="shared" ref="N6408:N6414" si="902">I6408-L6408</f>
        <v>0</v>
      </c>
      <c r="O6408" s="120">
        <f t="shared" ref="O6408:O6414" si="903">H6408*N6408*G6408/1000</f>
        <v>0</v>
      </c>
      <c r="P6408" s="32"/>
      <c r="Q6408" s="32"/>
      <c r="R6408" s="32"/>
      <c r="S6408" s="186"/>
      <c r="T6408" s="213"/>
      <c r="U6408" s="213"/>
      <c r="V6408" s="213"/>
    </row>
    <row r="6409" spans="1:22">
      <c r="A6409" s="110" t="s">
        <v>426</v>
      </c>
      <c r="B6409" s="111" t="s">
        <v>428</v>
      </c>
      <c r="C6409" s="112" t="s">
        <v>228</v>
      </c>
      <c r="D6409" s="113" t="s">
        <v>20</v>
      </c>
      <c r="E6409" s="175" t="s">
        <v>15</v>
      </c>
      <c r="F6409" s="175" t="s">
        <v>53</v>
      </c>
      <c r="G6409" s="176">
        <v>35.9</v>
      </c>
      <c r="H6409" s="177">
        <v>11.7</v>
      </c>
      <c r="I6409" s="178">
        <f>7+7+7+105</f>
        <v>126</v>
      </c>
      <c r="J6409" s="174">
        <f t="shared" si="900"/>
        <v>52.923780000000001</v>
      </c>
      <c r="K6409" s="118"/>
      <c r="L6409" s="111">
        <f>119+7</f>
        <v>126</v>
      </c>
      <c r="M6409" s="117">
        <f t="shared" si="901"/>
        <v>52.923779999999994</v>
      </c>
      <c r="N6409" s="119">
        <f t="shared" si="902"/>
        <v>0</v>
      </c>
      <c r="O6409" s="120">
        <f t="shared" si="903"/>
        <v>0</v>
      </c>
      <c r="P6409" s="32">
        <v>11.3</v>
      </c>
      <c r="Q6409" s="32">
        <v>7</v>
      </c>
      <c r="R6409" s="32"/>
      <c r="S6409" s="186"/>
      <c r="T6409" s="213"/>
      <c r="U6409" s="213"/>
      <c r="V6409" s="213"/>
    </row>
    <row r="6410" spans="1:22">
      <c r="A6410" s="110" t="s">
        <v>426</v>
      </c>
      <c r="B6410" s="111" t="s">
        <v>428</v>
      </c>
      <c r="C6410" s="112" t="s">
        <v>228</v>
      </c>
      <c r="D6410" s="113" t="s">
        <v>20</v>
      </c>
      <c r="E6410" s="175" t="s">
        <v>15</v>
      </c>
      <c r="F6410" s="175" t="s">
        <v>53</v>
      </c>
      <c r="G6410" s="176">
        <v>35.9</v>
      </c>
      <c r="H6410" s="177">
        <v>12</v>
      </c>
      <c r="I6410" s="178">
        <f>7+7+7+8+63</f>
        <v>92</v>
      </c>
      <c r="J6410" s="174">
        <f t="shared" si="900"/>
        <v>39.633600000000001</v>
      </c>
      <c r="K6410" s="118"/>
      <c r="L6410" s="111">
        <f>82+2+8</f>
        <v>92</v>
      </c>
      <c r="M6410" s="117">
        <f t="shared" si="901"/>
        <v>39.633600000000001</v>
      </c>
      <c r="N6410" s="119">
        <f t="shared" si="902"/>
        <v>0</v>
      </c>
      <c r="O6410" s="120">
        <f t="shared" si="903"/>
        <v>0</v>
      </c>
      <c r="P6410" s="32">
        <v>12</v>
      </c>
      <c r="Q6410" s="45">
        <v>2</v>
      </c>
      <c r="R6410" s="45" t="s">
        <v>543</v>
      </c>
      <c r="S6410" s="186"/>
      <c r="T6410" s="559">
        <v>7.85</v>
      </c>
      <c r="U6410" s="77">
        <v>8</v>
      </c>
      <c r="V6410" s="74" t="s">
        <v>764</v>
      </c>
    </row>
    <row r="6411" spans="1:22">
      <c r="A6411" s="110" t="s">
        <v>426</v>
      </c>
      <c r="B6411" s="111" t="s">
        <v>428</v>
      </c>
      <c r="C6411" s="112" t="s">
        <v>228</v>
      </c>
      <c r="D6411" s="113" t="s">
        <v>20</v>
      </c>
      <c r="E6411" s="175" t="s">
        <v>15</v>
      </c>
      <c r="F6411" s="175" t="s">
        <v>53</v>
      </c>
      <c r="G6411" s="176">
        <v>35.9</v>
      </c>
      <c r="H6411" s="177">
        <v>12</v>
      </c>
      <c r="I6411" s="178">
        <v>1</v>
      </c>
      <c r="J6411" s="174">
        <f t="shared" si="900"/>
        <v>0.43079999999999996</v>
      </c>
      <c r="K6411" s="118" t="s">
        <v>429</v>
      </c>
      <c r="L6411" s="111">
        <v>1</v>
      </c>
      <c r="M6411" s="117">
        <f t="shared" si="901"/>
        <v>0.43079999999999996</v>
      </c>
      <c r="N6411" s="119">
        <f t="shared" si="902"/>
        <v>0</v>
      </c>
      <c r="O6411" s="120">
        <f t="shared" si="903"/>
        <v>0</v>
      </c>
      <c r="P6411" s="32"/>
      <c r="Q6411" s="32"/>
      <c r="R6411" s="32"/>
      <c r="S6411" s="186"/>
      <c r="T6411" s="559">
        <v>7.85</v>
      </c>
      <c r="U6411" s="77">
        <v>1</v>
      </c>
      <c r="V6411" s="74" t="s">
        <v>764</v>
      </c>
    </row>
    <row r="6412" spans="1:22">
      <c r="A6412" s="110" t="s">
        <v>426</v>
      </c>
      <c r="B6412" s="111" t="s">
        <v>428</v>
      </c>
      <c r="C6412" s="112" t="s">
        <v>228</v>
      </c>
      <c r="D6412" s="113" t="s">
        <v>20</v>
      </c>
      <c r="E6412" s="175" t="s">
        <v>15</v>
      </c>
      <c r="F6412" s="175" t="s">
        <v>53</v>
      </c>
      <c r="G6412" s="176">
        <v>35.9</v>
      </c>
      <c r="H6412" s="177">
        <v>10.8</v>
      </c>
      <c r="I6412" s="178">
        <v>1</v>
      </c>
      <c r="J6412" s="174">
        <f t="shared" si="900"/>
        <v>0.38772000000000001</v>
      </c>
      <c r="K6412" s="118" t="s">
        <v>252</v>
      </c>
      <c r="L6412" s="111">
        <v>1</v>
      </c>
      <c r="M6412" s="117">
        <f t="shared" si="901"/>
        <v>0.38772000000000001</v>
      </c>
      <c r="N6412" s="119">
        <f t="shared" si="902"/>
        <v>0</v>
      </c>
      <c r="O6412" s="120">
        <f t="shared" si="903"/>
        <v>0</v>
      </c>
      <c r="P6412" s="32"/>
      <c r="Q6412" s="32"/>
      <c r="R6412" s="32"/>
      <c r="S6412" s="186"/>
      <c r="T6412" s="559">
        <v>7.85</v>
      </c>
      <c r="U6412" s="77">
        <v>1</v>
      </c>
      <c r="V6412" s="74" t="s">
        <v>764</v>
      </c>
    </row>
    <row r="6413" spans="1:22">
      <c r="A6413" s="110" t="s">
        <v>426</v>
      </c>
      <c r="B6413" s="111" t="s">
        <v>428</v>
      </c>
      <c r="C6413" s="112" t="s">
        <v>228</v>
      </c>
      <c r="D6413" s="113" t="s">
        <v>20</v>
      </c>
      <c r="E6413" s="175" t="s">
        <v>15</v>
      </c>
      <c r="F6413" s="175" t="s">
        <v>53</v>
      </c>
      <c r="G6413" s="176">
        <v>35.9</v>
      </c>
      <c r="H6413" s="177">
        <v>11.7</v>
      </c>
      <c r="I6413" s="178">
        <v>2</v>
      </c>
      <c r="J6413" s="174">
        <f t="shared" si="900"/>
        <v>0.84005999999999992</v>
      </c>
      <c r="K6413" s="118" t="s">
        <v>252</v>
      </c>
      <c r="L6413" s="111">
        <v>2</v>
      </c>
      <c r="M6413" s="117">
        <f t="shared" si="901"/>
        <v>0.84005999999999992</v>
      </c>
      <c r="N6413" s="119">
        <f t="shared" si="902"/>
        <v>0</v>
      </c>
      <c r="O6413" s="120">
        <f t="shared" si="903"/>
        <v>0</v>
      </c>
      <c r="P6413" s="32">
        <v>11.3</v>
      </c>
      <c r="Q6413" s="32">
        <v>2</v>
      </c>
      <c r="R6413" s="32"/>
      <c r="S6413" s="186"/>
      <c r="T6413" s="559"/>
      <c r="U6413" s="77"/>
      <c r="V6413" s="77"/>
    </row>
    <row r="6414" spans="1:22">
      <c r="A6414" s="110" t="s">
        <v>426</v>
      </c>
      <c r="B6414" s="111" t="s">
        <v>428</v>
      </c>
      <c r="C6414" s="112" t="s">
        <v>228</v>
      </c>
      <c r="D6414" s="113" t="s">
        <v>20</v>
      </c>
      <c r="E6414" s="175" t="s">
        <v>15</v>
      </c>
      <c r="F6414" s="175" t="s">
        <v>53</v>
      </c>
      <c r="G6414" s="176">
        <v>35.9</v>
      </c>
      <c r="H6414" s="177">
        <v>12</v>
      </c>
      <c r="I6414" s="178">
        <v>3</v>
      </c>
      <c r="J6414" s="174">
        <f t="shared" si="900"/>
        <v>1.2923999999999998</v>
      </c>
      <c r="K6414" s="118" t="s">
        <v>252</v>
      </c>
      <c r="L6414" s="111">
        <f>2+1</f>
        <v>3</v>
      </c>
      <c r="M6414" s="117">
        <f t="shared" si="901"/>
        <v>1.2923999999999998</v>
      </c>
      <c r="N6414" s="119">
        <f t="shared" si="902"/>
        <v>0</v>
      </c>
      <c r="O6414" s="120">
        <f t="shared" si="903"/>
        <v>0</v>
      </c>
      <c r="P6414" s="32">
        <v>11.3</v>
      </c>
      <c r="Q6414" s="32">
        <v>2</v>
      </c>
      <c r="R6414" s="32"/>
      <c r="S6414" s="186"/>
      <c r="T6414" s="559">
        <v>7.85</v>
      </c>
      <c r="U6414" s="479">
        <v>1</v>
      </c>
      <c r="V6414" s="74" t="s">
        <v>764</v>
      </c>
    </row>
    <row r="6415" spans="1:22">
      <c r="A6415" s="213"/>
      <c r="B6415" s="213"/>
      <c r="C6415" s="213"/>
      <c r="D6415" s="213"/>
      <c r="E6415" s="213"/>
      <c r="F6415" s="213"/>
      <c r="G6415" s="213"/>
      <c r="H6415" s="213"/>
      <c r="I6415" s="78">
        <f>SUM(I6408:I6414)</f>
        <v>232</v>
      </c>
      <c r="J6415" s="214">
        <f>SUM(J6408:J6414)</f>
        <v>98.348050000000001</v>
      </c>
      <c r="K6415" s="213"/>
      <c r="L6415" s="78">
        <f>SUM(L6408:L6414)</f>
        <v>232</v>
      </c>
      <c r="M6415" s="214">
        <f>SUM(M6408:M6414)</f>
        <v>98.348049999999986</v>
      </c>
      <c r="N6415" s="78">
        <f>SUM(N6408:N6414)</f>
        <v>0</v>
      </c>
      <c r="O6415" s="214">
        <f>SUM(O6408:O6414)</f>
        <v>0</v>
      </c>
      <c r="P6415" s="213"/>
      <c r="Q6415" s="78">
        <f>SUM(Q6408:Q6414)</f>
        <v>13</v>
      </c>
      <c r="R6415" s="213"/>
      <c r="S6415" s="186"/>
      <c r="T6415" s="77"/>
      <c r="U6415" s="560">
        <f>SUM(U6408:U6414)</f>
        <v>11</v>
      </c>
      <c r="V6415" s="77"/>
    </row>
    <row r="6417" spans="1:21">
      <c r="A6417" s="521" t="s">
        <v>777</v>
      </c>
      <c r="B6417" s="522" t="s">
        <v>428</v>
      </c>
      <c r="C6417" s="523" t="s">
        <v>449</v>
      </c>
      <c r="D6417" s="524" t="s">
        <v>20</v>
      </c>
      <c r="E6417" s="525" t="s">
        <v>15</v>
      </c>
      <c r="F6417" s="525" t="s">
        <v>57</v>
      </c>
      <c r="G6417" s="526">
        <v>33.799999999999997</v>
      </c>
      <c r="H6417" s="179">
        <v>6.8</v>
      </c>
      <c r="I6417" s="416">
        <v>8</v>
      </c>
      <c r="J6417" s="527">
        <f t="shared" ref="J6417:J6420" si="904">(G6417*H6417*I6417/1000)</f>
        <v>1.8387199999999999</v>
      </c>
      <c r="K6417" s="528"/>
      <c r="L6417" s="416">
        <v>8</v>
      </c>
      <c r="M6417" s="529">
        <f t="shared" ref="M6417:M6420" si="905">H6417*L6417*G6417/1000</f>
        <v>1.8387199999999999</v>
      </c>
      <c r="N6417" s="530">
        <f t="shared" ref="N6417:N6420" si="906">I6417-L6417</f>
        <v>0</v>
      </c>
      <c r="O6417" s="531">
        <f t="shared" ref="O6417:O6420" si="907">H6417*N6417*G6417/1000</f>
        <v>0</v>
      </c>
      <c r="P6417" s="532"/>
      <c r="Q6417" s="401"/>
      <c r="R6417" s="401"/>
      <c r="U6417" s="215">
        <f>+U6415+Q6405+O6400</f>
        <v>18</v>
      </c>
    </row>
    <row r="6418" spans="1:21">
      <c r="A6418" s="521" t="s">
        <v>777</v>
      </c>
      <c r="B6418" s="522" t="s">
        <v>428</v>
      </c>
      <c r="C6418" s="523" t="s">
        <v>449</v>
      </c>
      <c r="D6418" s="524" t="s">
        <v>20</v>
      </c>
      <c r="E6418" s="525" t="s">
        <v>15</v>
      </c>
      <c r="F6418" s="525" t="s">
        <v>57</v>
      </c>
      <c r="G6418" s="526">
        <v>33.799999999999997</v>
      </c>
      <c r="H6418" s="179">
        <v>6.8</v>
      </c>
      <c r="I6418" s="416">
        <v>2</v>
      </c>
      <c r="J6418" s="527">
        <f t="shared" si="904"/>
        <v>0.45967999999999998</v>
      </c>
      <c r="K6418" s="528"/>
      <c r="L6418" s="416">
        <v>2</v>
      </c>
      <c r="M6418" s="529">
        <f t="shared" si="905"/>
        <v>0.45967999999999998</v>
      </c>
      <c r="N6418" s="530">
        <f t="shared" si="906"/>
        <v>0</v>
      </c>
      <c r="O6418" s="531">
        <f t="shared" si="907"/>
        <v>0</v>
      </c>
      <c r="P6418" s="563">
        <v>6.5</v>
      </c>
      <c r="Q6418" s="561">
        <v>2</v>
      </c>
      <c r="R6418" s="561" t="s">
        <v>760</v>
      </c>
    </row>
    <row r="6419" spans="1:21">
      <c r="A6419" s="521" t="s">
        <v>777</v>
      </c>
      <c r="B6419" s="522" t="s">
        <v>428</v>
      </c>
      <c r="C6419" s="523" t="s">
        <v>449</v>
      </c>
      <c r="D6419" s="524" t="s">
        <v>20</v>
      </c>
      <c r="E6419" s="525" t="s">
        <v>15</v>
      </c>
      <c r="F6419" s="525" t="s">
        <v>57</v>
      </c>
      <c r="G6419" s="526">
        <v>33.799999999999997</v>
      </c>
      <c r="H6419" s="179">
        <v>6.8</v>
      </c>
      <c r="I6419" s="416">
        <v>12</v>
      </c>
      <c r="J6419" s="527">
        <f t="shared" si="904"/>
        <v>2.7580800000000001</v>
      </c>
      <c r="K6419" s="528"/>
      <c r="L6419" s="416">
        <v>12</v>
      </c>
      <c r="M6419" s="529">
        <f t="shared" si="905"/>
        <v>2.7580799999999996</v>
      </c>
      <c r="N6419" s="530">
        <f t="shared" si="906"/>
        <v>0</v>
      </c>
      <c r="O6419" s="531">
        <f t="shared" si="907"/>
        <v>0</v>
      </c>
      <c r="P6419" s="532"/>
      <c r="Q6419" s="401"/>
      <c r="R6419" s="401"/>
    </row>
    <row r="6420" spans="1:21">
      <c r="A6420" s="521" t="s">
        <v>777</v>
      </c>
      <c r="B6420" s="522" t="s">
        <v>428</v>
      </c>
      <c r="C6420" s="523" t="s">
        <v>449</v>
      </c>
      <c r="D6420" s="524" t="s">
        <v>20</v>
      </c>
      <c r="E6420" s="525" t="s">
        <v>15</v>
      </c>
      <c r="F6420" s="525" t="s">
        <v>57</v>
      </c>
      <c r="G6420" s="526">
        <v>33.799999999999997</v>
      </c>
      <c r="H6420" s="179">
        <v>12</v>
      </c>
      <c r="I6420" s="416">
        <v>4</v>
      </c>
      <c r="J6420" s="527">
        <f t="shared" si="904"/>
        <v>1.6223999999999998</v>
      </c>
      <c r="K6420" s="528"/>
      <c r="L6420" s="416">
        <v>4</v>
      </c>
      <c r="M6420" s="529">
        <f t="shared" si="905"/>
        <v>1.6223999999999998</v>
      </c>
      <c r="N6420" s="530">
        <f t="shared" si="906"/>
        <v>0</v>
      </c>
      <c r="O6420" s="531">
        <f t="shared" si="907"/>
        <v>0</v>
      </c>
      <c r="P6420" s="532"/>
      <c r="Q6420" s="401"/>
      <c r="R6420" s="401"/>
    </row>
    <row r="6423" spans="1:21">
      <c r="A6423" s="521" t="s">
        <v>777</v>
      </c>
      <c r="B6423" s="522" t="s">
        <v>428</v>
      </c>
      <c r="C6423" s="523" t="s">
        <v>449</v>
      </c>
      <c r="D6423" s="524" t="s">
        <v>20</v>
      </c>
      <c r="E6423" s="525" t="s">
        <v>15</v>
      </c>
      <c r="F6423" s="525" t="s">
        <v>54</v>
      </c>
      <c r="G6423" s="526">
        <v>31.6</v>
      </c>
      <c r="H6423" s="179">
        <v>10.3</v>
      </c>
      <c r="I6423" s="416">
        <v>1</v>
      </c>
      <c r="J6423" s="527">
        <f t="shared" ref="J6423:J6426" si="908">(G6423*H6423*I6423/1000)</f>
        <v>0.32547999999999999</v>
      </c>
      <c r="K6423" s="528"/>
      <c r="L6423" s="416">
        <v>1</v>
      </c>
      <c r="M6423" s="529">
        <f t="shared" ref="M6423:M6426" si="909">H6423*L6423*G6423/1000</f>
        <v>0.32547999999999999</v>
      </c>
      <c r="N6423" s="530">
        <f t="shared" ref="N6423:N6426" si="910">I6423-L6423</f>
        <v>0</v>
      </c>
      <c r="O6423" s="531">
        <f t="shared" ref="O6423:O6426" si="911">H6423*N6423*G6423/1000</f>
        <v>0</v>
      </c>
      <c r="P6423" s="532"/>
      <c r="Q6423" s="401"/>
      <c r="R6423" s="401"/>
    </row>
    <row r="6424" spans="1:21">
      <c r="A6424" s="521" t="s">
        <v>777</v>
      </c>
      <c r="B6424" s="522" t="s">
        <v>428</v>
      </c>
      <c r="C6424" s="523" t="s">
        <v>449</v>
      </c>
      <c r="D6424" s="524" t="s">
        <v>20</v>
      </c>
      <c r="E6424" s="525" t="s">
        <v>15</v>
      </c>
      <c r="F6424" s="525" t="s">
        <v>54</v>
      </c>
      <c r="G6424" s="526">
        <v>31.6</v>
      </c>
      <c r="H6424" s="179">
        <v>11.8</v>
      </c>
      <c r="I6424" s="416">
        <v>1</v>
      </c>
      <c r="J6424" s="527">
        <f t="shared" si="908"/>
        <v>0.37288000000000004</v>
      </c>
      <c r="K6424" s="528"/>
      <c r="L6424" s="416">
        <v>1</v>
      </c>
      <c r="M6424" s="529">
        <f t="shared" si="909"/>
        <v>0.37288000000000004</v>
      </c>
      <c r="N6424" s="530">
        <f t="shared" si="910"/>
        <v>0</v>
      </c>
      <c r="O6424" s="531">
        <f t="shared" si="911"/>
        <v>0</v>
      </c>
      <c r="P6424" s="562">
        <v>10.1</v>
      </c>
      <c r="Q6424" s="561">
        <v>1</v>
      </c>
      <c r="R6424" s="561" t="s">
        <v>764</v>
      </c>
    </row>
    <row r="6425" spans="1:21">
      <c r="A6425" s="521" t="s">
        <v>777</v>
      </c>
      <c r="B6425" s="522" t="s">
        <v>428</v>
      </c>
      <c r="C6425" s="523" t="s">
        <v>449</v>
      </c>
      <c r="D6425" s="524" t="s">
        <v>20</v>
      </c>
      <c r="E6425" s="525" t="s">
        <v>15</v>
      </c>
      <c r="F6425" s="525" t="s">
        <v>54</v>
      </c>
      <c r="G6425" s="526">
        <v>31.6</v>
      </c>
      <c r="H6425" s="179">
        <v>7.2</v>
      </c>
      <c r="I6425" s="416">
        <v>7</v>
      </c>
      <c r="J6425" s="527">
        <f t="shared" si="908"/>
        <v>1.5926400000000001</v>
      </c>
      <c r="K6425" s="528"/>
      <c r="L6425" s="416">
        <v>7</v>
      </c>
      <c r="M6425" s="529">
        <f t="shared" si="909"/>
        <v>1.5926400000000001</v>
      </c>
      <c r="N6425" s="530">
        <f t="shared" si="910"/>
        <v>0</v>
      </c>
      <c r="O6425" s="531">
        <f t="shared" si="911"/>
        <v>0</v>
      </c>
      <c r="P6425" s="532"/>
      <c r="Q6425" s="564">
        <f>SUM(Q6424)</f>
        <v>1</v>
      </c>
      <c r="R6425" s="401"/>
    </row>
    <row r="6426" spans="1:21">
      <c r="A6426" s="521" t="s">
        <v>777</v>
      </c>
      <c r="B6426" s="522" t="s">
        <v>428</v>
      </c>
      <c r="C6426" s="523" t="s">
        <v>449</v>
      </c>
      <c r="D6426" s="524" t="s">
        <v>20</v>
      </c>
      <c r="E6426" s="525" t="s">
        <v>15</v>
      </c>
      <c r="F6426" s="525" t="s">
        <v>54</v>
      </c>
      <c r="G6426" s="526">
        <v>31.6</v>
      </c>
      <c r="H6426" s="179">
        <v>9.6999999999999993</v>
      </c>
      <c r="I6426" s="416">
        <v>3</v>
      </c>
      <c r="J6426" s="527">
        <f t="shared" si="908"/>
        <v>0.91955999999999993</v>
      </c>
      <c r="K6426" s="528"/>
      <c r="L6426" s="416">
        <v>3</v>
      </c>
      <c r="M6426" s="529">
        <f t="shared" si="909"/>
        <v>0.91955999999999993</v>
      </c>
      <c r="N6426" s="530">
        <f t="shared" si="910"/>
        <v>0</v>
      </c>
      <c r="O6426" s="531">
        <f t="shared" si="911"/>
        <v>0</v>
      </c>
      <c r="P6426" s="532"/>
      <c r="Q6426" s="401"/>
      <c r="R6426" s="401"/>
    </row>
    <row r="6429" spans="1:21">
      <c r="A6429" s="44" t="s">
        <v>78</v>
      </c>
      <c r="B6429" s="3" t="s">
        <v>80</v>
      </c>
      <c r="C6429" s="3">
        <v>2</v>
      </c>
      <c r="D6429" s="20" t="s">
        <v>20</v>
      </c>
      <c r="E6429" s="7" t="s">
        <v>15</v>
      </c>
      <c r="F6429" s="7" t="s">
        <v>66</v>
      </c>
      <c r="G6429" s="11">
        <v>29.5</v>
      </c>
      <c r="H6429" s="8">
        <v>11</v>
      </c>
      <c r="I6429" s="26">
        <v>1</v>
      </c>
      <c r="J6429" s="10">
        <v>0.32450000000000001</v>
      </c>
      <c r="K6429" s="17">
        <v>1</v>
      </c>
      <c r="L6429" s="18">
        <v>0.32450000000000001</v>
      </c>
      <c r="M6429" s="19">
        <v>0</v>
      </c>
      <c r="N6429" s="13">
        <v>0</v>
      </c>
      <c r="O6429" s="89">
        <v>10.9</v>
      </c>
      <c r="P6429" s="91">
        <v>1</v>
      </c>
      <c r="Q6429" s="91" t="s">
        <v>701</v>
      </c>
    </row>
    <row r="6433" spans="1:20">
      <c r="A6433" s="48" t="s">
        <v>168</v>
      </c>
      <c r="B6433" s="48" t="s">
        <v>169</v>
      </c>
      <c r="C6433" s="32">
        <v>11</v>
      </c>
      <c r="D6433" s="48" t="s">
        <v>20</v>
      </c>
      <c r="E6433" s="48" t="s">
        <v>15</v>
      </c>
      <c r="F6433" s="48" t="s">
        <v>16</v>
      </c>
      <c r="G6433" s="11">
        <v>5.77</v>
      </c>
      <c r="H6433" s="52">
        <v>6.3</v>
      </c>
      <c r="I6433" s="7">
        <v>1</v>
      </c>
      <c r="J6433" s="10">
        <v>3.6351000000000001E-2</v>
      </c>
      <c r="K6433" s="32"/>
      <c r="L6433" s="18">
        <v>0</v>
      </c>
      <c r="M6433" s="19">
        <v>1</v>
      </c>
      <c r="N6433" s="13">
        <v>3.6351000000000001E-2</v>
      </c>
      <c r="O6433" s="32"/>
      <c r="P6433" s="32"/>
      <c r="Q6433" s="32"/>
    </row>
    <row r="6434" spans="1:20">
      <c r="A6434" s="42" t="s">
        <v>90</v>
      </c>
      <c r="B6434" s="48" t="s">
        <v>148</v>
      </c>
      <c r="C6434" s="32">
        <v>47</v>
      </c>
      <c r="D6434" s="48" t="s">
        <v>156</v>
      </c>
      <c r="E6434" s="48" t="s">
        <v>15</v>
      </c>
      <c r="F6434" s="48" t="s">
        <v>16</v>
      </c>
      <c r="G6434" s="11">
        <v>5.77</v>
      </c>
      <c r="H6434" s="52">
        <v>5.5</v>
      </c>
      <c r="I6434" s="7">
        <v>2</v>
      </c>
      <c r="J6434" s="10">
        <v>6.3469999999999999E-2</v>
      </c>
      <c r="K6434" s="32"/>
      <c r="L6434" s="18">
        <v>0</v>
      </c>
      <c r="M6434" s="19">
        <v>2</v>
      </c>
      <c r="N6434" s="13">
        <v>6.3469999999999999E-2</v>
      </c>
      <c r="O6434" s="32"/>
      <c r="P6434" s="32"/>
      <c r="Q6434" s="32"/>
    </row>
    <row r="6435" spans="1:20">
      <c r="A6435" s="45" t="s">
        <v>136</v>
      </c>
      <c r="B6435" s="48" t="s">
        <v>171</v>
      </c>
      <c r="C6435" s="32">
        <v>141</v>
      </c>
      <c r="D6435" s="48" t="s">
        <v>89</v>
      </c>
      <c r="E6435" s="48" t="s">
        <v>15</v>
      </c>
      <c r="F6435" s="48" t="s">
        <v>16</v>
      </c>
      <c r="G6435" s="11">
        <v>5.77</v>
      </c>
      <c r="H6435" s="52">
        <v>8.9</v>
      </c>
      <c r="I6435" s="7">
        <v>1</v>
      </c>
      <c r="J6435" s="10">
        <v>5.1353000000000003E-2</v>
      </c>
      <c r="K6435" s="32">
        <v>1</v>
      </c>
      <c r="L6435" s="18">
        <v>5.1353000000000003E-2</v>
      </c>
      <c r="M6435" s="19">
        <v>0</v>
      </c>
      <c r="N6435" s="13">
        <v>0</v>
      </c>
      <c r="O6435" s="72">
        <v>7.1</v>
      </c>
      <c r="P6435" s="72">
        <v>1</v>
      </c>
      <c r="Q6435" s="72" t="s">
        <v>739</v>
      </c>
    </row>
    <row r="6436" spans="1:20">
      <c r="A6436" s="45" t="s">
        <v>136</v>
      </c>
      <c r="B6436" s="48" t="s">
        <v>171</v>
      </c>
      <c r="C6436" s="32">
        <v>141</v>
      </c>
      <c r="D6436" s="48" t="s">
        <v>89</v>
      </c>
      <c r="E6436" s="48" t="s">
        <v>15</v>
      </c>
      <c r="F6436" s="48" t="s">
        <v>16</v>
      </c>
      <c r="G6436" s="11">
        <v>5.77</v>
      </c>
      <c r="H6436" s="52">
        <v>10</v>
      </c>
      <c r="I6436" s="7">
        <v>1</v>
      </c>
      <c r="J6436" s="10">
        <v>5.7699999999999994E-2</v>
      </c>
      <c r="K6436" s="32">
        <v>1</v>
      </c>
      <c r="L6436" s="18">
        <v>5.7699999999999994E-2</v>
      </c>
      <c r="M6436" s="19">
        <v>0</v>
      </c>
      <c r="N6436" s="13">
        <v>0</v>
      </c>
      <c r="O6436" s="72">
        <v>7.1</v>
      </c>
      <c r="P6436" s="72">
        <v>1</v>
      </c>
      <c r="Q6436" s="72" t="s">
        <v>739</v>
      </c>
    </row>
    <row r="6437" spans="1:20">
      <c r="A6437" s="45" t="s">
        <v>136</v>
      </c>
      <c r="B6437" s="48" t="s">
        <v>171</v>
      </c>
      <c r="C6437" s="32">
        <v>141</v>
      </c>
      <c r="D6437" s="48" t="s">
        <v>89</v>
      </c>
      <c r="E6437" s="48" t="s">
        <v>15</v>
      </c>
      <c r="F6437" s="48" t="s">
        <v>16</v>
      </c>
      <c r="G6437" s="11">
        <v>5.77</v>
      </c>
      <c r="H6437" s="52">
        <v>10.5</v>
      </c>
      <c r="I6437" s="7">
        <v>1</v>
      </c>
      <c r="J6437" s="10">
        <v>6.0584999999999993E-2</v>
      </c>
      <c r="K6437" s="32">
        <v>1</v>
      </c>
      <c r="L6437" s="18">
        <v>6.0584999999999993E-2</v>
      </c>
      <c r="M6437" s="19">
        <v>0</v>
      </c>
      <c r="N6437" s="13">
        <v>0</v>
      </c>
      <c r="O6437" s="72">
        <v>7.1</v>
      </c>
      <c r="P6437" s="72">
        <v>1</v>
      </c>
      <c r="Q6437" s="72" t="s">
        <v>739</v>
      </c>
    </row>
    <row r="6438" spans="1:20">
      <c r="P6438" s="76">
        <f>SUM(P6435:P6437)</f>
        <v>3</v>
      </c>
    </row>
    <row r="6441" spans="1:20" ht="15.6">
      <c r="A6441" s="110" t="s">
        <v>262</v>
      </c>
      <c r="B6441" s="111" t="s">
        <v>232</v>
      </c>
      <c r="C6441" s="112" t="s">
        <v>228</v>
      </c>
      <c r="D6441" s="113" t="s">
        <v>236</v>
      </c>
      <c r="E6441" s="114" t="s">
        <v>15</v>
      </c>
      <c r="F6441" s="115" t="s">
        <v>16</v>
      </c>
      <c r="G6441" s="116">
        <v>5.77</v>
      </c>
      <c r="H6441" s="125">
        <v>12</v>
      </c>
      <c r="I6441" s="111">
        <v>13</v>
      </c>
      <c r="J6441" s="117">
        <f t="shared" ref="J6441:J6480" si="912">H6441*G6441*I6441/1000</f>
        <v>0.90011999999999992</v>
      </c>
      <c r="K6441" s="118"/>
      <c r="L6441" s="111">
        <v>13</v>
      </c>
      <c r="M6441" s="117">
        <f t="shared" ref="M6441:M6480" si="913">H6441*L6441*G6441/1000</f>
        <v>0.90011999999999992</v>
      </c>
      <c r="N6441" s="119">
        <f t="shared" ref="N6441:N6480" si="914">I6441-L6441</f>
        <v>0</v>
      </c>
      <c r="O6441" s="120">
        <f t="shared" ref="O6441:O6480" si="915">H6441*N6441*G6441/1000</f>
        <v>0</v>
      </c>
      <c r="P6441" s="130"/>
      <c r="Q6441" s="111"/>
      <c r="R6441" s="111"/>
      <c r="S6441" s="111"/>
      <c r="T6441" s="213"/>
    </row>
    <row r="6442" spans="1:20" ht="15.6">
      <c r="A6442" s="110" t="s">
        <v>262</v>
      </c>
      <c r="B6442" s="111" t="s">
        <v>232</v>
      </c>
      <c r="C6442" s="112" t="s">
        <v>228</v>
      </c>
      <c r="D6442" s="113" t="s">
        <v>236</v>
      </c>
      <c r="E6442" s="114" t="s">
        <v>15</v>
      </c>
      <c r="F6442" s="115" t="s">
        <v>16</v>
      </c>
      <c r="G6442" s="116">
        <v>5.77</v>
      </c>
      <c r="H6442" s="125">
        <v>6.3</v>
      </c>
      <c r="I6442" s="111">
        <f>33+35+59+22+1</f>
        <v>150</v>
      </c>
      <c r="J6442" s="117">
        <f t="shared" si="912"/>
        <v>5.4526499999999993</v>
      </c>
      <c r="K6442" s="118"/>
      <c r="L6442" s="111">
        <v>150</v>
      </c>
      <c r="M6442" s="117">
        <f t="shared" si="913"/>
        <v>5.4526499999999993</v>
      </c>
      <c r="N6442" s="119">
        <f t="shared" si="914"/>
        <v>0</v>
      </c>
      <c r="O6442" s="120">
        <f t="shared" si="915"/>
        <v>0</v>
      </c>
      <c r="P6442" s="130"/>
      <c r="Q6442" s="111"/>
      <c r="R6442" s="111"/>
      <c r="S6442" s="111"/>
      <c r="T6442" s="213"/>
    </row>
    <row r="6443" spans="1:20" ht="15.6">
      <c r="A6443" s="110" t="s">
        <v>262</v>
      </c>
      <c r="B6443" s="111" t="s">
        <v>232</v>
      </c>
      <c r="C6443" s="112" t="s">
        <v>228</v>
      </c>
      <c r="D6443" s="113" t="s">
        <v>236</v>
      </c>
      <c r="E6443" s="114" t="s">
        <v>15</v>
      </c>
      <c r="F6443" s="115" t="s">
        <v>16</v>
      </c>
      <c r="G6443" s="116">
        <v>5.77</v>
      </c>
      <c r="H6443" s="125">
        <v>10.5</v>
      </c>
      <c r="I6443" s="111">
        <f>19+34+3+3+3</f>
        <v>62</v>
      </c>
      <c r="J6443" s="117">
        <f t="shared" si="912"/>
        <v>3.7562699999999993</v>
      </c>
      <c r="K6443" s="118"/>
      <c r="L6443" s="111">
        <f>46+12+3</f>
        <v>61</v>
      </c>
      <c r="M6443" s="117">
        <f t="shared" si="913"/>
        <v>3.6956850000000001</v>
      </c>
      <c r="N6443" s="119">
        <f t="shared" si="914"/>
        <v>1</v>
      </c>
      <c r="O6443" s="120">
        <f t="shared" si="915"/>
        <v>6.0584999999999993E-2</v>
      </c>
      <c r="P6443" s="130" t="s">
        <v>277</v>
      </c>
      <c r="Q6443" s="111"/>
      <c r="R6443" s="111"/>
      <c r="S6443" s="45"/>
      <c r="T6443" s="213"/>
    </row>
    <row r="6444" spans="1:20" ht="15.6">
      <c r="A6444" s="110" t="s">
        <v>262</v>
      </c>
      <c r="B6444" s="111" t="s">
        <v>232</v>
      </c>
      <c r="C6444" s="112" t="s">
        <v>228</v>
      </c>
      <c r="D6444" s="113" t="s">
        <v>236</v>
      </c>
      <c r="E6444" s="114" t="s">
        <v>15</v>
      </c>
      <c r="F6444" s="115" t="s">
        <v>16</v>
      </c>
      <c r="G6444" s="116">
        <v>5.77</v>
      </c>
      <c r="H6444" s="125">
        <v>11</v>
      </c>
      <c r="I6444" s="111">
        <f>38+6+7+23+13+6+18</f>
        <v>111</v>
      </c>
      <c r="J6444" s="117">
        <f t="shared" si="912"/>
        <v>7.0451699999999997</v>
      </c>
      <c r="K6444" s="118"/>
      <c r="L6444" s="111">
        <v>111</v>
      </c>
      <c r="M6444" s="117">
        <f t="shared" si="913"/>
        <v>7.0451699999999988</v>
      </c>
      <c r="N6444" s="119">
        <f t="shared" si="914"/>
        <v>0</v>
      </c>
      <c r="O6444" s="120">
        <f t="shared" si="915"/>
        <v>0</v>
      </c>
      <c r="P6444" s="130"/>
      <c r="Q6444" s="111"/>
      <c r="R6444" s="111"/>
      <c r="S6444" s="111"/>
      <c r="T6444" s="213"/>
    </row>
    <row r="6445" spans="1:20" ht="15.6">
      <c r="A6445" s="110" t="s">
        <v>262</v>
      </c>
      <c r="B6445" s="111" t="s">
        <v>232</v>
      </c>
      <c r="C6445" s="112" t="s">
        <v>228</v>
      </c>
      <c r="D6445" s="113" t="s">
        <v>236</v>
      </c>
      <c r="E6445" s="114" t="s">
        <v>15</v>
      </c>
      <c r="F6445" s="115" t="s">
        <v>16</v>
      </c>
      <c r="G6445" s="116">
        <v>5.77</v>
      </c>
      <c r="H6445" s="125">
        <v>11.25</v>
      </c>
      <c r="I6445" s="111">
        <f>54+45+45+42+11+3+44+47+45+47+18+42+30+6+1</f>
        <v>480</v>
      </c>
      <c r="J6445" s="117">
        <f t="shared" si="912"/>
        <v>31.157999999999998</v>
      </c>
      <c r="K6445" s="118"/>
      <c r="L6445" s="111">
        <f>438+42</f>
        <v>480</v>
      </c>
      <c r="M6445" s="117">
        <f t="shared" si="913"/>
        <v>31.157999999999998</v>
      </c>
      <c r="N6445" s="119">
        <f t="shared" si="914"/>
        <v>0</v>
      </c>
      <c r="O6445" s="120">
        <f t="shared" si="915"/>
        <v>0</v>
      </c>
      <c r="P6445" s="130">
        <v>11</v>
      </c>
      <c r="Q6445" s="111">
        <v>42</v>
      </c>
      <c r="R6445" s="111"/>
      <c r="S6445" s="111"/>
      <c r="T6445" s="213"/>
    </row>
    <row r="6446" spans="1:20" ht="15.6">
      <c r="A6446" s="110" t="s">
        <v>262</v>
      </c>
      <c r="B6446" s="111" t="s">
        <v>232</v>
      </c>
      <c r="C6446" s="112" t="s">
        <v>228</v>
      </c>
      <c r="D6446" s="113" t="s">
        <v>236</v>
      </c>
      <c r="E6446" s="114" t="s">
        <v>15</v>
      </c>
      <c r="F6446" s="115" t="s">
        <v>16</v>
      </c>
      <c r="G6446" s="116">
        <v>5.77</v>
      </c>
      <c r="H6446" s="125">
        <v>12</v>
      </c>
      <c r="I6446" s="111">
        <f>44+45+43+21+2</f>
        <v>155</v>
      </c>
      <c r="J6446" s="117">
        <f t="shared" si="912"/>
        <v>10.732199999999999</v>
      </c>
      <c r="K6446" s="118"/>
      <c r="L6446" s="111">
        <f>115+14+26</f>
        <v>155</v>
      </c>
      <c r="M6446" s="117">
        <f t="shared" si="913"/>
        <v>10.732199999999999</v>
      </c>
      <c r="N6446" s="119">
        <f t="shared" si="914"/>
        <v>0</v>
      </c>
      <c r="O6446" s="120">
        <f t="shared" si="915"/>
        <v>0</v>
      </c>
      <c r="P6446" s="130" t="s">
        <v>276</v>
      </c>
      <c r="Q6446" s="111">
        <f>14+26</f>
        <v>40</v>
      </c>
      <c r="R6446" s="111"/>
      <c r="S6446" s="111"/>
      <c r="T6446" s="213"/>
    </row>
    <row r="6447" spans="1:20" ht="15.6">
      <c r="A6447" s="110" t="s">
        <v>262</v>
      </c>
      <c r="B6447" s="111" t="s">
        <v>232</v>
      </c>
      <c r="C6447" s="112" t="s">
        <v>228</v>
      </c>
      <c r="D6447" s="113" t="s">
        <v>236</v>
      </c>
      <c r="E6447" s="114" t="s">
        <v>15</v>
      </c>
      <c r="F6447" s="115" t="s">
        <v>16</v>
      </c>
      <c r="G6447" s="116">
        <v>5.77</v>
      </c>
      <c r="H6447" s="125">
        <v>7.5</v>
      </c>
      <c r="I6447" s="111">
        <v>1</v>
      </c>
      <c r="J6447" s="117">
        <f t="shared" si="912"/>
        <v>4.3275000000000001E-2</v>
      </c>
      <c r="K6447" s="118" t="s">
        <v>234</v>
      </c>
      <c r="L6447" s="111">
        <v>1</v>
      </c>
      <c r="M6447" s="117">
        <f t="shared" si="913"/>
        <v>4.3275000000000001E-2</v>
      </c>
      <c r="N6447" s="119">
        <f t="shared" si="914"/>
        <v>0</v>
      </c>
      <c r="O6447" s="120">
        <f t="shared" si="915"/>
        <v>0</v>
      </c>
      <c r="P6447" s="130"/>
      <c r="Q6447" s="111"/>
      <c r="R6447" s="101">
        <v>7.1</v>
      </c>
      <c r="S6447" s="101">
        <v>1</v>
      </c>
      <c r="T6447" s="251" t="s">
        <v>739</v>
      </c>
    </row>
    <row r="6448" spans="1:20" ht="15.6">
      <c r="A6448" s="110" t="s">
        <v>262</v>
      </c>
      <c r="B6448" s="111" t="s">
        <v>232</v>
      </c>
      <c r="C6448" s="112" t="s">
        <v>228</v>
      </c>
      <c r="D6448" s="113" t="s">
        <v>236</v>
      </c>
      <c r="E6448" s="114" t="s">
        <v>15</v>
      </c>
      <c r="F6448" s="115" t="s">
        <v>16</v>
      </c>
      <c r="G6448" s="116">
        <v>5.77</v>
      </c>
      <c r="H6448" s="125">
        <v>9</v>
      </c>
      <c r="I6448" s="111">
        <v>1</v>
      </c>
      <c r="J6448" s="117">
        <f t="shared" si="912"/>
        <v>5.192999999999999E-2</v>
      </c>
      <c r="K6448" s="118" t="s">
        <v>234</v>
      </c>
      <c r="L6448" s="111">
        <v>1</v>
      </c>
      <c r="M6448" s="117">
        <f t="shared" si="913"/>
        <v>5.192999999999999E-2</v>
      </c>
      <c r="N6448" s="119">
        <f t="shared" si="914"/>
        <v>0</v>
      </c>
      <c r="O6448" s="120">
        <f t="shared" si="915"/>
        <v>0</v>
      </c>
      <c r="P6448" s="130"/>
      <c r="Q6448" s="111"/>
      <c r="R6448" s="101">
        <v>7.1</v>
      </c>
      <c r="S6448" s="101">
        <v>1</v>
      </c>
      <c r="T6448" s="251" t="s">
        <v>739</v>
      </c>
    </row>
    <row r="6449" spans="1:20" ht="15.6">
      <c r="A6449" s="110" t="s">
        <v>262</v>
      </c>
      <c r="B6449" s="111" t="s">
        <v>232</v>
      </c>
      <c r="C6449" s="112" t="s">
        <v>228</v>
      </c>
      <c r="D6449" s="113" t="s">
        <v>236</v>
      </c>
      <c r="E6449" s="114" t="s">
        <v>15</v>
      </c>
      <c r="F6449" s="115" t="s">
        <v>16</v>
      </c>
      <c r="G6449" s="116">
        <v>5.77</v>
      </c>
      <c r="H6449" s="125">
        <v>9.5</v>
      </c>
      <c r="I6449" s="111">
        <v>2</v>
      </c>
      <c r="J6449" s="117">
        <f t="shared" si="912"/>
        <v>0.10962999999999999</v>
      </c>
      <c r="K6449" s="118" t="s">
        <v>234</v>
      </c>
      <c r="L6449" s="111">
        <v>2</v>
      </c>
      <c r="M6449" s="117">
        <f t="shared" si="913"/>
        <v>0.10962999999999999</v>
      </c>
      <c r="N6449" s="119">
        <f t="shared" si="914"/>
        <v>0</v>
      </c>
      <c r="O6449" s="120">
        <f t="shared" si="915"/>
        <v>0</v>
      </c>
      <c r="P6449" s="130"/>
      <c r="Q6449" s="111"/>
      <c r="R6449" s="101">
        <v>7.1</v>
      </c>
      <c r="S6449" s="101">
        <v>2</v>
      </c>
      <c r="T6449" s="251" t="s">
        <v>739</v>
      </c>
    </row>
    <row r="6450" spans="1:20" ht="15.6">
      <c r="A6450" s="110" t="s">
        <v>262</v>
      </c>
      <c r="B6450" s="111" t="s">
        <v>232</v>
      </c>
      <c r="C6450" s="112" t="s">
        <v>228</v>
      </c>
      <c r="D6450" s="113" t="s">
        <v>236</v>
      </c>
      <c r="E6450" s="114" t="s">
        <v>15</v>
      </c>
      <c r="F6450" s="115" t="s">
        <v>16</v>
      </c>
      <c r="G6450" s="116">
        <v>5.77</v>
      </c>
      <c r="H6450" s="125">
        <v>10</v>
      </c>
      <c r="I6450" s="111">
        <v>6</v>
      </c>
      <c r="J6450" s="117">
        <f t="shared" si="912"/>
        <v>0.34620000000000001</v>
      </c>
      <c r="K6450" s="118" t="s">
        <v>234</v>
      </c>
      <c r="L6450" s="111">
        <v>6</v>
      </c>
      <c r="M6450" s="117">
        <f t="shared" si="913"/>
        <v>0.34620000000000001</v>
      </c>
      <c r="N6450" s="119">
        <f t="shared" si="914"/>
        <v>0</v>
      </c>
      <c r="O6450" s="120">
        <f t="shared" si="915"/>
        <v>0</v>
      </c>
      <c r="P6450" s="130"/>
      <c r="Q6450" s="111"/>
      <c r="R6450" s="101"/>
      <c r="S6450" s="101"/>
      <c r="T6450" s="251"/>
    </row>
    <row r="6451" spans="1:20" ht="15.6">
      <c r="A6451" s="110" t="s">
        <v>262</v>
      </c>
      <c r="B6451" s="111" t="s">
        <v>232</v>
      </c>
      <c r="C6451" s="112" t="s">
        <v>228</v>
      </c>
      <c r="D6451" s="113" t="s">
        <v>236</v>
      </c>
      <c r="E6451" s="114" t="s">
        <v>15</v>
      </c>
      <c r="F6451" s="115" t="s">
        <v>16</v>
      </c>
      <c r="G6451" s="116">
        <v>5.77</v>
      </c>
      <c r="H6451" s="125">
        <v>11.25</v>
      </c>
      <c r="I6451" s="111">
        <v>7</v>
      </c>
      <c r="J6451" s="117">
        <f t="shared" si="912"/>
        <v>0.45438749999999994</v>
      </c>
      <c r="K6451" s="118" t="s">
        <v>234</v>
      </c>
      <c r="L6451" s="111">
        <v>7</v>
      </c>
      <c r="M6451" s="117">
        <f t="shared" si="913"/>
        <v>0.4543875</v>
      </c>
      <c r="N6451" s="119">
        <f t="shared" si="914"/>
        <v>0</v>
      </c>
      <c r="O6451" s="120">
        <f t="shared" si="915"/>
        <v>0</v>
      </c>
      <c r="P6451" s="130">
        <v>11.25</v>
      </c>
      <c r="Q6451" s="111">
        <v>7</v>
      </c>
      <c r="R6451" s="101"/>
      <c r="S6451" s="101"/>
      <c r="T6451" s="251"/>
    </row>
    <row r="6452" spans="1:20" ht="15.6">
      <c r="A6452" s="110" t="s">
        <v>262</v>
      </c>
      <c r="B6452" s="111" t="s">
        <v>232</v>
      </c>
      <c r="C6452" s="112" t="s">
        <v>228</v>
      </c>
      <c r="D6452" s="113" t="s">
        <v>236</v>
      </c>
      <c r="E6452" s="114" t="s">
        <v>15</v>
      </c>
      <c r="F6452" s="115" t="s">
        <v>16</v>
      </c>
      <c r="G6452" s="116">
        <v>5.77</v>
      </c>
      <c r="H6452" s="125">
        <v>10.3</v>
      </c>
      <c r="I6452" s="111">
        <v>1</v>
      </c>
      <c r="J6452" s="117">
        <f t="shared" si="912"/>
        <v>5.9430999999999998E-2</v>
      </c>
      <c r="K6452" s="118" t="s">
        <v>233</v>
      </c>
      <c r="L6452" s="111">
        <v>1</v>
      </c>
      <c r="M6452" s="117">
        <f t="shared" si="913"/>
        <v>5.9430999999999998E-2</v>
      </c>
      <c r="N6452" s="119">
        <f t="shared" si="914"/>
        <v>0</v>
      </c>
      <c r="O6452" s="120">
        <f t="shared" si="915"/>
        <v>0</v>
      </c>
      <c r="P6452" s="130">
        <v>10</v>
      </c>
      <c r="Q6452" s="111">
        <v>1</v>
      </c>
      <c r="R6452" s="101"/>
      <c r="S6452" s="101"/>
      <c r="T6452" s="251"/>
    </row>
    <row r="6453" spans="1:20" ht="15.6">
      <c r="A6453" s="110" t="s">
        <v>262</v>
      </c>
      <c r="B6453" s="111" t="s">
        <v>232</v>
      </c>
      <c r="C6453" s="112" t="s">
        <v>228</v>
      </c>
      <c r="D6453" s="113" t="s">
        <v>236</v>
      </c>
      <c r="E6453" s="114" t="s">
        <v>15</v>
      </c>
      <c r="F6453" s="115" t="s">
        <v>16</v>
      </c>
      <c r="G6453" s="116">
        <v>5.77</v>
      </c>
      <c r="H6453" s="125">
        <v>9.8000000000000007</v>
      </c>
      <c r="I6453" s="111">
        <v>1</v>
      </c>
      <c r="J6453" s="117">
        <f t="shared" si="912"/>
        <v>5.6545999999999999E-2</v>
      </c>
      <c r="K6453" s="118" t="s">
        <v>233</v>
      </c>
      <c r="L6453" s="111">
        <v>1</v>
      </c>
      <c r="M6453" s="117">
        <f t="shared" si="913"/>
        <v>5.6545999999999999E-2</v>
      </c>
      <c r="N6453" s="119">
        <f t="shared" si="914"/>
        <v>0</v>
      </c>
      <c r="O6453" s="120">
        <f t="shared" si="915"/>
        <v>0</v>
      </c>
      <c r="P6453" s="130"/>
      <c r="Q6453" s="111"/>
      <c r="R6453" s="101">
        <v>7.1</v>
      </c>
      <c r="S6453" s="101">
        <v>1</v>
      </c>
      <c r="T6453" s="251" t="s">
        <v>739</v>
      </c>
    </row>
    <row r="6454" spans="1:20" ht="15.6">
      <c r="A6454" s="110" t="s">
        <v>262</v>
      </c>
      <c r="B6454" s="111" t="s">
        <v>232</v>
      </c>
      <c r="C6454" s="112" t="s">
        <v>228</v>
      </c>
      <c r="D6454" s="113" t="s">
        <v>236</v>
      </c>
      <c r="E6454" s="114" t="s">
        <v>15</v>
      </c>
      <c r="F6454" s="115" t="s">
        <v>16</v>
      </c>
      <c r="G6454" s="116">
        <v>5.77</v>
      </c>
      <c r="H6454" s="125">
        <v>9.6999999999999993</v>
      </c>
      <c r="I6454" s="111">
        <v>9</v>
      </c>
      <c r="J6454" s="117">
        <f t="shared" si="912"/>
        <v>0.50372099999999997</v>
      </c>
      <c r="K6454" s="118" t="s">
        <v>233</v>
      </c>
      <c r="L6454" s="111">
        <v>9</v>
      </c>
      <c r="M6454" s="117">
        <f t="shared" si="913"/>
        <v>0.50372099999999997</v>
      </c>
      <c r="N6454" s="119">
        <f t="shared" si="914"/>
        <v>0</v>
      </c>
      <c r="O6454" s="120">
        <f t="shared" si="915"/>
        <v>0</v>
      </c>
      <c r="P6454" s="130"/>
      <c r="Q6454" s="111"/>
      <c r="R6454" s="101">
        <v>7.1</v>
      </c>
      <c r="S6454" s="101">
        <v>9</v>
      </c>
      <c r="T6454" s="251" t="s">
        <v>739</v>
      </c>
    </row>
    <row r="6455" spans="1:20" ht="15.6">
      <c r="A6455" s="110" t="s">
        <v>262</v>
      </c>
      <c r="B6455" s="111" t="s">
        <v>232</v>
      </c>
      <c r="C6455" s="112" t="s">
        <v>228</v>
      </c>
      <c r="D6455" s="113" t="s">
        <v>236</v>
      </c>
      <c r="E6455" s="114" t="s">
        <v>15</v>
      </c>
      <c r="F6455" s="115" t="s">
        <v>16</v>
      </c>
      <c r="G6455" s="116">
        <v>5.77</v>
      </c>
      <c r="H6455" s="125">
        <v>9.3000000000000007</v>
      </c>
      <c r="I6455" s="111">
        <v>1</v>
      </c>
      <c r="J6455" s="117">
        <f t="shared" si="912"/>
        <v>5.3661E-2</v>
      </c>
      <c r="K6455" s="118" t="s">
        <v>233</v>
      </c>
      <c r="L6455" s="111">
        <v>1</v>
      </c>
      <c r="M6455" s="117">
        <f t="shared" si="913"/>
        <v>5.3661E-2</v>
      </c>
      <c r="N6455" s="119">
        <f t="shared" si="914"/>
        <v>0</v>
      </c>
      <c r="O6455" s="120">
        <f t="shared" si="915"/>
        <v>0</v>
      </c>
      <c r="P6455" s="130"/>
      <c r="Q6455" s="111"/>
      <c r="R6455" s="101">
        <v>7.1</v>
      </c>
      <c r="S6455" s="101">
        <v>1</v>
      </c>
      <c r="T6455" s="251" t="s">
        <v>739</v>
      </c>
    </row>
    <row r="6456" spans="1:20" ht="15.6">
      <c r="A6456" s="110" t="s">
        <v>262</v>
      </c>
      <c r="B6456" s="111" t="s">
        <v>232</v>
      </c>
      <c r="C6456" s="112" t="s">
        <v>228</v>
      </c>
      <c r="D6456" s="113" t="s">
        <v>236</v>
      </c>
      <c r="E6456" s="114" t="s">
        <v>15</v>
      </c>
      <c r="F6456" s="115" t="s">
        <v>16</v>
      </c>
      <c r="G6456" s="116">
        <v>5.77</v>
      </c>
      <c r="H6456" s="125">
        <v>9</v>
      </c>
      <c r="I6456" s="111">
        <v>1</v>
      </c>
      <c r="J6456" s="117">
        <f t="shared" si="912"/>
        <v>5.192999999999999E-2</v>
      </c>
      <c r="K6456" s="118" t="s">
        <v>233</v>
      </c>
      <c r="L6456" s="111">
        <v>1</v>
      </c>
      <c r="M6456" s="117">
        <f t="shared" si="913"/>
        <v>5.192999999999999E-2</v>
      </c>
      <c r="N6456" s="119">
        <f t="shared" si="914"/>
        <v>0</v>
      </c>
      <c r="O6456" s="120">
        <f t="shared" si="915"/>
        <v>0</v>
      </c>
      <c r="P6456" s="130"/>
      <c r="Q6456" s="111"/>
      <c r="R6456" s="101">
        <v>7.1</v>
      </c>
      <c r="S6456" s="101">
        <v>1</v>
      </c>
      <c r="T6456" s="251" t="s">
        <v>739</v>
      </c>
    </row>
    <row r="6457" spans="1:20" ht="15.6">
      <c r="A6457" s="110" t="s">
        <v>262</v>
      </c>
      <c r="B6457" s="111" t="s">
        <v>232</v>
      </c>
      <c r="C6457" s="112" t="s">
        <v>228</v>
      </c>
      <c r="D6457" s="113" t="s">
        <v>236</v>
      </c>
      <c r="E6457" s="114" t="s">
        <v>15</v>
      </c>
      <c r="F6457" s="115" t="s">
        <v>16</v>
      </c>
      <c r="G6457" s="116">
        <v>5.77</v>
      </c>
      <c r="H6457" s="125">
        <v>6.3</v>
      </c>
      <c r="I6457" s="111">
        <v>2</v>
      </c>
      <c r="J6457" s="117">
        <f t="shared" si="912"/>
        <v>7.2702000000000003E-2</v>
      </c>
      <c r="K6457" s="118" t="s">
        <v>233</v>
      </c>
      <c r="L6457" s="111">
        <v>2</v>
      </c>
      <c r="M6457" s="117">
        <f t="shared" si="913"/>
        <v>7.2702000000000003E-2</v>
      </c>
      <c r="N6457" s="119">
        <f t="shared" si="914"/>
        <v>0</v>
      </c>
      <c r="O6457" s="120">
        <f t="shared" si="915"/>
        <v>0</v>
      </c>
      <c r="P6457" s="130"/>
      <c r="Q6457" s="111"/>
      <c r="R6457" s="101"/>
      <c r="S6457" s="101"/>
      <c r="T6457" s="251"/>
    </row>
    <row r="6458" spans="1:20" ht="15.6">
      <c r="A6458" s="110" t="s">
        <v>262</v>
      </c>
      <c r="B6458" s="111" t="s">
        <v>232</v>
      </c>
      <c r="C6458" s="112" t="s">
        <v>228</v>
      </c>
      <c r="D6458" s="113" t="s">
        <v>236</v>
      </c>
      <c r="E6458" s="114" t="s">
        <v>15</v>
      </c>
      <c r="F6458" s="115" t="s">
        <v>16</v>
      </c>
      <c r="G6458" s="116">
        <v>5.77</v>
      </c>
      <c r="H6458" s="125">
        <v>7.1</v>
      </c>
      <c r="I6458" s="111">
        <v>1</v>
      </c>
      <c r="J6458" s="117">
        <f t="shared" si="912"/>
        <v>4.096699999999999E-2</v>
      </c>
      <c r="K6458" s="118" t="s">
        <v>233</v>
      </c>
      <c r="L6458" s="111">
        <v>1</v>
      </c>
      <c r="M6458" s="117">
        <f t="shared" si="913"/>
        <v>4.096699999999999E-2</v>
      </c>
      <c r="N6458" s="119">
        <f t="shared" si="914"/>
        <v>0</v>
      </c>
      <c r="O6458" s="120">
        <f t="shared" si="915"/>
        <v>0</v>
      </c>
      <c r="P6458" s="130"/>
      <c r="Q6458" s="111"/>
      <c r="R6458" s="101">
        <v>7.1</v>
      </c>
      <c r="S6458" s="101">
        <v>1</v>
      </c>
      <c r="T6458" s="251" t="s">
        <v>739</v>
      </c>
    </row>
    <row r="6459" spans="1:20" ht="15.6">
      <c r="A6459" s="110" t="s">
        <v>262</v>
      </c>
      <c r="B6459" s="111" t="s">
        <v>232</v>
      </c>
      <c r="C6459" s="112" t="s">
        <v>228</v>
      </c>
      <c r="D6459" s="113" t="s">
        <v>236</v>
      </c>
      <c r="E6459" s="114" t="s">
        <v>15</v>
      </c>
      <c r="F6459" s="115" t="s">
        <v>16</v>
      </c>
      <c r="G6459" s="116">
        <v>5.77</v>
      </c>
      <c r="H6459" s="125">
        <v>9.5</v>
      </c>
      <c r="I6459" s="111">
        <v>3</v>
      </c>
      <c r="J6459" s="117">
        <f t="shared" si="912"/>
        <v>0.16444499999999998</v>
      </c>
      <c r="K6459" s="118" t="s">
        <v>233</v>
      </c>
      <c r="L6459" s="111">
        <v>3</v>
      </c>
      <c r="M6459" s="117">
        <f t="shared" si="913"/>
        <v>0.16444499999999998</v>
      </c>
      <c r="N6459" s="119">
        <f t="shared" si="914"/>
        <v>0</v>
      </c>
      <c r="O6459" s="120">
        <f t="shared" si="915"/>
        <v>0</v>
      </c>
      <c r="P6459" s="130"/>
      <c r="Q6459" s="111"/>
      <c r="R6459" s="101">
        <v>7.1</v>
      </c>
      <c r="S6459" s="101">
        <v>3</v>
      </c>
      <c r="T6459" s="251" t="s">
        <v>739</v>
      </c>
    </row>
    <row r="6460" spans="1:20" ht="15.6">
      <c r="A6460" s="110" t="s">
        <v>262</v>
      </c>
      <c r="B6460" s="111" t="s">
        <v>232</v>
      </c>
      <c r="C6460" s="112" t="s">
        <v>228</v>
      </c>
      <c r="D6460" s="113" t="s">
        <v>236</v>
      </c>
      <c r="E6460" s="114" t="s">
        <v>15</v>
      </c>
      <c r="F6460" s="115" t="s">
        <v>16</v>
      </c>
      <c r="G6460" s="116">
        <v>5.77</v>
      </c>
      <c r="H6460" s="125">
        <v>11.5</v>
      </c>
      <c r="I6460" s="111">
        <v>1</v>
      </c>
      <c r="J6460" s="117">
        <f t="shared" si="912"/>
        <v>6.6354999999999983E-2</v>
      </c>
      <c r="K6460" s="118" t="s">
        <v>234</v>
      </c>
      <c r="L6460" s="111">
        <v>1</v>
      </c>
      <c r="M6460" s="117">
        <f t="shared" si="913"/>
        <v>6.6354999999999983E-2</v>
      </c>
      <c r="N6460" s="119">
        <f t="shared" si="914"/>
        <v>0</v>
      </c>
      <c r="O6460" s="120">
        <f t="shared" si="915"/>
        <v>0</v>
      </c>
      <c r="P6460" s="130"/>
      <c r="Q6460" s="111"/>
      <c r="R6460" s="101"/>
      <c r="S6460" s="101"/>
      <c r="T6460" s="251"/>
    </row>
    <row r="6461" spans="1:20" ht="15.6">
      <c r="A6461" s="110" t="s">
        <v>262</v>
      </c>
      <c r="B6461" s="111" t="s">
        <v>232</v>
      </c>
      <c r="C6461" s="112" t="s">
        <v>228</v>
      </c>
      <c r="D6461" s="113" t="s">
        <v>236</v>
      </c>
      <c r="E6461" s="114" t="s">
        <v>15</v>
      </c>
      <c r="F6461" s="115" t="s">
        <v>16</v>
      </c>
      <c r="G6461" s="116">
        <v>5.77</v>
      </c>
      <c r="H6461" s="126">
        <v>12</v>
      </c>
      <c r="I6461" s="111">
        <v>1</v>
      </c>
      <c r="J6461" s="117">
        <f t="shared" si="912"/>
        <v>6.9239999999999996E-2</v>
      </c>
      <c r="K6461" s="118" t="s">
        <v>234</v>
      </c>
      <c r="L6461" s="111">
        <v>1</v>
      </c>
      <c r="M6461" s="117">
        <f t="shared" si="913"/>
        <v>6.9239999999999996E-2</v>
      </c>
      <c r="N6461" s="119">
        <f t="shared" si="914"/>
        <v>0</v>
      </c>
      <c r="O6461" s="120">
        <f t="shared" si="915"/>
        <v>0</v>
      </c>
      <c r="P6461" s="130">
        <v>11</v>
      </c>
      <c r="Q6461" s="111">
        <v>1</v>
      </c>
      <c r="R6461" s="101"/>
      <c r="S6461" s="101"/>
      <c r="T6461" s="251"/>
    </row>
    <row r="6462" spans="1:20" ht="15.6">
      <c r="A6462" s="110" t="s">
        <v>262</v>
      </c>
      <c r="B6462" s="111" t="s">
        <v>232</v>
      </c>
      <c r="C6462" s="112" t="s">
        <v>228</v>
      </c>
      <c r="D6462" s="113" t="s">
        <v>236</v>
      </c>
      <c r="E6462" s="114" t="s">
        <v>15</v>
      </c>
      <c r="F6462" s="115" t="s">
        <v>16</v>
      </c>
      <c r="G6462" s="116">
        <v>5.77</v>
      </c>
      <c r="H6462" s="126">
        <v>12.25</v>
      </c>
      <c r="I6462" s="111">
        <v>2</v>
      </c>
      <c r="J6462" s="117">
        <f t="shared" si="912"/>
        <v>0.14136499999999999</v>
      </c>
      <c r="K6462" s="118" t="s">
        <v>234</v>
      </c>
      <c r="L6462" s="111">
        <v>2</v>
      </c>
      <c r="M6462" s="117">
        <f t="shared" si="913"/>
        <v>0.14136499999999999</v>
      </c>
      <c r="N6462" s="119">
        <f t="shared" si="914"/>
        <v>0</v>
      </c>
      <c r="O6462" s="120">
        <f t="shared" si="915"/>
        <v>0</v>
      </c>
      <c r="P6462" s="130">
        <v>11</v>
      </c>
      <c r="Q6462" s="111">
        <v>20</v>
      </c>
      <c r="R6462" s="101"/>
      <c r="S6462" s="101"/>
      <c r="T6462" s="251"/>
    </row>
    <row r="6463" spans="1:20" ht="15.6">
      <c r="A6463" s="110" t="s">
        <v>262</v>
      </c>
      <c r="B6463" s="111" t="s">
        <v>232</v>
      </c>
      <c r="C6463" s="112" t="s">
        <v>228</v>
      </c>
      <c r="D6463" s="113" t="s">
        <v>236</v>
      </c>
      <c r="E6463" s="114" t="s">
        <v>15</v>
      </c>
      <c r="F6463" s="115" t="s">
        <v>16</v>
      </c>
      <c r="G6463" s="116">
        <v>5.77</v>
      </c>
      <c r="H6463" s="126">
        <v>7.5</v>
      </c>
      <c r="I6463" s="111">
        <f>60+3+63</f>
        <v>126</v>
      </c>
      <c r="J6463" s="117">
        <f t="shared" si="912"/>
        <v>5.4526499999999993</v>
      </c>
      <c r="K6463" s="118"/>
      <c r="L6463" s="111">
        <f>124+2</f>
        <v>126</v>
      </c>
      <c r="M6463" s="117">
        <f t="shared" si="913"/>
        <v>5.4526499999999993</v>
      </c>
      <c r="N6463" s="119">
        <f t="shared" si="914"/>
        <v>0</v>
      </c>
      <c r="O6463" s="120">
        <f t="shared" si="915"/>
        <v>0</v>
      </c>
      <c r="P6463" s="130"/>
      <c r="Q6463" s="111"/>
      <c r="R6463" s="101">
        <v>7.1</v>
      </c>
      <c r="S6463" s="101">
        <v>2</v>
      </c>
      <c r="T6463" s="251" t="s">
        <v>739</v>
      </c>
    </row>
    <row r="6464" spans="1:20" ht="15.6">
      <c r="A6464" s="110" t="s">
        <v>262</v>
      </c>
      <c r="B6464" s="111" t="s">
        <v>232</v>
      </c>
      <c r="C6464" s="112" t="s">
        <v>228</v>
      </c>
      <c r="D6464" s="113" t="s">
        <v>236</v>
      </c>
      <c r="E6464" s="114" t="s">
        <v>15</v>
      </c>
      <c r="F6464" s="115" t="s">
        <v>16</v>
      </c>
      <c r="G6464" s="116">
        <v>5.77</v>
      </c>
      <c r="H6464" s="126">
        <v>8</v>
      </c>
      <c r="I6464" s="111">
        <v>3</v>
      </c>
      <c r="J6464" s="117">
        <f t="shared" si="912"/>
        <v>0.13847999999999999</v>
      </c>
      <c r="K6464" s="118"/>
      <c r="L6464" s="111">
        <v>3</v>
      </c>
      <c r="M6464" s="117">
        <f t="shared" si="913"/>
        <v>0.13847999999999999</v>
      </c>
      <c r="N6464" s="119">
        <f t="shared" si="914"/>
        <v>0</v>
      </c>
      <c r="O6464" s="120">
        <f t="shared" si="915"/>
        <v>0</v>
      </c>
      <c r="P6464" s="130"/>
      <c r="Q6464" s="111"/>
      <c r="R6464" s="101">
        <v>7.1</v>
      </c>
      <c r="S6464" s="101">
        <v>3</v>
      </c>
      <c r="T6464" s="251" t="s">
        <v>739</v>
      </c>
    </row>
    <row r="6465" spans="1:20" ht="15.6">
      <c r="A6465" s="110" t="s">
        <v>262</v>
      </c>
      <c r="B6465" s="111" t="s">
        <v>232</v>
      </c>
      <c r="C6465" s="112" t="s">
        <v>228</v>
      </c>
      <c r="D6465" s="113" t="s">
        <v>236</v>
      </c>
      <c r="E6465" s="114" t="s">
        <v>15</v>
      </c>
      <c r="F6465" s="115" t="s">
        <v>16</v>
      </c>
      <c r="G6465" s="116">
        <v>5.77</v>
      </c>
      <c r="H6465" s="126">
        <v>10</v>
      </c>
      <c r="I6465" s="111">
        <f>30+36+39+43+52+52+33+34+45+12+43</f>
        <v>419</v>
      </c>
      <c r="J6465" s="117">
        <f t="shared" si="912"/>
        <v>24.176299999999998</v>
      </c>
      <c r="K6465" s="118"/>
      <c r="L6465" s="111">
        <v>419</v>
      </c>
      <c r="M6465" s="117">
        <f t="shared" si="913"/>
        <v>24.176299999999998</v>
      </c>
      <c r="N6465" s="119">
        <f t="shared" si="914"/>
        <v>0</v>
      </c>
      <c r="O6465" s="120">
        <f t="shared" si="915"/>
        <v>0</v>
      </c>
      <c r="P6465" s="130"/>
      <c r="Q6465" s="111"/>
      <c r="R6465" s="101"/>
      <c r="S6465" s="101"/>
      <c r="T6465" s="251"/>
    </row>
    <row r="6466" spans="1:20" ht="15.6">
      <c r="A6466" s="110" t="s">
        <v>262</v>
      </c>
      <c r="B6466" s="111" t="s">
        <v>232</v>
      </c>
      <c r="C6466" s="112" t="s">
        <v>228</v>
      </c>
      <c r="D6466" s="113" t="s">
        <v>236</v>
      </c>
      <c r="E6466" s="114" t="s">
        <v>15</v>
      </c>
      <c r="F6466" s="115" t="s">
        <v>16</v>
      </c>
      <c r="G6466" s="116">
        <v>5.77</v>
      </c>
      <c r="H6466" s="126">
        <v>11</v>
      </c>
      <c r="I6466" s="111">
        <v>24</v>
      </c>
      <c r="J6466" s="117">
        <f t="shared" si="912"/>
        <v>1.52328</v>
      </c>
      <c r="K6466" s="118"/>
      <c r="L6466" s="111">
        <v>24</v>
      </c>
      <c r="M6466" s="117">
        <f t="shared" si="913"/>
        <v>1.52328</v>
      </c>
      <c r="N6466" s="119">
        <f t="shared" si="914"/>
        <v>0</v>
      </c>
      <c r="O6466" s="120">
        <f t="shared" si="915"/>
        <v>0</v>
      </c>
      <c r="P6466" s="130"/>
      <c r="Q6466" s="111"/>
      <c r="R6466" s="101"/>
      <c r="S6466" s="101"/>
      <c r="T6466" s="251"/>
    </row>
    <row r="6467" spans="1:20" ht="15.6">
      <c r="A6467" s="110" t="s">
        <v>262</v>
      </c>
      <c r="B6467" s="111" t="s">
        <v>232</v>
      </c>
      <c r="C6467" s="112" t="s">
        <v>228</v>
      </c>
      <c r="D6467" s="113" t="s">
        <v>236</v>
      </c>
      <c r="E6467" s="114" t="s">
        <v>15</v>
      </c>
      <c r="F6467" s="115" t="s">
        <v>16</v>
      </c>
      <c r="G6467" s="116">
        <v>5.77</v>
      </c>
      <c r="H6467" s="126">
        <v>11.5</v>
      </c>
      <c r="I6467" s="111">
        <f>47+33+46+24+41+13+33+20</f>
        <v>257</v>
      </c>
      <c r="J6467" s="117">
        <f t="shared" si="912"/>
        <v>17.053234999999997</v>
      </c>
      <c r="K6467" s="118"/>
      <c r="L6467" s="111">
        <v>257</v>
      </c>
      <c r="M6467" s="117">
        <f t="shared" si="913"/>
        <v>17.053234999999997</v>
      </c>
      <c r="N6467" s="119">
        <f t="shared" si="914"/>
        <v>0</v>
      </c>
      <c r="O6467" s="120">
        <f t="shared" si="915"/>
        <v>0</v>
      </c>
      <c r="P6467" s="130"/>
      <c r="Q6467" s="111"/>
      <c r="R6467" s="101"/>
      <c r="S6467" s="101"/>
      <c r="T6467" s="251"/>
    </row>
    <row r="6468" spans="1:20" ht="15.6">
      <c r="A6468" s="110" t="s">
        <v>262</v>
      </c>
      <c r="B6468" s="111" t="s">
        <v>232</v>
      </c>
      <c r="C6468" s="112" t="s">
        <v>228</v>
      </c>
      <c r="D6468" s="113" t="s">
        <v>236</v>
      </c>
      <c r="E6468" s="114" t="s">
        <v>15</v>
      </c>
      <c r="F6468" s="115" t="s">
        <v>16</v>
      </c>
      <c r="G6468" s="116">
        <v>5.77</v>
      </c>
      <c r="H6468" s="126">
        <v>12</v>
      </c>
      <c r="I6468" s="111">
        <f>42+35+44+44+44+44+18+39</f>
        <v>310</v>
      </c>
      <c r="J6468" s="117">
        <f t="shared" si="912"/>
        <v>21.464399999999998</v>
      </c>
      <c r="K6468" s="118"/>
      <c r="L6468" s="111">
        <f>290+20</f>
        <v>310</v>
      </c>
      <c r="M6468" s="117">
        <f t="shared" si="913"/>
        <v>21.464399999999998</v>
      </c>
      <c r="N6468" s="119">
        <f t="shared" si="914"/>
        <v>0</v>
      </c>
      <c r="O6468" s="120">
        <f t="shared" si="915"/>
        <v>0</v>
      </c>
      <c r="P6468" s="130">
        <v>11</v>
      </c>
      <c r="Q6468" s="111">
        <v>20</v>
      </c>
      <c r="R6468" s="101"/>
      <c r="S6468" s="101"/>
      <c r="T6468" s="251"/>
    </row>
    <row r="6469" spans="1:20" ht="15.6">
      <c r="A6469" s="110" t="s">
        <v>262</v>
      </c>
      <c r="B6469" s="111" t="s">
        <v>232</v>
      </c>
      <c r="C6469" s="112" t="s">
        <v>228</v>
      </c>
      <c r="D6469" s="113" t="s">
        <v>236</v>
      </c>
      <c r="E6469" s="114" t="s">
        <v>15</v>
      </c>
      <c r="F6469" s="115" t="s">
        <v>16</v>
      </c>
      <c r="G6469" s="116">
        <v>5.77</v>
      </c>
      <c r="H6469" s="126">
        <v>9.8000000000000007</v>
      </c>
      <c r="I6469" s="111">
        <v>1</v>
      </c>
      <c r="J6469" s="117">
        <f t="shared" si="912"/>
        <v>5.6545999999999999E-2</v>
      </c>
      <c r="K6469" s="118"/>
      <c r="L6469" s="111">
        <v>1</v>
      </c>
      <c r="M6469" s="117">
        <f t="shared" si="913"/>
        <v>5.6545999999999999E-2</v>
      </c>
      <c r="N6469" s="119">
        <f t="shared" si="914"/>
        <v>0</v>
      </c>
      <c r="O6469" s="120">
        <f t="shared" si="915"/>
        <v>0</v>
      </c>
      <c r="P6469" s="130"/>
      <c r="Q6469" s="111"/>
      <c r="R6469" s="101">
        <v>7.1</v>
      </c>
      <c r="S6469" s="101">
        <v>1</v>
      </c>
      <c r="T6469" s="251" t="s">
        <v>739</v>
      </c>
    </row>
    <row r="6470" spans="1:20" ht="15.6">
      <c r="A6470" s="110" t="s">
        <v>262</v>
      </c>
      <c r="B6470" s="111" t="s">
        <v>232</v>
      </c>
      <c r="C6470" s="112" t="s">
        <v>228</v>
      </c>
      <c r="D6470" s="113" t="s">
        <v>236</v>
      </c>
      <c r="E6470" s="114" t="s">
        <v>15</v>
      </c>
      <c r="F6470" s="115" t="s">
        <v>16</v>
      </c>
      <c r="G6470" s="116">
        <v>5.77</v>
      </c>
      <c r="H6470" s="126">
        <v>9.5</v>
      </c>
      <c r="I6470" s="111">
        <v>1</v>
      </c>
      <c r="J6470" s="117">
        <f t="shared" si="912"/>
        <v>5.4814999999999996E-2</v>
      </c>
      <c r="K6470" s="118"/>
      <c r="L6470" s="111">
        <v>1</v>
      </c>
      <c r="M6470" s="117">
        <f t="shared" si="913"/>
        <v>5.4814999999999996E-2</v>
      </c>
      <c r="N6470" s="119">
        <f t="shared" si="914"/>
        <v>0</v>
      </c>
      <c r="O6470" s="120">
        <f t="shared" si="915"/>
        <v>0</v>
      </c>
      <c r="P6470" s="130"/>
      <c r="Q6470" s="111"/>
      <c r="R6470" s="101">
        <v>7.1</v>
      </c>
      <c r="S6470" s="101">
        <v>1</v>
      </c>
      <c r="T6470" s="251" t="s">
        <v>739</v>
      </c>
    </row>
    <row r="6471" spans="1:20" ht="15.6">
      <c r="A6471" s="110" t="s">
        <v>262</v>
      </c>
      <c r="B6471" s="111" t="s">
        <v>232</v>
      </c>
      <c r="C6471" s="112" t="s">
        <v>228</v>
      </c>
      <c r="D6471" s="113" t="s">
        <v>236</v>
      </c>
      <c r="E6471" s="114" t="s">
        <v>15</v>
      </c>
      <c r="F6471" s="115" t="s">
        <v>16</v>
      </c>
      <c r="G6471" s="116">
        <v>5.77</v>
      </c>
      <c r="H6471" s="126">
        <v>8.8000000000000007</v>
      </c>
      <c r="I6471" s="111">
        <v>1</v>
      </c>
      <c r="J6471" s="117">
        <f t="shared" si="912"/>
        <v>5.0776000000000002E-2</v>
      </c>
      <c r="K6471" s="118"/>
      <c r="L6471" s="111">
        <v>1</v>
      </c>
      <c r="M6471" s="117">
        <f t="shared" si="913"/>
        <v>5.0776000000000002E-2</v>
      </c>
      <c r="N6471" s="119">
        <f t="shared" si="914"/>
        <v>0</v>
      </c>
      <c r="O6471" s="120">
        <f t="shared" si="915"/>
        <v>0</v>
      </c>
      <c r="P6471" s="130"/>
      <c r="Q6471" s="111"/>
      <c r="R6471" s="101">
        <v>7.1</v>
      </c>
      <c r="S6471" s="101">
        <v>1</v>
      </c>
      <c r="T6471" s="251" t="s">
        <v>739</v>
      </c>
    </row>
    <row r="6472" spans="1:20" ht="15.6">
      <c r="A6472" s="110" t="s">
        <v>262</v>
      </c>
      <c r="B6472" s="111" t="s">
        <v>232</v>
      </c>
      <c r="C6472" s="112" t="s">
        <v>228</v>
      </c>
      <c r="D6472" s="113" t="s">
        <v>236</v>
      </c>
      <c r="E6472" s="114" t="s">
        <v>15</v>
      </c>
      <c r="F6472" s="115" t="s">
        <v>16</v>
      </c>
      <c r="G6472" s="116">
        <v>5.77</v>
      </c>
      <c r="H6472" s="126">
        <v>7.5</v>
      </c>
      <c r="I6472" s="111">
        <v>2</v>
      </c>
      <c r="J6472" s="117">
        <f t="shared" si="912"/>
        <v>8.6550000000000002E-2</v>
      </c>
      <c r="K6472" s="118"/>
      <c r="L6472" s="111">
        <v>2</v>
      </c>
      <c r="M6472" s="117">
        <f t="shared" si="913"/>
        <v>8.6550000000000002E-2</v>
      </c>
      <c r="N6472" s="119">
        <f t="shared" si="914"/>
        <v>0</v>
      </c>
      <c r="O6472" s="120">
        <f t="shared" si="915"/>
        <v>0</v>
      </c>
      <c r="P6472" s="130">
        <v>6.3</v>
      </c>
      <c r="Q6472" s="111">
        <v>2</v>
      </c>
      <c r="R6472" s="101"/>
      <c r="S6472" s="101"/>
      <c r="T6472" s="251"/>
    </row>
    <row r="6473" spans="1:20" ht="15.6">
      <c r="A6473" s="110" t="s">
        <v>262</v>
      </c>
      <c r="B6473" s="111" t="s">
        <v>232</v>
      </c>
      <c r="C6473" s="112" t="s">
        <v>228</v>
      </c>
      <c r="D6473" s="113" t="s">
        <v>236</v>
      </c>
      <c r="E6473" s="114" t="s">
        <v>15</v>
      </c>
      <c r="F6473" s="115" t="s">
        <v>16</v>
      </c>
      <c r="G6473" s="116">
        <v>5.77</v>
      </c>
      <c r="H6473" s="126">
        <v>9.5</v>
      </c>
      <c r="I6473" s="111">
        <v>1</v>
      </c>
      <c r="J6473" s="117">
        <f t="shared" si="912"/>
        <v>5.4814999999999996E-2</v>
      </c>
      <c r="K6473" s="118"/>
      <c r="L6473" s="111">
        <v>1</v>
      </c>
      <c r="M6473" s="117">
        <f t="shared" si="913"/>
        <v>5.4814999999999996E-2</v>
      </c>
      <c r="N6473" s="119">
        <f t="shared" si="914"/>
        <v>0</v>
      </c>
      <c r="O6473" s="120">
        <f t="shared" si="915"/>
        <v>0</v>
      </c>
      <c r="P6473" s="130"/>
      <c r="Q6473" s="111"/>
      <c r="R6473" s="101">
        <v>7.1</v>
      </c>
      <c r="S6473" s="101">
        <v>1</v>
      </c>
      <c r="T6473" s="251" t="s">
        <v>739</v>
      </c>
    </row>
    <row r="6474" spans="1:20" ht="15.6">
      <c r="A6474" s="110" t="s">
        <v>262</v>
      </c>
      <c r="B6474" s="111" t="s">
        <v>232</v>
      </c>
      <c r="C6474" s="112" t="s">
        <v>228</v>
      </c>
      <c r="D6474" s="113" t="s">
        <v>236</v>
      </c>
      <c r="E6474" s="114" t="s">
        <v>15</v>
      </c>
      <c r="F6474" s="115" t="s">
        <v>16</v>
      </c>
      <c r="G6474" s="116">
        <v>5.77</v>
      </c>
      <c r="H6474" s="126">
        <v>9</v>
      </c>
      <c r="I6474" s="111">
        <v>1</v>
      </c>
      <c r="J6474" s="117">
        <f t="shared" si="912"/>
        <v>5.192999999999999E-2</v>
      </c>
      <c r="K6474" s="118"/>
      <c r="L6474" s="111">
        <v>1</v>
      </c>
      <c r="M6474" s="117">
        <f t="shared" si="913"/>
        <v>5.192999999999999E-2</v>
      </c>
      <c r="N6474" s="119">
        <f t="shared" si="914"/>
        <v>0</v>
      </c>
      <c r="O6474" s="120">
        <f t="shared" si="915"/>
        <v>0</v>
      </c>
      <c r="P6474" s="130"/>
      <c r="Q6474" s="111"/>
      <c r="R6474" s="101">
        <v>7.1</v>
      </c>
      <c r="S6474" s="101">
        <v>1</v>
      </c>
      <c r="T6474" s="251" t="s">
        <v>739</v>
      </c>
    </row>
    <row r="6475" spans="1:20" ht="15.6">
      <c r="A6475" s="110" t="s">
        <v>262</v>
      </c>
      <c r="B6475" s="111" t="s">
        <v>232</v>
      </c>
      <c r="C6475" s="112" t="s">
        <v>228</v>
      </c>
      <c r="D6475" s="113" t="s">
        <v>236</v>
      </c>
      <c r="E6475" s="114" t="s">
        <v>15</v>
      </c>
      <c r="F6475" s="115" t="s">
        <v>16</v>
      </c>
      <c r="G6475" s="116">
        <v>5.77</v>
      </c>
      <c r="H6475" s="126">
        <v>8.5</v>
      </c>
      <c r="I6475" s="111">
        <v>1</v>
      </c>
      <c r="J6475" s="117">
        <f t="shared" si="912"/>
        <v>4.9044999999999991E-2</v>
      </c>
      <c r="K6475" s="118"/>
      <c r="L6475" s="111">
        <v>1</v>
      </c>
      <c r="M6475" s="117">
        <f t="shared" si="913"/>
        <v>4.9044999999999991E-2</v>
      </c>
      <c r="N6475" s="119">
        <f t="shared" si="914"/>
        <v>0</v>
      </c>
      <c r="O6475" s="120">
        <f t="shared" si="915"/>
        <v>0</v>
      </c>
      <c r="P6475" s="130">
        <v>6.3</v>
      </c>
      <c r="Q6475" s="111">
        <v>1</v>
      </c>
      <c r="R6475" s="101"/>
      <c r="S6475" s="101"/>
      <c r="T6475" s="251"/>
    </row>
    <row r="6476" spans="1:20" ht="15.6">
      <c r="A6476" s="110" t="s">
        <v>262</v>
      </c>
      <c r="B6476" s="111" t="s">
        <v>232</v>
      </c>
      <c r="C6476" s="112" t="s">
        <v>228</v>
      </c>
      <c r="D6476" s="113" t="s">
        <v>236</v>
      </c>
      <c r="E6476" s="114" t="s">
        <v>15</v>
      </c>
      <c r="F6476" s="115" t="s">
        <v>16</v>
      </c>
      <c r="G6476" s="116">
        <v>5.77</v>
      </c>
      <c r="H6476" s="126">
        <v>8</v>
      </c>
      <c r="I6476" s="111">
        <v>3</v>
      </c>
      <c r="J6476" s="117">
        <f t="shared" si="912"/>
        <v>0.13847999999999999</v>
      </c>
      <c r="K6476" s="118"/>
      <c r="L6476" s="111">
        <v>3</v>
      </c>
      <c r="M6476" s="117">
        <f t="shared" si="913"/>
        <v>0.13847999999999999</v>
      </c>
      <c r="N6476" s="119">
        <f t="shared" si="914"/>
        <v>0</v>
      </c>
      <c r="O6476" s="120">
        <f t="shared" si="915"/>
        <v>0</v>
      </c>
      <c r="P6476" s="130">
        <v>6.3</v>
      </c>
      <c r="Q6476" s="111">
        <v>3</v>
      </c>
      <c r="R6476" s="101"/>
      <c r="S6476" s="101"/>
      <c r="T6476" s="251"/>
    </row>
    <row r="6477" spans="1:20" ht="15.6">
      <c r="A6477" s="110" t="s">
        <v>262</v>
      </c>
      <c r="B6477" s="111" t="s">
        <v>232</v>
      </c>
      <c r="C6477" s="112" t="s">
        <v>228</v>
      </c>
      <c r="D6477" s="113" t="s">
        <v>236</v>
      </c>
      <c r="E6477" s="114" t="s">
        <v>15</v>
      </c>
      <c r="F6477" s="115" t="s">
        <v>16</v>
      </c>
      <c r="G6477" s="116">
        <v>5.77</v>
      </c>
      <c r="H6477" s="126">
        <v>8</v>
      </c>
      <c r="I6477" s="111">
        <v>1</v>
      </c>
      <c r="J6477" s="117">
        <f t="shared" si="912"/>
        <v>4.616E-2</v>
      </c>
      <c r="K6477" s="118"/>
      <c r="L6477" s="111">
        <v>1</v>
      </c>
      <c r="M6477" s="117">
        <f t="shared" si="913"/>
        <v>4.616E-2</v>
      </c>
      <c r="N6477" s="119">
        <f t="shared" si="914"/>
        <v>0</v>
      </c>
      <c r="O6477" s="120">
        <f t="shared" si="915"/>
        <v>0</v>
      </c>
      <c r="P6477" s="130">
        <v>6.3</v>
      </c>
      <c r="Q6477" s="111">
        <v>1</v>
      </c>
      <c r="R6477" s="101"/>
      <c r="S6477" s="101"/>
      <c r="T6477" s="251"/>
    </row>
    <row r="6478" spans="1:20" ht="15.6">
      <c r="A6478" s="110" t="s">
        <v>262</v>
      </c>
      <c r="B6478" s="111" t="s">
        <v>232</v>
      </c>
      <c r="C6478" s="112" t="s">
        <v>228</v>
      </c>
      <c r="D6478" s="113" t="s">
        <v>236</v>
      </c>
      <c r="E6478" s="114" t="s">
        <v>15</v>
      </c>
      <c r="F6478" s="115" t="s">
        <v>16</v>
      </c>
      <c r="G6478" s="116">
        <v>5.77</v>
      </c>
      <c r="H6478" s="126">
        <v>8.5</v>
      </c>
      <c r="I6478" s="111">
        <v>1</v>
      </c>
      <c r="J6478" s="117">
        <f t="shared" si="912"/>
        <v>4.9044999999999991E-2</v>
      </c>
      <c r="K6478" s="118"/>
      <c r="L6478" s="111">
        <v>1</v>
      </c>
      <c r="M6478" s="117">
        <f t="shared" si="913"/>
        <v>4.9044999999999991E-2</v>
      </c>
      <c r="N6478" s="119">
        <f t="shared" si="914"/>
        <v>0</v>
      </c>
      <c r="O6478" s="120">
        <f t="shared" si="915"/>
        <v>0</v>
      </c>
      <c r="P6478" s="130">
        <v>6.3</v>
      </c>
      <c r="Q6478" s="111">
        <v>1</v>
      </c>
      <c r="R6478" s="101"/>
      <c r="S6478" s="101"/>
      <c r="T6478" s="251"/>
    </row>
    <row r="6479" spans="1:20" ht="15.6">
      <c r="A6479" s="110" t="s">
        <v>262</v>
      </c>
      <c r="B6479" s="111" t="s">
        <v>232</v>
      </c>
      <c r="C6479" s="112" t="s">
        <v>228</v>
      </c>
      <c r="D6479" s="113" t="s">
        <v>236</v>
      </c>
      <c r="E6479" s="114" t="s">
        <v>15</v>
      </c>
      <c r="F6479" s="115" t="s">
        <v>16</v>
      </c>
      <c r="G6479" s="116">
        <v>5.77</v>
      </c>
      <c r="H6479" s="126">
        <v>9</v>
      </c>
      <c r="I6479" s="111">
        <v>3</v>
      </c>
      <c r="J6479" s="117">
        <f t="shared" si="912"/>
        <v>0.15578999999999996</v>
      </c>
      <c r="K6479" s="118"/>
      <c r="L6479" s="111">
        <v>3</v>
      </c>
      <c r="M6479" s="117">
        <f t="shared" si="913"/>
        <v>0.15578999999999998</v>
      </c>
      <c r="N6479" s="119">
        <f t="shared" si="914"/>
        <v>0</v>
      </c>
      <c r="O6479" s="120">
        <f t="shared" si="915"/>
        <v>0</v>
      </c>
      <c r="P6479" s="130"/>
      <c r="Q6479" s="111"/>
      <c r="R6479" s="101">
        <v>7.1</v>
      </c>
      <c r="S6479" s="101">
        <v>3</v>
      </c>
      <c r="T6479" s="251" t="s">
        <v>739</v>
      </c>
    </row>
    <row r="6480" spans="1:20" ht="15.6">
      <c r="A6480" s="110" t="s">
        <v>262</v>
      </c>
      <c r="B6480" s="111" t="s">
        <v>232</v>
      </c>
      <c r="C6480" s="112" t="s">
        <v>228</v>
      </c>
      <c r="D6480" s="113" t="s">
        <v>236</v>
      </c>
      <c r="E6480" s="114" t="s">
        <v>15</v>
      </c>
      <c r="F6480" s="115" t="s">
        <v>16</v>
      </c>
      <c r="G6480" s="116">
        <v>5.77</v>
      </c>
      <c r="H6480" s="126">
        <v>9.5</v>
      </c>
      <c r="I6480" s="111">
        <v>1</v>
      </c>
      <c r="J6480" s="117">
        <f t="shared" si="912"/>
        <v>5.4814999999999996E-2</v>
      </c>
      <c r="K6480" s="118"/>
      <c r="L6480" s="111">
        <v>1</v>
      </c>
      <c r="M6480" s="117">
        <f t="shared" si="913"/>
        <v>5.4814999999999996E-2</v>
      </c>
      <c r="N6480" s="119">
        <f t="shared" si="914"/>
        <v>0</v>
      </c>
      <c r="O6480" s="120">
        <f t="shared" si="915"/>
        <v>0</v>
      </c>
      <c r="P6480" s="130"/>
      <c r="Q6480" s="111"/>
      <c r="R6480" s="101">
        <v>7.1</v>
      </c>
      <c r="S6480" s="101">
        <v>1</v>
      </c>
      <c r="T6480" s="251" t="s">
        <v>739</v>
      </c>
    </row>
    <row r="6481" spans="1:20">
      <c r="A6481" s="213"/>
      <c r="B6481" s="213"/>
      <c r="C6481" s="213"/>
      <c r="D6481" s="213"/>
      <c r="E6481" s="213"/>
      <c r="F6481" s="213"/>
      <c r="G6481" s="213"/>
      <c r="H6481" s="213"/>
      <c r="I6481" s="215">
        <f>SUM(I6441:I6480)</f>
        <v>2167</v>
      </c>
      <c r="J6481" s="214">
        <f>SUM(J6441:J6480)</f>
        <v>131.98730749999993</v>
      </c>
      <c r="K6481" s="213"/>
      <c r="L6481" s="215">
        <f>SUM(L6441:L6480)</f>
        <v>2166</v>
      </c>
      <c r="M6481" s="214">
        <f>SUM(M6441:M6480)</f>
        <v>131.92672249999995</v>
      </c>
      <c r="N6481" s="78">
        <f>SUM(N6441:N6480)</f>
        <v>1</v>
      </c>
      <c r="O6481" s="128">
        <f>SUM(O6441:O6480)</f>
        <v>6.0584999999999993E-2</v>
      </c>
      <c r="P6481" s="213"/>
      <c r="Q6481" s="213"/>
      <c r="R6481" s="213"/>
      <c r="S6481" s="78">
        <f>SUM(S6441:S6480)</f>
        <v>34</v>
      </c>
      <c r="T6481" s="213"/>
    </row>
    <row r="6484" spans="1:20" ht="15.6">
      <c r="A6484" s="110" t="s">
        <v>503</v>
      </c>
      <c r="B6484" s="111" t="s">
        <v>227</v>
      </c>
      <c r="C6484" s="112" t="s">
        <v>449</v>
      </c>
      <c r="D6484" s="113" t="s">
        <v>131</v>
      </c>
      <c r="E6484" s="114" t="s">
        <v>15</v>
      </c>
      <c r="F6484" s="115" t="s">
        <v>16</v>
      </c>
      <c r="G6484" s="116">
        <v>5.77</v>
      </c>
      <c r="H6484" s="125">
        <v>11</v>
      </c>
      <c r="I6484" s="111">
        <v>50</v>
      </c>
      <c r="J6484" s="117">
        <f t="shared" ref="J6484:J6545" si="916">H6484*G6484*I6484/1000</f>
        <v>3.1735000000000002</v>
      </c>
      <c r="K6484" s="118"/>
      <c r="L6484" s="111">
        <v>50</v>
      </c>
      <c r="M6484" s="117">
        <f t="shared" ref="M6484:M6545" si="917">H6484*L6484*G6484/1000</f>
        <v>3.1734999999999998</v>
      </c>
      <c r="N6484" s="119">
        <f t="shared" ref="N6484:N6545" si="918">I6484-L6484</f>
        <v>0</v>
      </c>
      <c r="O6484" s="120">
        <f t="shared" ref="O6484:O6542" si="919">H6484*N6484*G6484/1000</f>
        <v>0</v>
      </c>
      <c r="P6484" s="32"/>
      <c r="Q6484" s="32"/>
      <c r="R6484" s="32"/>
      <c r="S6484" s="32"/>
    </row>
    <row r="6485" spans="1:20" ht="15.6">
      <c r="A6485" s="110" t="s">
        <v>503</v>
      </c>
      <c r="B6485" s="111" t="s">
        <v>227</v>
      </c>
      <c r="C6485" s="112" t="s">
        <v>449</v>
      </c>
      <c r="D6485" s="113" t="s">
        <v>131</v>
      </c>
      <c r="E6485" s="114" t="s">
        <v>15</v>
      </c>
      <c r="F6485" s="115" t="s">
        <v>16</v>
      </c>
      <c r="G6485" s="116">
        <v>5.77</v>
      </c>
      <c r="H6485" s="125">
        <v>11</v>
      </c>
      <c r="I6485" s="111">
        <v>23</v>
      </c>
      <c r="J6485" s="117">
        <f t="shared" si="916"/>
        <v>1.4598100000000001</v>
      </c>
      <c r="K6485" s="118"/>
      <c r="L6485" s="111">
        <v>23</v>
      </c>
      <c r="M6485" s="117">
        <f t="shared" si="917"/>
        <v>1.4598100000000001</v>
      </c>
      <c r="N6485" s="119">
        <f t="shared" si="918"/>
        <v>0</v>
      </c>
      <c r="O6485" s="120">
        <f t="shared" si="919"/>
        <v>0</v>
      </c>
      <c r="P6485" s="32"/>
      <c r="Q6485" s="32"/>
      <c r="R6485" s="32"/>
      <c r="S6485" s="32"/>
    </row>
    <row r="6486" spans="1:20" ht="15.6">
      <c r="A6486" s="110" t="s">
        <v>503</v>
      </c>
      <c r="B6486" s="111" t="s">
        <v>227</v>
      </c>
      <c r="C6486" s="112" t="s">
        <v>449</v>
      </c>
      <c r="D6486" s="113" t="s">
        <v>131</v>
      </c>
      <c r="E6486" s="114" t="s">
        <v>15</v>
      </c>
      <c r="F6486" s="115" t="s">
        <v>16</v>
      </c>
      <c r="G6486" s="116">
        <v>5.77</v>
      </c>
      <c r="H6486" s="125">
        <v>8</v>
      </c>
      <c r="I6486" s="111">
        <v>1</v>
      </c>
      <c r="J6486" s="117">
        <f t="shared" si="916"/>
        <v>4.616E-2</v>
      </c>
      <c r="K6486" s="118"/>
      <c r="L6486" s="111">
        <v>1</v>
      </c>
      <c r="M6486" s="117">
        <f t="shared" si="917"/>
        <v>4.616E-2</v>
      </c>
      <c r="N6486" s="119">
        <f t="shared" si="918"/>
        <v>0</v>
      </c>
      <c r="O6486" s="120">
        <f t="shared" si="919"/>
        <v>0</v>
      </c>
      <c r="P6486" s="32"/>
      <c r="Q6486" s="32"/>
      <c r="R6486" s="32"/>
      <c r="S6486" s="32"/>
    </row>
    <row r="6487" spans="1:20" ht="15.6">
      <c r="A6487" s="110" t="s">
        <v>503</v>
      </c>
      <c r="B6487" s="111" t="s">
        <v>227</v>
      </c>
      <c r="C6487" s="112" t="s">
        <v>449</v>
      </c>
      <c r="D6487" s="113" t="s">
        <v>131</v>
      </c>
      <c r="E6487" s="114" t="s">
        <v>15</v>
      </c>
      <c r="F6487" s="115" t="s">
        <v>16</v>
      </c>
      <c r="G6487" s="116">
        <v>5.77</v>
      </c>
      <c r="H6487" s="125">
        <v>9</v>
      </c>
      <c r="I6487" s="111">
        <v>1</v>
      </c>
      <c r="J6487" s="117">
        <f t="shared" si="916"/>
        <v>5.192999999999999E-2</v>
      </c>
      <c r="K6487" s="118"/>
      <c r="L6487" s="111">
        <v>1</v>
      </c>
      <c r="M6487" s="117">
        <f t="shared" si="917"/>
        <v>5.192999999999999E-2</v>
      </c>
      <c r="N6487" s="119">
        <f t="shared" si="918"/>
        <v>0</v>
      </c>
      <c r="O6487" s="120">
        <f t="shared" si="919"/>
        <v>0</v>
      </c>
      <c r="P6487" s="79">
        <v>7.1</v>
      </c>
      <c r="Q6487" s="72">
        <v>1</v>
      </c>
      <c r="R6487" s="72" t="s">
        <v>739</v>
      </c>
      <c r="S6487" s="32"/>
    </row>
    <row r="6488" spans="1:20" ht="15.6">
      <c r="A6488" s="110" t="s">
        <v>503</v>
      </c>
      <c r="B6488" s="111" t="s">
        <v>227</v>
      </c>
      <c r="C6488" s="112" t="s">
        <v>449</v>
      </c>
      <c r="D6488" s="113" t="s">
        <v>131</v>
      </c>
      <c r="E6488" s="114" t="s">
        <v>15</v>
      </c>
      <c r="F6488" s="115" t="s">
        <v>16</v>
      </c>
      <c r="G6488" s="116">
        <v>5.77</v>
      </c>
      <c r="H6488" s="125">
        <v>9.5</v>
      </c>
      <c r="I6488" s="111">
        <v>1</v>
      </c>
      <c r="J6488" s="117">
        <f t="shared" si="916"/>
        <v>5.4814999999999996E-2</v>
      </c>
      <c r="K6488" s="118"/>
      <c r="L6488" s="111">
        <v>1</v>
      </c>
      <c r="M6488" s="117">
        <f t="shared" si="917"/>
        <v>5.4814999999999996E-2</v>
      </c>
      <c r="N6488" s="119">
        <f t="shared" si="918"/>
        <v>0</v>
      </c>
      <c r="O6488" s="120">
        <f t="shared" si="919"/>
        <v>0</v>
      </c>
      <c r="P6488" s="79">
        <v>7.1</v>
      </c>
      <c r="Q6488" s="72">
        <v>1</v>
      </c>
      <c r="R6488" s="72" t="s">
        <v>739</v>
      </c>
      <c r="S6488" s="32"/>
    </row>
    <row r="6489" spans="1:20" ht="15.6">
      <c r="A6489" s="110" t="s">
        <v>503</v>
      </c>
      <c r="B6489" s="111" t="s">
        <v>227</v>
      </c>
      <c r="C6489" s="112" t="s">
        <v>449</v>
      </c>
      <c r="D6489" s="113" t="s">
        <v>131</v>
      </c>
      <c r="E6489" s="114" t="s">
        <v>15</v>
      </c>
      <c r="F6489" s="115" t="s">
        <v>16</v>
      </c>
      <c r="G6489" s="116">
        <v>5.77</v>
      </c>
      <c r="H6489" s="125">
        <v>9.6999999999999993</v>
      </c>
      <c r="I6489" s="111">
        <v>1</v>
      </c>
      <c r="J6489" s="117">
        <f t="shared" si="916"/>
        <v>5.5968999999999991E-2</v>
      </c>
      <c r="K6489" s="118"/>
      <c r="L6489" s="111">
        <v>1</v>
      </c>
      <c r="M6489" s="117">
        <f t="shared" si="917"/>
        <v>5.5968999999999991E-2</v>
      </c>
      <c r="N6489" s="119">
        <f t="shared" si="918"/>
        <v>0</v>
      </c>
      <c r="O6489" s="120">
        <f t="shared" si="919"/>
        <v>0</v>
      </c>
      <c r="P6489" s="79">
        <v>7.1</v>
      </c>
      <c r="Q6489" s="72">
        <v>1</v>
      </c>
      <c r="R6489" s="72" t="s">
        <v>739</v>
      </c>
      <c r="S6489" s="32"/>
    </row>
    <row r="6490" spans="1:20" ht="15.6">
      <c r="A6490" s="110" t="s">
        <v>503</v>
      </c>
      <c r="B6490" s="111" t="s">
        <v>227</v>
      </c>
      <c r="C6490" s="112" t="s">
        <v>449</v>
      </c>
      <c r="D6490" s="113" t="s">
        <v>131</v>
      </c>
      <c r="E6490" s="114" t="s">
        <v>15</v>
      </c>
      <c r="F6490" s="115" t="s">
        <v>16</v>
      </c>
      <c r="G6490" s="116">
        <v>5.77</v>
      </c>
      <c r="H6490" s="125">
        <v>10.5</v>
      </c>
      <c r="I6490" s="111">
        <v>2</v>
      </c>
      <c r="J6490" s="117">
        <f t="shared" si="916"/>
        <v>0.12116999999999999</v>
      </c>
      <c r="K6490" s="118"/>
      <c r="L6490" s="111">
        <v>2</v>
      </c>
      <c r="M6490" s="117">
        <f t="shared" si="917"/>
        <v>0.12116999999999999</v>
      </c>
      <c r="N6490" s="119">
        <f t="shared" si="918"/>
        <v>0</v>
      </c>
      <c r="O6490" s="120">
        <f t="shared" si="919"/>
        <v>0</v>
      </c>
      <c r="P6490" s="79">
        <v>7.1</v>
      </c>
      <c r="Q6490" s="72">
        <v>2</v>
      </c>
      <c r="R6490" s="72" t="s">
        <v>739</v>
      </c>
      <c r="S6490" s="32"/>
    </row>
    <row r="6491" spans="1:20" ht="15.6">
      <c r="A6491" s="110" t="s">
        <v>503</v>
      </c>
      <c r="B6491" s="111" t="s">
        <v>227</v>
      </c>
      <c r="C6491" s="112" t="s">
        <v>449</v>
      </c>
      <c r="D6491" s="113" t="s">
        <v>131</v>
      </c>
      <c r="E6491" s="114" t="s">
        <v>15</v>
      </c>
      <c r="F6491" s="115" t="s">
        <v>16</v>
      </c>
      <c r="G6491" s="116">
        <v>5.77</v>
      </c>
      <c r="H6491" s="125">
        <v>11</v>
      </c>
      <c r="I6491" s="111">
        <v>34</v>
      </c>
      <c r="J6491" s="117">
        <f t="shared" si="916"/>
        <v>2.1579800000000002</v>
      </c>
      <c r="K6491" s="118"/>
      <c r="L6491" s="111">
        <v>34</v>
      </c>
      <c r="M6491" s="117">
        <f t="shared" si="917"/>
        <v>2.1579800000000002</v>
      </c>
      <c r="N6491" s="119">
        <f t="shared" si="918"/>
        <v>0</v>
      </c>
      <c r="O6491" s="120">
        <f t="shared" si="919"/>
        <v>0</v>
      </c>
      <c r="P6491" s="79"/>
      <c r="Q6491" s="72"/>
      <c r="R6491" s="72"/>
      <c r="S6491" s="32"/>
    </row>
    <row r="6492" spans="1:20" ht="15.6">
      <c r="A6492" s="110" t="s">
        <v>503</v>
      </c>
      <c r="B6492" s="111" t="s">
        <v>227</v>
      </c>
      <c r="C6492" s="112" t="s">
        <v>449</v>
      </c>
      <c r="D6492" s="113" t="s">
        <v>131</v>
      </c>
      <c r="E6492" s="114" t="s">
        <v>15</v>
      </c>
      <c r="F6492" s="115" t="s">
        <v>16</v>
      </c>
      <c r="G6492" s="116">
        <v>5.77</v>
      </c>
      <c r="H6492" s="125">
        <v>10.5</v>
      </c>
      <c r="I6492" s="111">
        <v>2</v>
      </c>
      <c r="J6492" s="117">
        <f t="shared" si="916"/>
        <v>0.12116999999999999</v>
      </c>
      <c r="K6492" s="118"/>
      <c r="L6492" s="111">
        <v>2</v>
      </c>
      <c r="M6492" s="117">
        <f t="shared" si="917"/>
        <v>0.12116999999999999</v>
      </c>
      <c r="N6492" s="119">
        <f t="shared" si="918"/>
        <v>0</v>
      </c>
      <c r="O6492" s="120">
        <f t="shared" si="919"/>
        <v>0</v>
      </c>
      <c r="P6492" s="79">
        <v>7.1</v>
      </c>
      <c r="Q6492" s="72">
        <v>2</v>
      </c>
      <c r="R6492" s="72" t="s">
        <v>739</v>
      </c>
      <c r="S6492" s="32"/>
    </row>
    <row r="6493" spans="1:20" ht="15.6">
      <c r="A6493" s="110" t="s">
        <v>503</v>
      </c>
      <c r="B6493" s="111" t="s">
        <v>227</v>
      </c>
      <c r="C6493" s="112" t="s">
        <v>449</v>
      </c>
      <c r="D6493" s="113" t="s">
        <v>131</v>
      </c>
      <c r="E6493" s="114" t="s">
        <v>15</v>
      </c>
      <c r="F6493" s="115" t="s">
        <v>16</v>
      </c>
      <c r="G6493" s="116">
        <v>5.77</v>
      </c>
      <c r="H6493" s="125">
        <v>9</v>
      </c>
      <c r="I6493" s="111">
        <v>1</v>
      </c>
      <c r="J6493" s="117">
        <f t="shared" si="916"/>
        <v>5.192999999999999E-2</v>
      </c>
      <c r="K6493" s="118"/>
      <c r="L6493" s="111">
        <v>1</v>
      </c>
      <c r="M6493" s="117">
        <f t="shared" si="917"/>
        <v>5.192999999999999E-2</v>
      </c>
      <c r="N6493" s="119">
        <f t="shared" si="918"/>
        <v>0</v>
      </c>
      <c r="O6493" s="120">
        <f t="shared" si="919"/>
        <v>0</v>
      </c>
      <c r="P6493" s="79">
        <v>7.1</v>
      </c>
      <c r="Q6493" s="72">
        <v>1</v>
      </c>
      <c r="R6493" s="72" t="s">
        <v>739</v>
      </c>
      <c r="S6493" s="32"/>
    </row>
    <row r="6494" spans="1:20" ht="15.6">
      <c r="A6494" s="110" t="s">
        <v>503</v>
      </c>
      <c r="B6494" s="111" t="s">
        <v>227</v>
      </c>
      <c r="C6494" s="112" t="s">
        <v>449</v>
      </c>
      <c r="D6494" s="113" t="s">
        <v>131</v>
      </c>
      <c r="E6494" s="114" t="s">
        <v>15</v>
      </c>
      <c r="F6494" s="115" t="s">
        <v>16</v>
      </c>
      <c r="G6494" s="116">
        <v>5.77</v>
      </c>
      <c r="H6494" s="125">
        <v>10</v>
      </c>
      <c r="I6494" s="111">
        <v>2</v>
      </c>
      <c r="J6494" s="117">
        <f t="shared" si="916"/>
        <v>0.11539999999999999</v>
      </c>
      <c r="K6494" s="118"/>
      <c r="L6494" s="111">
        <v>2</v>
      </c>
      <c r="M6494" s="117">
        <f t="shared" si="917"/>
        <v>0.11539999999999999</v>
      </c>
      <c r="N6494" s="119">
        <f t="shared" si="918"/>
        <v>0</v>
      </c>
      <c r="O6494" s="120">
        <f t="shared" si="919"/>
        <v>0</v>
      </c>
      <c r="P6494" s="79">
        <v>7.1</v>
      </c>
      <c r="Q6494" s="72">
        <v>2</v>
      </c>
      <c r="R6494" s="72" t="s">
        <v>739</v>
      </c>
      <c r="S6494" s="32"/>
    </row>
    <row r="6495" spans="1:20" ht="15.6">
      <c r="A6495" s="110" t="s">
        <v>503</v>
      </c>
      <c r="B6495" s="111" t="s">
        <v>227</v>
      </c>
      <c r="C6495" s="112" t="s">
        <v>449</v>
      </c>
      <c r="D6495" s="113" t="s">
        <v>131</v>
      </c>
      <c r="E6495" s="114" t="s">
        <v>15</v>
      </c>
      <c r="F6495" s="115" t="s">
        <v>16</v>
      </c>
      <c r="G6495" s="116">
        <v>5.77</v>
      </c>
      <c r="H6495" s="125">
        <v>11.8</v>
      </c>
      <c r="I6495" s="111">
        <v>1</v>
      </c>
      <c r="J6495" s="117">
        <f t="shared" si="916"/>
        <v>6.8085999999999994E-2</v>
      </c>
      <c r="K6495" s="118"/>
      <c r="L6495" s="111">
        <v>1</v>
      </c>
      <c r="M6495" s="117">
        <f t="shared" si="917"/>
        <v>6.8085999999999994E-2</v>
      </c>
      <c r="N6495" s="119">
        <f t="shared" si="918"/>
        <v>0</v>
      </c>
      <c r="O6495" s="120">
        <f t="shared" si="919"/>
        <v>0</v>
      </c>
      <c r="P6495" s="32"/>
      <c r="Q6495" s="32"/>
      <c r="R6495" s="32"/>
      <c r="S6495" s="32"/>
    </row>
    <row r="6496" spans="1:20" ht="15.6">
      <c r="A6496" s="110" t="s">
        <v>503</v>
      </c>
      <c r="B6496" s="111" t="s">
        <v>227</v>
      </c>
      <c r="C6496" s="112" t="s">
        <v>449</v>
      </c>
      <c r="D6496" s="113" t="s">
        <v>131</v>
      </c>
      <c r="E6496" s="114" t="s">
        <v>15</v>
      </c>
      <c r="F6496" s="115" t="s">
        <v>16</v>
      </c>
      <c r="G6496" s="116">
        <v>5.77</v>
      </c>
      <c r="H6496" s="125">
        <v>11</v>
      </c>
      <c r="I6496" s="111">
        <v>1</v>
      </c>
      <c r="J6496" s="117">
        <f t="shared" si="916"/>
        <v>6.3469999999999999E-2</v>
      </c>
      <c r="K6496" s="118"/>
      <c r="L6496" s="111">
        <v>1</v>
      </c>
      <c r="M6496" s="117">
        <f t="shared" si="917"/>
        <v>6.3469999999999999E-2</v>
      </c>
      <c r="N6496" s="119">
        <f t="shared" si="918"/>
        <v>0</v>
      </c>
      <c r="O6496" s="120">
        <f t="shared" si="919"/>
        <v>0</v>
      </c>
      <c r="P6496" s="32"/>
      <c r="Q6496" s="32"/>
      <c r="R6496" s="32"/>
      <c r="S6496" s="32"/>
    </row>
    <row r="6497" spans="1:19" ht="15.6">
      <c r="A6497" s="110" t="s">
        <v>503</v>
      </c>
      <c r="B6497" s="111" t="s">
        <v>227</v>
      </c>
      <c r="C6497" s="112" t="s">
        <v>449</v>
      </c>
      <c r="D6497" s="113" t="s">
        <v>131</v>
      </c>
      <c r="E6497" s="114" t="s">
        <v>15</v>
      </c>
      <c r="F6497" s="115" t="s">
        <v>16</v>
      </c>
      <c r="G6497" s="116">
        <v>5.77</v>
      </c>
      <c r="H6497" s="125">
        <v>12</v>
      </c>
      <c r="I6497" s="111">
        <v>20</v>
      </c>
      <c r="J6497" s="117">
        <f t="shared" si="916"/>
        <v>1.3848</v>
      </c>
      <c r="K6497" s="118"/>
      <c r="L6497" s="111">
        <v>20</v>
      </c>
      <c r="M6497" s="117">
        <f t="shared" si="917"/>
        <v>1.3848</v>
      </c>
      <c r="N6497" s="119">
        <f t="shared" si="918"/>
        <v>0</v>
      </c>
      <c r="O6497" s="120">
        <f t="shared" si="919"/>
        <v>0</v>
      </c>
      <c r="P6497" s="32"/>
      <c r="Q6497" s="32"/>
      <c r="R6497" s="32"/>
      <c r="S6497" s="32"/>
    </row>
    <row r="6498" spans="1:19" ht="15.6">
      <c r="A6498" s="110" t="s">
        <v>503</v>
      </c>
      <c r="B6498" s="111" t="s">
        <v>227</v>
      </c>
      <c r="C6498" s="112" t="s">
        <v>449</v>
      </c>
      <c r="D6498" s="113" t="s">
        <v>131</v>
      </c>
      <c r="E6498" s="114" t="s">
        <v>15</v>
      </c>
      <c r="F6498" s="115" t="s">
        <v>16</v>
      </c>
      <c r="G6498" s="116">
        <v>5.77</v>
      </c>
      <c r="H6498" s="125">
        <v>11</v>
      </c>
      <c r="I6498" s="111">
        <v>50</v>
      </c>
      <c r="J6498" s="117">
        <f t="shared" si="916"/>
        <v>3.1735000000000002</v>
      </c>
      <c r="K6498" s="118"/>
      <c r="L6498" s="111">
        <v>50</v>
      </c>
      <c r="M6498" s="117">
        <f t="shared" si="917"/>
        <v>3.1734999999999998</v>
      </c>
      <c r="N6498" s="119">
        <f t="shared" si="918"/>
        <v>0</v>
      </c>
      <c r="O6498" s="120">
        <f t="shared" si="919"/>
        <v>0</v>
      </c>
      <c r="P6498" s="32"/>
      <c r="Q6498" s="32"/>
      <c r="R6498" s="32"/>
      <c r="S6498" s="32"/>
    </row>
    <row r="6499" spans="1:19" ht="15.6">
      <c r="A6499" s="110" t="s">
        <v>503</v>
      </c>
      <c r="B6499" s="111" t="s">
        <v>227</v>
      </c>
      <c r="C6499" s="112" t="s">
        <v>449</v>
      </c>
      <c r="D6499" s="113" t="s">
        <v>131</v>
      </c>
      <c r="E6499" s="114" t="s">
        <v>15</v>
      </c>
      <c r="F6499" s="115" t="s">
        <v>16</v>
      </c>
      <c r="G6499" s="116">
        <v>5.77</v>
      </c>
      <c r="H6499" s="125">
        <v>11</v>
      </c>
      <c r="I6499" s="111">
        <v>49</v>
      </c>
      <c r="J6499" s="117">
        <f t="shared" si="916"/>
        <v>3.1100299999999996</v>
      </c>
      <c r="K6499" s="118"/>
      <c r="L6499" s="111">
        <v>49</v>
      </c>
      <c r="M6499" s="117">
        <f t="shared" si="917"/>
        <v>3.1100299999999996</v>
      </c>
      <c r="N6499" s="119">
        <f t="shared" si="918"/>
        <v>0</v>
      </c>
      <c r="O6499" s="120">
        <f t="shared" si="919"/>
        <v>0</v>
      </c>
      <c r="P6499" s="32"/>
      <c r="Q6499" s="32"/>
      <c r="R6499" s="32"/>
      <c r="S6499" s="32"/>
    </row>
    <row r="6500" spans="1:19" ht="15.6">
      <c r="A6500" s="110" t="s">
        <v>503</v>
      </c>
      <c r="B6500" s="111" t="s">
        <v>227</v>
      </c>
      <c r="C6500" s="112" t="s">
        <v>449</v>
      </c>
      <c r="D6500" s="113" t="s">
        <v>131</v>
      </c>
      <c r="E6500" s="114" t="s">
        <v>15</v>
      </c>
      <c r="F6500" s="115" t="s">
        <v>16</v>
      </c>
      <c r="G6500" s="116">
        <v>5.77</v>
      </c>
      <c r="H6500" s="125">
        <v>11</v>
      </c>
      <c r="I6500" s="111">
        <v>49</v>
      </c>
      <c r="J6500" s="117">
        <f t="shared" si="916"/>
        <v>3.1100299999999996</v>
      </c>
      <c r="K6500" s="118"/>
      <c r="L6500" s="111">
        <v>49</v>
      </c>
      <c r="M6500" s="117">
        <f t="shared" si="917"/>
        <v>3.1100299999999996</v>
      </c>
      <c r="N6500" s="119">
        <f t="shared" si="918"/>
        <v>0</v>
      </c>
      <c r="O6500" s="120">
        <f t="shared" si="919"/>
        <v>0</v>
      </c>
      <c r="P6500" s="32"/>
      <c r="Q6500" s="32"/>
      <c r="R6500" s="32"/>
      <c r="S6500" s="32"/>
    </row>
    <row r="6501" spans="1:19" ht="15.6">
      <c r="A6501" s="110" t="s">
        <v>503</v>
      </c>
      <c r="B6501" s="111" t="s">
        <v>227</v>
      </c>
      <c r="C6501" s="112" t="s">
        <v>449</v>
      </c>
      <c r="D6501" s="113" t="s">
        <v>131</v>
      </c>
      <c r="E6501" s="114" t="s">
        <v>15</v>
      </c>
      <c r="F6501" s="115" t="s">
        <v>16</v>
      </c>
      <c r="G6501" s="116">
        <v>5.77</v>
      </c>
      <c r="H6501" s="125">
        <v>11</v>
      </c>
      <c r="I6501" s="111">
        <v>49</v>
      </c>
      <c r="J6501" s="117">
        <f t="shared" si="916"/>
        <v>3.1100299999999996</v>
      </c>
      <c r="K6501" s="118"/>
      <c r="L6501" s="111">
        <v>49</v>
      </c>
      <c r="M6501" s="117">
        <f t="shared" si="917"/>
        <v>3.1100299999999996</v>
      </c>
      <c r="N6501" s="119">
        <f t="shared" si="918"/>
        <v>0</v>
      </c>
      <c r="O6501" s="120">
        <f t="shared" si="919"/>
        <v>0</v>
      </c>
      <c r="P6501" s="32"/>
      <c r="Q6501" s="32"/>
      <c r="R6501" s="32"/>
      <c r="S6501" s="32"/>
    </row>
    <row r="6502" spans="1:19" ht="15.6">
      <c r="A6502" s="110" t="s">
        <v>503</v>
      </c>
      <c r="B6502" s="111" t="s">
        <v>227</v>
      </c>
      <c r="C6502" s="112" t="s">
        <v>449</v>
      </c>
      <c r="D6502" s="113" t="s">
        <v>131</v>
      </c>
      <c r="E6502" s="114" t="s">
        <v>15</v>
      </c>
      <c r="F6502" s="115" t="s">
        <v>16</v>
      </c>
      <c r="G6502" s="116">
        <v>5.77</v>
      </c>
      <c r="H6502" s="125">
        <v>11</v>
      </c>
      <c r="I6502" s="111">
        <v>49</v>
      </c>
      <c r="J6502" s="117">
        <f t="shared" si="916"/>
        <v>3.1100299999999996</v>
      </c>
      <c r="K6502" s="118"/>
      <c r="L6502" s="111">
        <v>49</v>
      </c>
      <c r="M6502" s="117">
        <f t="shared" si="917"/>
        <v>3.1100299999999996</v>
      </c>
      <c r="N6502" s="119">
        <f t="shared" si="918"/>
        <v>0</v>
      </c>
      <c r="O6502" s="120">
        <f t="shared" si="919"/>
        <v>0</v>
      </c>
      <c r="P6502" s="32"/>
      <c r="Q6502" s="32"/>
      <c r="R6502" s="32"/>
      <c r="S6502" s="32"/>
    </row>
    <row r="6503" spans="1:19" ht="15.6">
      <c r="A6503" s="110" t="s">
        <v>503</v>
      </c>
      <c r="B6503" s="111" t="s">
        <v>227</v>
      </c>
      <c r="C6503" s="112" t="s">
        <v>449</v>
      </c>
      <c r="D6503" s="113" t="s">
        <v>131</v>
      </c>
      <c r="E6503" s="114" t="s">
        <v>15</v>
      </c>
      <c r="F6503" s="115" t="s">
        <v>16</v>
      </c>
      <c r="G6503" s="116">
        <v>5.77</v>
      </c>
      <c r="H6503" s="125">
        <v>10</v>
      </c>
      <c r="I6503" s="111">
        <v>47</v>
      </c>
      <c r="J6503" s="117">
        <f t="shared" si="916"/>
        <v>2.7118999999999995</v>
      </c>
      <c r="K6503" s="118"/>
      <c r="L6503" s="111">
        <f>42+5</f>
        <v>47</v>
      </c>
      <c r="M6503" s="117">
        <f t="shared" si="917"/>
        <v>2.7118999999999995</v>
      </c>
      <c r="N6503" s="119">
        <f t="shared" si="918"/>
        <v>0</v>
      </c>
      <c r="O6503" s="120">
        <f t="shared" si="919"/>
        <v>0</v>
      </c>
      <c r="P6503" s="32"/>
      <c r="Q6503" s="32"/>
      <c r="R6503" s="32"/>
      <c r="S6503" s="32"/>
    </row>
    <row r="6504" spans="1:19" ht="15.6">
      <c r="A6504" s="110" t="s">
        <v>503</v>
      </c>
      <c r="B6504" s="111" t="s">
        <v>227</v>
      </c>
      <c r="C6504" s="112" t="s">
        <v>449</v>
      </c>
      <c r="D6504" s="113" t="s">
        <v>131</v>
      </c>
      <c r="E6504" s="114" t="s">
        <v>15</v>
      </c>
      <c r="F6504" s="115" t="s">
        <v>16</v>
      </c>
      <c r="G6504" s="116">
        <v>5.77</v>
      </c>
      <c r="H6504" s="125">
        <v>12</v>
      </c>
      <c r="I6504" s="111">
        <v>25</v>
      </c>
      <c r="J6504" s="117">
        <f t="shared" si="916"/>
        <v>1.7309999999999999</v>
      </c>
      <c r="K6504" s="118"/>
      <c r="L6504" s="111">
        <v>25</v>
      </c>
      <c r="M6504" s="117">
        <f t="shared" si="917"/>
        <v>1.7309999999999999</v>
      </c>
      <c r="N6504" s="119">
        <f t="shared" si="918"/>
        <v>0</v>
      </c>
      <c r="O6504" s="120">
        <f t="shared" si="919"/>
        <v>0</v>
      </c>
      <c r="P6504" s="32"/>
      <c r="Q6504" s="32"/>
      <c r="R6504" s="32"/>
      <c r="S6504" s="32"/>
    </row>
    <row r="6505" spans="1:19" ht="15.6">
      <c r="A6505" s="110" t="s">
        <v>503</v>
      </c>
      <c r="B6505" s="111" t="s">
        <v>227</v>
      </c>
      <c r="C6505" s="112" t="s">
        <v>449</v>
      </c>
      <c r="D6505" s="113" t="s">
        <v>131</v>
      </c>
      <c r="E6505" s="114" t="s">
        <v>15</v>
      </c>
      <c r="F6505" s="115" t="s">
        <v>16</v>
      </c>
      <c r="G6505" s="116">
        <v>5.77</v>
      </c>
      <c r="H6505" s="125">
        <v>11</v>
      </c>
      <c r="I6505" s="111">
        <v>32</v>
      </c>
      <c r="J6505" s="117">
        <f t="shared" si="916"/>
        <v>2.03104</v>
      </c>
      <c r="K6505" s="118"/>
      <c r="L6505" s="111">
        <v>32</v>
      </c>
      <c r="M6505" s="117">
        <f t="shared" si="917"/>
        <v>2.03104</v>
      </c>
      <c r="N6505" s="119">
        <f t="shared" si="918"/>
        <v>0</v>
      </c>
      <c r="O6505" s="120">
        <f t="shared" si="919"/>
        <v>0</v>
      </c>
      <c r="P6505" s="32"/>
      <c r="Q6505" s="32"/>
      <c r="R6505" s="32"/>
      <c r="S6505" s="32"/>
    </row>
    <row r="6506" spans="1:19" ht="15.6">
      <c r="A6506" s="110" t="s">
        <v>503</v>
      </c>
      <c r="B6506" s="111" t="s">
        <v>227</v>
      </c>
      <c r="C6506" s="112" t="s">
        <v>449</v>
      </c>
      <c r="D6506" s="113" t="s">
        <v>131</v>
      </c>
      <c r="E6506" s="114" t="s">
        <v>15</v>
      </c>
      <c r="F6506" s="115" t="s">
        <v>16</v>
      </c>
      <c r="G6506" s="116">
        <v>5.77</v>
      </c>
      <c r="H6506" s="125">
        <v>9.5</v>
      </c>
      <c r="I6506" s="111">
        <v>2</v>
      </c>
      <c r="J6506" s="117">
        <f t="shared" si="916"/>
        <v>0.10962999999999999</v>
      </c>
      <c r="K6506" s="118"/>
      <c r="L6506" s="111">
        <v>2</v>
      </c>
      <c r="M6506" s="117">
        <f t="shared" si="917"/>
        <v>0.10962999999999999</v>
      </c>
      <c r="N6506" s="119">
        <f t="shared" si="918"/>
        <v>0</v>
      </c>
      <c r="O6506" s="120">
        <f t="shared" si="919"/>
        <v>0</v>
      </c>
      <c r="P6506" s="72">
        <v>7.1</v>
      </c>
      <c r="Q6506" s="72">
        <v>2</v>
      </c>
      <c r="R6506" s="72" t="s">
        <v>739</v>
      </c>
      <c r="S6506" s="32"/>
    </row>
    <row r="6507" spans="1:19" ht="15.6">
      <c r="A6507" s="110" t="s">
        <v>503</v>
      </c>
      <c r="B6507" s="111" t="s">
        <v>227</v>
      </c>
      <c r="C6507" s="112" t="s">
        <v>449</v>
      </c>
      <c r="D6507" s="113" t="s">
        <v>131</v>
      </c>
      <c r="E6507" s="114" t="s">
        <v>15</v>
      </c>
      <c r="F6507" s="115" t="s">
        <v>16</v>
      </c>
      <c r="G6507" s="116">
        <v>5.77</v>
      </c>
      <c r="H6507" s="125">
        <v>10</v>
      </c>
      <c r="I6507" s="111">
        <v>5</v>
      </c>
      <c r="J6507" s="117">
        <f t="shared" si="916"/>
        <v>0.28849999999999998</v>
      </c>
      <c r="K6507" s="118"/>
      <c r="L6507" s="111">
        <v>5</v>
      </c>
      <c r="M6507" s="117">
        <f t="shared" si="917"/>
        <v>0.28849999999999998</v>
      </c>
      <c r="N6507" s="119">
        <f t="shared" si="918"/>
        <v>0</v>
      </c>
      <c r="O6507" s="120">
        <f t="shared" si="919"/>
        <v>0</v>
      </c>
      <c r="P6507" s="32"/>
      <c r="Q6507" s="32"/>
      <c r="R6507" s="32"/>
      <c r="S6507" s="32"/>
    </row>
    <row r="6508" spans="1:19" ht="15.6">
      <c r="A6508" s="110" t="s">
        <v>503</v>
      </c>
      <c r="B6508" s="111" t="s">
        <v>227</v>
      </c>
      <c r="C6508" s="112" t="s">
        <v>449</v>
      </c>
      <c r="D6508" s="113" t="s">
        <v>131</v>
      </c>
      <c r="E6508" s="114" t="s">
        <v>15</v>
      </c>
      <c r="F6508" s="115" t="s">
        <v>16</v>
      </c>
      <c r="G6508" s="116">
        <v>5.77</v>
      </c>
      <c r="H6508" s="125">
        <v>10.5</v>
      </c>
      <c r="I6508" s="111">
        <v>16</v>
      </c>
      <c r="J6508" s="117">
        <f t="shared" si="916"/>
        <v>0.96935999999999989</v>
      </c>
      <c r="K6508" s="118"/>
      <c r="L6508" s="111">
        <v>16</v>
      </c>
      <c r="M6508" s="117">
        <f t="shared" si="917"/>
        <v>0.96935999999999989</v>
      </c>
      <c r="N6508" s="119">
        <f t="shared" si="918"/>
        <v>0</v>
      </c>
      <c r="O6508" s="120">
        <f t="shared" si="919"/>
        <v>0</v>
      </c>
      <c r="P6508" s="32"/>
      <c r="Q6508" s="32"/>
      <c r="R6508" s="32"/>
      <c r="S6508" s="32"/>
    </row>
    <row r="6509" spans="1:19" ht="15.6">
      <c r="A6509" s="110" t="s">
        <v>503</v>
      </c>
      <c r="B6509" s="111" t="s">
        <v>227</v>
      </c>
      <c r="C6509" s="112" t="s">
        <v>449</v>
      </c>
      <c r="D6509" s="113" t="s">
        <v>131</v>
      </c>
      <c r="E6509" s="114" t="s">
        <v>15</v>
      </c>
      <c r="F6509" s="115" t="s">
        <v>16</v>
      </c>
      <c r="G6509" s="116">
        <v>5.77</v>
      </c>
      <c r="H6509" s="125">
        <v>10</v>
      </c>
      <c r="I6509" s="111">
        <v>32</v>
      </c>
      <c r="J6509" s="117">
        <f t="shared" si="916"/>
        <v>1.8463999999999998</v>
      </c>
      <c r="K6509" s="118"/>
      <c r="L6509" s="111">
        <f>5+3+24</f>
        <v>32</v>
      </c>
      <c r="M6509" s="117">
        <f t="shared" si="917"/>
        <v>1.8463999999999998</v>
      </c>
      <c r="N6509" s="119">
        <f t="shared" si="918"/>
        <v>0</v>
      </c>
      <c r="O6509" s="120">
        <f t="shared" si="919"/>
        <v>0</v>
      </c>
      <c r="P6509" s="72" t="s">
        <v>796</v>
      </c>
      <c r="Q6509" s="72">
        <v>24</v>
      </c>
      <c r="R6509" s="72" t="s">
        <v>739</v>
      </c>
      <c r="S6509" s="32"/>
    </row>
    <row r="6510" spans="1:19" ht="15.6">
      <c r="A6510" s="110" t="s">
        <v>503</v>
      </c>
      <c r="B6510" s="111" t="s">
        <v>227</v>
      </c>
      <c r="C6510" s="112" t="s">
        <v>449</v>
      </c>
      <c r="D6510" s="113" t="s">
        <v>131</v>
      </c>
      <c r="E6510" s="114" t="s">
        <v>15</v>
      </c>
      <c r="F6510" s="115" t="s">
        <v>16</v>
      </c>
      <c r="G6510" s="116">
        <v>5.77</v>
      </c>
      <c r="H6510" s="125">
        <v>11</v>
      </c>
      <c r="I6510" s="111">
        <v>49</v>
      </c>
      <c r="J6510" s="117">
        <f t="shared" si="916"/>
        <v>3.1100299999999996</v>
      </c>
      <c r="K6510" s="118"/>
      <c r="L6510" s="111">
        <v>49</v>
      </c>
      <c r="M6510" s="117">
        <f t="shared" si="917"/>
        <v>3.1100299999999996</v>
      </c>
      <c r="N6510" s="119">
        <f t="shared" si="918"/>
        <v>0</v>
      </c>
      <c r="O6510" s="120">
        <f t="shared" si="919"/>
        <v>0</v>
      </c>
      <c r="P6510" s="32"/>
      <c r="Q6510" s="32"/>
      <c r="R6510" s="32"/>
      <c r="S6510" s="32"/>
    </row>
    <row r="6511" spans="1:19" ht="15.6">
      <c r="A6511" s="110" t="s">
        <v>503</v>
      </c>
      <c r="B6511" s="111" t="s">
        <v>227</v>
      </c>
      <c r="C6511" s="112" t="s">
        <v>449</v>
      </c>
      <c r="D6511" s="113" t="s">
        <v>131</v>
      </c>
      <c r="E6511" s="114" t="s">
        <v>15</v>
      </c>
      <c r="F6511" s="115" t="s">
        <v>16</v>
      </c>
      <c r="G6511" s="116">
        <v>5.77</v>
      </c>
      <c r="H6511" s="125">
        <v>11</v>
      </c>
      <c r="I6511" s="111">
        <v>51</v>
      </c>
      <c r="J6511" s="117">
        <f t="shared" si="916"/>
        <v>3.2369699999999999</v>
      </c>
      <c r="K6511" s="118"/>
      <c r="L6511" s="111">
        <v>51</v>
      </c>
      <c r="M6511" s="117">
        <f t="shared" si="917"/>
        <v>3.2369699999999999</v>
      </c>
      <c r="N6511" s="119">
        <f t="shared" si="918"/>
        <v>0</v>
      </c>
      <c r="O6511" s="120">
        <f t="shared" si="919"/>
        <v>0</v>
      </c>
      <c r="P6511" s="32"/>
      <c r="Q6511" s="32"/>
      <c r="R6511" s="32"/>
      <c r="S6511" s="32"/>
    </row>
    <row r="6512" spans="1:19" ht="15.6">
      <c r="A6512" s="110" t="s">
        <v>503</v>
      </c>
      <c r="B6512" s="111" t="s">
        <v>227</v>
      </c>
      <c r="C6512" s="112" t="s">
        <v>449</v>
      </c>
      <c r="D6512" s="113" t="s">
        <v>131</v>
      </c>
      <c r="E6512" s="114" t="s">
        <v>15</v>
      </c>
      <c r="F6512" s="115" t="s">
        <v>16</v>
      </c>
      <c r="G6512" s="116">
        <v>5.77</v>
      </c>
      <c r="H6512" s="125">
        <v>11</v>
      </c>
      <c r="I6512" s="111">
        <v>52</v>
      </c>
      <c r="J6512" s="117">
        <f t="shared" si="916"/>
        <v>3.30044</v>
      </c>
      <c r="K6512" s="118"/>
      <c r="L6512" s="111">
        <v>52</v>
      </c>
      <c r="M6512" s="117">
        <f t="shared" si="917"/>
        <v>3.3004399999999996</v>
      </c>
      <c r="N6512" s="119">
        <f t="shared" si="918"/>
        <v>0</v>
      </c>
      <c r="O6512" s="120">
        <f t="shared" si="919"/>
        <v>0</v>
      </c>
      <c r="P6512" s="32"/>
      <c r="Q6512" s="32"/>
      <c r="R6512" s="32"/>
      <c r="S6512" s="32"/>
    </row>
    <row r="6513" spans="1:19" ht="15.6">
      <c r="A6513" s="110" t="s">
        <v>503</v>
      </c>
      <c r="B6513" s="111" t="s">
        <v>227</v>
      </c>
      <c r="C6513" s="112" t="s">
        <v>449</v>
      </c>
      <c r="D6513" s="113" t="s">
        <v>131</v>
      </c>
      <c r="E6513" s="114" t="s">
        <v>15</v>
      </c>
      <c r="F6513" s="115" t="s">
        <v>16</v>
      </c>
      <c r="G6513" s="116">
        <v>5.77</v>
      </c>
      <c r="H6513" s="125">
        <v>11</v>
      </c>
      <c r="I6513" s="111">
        <v>50</v>
      </c>
      <c r="J6513" s="117">
        <f t="shared" si="916"/>
        <v>3.1735000000000002</v>
      </c>
      <c r="K6513" s="118"/>
      <c r="L6513" s="111">
        <v>50</v>
      </c>
      <c r="M6513" s="117">
        <f t="shared" si="917"/>
        <v>3.1734999999999998</v>
      </c>
      <c r="N6513" s="119">
        <f t="shared" si="918"/>
        <v>0</v>
      </c>
      <c r="O6513" s="120">
        <f t="shared" si="919"/>
        <v>0</v>
      </c>
      <c r="P6513" s="32"/>
      <c r="Q6513" s="32"/>
      <c r="R6513" s="32"/>
      <c r="S6513" s="32"/>
    </row>
    <row r="6514" spans="1:19" ht="15.6">
      <c r="A6514" s="110" t="s">
        <v>503</v>
      </c>
      <c r="B6514" s="111" t="s">
        <v>227</v>
      </c>
      <c r="C6514" s="112" t="s">
        <v>449</v>
      </c>
      <c r="D6514" s="113" t="s">
        <v>131</v>
      </c>
      <c r="E6514" s="114" t="s">
        <v>15</v>
      </c>
      <c r="F6514" s="115" t="s">
        <v>16</v>
      </c>
      <c r="G6514" s="116">
        <v>5.77</v>
      </c>
      <c r="H6514" s="125">
        <v>11</v>
      </c>
      <c r="I6514" s="111">
        <v>47</v>
      </c>
      <c r="J6514" s="117">
        <f t="shared" si="916"/>
        <v>2.9830900000000002</v>
      </c>
      <c r="K6514" s="118"/>
      <c r="L6514" s="111">
        <v>47</v>
      </c>
      <c r="M6514" s="117">
        <f t="shared" si="917"/>
        <v>2.9830899999999998</v>
      </c>
      <c r="N6514" s="119">
        <f t="shared" si="918"/>
        <v>0</v>
      </c>
      <c r="O6514" s="120">
        <f t="shared" si="919"/>
        <v>0</v>
      </c>
      <c r="P6514" s="32"/>
      <c r="Q6514" s="32"/>
      <c r="R6514" s="32"/>
      <c r="S6514" s="32"/>
    </row>
    <row r="6515" spans="1:19" ht="15.6">
      <c r="A6515" s="110" t="s">
        <v>503</v>
      </c>
      <c r="B6515" s="111" t="s">
        <v>227</v>
      </c>
      <c r="C6515" s="112" t="s">
        <v>449</v>
      </c>
      <c r="D6515" s="113" t="s">
        <v>131</v>
      </c>
      <c r="E6515" s="114" t="s">
        <v>15</v>
      </c>
      <c r="F6515" s="115" t="s">
        <v>16</v>
      </c>
      <c r="G6515" s="116">
        <v>5.77</v>
      </c>
      <c r="H6515" s="125">
        <v>11</v>
      </c>
      <c r="I6515" s="111">
        <v>50</v>
      </c>
      <c r="J6515" s="117">
        <f t="shared" si="916"/>
        <v>3.1735000000000002</v>
      </c>
      <c r="K6515" s="118"/>
      <c r="L6515" s="111">
        <v>50</v>
      </c>
      <c r="M6515" s="117">
        <f t="shared" si="917"/>
        <v>3.1734999999999998</v>
      </c>
      <c r="N6515" s="119">
        <f t="shared" si="918"/>
        <v>0</v>
      </c>
      <c r="O6515" s="120">
        <f t="shared" si="919"/>
        <v>0</v>
      </c>
      <c r="P6515" s="32"/>
      <c r="Q6515" s="32"/>
      <c r="R6515" s="32"/>
      <c r="S6515" s="32"/>
    </row>
    <row r="6516" spans="1:19" ht="15.6">
      <c r="A6516" s="110" t="s">
        <v>503</v>
      </c>
      <c r="B6516" s="111" t="s">
        <v>227</v>
      </c>
      <c r="C6516" s="112" t="s">
        <v>449</v>
      </c>
      <c r="D6516" s="113" t="s">
        <v>131</v>
      </c>
      <c r="E6516" s="114" t="s">
        <v>15</v>
      </c>
      <c r="F6516" s="115" t="s">
        <v>16</v>
      </c>
      <c r="G6516" s="116">
        <v>5.77</v>
      </c>
      <c r="H6516" s="125">
        <v>11</v>
      </c>
      <c r="I6516" s="111">
        <v>6</v>
      </c>
      <c r="J6516" s="117">
        <f t="shared" si="916"/>
        <v>0.38081999999999999</v>
      </c>
      <c r="K6516" s="118"/>
      <c r="L6516" s="111">
        <v>6</v>
      </c>
      <c r="M6516" s="117">
        <f t="shared" si="917"/>
        <v>0.38081999999999999</v>
      </c>
      <c r="N6516" s="119">
        <f t="shared" si="918"/>
        <v>0</v>
      </c>
      <c r="O6516" s="120">
        <f t="shared" si="919"/>
        <v>0</v>
      </c>
      <c r="P6516" s="32"/>
      <c r="Q6516" s="32"/>
      <c r="R6516" s="32"/>
      <c r="S6516" s="32"/>
    </row>
    <row r="6517" spans="1:19" ht="15.6">
      <c r="A6517" s="110" t="s">
        <v>503</v>
      </c>
      <c r="B6517" s="111" t="s">
        <v>227</v>
      </c>
      <c r="C6517" s="112" t="s">
        <v>449</v>
      </c>
      <c r="D6517" s="113" t="s">
        <v>131</v>
      </c>
      <c r="E6517" s="114" t="s">
        <v>15</v>
      </c>
      <c r="F6517" s="115" t="s">
        <v>16</v>
      </c>
      <c r="G6517" s="116">
        <v>5.77</v>
      </c>
      <c r="H6517" s="125">
        <v>12</v>
      </c>
      <c r="I6517" s="111">
        <v>46</v>
      </c>
      <c r="J6517" s="117">
        <f t="shared" si="916"/>
        <v>3.1850399999999999</v>
      </c>
      <c r="K6517" s="118"/>
      <c r="L6517" s="111">
        <f>40+2+4</f>
        <v>46</v>
      </c>
      <c r="M6517" s="117">
        <f t="shared" si="917"/>
        <v>3.1850399999999999</v>
      </c>
      <c r="N6517" s="119">
        <f t="shared" si="918"/>
        <v>0</v>
      </c>
      <c r="O6517" s="120">
        <f t="shared" si="919"/>
        <v>0</v>
      </c>
      <c r="P6517" s="32"/>
      <c r="Q6517" s="32"/>
      <c r="R6517" s="32"/>
      <c r="S6517" s="32"/>
    </row>
    <row r="6518" spans="1:19" ht="15.6">
      <c r="A6518" s="110" t="s">
        <v>503</v>
      </c>
      <c r="B6518" s="111" t="s">
        <v>227</v>
      </c>
      <c r="C6518" s="112" t="s">
        <v>449</v>
      </c>
      <c r="D6518" s="113" t="s">
        <v>131</v>
      </c>
      <c r="E6518" s="114" t="s">
        <v>15</v>
      </c>
      <c r="F6518" s="115" t="s">
        <v>16</v>
      </c>
      <c r="G6518" s="116">
        <v>5.77</v>
      </c>
      <c r="H6518" s="125">
        <v>12</v>
      </c>
      <c r="I6518" s="111">
        <v>47</v>
      </c>
      <c r="J6518" s="117">
        <f t="shared" si="916"/>
        <v>3.2542799999999996</v>
      </c>
      <c r="K6518" s="118"/>
      <c r="L6518" s="111">
        <v>47</v>
      </c>
      <c r="M6518" s="117">
        <f t="shared" si="917"/>
        <v>3.2542799999999996</v>
      </c>
      <c r="N6518" s="119">
        <f t="shared" si="918"/>
        <v>0</v>
      </c>
      <c r="O6518" s="120">
        <f t="shared" si="919"/>
        <v>0</v>
      </c>
      <c r="P6518" s="32"/>
      <c r="Q6518" s="32"/>
      <c r="R6518" s="32"/>
      <c r="S6518" s="32"/>
    </row>
    <row r="6519" spans="1:19" ht="15.6">
      <c r="A6519" s="110" t="s">
        <v>503</v>
      </c>
      <c r="B6519" s="111" t="s">
        <v>227</v>
      </c>
      <c r="C6519" s="112" t="s">
        <v>449</v>
      </c>
      <c r="D6519" s="113" t="s">
        <v>131</v>
      </c>
      <c r="E6519" s="114" t="s">
        <v>15</v>
      </c>
      <c r="F6519" s="115" t="s">
        <v>16</v>
      </c>
      <c r="G6519" s="116">
        <v>5.77</v>
      </c>
      <c r="H6519" s="125">
        <v>12</v>
      </c>
      <c r="I6519" s="111">
        <v>47</v>
      </c>
      <c r="J6519" s="117">
        <f t="shared" si="916"/>
        <v>3.2542799999999996</v>
      </c>
      <c r="K6519" s="118"/>
      <c r="L6519" s="111">
        <v>47</v>
      </c>
      <c r="M6519" s="117">
        <f t="shared" si="917"/>
        <v>3.2542799999999996</v>
      </c>
      <c r="N6519" s="119">
        <f t="shared" si="918"/>
        <v>0</v>
      </c>
      <c r="O6519" s="120">
        <f t="shared" si="919"/>
        <v>0</v>
      </c>
      <c r="P6519" s="32"/>
      <c r="Q6519" s="32"/>
      <c r="R6519" s="32"/>
      <c r="S6519" s="32"/>
    </row>
    <row r="6520" spans="1:19" ht="15.6">
      <c r="A6520" s="110" t="s">
        <v>503</v>
      </c>
      <c r="B6520" s="111" t="s">
        <v>227</v>
      </c>
      <c r="C6520" s="112" t="s">
        <v>449</v>
      </c>
      <c r="D6520" s="113" t="s">
        <v>131</v>
      </c>
      <c r="E6520" s="114" t="s">
        <v>15</v>
      </c>
      <c r="F6520" s="115" t="s">
        <v>16</v>
      </c>
      <c r="G6520" s="116">
        <v>5.77</v>
      </c>
      <c r="H6520" s="125">
        <v>12</v>
      </c>
      <c r="I6520" s="111">
        <v>47</v>
      </c>
      <c r="J6520" s="117">
        <f t="shared" si="916"/>
        <v>3.2542799999999996</v>
      </c>
      <c r="K6520" s="118"/>
      <c r="L6520" s="111">
        <v>47</v>
      </c>
      <c r="M6520" s="117">
        <f t="shared" si="917"/>
        <v>3.2542799999999996</v>
      </c>
      <c r="N6520" s="119">
        <f t="shared" si="918"/>
        <v>0</v>
      </c>
      <c r="O6520" s="120">
        <f t="shared" si="919"/>
        <v>0</v>
      </c>
      <c r="P6520" s="32"/>
      <c r="Q6520" s="32"/>
      <c r="R6520" s="32"/>
      <c r="S6520" s="32"/>
    </row>
    <row r="6521" spans="1:19" ht="15.6">
      <c r="A6521" s="110" t="s">
        <v>503</v>
      </c>
      <c r="B6521" s="111" t="s">
        <v>227</v>
      </c>
      <c r="C6521" s="112" t="s">
        <v>449</v>
      </c>
      <c r="D6521" s="113" t="s">
        <v>131</v>
      </c>
      <c r="E6521" s="114" t="s">
        <v>15</v>
      </c>
      <c r="F6521" s="115" t="s">
        <v>16</v>
      </c>
      <c r="G6521" s="116">
        <v>5.77</v>
      </c>
      <c r="H6521" s="125">
        <v>12</v>
      </c>
      <c r="I6521" s="111">
        <v>48</v>
      </c>
      <c r="J6521" s="117">
        <f t="shared" si="916"/>
        <v>3.3235199999999994</v>
      </c>
      <c r="K6521" s="118"/>
      <c r="L6521" s="111">
        <v>48</v>
      </c>
      <c r="M6521" s="117">
        <f t="shared" si="917"/>
        <v>3.3235199999999994</v>
      </c>
      <c r="N6521" s="119">
        <f t="shared" si="918"/>
        <v>0</v>
      </c>
      <c r="O6521" s="120">
        <f t="shared" si="919"/>
        <v>0</v>
      </c>
      <c r="P6521" s="32"/>
      <c r="Q6521" s="32"/>
      <c r="R6521" s="32"/>
      <c r="S6521" s="32"/>
    </row>
    <row r="6522" spans="1:19" ht="15.6">
      <c r="A6522" s="110" t="s">
        <v>503</v>
      </c>
      <c r="B6522" s="111" t="s">
        <v>227</v>
      </c>
      <c r="C6522" s="112" t="s">
        <v>449</v>
      </c>
      <c r="D6522" s="113" t="s">
        <v>131</v>
      </c>
      <c r="E6522" s="114" t="s">
        <v>15</v>
      </c>
      <c r="F6522" s="115" t="s">
        <v>16</v>
      </c>
      <c r="G6522" s="116">
        <v>5.77</v>
      </c>
      <c r="H6522" s="125">
        <v>10.6</v>
      </c>
      <c r="I6522" s="111">
        <v>1</v>
      </c>
      <c r="J6522" s="117">
        <f t="shared" si="916"/>
        <v>6.1161999999999994E-2</v>
      </c>
      <c r="K6522" s="118"/>
      <c r="L6522" s="111">
        <v>1</v>
      </c>
      <c r="M6522" s="117">
        <f t="shared" si="917"/>
        <v>6.1161999999999994E-2</v>
      </c>
      <c r="N6522" s="119">
        <f t="shared" si="918"/>
        <v>0</v>
      </c>
      <c r="O6522" s="120">
        <f t="shared" si="919"/>
        <v>0</v>
      </c>
      <c r="P6522" s="72">
        <v>7.1</v>
      </c>
      <c r="Q6522" s="72">
        <v>1</v>
      </c>
      <c r="R6522" s="72" t="s">
        <v>739</v>
      </c>
      <c r="S6522" s="32"/>
    </row>
    <row r="6523" spans="1:19" ht="15.6">
      <c r="A6523" s="110" t="s">
        <v>503</v>
      </c>
      <c r="B6523" s="111" t="s">
        <v>227</v>
      </c>
      <c r="C6523" s="112" t="s">
        <v>449</v>
      </c>
      <c r="D6523" s="113" t="s">
        <v>131</v>
      </c>
      <c r="E6523" s="114" t="s">
        <v>15</v>
      </c>
      <c r="F6523" s="115" t="s">
        <v>16</v>
      </c>
      <c r="G6523" s="116">
        <v>5.77</v>
      </c>
      <c r="H6523" s="125">
        <v>10.4</v>
      </c>
      <c r="I6523" s="111">
        <v>1</v>
      </c>
      <c r="J6523" s="117">
        <f t="shared" si="916"/>
        <v>6.0007999999999999E-2</v>
      </c>
      <c r="K6523" s="118"/>
      <c r="L6523" s="111">
        <v>1</v>
      </c>
      <c r="M6523" s="117">
        <f t="shared" si="917"/>
        <v>6.0007999999999999E-2</v>
      </c>
      <c r="N6523" s="119">
        <f t="shared" si="918"/>
        <v>0</v>
      </c>
      <c r="O6523" s="120">
        <f t="shared" si="919"/>
        <v>0</v>
      </c>
      <c r="P6523" s="72">
        <v>7.1</v>
      </c>
      <c r="Q6523" s="72">
        <v>1</v>
      </c>
      <c r="R6523" s="72" t="s">
        <v>739</v>
      </c>
      <c r="S6523" s="32"/>
    </row>
    <row r="6524" spans="1:19" ht="15.6">
      <c r="A6524" s="110" t="s">
        <v>503</v>
      </c>
      <c r="B6524" s="111" t="s">
        <v>227</v>
      </c>
      <c r="C6524" s="112" t="s">
        <v>449</v>
      </c>
      <c r="D6524" s="113" t="s">
        <v>131</v>
      </c>
      <c r="E6524" s="114" t="s">
        <v>15</v>
      </c>
      <c r="F6524" s="115" t="s">
        <v>16</v>
      </c>
      <c r="G6524" s="116">
        <v>5.77</v>
      </c>
      <c r="H6524" s="125">
        <v>10</v>
      </c>
      <c r="I6524" s="111">
        <v>1</v>
      </c>
      <c r="J6524" s="117">
        <f t="shared" si="916"/>
        <v>5.7699999999999994E-2</v>
      </c>
      <c r="K6524" s="118"/>
      <c r="L6524" s="111">
        <v>1</v>
      </c>
      <c r="M6524" s="117">
        <f t="shared" si="917"/>
        <v>5.7699999999999994E-2</v>
      </c>
      <c r="N6524" s="119">
        <f t="shared" si="918"/>
        <v>0</v>
      </c>
      <c r="O6524" s="120">
        <f t="shared" si="919"/>
        <v>0</v>
      </c>
      <c r="P6524" s="72">
        <v>7.1</v>
      </c>
      <c r="Q6524" s="72">
        <v>1</v>
      </c>
      <c r="R6524" s="72" t="s">
        <v>739</v>
      </c>
      <c r="S6524" s="32"/>
    </row>
    <row r="6525" spans="1:19" ht="15.6">
      <c r="A6525" s="110" t="s">
        <v>503</v>
      </c>
      <c r="B6525" s="111" t="s">
        <v>227</v>
      </c>
      <c r="C6525" s="112" t="s">
        <v>449</v>
      </c>
      <c r="D6525" s="113" t="s">
        <v>131</v>
      </c>
      <c r="E6525" s="114" t="s">
        <v>15</v>
      </c>
      <c r="F6525" s="115" t="s">
        <v>16</v>
      </c>
      <c r="G6525" s="116">
        <v>5.77</v>
      </c>
      <c r="H6525" s="125">
        <v>9.6</v>
      </c>
      <c r="I6525" s="111">
        <v>2</v>
      </c>
      <c r="J6525" s="117">
        <f t="shared" si="916"/>
        <v>0.11078399999999999</v>
      </c>
      <c r="K6525" s="118"/>
      <c r="L6525" s="111">
        <v>2</v>
      </c>
      <c r="M6525" s="117">
        <f t="shared" si="917"/>
        <v>0.11078399999999999</v>
      </c>
      <c r="N6525" s="119">
        <f t="shared" si="918"/>
        <v>0</v>
      </c>
      <c r="O6525" s="120">
        <f t="shared" si="919"/>
        <v>0</v>
      </c>
      <c r="P6525" s="72">
        <v>7.1</v>
      </c>
      <c r="Q6525" s="72">
        <v>2</v>
      </c>
      <c r="R6525" s="72" t="s">
        <v>739</v>
      </c>
      <c r="S6525" s="32"/>
    </row>
    <row r="6526" spans="1:19" ht="15.6">
      <c r="A6526" s="110" t="s">
        <v>503</v>
      </c>
      <c r="B6526" s="111" t="s">
        <v>227</v>
      </c>
      <c r="C6526" s="112" t="s">
        <v>449</v>
      </c>
      <c r="D6526" s="113" t="s">
        <v>131</v>
      </c>
      <c r="E6526" s="114" t="s">
        <v>15</v>
      </c>
      <c r="F6526" s="115" t="s">
        <v>16</v>
      </c>
      <c r="G6526" s="116">
        <v>5.77</v>
      </c>
      <c r="H6526" s="125">
        <v>9.5</v>
      </c>
      <c r="I6526" s="111">
        <v>1</v>
      </c>
      <c r="J6526" s="117">
        <f t="shared" si="916"/>
        <v>5.4814999999999996E-2</v>
      </c>
      <c r="K6526" s="118"/>
      <c r="L6526" s="111">
        <v>1</v>
      </c>
      <c r="M6526" s="117">
        <f t="shared" si="917"/>
        <v>5.4814999999999996E-2</v>
      </c>
      <c r="N6526" s="119">
        <f t="shared" si="918"/>
        <v>0</v>
      </c>
      <c r="O6526" s="120">
        <f t="shared" si="919"/>
        <v>0</v>
      </c>
      <c r="P6526" s="72">
        <v>7.1</v>
      </c>
      <c r="Q6526" s="72">
        <v>1</v>
      </c>
      <c r="R6526" s="72" t="s">
        <v>739</v>
      </c>
      <c r="S6526" s="32"/>
    </row>
    <row r="6527" spans="1:19" ht="15.6">
      <c r="A6527" s="110" t="s">
        <v>503</v>
      </c>
      <c r="B6527" s="111" t="s">
        <v>227</v>
      </c>
      <c r="C6527" s="112" t="s">
        <v>449</v>
      </c>
      <c r="D6527" s="113" t="s">
        <v>131</v>
      </c>
      <c r="E6527" s="114" t="s">
        <v>15</v>
      </c>
      <c r="F6527" s="115" t="s">
        <v>16</v>
      </c>
      <c r="G6527" s="116">
        <v>5.77</v>
      </c>
      <c r="H6527" s="125">
        <v>9.4</v>
      </c>
      <c r="I6527" s="111">
        <v>1</v>
      </c>
      <c r="J6527" s="117">
        <f t="shared" si="916"/>
        <v>5.4238000000000001E-2</v>
      </c>
      <c r="K6527" s="118"/>
      <c r="L6527" s="111">
        <v>1</v>
      </c>
      <c r="M6527" s="117">
        <f t="shared" si="917"/>
        <v>5.4238000000000001E-2</v>
      </c>
      <c r="N6527" s="119">
        <f t="shared" si="918"/>
        <v>0</v>
      </c>
      <c r="O6527" s="120">
        <f t="shared" si="919"/>
        <v>0</v>
      </c>
      <c r="P6527" s="72">
        <v>7.1</v>
      </c>
      <c r="Q6527" s="72">
        <v>1</v>
      </c>
      <c r="R6527" s="72" t="s">
        <v>739</v>
      </c>
      <c r="S6527" s="32"/>
    </row>
    <row r="6528" spans="1:19" ht="15.6">
      <c r="A6528" s="110" t="s">
        <v>503</v>
      </c>
      <c r="B6528" s="111" t="s">
        <v>227</v>
      </c>
      <c r="C6528" s="112" t="s">
        <v>449</v>
      </c>
      <c r="D6528" s="113" t="s">
        <v>131</v>
      </c>
      <c r="E6528" s="114" t="s">
        <v>15</v>
      </c>
      <c r="F6528" s="115" t="s">
        <v>16</v>
      </c>
      <c r="G6528" s="116">
        <v>5.77</v>
      </c>
      <c r="H6528" s="125">
        <v>7.6</v>
      </c>
      <c r="I6528" s="111">
        <v>1</v>
      </c>
      <c r="J6528" s="117">
        <f t="shared" si="916"/>
        <v>4.3851999999999995E-2</v>
      </c>
      <c r="K6528" s="118"/>
      <c r="L6528" s="111">
        <v>1</v>
      </c>
      <c r="M6528" s="117">
        <f t="shared" si="917"/>
        <v>4.3851999999999995E-2</v>
      </c>
      <c r="N6528" s="119">
        <f t="shared" si="918"/>
        <v>0</v>
      </c>
      <c r="O6528" s="120">
        <f t="shared" si="919"/>
        <v>0</v>
      </c>
      <c r="P6528" s="72">
        <v>7.1</v>
      </c>
      <c r="Q6528" s="72">
        <v>1</v>
      </c>
      <c r="R6528" s="72" t="s">
        <v>739</v>
      </c>
      <c r="S6528" s="32"/>
    </row>
    <row r="6529" spans="1:19" ht="15.6">
      <c r="A6529" s="110" t="s">
        <v>503</v>
      </c>
      <c r="B6529" s="111" t="s">
        <v>227</v>
      </c>
      <c r="C6529" s="112" t="s">
        <v>449</v>
      </c>
      <c r="D6529" s="113" t="s">
        <v>131</v>
      </c>
      <c r="E6529" s="114" t="s">
        <v>15</v>
      </c>
      <c r="F6529" s="115" t="s">
        <v>16</v>
      </c>
      <c r="G6529" s="116">
        <v>5.77</v>
      </c>
      <c r="H6529" s="125">
        <v>6.7</v>
      </c>
      <c r="I6529" s="111">
        <v>1</v>
      </c>
      <c r="J6529" s="117">
        <f t="shared" si="916"/>
        <v>3.8658999999999999E-2</v>
      </c>
      <c r="K6529" s="118"/>
      <c r="L6529" s="111">
        <v>1</v>
      </c>
      <c r="M6529" s="117">
        <f t="shared" si="917"/>
        <v>3.8658999999999999E-2</v>
      </c>
      <c r="N6529" s="119">
        <f t="shared" si="918"/>
        <v>0</v>
      </c>
      <c r="O6529" s="120">
        <f t="shared" si="919"/>
        <v>0</v>
      </c>
      <c r="P6529" s="32"/>
      <c r="Q6529" s="32"/>
      <c r="R6529" s="32"/>
      <c r="S6529" s="32"/>
    </row>
    <row r="6530" spans="1:19" ht="15.6">
      <c r="A6530" s="110" t="s">
        <v>503</v>
      </c>
      <c r="B6530" s="111" t="s">
        <v>227</v>
      </c>
      <c r="C6530" s="112" t="s">
        <v>449</v>
      </c>
      <c r="D6530" s="113" t="s">
        <v>131</v>
      </c>
      <c r="E6530" s="114" t="s">
        <v>15</v>
      </c>
      <c r="F6530" s="115" t="s">
        <v>16</v>
      </c>
      <c r="G6530" s="116">
        <v>5.77</v>
      </c>
      <c r="H6530" s="125">
        <v>11</v>
      </c>
      <c r="I6530" s="111">
        <v>42</v>
      </c>
      <c r="J6530" s="117">
        <f t="shared" si="916"/>
        <v>2.66574</v>
      </c>
      <c r="K6530" s="118"/>
      <c r="L6530" s="111">
        <v>42</v>
      </c>
      <c r="M6530" s="117">
        <f t="shared" si="917"/>
        <v>2.66574</v>
      </c>
      <c r="N6530" s="119">
        <f t="shared" si="918"/>
        <v>0</v>
      </c>
      <c r="O6530" s="120">
        <f t="shared" si="919"/>
        <v>0</v>
      </c>
      <c r="P6530" s="32"/>
      <c r="Q6530" s="32"/>
      <c r="R6530" s="32"/>
      <c r="S6530" s="32"/>
    </row>
    <row r="6531" spans="1:19" ht="15.6">
      <c r="A6531" s="110" t="s">
        <v>503</v>
      </c>
      <c r="B6531" s="111" t="s">
        <v>227</v>
      </c>
      <c r="C6531" s="112" t="s">
        <v>449</v>
      </c>
      <c r="D6531" s="113" t="s">
        <v>131</v>
      </c>
      <c r="E6531" s="114" t="s">
        <v>15</v>
      </c>
      <c r="F6531" s="115" t="s">
        <v>16</v>
      </c>
      <c r="G6531" s="116">
        <v>5.77</v>
      </c>
      <c r="H6531" s="125">
        <v>11</v>
      </c>
      <c r="I6531" s="111">
        <v>42</v>
      </c>
      <c r="J6531" s="117">
        <f t="shared" si="916"/>
        <v>2.66574</v>
      </c>
      <c r="K6531" s="118"/>
      <c r="L6531" s="111">
        <v>42</v>
      </c>
      <c r="M6531" s="117">
        <f t="shared" si="917"/>
        <v>2.66574</v>
      </c>
      <c r="N6531" s="119">
        <f t="shared" si="918"/>
        <v>0</v>
      </c>
      <c r="O6531" s="120">
        <f t="shared" si="919"/>
        <v>0</v>
      </c>
      <c r="P6531" s="32"/>
      <c r="Q6531" s="32"/>
      <c r="R6531" s="32"/>
      <c r="S6531" s="32"/>
    </row>
    <row r="6532" spans="1:19" ht="15.6">
      <c r="A6532" s="110" t="s">
        <v>503</v>
      </c>
      <c r="B6532" s="111" t="s">
        <v>227</v>
      </c>
      <c r="C6532" s="112" t="s">
        <v>449</v>
      </c>
      <c r="D6532" s="113" t="s">
        <v>131</v>
      </c>
      <c r="E6532" s="114" t="s">
        <v>15</v>
      </c>
      <c r="F6532" s="115" t="s">
        <v>16</v>
      </c>
      <c r="G6532" s="116">
        <v>5.77</v>
      </c>
      <c r="H6532" s="125">
        <v>11</v>
      </c>
      <c r="I6532" s="111">
        <v>42</v>
      </c>
      <c r="J6532" s="117">
        <f t="shared" si="916"/>
        <v>2.66574</v>
      </c>
      <c r="K6532" s="118"/>
      <c r="L6532" s="111">
        <v>42</v>
      </c>
      <c r="M6532" s="117">
        <f t="shared" si="917"/>
        <v>2.66574</v>
      </c>
      <c r="N6532" s="119">
        <f t="shared" si="918"/>
        <v>0</v>
      </c>
      <c r="O6532" s="120">
        <f t="shared" si="919"/>
        <v>0</v>
      </c>
      <c r="P6532" s="32"/>
      <c r="Q6532" s="32"/>
      <c r="R6532" s="32"/>
      <c r="S6532" s="32"/>
    </row>
    <row r="6533" spans="1:19" ht="15.6">
      <c r="A6533" s="110" t="s">
        <v>503</v>
      </c>
      <c r="B6533" s="111" t="s">
        <v>227</v>
      </c>
      <c r="C6533" s="112" t="s">
        <v>449</v>
      </c>
      <c r="D6533" s="113" t="s">
        <v>131</v>
      </c>
      <c r="E6533" s="114" t="s">
        <v>15</v>
      </c>
      <c r="F6533" s="115" t="s">
        <v>16</v>
      </c>
      <c r="G6533" s="116">
        <v>5.77</v>
      </c>
      <c r="H6533" s="125">
        <v>12</v>
      </c>
      <c r="I6533" s="111">
        <v>42</v>
      </c>
      <c r="J6533" s="117">
        <f t="shared" si="916"/>
        <v>2.90808</v>
      </c>
      <c r="K6533" s="118"/>
      <c r="L6533" s="111">
        <v>42</v>
      </c>
      <c r="M6533" s="117">
        <f t="shared" si="917"/>
        <v>2.90808</v>
      </c>
      <c r="N6533" s="119">
        <f t="shared" si="918"/>
        <v>0</v>
      </c>
      <c r="O6533" s="120">
        <f t="shared" si="919"/>
        <v>0</v>
      </c>
      <c r="P6533" s="32"/>
      <c r="Q6533" s="32"/>
      <c r="R6533" s="32"/>
      <c r="S6533" s="32"/>
    </row>
    <row r="6534" spans="1:19" ht="15.6">
      <c r="A6534" s="110" t="s">
        <v>503</v>
      </c>
      <c r="B6534" s="111" t="s">
        <v>227</v>
      </c>
      <c r="C6534" s="112" t="s">
        <v>449</v>
      </c>
      <c r="D6534" s="113" t="s">
        <v>131</v>
      </c>
      <c r="E6534" s="114" t="s">
        <v>15</v>
      </c>
      <c r="F6534" s="115" t="s">
        <v>16</v>
      </c>
      <c r="G6534" s="116">
        <v>5.77</v>
      </c>
      <c r="H6534" s="125">
        <v>11</v>
      </c>
      <c r="I6534" s="111">
        <v>6</v>
      </c>
      <c r="J6534" s="117">
        <f t="shared" si="916"/>
        <v>0.38081999999999999</v>
      </c>
      <c r="K6534" s="118"/>
      <c r="L6534" s="111">
        <v>6</v>
      </c>
      <c r="M6534" s="117">
        <f t="shared" si="917"/>
        <v>0.38081999999999999</v>
      </c>
      <c r="N6534" s="119">
        <f t="shared" si="918"/>
        <v>0</v>
      </c>
      <c r="O6534" s="120">
        <f t="shared" si="919"/>
        <v>0</v>
      </c>
      <c r="P6534" s="32"/>
      <c r="Q6534" s="32"/>
      <c r="R6534" s="32"/>
      <c r="S6534" s="32"/>
    </row>
    <row r="6535" spans="1:19" ht="15.6">
      <c r="A6535" s="110" t="s">
        <v>503</v>
      </c>
      <c r="B6535" s="111" t="s">
        <v>227</v>
      </c>
      <c r="C6535" s="112" t="s">
        <v>449</v>
      </c>
      <c r="D6535" s="113" t="s">
        <v>131</v>
      </c>
      <c r="E6535" s="114" t="s">
        <v>15</v>
      </c>
      <c r="F6535" s="115" t="s">
        <v>16</v>
      </c>
      <c r="G6535" s="116">
        <v>5.77</v>
      </c>
      <c r="H6535" s="125">
        <v>12</v>
      </c>
      <c r="I6535" s="111">
        <v>45</v>
      </c>
      <c r="J6535" s="117">
        <f t="shared" si="916"/>
        <v>3.1157999999999997</v>
      </c>
      <c r="K6535" s="118"/>
      <c r="L6535" s="111">
        <v>45</v>
      </c>
      <c r="M6535" s="117">
        <f t="shared" si="917"/>
        <v>3.1157999999999997</v>
      </c>
      <c r="N6535" s="119">
        <f t="shared" si="918"/>
        <v>0</v>
      </c>
      <c r="O6535" s="120">
        <f t="shared" si="919"/>
        <v>0</v>
      </c>
      <c r="P6535" s="32"/>
      <c r="Q6535" s="32"/>
      <c r="R6535" s="32"/>
      <c r="S6535" s="32"/>
    </row>
    <row r="6536" spans="1:19" ht="15.6">
      <c r="A6536" s="110" t="s">
        <v>503</v>
      </c>
      <c r="B6536" s="111" t="s">
        <v>227</v>
      </c>
      <c r="C6536" s="112" t="s">
        <v>449</v>
      </c>
      <c r="D6536" s="113" t="s">
        <v>131</v>
      </c>
      <c r="E6536" s="114" t="s">
        <v>15</v>
      </c>
      <c r="F6536" s="115" t="s">
        <v>16</v>
      </c>
      <c r="G6536" s="116">
        <v>5.77</v>
      </c>
      <c r="H6536" s="125">
        <v>12</v>
      </c>
      <c r="I6536" s="111">
        <v>47</v>
      </c>
      <c r="J6536" s="117">
        <f t="shared" si="916"/>
        <v>3.2542799999999996</v>
      </c>
      <c r="K6536" s="118"/>
      <c r="L6536" s="111">
        <v>47</v>
      </c>
      <c r="M6536" s="117">
        <f t="shared" si="917"/>
        <v>3.2542799999999996</v>
      </c>
      <c r="N6536" s="119">
        <f t="shared" si="918"/>
        <v>0</v>
      </c>
      <c r="O6536" s="120">
        <f t="shared" si="919"/>
        <v>0</v>
      </c>
      <c r="P6536" s="32"/>
      <c r="Q6536" s="32"/>
      <c r="R6536" s="32"/>
      <c r="S6536" s="32"/>
    </row>
    <row r="6537" spans="1:19" ht="15.6">
      <c r="A6537" s="110" t="s">
        <v>503</v>
      </c>
      <c r="B6537" s="111" t="s">
        <v>227</v>
      </c>
      <c r="C6537" s="112" t="s">
        <v>449</v>
      </c>
      <c r="D6537" s="113" t="s">
        <v>131</v>
      </c>
      <c r="E6537" s="114" t="s">
        <v>15</v>
      </c>
      <c r="F6537" s="115" t="s">
        <v>16</v>
      </c>
      <c r="G6537" s="116">
        <v>5.77</v>
      </c>
      <c r="H6537" s="125">
        <v>12</v>
      </c>
      <c r="I6537" s="111">
        <v>45</v>
      </c>
      <c r="J6537" s="117">
        <f t="shared" si="916"/>
        <v>3.1157999999999997</v>
      </c>
      <c r="K6537" s="118"/>
      <c r="L6537" s="111">
        <v>45</v>
      </c>
      <c r="M6537" s="117">
        <f t="shared" si="917"/>
        <v>3.1157999999999997</v>
      </c>
      <c r="N6537" s="119">
        <f t="shared" si="918"/>
        <v>0</v>
      </c>
      <c r="O6537" s="120">
        <f t="shared" si="919"/>
        <v>0</v>
      </c>
      <c r="P6537" s="32"/>
      <c r="Q6537" s="32"/>
      <c r="R6537" s="32"/>
      <c r="S6537" s="32"/>
    </row>
    <row r="6538" spans="1:19" ht="15.6">
      <c r="A6538" s="110" t="s">
        <v>503</v>
      </c>
      <c r="B6538" s="111" t="s">
        <v>227</v>
      </c>
      <c r="C6538" s="112" t="s">
        <v>449</v>
      </c>
      <c r="D6538" s="113" t="s">
        <v>131</v>
      </c>
      <c r="E6538" s="114" t="s">
        <v>15</v>
      </c>
      <c r="F6538" s="115" t="s">
        <v>16</v>
      </c>
      <c r="G6538" s="116">
        <v>5.77</v>
      </c>
      <c r="H6538" s="125">
        <v>11</v>
      </c>
      <c r="I6538" s="111">
        <v>47</v>
      </c>
      <c r="J6538" s="117">
        <f t="shared" si="916"/>
        <v>2.9830900000000002</v>
      </c>
      <c r="K6538" s="118"/>
      <c r="L6538" s="111">
        <v>47</v>
      </c>
      <c r="M6538" s="117">
        <f t="shared" si="917"/>
        <v>2.9830899999999998</v>
      </c>
      <c r="N6538" s="119">
        <f t="shared" si="918"/>
        <v>0</v>
      </c>
      <c r="O6538" s="120">
        <f t="shared" si="919"/>
        <v>0</v>
      </c>
      <c r="P6538" s="32"/>
      <c r="Q6538" s="32"/>
      <c r="R6538" s="32"/>
      <c r="S6538" s="32"/>
    </row>
    <row r="6539" spans="1:19" ht="15.6">
      <c r="A6539" s="110" t="s">
        <v>503</v>
      </c>
      <c r="B6539" s="111" t="s">
        <v>227</v>
      </c>
      <c r="C6539" s="112" t="s">
        <v>449</v>
      </c>
      <c r="D6539" s="113" t="s">
        <v>131</v>
      </c>
      <c r="E6539" s="114" t="s">
        <v>15</v>
      </c>
      <c r="F6539" s="115" t="s">
        <v>16</v>
      </c>
      <c r="G6539" s="116">
        <v>5.77</v>
      </c>
      <c r="H6539" s="125">
        <v>12</v>
      </c>
      <c r="I6539" s="111">
        <v>20</v>
      </c>
      <c r="J6539" s="117">
        <f t="shared" si="916"/>
        <v>1.3848</v>
      </c>
      <c r="K6539" s="118"/>
      <c r="L6539" s="111">
        <v>20</v>
      </c>
      <c r="M6539" s="117">
        <f t="shared" si="917"/>
        <v>1.3848</v>
      </c>
      <c r="N6539" s="119">
        <f t="shared" si="918"/>
        <v>0</v>
      </c>
      <c r="O6539" s="120">
        <f t="shared" si="919"/>
        <v>0</v>
      </c>
      <c r="P6539" s="32"/>
      <c r="Q6539" s="32"/>
      <c r="R6539" s="32"/>
      <c r="S6539" s="32"/>
    </row>
    <row r="6540" spans="1:19" ht="15.6">
      <c r="A6540" s="110" t="s">
        <v>503</v>
      </c>
      <c r="B6540" s="111" t="s">
        <v>227</v>
      </c>
      <c r="C6540" s="112" t="s">
        <v>449</v>
      </c>
      <c r="D6540" s="113" t="s">
        <v>131</v>
      </c>
      <c r="E6540" s="114" t="s">
        <v>15</v>
      </c>
      <c r="F6540" s="115" t="s">
        <v>16</v>
      </c>
      <c r="G6540" s="116">
        <v>5.77</v>
      </c>
      <c r="H6540" s="125">
        <v>11</v>
      </c>
      <c r="I6540" s="111">
        <v>47</v>
      </c>
      <c r="J6540" s="117">
        <f t="shared" si="916"/>
        <v>2.9830900000000002</v>
      </c>
      <c r="K6540" s="118"/>
      <c r="L6540" s="111">
        <v>47</v>
      </c>
      <c r="M6540" s="117">
        <f t="shared" si="917"/>
        <v>2.9830899999999998</v>
      </c>
      <c r="N6540" s="119">
        <f t="shared" si="918"/>
        <v>0</v>
      </c>
      <c r="O6540" s="120">
        <f t="shared" si="919"/>
        <v>0</v>
      </c>
      <c r="P6540" s="32"/>
      <c r="Q6540" s="32"/>
      <c r="R6540" s="32"/>
      <c r="S6540" s="32"/>
    </row>
    <row r="6541" spans="1:19" ht="15.6">
      <c r="A6541" s="110" t="s">
        <v>503</v>
      </c>
      <c r="B6541" s="111" t="s">
        <v>227</v>
      </c>
      <c r="C6541" s="112" t="s">
        <v>449</v>
      </c>
      <c r="D6541" s="113" t="s">
        <v>131</v>
      </c>
      <c r="E6541" s="114" t="s">
        <v>15</v>
      </c>
      <c r="F6541" s="115" t="s">
        <v>16</v>
      </c>
      <c r="G6541" s="116">
        <v>5.77</v>
      </c>
      <c r="H6541" s="125">
        <v>11</v>
      </c>
      <c r="I6541" s="111">
        <v>47</v>
      </c>
      <c r="J6541" s="117">
        <f t="shared" si="916"/>
        <v>2.9830900000000002</v>
      </c>
      <c r="K6541" s="118"/>
      <c r="L6541" s="111">
        <v>47</v>
      </c>
      <c r="M6541" s="117">
        <f t="shared" si="917"/>
        <v>2.9830899999999998</v>
      </c>
      <c r="N6541" s="119">
        <f t="shared" si="918"/>
        <v>0</v>
      </c>
      <c r="O6541" s="120">
        <f t="shared" si="919"/>
        <v>0</v>
      </c>
      <c r="P6541" s="32"/>
      <c r="Q6541" s="32"/>
      <c r="R6541" s="32"/>
      <c r="S6541" s="32"/>
    </row>
    <row r="6542" spans="1:19" ht="15.6">
      <c r="A6542" s="110" t="s">
        <v>503</v>
      </c>
      <c r="B6542" s="111" t="s">
        <v>227</v>
      </c>
      <c r="C6542" s="112" t="s">
        <v>449</v>
      </c>
      <c r="D6542" s="113" t="s">
        <v>131</v>
      </c>
      <c r="E6542" s="114" t="s">
        <v>15</v>
      </c>
      <c r="F6542" s="115" t="s">
        <v>16</v>
      </c>
      <c r="G6542" s="116">
        <v>5.77</v>
      </c>
      <c r="H6542" s="125">
        <v>11</v>
      </c>
      <c r="I6542" s="111">
        <v>47</v>
      </c>
      <c r="J6542" s="117">
        <f t="shared" si="916"/>
        <v>2.9830900000000002</v>
      </c>
      <c r="K6542" s="118"/>
      <c r="L6542" s="111">
        <v>47</v>
      </c>
      <c r="M6542" s="117">
        <f t="shared" si="917"/>
        <v>2.9830899999999998</v>
      </c>
      <c r="N6542" s="119">
        <f t="shared" si="918"/>
        <v>0</v>
      </c>
      <c r="O6542" s="120">
        <f t="shared" si="919"/>
        <v>0</v>
      </c>
      <c r="P6542" s="32"/>
      <c r="Q6542" s="32"/>
      <c r="R6542" s="32"/>
      <c r="S6542" s="32"/>
    </row>
    <row r="6543" spans="1:19" ht="15.6">
      <c r="A6543" s="110" t="s">
        <v>503</v>
      </c>
      <c r="B6543" s="111" t="s">
        <v>227</v>
      </c>
      <c r="C6543" s="112" t="s">
        <v>449</v>
      </c>
      <c r="D6543" s="113" t="s">
        <v>131</v>
      </c>
      <c r="E6543" s="114" t="s">
        <v>15</v>
      </c>
      <c r="F6543" s="115" t="s">
        <v>16</v>
      </c>
      <c r="G6543" s="116">
        <v>5.77</v>
      </c>
      <c r="H6543" s="125">
        <v>11</v>
      </c>
      <c r="I6543" s="111">
        <v>47</v>
      </c>
      <c r="J6543" s="117">
        <f t="shared" si="916"/>
        <v>2.9830900000000002</v>
      </c>
      <c r="K6543" s="118"/>
      <c r="L6543" s="111">
        <v>47</v>
      </c>
      <c r="M6543" s="117">
        <f t="shared" si="917"/>
        <v>2.9830899999999998</v>
      </c>
      <c r="N6543" s="119">
        <f t="shared" si="918"/>
        <v>0</v>
      </c>
      <c r="O6543" s="120">
        <f>H6543*N6543*G6543/1000</f>
        <v>0</v>
      </c>
      <c r="P6543" s="32"/>
      <c r="Q6543" s="32"/>
      <c r="R6543" s="32"/>
      <c r="S6543" s="32"/>
    </row>
    <row r="6544" spans="1:19" ht="15.6">
      <c r="A6544" s="110" t="s">
        <v>503</v>
      </c>
      <c r="B6544" s="111" t="s">
        <v>227</v>
      </c>
      <c r="C6544" s="112" t="s">
        <v>449</v>
      </c>
      <c r="D6544" s="113" t="s">
        <v>131</v>
      </c>
      <c r="E6544" s="114" t="s">
        <v>15</v>
      </c>
      <c r="F6544" s="115" t="s">
        <v>16</v>
      </c>
      <c r="G6544" s="116">
        <v>5.77</v>
      </c>
      <c r="H6544" s="125">
        <v>11</v>
      </c>
      <c r="I6544" s="111">
        <v>50</v>
      </c>
      <c r="J6544" s="117">
        <f t="shared" si="916"/>
        <v>3.1735000000000002</v>
      </c>
      <c r="K6544" s="118"/>
      <c r="L6544" s="111">
        <v>50</v>
      </c>
      <c r="M6544" s="117">
        <f t="shared" si="917"/>
        <v>3.1734999999999998</v>
      </c>
      <c r="N6544" s="119">
        <f t="shared" si="918"/>
        <v>0</v>
      </c>
      <c r="O6544" s="120">
        <f>H6544*N6544*G6544/1000</f>
        <v>0</v>
      </c>
      <c r="P6544" s="32"/>
      <c r="Q6544" s="32"/>
      <c r="R6544" s="32"/>
      <c r="S6544" s="32"/>
    </row>
    <row r="6545" spans="1:19" ht="15.6">
      <c r="A6545" s="110" t="s">
        <v>503</v>
      </c>
      <c r="B6545" s="111" t="s">
        <v>227</v>
      </c>
      <c r="C6545" s="112" t="s">
        <v>449</v>
      </c>
      <c r="D6545" s="113" t="s">
        <v>131</v>
      </c>
      <c r="E6545" s="114" t="s">
        <v>15</v>
      </c>
      <c r="F6545" s="115" t="s">
        <v>16</v>
      </c>
      <c r="G6545" s="116">
        <v>5.77</v>
      </c>
      <c r="H6545" s="125">
        <v>11</v>
      </c>
      <c r="I6545" s="111">
        <v>50</v>
      </c>
      <c r="J6545" s="117">
        <f t="shared" si="916"/>
        <v>3.1735000000000002</v>
      </c>
      <c r="K6545" s="118"/>
      <c r="L6545" s="111">
        <v>50</v>
      </c>
      <c r="M6545" s="117">
        <f t="shared" si="917"/>
        <v>3.1734999999999998</v>
      </c>
      <c r="N6545" s="119">
        <f t="shared" si="918"/>
        <v>0</v>
      </c>
      <c r="O6545" s="120">
        <f>H6545*N6545*G6545/1000</f>
        <v>0</v>
      </c>
      <c r="P6545" s="32"/>
      <c r="Q6545" s="32"/>
      <c r="R6545" s="32"/>
      <c r="S6545" s="32"/>
    </row>
    <row r="6546" spans="1:19">
      <c r="A6546" s="32"/>
      <c r="B6546" s="32"/>
      <c r="C6546" s="32"/>
      <c r="D6546" s="32"/>
      <c r="E6546" s="32"/>
      <c r="F6546" s="32"/>
      <c r="G6546" s="32"/>
      <c r="H6546" s="32"/>
      <c r="I6546" s="129">
        <f>SUM(I6484:I6545)</f>
        <v>1760</v>
      </c>
      <c r="J6546" s="124">
        <f>SUM(J6484:J6545)</f>
        <v>113.75785799999998</v>
      </c>
      <c r="K6546" s="32"/>
      <c r="L6546" s="129">
        <f>SUM(L6484:L6545)</f>
        <v>1760</v>
      </c>
      <c r="M6546" s="132">
        <f>SUM(M6484:M6545)</f>
        <v>113.75785799999998</v>
      </c>
      <c r="N6546" s="131">
        <f>SUM(N6484:N6545)</f>
        <v>0</v>
      </c>
      <c r="O6546" s="132">
        <f>SUM(O6484:O6545)</f>
        <v>0</v>
      </c>
      <c r="P6546" s="32"/>
      <c r="Q6546" s="131">
        <f>SUM(Q6484:Q6545)</f>
        <v>44</v>
      </c>
      <c r="R6546" s="32"/>
      <c r="S6546" s="32"/>
    </row>
    <row r="6547" spans="1:19">
      <c r="Q6547" s="215">
        <f>+Q6546+S6481+P6438</f>
        <v>81</v>
      </c>
    </row>
    <row r="6550" spans="1:19">
      <c r="A6550" s="48" t="s">
        <v>168</v>
      </c>
      <c r="B6550" s="48" t="s">
        <v>169</v>
      </c>
      <c r="C6550" s="32">
        <v>5</v>
      </c>
      <c r="D6550" s="48" t="s">
        <v>20</v>
      </c>
      <c r="E6550" s="48" t="s">
        <v>15</v>
      </c>
      <c r="F6550" s="48" t="s">
        <v>18</v>
      </c>
      <c r="G6550" s="11">
        <v>6.86</v>
      </c>
      <c r="H6550" s="8">
        <v>8.75</v>
      </c>
      <c r="I6550" s="7">
        <v>1</v>
      </c>
      <c r="J6550" s="10">
        <v>6.0025000000000009E-2</v>
      </c>
      <c r="K6550" s="32">
        <v>1</v>
      </c>
      <c r="L6550" s="18">
        <v>6.0025000000000009E-2</v>
      </c>
      <c r="M6550" s="19">
        <v>0</v>
      </c>
      <c r="N6550" s="13">
        <v>0</v>
      </c>
      <c r="O6550" s="79">
        <v>7.8</v>
      </c>
      <c r="P6550" s="72">
        <v>1</v>
      </c>
      <c r="Q6550" s="72" t="s">
        <v>733</v>
      </c>
    </row>
    <row r="6551" spans="1:19">
      <c r="A6551" s="42" t="s">
        <v>84</v>
      </c>
      <c r="B6551" s="3" t="s">
        <v>121</v>
      </c>
      <c r="C6551" s="3">
        <v>1</v>
      </c>
      <c r="D6551" s="24" t="s">
        <v>85</v>
      </c>
      <c r="E6551" s="7" t="s">
        <v>15</v>
      </c>
      <c r="F6551" s="7" t="s">
        <v>18</v>
      </c>
      <c r="G6551" s="11">
        <v>6.86</v>
      </c>
      <c r="H6551" s="8">
        <v>8.5</v>
      </c>
      <c r="I6551" s="26">
        <v>1</v>
      </c>
      <c r="J6551" s="10">
        <v>5.8310000000000001E-2</v>
      </c>
      <c r="K6551" s="17">
        <v>1</v>
      </c>
      <c r="L6551" s="18">
        <v>5.8310000000000001E-2</v>
      </c>
      <c r="M6551" s="19">
        <v>0</v>
      </c>
      <c r="N6551" s="13">
        <v>0</v>
      </c>
      <c r="O6551" s="79">
        <v>7.8</v>
      </c>
      <c r="P6551" s="74">
        <v>1</v>
      </c>
      <c r="Q6551" s="72" t="s">
        <v>733</v>
      </c>
    </row>
    <row r="6552" spans="1:19">
      <c r="A6552" s="42" t="s">
        <v>84</v>
      </c>
      <c r="B6552" s="3" t="s">
        <v>121</v>
      </c>
      <c r="C6552" s="3">
        <v>1</v>
      </c>
      <c r="D6552" s="20" t="s">
        <v>74</v>
      </c>
      <c r="E6552" s="7" t="s">
        <v>15</v>
      </c>
      <c r="F6552" s="7" t="s">
        <v>18</v>
      </c>
      <c r="G6552" s="11">
        <v>6.86</v>
      </c>
      <c r="H6552" s="8">
        <v>8.6999999999999993</v>
      </c>
      <c r="I6552" s="26">
        <v>2</v>
      </c>
      <c r="J6552" s="10">
        <v>0.11936399999999998</v>
      </c>
      <c r="K6552" s="17">
        <v>2</v>
      </c>
      <c r="L6552" s="18">
        <v>0.11936399999999998</v>
      </c>
      <c r="M6552" s="19">
        <v>0</v>
      </c>
      <c r="N6552" s="13">
        <v>0</v>
      </c>
      <c r="O6552" s="79">
        <v>7.8</v>
      </c>
      <c r="P6552" s="74">
        <v>2</v>
      </c>
      <c r="Q6552" s="72" t="s">
        <v>733</v>
      </c>
    </row>
    <row r="6553" spans="1:19">
      <c r="A6553" s="42" t="s">
        <v>84</v>
      </c>
      <c r="B6553" s="3" t="s">
        <v>122</v>
      </c>
      <c r="C6553" s="3">
        <v>1</v>
      </c>
      <c r="D6553" s="20" t="s">
        <v>63</v>
      </c>
      <c r="E6553" s="7" t="s">
        <v>15</v>
      </c>
      <c r="F6553" s="7" t="s">
        <v>18</v>
      </c>
      <c r="G6553" s="11">
        <v>6.86</v>
      </c>
      <c r="H6553" s="8">
        <v>9.5</v>
      </c>
      <c r="I6553" s="26">
        <v>3</v>
      </c>
      <c r="J6553" s="10">
        <v>0.19550999999999999</v>
      </c>
      <c r="K6553" s="17">
        <v>3</v>
      </c>
      <c r="L6553" s="18">
        <v>0.19551000000000002</v>
      </c>
      <c r="M6553" s="19">
        <v>0</v>
      </c>
      <c r="N6553" s="13">
        <v>0</v>
      </c>
      <c r="O6553" s="79">
        <v>7.8</v>
      </c>
      <c r="P6553" s="74">
        <v>3</v>
      </c>
      <c r="Q6553" s="72" t="s">
        <v>733</v>
      </c>
    </row>
    <row r="6554" spans="1:19">
      <c r="A6554" s="42" t="s">
        <v>84</v>
      </c>
      <c r="B6554" s="3" t="s">
        <v>122</v>
      </c>
      <c r="C6554" s="3">
        <v>1</v>
      </c>
      <c r="D6554" s="20" t="s">
        <v>63</v>
      </c>
      <c r="E6554" s="7" t="s">
        <v>15</v>
      </c>
      <c r="F6554" s="7" t="s">
        <v>18</v>
      </c>
      <c r="G6554" s="11">
        <v>6.86</v>
      </c>
      <c r="H6554" s="8">
        <v>10</v>
      </c>
      <c r="I6554" s="26">
        <v>9</v>
      </c>
      <c r="J6554" s="10">
        <v>0.61740000000000006</v>
      </c>
      <c r="K6554" s="17">
        <v>9</v>
      </c>
      <c r="L6554" s="18">
        <v>0.61739999999999995</v>
      </c>
      <c r="M6554" s="19">
        <v>0</v>
      </c>
      <c r="N6554" s="13">
        <v>0</v>
      </c>
      <c r="O6554" s="73">
        <v>10</v>
      </c>
      <c r="P6554" s="74">
        <v>9</v>
      </c>
      <c r="Q6554" s="74" t="s">
        <v>735</v>
      </c>
    </row>
    <row r="6555" spans="1:19">
      <c r="A6555" s="42" t="s">
        <v>84</v>
      </c>
      <c r="B6555" s="3" t="s">
        <v>122</v>
      </c>
      <c r="C6555" s="3">
        <v>1</v>
      </c>
      <c r="D6555" s="20" t="s">
        <v>63</v>
      </c>
      <c r="E6555" s="7" t="s">
        <v>15</v>
      </c>
      <c r="F6555" s="7" t="s">
        <v>18</v>
      </c>
      <c r="G6555" s="11">
        <v>6.86</v>
      </c>
      <c r="H6555" s="8">
        <v>11</v>
      </c>
      <c r="I6555" s="26">
        <v>3</v>
      </c>
      <c r="J6555" s="10">
        <v>0.22638000000000003</v>
      </c>
      <c r="K6555" s="17">
        <v>3</v>
      </c>
      <c r="L6555" s="18">
        <v>0.22638000000000003</v>
      </c>
      <c r="M6555" s="19">
        <v>0</v>
      </c>
      <c r="N6555" s="13">
        <v>0</v>
      </c>
      <c r="O6555" s="73">
        <v>10</v>
      </c>
      <c r="P6555" s="74">
        <v>3</v>
      </c>
      <c r="Q6555" s="74" t="s">
        <v>735</v>
      </c>
    </row>
    <row r="6556" spans="1:19">
      <c r="A6556" s="42" t="s">
        <v>84</v>
      </c>
      <c r="B6556" s="3" t="s">
        <v>122</v>
      </c>
      <c r="C6556" s="3">
        <v>1</v>
      </c>
      <c r="D6556" s="20" t="s">
        <v>63</v>
      </c>
      <c r="E6556" s="7" t="s">
        <v>15</v>
      </c>
      <c r="F6556" s="7" t="s">
        <v>18</v>
      </c>
      <c r="G6556" s="11">
        <v>6.86</v>
      </c>
      <c r="H6556" s="8">
        <v>11.5</v>
      </c>
      <c r="I6556" s="26">
        <v>4</v>
      </c>
      <c r="J6556" s="10">
        <v>0.31556000000000001</v>
      </c>
      <c r="K6556" s="17">
        <v>4</v>
      </c>
      <c r="L6556" s="18">
        <v>0.31556000000000001</v>
      </c>
      <c r="M6556" s="19">
        <v>0</v>
      </c>
      <c r="N6556" s="13">
        <v>0</v>
      </c>
      <c r="O6556" s="73">
        <v>11.5</v>
      </c>
      <c r="P6556" s="74">
        <v>4</v>
      </c>
      <c r="Q6556" s="74" t="s">
        <v>735</v>
      </c>
    </row>
    <row r="6557" spans="1:19">
      <c r="A6557" s="42" t="s">
        <v>84</v>
      </c>
      <c r="B6557" s="3" t="s">
        <v>122</v>
      </c>
      <c r="C6557" s="3">
        <v>1</v>
      </c>
      <c r="D6557" s="20" t="s">
        <v>63</v>
      </c>
      <c r="E6557" s="7" t="s">
        <v>15</v>
      </c>
      <c r="F6557" s="7" t="s">
        <v>18</v>
      </c>
      <c r="G6557" s="11">
        <v>6.86</v>
      </c>
      <c r="H6557" s="8">
        <v>12</v>
      </c>
      <c r="I6557" s="26">
        <v>1</v>
      </c>
      <c r="J6557" s="10">
        <v>8.2320000000000004E-2</v>
      </c>
      <c r="K6557" s="17">
        <v>1</v>
      </c>
      <c r="L6557" s="18">
        <v>8.2320000000000004E-2</v>
      </c>
      <c r="M6557" s="19">
        <v>0</v>
      </c>
      <c r="N6557" s="13">
        <v>0</v>
      </c>
      <c r="O6557" s="73">
        <v>11.5</v>
      </c>
      <c r="P6557" s="74">
        <v>1</v>
      </c>
      <c r="Q6557" s="74" t="s">
        <v>735</v>
      </c>
    </row>
    <row r="6558" spans="1:19">
      <c r="A6558" s="47" t="s">
        <v>147</v>
      </c>
      <c r="B6558" s="48" t="s">
        <v>148</v>
      </c>
      <c r="C6558" s="32">
        <v>364</v>
      </c>
      <c r="D6558" s="48" t="s">
        <v>89</v>
      </c>
      <c r="E6558" s="48" t="s">
        <v>160</v>
      </c>
      <c r="F6558" s="48" t="s">
        <v>18</v>
      </c>
      <c r="G6558" s="11">
        <v>6.86</v>
      </c>
      <c r="H6558" s="52">
        <v>9.5</v>
      </c>
      <c r="I6558" s="7">
        <v>2</v>
      </c>
      <c r="J6558" s="10">
        <v>0.13034000000000001</v>
      </c>
      <c r="K6558" s="32">
        <v>2</v>
      </c>
      <c r="L6558" s="18">
        <v>0.13034000000000001</v>
      </c>
      <c r="M6558" s="19">
        <v>0</v>
      </c>
      <c r="N6558" s="13">
        <v>0</v>
      </c>
      <c r="O6558" s="79">
        <v>7.8</v>
      </c>
      <c r="P6558" s="72">
        <v>2</v>
      </c>
      <c r="Q6558" s="72" t="s">
        <v>733</v>
      </c>
    </row>
    <row r="6559" spans="1:19">
      <c r="A6559" s="45" t="s">
        <v>136</v>
      </c>
      <c r="B6559" s="48" t="s">
        <v>171</v>
      </c>
      <c r="C6559" s="32">
        <v>112</v>
      </c>
      <c r="D6559" s="48" t="s">
        <v>20</v>
      </c>
      <c r="E6559" s="48" t="s">
        <v>15</v>
      </c>
      <c r="F6559" s="48" t="s">
        <v>18</v>
      </c>
      <c r="G6559" s="11">
        <v>6.86</v>
      </c>
      <c r="H6559" s="52">
        <v>12</v>
      </c>
      <c r="I6559" s="7">
        <v>3</v>
      </c>
      <c r="J6559" s="10">
        <v>0.24696000000000004</v>
      </c>
      <c r="K6559" s="32">
        <v>3</v>
      </c>
      <c r="L6559" s="18">
        <v>0.24696000000000001</v>
      </c>
      <c r="M6559" s="19">
        <v>0</v>
      </c>
      <c r="N6559" s="13">
        <v>0</v>
      </c>
      <c r="O6559" s="79">
        <v>12</v>
      </c>
      <c r="P6559" s="72">
        <v>3</v>
      </c>
      <c r="Q6559" s="74" t="s">
        <v>735</v>
      </c>
    </row>
    <row r="6560" spans="1:19">
      <c r="A6560" s="45" t="s">
        <v>136</v>
      </c>
      <c r="B6560" s="48" t="s">
        <v>171</v>
      </c>
      <c r="C6560" s="32">
        <v>145</v>
      </c>
      <c r="D6560" s="48" t="s">
        <v>106</v>
      </c>
      <c r="E6560" s="48" t="s">
        <v>15</v>
      </c>
      <c r="F6560" s="48" t="s">
        <v>18</v>
      </c>
      <c r="G6560" s="11">
        <v>6.86</v>
      </c>
      <c r="H6560" s="8">
        <v>9</v>
      </c>
      <c r="I6560" s="7">
        <v>2</v>
      </c>
      <c r="J6560" s="10">
        <v>0.12348000000000001</v>
      </c>
      <c r="K6560" s="32">
        <v>2</v>
      </c>
      <c r="L6560" s="18">
        <v>0.12348000000000001</v>
      </c>
      <c r="M6560" s="19">
        <v>0</v>
      </c>
      <c r="N6560" s="13">
        <v>0</v>
      </c>
      <c r="O6560" s="79">
        <v>8</v>
      </c>
      <c r="P6560" s="72">
        <v>2</v>
      </c>
      <c r="Q6560" s="74" t="s">
        <v>735</v>
      </c>
    </row>
    <row r="6561" spans="1:18">
      <c r="A6561" s="45" t="s">
        <v>136</v>
      </c>
      <c r="B6561" s="48" t="s">
        <v>171</v>
      </c>
      <c r="C6561" s="32">
        <v>145</v>
      </c>
      <c r="D6561" s="48" t="s">
        <v>106</v>
      </c>
      <c r="E6561" s="48" t="s">
        <v>15</v>
      </c>
      <c r="F6561" s="48" t="s">
        <v>18</v>
      </c>
      <c r="G6561" s="11">
        <v>6.86</v>
      </c>
      <c r="H6561" s="9">
        <v>9.5</v>
      </c>
      <c r="I6561" s="7">
        <v>2</v>
      </c>
      <c r="J6561" s="10">
        <v>0.13034000000000001</v>
      </c>
      <c r="K6561" s="32">
        <v>2</v>
      </c>
      <c r="L6561" s="18">
        <v>0.13034000000000001</v>
      </c>
      <c r="M6561" s="19">
        <v>0</v>
      </c>
      <c r="N6561" s="13">
        <v>0</v>
      </c>
      <c r="O6561" s="79">
        <v>8.9</v>
      </c>
      <c r="P6561" s="72">
        <v>2</v>
      </c>
      <c r="Q6561" s="74" t="s">
        <v>735</v>
      </c>
    </row>
    <row r="6562" spans="1:18">
      <c r="A6562" s="45" t="s">
        <v>136</v>
      </c>
      <c r="B6562" s="48" t="s">
        <v>171</v>
      </c>
      <c r="C6562" s="32">
        <v>145</v>
      </c>
      <c r="D6562" s="48" t="s">
        <v>106</v>
      </c>
      <c r="E6562" s="48" t="s">
        <v>15</v>
      </c>
      <c r="F6562" s="48" t="s">
        <v>18</v>
      </c>
      <c r="G6562" s="11">
        <v>6.86</v>
      </c>
      <c r="H6562" s="9">
        <v>9.6999999999999993</v>
      </c>
      <c r="I6562" s="7">
        <v>5</v>
      </c>
      <c r="J6562" s="10">
        <v>0.33271000000000006</v>
      </c>
      <c r="K6562" s="32">
        <v>5</v>
      </c>
      <c r="L6562" s="18">
        <v>0.33271000000000006</v>
      </c>
      <c r="M6562" s="19">
        <v>0</v>
      </c>
      <c r="N6562" s="13">
        <v>0</v>
      </c>
      <c r="O6562" s="79">
        <v>7.8</v>
      </c>
      <c r="P6562" s="72">
        <v>5</v>
      </c>
      <c r="Q6562" s="72" t="s">
        <v>733</v>
      </c>
    </row>
    <row r="6563" spans="1:18">
      <c r="P6563" s="76">
        <f>SUM(P6550:P6562)</f>
        <v>38</v>
      </c>
    </row>
    <row r="6566" spans="1:18" ht="15.6">
      <c r="A6566" s="110" t="s">
        <v>238</v>
      </c>
      <c r="B6566" s="111" t="s">
        <v>232</v>
      </c>
      <c r="C6566" s="112" t="s">
        <v>228</v>
      </c>
      <c r="D6566" s="113" t="s">
        <v>236</v>
      </c>
      <c r="E6566" s="114" t="s">
        <v>15</v>
      </c>
      <c r="F6566" s="115" t="s">
        <v>18</v>
      </c>
      <c r="G6566" s="116">
        <v>6.86</v>
      </c>
      <c r="H6566" s="125">
        <v>11.1</v>
      </c>
      <c r="I6566" s="111">
        <f>41+40+28+42+34+39+31</f>
        <v>255</v>
      </c>
      <c r="J6566" s="117">
        <f t="shared" ref="J6566:J6602" si="920">H6566*G6566*I6566/1000</f>
        <v>19.41723</v>
      </c>
      <c r="K6566" s="118"/>
      <c r="L6566" s="111">
        <v>255</v>
      </c>
      <c r="M6566" s="117">
        <f t="shared" ref="M6566:M6602" si="921">H6566*L6566*G6566/1000</f>
        <v>19.41723</v>
      </c>
      <c r="N6566" s="119">
        <f t="shared" ref="N6566:N6602" si="922">I6566-L6566</f>
        <v>0</v>
      </c>
      <c r="O6566" s="120">
        <f t="shared" ref="O6566:O6602" si="923">H6566*N6566*G6566/1000</f>
        <v>0</v>
      </c>
      <c r="P6566" s="111"/>
      <c r="Q6566" s="111"/>
      <c r="R6566" s="111"/>
    </row>
    <row r="6567" spans="1:18" ht="15.6">
      <c r="A6567" s="110" t="s">
        <v>238</v>
      </c>
      <c r="B6567" s="111" t="s">
        <v>232</v>
      </c>
      <c r="C6567" s="112" t="s">
        <v>228</v>
      </c>
      <c r="D6567" s="113" t="s">
        <v>236</v>
      </c>
      <c r="E6567" s="114" t="s">
        <v>15</v>
      </c>
      <c r="F6567" s="115" t="s">
        <v>18</v>
      </c>
      <c r="G6567" s="116">
        <v>6.86</v>
      </c>
      <c r="H6567" s="125">
        <v>11.5</v>
      </c>
      <c r="I6567" s="111">
        <f>29+42+3+35</f>
        <v>109</v>
      </c>
      <c r="J6567" s="117">
        <f t="shared" si="920"/>
        <v>8.5990099999999998</v>
      </c>
      <c r="K6567" s="118"/>
      <c r="L6567" s="111">
        <f>99+10</f>
        <v>109</v>
      </c>
      <c r="M6567" s="117">
        <f t="shared" si="921"/>
        <v>8.5990099999999998</v>
      </c>
      <c r="N6567" s="119">
        <f t="shared" si="922"/>
        <v>0</v>
      </c>
      <c r="O6567" s="120">
        <f t="shared" si="923"/>
        <v>0</v>
      </c>
      <c r="P6567" s="130"/>
      <c r="Q6567" s="111"/>
      <c r="R6567" s="111"/>
    </row>
    <row r="6568" spans="1:18" ht="15.6">
      <c r="A6568" s="110" t="s">
        <v>238</v>
      </c>
      <c r="B6568" s="111" t="s">
        <v>232</v>
      </c>
      <c r="C6568" s="112" t="s">
        <v>228</v>
      </c>
      <c r="D6568" s="113" t="s">
        <v>236</v>
      </c>
      <c r="E6568" s="114" t="s">
        <v>15</v>
      </c>
      <c r="F6568" s="115" t="s">
        <v>18</v>
      </c>
      <c r="G6568" s="116">
        <v>6.86</v>
      </c>
      <c r="H6568" s="125">
        <v>9</v>
      </c>
      <c r="I6568" s="111">
        <v>6</v>
      </c>
      <c r="J6568" s="117">
        <f t="shared" si="920"/>
        <v>0.37043999999999999</v>
      </c>
      <c r="K6568" s="118"/>
      <c r="L6568" s="111">
        <v>6</v>
      </c>
      <c r="M6568" s="117">
        <f t="shared" si="921"/>
        <v>0.37043999999999999</v>
      </c>
      <c r="N6568" s="119">
        <f t="shared" si="922"/>
        <v>0</v>
      </c>
      <c r="O6568" s="120">
        <f t="shared" si="923"/>
        <v>0</v>
      </c>
      <c r="P6568" s="130"/>
      <c r="Q6568" s="111"/>
      <c r="R6568" s="111"/>
    </row>
    <row r="6569" spans="1:18" ht="15.6">
      <c r="A6569" s="110" t="s">
        <v>238</v>
      </c>
      <c r="B6569" s="111" t="s">
        <v>232</v>
      </c>
      <c r="C6569" s="112" t="s">
        <v>228</v>
      </c>
      <c r="D6569" s="113" t="s">
        <v>236</v>
      </c>
      <c r="E6569" s="114" t="s">
        <v>15</v>
      </c>
      <c r="F6569" s="115" t="s">
        <v>18</v>
      </c>
      <c r="G6569" s="116">
        <v>6.86</v>
      </c>
      <c r="H6569" s="125">
        <v>7.1</v>
      </c>
      <c r="I6569" s="111">
        <f>42+31+12+38+52+24</f>
        <v>199</v>
      </c>
      <c r="J6569" s="117">
        <f t="shared" si="920"/>
        <v>9.6924939999999999</v>
      </c>
      <c r="K6569" s="118"/>
      <c r="L6569" s="111">
        <f>191+8</f>
        <v>199</v>
      </c>
      <c r="M6569" s="117">
        <f t="shared" si="921"/>
        <v>9.6924939999999982</v>
      </c>
      <c r="N6569" s="145">
        <f t="shared" si="922"/>
        <v>0</v>
      </c>
      <c r="O6569" s="120">
        <f t="shared" si="923"/>
        <v>0</v>
      </c>
      <c r="P6569" s="79">
        <v>7.1</v>
      </c>
      <c r="Q6569" s="72">
        <v>8</v>
      </c>
      <c r="R6569" s="72" t="s">
        <v>734</v>
      </c>
    </row>
    <row r="6570" spans="1:18" ht="15.6">
      <c r="A6570" s="110" t="s">
        <v>238</v>
      </c>
      <c r="B6570" s="111" t="s">
        <v>232</v>
      </c>
      <c r="C6570" s="112" t="s">
        <v>228</v>
      </c>
      <c r="D6570" s="113" t="s">
        <v>236</v>
      </c>
      <c r="E6570" s="114" t="s">
        <v>15</v>
      </c>
      <c r="F6570" s="115" t="s">
        <v>18</v>
      </c>
      <c r="G6570" s="116">
        <v>6.86</v>
      </c>
      <c r="H6570" s="125">
        <v>8.9499999999999993</v>
      </c>
      <c r="I6570" s="111">
        <f>40+42+8+3+9+44+50</f>
        <v>196</v>
      </c>
      <c r="J6570" s="117">
        <f t="shared" si="920"/>
        <v>12.033811999999999</v>
      </c>
      <c r="K6570" s="118"/>
      <c r="L6570" s="111">
        <f>194+2</f>
        <v>196</v>
      </c>
      <c r="M6570" s="117">
        <f t="shared" si="921"/>
        <v>12.033811999999999</v>
      </c>
      <c r="N6570" s="119">
        <f t="shared" si="922"/>
        <v>0</v>
      </c>
      <c r="O6570" s="120">
        <f t="shared" si="923"/>
        <v>0</v>
      </c>
      <c r="P6570" s="130"/>
      <c r="Q6570" s="111"/>
      <c r="R6570" s="159"/>
    </row>
    <row r="6571" spans="1:18" ht="15.6">
      <c r="A6571" s="110" t="s">
        <v>238</v>
      </c>
      <c r="B6571" s="111" t="s">
        <v>232</v>
      </c>
      <c r="C6571" s="112" t="s">
        <v>228</v>
      </c>
      <c r="D6571" s="113" t="s">
        <v>236</v>
      </c>
      <c r="E6571" s="114" t="s">
        <v>15</v>
      </c>
      <c r="F6571" s="115" t="s">
        <v>18</v>
      </c>
      <c r="G6571" s="116">
        <v>6.86</v>
      </c>
      <c r="H6571" s="125">
        <v>11.2</v>
      </c>
      <c r="I6571" s="111">
        <f>40+36+27+12+15+26+40+43+15</f>
        <v>254</v>
      </c>
      <c r="J6571" s="117">
        <f t="shared" si="920"/>
        <v>19.515327999999997</v>
      </c>
      <c r="K6571" s="118"/>
      <c r="L6571" s="111">
        <v>254</v>
      </c>
      <c r="M6571" s="117">
        <f t="shared" si="921"/>
        <v>19.515327999999997</v>
      </c>
      <c r="N6571" s="119">
        <f t="shared" si="922"/>
        <v>0</v>
      </c>
      <c r="O6571" s="120">
        <f t="shared" si="923"/>
        <v>0</v>
      </c>
      <c r="P6571" s="130"/>
      <c r="Q6571" s="111"/>
      <c r="R6571" s="159"/>
    </row>
    <row r="6572" spans="1:18" ht="15.6">
      <c r="A6572" s="110" t="s">
        <v>238</v>
      </c>
      <c r="B6572" s="111" t="s">
        <v>232</v>
      </c>
      <c r="C6572" s="112" t="s">
        <v>228</v>
      </c>
      <c r="D6572" s="113" t="s">
        <v>236</v>
      </c>
      <c r="E6572" s="114" t="s">
        <v>15</v>
      </c>
      <c r="F6572" s="115" t="s">
        <v>18</v>
      </c>
      <c r="G6572" s="116">
        <v>6.86</v>
      </c>
      <c r="H6572" s="125">
        <v>10.5</v>
      </c>
      <c r="I6572" s="111">
        <v>1</v>
      </c>
      <c r="J6572" s="117">
        <f t="shared" si="920"/>
        <v>7.2029999999999997E-2</v>
      </c>
      <c r="K6572" s="118"/>
      <c r="L6572" s="111">
        <v>1</v>
      </c>
      <c r="M6572" s="117">
        <f t="shared" si="921"/>
        <v>7.2029999999999997E-2</v>
      </c>
      <c r="N6572" s="119">
        <f t="shared" si="922"/>
        <v>0</v>
      </c>
      <c r="O6572" s="120">
        <f t="shared" si="923"/>
        <v>0</v>
      </c>
      <c r="P6572" s="130"/>
      <c r="Q6572" s="111"/>
      <c r="R6572" s="159"/>
    </row>
    <row r="6573" spans="1:18" ht="15.6">
      <c r="A6573" s="110" t="s">
        <v>238</v>
      </c>
      <c r="B6573" s="111" t="s">
        <v>232</v>
      </c>
      <c r="C6573" s="112" t="s">
        <v>228</v>
      </c>
      <c r="D6573" s="113" t="s">
        <v>236</v>
      </c>
      <c r="E6573" s="114" t="s">
        <v>15</v>
      </c>
      <c r="F6573" s="115" t="s">
        <v>18</v>
      </c>
      <c r="G6573" s="116">
        <v>6.86</v>
      </c>
      <c r="H6573" s="125">
        <v>11.5</v>
      </c>
      <c r="I6573" s="111">
        <v>3</v>
      </c>
      <c r="J6573" s="117">
        <f t="shared" si="920"/>
        <v>0.23667000000000002</v>
      </c>
      <c r="K6573" s="118"/>
      <c r="L6573" s="111">
        <v>3</v>
      </c>
      <c r="M6573" s="117">
        <f t="shared" si="921"/>
        <v>0.23667000000000002</v>
      </c>
      <c r="N6573" s="119">
        <f t="shared" si="922"/>
        <v>0</v>
      </c>
      <c r="O6573" s="120">
        <f t="shared" si="923"/>
        <v>0</v>
      </c>
      <c r="P6573" s="130"/>
      <c r="Q6573" s="111"/>
      <c r="R6573" s="111"/>
    </row>
    <row r="6574" spans="1:18" ht="15.6">
      <c r="A6574" s="110" t="s">
        <v>238</v>
      </c>
      <c r="B6574" s="111" t="s">
        <v>232</v>
      </c>
      <c r="C6574" s="112" t="s">
        <v>228</v>
      </c>
      <c r="D6574" s="113" t="s">
        <v>236</v>
      </c>
      <c r="E6574" s="114" t="s">
        <v>15</v>
      </c>
      <c r="F6574" s="115" t="s">
        <v>18</v>
      </c>
      <c r="G6574" s="116">
        <v>6.86</v>
      </c>
      <c r="H6574" s="127">
        <v>12</v>
      </c>
      <c r="I6574" s="111">
        <v>3</v>
      </c>
      <c r="J6574" s="117">
        <f t="shared" si="920"/>
        <v>0.24696000000000004</v>
      </c>
      <c r="K6574" s="118"/>
      <c r="L6574" s="111">
        <v>3</v>
      </c>
      <c r="M6574" s="117">
        <f t="shared" si="921"/>
        <v>0.24696000000000001</v>
      </c>
      <c r="N6574" s="119">
        <f t="shared" si="922"/>
        <v>0</v>
      </c>
      <c r="O6574" s="120">
        <f t="shared" si="923"/>
        <v>0</v>
      </c>
      <c r="P6574" s="130"/>
      <c r="Q6574" s="111"/>
      <c r="R6574" s="111"/>
    </row>
    <row r="6575" spans="1:18" ht="15.6">
      <c r="A6575" s="110" t="s">
        <v>238</v>
      </c>
      <c r="B6575" s="111" t="s">
        <v>232</v>
      </c>
      <c r="C6575" s="112" t="s">
        <v>228</v>
      </c>
      <c r="D6575" s="113" t="s">
        <v>236</v>
      </c>
      <c r="E6575" s="114" t="s">
        <v>15</v>
      </c>
      <c r="F6575" s="115" t="s">
        <v>18</v>
      </c>
      <c r="G6575" s="116">
        <v>6.86</v>
      </c>
      <c r="H6575" s="125">
        <v>6.5</v>
      </c>
      <c r="I6575" s="44">
        <v>1</v>
      </c>
      <c r="J6575" s="117">
        <f t="shared" si="920"/>
        <v>4.4590000000000005E-2</v>
      </c>
      <c r="K6575" s="118"/>
      <c r="L6575" s="111">
        <v>1</v>
      </c>
      <c r="M6575" s="117">
        <f t="shared" si="921"/>
        <v>4.4590000000000005E-2</v>
      </c>
      <c r="N6575" s="119">
        <f t="shared" si="922"/>
        <v>0</v>
      </c>
      <c r="O6575" s="120">
        <f t="shared" si="923"/>
        <v>0</v>
      </c>
      <c r="P6575" s="130"/>
      <c r="Q6575" s="111"/>
      <c r="R6575" s="111"/>
    </row>
    <row r="6576" spans="1:18" ht="15.6">
      <c r="A6576" s="110" t="s">
        <v>238</v>
      </c>
      <c r="B6576" s="111" t="s">
        <v>232</v>
      </c>
      <c r="C6576" s="112" t="s">
        <v>228</v>
      </c>
      <c r="D6576" s="113" t="s">
        <v>236</v>
      </c>
      <c r="E6576" s="114" t="s">
        <v>15</v>
      </c>
      <c r="F6576" s="115" t="s">
        <v>18</v>
      </c>
      <c r="G6576" s="116">
        <v>6.86</v>
      </c>
      <c r="H6576" s="125">
        <v>6.8</v>
      </c>
      <c r="I6576" s="44">
        <v>1</v>
      </c>
      <c r="J6576" s="117">
        <f t="shared" si="920"/>
        <v>4.6648000000000002E-2</v>
      </c>
      <c r="K6576" s="118"/>
      <c r="L6576" s="111">
        <v>1</v>
      </c>
      <c r="M6576" s="117">
        <f t="shared" si="921"/>
        <v>4.6648000000000002E-2</v>
      </c>
      <c r="N6576" s="119">
        <f t="shared" si="922"/>
        <v>0</v>
      </c>
      <c r="O6576" s="120">
        <f t="shared" si="923"/>
        <v>0</v>
      </c>
      <c r="P6576" s="130"/>
      <c r="Q6576" s="111"/>
      <c r="R6576" s="111"/>
    </row>
    <row r="6577" spans="1:18" ht="15.6">
      <c r="A6577" s="110" t="s">
        <v>238</v>
      </c>
      <c r="B6577" s="111" t="s">
        <v>232</v>
      </c>
      <c r="C6577" s="112" t="s">
        <v>228</v>
      </c>
      <c r="D6577" s="113" t="s">
        <v>236</v>
      </c>
      <c r="E6577" s="114" t="s">
        <v>15</v>
      </c>
      <c r="F6577" s="115" t="s">
        <v>18</v>
      </c>
      <c r="G6577" s="116">
        <v>6.86</v>
      </c>
      <c r="H6577" s="125">
        <v>8.3000000000000007</v>
      </c>
      <c r="I6577" s="111">
        <v>1</v>
      </c>
      <c r="J6577" s="117">
        <f t="shared" si="920"/>
        <v>5.6938000000000009E-2</v>
      </c>
      <c r="K6577" s="118"/>
      <c r="L6577" s="111">
        <v>1</v>
      </c>
      <c r="M6577" s="117">
        <f t="shared" si="921"/>
        <v>5.6938000000000009E-2</v>
      </c>
      <c r="N6577" s="119">
        <f t="shared" si="922"/>
        <v>0</v>
      </c>
      <c r="O6577" s="120">
        <f t="shared" si="923"/>
        <v>0</v>
      </c>
      <c r="P6577" s="130"/>
      <c r="Q6577" s="111"/>
      <c r="R6577" s="159"/>
    </row>
    <row r="6578" spans="1:18" ht="15.6">
      <c r="A6578" s="110" t="s">
        <v>238</v>
      </c>
      <c r="B6578" s="111" t="s">
        <v>232</v>
      </c>
      <c r="C6578" s="112" t="s">
        <v>228</v>
      </c>
      <c r="D6578" s="113" t="s">
        <v>236</v>
      </c>
      <c r="E6578" s="114" t="s">
        <v>15</v>
      </c>
      <c r="F6578" s="115" t="s">
        <v>18</v>
      </c>
      <c r="G6578" s="116">
        <v>6.86</v>
      </c>
      <c r="H6578" s="125">
        <v>8.5</v>
      </c>
      <c r="I6578" s="111">
        <v>6</v>
      </c>
      <c r="J6578" s="117">
        <f t="shared" si="920"/>
        <v>0.34986</v>
      </c>
      <c r="K6578" s="118"/>
      <c r="L6578" s="111">
        <v>6</v>
      </c>
      <c r="M6578" s="117">
        <f t="shared" si="921"/>
        <v>0.34986</v>
      </c>
      <c r="N6578" s="119">
        <f t="shared" si="922"/>
        <v>0</v>
      </c>
      <c r="O6578" s="120">
        <f t="shared" si="923"/>
        <v>0</v>
      </c>
      <c r="P6578" s="130"/>
      <c r="Q6578" s="111"/>
      <c r="R6578" s="159"/>
    </row>
    <row r="6579" spans="1:18" ht="15.6">
      <c r="A6579" s="110" t="s">
        <v>238</v>
      </c>
      <c r="B6579" s="111" t="s">
        <v>232</v>
      </c>
      <c r="C6579" s="112" t="s">
        <v>228</v>
      </c>
      <c r="D6579" s="113" t="s">
        <v>236</v>
      </c>
      <c r="E6579" s="114" t="s">
        <v>15</v>
      </c>
      <c r="F6579" s="115" t="s">
        <v>18</v>
      </c>
      <c r="G6579" s="116">
        <v>6.86</v>
      </c>
      <c r="H6579" s="125">
        <v>10.3</v>
      </c>
      <c r="I6579" s="44">
        <v>1</v>
      </c>
      <c r="J6579" s="117">
        <f t="shared" si="920"/>
        <v>7.0657999999999999E-2</v>
      </c>
      <c r="K6579" s="118"/>
      <c r="L6579" s="111">
        <v>1</v>
      </c>
      <c r="M6579" s="117">
        <f t="shared" si="921"/>
        <v>7.0657999999999999E-2</v>
      </c>
      <c r="N6579" s="119">
        <f t="shared" si="922"/>
        <v>0</v>
      </c>
      <c r="O6579" s="120">
        <f t="shared" si="923"/>
        <v>0</v>
      </c>
      <c r="P6579" s="130"/>
      <c r="Q6579" s="111"/>
      <c r="R6579" s="336"/>
    </row>
    <row r="6580" spans="1:18" ht="15.6">
      <c r="A6580" s="110" t="s">
        <v>238</v>
      </c>
      <c r="B6580" s="111" t="s">
        <v>232</v>
      </c>
      <c r="C6580" s="112" t="s">
        <v>228</v>
      </c>
      <c r="D6580" s="113" t="s">
        <v>236</v>
      </c>
      <c r="E6580" s="114" t="s">
        <v>15</v>
      </c>
      <c r="F6580" s="115" t="s">
        <v>18</v>
      </c>
      <c r="G6580" s="116">
        <v>6.86</v>
      </c>
      <c r="H6580" s="125">
        <v>10.5</v>
      </c>
      <c r="I6580" s="44">
        <v>21</v>
      </c>
      <c r="J6580" s="117">
        <f t="shared" si="920"/>
        <v>1.5126300000000001</v>
      </c>
      <c r="K6580" s="118"/>
      <c r="L6580" s="111">
        <f>18+3</f>
        <v>21</v>
      </c>
      <c r="M6580" s="117">
        <f t="shared" si="921"/>
        <v>1.5126300000000001</v>
      </c>
      <c r="N6580" s="119">
        <f t="shared" si="922"/>
        <v>0</v>
      </c>
      <c r="O6580" s="120">
        <f t="shared" si="923"/>
        <v>0</v>
      </c>
      <c r="P6580" s="130"/>
      <c r="Q6580" s="111"/>
      <c r="R6580" s="336"/>
    </row>
    <row r="6581" spans="1:18" ht="15.6">
      <c r="A6581" s="110" t="s">
        <v>238</v>
      </c>
      <c r="B6581" s="111" t="s">
        <v>232</v>
      </c>
      <c r="C6581" s="112" t="s">
        <v>228</v>
      </c>
      <c r="D6581" s="113" t="s">
        <v>236</v>
      </c>
      <c r="E6581" s="114" t="s">
        <v>15</v>
      </c>
      <c r="F6581" s="115" t="s">
        <v>18</v>
      </c>
      <c r="G6581" s="116">
        <v>6.86</v>
      </c>
      <c r="H6581" s="125">
        <v>11.5</v>
      </c>
      <c r="I6581" s="111">
        <v>5</v>
      </c>
      <c r="J6581" s="117">
        <f t="shared" si="920"/>
        <v>0.39444999999999997</v>
      </c>
      <c r="K6581" s="118"/>
      <c r="L6581" s="111">
        <v>5</v>
      </c>
      <c r="M6581" s="117">
        <f t="shared" si="921"/>
        <v>0.39445000000000002</v>
      </c>
      <c r="N6581" s="119">
        <f t="shared" si="922"/>
        <v>0</v>
      </c>
      <c r="O6581" s="120">
        <f t="shared" si="923"/>
        <v>0</v>
      </c>
      <c r="P6581" s="130"/>
      <c r="Q6581" s="111"/>
      <c r="R6581" s="111"/>
    </row>
    <row r="6582" spans="1:18" ht="15.6">
      <c r="A6582" s="110" t="s">
        <v>238</v>
      </c>
      <c r="B6582" s="111" t="s">
        <v>232</v>
      </c>
      <c r="C6582" s="112" t="s">
        <v>228</v>
      </c>
      <c r="D6582" s="113" t="s">
        <v>236</v>
      </c>
      <c r="E6582" s="114" t="s">
        <v>15</v>
      </c>
      <c r="F6582" s="115" t="s">
        <v>18</v>
      </c>
      <c r="G6582" s="116">
        <v>6.86</v>
      </c>
      <c r="H6582" s="125">
        <v>12</v>
      </c>
      <c r="I6582" s="111">
        <v>5</v>
      </c>
      <c r="J6582" s="117">
        <f t="shared" si="920"/>
        <v>0.41160000000000002</v>
      </c>
      <c r="K6582" s="118"/>
      <c r="L6582" s="111">
        <v>5</v>
      </c>
      <c r="M6582" s="117">
        <f t="shared" si="921"/>
        <v>0.41160000000000002</v>
      </c>
      <c r="N6582" s="119">
        <f t="shared" si="922"/>
        <v>0</v>
      </c>
      <c r="O6582" s="120">
        <f t="shared" si="923"/>
        <v>0</v>
      </c>
      <c r="P6582" s="130"/>
      <c r="Q6582" s="111"/>
      <c r="R6582" s="111"/>
    </row>
    <row r="6583" spans="1:18" ht="15.6">
      <c r="A6583" s="110" t="s">
        <v>238</v>
      </c>
      <c r="B6583" s="111" t="s">
        <v>232</v>
      </c>
      <c r="C6583" s="112" t="s">
        <v>228</v>
      </c>
      <c r="D6583" s="113" t="s">
        <v>236</v>
      </c>
      <c r="E6583" s="114" t="s">
        <v>15</v>
      </c>
      <c r="F6583" s="115" t="s">
        <v>18</v>
      </c>
      <c r="G6583" s="116">
        <v>6.86</v>
      </c>
      <c r="H6583" s="125">
        <v>12</v>
      </c>
      <c r="I6583" s="111">
        <v>5</v>
      </c>
      <c r="J6583" s="117">
        <f t="shared" si="920"/>
        <v>0.41160000000000002</v>
      </c>
      <c r="K6583" s="118"/>
      <c r="L6583" s="111">
        <v>5</v>
      </c>
      <c r="M6583" s="117">
        <f t="shared" si="921"/>
        <v>0.41160000000000002</v>
      </c>
      <c r="N6583" s="119">
        <f t="shared" si="922"/>
        <v>0</v>
      </c>
      <c r="O6583" s="120">
        <f t="shared" si="923"/>
        <v>0</v>
      </c>
      <c r="P6583" s="130"/>
      <c r="Q6583" s="111"/>
      <c r="R6583" s="111"/>
    </row>
    <row r="6584" spans="1:18" ht="15.6">
      <c r="A6584" s="110" t="s">
        <v>238</v>
      </c>
      <c r="B6584" s="111" t="s">
        <v>232</v>
      </c>
      <c r="C6584" s="112" t="s">
        <v>228</v>
      </c>
      <c r="D6584" s="113" t="s">
        <v>236</v>
      </c>
      <c r="E6584" s="114" t="s">
        <v>15</v>
      </c>
      <c r="F6584" s="115" t="s">
        <v>18</v>
      </c>
      <c r="G6584" s="116">
        <v>6.86</v>
      </c>
      <c r="H6584" s="125">
        <v>11.5</v>
      </c>
      <c r="I6584" s="111">
        <v>1</v>
      </c>
      <c r="J6584" s="117">
        <f t="shared" si="920"/>
        <v>7.8890000000000002E-2</v>
      </c>
      <c r="K6584" s="118"/>
      <c r="L6584" s="111">
        <v>1</v>
      </c>
      <c r="M6584" s="117">
        <f t="shared" si="921"/>
        <v>7.8890000000000002E-2</v>
      </c>
      <c r="N6584" s="119">
        <f t="shared" si="922"/>
        <v>0</v>
      </c>
      <c r="O6584" s="120">
        <f t="shared" si="923"/>
        <v>0</v>
      </c>
      <c r="P6584" s="130"/>
      <c r="Q6584" s="111"/>
      <c r="R6584" s="111"/>
    </row>
    <row r="6585" spans="1:18" ht="15.6">
      <c r="A6585" s="110" t="s">
        <v>238</v>
      </c>
      <c r="B6585" s="111" t="s">
        <v>232</v>
      </c>
      <c r="C6585" s="112" t="s">
        <v>228</v>
      </c>
      <c r="D6585" s="113" t="s">
        <v>236</v>
      </c>
      <c r="E6585" s="114" t="s">
        <v>15</v>
      </c>
      <c r="F6585" s="115" t="s">
        <v>18</v>
      </c>
      <c r="G6585" s="116">
        <v>6.86</v>
      </c>
      <c r="H6585" s="125">
        <v>11</v>
      </c>
      <c r="I6585" s="111">
        <v>2</v>
      </c>
      <c r="J6585" s="117">
        <f t="shared" si="920"/>
        <v>0.15092000000000003</v>
      </c>
      <c r="K6585" s="118"/>
      <c r="L6585" s="111">
        <v>2</v>
      </c>
      <c r="M6585" s="117">
        <f t="shared" si="921"/>
        <v>0.15092000000000003</v>
      </c>
      <c r="N6585" s="145">
        <f t="shared" si="922"/>
        <v>0</v>
      </c>
      <c r="O6585" s="120">
        <f t="shared" si="923"/>
        <v>0</v>
      </c>
      <c r="P6585" s="79">
        <v>11</v>
      </c>
      <c r="Q6585" s="72">
        <v>2</v>
      </c>
      <c r="R6585" s="72" t="s">
        <v>734</v>
      </c>
    </row>
    <row r="6586" spans="1:18" ht="15.6">
      <c r="A6586" s="110" t="s">
        <v>238</v>
      </c>
      <c r="B6586" s="111" t="s">
        <v>232</v>
      </c>
      <c r="C6586" s="112" t="s">
        <v>228</v>
      </c>
      <c r="D6586" s="113" t="s">
        <v>236</v>
      </c>
      <c r="E6586" s="114" t="s">
        <v>15</v>
      </c>
      <c r="F6586" s="115" t="s">
        <v>18</v>
      </c>
      <c r="G6586" s="116">
        <v>6.86</v>
      </c>
      <c r="H6586" s="125">
        <v>10.5</v>
      </c>
      <c r="I6586" s="111">
        <v>3</v>
      </c>
      <c r="J6586" s="117">
        <f t="shared" si="920"/>
        <v>0.21609</v>
      </c>
      <c r="K6586" s="118"/>
      <c r="L6586" s="111">
        <v>3</v>
      </c>
      <c r="M6586" s="117">
        <f t="shared" si="921"/>
        <v>0.21609</v>
      </c>
      <c r="N6586" s="119">
        <f t="shared" si="922"/>
        <v>0</v>
      </c>
      <c r="O6586" s="120">
        <f t="shared" si="923"/>
        <v>0</v>
      </c>
      <c r="P6586" s="130"/>
      <c r="Q6586" s="111"/>
      <c r="R6586" s="111"/>
    </row>
    <row r="6587" spans="1:18" ht="15.6">
      <c r="A6587" s="110" t="s">
        <v>238</v>
      </c>
      <c r="B6587" s="111" t="s">
        <v>232</v>
      </c>
      <c r="C6587" s="112" t="s">
        <v>228</v>
      </c>
      <c r="D6587" s="113" t="s">
        <v>236</v>
      </c>
      <c r="E6587" s="114" t="s">
        <v>15</v>
      </c>
      <c r="F6587" s="115" t="s">
        <v>18</v>
      </c>
      <c r="G6587" s="116">
        <v>6.86</v>
      </c>
      <c r="H6587" s="125">
        <v>10</v>
      </c>
      <c r="I6587" s="111">
        <v>1</v>
      </c>
      <c r="J6587" s="117">
        <f t="shared" si="920"/>
        <v>6.8600000000000008E-2</v>
      </c>
      <c r="K6587" s="118"/>
      <c r="L6587" s="111">
        <v>1</v>
      </c>
      <c r="M6587" s="117">
        <f t="shared" si="921"/>
        <v>6.8600000000000008E-2</v>
      </c>
      <c r="N6587" s="119">
        <f t="shared" si="922"/>
        <v>0</v>
      </c>
      <c r="O6587" s="120">
        <f t="shared" si="923"/>
        <v>0</v>
      </c>
      <c r="P6587" s="130"/>
      <c r="Q6587" s="111"/>
      <c r="R6587" s="111"/>
    </row>
    <row r="6588" spans="1:18" ht="15.6">
      <c r="A6588" s="110" t="s">
        <v>238</v>
      </c>
      <c r="B6588" s="111" t="s">
        <v>232</v>
      </c>
      <c r="C6588" s="112" t="s">
        <v>228</v>
      </c>
      <c r="D6588" s="113" t="s">
        <v>236</v>
      </c>
      <c r="E6588" s="114" t="s">
        <v>15</v>
      </c>
      <c r="F6588" s="115" t="s">
        <v>18</v>
      </c>
      <c r="G6588" s="116">
        <v>6.86</v>
      </c>
      <c r="H6588" s="125">
        <v>8.5</v>
      </c>
      <c r="I6588" s="111">
        <v>1</v>
      </c>
      <c r="J6588" s="117">
        <f t="shared" si="920"/>
        <v>5.8310000000000001E-2</v>
      </c>
      <c r="K6588" s="118"/>
      <c r="L6588" s="111">
        <v>1</v>
      </c>
      <c r="M6588" s="117">
        <f t="shared" si="921"/>
        <v>5.8310000000000001E-2</v>
      </c>
      <c r="N6588" s="119">
        <f t="shared" si="922"/>
        <v>0</v>
      </c>
      <c r="O6588" s="120">
        <f t="shared" si="923"/>
        <v>0</v>
      </c>
      <c r="P6588" s="130"/>
      <c r="Q6588" s="111"/>
      <c r="R6588" s="111"/>
    </row>
    <row r="6589" spans="1:18" ht="15.6">
      <c r="A6589" s="110" t="s">
        <v>238</v>
      </c>
      <c r="B6589" s="111" t="s">
        <v>232</v>
      </c>
      <c r="C6589" s="112" t="s">
        <v>228</v>
      </c>
      <c r="D6589" s="113" t="s">
        <v>236</v>
      </c>
      <c r="E6589" s="114" t="s">
        <v>15</v>
      </c>
      <c r="F6589" s="115" t="s">
        <v>18</v>
      </c>
      <c r="G6589" s="116">
        <v>6.86</v>
      </c>
      <c r="H6589" s="125">
        <v>8</v>
      </c>
      <c r="I6589" s="111">
        <v>7</v>
      </c>
      <c r="J6589" s="117">
        <f t="shared" si="920"/>
        <v>0.38416</v>
      </c>
      <c r="K6589" s="118"/>
      <c r="L6589" s="111">
        <v>7</v>
      </c>
      <c r="M6589" s="117">
        <f t="shared" si="921"/>
        <v>0.38416</v>
      </c>
      <c r="N6589" s="119">
        <f t="shared" si="922"/>
        <v>0</v>
      </c>
      <c r="O6589" s="120">
        <f t="shared" si="923"/>
        <v>0</v>
      </c>
      <c r="P6589" s="130"/>
      <c r="Q6589" s="111"/>
      <c r="R6589" s="111"/>
    </row>
    <row r="6590" spans="1:18" ht="15.6">
      <c r="A6590" s="110" t="s">
        <v>238</v>
      </c>
      <c r="B6590" s="111" t="s">
        <v>232</v>
      </c>
      <c r="C6590" s="112" t="s">
        <v>228</v>
      </c>
      <c r="D6590" s="113" t="s">
        <v>236</v>
      </c>
      <c r="E6590" s="114" t="s">
        <v>15</v>
      </c>
      <c r="F6590" s="115" t="s">
        <v>18</v>
      </c>
      <c r="G6590" s="116">
        <v>6.86</v>
      </c>
      <c r="H6590" s="125">
        <v>10.5</v>
      </c>
      <c r="I6590" s="111">
        <v>11</v>
      </c>
      <c r="J6590" s="117">
        <f t="shared" si="920"/>
        <v>0.79233000000000009</v>
      </c>
      <c r="K6590" s="118"/>
      <c r="L6590" s="111">
        <f>7+4</f>
        <v>11</v>
      </c>
      <c r="M6590" s="117">
        <f t="shared" si="921"/>
        <v>0.79233000000000009</v>
      </c>
      <c r="N6590" s="145">
        <f t="shared" si="922"/>
        <v>0</v>
      </c>
      <c r="O6590" s="120">
        <f t="shared" si="923"/>
        <v>0</v>
      </c>
      <c r="P6590" s="79">
        <v>10.5</v>
      </c>
      <c r="Q6590" s="72">
        <v>4</v>
      </c>
      <c r="R6590" s="72" t="s">
        <v>734</v>
      </c>
    </row>
    <row r="6591" spans="1:18" ht="15.6">
      <c r="A6591" s="110" t="s">
        <v>238</v>
      </c>
      <c r="B6591" s="111" t="s">
        <v>232</v>
      </c>
      <c r="C6591" s="112" t="s">
        <v>228</v>
      </c>
      <c r="D6591" s="113" t="s">
        <v>236</v>
      </c>
      <c r="E6591" s="114" t="s">
        <v>15</v>
      </c>
      <c r="F6591" s="115" t="s">
        <v>18</v>
      </c>
      <c r="G6591" s="116">
        <v>6.86</v>
      </c>
      <c r="H6591" s="125">
        <v>11</v>
      </c>
      <c r="I6591" s="111">
        <v>1</v>
      </c>
      <c r="J6591" s="117">
        <f t="shared" si="920"/>
        <v>7.5460000000000013E-2</v>
      </c>
      <c r="K6591" s="118"/>
      <c r="L6591" s="111">
        <v>1</v>
      </c>
      <c r="M6591" s="117">
        <f t="shared" si="921"/>
        <v>7.5460000000000013E-2</v>
      </c>
      <c r="N6591" s="145">
        <f t="shared" si="922"/>
        <v>0</v>
      </c>
      <c r="O6591" s="120">
        <f t="shared" si="923"/>
        <v>0</v>
      </c>
      <c r="P6591" s="79">
        <v>11</v>
      </c>
      <c r="Q6591" s="72">
        <v>1</v>
      </c>
      <c r="R6591" s="72" t="s">
        <v>734</v>
      </c>
    </row>
    <row r="6592" spans="1:18" ht="15.6">
      <c r="A6592" s="110" t="s">
        <v>238</v>
      </c>
      <c r="B6592" s="111" t="s">
        <v>232</v>
      </c>
      <c r="C6592" s="112" t="s">
        <v>228</v>
      </c>
      <c r="D6592" s="113" t="s">
        <v>236</v>
      </c>
      <c r="E6592" s="114" t="s">
        <v>15</v>
      </c>
      <c r="F6592" s="115" t="s">
        <v>18</v>
      </c>
      <c r="G6592" s="116">
        <v>6.86</v>
      </c>
      <c r="H6592" s="125">
        <v>10.8</v>
      </c>
      <c r="I6592" s="111">
        <v>3</v>
      </c>
      <c r="J6592" s="117">
        <f t="shared" si="920"/>
        <v>0.22226400000000002</v>
      </c>
      <c r="K6592" s="118"/>
      <c r="L6592" s="111">
        <v>3</v>
      </c>
      <c r="M6592" s="117">
        <f t="shared" si="921"/>
        <v>0.22226400000000004</v>
      </c>
      <c r="N6592" s="145">
        <f t="shared" si="922"/>
        <v>0</v>
      </c>
      <c r="O6592" s="120">
        <f t="shared" si="923"/>
        <v>0</v>
      </c>
      <c r="P6592" s="79">
        <v>10.8</v>
      </c>
      <c r="Q6592" s="72">
        <v>3</v>
      </c>
      <c r="R6592" s="72" t="s">
        <v>734</v>
      </c>
    </row>
    <row r="6593" spans="1:19" ht="15.6">
      <c r="A6593" s="110" t="s">
        <v>238</v>
      </c>
      <c r="B6593" s="111" t="s">
        <v>232</v>
      </c>
      <c r="C6593" s="112" t="s">
        <v>228</v>
      </c>
      <c r="D6593" s="113" t="s">
        <v>236</v>
      </c>
      <c r="E6593" s="114" t="s">
        <v>15</v>
      </c>
      <c r="F6593" s="115" t="s">
        <v>18</v>
      </c>
      <c r="G6593" s="116">
        <v>6.86</v>
      </c>
      <c r="H6593" s="125">
        <v>10</v>
      </c>
      <c r="I6593" s="111">
        <v>2</v>
      </c>
      <c r="J6593" s="117">
        <f t="shared" si="920"/>
        <v>0.13720000000000002</v>
      </c>
      <c r="K6593" s="118"/>
      <c r="L6593" s="111">
        <v>2</v>
      </c>
      <c r="M6593" s="117">
        <f t="shared" si="921"/>
        <v>0.13720000000000002</v>
      </c>
      <c r="N6593" s="119">
        <f t="shared" si="922"/>
        <v>0</v>
      </c>
      <c r="O6593" s="120">
        <f t="shared" si="923"/>
        <v>0</v>
      </c>
      <c r="P6593" s="130"/>
      <c r="Q6593" s="111"/>
      <c r="R6593" s="111"/>
    </row>
    <row r="6594" spans="1:19" ht="15.6">
      <c r="A6594" s="110" t="s">
        <v>238</v>
      </c>
      <c r="B6594" s="111" t="s">
        <v>232</v>
      </c>
      <c r="C6594" s="112" t="s">
        <v>228</v>
      </c>
      <c r="D6594" s="113" t="s">
        <v>236</v>
      </c>
      <c r="E6594" s="114" t="s">
        <v>15</v>
      </c>
      <c r="F6594" s="115" t="s">
        <v>18</v>
      </c>
      <c r="G6594" s="116">
        <v>6.86</v>
      </c>
      <c r="H6594" s="125">
        <v>8.6999999999999993</v>
      </c>
      <c r="I6594" s="111">
        <v>3</v>
      </c>
      <c r="J6594" s="117">
        <f t="shared" si="920"/>
        <v>0.17904599999999998</v>
      </c>
      <c r="K6594" s="118"/>
      <c r="L6594" s="111">
        <v>3</v>
      </c>
      <c r="M6594" s="117">
        <f t="shared" si="921"/>
        <v>0.17904599999999998</v>
      </c>
      <c r="N6594" s="119">
        <f t="shared" si="922"/>
        <v>0</v>
      </c>
      <c r="O6594" s="120">
        <f t="shared" si="923"/>
        <v>0</v>
      </c>
      <c r="P6594" s="130"/>
      <c r="Q6594" s="111"/>
      <c r="R6594" s="111"/>
    </row>
    <row r="6595" spans="1:19" ht="15.6">
      <c r="A6595" s="110" t="s">
        <v>238</v>
      </c>
      <c r="B6595" s="111" t="s">
        <v>232</v>
      </c>
      <c r="C6595" s="112" t="s">
        <v>228</v>
      </c>
      <c r="D6595" s="113" t="s">
        <v>236</v>
      </c>
      <c r="E6595" s="114" t="s">
        <v>15</v>
      </c>
      <c r="F6595" s="115" t="s">
        <v>18</v>
      </c>
      <c r="G6595" s="116">
        <v>6.86</v>
      </c>
      <c r="H6595" s="125">
        <v>8.65</v>
      </c>
      <c r="I6595" s="111">
        <v>1</v>
      </c>
      <c r="J6595" s="117">
        <f t="shared" si="920"/>
        <v>5.9339000000000003E-2</v>
      </c>
      <c r="K6595" s="118"/>
      <c r="L6595" s="111">
        <v>1</v>
      </c>
      <c r="M6595" s="117">
        <f t="shared" si="921"/>
        <v>5.9339000000000003E-2</v>
      </c>
      <c r="N6595" s="119">
        <f t="shared" si="922"/>
        <v>0</v>
      </c>
      <c r="O6595" s="120">
        <f t="shared" si="923"/>
        <v>0</v>
      </c>
      <c r="P6595" s="130"/>
      <c r="Q6595" s="111"/>
      <c r="R6595" s="111"/>
    </row>
    <row r="6596" spans="1:19" ht="15.6">
      <c r="A6596" s="110" t="s">
        <v>238</v>
      </c>
      <c r="B6596" s="111" t="s">
        <v>232</v>
      </c>
      <c r="C6596" s="112" t="s">
        <v>228</v>
      </c>
      <c r="D6596" s="113" t="s">
        <v>236</v>
      </c>
      <c r="E6596" s="114" t="s">
        <v>15</v>
      </c>
      <c r="F6596" s="115" t="s">
        <v>18</v>
      </c>
      <c r="G6596" s="116">
        <v>6.86</v>
      </c>
      <c r="H6596" s="125">
        <v>8.5</v>
      </c>
      <c r="I6596" s="111">
        <v>3</v>
      </c>
      <c r="J6596" s="117">
        <f t="shared" si="920"/>
        <v>0.17493</v>
      </c>
      <c r="K6596" s="118"/>
      <c r="L6596" s="111">
        <v>3</v>
      </c>
      <c r="M6596" s="117">
        <f t="shared" si="921"/>
        <v>0.17493</v>
      </c>
      <c r="N6596" s="119">
        <f t="shared" si="922"/>
        <v>0</v>
      </c>
      <c r="O6596" s="120">
        <f t="shared" si="923"/>
        <v>0</v>
      </c>
      <c r="P6596" s="130"/>
      <c r="Q6596" s="111"/>
      <c r="R6596" s="111"/>
    </row>
    <row r="6597" spans="1:19" ht="15.6">
      <c r="A6597" s="110" t="s">
        <v>238</v>
      </c>
      <c r="B6597" s="111" t="s">
        <v>232</v>
      </c>
      <c r="C6597" s="112" t="s">
        <v>228</v>
      </c>
      <c r="D6597" s="113" t="s">
        <v>236</v>
      </c>
      <c r="E6597" s="114" t="s">
        <v>15</v>
      </c>
      <c r="F6597" s="115" t="s">
        <v>18</v>
      </c>
      <c r="G6597" s="116">
        <v>6.86</v>
      </c>
      <c r="H6597" s="125">
        <v>8</v>
      </c>
      <c r="I6597" s="111">
        <v>1</v>
      </c>
      <c r="J6597" s="117">
        <f t="shared" si="920"/>
        <v>5.4880000000000005E-2</v>
      </c>
      <c r="K6597" s="118"/>
      <c r="L6597" s="111">
        <v>1</v>
      </c>
      <c r="M6597" s="117">
        <f t="shared" si="921"/>
        <v>5.4880000000000005E-2</v>
      </c>
      <c r="N6597" s="119">
        <f t="shared" si="922"/>
        <v>0</v>
      </c>
      <c r="O6597" s="120">
        <f t="shared" si="923"/>
        <v>0</v>
      </c>
      <c r="P6597" s="130"/>
      <c r="Q6597" s="111"/>
      <c r="R6597" s="111"/>
    </row>
    <row r="6598" spans="1:19" ht="15.6">
      <c r="A6598" s="110" t="s">
        <v>238</v>
      </c>
      <c r="B6598" s="111" t="s">
        <v>232</v>
      </c>
      <c r="C6598" s="112" t="s">
        <v>228</v>
      </c>
      <c r="D6598" s="113" t="s">
        <v>236</v>
      </c>
      <c r="E6598" s="114" t="s">
        <v>15</v>
      </c>
      <c r="F6598" s="115" t="s">
        <v>18</v>
      </c>
      <c r="G6598" s="116">
        <v>6.86</v>
      </c>
      <c r="H6598" s="125">
        <v>7</v>
      </c>
      <c r="I6598" s="111">
        <v>1</v>
      </c>
      <c r="J6598" s="117">
        <f t="shared" si="920"/>
        <v>4.802E-2</v>
      </c>
      <c r="K6598" s="118"/>
      <c r="L6598" s="111">
        <v>1</v>
      </c>
      <c r="M6598" s="117">
        <f t="shared" si="921"/>
        <v>4.802E-2</v>
      </c>
      <c r="N6598" s="119">
        <f t="shared" si="922"/>
        <v>0</v>
      </c>
      <c r="O6598" s="120">
        <f t="shared" si="923"/>
        <v>0</v>
      </c>
      <c r="P6598" s="79">
        <v>7</v>
      </c>
      <c r="Q6598" s="72">
        <v>1</v>
      </c>
      <c r="R6598" s="72" t="s">
        <v>734</v>
      </c>
    </row>
    <row r="6599" spans="1:19" ht="15.6">
      <c r="A6599" s="110" t="s">
        <v>238</v>
      </c>
      <c r="B6599" s="111" t="s">
        <v>232</v>
      </c>
      <c r="C6599" s="112" t="s">
        <v>228</v>
      </c>
      <c r="D6599" s="113" t="s">
        <v>236</v>
      </c>
      <c r="E6599" s="114" t="s">
        <v>15</v>
      </c>
      <c r="F6599" s="115" t="s">
        <v>18</v>
      </c>
      <c r="G6599" s="116">
        <v>6.86</v>
      </c>
      <c r="H6599" s="125">
        <v>11.5</v>
      </c>
      <c r="I6599" s="111">
        <v>1</v>
      </c>
      <c r="J6599" s="117">
        <f t="shared" si="920"/>
        <v>7.8890000000000002E-2</v>
      </c>
      <c r="K6599" s="118"/>
      <c r="L6599" s="111">
        <v>1</v>
      </c>
      <c r="M6599" s="117">
        <f t="shared" si="921"/>
        <v>7.8890000000000002E-2</v>
      </c>
      <c r="N6599" s="119">
        <f t="shared" si="922"/>
        <v>0</v>
      </c>
      <c r="O6599" s="120">
        <f t="shared" si="923"/>
        <v>0</v>
      </c>
      <c r="P6599" s="130"/>
      <c r="Q6599" s="111"/>
      <c r="R6599" s="111"/>
    </row>
    <row r="6600" spans="1:19" ht="15.6">
      <c r="A6600" s="110" t="s">
        <v>238</v>
      </c>
      <c r="B6600" s="111" t="s">
        <v>232</v>
      </c>
      <c r="C6600" s="112" t="s">
        <v>228</v>
      </c>
      <c r="D6600" s="113" t="s">
        <v>236</v>
      </c>
      <c r="E6600" s="114" t="s">
        <v>15</v>
      </c>
      <c r="F6600" s="115" t="s">
        <v>18</v>
      </c>
      <c r="G6600" s="116">
        <v>6.86</v>
      </c>
      <c r="H6600" s="125">
        <v>11.2</v>
      </c>
      <c r="I6600" s="111">
        <v>3</v>
      </c>
      <c r="J6600" s="117">
        <f t="shared" si="920"/>
        <v>0.23049599999999998</v>
      </c>
      <c r="K6600" s="118"/>
      <c r="L6600" s="111">
        <f>2+1</f>
        <v>3</v>
      </c>
      <c r="M6600" s="117">
        <f t="shared" si="921"/>
        <v>0.23049599999999998</v>
      </c>
      <c r="N6600" s="119">
        <f t="shared" si="922"/>
        <v>0</v>
      </c>
      <c r="O6600" s="120">
        <f t="shared" si="923"/>
        <v>0</v>
      </c>
      <c r="P6600" s="130"/>
      <c r="Q6600" s="111"/>
      <c r="R6600" s="111"/>
    </row>
    <row r="6601" spans="1:19" ht="15.6">
      <c r="A6601" s="110" t="s">
        <v>238</v>
      </c>
      <c r="B6601" s="111" t="s">
        <v>232</v>
      </c>
      <c r="C6601" s="112" t="s">
        <v>228</v>
      </c>
      <c r="D6601" s="113" t="s">
        <v>236</v>
      </c>
      <c r="E6601" s="114" t="s">
        <v>15</v>
      </c>
      <c r="F6601" s="115" t="s">
        <v>18</v>
      </c>
      <c r="G6601" s="116">
        <v>6.86</v>
      </c>
      <c r="H6601" s="125">
        <v>11.1</v>
      </c>
      <c r="I6601" s="111">
        <v>2</v>
      </c>
      <c r="J6601" s="117">
        <f t="shared" si="920"/>
        <v>0.15229200000000001</v>
      </c>
      <c r="K6601" s="118"/>
      <c r="L6601" s="111">
        <v>2</v>
      </c>
      <c r="M6601" s="117">
        <f t="shared" si="921"/>
        <v>0.15229200000000001</v>
      </c>
      <c r="N6601" s="119">
        <f t="shared" si="922"/>
        <v>0</v>
      </c>
      <c r="O6601" s="120">
        <f t="shared" si="923"/>
        <v>0</v>
      </c>
      <c r="P6601" s="130"/>
      <c r="Q6601" s="111"/>
      <c r="R6601" s="111"/>
    </row>
    <row r="6602" spans="1:19" ht="15.6">
      <c r="A6602" s="110" t="s">
        <v>238</v>
      </c>
      <c r="B6602" s="111" t="s">
        <v>232</v>
      </c>
      <c r="C6602" s="112" t="s">
        <v>228</v>
      </c>
      <c r="D6602" s="113" t="s">
        <v>236</v>
      </c>
      <c r="E6602" s="114" t="s">
        <v>15</v>
      </c>
      <c r="F6602" s="115" t="s">
        <v>18</v>
      </c>
      <c r="G6602" s="116">
        <v>6.86</v>
      </c>
      <c r="H6602" s="125">
        <v>11</v>
      </c>
      <c r="I6602" s="111">
        <v>1</v>
      </c>
      <c r="J6602" s="117">
        <f t="shared" si="920"/>
        <v>7.5460000000000013E-2</v>
      </c>
      <c r="K6602" s="118"/>
      <c r="L6602" s="111">
        <v>1</v>
      </c>
      <c r="M6602" s="117">
        <f t="shared" si="921"/>
        <v>7.5460000000000013E-2</v>
      </c>
      <c r="N6602" s="119">
        <f t="shared" si="922"/>
        <v>0</v>
      </c>
      <c r="O6602" s="120">
        <f t="shared" si="923"/>
        <v>0</v>
      </c>
      <c r="P6602" s="130"/>
      <c r="Q6602" s="111"/>
      <c r="R6602" s="111"/>
    </row>
    <row r="6603" spans="1:19">
      <c r="A6603" s="32"/>
      <c r="B6603" s="32"/>
      <c r="C6603" s="32"/>
      <c r="D6603" s="32"/>
      <c r="E6603" s="32"/>
      <c r="F6603" s="32"/>
      <c r="G6603" s="32"/>
      <c r="H6603" s="32"/>
      <c r="I6603" s="129">
        <f>SUM(I6566:I6602)</f>
        <v>1120</v>
      </c>
      <c r="J6603" s="124">
        <f>SUM(J6566:J6602)</f>
        <v>76.720525000000038</v>
      </c>
      <c r="K6603" s="32"/>
      <c r="L6603" s="129">
        <f>SUM(L6566:L6602)</f>
        <v>1120</v>
      </c>
      <c r="M6603" s="124">
        <f>SUM(M6566:M6602)</f>
        <v>76.720525000000038</v>
      </c>
      <c r="N6603" s="131">
        <f>SUM(N6566:N6602)</f>
        <v>0</v>
      </c>
      <c r="O6603" s="132">
        <f>SUM(O6566:O6602)</f>
        <v>0</v>
      </c>
      <c r="P6603" s="32"/>
      <c r="Q6603" s="171">
        <f>SUM(Q6566:Q6602)</f>
        <v>19</v>
      </c>
      <c r="R6603" s="32"/>
    </row>
    <row r="6606" spans="1:19" ht="15.6">
      <c r="A6606" s="110" t="s">
        <v>502</v>
      </c>
      <c r="B6606" s="111" t="s">
        <v>232</v>
      </c>
      <c r="C6606" s="112" t="s">
        <v>468</v>
      </c>
      <c r="D6606" s="113" t="s">
        <v>131</v>
      </c>
      <c r="E6606" s="114" t="s">
        <v>15</v>
      </c>
      <c r="F6606" s="115" t="s">
        <v>18</v>
      </c>
      <c r="G6606" s="116">
        <v>6.86</v>
      </c>
      <c r="H6606" s="126">
        <v>7.6</v>
      </c>
      <c r="I6606" s="111">
        <f>54+27+50+19</f>
        <v>150</v>
      </c>
      <c r="J6606" s="117">
        <f t="shared" ref="J6606:J6615" si="924">H6606*G6606*I6606/1000</f>
        <v>7.8204000000000002</v>
      </c>
      <c r="K6606" s="118"/>
      <c r="L6606" s="111">
        <f>1+144+5</f>
        <v>150</v>
      </c>
      <c r="M6606" s="117">
        <f t="shared" ref="M6606:M6615" si="925">H6606*L6606*G6606/1000</f>
        <v>7.8204000000000002</v>
      </c>
      <c r="N6606" s="119">
        <f t="shared" ref="N6606:N6615" si="926">I6606-L6606</f>
        <v>0</v>
      </c>
      <c r="O6606" s="120">
        <f t="shared" ref="O6606:O6615" si="927">H6606*N6606*G6606/1000</f>
        <v>0</v>
      </c>
      <c r="P6606" s="79">
        <v>7.6</v>
      </c>
      <c r="Q6606" s="72">
        <v>5</v>
      </c>
      <c r="R6606" s="72" t="s">
        <v>734</v>
      </c>
      <c r="S6606" s="32"/>
    </row>
    <row r="6607" spans="1:19" ht="15.6">
      <c r="A6607" s="110" t="s">
        <v>502</v>
      </c>
      <c r="B6607" s="111" t="s">
        <v>232</v>
      </c>
      <c r="C6607" s="112" t="s">
        <v>468</v>
      </c>
      <c r="D6607" s="113" t="s">
        <v>131</v>
      </c>
      <c r="E6607" s="114" t="s">
        <v>15</v>
      </c>
      <c r="F6607" s="115" t="s">
        <v>18</v>
      </c>
      <c r="G6607" s="116">
        <v>6.86</v>
      </c>
      <c r="H6607" s="126">
        <v>10</v>
      </c>
      <c r="I6607" s="111">
        <f>21+9-17</f>
        <v>13</v>
      </c>
      <c r="J6607" s="117">
        <f t="shared" si="924"/>
        <v>0.89180000000000004</v>
      </c>
      <c r="K6607" s="118"/>
      <c r="L6607" s="111">
        <v>13</v>
      </c>
      <c r="M6607" s="117">
        <f t="shared" si="925"/>
        <v>0.89180000000000004</v>
      </c>
      <c r="N6607" s="119">
        <f t="shared" si="926"/>
        <v>0</v>
      </c>
      <c r="O6607" s="120">
        <f t="shared" si="927"/>
        <v>0</v>
      </c>
      <c r="P6607" s="55"/>
      <c r="Q6607" s="67"/>
      <c r="R6607" s="32"/>
      <c r="S6607" s="32"/>
    </row>
    <row r="6608" spans="1:19" ht="15.6">
      <c r="A6608" s="110" t="s">
        <v>502</v>
      </c>
      <c r="B6608" s="111" t="s">
        <v>232</v>
      </c>
      <c r="C6608" s="112" t="s">
        <v>468</v>
      </c>
      <c r="D6608" s="113" t="s">
        <v>131</v>
      </c>
      <c r="E6608" s="114" t="s">
        <v>15</v>
      </c>
      <c r="F6608" s="115" t="s">
        <v>18</v>
      </c>
      <c r="G6608" s="116">
        <v>6.86</v>
      </c>
      <c r="H6608" s="126">
        <v>12</v>
      </c>
      <c r="I6608" s="111">
        <v>16</v>
      </c>
      <c r="J6608" s="117">
        <f t="shared" si="924"/>
        <v>1.3171200000000001</v>
      </c>
      <c r="K6608" s="118"/>
      <c r="L6608" s="111">
        <v>16</v>
      </c>
      <c r="M6608" s="117">
        <f t="shared" si="925"/>
        <v>1.3171200000000001</v>
      </c>
      <c r="N6608" s="119">
        <f t="shared" si="926"/>
        <v>0</v>
      </c>
      <c r="O6608" s="120">
        <f t="shared" si="927"/>
        <v>0</v>
      </c>
      <c r="P6608" s="55"/>
      <c r="Q6608" s="67"/>
      <c r="R6608" s="32"/>
      <c r="S6608" s="32"/>
    </row>
    <row r="6609" spans="1:22" ht="15.6">
      <c r="A6609" s="110" t="s">
        <v>502</v>
      </c>
      <c r="B6609" s="111" t="s">
        <v>232</v>
      </c>
      <c r="C6609" s="112" t="s">
        <v>468</v>
      </c>
      <c r="D6609" s="113" t="s">
        <v>131</v>
      </c>
      <c r="E6609" s="114" t="s">
        <v>15</v>
      </c>
      <c r="F6609" s="115" t="s">
        <v>18</v>
      </c>
      <c r="G6609" s="116">
        <v>6.86</v>
      </c>
      <c r="H6609" s="126">
        <v>11.5</v>
      </c>
      <c r="I6609" s="111">
        <v>1</v>
      </c>
      <c r="J6609" s="117">
        <f t="shared" si="924"/>
        <v>7.8890000000000002E-2</v>
      </c>
      <c r="K6609" s="118"/>
      <c r="L6609" s="111">
        <v>1</v>
      </c>
      <c r="M6609" s="117">
        <f t="shared" si="925"/>
        <v>7.8890000000000002E-2</v>
      </c>
      <c r="N6609" s="119">
        <f t="shared" si="926"/>
        <v>0</v>
      </c>
      <c r="O6609" s="120">
        <f t="shared" si="927"/>
        <v>0</v>
      </c>
      <c r="P6609" s="79">
        <v>11.5</v>
      </c>
      <c r="Q6609" s="565">
        <v>1</v>
      </c>
      <c r="R6609" s="72" t="s">
        <v>734</v>
      </c>
      <c r="S6609" s="32"/>
    </row>
    <row r="6610" spans="1:22" ht="15.6">
      <c r="A6610" s="110" t="s">
        <v>502</v>
      </c>
      <c r="B6610" s="111" t="s">
        <v>232</v>
      </c>
      <c r="C6610" s="112" t="s">
        <v>468</v>
      </c>
      <c r="D6610" s="113" t="s">
        <v>131</v>
      </c>
      <c r="E6610" s="114" t="s">
        <v>15</v>
      </c>
      <c r="F6610" s="115" t="s">
        <v>18</v>
      </c>
      <c r="G6610" s="116">
        <v>6.86</v>
      </c>
      <c r="H6610" s="126">
        <v>9.5</v>
      </c>
      <c r="I6610" s="111">
        <v>1</v>
      </c>
      <c r="J6610" s="117">
        <f t="shared" si="924"/>
        <v>6.5170000000000006E-2</v>
      </c>
      <c r="K6610" s="118"/>
      <c r="L6610" s="111">
        <v>1</v>
      </c>
      <c r="M6610" s="117">
        <f t="shared" si="925"/>
        <v>6.5170000000000006E-2</v>
      </c>
      <c r="N6610" s="119">
        <f t="shared" si="926"/>
        <v>0</v>
      </c>
      <c r="O6610" s="120">
        <f t="shared" si="927"/>
        <v>0</v>
      </c>
      <c r="P6610" s="79">
        <v>9.5</v>
      </c>
      <c r="Q6610" s="565">
        <v>1</v>
      </c>
      <c r="R6610" s="72" t="s">
        <v>734</v>
      </c>
      <c r="S6610" s="32"/>
    </row>
    <row r="6611" spans="1:22" ht="15.6">
      <c r="A6611" s="110" t="s">
        <v>502</v>
      </c>
      <c r="B6611" s="111" t="s">
        <v>232</v>
      </c>
      <c r="C6611" s="112" t="s">
        <v>468</v>
      </c>
      <c r="D6611" s="113" t="s">
        <v>131</v>
      </c>
      <c r="E6611" s="114" t="s">
        <v>15</v>
      </c>
      <c r="F6611" s="115" t="s">
        <v>18</v>
      </c>
      <c r="G6611" s="116">
        <v>6.86</v>
      </c>
      <c r="H6611" s="126">
        <v>7.2</v>
      </c>
      <c r="I6611" s="111">
        <v>2</v>
      </c>
      <c r="J6611" s="117">
        <f t="shared" si="924"/>
        <v>9.8784000000000011E-2</v>
      </c>
      <c r="K6611" s="118"/>
      <c r="L6611" s="111">
        <v>2</v>
      </c>
      <c r="M6611" s="117">
        <f t="shared" si="925"/>
        <v>9.8784000000000011E-2</v>
      </c>
      <c r="N6611" s="119">
        <f t="shared" si="926"/>
        <v>0</v>
      </c>
      <c r="O6611" s="120">
        <f t="shared" si="927"/>
        <v>0</v>
      </c>
      <c r="P6611" s="79">
        <v>7.2</v>
      </c>
      <c r="Q6611" s="565">
        <v>2</v>
      </c>
      <c r="R6611" s="72" t="s">
        <v>734</v>
      </c>
      <c r="S6611" s="32"/>
    </row>
    <row r="6612" spans="1:22" ht="15.6">
      <c r="A6612" s="110" t="s">
        <v>502</v>
      </c>
      <c r="B6612" s="111" t="s">
        <v>232</v>
      </c>
      <c r="C6612" s="112" t="s">
        <v>468</v>
      </c>
      <c r="D6612" s="113" t="s">
        <v>131</v>
      </c>
      <c r="E6612" s="114" t="s">
        <v>15</v>
      </c>
      <c r="F6612" s="115" t="s">
        <v>18</v>
      </c>
      <c r="G6612" s="116">
        <v>6.86</v>
      </c>
      <c r="H6612" s="126">
        <v>12</v>
      </c>
      <c r="I6612" s="111">
        <f>15+18</f>
        <v>33</v>
      </c>
      <c r="J6612" s="117">
        <f t="shared" si="924"/>
        <v>2.7165600000000003</v>
      </c>
      <c r="K6612" s="118"/>
      <c r="L6612" s="111">
        <v>33</v>
      </c>
      <c r="M6612" s="117">
        <f t="shared" si="925"/>
        <v>2.7165599999999999</v>
      </c>
      <c r="N6612" s="119">
        <f t="shared" si="926"/>
        <v>0</v>
      </c>
      <c r="O6612" s="120">
        <f t="shared" si="927"/>
        <v>0</v>
      </c>
      <c r="P6612" s="55"/>
      <c r="Q6612" s="67"/>
      <c r="R6612" s="32"/>
      <c r="S6612" s="32"/>
    </row>
    <row r="6613" spans="1:22" ht="15.6">
      <c r="A6613" s="110" t="s">
        <v>502</v>
      </c>
      <c r="B6613" s="111" t="s">
        <v>232</v>
      </c>
      <c r="C6613" s="112" t="s">
        <v>468</v>
      </c>
      <c r="D6613" s="113" t="s">
        <v>131</v>
      </c>
      <c r="E6613" s="114" t="s">
        <v>15</v>
      </c>
      <c r="F6613" s="115" t="s">
        <v>18</v>
      </c>
      <c r="G6613" s="116">
        <v>6.86</v>
      </c>
      <c r="H6613" s="126">
        <v>7.2</v>
      </c>
      <c r="I6613" s="111">
        <v>1</v>
      </c>
      <c r="J6613" s="117">
        <f t="shared" si="924"/>
        <v>4.9392000000000005E-2</v>
      </c>
      <c r="K6613" s="118"/>
      <c r="L6613" s="111">
        <v>1</v>
      </c>
      <c r="M6613" s="117">
        <f t="shared" si="925"/>
        <v>4.9392000000000005E-2</v>
      </c>
      <c r="N6613" s="119">
        <f t="shared" si="926"/>
        <v>0</v>
      </c>
      <c r="O6613" s="120">
        <f t="shared" si="927"/>
        <v>0</v>
      </c>
      <c r="P6613" s="79">
        <v>7.2</v>
      </c>
      <c r="Q6613" s="565">
        <v>1</v>
      </c>
      <c r="R6613" s="72" t="s">
        <v>734</v>
      </c>
      <c r="S6613" s="32"/>
    </row>
    <row r="6614" spans="1:22" ht="15.6">
      <c r="A6614" s="110" t="s">
        <v>502</v>
      </c>
      <c r="B6614" s="111" t="s">
        <v>232</v>
      </c>
      <c r="C6614" s="112" t="s">
        <v>468</v>
      </c>
      <c r="D6614" s="113" t="s">
        <v>131</v>
      </c>
      <c r="E6614" s="114" t="s">
        <v>15</v>
      </c>
      <c r="F6614" s="115" t="s">
        <v>18</v>
      </c>
      <c r="G6614" s="116">
        <v>6.86</v>
      </c>
      <c r="H6614" s="126">
        <v>11</v>
      </c>
      <c r="I6614" s="111">
        <v>1</v>
      </c>
      <c r="J6614" s="117">
        <f t="shared" si="924"/>
        <v>7.5460000000000013E-2</v>
      </c>
      <c r="K6614" s="118"/>
      <c r="L6614" s="111">
        <v>1</v>
      </c>
      <c r="M6614" s="117">
        <f t="shared" si="925"/>
        <v>7.5460000000000013E-2</v>
      </c>
      <c r="N6614" s="119">
        <f t="shared" si="926"/>
        <v>0</v>
      </c>
      <c r="O6614" s="120">
        <f t="shared" si="927"/>
        <v>0</v>
      </c>
      <c r="P6614" s="79">
        <v>11</v>
      </c>
      <c r="Q6614" s="565">
        <v>1</v>
      </c>
      <c r="R6614" s="72" t="s">
        <v>734</v>
      </c>
      <c r="S6614" s="32"/>
    </row>
    <row r="6615" spans="1:22" ht="15.6">
      <c r="A6615" s="110" t="s">
        <v>502</v>
      </c>
      <c r="B6615" s="111" t="s">
        <v>232</v>
      </c>
      <c r="C6615" s="112" t="s">
        <v>468</v>
      </c>
      <c r="D6615" s="113" t="s">
        <v>131</v>
      </c>
      <c r="E6615" s="114" t="s">
        <v>15</v>
      </c>
      <c r="F6615" s="115" t="s">
        <v>18</v>
      </c>
      <c r="G6615" s="116">
        <v>6.86</v>
      </c>
      <c r="H6615" s="126">
        <v>11.7</v>
      </c>
      <c r="I6615" s="111">
        <v>2</v>
      </c>
      <c r="J6615" s="117">
        <f t="shared" si="924"/>
        <v>0.160524</v>
      </c>
      <c r="K6615" s="118"/>
      <c r="L6615" s="111">
        <v>2</v>
      </c>
      <c r="M6615" s="117">
        <f t="shared" si="925"/>
        <v>0.160524</v>
      </c>
      <c r="N6615" s="119">
        <f t="shared" si="926"/>
        <v>0</v>
      </c>
      <c r="O6615" s="120">
        <f t="shared" si="927"/>
        <v>0</v>
      </c>
      <c r="P6615" s="79">
        <v>11.7</v>
      </c>
      <c r="Q6615" s="72">
        <v>2</v>
      </c>
      <c r="R6615" s="72" t="s">
        <v>734</v>
      </c>
      <c r="S6615" s="32"/>
    </row>
    <row r="6616" spans="1:22">
      <c r="A6616" s="213"/>
      <c r="B6616" s="213"/>
      <c r="C6616" s="213"/>
      <c r="D6616" s="213"/>
      <c r="E6616" s="213"/>
      <c r="F6616" s="213"/>
      <c r="G6616" s="213"/>
      <c r="H6616" s="213"/>
      <c r="I6616" s="215">
        <f>SUM(I6606:I6615)</f>
        <v>220</v>
      </c>
      <c r="J6616" s="214">
        <f>SUM(J6606:J6615)</f>
        <v>13.274100000000001</v>
      </c>
      <c r="K6616" s="213"/>
      <c r="L6616" s="215">
        <f>SUM(L6606:L6615)</f>
        <v>220</v>
      </c>
      <c r="M6616" s="214">
        <f>SUM(M6606:M6615)</f>
        <v>13.274100000000001</v>
      </c>
      <c r="N6616" s="78">
        <f>SUM(N6606:N6615)</f>
        <v>0</v>
      </c>
      <c r="O6616" s="128">
        <f>SUM(O6606:O6615)</f>
        <v>0</v>
      </c>
      <c r="P6616" s="213"/>
      <c r="Q6616" s="78">
        <f>SUM(Q6606:Q6615)</f>
        <v>13</v>
      </c>
      <c r="R6616" s="213"/>
      <c r="S6616" s="213"/>
    </row>
    <row r="6618" spans="1:22" ht="15.6">
      <c r="A6618" s="110" t="s">
        <v>502</v>
      </c>
      <c r="B6618" s="111" t="s">
        <v>501</v>
      </c>
      <c r="C6618" s="112" t="s">
        <v>468</v>
      </c>
      <c r="D6618" s="113" t="s">
        <v>131</v>
      </c>
      <c r="E6618" s="114" t="s">
        <v>15</v>
      </c>
      <c r="F6618" s="115" t="s">
        <v>18</v>
      </c>
      <c r="G6618" s="116">
        <v>6.86</v>
      </c>
      <c r="H6618" s="319">
        <v>9</v>
      </c>
      <c r="I6618" s="313">
        <f>16+44+40+34+30</f>
        <v>164</v>
      </c>
      <c r="J6618" s="117">
        <f t="shared" ref="J6618:J6645" si="928">H6618*G6618*I6618/1000</f>
        <v>10.125360000000001</v>
      </c>
      <c r="K6618" s="118"/>
      <c r="L6618" s="111">
        <f>160-24+18+10</f>
        <v>164</v>
      </c>
      <c r="M6618" s="117">
        <f t="shared" ref="M6618:M6645" si="929">H6618*L6618*G6618/1000</f>
        <v>10.125360000000001</v>
      </c>
      <c r="N6618" s="119">
        <f t="shared" ref="N6618:N6645" si="930">I6618-L6618</f>
        <v>0</v>
      </c>
      <c r="O6618" s="120">
        <f t="shared" ref="O6618:O6645" si="931">H6618*N6618*G6618/1000</f>
        <v>0</v>
      </c>
      <c r="P6618" s="32"/>
      <c r="Q6618" s="32"/>
      <c r="R6618" s="32"/>
      <c r="S6618" s="98">
        <v>7.8</v>
      </c>
      <c r="T6618" s="91">
        <v>10</v>
      </c>
      <c r="U6618" s="156"/>
      <c r="V6618" s="213"/>
    </row>
    <row r="6619" spans="1:22" ht="15.6">
      <c r="A6619" s="110" t="s">
        <v>502</v>
      </c>
      <c r="B6619" s="111" t="s">
        <v>501</v>
      </c>
      <c r="C6619" s="112" t="s">
        <v>468</v>
      </c>
      <c r="D6619" s="113" t="s">
        <v>131</v>
      </c>
      <c r="E6619" s="114" t="s">
        <v>15</v>
      </c>
      <c r="F6619" s="115" t="s">
        <v>18</v>
      </c>
      <c r="G6619" s="116">
        <v>6.86</v>
      </c>
      <c r="H6619" s="319">
        <v>10</v>
      </c>
      <c r="I6619" s="313">
        <f>6+52</f>
        <v>58</v>
      </c>
      <c r="J6619" s="117">
        <f t="shared" si="928"/>
        <v>3.9788000000000006</v>
      </c>
      <c r="K6619" s="118"/>
      <c r="L6619" s="111">
        <f>6+35+17</f>
        <v>58</v>
      </c>
      <c r="M6619" s="117">
        <f t="shared" si="929"/>
        <v>3.9788000000000001</v>
      </c>
      <c r="N6619" s="119">
        <f t="shared" si="930"/>
        <v>0</v>
      </c>
      <c r="O6619" s="120">
        <f t="shared" si="931"/>
        <v>0</v>
      </c>
      <c r="P6619" s="32"/>
      <c r="Q6619" s="32"/>
      <c r="R6619" s="32"/>
      <c r="S6619" s="98" t="s">
        <v>797</v>
      </c>
      <c r="T6619" s="156">
        <f>35+7+17</f>
        <v>59</v>
      </c>
      <c r="U6619" s="156" t="s">
        <v>798</v>
      </c>
      <c r="V6619" s="213"/>
    </row>
    <row r="6620" spans="1:22" ht="15.6">
      <c r="A6620" s="110" t="s">
        <v>502</v>
      </c>
      <c r="B6620" s="111" t="s">
        <v>501</v>
      </c>
      <c r="C6620" s="112" t="s">
        <v>468</v>
      </c>
      <c r="D6620" s="113" t="s">
        <v>131</v>
      </c>
      <c r="E6620" s="114" t="s">
        <v>15</v>
      </c>
      <c r="F6620" s="115" t="s">
        <v>18</v>
      </c>
      <c r="G6620" s="116">
        <v>6.86</v>
      </c>
      <c r="H6620" s="125">
        <v>11.5</v>
      </c>
      <c r="I6620" s="313">
        <f>40+48+44+42+42+42+42+39+41+40+40+40+40+37+40</f>
        <v>617</v>
      </c>
      <c r="J6620" s="117">
        <f t="shared" si="928"/>
        <v>48.675129999999996</v>
      </c>
      <c r="K6620" s="118"/>
      <c r="L6620" s="111">
        <v>617</v>
      </c>
      <c r="M6620" s="117">
        <f t="shared" si="929"/>
        <v>48.675130000000003</v>
      </c>
      <c r="N6620" s="119">
        <f t="shared" si="930"/>
        <v>0</v>
      </c>
      <c r="O6620" s="120">
        <f t="shared" si="931"/>
        <v>0</v>
      </c>
      <c r="P6620" s="32"/>
      <c r="Q6620" s="32"/>
      <c r="R6620" s="32"/>
      <c r="S6620" s="98"/>
      <c r="T6620" s="156"/>
      <c r="U6620" s="156"/>
      <c r="V6620" s="213"/>
    </row>
    <row r="6621" spans="1:22" ht="15.6">
      <c r="A6621" s="110" t="s">
        <v>502</v>
      </c>
      <c r="B6621" s="111" t="s">
        <v>501</v>
      </c>
      <c r="C6621" s="112" t="s">
        <v>468</v>
      </c>
      <c r="D6621" s="113" t="s">
        <v>131</v>
      </c>
      <c r="E6621" s="114" t="s">
        <v>15</v>
      </c>
      <c r="F6621" s="115" t="s">
        <v>18</v>
      </c>
      <c r="G6621" s="116">
        <v>6.86</v>
      </c>
      <c r="H6621" s="125">
        <v>11</v>
      </c>
      <c r="I6621" s="111">
        <v>7</v>
      </c>
      <c r="J6621" s="117">
        <f t="shared" si="928"/>
        <v>0.52822000000000002</v>
      </c>
      <c r="K6621" s="118"/>
      <c r="L6621" s="111">
        <f>5+2</f>
        <v>7</v>
      </c>
      <c r="M6621" s="117">
        <f t="shared" si="929"/>
        <v>0.52822000000000002</v>
      </c>
      <c r="N6621" s="119">
        <f t="shared" si="930"/>
        <v>0</v>
      </c>
      <c r="O6621" s="120">
        <f t="shared" si="931"/>
        <v>0</v>
      </c>
      <c r="P6621" s="33">
        <v>11</v>
      </c>
      <c r="Q6621" s="45">
        <v>5</v>
      </c>
      <c r="R6621" s="32" t="s">
        <v>631</v>
      </c>
      <c r="S6621" s="98">
        <v>11</v>
      </c>
      <c r="T6621" s="156">
        <v>2</v>
      </c>
      <c r="U6621" s="156" t="s">
        <v>233</v>
      </c>
      <c r="V6621" s="213"/>
    </row>
    <row r="6622" spans="1:22" ht="15.6">
      <c r="A6622" s="110" t="s">
        <v>502</v>
      </c>
      <c r="B6622" s="111" t="s">
        <v>501</v>
      </c>
      <c r="C6622" s="112" t="s">
        <v>468</v>
      </c>
      <c r="D6622" s="113" t="s">
        <v>131</v>
      </c>
      <c r="E6622" s="114" t="s">
        <v>15</v>
      </c>
      <c r="F6622" s="115" t="s">
        <v>18</v>
      </c>
      <c r="G6622" s="116">
        <v>6.86</v>
      </c>
      <c r="H6622" s="125">
        <v>10.5</v>
      </c>
      <c r="I6622" s="111">
        <v>1</v>
      </c>
      <c r="J6622" s="117">
        <f t="shared" si="928"/>
        <v>7.2029999999999997E-2</v>
      </c>
      <c r="K6622" s="118"/>
      <c r="L6622" s="111">
        <v>1</v>
      </c>
      <c r="M6622" s="117">
        <f t="shared" si="929"/>
        <v>7.2029999999999997E-2</v>
      </c>
      <c r="N6622" s="119">
        <f t="shared" si="930"/>
        <v>0</v>
      </c>
      <c r="O6622" s="120">
        <f t="shared" si="931"/>
        <v>0</v>
      </c>
      <c r="P6622" s="33"/>
      <c r="Q6622" s="32"/>
      <c r="R6622" s="32"/>
      <c r="S6622" s="98">
        <v>10.5</v>
      </c>
      <c r="T6622" s="156">
        <v>1</v>
      </c>
      <c r="U6622" s="156" t="s">
        <v>233</v>
      </c>
      <c r="V6622" s="213"/>
    </row>
    <row r="6623" spans="1:22" ht="15.6">
      <c r="A6623" s="110" t="s">
        <v>502</v>
      </c>
      <c r="B6623" s="111" t="s">
        <v>501</v>
      </c>
      <c r="C6623" s="112" t="s">
        <v>468</v>
      </c>
      <c r="D6623" s="113" t="s">
        <v>131</v>
      </c>
      <c r="E6623" s="114" t="s">
        <v>15</v>
      </c>
      <c r="F6623" s="115" t="s">
        <v>18</v>
      </c>
      <c r="G6623" s="116">
        <v>6.86</v>
      </c>
      <c r="H6623" s="125">
        <v>10</v>
      </c>
      <c r="I6623" s="111">
        <v>16</v>
      </c>
      <c r="J6623" s="117">
        <f t="shared" si="928"/>
        <v>1.0976000000000001</v>
      </c>
      <c r="K6623" s="118"/>
      <c r="L6623" s="111">
        <f>1+15</f>
        <v>16</v>
      </c>
      <c r="M6623" s="117">
        <f t="shared" si="929"/>
        <v>1.0976000000000001</v>
      </c>
      <c r="N6623" s="119">
        <f t="shared" si="930"/>
        <v>0</v>
      </c>
      <c r="O6623" s="120">
        <f t="shared" si="931"/>
        <v>0</v>
      </c>
      <c r="P6623" s="33"/>
      <c r="Q6623" s="32"/>
      <c r="R6623" s="32"/>
      <c r="S6623" s="98">
        <v>7.8</v>
      </c>
      <c r="T6623" s="156">
        <v>15</v>
      </c>
      <c r="U6623" s="156"/>
      <c r="V6623" s="213"/>
    </row>
    <row r="6624" spans="1:22" ht="15.6">
      <c r="A6624" s="110" t="s">
        <v>502</v>
      </c>
      <c r="B6624" s="111" t="s">
        <v>501</v>
      </c>
      <c r="C6624" s="112" t="s">
        <v>468</v>
      </c>
      <c r="D6624" s="113" t="s">
        <v>131</v>
      </c>
      <c r="E6624" s="114" t="s">
        <v>15</v>
      </c>
      <c r="F6624" s="115" t="s">
        <v>18</v>
      </c>
      <c r="G6624" s="116">
        <v>6.86</v>
      </c>
      <c r="H6624" s="125">
        <v>9.5</v>
      </c>
      <c r="I6624" s="111">
        <v>2</v>
      </c>
      <c r="J6624" s="117">
        <f t="shared" si="928"/>
        <v>0.13034000000000001</v>
      </c>
      <c r="K6624" s="118"/>
      <c r="L6624" s="111">
        <v>2</v>
      </c>
      <c r="M6624" s="117">
        <f t="shared" si="929"/>
        <v>0.13034000000000001</v>
      </c>
      <c r="N6624" s="119">
        <f t="shared" si="930"/>
        <v>0</v>
      </c>
      <c r="O6624" s="120">
        <f t="shared" si="931"/>
        <v>0</v>
      </c>
      <c r="P6624" s="33"/>
      <c r="Q6624" s="32"/>
      <c r="R6624" s="32"/>
      <c r="S6624" s="98">
        <v>7.8</v>
      </c>
      <c r="T6624" s="156">
        <v>2</v>
      </c>
      <c r="U6624" s="156"/>
      <c r="V6624" s="213"/>
    </row>
    <row r="6625" spans="1:22" ht="15.6">
      <c r="A6625" s="110" t="s">
        <v>502</v>
      </c>
      <c r="B6625" s="111" t="s">
        <v>501</v>
      </c>
      <c r="C6625" s="112" t="s">
        <v>468</v>
      </c>
      <c r="D6625" s="113" t="s">
        <v>131</v>
      </c>
      <c r="E6625" s="114" t="s">
        <v>15</v>
      </c>
      <c r="F6625" s="115" t="s">
        <v>18</v>
      </c>
      <c r="G6625" s="116">
        <v>6.86</v>
      </c>
      <c r="H6625" s="125">
        <v>8.6999999999999993</v>
      </c>
      <c r="I6625" s="111">
        <v>1</v>
      </c>
      <c r="J6625" s="117">
        <f t="shared" si="928"/>
        <v>5.9681999999999992E-2</v>
      </c>
      <c r="K6625" s="118"/>
      <c r="L6625" s="111">
        <v>1</v>
      </c>
      <c r="M6625" s="117">
        <f t="shared" si="929"/>
        <v>5.9681999999999992E-2</v>
      </c>
      <c r="N6625" s="119">
        <f t="shared" si="930"/>
        <v>0</v>
      </c>
      <c r="O6625" s="120">
        <f t="shared" si="931"/>
        <v>0</v>
      </c>
      <c r="P6625" s="33"/>
      <c r="Q6625" s="32"/>
      <c r="R6625" s="32"/>
      <c r="S6625" s="98">
        <v>7.8</v>
      </c>
      <c r="T6625" s="156">
        <v>1</v>
      </c>
      <c r="U6625" s="156"/>
      <c r="V6625" s="213"/>
    </row>
    <row r="6626" spans="1:22" ht="15.6">
      <c r="A6626" s="110" t="s">
        <v>502</v>
      </c>
      <c r="B6626" s="111" t="s">
        <v>501</v>
      </c>
      <c r="C6626" s="112" t="s">
        <v>468</v>
      </c>
      <c r="D6626" s="113" t="s">
        <v>131</v>
      </c>
      <c r="E6626" s="114" t="s">
        <v>15</v>
      </c>
      <c r="F6626" s="115" t="s">
        <v>18</v>
      </c>
      <c r="G6626" s="116">
        <v>6.86</v>
      </c>
      <c r="H6626" s="125">
        <v>8.5</v>
      </c>
      <c r="I6626" s="111">
        <v>8</v>
      </c>
      <c r="J6626" s="117">
        <f t="shared" si="928"/>
        <v>0.46648000000000001</v>
      </c>
      <c r="K6626" s="118"/>
      <c r="L6626" s="111">
        <v>8</v>
      </c>
      <c r="M6626" s="117">
        <f t="shared" si="929"/>
        <v>0.46648000000000001</v>
      </c>
      <c r="N6626" s="119">
        <f t="shared" si="930"/>
        <v>0</v>
      </c>
      <c r="O6626" s="120">
        <f t="shared" si="931"/>
        <v>0</v>
      </c>
      <c r="P6626" s="33"/>
      <c r="Q6626" s="32"/>
      <c r="R6626" s="32"/>
      <c r="S6626" s="98">
        <v>7.8</v>
      </c>
      <c r="T6626" s="156">
        <v>8</v>
      </c>
      <c r="U6626" s="156"/>
      <c r="V6626" s="213"/>
    </row>
    <row r="6627" spans="1:22" ht="15.6">
      <c r="A6627" s="110" t="s">
        <v>502</v>
      </c>
      <c r="B6627" s="111" t="s">
        <v>501</v>
      </c>
      <c r="C6627" s="112" t="s">
        <v>468</v>
      </c>
      <c r="D6627" s="113" t="s">
        <v>131</v>
      </c>
      <c r="E6627" s="114" t="s">
        <v>15</v>
      </c>
      <c r="F6627" s="115" t="s">
        <v>18</v>
      </c>
      <c r="G6627" s="116">
        <v>6.86</v>
      </c>
      <c r="H6627" s="125">
        <v>8</v>
      </c>
      <c r="I6627" s="111">
        <v>24</v>
      </c>
      <c r="J6627" s="117">
        <f t="shared" si="928"/>
        <v>1.3171200000000001</v>
      </c>
      <c r="K6627" s="118"/>
      <c r="L6627" s="111">
        <v>24</v>
      </c>
      <c r="M6627" s="117">
        <f t="shared" si="929"/>
        <v>1.3171200000000001</v>
      </c>
      <c r="N6627" s="119">
        <f t="shared" si="930"/>
        <v>0</v>
      </c>
      <c r="O6627" s="120">
        <f t="shared" si="931"/>
        <v>0</v>
      </c>
      <c r="P6627" s="33"/>
      <c r="Q6627" s="32"/>
      <c r="R6627" s="32"/>
      <c r="S6627" s="98">
        <v>7.8</v>
      </c>
      <c r="T6627" s="156">
        <v>24</v>
      </c>
      <c r="U6627" s="156"/>
      <c r="V6627" s="213"/>
    </row>
    <row r="6628" spans="1:22" ht="15.6">
      <c r="A6628" s="110" t="s">
        <v>502</v>
      </c>
      <c r="B6628" s="111" t="s">
        <v>501</v>
      </c>
      <c r="C6628" s="112" t="s">
        <v>468</v>
      </c>
      <c r="D6628" s="113" t="s">
        <v>131</v>
      </c>
      <c r="E6628" s="114" t="s">
        <v>15</v>
      </c>
      <c r="F6628" s="115" t="s">
        <v>18</v>
      </c>
      <c r="G6628" s="116">
        <v>6.86</v>
      </c>
      <c r="H6628" s="125">
        <v>7.2</v>
      </c>
      <c r="I6628" s="111">
        <v>2</v>
      </c>
      <c r="J6628" s="117">
        <f t="shared" si="928"/>
        <v>9.8784000000000011E-2</v>
      </c>
      <c r="K6628" s="118"/>
      <c r="L6628" s="111">
        <v>2</v>
      </c>
      <c r="M6628" s="117">
        <f t="shared" si="929"/>
        <v>9.8784000000000011E-2</v>
      </c>
      <c r="N6628" s="119">
        <f t="shared" si="930"/>
        <v>0</v>
      </c>
      <c r="O6628" s="120">
        <f t="shared" si="931"/>
        <v>0</v>
      </c>
      <c r="P6628" s="33"/>
      <c r="Q6628" s="32"/>
      <c r="R6628" s="32"/>
      <c r="S6628" s="98">
        <v>6.8</v>
      </c>
      <c r="T6628" s="156">
        <v>2</v>
      </c>
      <c r="U6628" s="156"/>
      <c r="V6628" s="213"/>
    </row>
    <row r="6629" spans="1:22" ht="15.6">
      <c r="A6629" s="110" t="s">
        <v>502</v>
      </c>
      <c r="B6629" s="111" t="s">
        <v>501</v>
      </c>
      <c r="C6629" s="112" t="s">
        <v>468</v>
      </c>
      <c r="D6629" s="113" t="s">
        <v>131</v>
      </c>
      <c r="E6629" s="114" t="s">
        <v>15</v>
      </c>
      <c r="F6629" s="115" t="s">
        <v>18</v>
      </c>
      <c r="G6629" s="116">
        <v>6.86</v>
      </c>
      <c r="H6629" s="125">
        <v>7.5</v>
      </c>
      <c r="I6629" s="111">
        <v>7</v>
      </c>
      <c r="J6629" s="117">
        <f t="shared" si="928"/>
        <v>0.36015000000000003</v>
      </c>
      <c r="K6629" s="118"/>
      <c r="L6629" s="111">
        <f>4+3</f>
        <v>7</v>
      </c>
      <c r="M6629" s="117">
        <f t="shared" si="929"/>
        <v>0.36015000000000003</v>
      </c>
      <c r="N6629" s="119">
        <f t="shared" si="930"/>
        <v>0</v>
      </c>
      <c r="O6629" s="120">
        <f t="shared" si="931"/>
        <v>0</v>
      </c>
      <c r="P6629" s="33" t="s">
        <v>694</v>
      </c>
      <c r="Q6629" s="45">
        <f>4+3</f>
        <v>7</v>
      </c>
      <c r="R6629" s="32" t="s">
        <v>631</v>
      </c>
      <c r="S6629" s="98"/>
      <c r="T6629" s="156"/>
      <c r="U6629" s="156"/>
      <c r="V6629" s="213"/>
    </row>
    <row r="6630" spans="1:22" ht="15.6">
      <c r="A6630" s="110" t="s">
        <v>502</v>
      </c>
      <c r="B6630" s="111" t="s">
        <v>501</v>
      </c>
      <c r="C6630" s="112" t="s">
        <v>468</v>
      </c>
      <c r="D6630" s="113" t="s">
        <v>131</v>
      </c>
      <c r="E6630" s="114" t="s">
        <v>15</v>
      </c>
      <c r="F6630" s="115" t="s">
        <v>18</v>
      </c>
      <c r="G6630" s="116">
        <v>6.86</v>
      </c>
      <c r="H6630" s="125">
        <v>6.9</v>
      </c>
      <c r="I6630" s="111">
        <v>1</v>
      </c>
      <c r="J6630" s="117">
        <f t="shared" si="928"/>
        <v>4.7334000000000001E-2</v>
      </c>
      <c r="K6630" s="118"/>
      <c r="L6630" s="111">
        <v>1</v>
      </c>
      <c r="M6630" s="117">
        <f t="shared" si="929"/>
        <v>4.7334000000000001E-2</v>
      </c>
      <c r="N6630" s="119">
        <f t="shared" si="930"/>
        <v>0</v>
      </c>
      <c r="O6630" s="120">
        <f t="shared" si="931"/>
        <v>0</v>
      </c>
      <c r="P6630" s="33"/>
      <c r="Q6630" s="32"/>
      <c r="R6630" s="32"/>
      <c r="S6630" s="98">
        <v>6.8</v>
      </c>
      <c r="T6630" s="156">
        <v>1</v>
      </c>
      <c r="U6630" s="156"/>
      <c r="V6630" s="213"/>
    </row>
    <row r="6631" spans="1:22" ht="15.6">
      <c r="A6631" s="110" t="s">
        <v>502</v>
      </c>
      <c r="B6631" s="111" t="s">
        <v>501</v>
      </c>
      <c r="C6631" s="112" t="s">
        <v>468</v>
      </c>
      <c r="D6631" s="113" t="s">
        <v>131</v>
      </c>
      <c r="E6631" s="114" t="s">
        <v>15</v>
      </c>
      <c r="F6631" s="115" t="s">
        <v>18</v>
      </c>
      <c r="G6631" s="116">
        <v>6.86</v>
      </c>
      <c r="H6631" s="125">
        <v>10.5</v>
      </c>
      <c r="I6631" s="111">
        <v>1</v>
      </c>
      <c r="J6631" s="117">
        <f t="shared" si="928"/>
        <v>7.2029999999999997E-2</v>
      </c>
      <c r="K6631" s="118"/>
      <c r="L6631" s="111">
        <v>1</v>
      </c>
      <c r="M6631" s="117">
        <f t="shared" si="929"/>
        <v>7.2029999999999997E-2</v>
      </c>
      <c r="N6631" s="119">
        <f t="shared" si="930"/>
        <v>0</v>
      </c>
      <c r="O6631" s="120">
        <f t="shared" si="931"/>
        <v>0</v>
      </c>
      <c r="P6631" s="33"/>
      <c r="Q6631" s="32"/>
      <c r="R6631" s="32"/>
      <c r="S6631" s="98">
        <v>10</v>
      </c>
      <c r="T6631" s="156">
        <v>1</v>
      </c>
      <c r="U6631" s="156"/>
      <c r="V6631" s="213"/>
    </row>
    <row r="6632" spans="1:22" ht="15.6">
      <c r="A6632" s="110" t="s">
        <v>502</v>
      </c>
      <c r="B6632" s="111" t="s">
        <v>227</v>
      </c>
      <c r="C6632" s="112" t="s">
        <v>468</v>
      </c>
      <c r="D6632" s="113" t="s">
        <v>131</v>
      </c>
      <c r="E6632" s="114" t="s">
        <v>15</v>
      </c>
      <c r="F6632" s="115" t="s">
        <v>18</v>
      </c>
      <c r="G6632" s="116">
        <v>6.86</v>
      </c>
      <c r="H6632" s="125">
        <v>10</v>
      </c>
      <c r="I6632" s="111">
        <v>45</v>
      </c>
      <c r="J6632" s="117">
        <f t="shared" si="928"/>
        <v>3.0870000000000006</v>
      </c>
      <c r="K6632" s="118"/>
      <c r="L6632" s="111">
        <f>24+21</f>
        <v>45</v>
      </c>
      <c r="M6632" s="117">
        <f t="shared" si="929"/>
        <v>3.0870000000000002</v>
      </c>
      <c r="N6632" s="119">
        <f t="shared" si="930"/>
        <v>0</v>
      </c>
      <c r="O6632" s="120">
        <f t="shared" si="931"/>
        <v>0</v>
      </c>
      <c r="P6632" s="33"/>
      <c r="Q6632" s="32"/>
      <c r="R6632" s="32"/>
      <c r="S6632" s="91"/>
      <c r="T6632" s="156"/>
      <c r="U6632" s="156"/>
      <c r="V6632" s="213"/>
    </row>
    <row r="6633" spans="1:22" ht="15.6">
      <c r="A6633" s="110" t="s">
        <v>502</v>
      </c>
      <c r="B6633" s="111" t="s">
        <v>501</v>
      </c>
      <c r="C6633" s="112" t="s">
        <v>468</v>
      </c>
      <c r="D6633" s="113" t="s">
        <v>131</v>
      </c>
      <c r="E6633" s="114" t="s">
        <v>15</v>
      </c>
      <c r="F6633" s="115" t="s">
        <v>18</v>
      </c>
      <c r="G6633" s="116">
        <v>6.86</v>
      </c>
      <c r="H6633" s="125">
        <v>11</v>
      </c>
      <c r="I6633" s="111">
        <v>7</v>
      </c>
      <c r="J6633" s="117">
        <f t="shared" si="928"/>
        <v>0.52822000000000002</v>
      </c>
      <c r="K6633" s="118"/>
      <c r="L6633" s="111">
        <f>4+3</f>
        <v>7</v>
      </c>
      <c r="M6633" s="117">
        <f t="shared" si="929"/>
        <v>0.52822000000000002</v>
      </c>
      <c r="N6633" s="119">
        <f t="shared" si="930"/>
        <v>0</v>
      </c>
      <c r="O6633" s="120">
        <f t="shared" si="931"/>
        <v>0</v>
      </c>
      <c r="P6633" s="33">
        <v>11</v>
      </c>
      <c r="Q6633" s="45">
        <v>7</v>
      </c>
      <c r="R6633" s="32" t="s">
        <v>631</v>
      </c>
      <c r="S6633" s="91"/>
      <c r="T6633" s="156"/>
      <c r="U6633" s="156"/>
      <c r="V6633" s="213"/>
    </row>
    <row r="6634" spans="1:22" ht="15.6">
      <c r="A6634" s="110" t="s">
        <v>502</v>
      </c>
      <c r="B6634" s="111" t="s">
        <v>501</v>
      </c>
      <c r="C6634" s="112" t="s">
        <v>468</v>
      </c>
      <c r="D6634" s="113" t="s">
        <v>131</v>
      </c>
      <c r="E6634" s="114" t="s">
        <v>15</v>
      </c>
      <c r="F6634" s="115" t="s">
        <v>18</v>
      </c>
      <c r="G6634" s="116">
        <v>6.86</v>
      </c>
      <c r="H6634" s="125">
        <v>11.5</v>
      </c>
      <c r="I6634" s="111">
        <v>2</v>
      </c>
      <c r="J6634" s="117">
        <f t="shared" si="928"/>
        <v>0.15778</v>
      </c>
      <c r="K6634" s="118"/>
      <c r="L6634" s="111">
        <v>2</v>
      </c>
      <c r="M6634" s="117">
        <f t="shared" si="929"/>
        <v>0.15778</v>
      </c>
      <c r="N6634" s="119">
        <f t="shared" si="930"/>
        <v>0</v>
      </c>
      <c r="O6634" s="120">
        <f t="shared" si="931"/>
        <v>0</v>
      </c>
      <c r="P6634" s="32"/>
      <c r="Q6634" s="32"/>
      <c r="R6634" s="32"/>
      <c r="S6634" s="91">
        <v>11.5</v>
      </c>
      <c r="T6634" s="156">
        <v>2</v>
      </c>
      <c r="U6634" s="156"/>
      <c r="V6634" s="213"/>
    </row>
    <row r="6635" spans="1:22" ht="15.6">
      <c r="A6635" s="110" t="s">
        <v>502</v>
      </c>
      <c r="B6635" s="111" t="s">
        <v>501</v>
      </c>
      <c r="C6635" s="112" t="s">
        <v>468</v>
      </c>
      <c r="D6635" s="113" t="s">
        <v>131</v>
      </c>
      <c r="E6635" s="114" t="s">
        <v>15</v>
      </c>
      <c r="F6635" s="115" t="s">
        <v>18</v>
      </c>
      <c r="G6635" s="116">
        <v>6.86</v>
      </c>
      <c r="H6635" s="125">
        <v>6.9</v>
      </c>
      <c r="I6635" s="111">
        <v>1</v>
      </c>
      <c r="J6635" s="117">
        <f t="shared" si="928"/>
        <v>4.7334000000000001E-2</v>
      </c>
      <c r="K6635" s="118"/>
      <c r="L6635" s="111">
        <v>1</v>
      </c>
      <c r="M6635" s="117">
        <f t="shared" si="929"/>
        <v>4.7334000000000001E-2</v>
      </c>
      <c r="N6635" s="119">
        <f t="shared" si="930"/>
        <v>0</v>
      </c>
      <c r="O6635" s="120">
        <f t="shared" si="931"/>
        <v>0</v>
      </c>
      <c r="P6635" s="55">
        <v>6.6</v>
      </c>
      <c r="Q6635" s="45">
        <v>1</v>
      </c>
      <c r="R6635" s="32" t="s">
        <v>631</v>
      </c>
      <c r="S6635" s="91"/>
      <c r="T6635" s="156"/>
      <c r="U6635" s="156"/>
      <c r="V6635" s="213"/>
    </row>
    <row r="6636" spans="1:22" ht="15.6">
      <c r="A6636" s="110" t="s">
        <v>502</v>
      </c>
      <c r="B6636" s="111" t="s">
        <v>501</v>
      </c>
      <c r="C6636" s="112" t="s">
        <v>468</v>
      </c>
      <c r="D6636" s="113" t="s">
        <v>131</v>
      </c>
      <c r="E6636" s="114" t="s">
        <v>15</v>
      </c>
      <c r="F6636" s="115" t="s">
        <v>18</v>
      </c>
      <c r="G6636" s="116">
        <v>6.86</v>
      </c>
      <c r="H6636" s="126">
        <v>7.3</v>
      </c>
      <c r="I6636" s="111">
        <v>1</v>
      </c>
      <c r="J6636" s="117">
        <f t="shared" si="928"/>
        <v>5.0078000000000004E-2</v>
      </c>
      <c r="K6636" s="118"/>
      <c r="L6636" s="111">
        <v>1</v>
      </c>
      <c r="M6636" s="117">
        <f t="shared" si="929"/>
        <v>5.0078000000000004E-2</v>
      </c>
      <c r="N6636" s="119">
        <f t="shared" si="930"/>
        <v>0</v>
      </c>
      <c r="O6636" s="120">
        <f t="shared" si="931"/>
        <v>0</v>
      </c>
      <c r="P6636" s="55">
        <v>7.3</v>
      </c>
      <c r="Q6636" s="45">
        <v>1</v>
      </c>
      <c r="R6636" s="32" t="s">
        <v>631</v>
      </c>
      <c r="S6636" s="91"/>
      <c r="T6636" s="156"/>
      <c r="U6636" s="156"/>
      <c r="V6636" s="213"/>
    </row>
    <row r="6637" spans="1:22" ht="15.6">
      <c r="A6637" s="110" t="s">
        <v>502</v>
      </c>
      <c r="B6637" s="111" t="s">
        <v>501</v>
      </c>
      <c r="C6637" s="112" t="s">
        <v>468</v>
      </c>
      <c r="D6637" s="113" t="s">
        <v>131</v>
      </c>
      <c r="E6637" s="114" t="s">
        <v>15</v>
      </c>
      <c r="F6637" s="115" t="s">
        <v>18</v>
      </c>
      <c r="G6637" s="116">
        <v>6.86</v>
      </c>
      <c r="H6637" s="126">
        <v>7.5</v>
      </c>
      <c r="I6637" s="111">
        <v>7</v>
      </c>
      <c r="J6637" s="117">
        <f t="shared" si="928"/>
        <v>0.36015000000000003</v>
      </c>
      <c r="K6637" s="118"/>
      <c r="L6637" s="111">
        <v>7</v>
      </c>
      <c r="M6637" s="117">
        <f t="shared" si="929"/>
        <v>0.36015000000000003</v>
      </c>
      <c r="N6637" s="119">
        <f t="shared" si="930"/>
        <v>0</v>
      </c>
      <c r="O6637" s="120">
        <f t="shared" si="931"/>
        <v>0</v>
      </c>
      <c r="P6637" s="55">
        <v>6.6</v>
      </c>
      <c r="Q6637" s="45">
        <v>7</v>
      </c>
      <c r="R6637" s="32" t="s">
        <v>631</v>
      </c>
      <c r="S6637" s="91"/>
      <c r="T6637" s="156"/>
      <c r="U6637" s="156"/>
      <c r="V6637" s="213"/>
    </row>
    <row r="6638" spans="1:22" ht="15.6">
      <c r="A6638" s="110" t="s">
        <v>502</v>
      </c>
      <c r="B6638" s="111" t="s">
        <v>501</v>
      </c>
      <c r="C6638" s="112" t="s">
        <v>468</v>
      </c>
      <c r="D6638" s="113" t="s">
        <v>131</v>
      </c>
      <c r="E6638" s="114" t="s">
        <v>15</v>
      </c>
      <c r="F6638" s="115" t="s">
        <v>18</v>
      </c>
      <c r="G6638" s="116">
        <v>6.86</v>
      </c>
      <c r="H6638" s="126">
        <v>8</v>
      </c>
      <c r="I6638" s="111">
        <v>9</v>
      </c>
      <c r="J6638" s="117">
        <f t="shared" si="928"/>
        <v>0.49392000000000003</v>
      </c>
      <c r="K6638" s="118"/>
      <c r="L6638" s="111">
        <v>9</v>
      </c>
      <c r="M6638" s="117">
        <f t="shared" si="929"/>
        <v>0.49392000000000003</v>
      </c>
      <c r="N6638" s="119">
        <f t="shared" si="930"/>
        <v>0</v>
      </c>
      <c r="O6638" s="120">
        <f t="shared" si="931"/>
        <v>0</v>
      </c>
      <c r="P6638" s="55">
        <v>6.6</v>
      </c>
      <c r="Q6638" s="45">
        <v>9</v>
      </c>
      <c r="R6638" s="32" t="s">
        <v>631</v>
      </c>
      <c r="S6638" s="91"/>
      <c r="T6638" s="156"/>
      <c r="U6638" s="156"/>
      <c r="V6638" s="213"/>
    </row>
    <row r="6639" spans="1:22" ht="15.6">
      <c r="A6639" s="110" t="s">
        <v>502</v>
      </c>
      <c r="B6639" s="111" t="s">
        <v>501</v>
      </c>
      <c r="C6639" s="112" t="s">
        <v>468</v>
      </c>
      <c r="D6639" s="113" t="s">
        <v>131</v>
      </c>
      <c r="E6639" s="114" t="s">
        <v>15</v>
      </c>
      <c r="F6639" s="115" t="s">
        <v>18</v>
      </c>
      <c r="G6639" s="116">
        <v>6.86</v>
      </c>
      <c r="H6639" s="126">
        <v>8.5</v>
      </c>
      <c r="I6639" s="111">
        <v>4</v>
      </c>
      <c r="J6639" s="117">
        <f t="shared" si="928"/>
        <v>0.23324</v>
      </c>
      <c r="K6639" s="118"/>
      <c r="L6639" s="111">
        <v>4</v>
      </c>
      <c r="M6639" s="117">
        <f t="shared" si="929"/>
        <v>0.23324</v>
      </c>
      <c r="N6639" s="119">
        <f t="shared" si="930"/>
        <v>0</v>
      </c>
      <c r="O6639" s="120">
        <f t="shared" si="931"/>
        <v>0</v>
      </c>
      <c r="P6639" s="32"/>
      <c r="Q6639" s="32"/>
      <c r="R6639" s="32"/>
      <c r="S6639" s="98">
        <v>7.8</v>
      </c>
      <c r="T6639" s="156">
        <v>4</v>
      </c>
      <c r="U6639" s="156"/>
      <c r="V6639" s="213"/>
    </row>
    <row r="6640" spans="1:22" ht="15.6">
      <c r="A6640" s="110" t="s">
        <v>502</v>
      </c>
      <c r="B6640" s="111" t="s">
        <v>501</v>
      </c>
      <c r="C6640" s="112" t="s">
        <v>468</v>
      </c>
      <c r="D6640" s="113" t="s">
        <v>131</v>
      </c>
      <c r="E6640" s="114" t="s">
        <v>15</v>
      </c>
      <c r="F6640" s="115" t="s">
        <v>18</v>
      </c>
      <c r="G6640" s="116">
        <v>6.86</v>
      </c>
      <c r="H6640" s="126">
        <v>8.1999999999999993</v>
      </c>
      <c r="I6640" s="111">
        <v>1</v>
      </c>
      <c r="J6640" s="117">
        <f t="shared" si="928"/>
        <v>5.6251999999999996E-2</v>
      </c>
      <c r="K6640" s="118"/>
      <c r="L6640" s="111">
        <v>1</v>
      </c>
      <c r="M6640" s="117">
        <f t="shared" si="929"/>
        <v>5.6251999999999996E-2</v>
      </c>
      <c r="N6640" s="119">
        <f t="shared" si="930"/>
        <v>0</v>
      </c>
      <c r="O6640" s="120">
        <f t="shared" si="931"/>
        <v>0</v>
      </c>
      <c r="P6640" s="32"/>
      <c r="Q6640" s="32"/>
      <c r="R6640" s="32"/>
      <c r="S6640" s="98">
        <v>7.8</v>
      </c>
      <c r="T6640" s="156">
        <v>1</v>
      </c>
      <c r="U6640" s="156"/>
      <c r="V6640" s="213"/>
    </row>
    <row r="6641" spans="1:22" ht="15.6">
      <c r="A6641" s="110" t="s">
        <v>502</v>
      </c>
      <c r="B6641" s="111" t="s">
        <v>501</v>
      </c>
      <c r="C6641" s="112" t="s">
        <v>468</v>
      </c>
      <c r="D6641" s="113" t="s">
        <v>131</v>
      </c>
      <c r="E6641" s="114" t="s">
        <v>15</v>
      </c>
      <c r="F6641" s="115" t="s">
        <v>18</v>
      </c>
      <c r="G6641" s="116">
        <v>6.86</v>
      </c>
      <c r="H6641" s="126">
        <v>8.8000000000000007</v>
      </c>
      <c r="I6641" s="111">
        <v>1</v>
      </c>
      <c r="J6641" s="117">
        <f t="shared" si="928"/>
        <v>6.0368000000000012E-2</v>
      </c>
      <c r="K6641" s="118"/>
      <c r="L6641" s="111">
        <v>1</v>
      </c>
      <c r="M6641" s="117">
        <f t="shared" si="929"/>
        <v>6.0368000000000012E-2</v>
      </c>
      <c r="N6641" s="119">
        <f t="shared" si="930"/>
        <v>0</v>
      </c>
      <c r="O6641" s="120">
        <f t="shared" si="931"/>
        <v>0</v>
      </c>
      <c r="P6641" s="32"/>
      <c r="Q6641" s="32"/>
      <c r="R6641" s="32"/>
      <c r="S6641" s="98">
        <v>7.8</v>
      </c>
      <c r="T6641" s="156">
        <v>1</v>
      </c>
      <c r="U6641" s="156"/>
      <c r="V6641" s="213"/>
    </row>
    <row r="6642" spans="1:22" ht="15.6">
      <c r="A6642" s="110" t="s">
        <v>502</v>
      </c>
      <c r="B6642" s="111" t="s">
        <v>501</v>
      </c>
      <c r="C6642" s="112" t="s">
        <v>468</v>
      </c>
      <c r="D6642" s="113" t="s">
        <v>131</v>
      </c>
      <c r="E6642" s="114" t="s">
        <v>15</v>
      </c>
      <c r="F6642" s="115" t="s">
        <v>18</v>
      </c>
      <c r="G6642" s="116">
        <v>6.86</v>
      </c>
      <c r="H6642" s="126">
        <v>8.5</v>
      </c>
      <c r="I6642" s="111">
        <v>1</v>
      </c>
      <c r="J6642" s="117">
        <f t="shared" si="928"/>
        <v>5.8310000000000001E-2</v>
      </c>
      <c r="K6642" s="118"/>
      <c r="L6642" s="111">
        <v>1</v>
      </c>
      <c r="M6642" s="117">
        <f t="shared" si="929"/>
        <v>5.8310000000000001E-2</v>
      </c>
      <c r="N6642" s="119">
        <f t="shared" si="930"/>
        <v>0</v>
      </c>
      <c r="O6642" s="120">
        <f t="shared" si="931"/>
        <v>0</v>
      </c>
      <c r="P6642" s="32"/>
      <c r="Q6642" s="32"/>
      <c r="R6642" s="32"/>
      <c r="S6642" s="98">
        <v>7.8</v>
      </c>
      <c r="T6642" s="156">
        <v>1</v>
      </c>
      <c r="U6642" s="156"/>
      <c r="V6642" s="213"/>
    </row>
    <row r="6643" spans="1:22" ht="15.6">
      <c r="A6643" s="110" t="s">
        <v>502</v>
      </c>
      <c r="B6643" s="111" t="s">
        <v>501</v>
      </c>
      <c r="C6643" s="112" t="s">
        <v>468</v>
      </c>
      <c r="D6643" s="113" t="s">
        <v>131</v>
      </c>
      <c r="E6643" s="114" t="s">
        <v>15</v>
      </c>
      <c r="F6643" s="115" t="s">
        <v>18</v>
      </c>
      <c r="G6643" s="116">
        <v>6.86</v>
      </c>
      <c r="H6643" s="126">
        <v>8.1999999999999993</v>
      </c>
      <c r="I6643" s="111">
        <v>2</v>
      </c>
      <c r="J6643" s="117">
        <f t="shared" si="928"/>
        <v>0.11250399999999999</v>
      </c>
      <c r="K6643" s="118"/>
      <c r="L6643" s="111">
        <v>2</v>
      </c>
      <c r="M6643" s="117">
        <f t="shared" si="929"/>
        <v>0.11250399999999999</v>
      </c>
      <c r="N6643" s="119">
        <f t="shared" si="930"/>
        <v>0</v>
      </c>
      <c r="O6643" s="120">
        <f t="shared" si="931"/>
        <v>0</v>
      </c>
      <c r="P6643" s="32"/>
      <c r="Q6643" s="32"/>
      <c r="R6643" s="32"/>
      <c r="S6643" s="98">
        <v>7.8</v>
      </c>
      <c r="T6643" s="156">
        <v>2</v>
      </c>
      <c r="U6643" s="156"/>
      <c r="V6643" s="213"/>
    </row>
    <row r="6644" spans="1:22" ht="15.6">
      <c r="A6644" s="110" t="s">
        <v>502</v>
      </c>
      <c r="B6644" s="111" t="s">
        <v>501</v>
      </c>
      <c r="C6644" s="112" t="s">
        <v>468</v>
      </c>
      <c r="D6644" s="113" t="s">
        <v>131</v>
      </c>
      <c r="E6644" s="114" t="s">
        <v>15</v>
      </c>
      <c r="F6644" s="115" t="s">
        <v>18</v>
      </c>
      <c r="G6644" s="116">
        <v>6.86</v>
      </c>
      <c r="H6644" s="126">
        <v>8.1</v>
      </c>
      <c r="I6644" s="111">
        <v>2</v>
      </c>
      <c r="J6644" s="117">
        <f t="shared" si="928"/>
        <v>0.11113200000000001</v>
      </c>
      <c r="K6644" s="118"/>
      <c r="L6644" s="111">
        <v>2</v>
      </c>
      <c r="M6644" s="117">
        <f t="shared" si="929"/>
        <v>0.11113200000000001</v>
      </c>
      <c r="N6644" s="119">
        <f t="shared" si="930"/>
        <v>0</v>
      </c>
      <c r="O6644" s="120">
        <f t="shared" si="931"/>
        <v>0</v>
      </c>
      <c r="P6644" s="32"/>
      <c r="Q6644" s="32"/>
      <c r="R6644" s="32"/>
      <c r="S6644" s="98">
        <v>7.8</v>
      </c>
      <c r="T6644" s="156">
        <v>2</v>
      </c>
      <c r="U6644" s="156"/>
      <c r="V6644" s="213"/>
    </row>
    <row r="6645" spans="1:22" ht="15.6">
      <c r="A6645" s="110" t="s">
        <v>502</v>
      </c>
      <c r="B6645" s="111" t="s">
        <v>501</v>
      </c>
      <c r="C6645" s="112" t="s">
        <v>468</v>
      </c>
      <c r="D6645" s="113" t="s">
        <v>131</v>
      </c>
      <c r="E6645" s="114" t="s">
        <v>15</v>
      </c>
      <c r="F6645" s="115" t="s">
        <v>18</v>
      </c>
      <c r="G6645" s="116">
        <v>6.86</v>
      </c>
      <c r="H6645" s="126">
        <v>7.5</v>
      </c>
      <c r="I6645" s="111">
        <v>1</v>
      </c>
      <c r="J6645" s="117">
        <f t="shared" si="928"/>
        <v>5.1450000000000003E-2</v>
      </c>
      <c r="K6645" s="118"/>
      <c r="L6645" s="111">
        <v>1</v>
      </c>
      <c r="M6645" s="117">
        <f t="shared" si="929"/>
        <v>5.1450000000000003E-2</v>
      </c>
      <c r="N6645" s="119">
        <f t="shared" si="930"/>
        <v>0</v>
      </c>
      <c r="O6645" s="120">
        <f t="shared" si="931"/>
        <v>0</v>
      </c>
      <c r="P6645" s="32"/>
      <c r="Q6645" s="32"/>
      <c r="R6645" s="32"/>
      <c r="S6645" s="91">
        <v>6.8</v>
      </c>
      <c r="T6645" s="156">
        <v>1</v>
      </c>
      <c r="U6645" s="156"/>
      <c r="V6645" s="213"/>
    </row>
    <row r="6646" spans="1:22">
      <c r="A6646" s="213"/>
      <c r="B6646" s="213"/>
      <c r="C6646" s="213"/>
      <c r="D6646" s="213"/>
      <c r="E6646" s="213"/>
      <c r="F6646" s="213"/>
      <c r="G6646" s="213"/>
      <c r="H6646" s="213"/>
      <c r="I6646" s="215">
        <f>SUM(I6618:I6645)</f>
        <v>993</v>
      </c>
      <c r="J6646" s="128">
        <f>SUM(J6618:J6645)</f>
        <v>72.436798000000024</v>
      </c>
      <c r="K6646" s="213"/>
      <c r="L6646" s="215">
        <f>SUM(L6618:L6645)</f>
        <v>993</v>
      </c>
      <c r="M6646" s="128">
        <f>SUM(M6618:M6645)</f>
        <v>72.436798000000039</v>
      </c>
      <c r="N6646" s="215">
        <f>SUM(N6618:N6645)</f>
        <v>0</v>
      </c>
      <c r="O6646" s="128">
        <f>SUM(O6618:O6645)</f>
        <v>0</v>
      </c>
      <c r="P6646" s="213"/>
      <c r="Q6646" s="213"/>
      <c r="R6646" s="213"/>
      <c r="S6646" s="156"/>
      <c r="T6646" s="566">
        <f>SUM(T6618:T6645)</f>
        <v>140</v>
      </c>
      <c r="U6646" s="156"/>
      <c r="V6646" s="213"/>
    </row>
    <row r="6650" spans="1:22">
      <c r="A6650" s="42" t="s">
        <v>84</v>
      </c>
      <c r="B6650" s="3" t="s">
        <v>122</v>
      </c>
      <c r="C6650" s="3">
        <v>5</v>
      </c>
      <c r="D6650" s="20" t="s">
        <v>85</v>
      </c>
      <c r="E6650" s="7" t="s">
        <v>15</v>
      </c>
      <c r="F6650" s="7" t="s">
        <v>35</v>
      </c>
      <c r="G6650" s="11">
        <v>16.579999999999998</v>
      </c>
      <c r="H6650" s="8">
        <v>5</v>
      </c>
      <c r="I6650" s="26">
        <v>1</v>
      </c>
      <c r="J6650" s="10">
        <v>8.2899999999999988E-2</v>
      </c>
      <c r="K6650" s="17"/>
      <c r="L6650" s="18">
        <v>0</v>
      </c>
      <c r="M6650" s="19">
        <v>1</v>
      </c>
      <c r="N6650" s="13">
        <v>8.2899999999999988E-2</v>
      </c>
      <c r="O6650" s="9"/>
      <c r="P6650" s="2"/>
      <c r="Q6650" s="2"/>
    </row>
    <row r="6651" spans="1:22">
      <c r="A6651" s="42" t="s">
        <v>84</v>
      </c>
      <c r="B6651" s="3" t="s">
        <v>122</v>
      </c>
      <c r="C6651" s="3">
        <v>17</v>
      </c>
      <c r="D6651" s="20" t="s">
        <v>85</v>
      </c>
      <c r="E6651" s="7" t="s">
        <v>15</v>
      </c>
      <c r="F6651" s="7" t="s">
        <v>35</v>
      </c>
      <c r="G6651" s="11">
        <v>16.579999999999998</v>
      </c>
      <c r="H6651" s="8">
        <v>8.15</v>
      </c>
      <c r="I6651" s="26">
        <v>18</v>
      </c>
      <c r="J6651" s="10">
        <v>2.4322859999999995</v>
      </c>
      <c r="K6651" s="22">
        <v>16</v>
      </c>
      <c r="L6651" s="18">
        <v>2.1620319999999995</v>
      </c>
      <c r="M6651" s="19">
        <v>2</v>
      </c>
      <c r="N6651" s="13">
        <v>0.27025399999999994</v>
      </c>
      <c r="O6651" s="9"/>
      <c r="P6651" s="2"/>
      <c r="Q6651" s="2"/>
    </row>
    <row r="6652" spans="1:22">
      <c r="A6652" s="42" t="s">
        <v>84</v>
      </c>
      <c r="B6652" s="3" t="s">
        <v>122</v>
      </c>
      <c r="C6652" s="3">
        <v>17</v>
      </c>
      <c r="D6652" s="20" t="s">
        <v>85</v>
      </c>
      <c r="E6652" s="7" t="s">
        <v>15</v>
      </c>
      <c r="F6652" s="7" t="s">
        <v>35</v>
      </c>
      <c r="G6652" s="11">
        <v>16.579999999999998</v>
      </c>
      <c r="H6652" s="8">
        <v>8.15</v>
      </c>
      <c r="I6652" s="26">
        <v>18</v>
      </c>
      <c r="J6652" s="10">
        <v>2.4322859999999995</v>
      </c>
      <c r="K6652" s="22"/>
      <c r="L6652" s="18">
        <v>0</v>
      </c>
      <c r="M6652" s="19">
        <v>18</v>
      </c>
      <c r="N6652" s="13">
        <v>2.4322859999999999</v>
      </c>
      <c r="O6652" s="9"/>
      <c r="P6652" s="2"/>
      <c r="Q6652" s="2"/>
    </row>
    <row r="6653" spans="1:22">
      <c r="A6653" s="42" t="s">
        <v>84</v>
      </c>
      <c r="B6653" s="3" t="s">
        <v>122</v>
      </c>
      <c r="C6653" s="3">
        <v>17</v>
      </c>
      <c r="D6653" s="20" t="s">
        <v>85</v>
      </c>
      <c r="E6653" s="7" t="s">
        <v>15</v>
      </c>
      <c r="F6653" s="7" t="s">
        <v>35</v>
      </c>
      <c r="G6653" s="11">
        <v>16.579999999999998</v>
      </c>
      <c r="H6653" s="8">
        <v>8.15</v>
      </c>
      <c r="I6653" s="26">
        <v>18</v>
      </c>
      <c r="J6653" s="10">
        <v>2.4322859999999995</v>
      </c>
      <c r="K6653" s="22">
        <v>15</v>
      </c>
      <c r="L6653" s="18">
        <v>2.0269049999999997</v>
      </c>
      <c r="M6653" s="19">
        <v>3</v>
      </c>
      <c r="N6653" s="13">
        <v>0.40538100000000005</v>
      </c>
      <c r="O6653" s="73">
        <v>8.15</v>
      </c>
      <c r="P6653" s="567">
        <v>15</v>
      </c>
      <c r="Q6653" s="74" t="s">
        <v>800</v>
      </c>
    </row>
    <row r="6654" spans="1:22">
      <c r="A6654" s="42" t="s">
        <v>84</v>
      </c>
      <c r="B6654" s="3" t="s">
        <v>122</v>
      </c>
      <c r="C6654" s="3">
        <v>17</v>
      </c>
      <c r="D6654" s="20" t="s">
        <v>85</v>
      </c>
      <c r="E6654" s="7" t="s">
        <v>15</v>
      </c>
      <c r="F6654" s="7" t="s">
        <v>35</v>
      </c>
      <c r="G6654" s="11">
        <v>16.579999999999998</v>
      </c>
      <c r="H6654" s="8">
        <v>8.15</v>
      </c>
      <c r="I6654" s="26">
        <v>20</v>
      </c>
      <c r="J6654" s="10">
        <v>2.7025399999999995</v>
      </c>
      <c r="K6654" s="22">
        <v>20</v>
      </c>
      <c r="L6654" s="18">
        <v>2.7025399999999995</v>
      </c>
      <c r="M6654" s="19">
        <v>0</v>
      </c>
      <c r="N6654" s="13">
        <v>0</v>
      </c>
      <c r="O6654" s="73">
        <v>8.15</v>
      </c>
      <c r="P6654" s="567">
        <v>20</v>
      </c>
      <c r="Q6654" s="74" t="s">
        <v>799</v>
      </c>
    </row>
    <row r="6655" spans="1:22">
      <c r="A6655" s="42" t="s">
        <v>84</v>
      </c>
      <c r="B6655" s="3" t="s">
        <v>124</v>
      </c>
      <c r="C6655" s="3">
        <v>3</v>
      </c>
      <c r="D6655" s="20" t="s">
        <v>85</v>
      </c>
      <c r="E6655" s="7" t="s">
        <v>15</v>
      </c>
      <c r="F6655" s="7" t="s">
        <v>35</v>
      </c>
      <c r="G6655" s="11">
        <v>16.579999999999998</v>
      </c>
      <c r="H6655" s="8">
        <v>7.3</v>
      </c>
      <c r="I6655" s="26">
        <v>8</v>
      </c>
      <c r="J6655" s="10">
        <v>0.9682719999999998</v>
      </c>
      <c r="K6655" s="17">
        <v>6</v>
      </c>
      <c r="L6655" s="18">
        <v>0.72620399999999985</v>
      </c>
      <c r="M6655" s="19">
        <v>2</v>
      </c>
      <c r="N6655" s="13">
        <v>0.24206799999999995</v>
      </c>
      <c r="O6655" s="9"/>
      <c r="P6655" s="568">
        <f>SUM(P6653:P6654)</f>
        <v>35</v>
      </c>
      <c r="Q6655" s="2"/>
    </row>
    <row r="6658" spans="1:17">
      <c r="A6658" s="42" t="s">
        <v>77</v>
      </c>
      <c r="B6658" s="3" t="s">
        <v>68</v>
      </c>
      <c r="C6658" s="3">
        <v>142</v>
      </c>
      <c r="D6658" s="20" t="s">
        <v>20</v>
      </c>
      <c r="E6658" s="7" t="s">
        <v>15</v>
      </c>
      <c r="F6658" s="7" t="s">
        <v>61</v>
      </c>
      <c r="G6658" s="11">
        <v>19.68</v>
      </c>
      <c r="H6658" s="8">
        <v>5.4</v>
      </c>
      <c r="I6658" s="26">
        <v>1</v>
      </c>
      <c r="J6658" s="10">
        <v>0.10627200000000001</v>
      </c>
      <c r="K6658" s="17"/>
      <c r="L6658" s="18">
        <v>0</v>
      </c>
      <c r="M6658" s="19">
        <v>1</v>
      </c>
      <c r="N6658" s="13">
        <v>0.10627200000000001</v>
      </c>
      <c r="O6658" s="9"/>
      <c r="P6658" s="2"/>
      <c r="Q6658" s="2"/>
    </row>
    <row r="6659" spans="1:17">
      <c r="A6659" s="42" t="s">
        <v>77</v>
      </c>
      <c r="B6659" s="3" t="s">
        <v>68</v>
      </c>
      <c r="C6659" s="3">
        <v>249</v>
      </c>
      <c r="D6659" s="12" t="s">
        <v>20</v>
      </c>
      <c r="E6659" s="7" t="s">
        <v>15</v>
      </c>
      <c r="F6659" s="7" t="s">
        <v>61</v>
      </c>
      <c r="G6659" s="11">
        <v>19.68</v>
      </c>
      <c r="H6659" s="8">
        <v>12</v>
      </c>
      <c r="I6659" s="26">
        <v>2</v>
      </c>
      <c r="J6659" s="10">
        <v>0.47232000000000002</v>
      </c>
      <c r="K6659" s="17">
        <v>2</v>
      </c>
      <c r="L6659" s="18">
        <v>0.47232000000000002</v>
      </c>
      <c r="M6659" s="19">
        <v>0</v>
      </c>
      <c r="N6659" s="13">
        <v>0</v>
      </c>
      <c r="O6659" s="73">
        <v>12</v>
      </c>
      <c r="P6659" s="74">
        <v>2</v>
      </c>
      <c r="Q6659" s="74" t="s">
        <v>734</v>
      </c>
    </row>
    <row r="6660" spans="1:17">
      <c r="A6660" s="42" t="s">
        <v>90</v>
      </c>
      <c r="B6660" s="48" t="s">
        <v>148</v>
      </c>
      <c r="C6660" s="32">
        <v>32</v>
      </c>
      <c r="D6660" s="48" t="s">
        <v>20</v>
      </c>
      <c r="E6660" s="48" t="s">
        <v>15</v>
      </c>
      <c r="F6660" s="48" t="s">
        <v>61</v>
      </c>
      <c r="G6660" s="11">
        <v>19.68</v>
      </c>
      <c r="H6660" s="52">
        <v>12</v>
      </c>
      <c r="I6660" s="7">
        <v>2</v>
      </c>
      <c r="J6660" s="10">
        <v>0.47232000000000002</v>
      </c>
      <c r="K6660" s="32"/>
      <c r="L6660" s="18">
        <v>0</v>
      </c>
      <c r="M6660" s="19">
        <v>2</v>
      </c>
      <c r="N6660" s="13">
        <v>0.47232000000000002</v>
      </c>
      <c r="O6660" s="32"/>
      <c r="P6660" s="123">
        <f>SUM(P6659)</f>
        <v>2</v>
      </c>
      <c r="Q6660" s="32"/>
    </row>
    <row r="6664" spans="1:17">
      <c r="A6664" s="48" t="s">
        <v>168</v>
      </c>
      <c r="B6664" s="48" t="s">
        <v>169</v>
      </c>
      <c r="C6664" s="32">
        <v>4</v>
      </c>
      <c r="D6664" s="48" t="s">
        <v>20</v>
      </c>
      <c r="E6664" s="48" t="s">
        <v>15</v>
      </c>
      <c r="F6664" s="48" t="s">
        <v>44</v>
      </c>
      <c r="G6664" s="11">
        <v>13.4</v>
      </c>
      <c r="H6664" s="52">
        <v>11.75</v>
      </c>
      <c r="I6664" s="7">
        <v>1</v>
      </c>
      <c r="J6664" s="10">
        <v>0.15745000000000001</v>
      </c>
      <c r="K6664" s="32"/>
      <c r="L6664" s="18">
        <v>0</v>
      </c>
      <c r="M6664" s="19">
        <v>1</v>
      </c>
      <c r="N6664" s="13">
        <v>0.15745000000000001</v>
      </c>
      <c r="O6664" s="32"/>
      <c r="P6664" s="32"/>
      <c r="Q6664" s="32"/>
    </row>
    <row r="6665" spans="1:17">
      <c r="A6665" s="42" t="s">
        <v>84</v>
      </c>
      <c r="B6665" s="3" t="s">
        <v>122</v>
      </c>
      <c r="C6665" s="3">
        <v>1</v>
      </c>
      <c r="D6665" s="20" t="s">
        <v>88</v>
      </c>
      <c r="E6665" s="7" t="s">
        <v>15</v>
      </c>
      <c r="F6665" s="7" t="s">
        <v>44</v>
      </c>
      <c r="G6665" s="11">
        <v>13.4</v>
      </c>
      <c r="H6665" s="8">
        <v>7.2</v>
      </c>
      <c r="I6665" s="26">
        <v>1</v>
      </c>
      <c r="J6665" s="10">
        <v>9.648000000000001E-2</v>
      </c>
      <c r="K6665" s="17">
        <v>1</v>
      </c>
      <c r="L6665" s="18">
        <v>9.648000000000001E-2</v>
      </c>
      <c r="M6665" s="19">
        <v>0</v>
      </c>
      <c r="N6665" s="13">
        <v>0</v>
      </c>
      <c r="O6665" s="73">
        <v>6</v>
      </c>
      <c r="P6665" s="74">
        <v>1</v>
      </c>
      <c r="Q6665" s="74" t="s">
        <v>735</v>
      </c>
    </row>
    <row r="6666" spans="1:17">
      <c r="A6666" s="42" t="s">
        <v>84</v>
      </c>
      <c r="B6666" s="3" t="s">
        <v>122</v>
      </c>
      <c r="C6666" s="3">
        <v>1</v>
      </c>
      <c r="D6666" s="20" t="s">
        <v>88</v>
      </c>
      <c r="E6666" s="7" t="s">
        <v>15</v>
      </c>
      <c r="F6666" s="7" t="s">
        <v>44</v>
      </c>
      <c r="G6666" s="11">
        <v>13.4</v>
      </c>
      <c r="H6666" s="8">
        <v>7.8</v>
      </c>
      <c r="I6666" s="26">
        <v>1</v>
      </c>
      <c r="J6666" s="10">
        <v>0.10452</v>
      </c>
      <c r="K6666" s="17">
        <v>1</v>
      </c>
      <c r="L6666" s="18">
        <v>0.10452</v>
      </c>
      <c r="M6666" s="19">
        <v>0</v>
      </c>
      <c r="N6666" s="13">
        <v>0</v>
      </c>
      <c r="O6666" s="73">
        <v>7.5</v>
      </c>
      <c r="P6666" s="74">
        <v>1</v>
      </c>
      <c r="Q6666" s="74" t="s">
        <v>735</v>
      </c>
    </row>
    <row r="6667" spans="1:17">
      <c r="A6667" s="42" t="s">
        <v>90</v>
      </c>
      <c r="B6667" s="3"/>
      <c r="C6667" s="3">
        <v>165</v>
      </c>
      <c r="D6667" s="12" t="s">
        <v>88</v>
      </c>
      <c r="E6667" s="7" t="s">
        <v>15</v>
      </c>
      <c r="F6667" s="7" t="s">
        <v>44</v>
      </c>
      <c r="G6667" s="11">
        <v>13.4</v>
      </c>
      <c r="H6667" s="8">
        <v>8.6999999999999993</v>
      </c>
      <c r="I6667" s="26">
        <v>2</v>
      </c>
      <c r="J6667" s="10">
        <v>0.23316000000000001</v>
      </c>
      <c r="K6667" s="17">
        <v>2</v>
      </c>
      <c r="L6667" s="18">
        <v>0.23316000000000001</v>
      </c>
      <c r="M6667" s="19">
        <v>0</v>
      </c>
      <c r="N6667" s="13">
        <v>0</v>
      </c>
      <c r="O6667" s="73">
        <v>7.5</v>
      </c>
      <c r="P6667" s="74">
        <v>2</v>
      </c>
      <c r="Q6667" s="74" t="s">
        <v>735</v>
      </c>
    </row>
    <row r="6668" spans="1:17">
      <c r="A6668" s="42" t="s">
        <v>90</v>
      </c>
      <c r="B6668" s="3"/>
      <c r="C6668" s="3">
        <v>165</v>
      </c>
      <c r="D6668" s="12" t="s">
        <v>88</v>
      </c>
      <c r="E6668" s="7" t="s">
        <v>15</v>
      </c>
      <c r="F6668" s="7" t="s">
        <v>44</v>
      </c>
      <c r="G6668" s="11">
        <v>13.4</v>
      </c>
      <c r="H6668" s="8">
        <v>10.5</v>
      </c>
      <c r="I6668" s="26">
        <v>1</v>
      </c>
      <c r="J6668" s="10">
        <v>0.14070000000000002</v>
      </c>
      <c r="K6668" s="17"/>
      <c r="L6668" s="18">
        <v>0</v>
      </c>
      <c r="M6668" s="19">
        <v>1</v>
      </c>
      <c r="N6668" s="13">
        <v>0.14070000000000002</v>
      </c>
      <c r="O6668" s="9"/>
      <c r="P6668" s="2"/>
      <c r="Q6668" s="2"/>
    </row>
    <row r="6669" spans="1:17">
      <c r="A6669" s="42" t="s">
        <v>90</v>
      </c>
      <c r="B6669" s="3"/>
      <c r="C6669" s="3">
        <v>171</v>
      </c>
      <c r="D6669" s="12" t="s">
        <v>88</v>
      </c>
      <c r="E6669" s="7" t="s">
        <v>15</v>
      </c>
      <c r="F6669" s="7" t="s">
        <v>44</v>
      </c>
      <c r="G6669" s="11">
        <v>13.4</v>
      </c>
      <c r="H6669" s="8">
        <v>7.4</v>
      </c>
      <c r="I6669" s="26">
        <v>1</v>
      </c>
      <c r="J6669" s="10">
        <v>9.9160000000000012E-2</v>
      </c>
      <c r="K6669" s="17"/>
      <c r="L6669" s="18">
        <v>0</v>
      </c>
      <c r="M6669" s="19">
        <v>1</v>
      </c>
      <c r="N6669" s="13">
        <v>9.9160000000000012E-2</v>
      </c>
      <c r="O6669" s="9"/>
      <c r="P6669" s="2"/>
      <c r="Q6669" s="2"/>
    </row>
    <row r="6670" spans="1:17">
      <c r="A6670" s="42" t="s">
        <v>90</v>
      </c>
      <c r="B6670" s="3"/>
      <c r="C6670" s="3">
        <v>171</v>
      </c>
      <c r="D6670" s="12" t="s">
        <v>88</v>
      </c>
      <c r="E6670" s="7" t="s">
        <v>15</v>
      </c>
      <c r="F6670" s="7" t="s">
        <v>44</v>
      </c>
      <c r="G6670" s="11">
        <v>13.4</v>
      </c>
      <c r="H6670" s="8">
        <v>6.8</v>
      </c>
      <c r="I6670" s="26">
        <v>1</v>
      </c>
      <c r="J6670" s="10">
        <v>9.1120000000000007E-2</v>
      </c>
      <c r="K6670" s="17"/>
      <c r="L6670" s="18">
        <v>0</v>
      </c>
      <c r="M6670" s="19">
        <v>1</v>
      </c>
      <c r="N6670" s="13">
        <v>9.1120000000000007E-2</v>
      </c>
      <c r="O6670" s="9"/>
      <c r="P6670" s="2"/>
      <c r="Q6670" s="2"/>
    </row>
    <row r="6671" spans="1:17">
      <c r="A6671" s="42" t="s">
        <v>90</v>
      </c>
      <c r="B6671" s="3"/>
      <c r="C6671" s="3">
        <v>171</v>
      </c>
      <c r="D6671" s="12" t="s">
        <v>88</v>
      </c>
      <c r="E6671" s="7" t="s">
        <v>15</v>
      </c>
      <c r="F6671" s="7" t="s">
        <v>44</v>
      </c>
      <c r="G6671" s="11">
        <v>13.4</v>
      </c>
      <c r="H6671" s="8">
        <v>6.4</v>
      </c>
      <c r="I6671" s="26">
        <v>1</v>
      </c>
      <c r="J6671" s="10">
        <v>8.5760000000000003E-2</v>
      </c>
      <c r="K6671" s="17"/>
      <c r="L6671" s="18">
        <v>0</v>
      </c>
      <c r="M6671" s="19">
        <v>1</v>
      </c>
      <c r="N6671" s="13">
        <v>8.5760000000000003E-2</v>
      </c>
      <c r="O6671" s="9"/>
      <c r="P6671" s="2"/>
      <c r="Q6671" s="2"/>
    </row>
    <row r="6672" spans="1:17">
      <c r="A6672" s="42" t="s">
        <v>90</v>
      </c>
      <c r="B6672" s="3"/>
      <c r="C6672" s="3">
        <v>177</v>
      </c>
      <c r="D6672" s="20" t="s">
        <v>20</v>
      </c>
      <c r="E6672" s="7" t="s">
        <v>15</v>
      </c>
      <c r="F6672" s="7" t="s">
        <v>44</v>
      </c>
      <c r="G6672" s="11">
        <v>13.4</v>
      </c>
      <c r="H6672" s="8">
        <v>6.5</v>
      </c>
      <c r="I6672" s="26">
        <v>3</v>
      </c>
      <c r="J6672" s="10">
        <v>0.26130000000000003</v>
      </c>
      <c r="K6672" s="17">
        <v>3</v>
      </c>
      <c r="L6672" s="18">
        <v>0.26130000000000003</v>
      </c>
      <c r="M6672" s="19">
        <v>0</v>
      </c>
      <c r="N6672" s="13">
        <v>0</v>
      </c>
      <c r="O6672" s="73">
        <v>6.5</v>
      </c>
      <c r="P6672" s="74">
        <v>3</v>
      </c>
      <c r="Q6672" s="74" t="s">
        <v>734</v>
      </c>
    </row>
    <row r="6673" spans="1:19">
      <c r="A6673" s="42" t="s">
        <v>90</v>
      </c>
      <c r="B6673" s="3"/>
      <c r="C6673" s="3">
        <v>177</v>
      </c>
      <c r="D6673" s="20" t="s">
        <v>20</v>
      </c>
      <c r="E6673" s="7" t="s">
        <v>15</v>
      </c>
      <c r="F6673" s="7" t="s">
        <v>44</v>
      </c>
      <c r="G6673" s="11">
        <v>13.4</v>
      </c>
      <c r="H6673" s="8">
        <v>6.4</v>
      </c>
      <c r="I6673" s="26">
        <v>2</v>
      </c>
      <c r="J6673" s="10">
        <v>0.17152000000000001</v>
      </c>
      <c r="K6673" s="17">
        <v>1</v>
      </c>
      <c r="L6673" s="18">
        <v>8.5760000000000003E-2</v>
      </c>
      <c r="M6673" s="19">
        <v>1</v>
      </c>
      <c r="N6673" s="13">
        <v>8.5760000000000003E-2</v>
      </c>
      <c r="O6673" s="73">
        <v>6.4</v>
      </c>
      <c r="P6673" s="74">
        <v>1</v>
      </c>
      <c r="Q6673" s="74" t="s">
        <v>734</v>
      </c>
    </row>
    <row r="6674" spans="1:19">
      <c r="A6674" s="47" t="s">
        <v>147</v>
      </c>
      <c r="B6674" s="48" t="s">
        <v>148</v>
      </c>
      <c r="C6674" s="32">
        <v>280</v>
      </c>
      <c r="D6674" s="69" t="s">
        <v>20</v>
      </c>
      <c r="E6674" s="69" t="s">
        <v>160</v>
      </c>
      <c r="F6674" s="69" t="s">
        <v>44</v>
      </c>
      <c r="G6674" s="61">
        <v>13.4</v>
      </c>
      <c r="H6674" s="70">
        <v>7.8</v>
      </c>
      <c r="I6674" s="60">
        <v>1</v>
      </c>
      <c r="J6674" s="62">
        <v>0.10452</v>
      </c>
      <c r="K6674" s="67"/>
      <c r="L6674" s="63">
        <v>0</v>
      </c>
      <c r="M6674" s="64">
        <v>1</v>
      </c>
      <c r="N6674" s="65">
        <v>0.10452</v>
      </c>
      <c r="O6674" s="32"/>
      <c r="P6674" s="32"/>
      <c r="Q6674" s="32"/>
    </row>
    <row r="6675" spans="1:19">
      <c r="A6675" s="47" t="s">
        <v>147</v>
      </c>
      <c r="B6675" s="48" t="s">
        <v>148</v>
      </c>
      <c r="C6675" s="32">
        <v>280</v>
      </c>
      <c r="D6675" s="69" t="s">
        <v>20</v>
      </c>
      <c r="E6675" s="69" t="s">
        <v>160</v>
      </c>
      <c r="F6675" s="69" t="s">
        <v>44</v>
      </c>
      <c r="G6675" s="61">
        <v>13.4</v>
      </c>
      <c r="H6675" s="70">
        <v>10.9</v>
      </c>
      <c r="I6675" s="60">
        <v>1</v>
      </c>
      <c r="J6675" s="62">
        <v>0.14606</v>
      </c>
      <c r="K6675" s="67"/>
      <c r="L6675" s="63">
        <v>0</v>
      </c>
      <c r="M6675" s="64">
        <v>1</v>
      </c>
      <c r="N6675" s="65">
        <v>0.14606</v>
      </c>
      <c r="O6675" s="32"/>
      <c r="P6675" s="32"/>
      <c r="Q6675" s="32"/>
    </row>
    <row r="6676" spans="1:19">
      <c r="A6676" s="44" t="s">
        <v>78</v>
      </c>
      <c r="B6676" s="3" t="s">
        <v>80</v>
      </c>
      <c r="C6676" s="3">
        <v>13</v>
      </c>
      <c r="D6676" s="20" t="s">
        <v>76</v>
      </c>
      <c r="E6676" s="7" t="s">
        <v>15</v>
      </c>
      <c r="F6676" s="7" t="s">
        <v>44</v>
      </c>
      <c r="G6676" s="11">
        <v>13.4</v>
      </c>
      <c r="H6676" s="8">
        <v>6.4</v>
      </c>
      <c r="I6676" s="26">
        <v>1</v>
      </c>
      <c r="J6676" s="10">
        <v>8.5760000000000003E-2</v>
      </c>
      <c r="K6676" s="17"/>
      <c r="L6676" s="18">
        <v>0</v>
      </c>
      <c r="M6676" s="19">
        <v>1</v>
      </c>
      <c r="N6676" s="13">
        <v>8.5760000000000003E-2</v>
      </c>
      <c r="O6676" s="9"/>
      <c r="P6676" s="32"/>
      <c r="Q6676" s="2"/>
    </row>
    <row r="6677" spans="1:19">
      <c r="A6677" s="44" t="s">
        <v>78</v>
      </c>
      <c r="B6677" s="32" t="s">
        <v>109</v>
      </c>
      <c r="C6677" s="3">
        <v>3</v>
      </c>
      <c r="D6677" s="20" t="s">
        <v>20</v>
      </c>
      <c r="E6677" s="7" t="s">
        <v>15</v>
      </c>
      <c r="F6677" s="7" t="s">
        <v>44</v>
      </c>
      <c r="G6677" s="11">
        <v>13.4</v>
      </c>
      <c r="H6677" s="55">
        <v>7.6</v>
      </c>
      <c r="I6677" s="40">
        <v>2</v>
      </c>
      <c r="J6677" s="10">
        <v>0.20368</v>
      </c>
      <c r="K6677" s="17"/>
      <c r="L6677" s="18">
        <v>0</v>
      </c>
      <c r="M6677" s="19">
        <v>2</v>
      </c>
      <c r="N6677" s="13">
        <v>0.20368</v>
      </c>
      <c r="O6677" s="32"/>
      <c r="P6677" s="32"/>
      <c r="Q6677" s="32"/>
    </row>
    <row r="6678" spans="1:19">
      <c r="A6678" s="44" t="s">
        <v>78</v>
      </c>
      <c r="B6678" s="32" t="s">
        <v>109</v>
      </c>
      <c r="C6678" s="3">
        <v>3</v>
      </c>
      <c r="D6678" s="20" t="s">
        <v>20</v>
      </c>
      <c r="E6678" s="7" t="s">
        <v>15</v>
      </c>
      <c r="F6678" s="7" t="s">
        <v>44</v>
      </c>
      <c r="G6678" s="11">
        <v>13.4</v>
      </c>
      <c r="H6678" s="55">
        <v>6.8</v>
      </c>
      <c r="I6678" s="40">
        <v>1</v>
      </c>
      <c r="J6678" s="10">
        <v>9.1120000000000007E-2</v>
      </c>
      <c r="K6678" s="17"/>
      <c r="L6678" s="18">
        <v>0</v>
      </c>
      <c r="M6678" s="19">
        <v>1</v>
      </c>
      <c r="N6678" s="13">
        <v>9.1120000000000007E-2</v>
      </c>
      <c r="O6678" s="32"/>
      <c r="P6678" s="32"/>
      <c r="Q6678" s="32"/>
    </row>
    <row r="6679" spans="1:19">
      <c r="A6679" s="45" t="s">
        <v>136</v>
      </c>
      <c r="B6679" s="32" t="s">
        <v>137</v>
      </c>
      <c r="C6679" s="3">
        <v>54</v>
      </c>
      <c r="D6679" s="20" t="s">
        <v>20</v>
      </c>
      <c r="E6679" s="7" t="s">
        <v>15</v>
      </c>
      <c r="F6679" s="7" t="s">
        <v>44</v>
      </c>
      <c r="G6679" s="11">
        <v>13.4</v>
      </c>
      <c r="H6679" s="55">
        <v>6.5</v>
      </c>
      <c r="I6679" s="40">
        <v>1</v>
      </c>
      <c r="J6679" s="10">
        <v>8.7100000000000011E-2</v>
      </c>
      <c r="K6679" s="17"/>
      <c r="L6679" s="18">
        <v>0</v>
      </c>
      <c r="M6679" s="19">
        <v>1</v>
      </c>
      <c r="N6679" s="13">
        <v>8.7100000000000011E-2</v>
      </c>
      <c r="O6679" s="32"/>
      <c r="P6679" s="32"/>
      <c r="Q6679" s="32"/>
    </row>
    <row r="6682" spans="1:19">
      <c r="A6682" s="110" t="s">
        <v>303</v>
      </c>
      <c r="B6682" s="111" t="s">
        <v>232</v>
      </c>
      <c r="C6682" s="112" t="s">
        <v>228</v>
      </c>
      <c r="D6682" s="113" t="s">
        <v>17</v>
      </c>
      <c r="E6682" s="175" t="s">
        <v>15</v>
      </c>
      <c r="F6682" s="175" t="s">
        <v>44</v>
      </c>
      <c r="G6682" s="176">
        <v>13.4</v>
      </c>
      <c r="H6682" s="177">
        <v>7.5</v>
      </c>
      <c r="I6682" s="178">
        <f>24+11</f>
        <v>35</v>
      </c>
      <c r="J6682" s="174">
        <f t="shared" ref="J6682:J6688" si="932">(G6682*H6682*I6682/1000)</f>
        <v>3.5175000000000001</v>
      </c>
      <c r="K6682" s="118"/>
      <c r="L6682" s="111">
        <f>24+3+8</f>
        <v>35</v>
      </c>
      <c r="M6682" s="117">
        <f t="shared" ref="M6682:M6688" si="933">H6682*L6682*G6682/1000</f>
        <v>3.5175000000000001</v>
      </c>
      <c r="N6682" s="119">
        <f t="shared" ref="N6682:N6688" si="934">I6682-L6682</f>
        <v>0</v>
      </c>
      <c r="O6682" s="120">
        <f t="shared" ref="O6682:O6688" si="935">H6682*N6682*G6682/1000</f>
        <v>0</v>
      </c>
      <c r="P6682" s="159"/>
      <c r="Q6682" s="111"/>
      <c r="R6682" s="111"/>
      <c r="S6682" s="213"/>
    </row>
    <row r="6683" spans="1:19">
      <c r="A6683" s="110" t="s">
        <v>303</v>
      </c>
      <c r="B6683" s="111" t="s">
        <v>232</v>
      </c>
      <c r="C6683" s="112" t="s">
        <v>228</v>
      </c>
      <c r="D6683" s="113" t="s">
        <v>17</v>
      </c>
      <c r="E6683" s="175" t="s">
        <v>15</v>
      </c>
      <c r="F6683" s="175" t="s">
        <v>44</v>
      </c>
      <c r="G6683" s="176">
        <v>13.4</v>
      </c>
      <c r="H6683" s="177">
        <v>10.5</v>
      </c>
      <c r="I6683" s="178">
        <f>22+19</f>
        <v>41</v>
      </c>
      <c r="J6683" s="174">
        <f t="shared" si="932"/>
        <v>5.7687000000000008</v>
      </c>
      <c r="K6683" s="118"/>
      <c r="L6683" s="111">
        <v>41</v>
      </c>
      <c r="M6683" s="117">
        <f t="shared" si="933"/>
        <v>5.7686999999999999</v>
      </c>
      <c r="N6683" s="119">
        <f t="shared" si="934"/>
        <v>0</v>
      </c>
      <c r="O6683" s="120">
        <f t="shared" si="935"/>
        <v>0</v>
      </c>
      <c r="P6683" s="159"/>
      <c r="Q6683" s="111"/>
      <c r="R6683" s="111"/>
      <c r="S6683" s="213"/>
    </row>
    <row r="6684" spans="1:19">
      <c r="A6684" s="110" t="s">
        <v>303</v>
      </c>
      <c r="B6684" s="111" t="s">
        <v>232</v>
      </c>
      <c r="C6684" s="112" t="s">
        <v>228</v>
      </c>
      <c r="D6684" s="113" t="s">
        <v>17</v>
      </c>
      <c r="E6684" s="175" t="s">
        <v>15</v>
      </c>
      <c r="F6684" s="175" t="s">
        <v>44</v>
      </c>
      <c r="G6684" s="176">
        <v>13.4</v>
      </c>
      <c r="H6684" s="177">
        <v>12</v>
      </c>
      <c r="I6684" s="178">
        <v>14</v>
      </c>
      <c r="J6684" s="174">
        <f t="shared" si="932"/>
        <v>2.2512000000000003</v>
      </c>
      <c r="K6684" s="118"/>
      <c r="L6684" s="111">
        <f>9+4+1</f>
        <v>14</v>
      </c>
      <c r="M6684" s="117">
        <f t="shared" si="933"/>
        <v>2.2512000000000003</v>
      </c>
      <c r="N6684" s="119">
        <f t="shared" si="934"/>
        <v>0</v>
      </c>
      <c r="O6684" s="120">
        <f t="shared" si="935"/>
        <v>0</v>
      </c>
      <c r="P6684" s="159"/>
      <c r="Q6684" s="72">
        <v>12</v>
      </c>
      <c r="R6684" s="72">
        <v>1</v>
      </c>
      <c r="S6684" s="77" t="s">
        <v>801</v>
      </c>
    </row>
    <row r="6685" spans="1:19">
      <c r="A6685" s="110" t="s">
        <v>303</v>
      </c>
      <c r="B6685" s="111" t="s">
        <v>232</v>
      </c>
      <c r="C6685" s="112" t="s">
        <v>228</v>
      </c>
      <c r="D6685" s="113" t="s">
        <v>17</v>
      </c>
      <c r="E6685" s="175" t="s">
        <v>15</v>
      </c>
      <c r="F6685" s="175" t="s">
        <v>44</v>
      </c>
      <c r="G6685" s="176">
        <v>13.4</v>
      </c>
      <c r="H6685" s="177">
        <v>7.8</v>
      </c>
      <c r="I6685" s="178">
        <v>14</v>
      </c>
      <c r="J6685" s="174">
        <f t="shared" si="932"/>
        <v>1.4632799999999999</v>
      </c>
      <c r="K6685" s="118"/>
      <c r="L6685" s="111">
        <f>4+10</f>
        <v>14</v>
      </c>
      <c r="M6685" s="117">
        <f t="shared" si="933"/>
        <v>1.4632799999999999</v>
      </c>
      <c r="N6685" s="119">
        <f t="shared" si="934"/>
        <v>0</v>
      </c>
      <c r="O6685" s="120">
        <f t="shared" si="935"/>
        <v>0</v>
      </c>
      <c r="P6685" s="159"/>
      <c r="Q6685" s="111"/>
      <c r="R6685" s="111"/>
      <c r="S6685" s="213"/>
    </row>
    <row r="6686" spans="1:19">
      <c r="A6686" s="110" t="s">
        <v>303</v>
      </c>
      <c r="B6686" s="111" t="s">
        <v>232</v>
      </c>
      <c r="C6686" s="112" t="s">
        <v>228</v>
      </c>
      <c r="D6686" s="113" t="s">
        <v>17</v>
      </c>
      <c r="E6686" s="175" t="s">
        <v>15</v>
      </c>
      <c r="F6686" s="175" t="s">
        <v>44</v>
      </c>
      <c r="G6686" s="176">
        <v>13.4</v>
      </c>
      <c r="H6686" s="177">
        <v>8.6</v>
      </c>
      <c r="I6686" s="178">
        <v>7</v>
      </c>
      <c r="J6686" s="174">
        <f t="shared" si="932"/>
        <v>0.80667999999999995</v>
      </c>
      <c r="K6686" s="118"/>
      <c r="L6686" s="111">
        <v>7</v>
      </c>
      <c r="M6686" s="117">
        <f t="shared" si="933"/>
        <v>0.80667999999999995</v>
      </c>
      <c r="N6686" s="119">
        <f t="shared" si="934"/>
        <v>0</v>
      </c>
      <c r="O6686" s="120">
        <f t="shared" si="935"/>
        <v>0</v>
      </c>
      <c r="P6686" s="159"/>
      <c r="Q6686" s="111"/>
      <c r="R6686" s="111"/>
      <c r="S6686" s="213"/>
    </row>
    <row r="6687" spans="1:19">
      <c r="A6687" s="110" t="s">
        <v>303</v>
      </c>
      <c r="B6687" s="111" t="s">
        <v>232</v>
      </c>
      <c r="C6687" s="112" t="s">
        <v>228</v>
      </c>
      <c r="D6687" s="113" t="s">
        <v>17</v>
      </c>
      <c r="E6687" s="175" t="s">
        <v>15</v>
      </c>
      <c r="F6687" s="175" t="s">
        <v>44</v>
      </c>
      <c r="G6687" s="176">
        <v>13.4</v>
      </c>
      <c r="H6687" s="177">
        <v>11.8</v>
      </c>
      <c r="I6687" s="178">
        <v>11</v>
      </c>
      <c r="J6687" s="174">
        <f t="shared" si="932"/>
        <v>1.7393200000000002</v>
      </c>
      <c r="K6687" s="118"/>
      <c r="L6687" s="111">
        <v>11</v>
      </c>
      <c r="M6687" s="117">
        <f t="shared" si="933"/>
        <v>1.7393200000000002</v>
      </c>
      <c r="N6687" s="119">
        <f t="shared" si="934"/>
        <v>0</v>
      </c>
      <c r="O6687" s="120">
        <f t="shared" si="935"/>
        <v>0</v>
      </c>
      <c r="P6687" s="159"/>
      <c r="Q6687" s="111"/>
      <c r="R6687" s="111"/>
      <c r="S6687" s="213"/>
    </row>
    <row r="6688" spans="1:19">
      <c r="A6688" s="110" t="s">
        <v>303</v>
      </c>
      <c r="B6688" s="111" t="s">
        <v>232</v>
      </c>
      <c r="C6688" s="112" t="s">
        <v>228</v>
      </c>
      <c r="D6688" s="113" t="s">
        <v>17</v>
      </c>
      <c r="E6688" s="175" t="s">
        <v>15</v>
      </c>
      <c r="F6688" s="175" t="s">
        <v>44</v>
      </c>
      <c r="G6688" s="176">
        <v>13.4</v>
      </c>
      <c r="H6688" s="177">
        <v>11.9</v>
      </c>
      <c r="I6688" s="178">
        <v>14</v>
      </c>
      <c r="J6688" s="174">
        <f t="shared" si="932"/>
        <v>2.23244</v>
      </c>
      <c r="K6688" s="118"/>
      <c r="L6688" s="111">
        <v>14</v>
      </c>
      <c r="M6688" s="117">
        <f t="shared" si="933"/>
        <v>2.23244</v>
      </c>
      <c r="N6688" s="119">
        <f t="shared" si="934"/>
        <v>0</v>
      </c>
      <c r="O6688" s="120">
        <f t="shared" si="935"/>
        <v>0</v>
      </c>
      <c r="P6688" s="159"/>
      <c r="Q6688" s="111"/>
      <c r="R6688" s="111"/>
      <c r="S6688" s="213"/>
    </row>
    <row r="6689" spans="14:18">
      <c r="N6689" s="215">
        <f>SUM(N6682:N6688)</f>
        <v>0</v>
      </c>
      <c r="R6689" s="215">
        <f>SUM(R6682:R6688)</f>
        <v>1</v>
      </c>
    </row>
  </sheetData>
  <pageMargins left="0.22" right="0.24" top="0.18" bottom="0.2" header="0.3" footer="0.3"/>
  <pageSetup paperSize="9" scale="5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U555"/>
  <sheetViews>
    <sheetView topLeftCell="A535" workbookViewId="0">
      <selection activeCell="P552" sqref="P552"/>
    </sheetView>
  </sheetViews>
  <sheetFormatPr defaultRowHeight="14.4"/>
  <cols>
    <col min="2" max="2" width="11.44140625" bestFit="1" customWidth="1"/>
    <col min="3" max="3" width="5.33203125" bestFit="1" customWidth="1"/>
    <col min="4" max="4" width="15.44140625" bestFit="1" customWidth="1"/>
    <col min="5" max="5" width="4" bestFit="1" customWidth="1"/>
    <col min="6" max="6" width="10.88671875" bestFit="1" customWidth="1"/>
    <col min="7" max="7" width="8.6640625" bestFit="1" customWidth="1"/>
    <col min="9" max="9" width="7.5546875" bestFit="1" customWidth="1"/>
    <col min="10" max="10" width="9.109375" bestFit="1" customWidth="1"/>
    <col min="14" max="14" width="5" bestFit="1" customWidth="1"/>
    <col min="16" max="16" width="20.33203125" customWidth="1"/>
    <col min="19" max="19" width="22.33203125" customWidth="1"/>
  </cols>
  <sheetData>
    <row r="3" spans="1:19" ht="26.4">
      <c r="A3" s="121" t="s">
        <v>229</v>
      </c>
      <c r="B3" s="122" t="s">
        <v>230</v>
      </c>
      <c r="C3" s="122" t="s">
        <v>0</v>
      </c>
      <c r="D3" s="122" t="s">
        <v>1</v>
      </c>
      <c r="E3" s="122" t="s">
        <v>2</v>
      </c>
      <c r="F3" s="122" t="s">
        <v>3</v>
      </c>
      <c r="G3" s="122" t="s">
        <v>10</v>
      </c>
      <c r="H3" s="122" t="s">
        <v>4</v>
      </c>
      <c r="I3" s="122" t="s">
        <v>5</v>
      </c>
      <c r="J3" s="122" t="s">
        <v>6</v>
      </c>
      <c r="K3" s="122" t="s">
        <v>7</v>
      </c>
      <c r="L3" s="122" t="s">
        <v>5</v>
      </c>
      <c r="M3" s="122" t="s">
        <v>6</v>
      </c>
      <c r="N3" s="122" t="s">
        <v>5</v>
      </c>
      <c r="O3" s="122" t="s">
        <v>6</v>
      </c>
      <c r="P3" s="122" t="s">
        <v>8</v>
      </c>
      <c r="Q3" s="122" t="s">
        <v>9</v>
      </c>
      <c r="R3" s="122" t="s">
        <v>7</v>
      </c>
    </row>
    <row r="4" spans="1:19" ht="15.6">
      <c r="A4" s="110" t="s">
        <v>231</v>
      </c>
      <c r="B4" s="111" t="s">
        <v>232</v>
      </c>
      <c r="C4" s="112" t="s">
        <v>228</v>
      </c>
      <c r="D4" s="113" t="s">
        <v>24</v>
      </c>
      <c r="E4" s="114" t="s">
        <v>14</v>
      </c>
      <c r="F4" s="115" t="s">
        <v>18</v>
      </c>
      <c r="G4" s="116">
        <v>6.86</v>
      </c>
      <c r="H4" s="125">
        <v>10.5</v>
      </c>
      <c r="I4" s="111">
        <f>13+7</f>
        <v>20</v>
      </c>
      <c r="J4" s="117">
        <f t="shared" ref="J4" si="0">H4*G4*I4/1000</f>
        <v>1.4405999999999999</v>
      </c>
      <c r="K4" s="118"/>
      <c r="L4" s="111">
        <v>20</v>
      </c>
      <c r="M4" s="117">
        <f t="shared" ref="M4" si="1">H4*L4*G4/1000</f>
        <v>1.4406000000000001</v>
      </c>
      <c r="N4" s="145">
        <f>I4-L4</f>
        <v>0</v>
      </c>
      <c r="O4" s="146">
        <f t="shared" ref="O4:O11" si="2">H4*N4*G4/1000</f>
        <v>0</v>
      </c>
      <c r="P4" s="111" t="s">
        <v>389</v>
      </c>
      <c r="Q4" s="111"/>
      <c r="R4" s="111"/>
      <c r="S4" s="111"/>
    </row>
    <row r="5" spans="1:19" ht="15.6">
      <c r="A5" s="110" t="s">
        <v>231</v>
      </c>
      <c r="B5" s="111" t="s">
        <v>232</v>
      </c>
      <c r="C5" s="112" t="s">
        <v>228</v>
      </c>
      <c r="D5" s="113" t="s">
        <v>24</v>
      </c>
      <c r="E5" s="114" t="s">
        <v>14</v>
      </c>
      <c r="F5" s="115" t="s">
        <v>18</v>
      </c>
      <c r="G5" s="116">
        <v>6.86</v>
      </c>
      <c r="H5" s="125">
        <v>12</v>
      </c>
      <c r="I5" s="111">
        <f>34+32+4+42</f>
        <v>112</v>
      </c>
      <c r="J5" s="117">
        <f t="shared" ref="J5:J11" si="3">H5*G5*I5/1000</f>
        <v>9.2198399999999996</v>
      </c>
      <c r="K5" s="118"/>
      <c r="L5" s="111">
        <v>112</v>
      </c>
      <c r="M5" s="117">
        <f t="shared" ref="M5:M11" si="4">H5*L5*G5/1000</f>
        <v>9.2198399999999996</v>
      </c>
      <c r="N5" s="145">
        <f t="shared" ref="N5:N11" si="5">I5-L5</f>
        <v>0</v>
      </c>
      <c r="O5" s="146">
        <f t="shared" si="2"/>
        <v>0</v>
      </c>
      <c r="P5" s="111"/>
      <c r="Q5" s="111"/>
      <c r="R5" s="111"/>
      <c r="S5" s="111"/>
    </row>
    <row r="6" spans="1:19" ht="15.6">
      <c r="A6" s="110" t="s">
        <v>231</v>
      </c>
      <c r="B6" s="111" t="s">
        <v>232</v>
      </c>
      <c r="C6" s="112" t="s">
        <v>228</v>
      </c>
      <c r="D6" s="113" t="s">
        <v>24</v>
      </c>
      <c r="E6" s="114" t="s">
        <v>14</v>
      </c>
      <c r="F6" s="115" t="s">
        <v>18</v>
      </c>
      <c r="G6" s="116">
        <v>6.86</v>
      </c>
      <c r="H6" s="125">
        <v>11.85</v>
      </c>
      <c r="I6" s="111">
        <v>20</v>
      </c>
      <c r="J6" s="117">
        <f t="shared" si="3"/>
        <v>1.62582</v>
      </c>
      <c r="K6" s="118"/>
      <c r="L6" s="111">
        <v>20</v>
      </c>
      <c r="M6" s="117">
        <f t="shared" si="4"/>
        <v>1.6258200000000003</v>
      </c>
      <c r="N6" s="145">
        <f t="shared" si="5"/>
        <v>0</v>
      </c>
      <c r="O6" s="146">
        <f t="shared" si="2"/>
        <v>0</v>
      </c>
      <c r="P6" s="111"/>
      <c r="Q6" s="111"/>
      <c r="R6" s="111"/>
      <c r="S6" s="111"/>
    </row>
    <row r="7" spans="1:19" ht="15.6">
      <c r="A7" s="110" t="s">
        <v>231</v>
      </c>
      <c r="B7" s="111" t="s">
        <v>232</v>
      </c>
      <c r="C7" s="112" t="s">
        <v>228</v>
      </c>
      <c r="D7" s="113" t="s">
        <v>24</v>
      </c>
      <c r="E7" s="114" t="s">
        <v>14</v>
      </c>
      <c r="F7" s="115" t="s">
        <v>18</v>
      </c>
      <c r="G7" s="116">
        <v>6.86</v>
      </c>
      <c r="H7" s="125">
        <v>11.81</v>
      </c>
      <c r="I7" s="111">
        <v>44</v>
      </c>
      <c r="J7" s="117">
        <f t="shared" ref="J7" si="6">H7*G7*I7/1000</f>
        <v>3.5647304000000002</v>
      </c>
      <c r="K7" s="118"/>
      <c r="L7" s="111">
        <v>44</v>
      </c>
      <c r="M7" s="117">
        <f t="shared" ref="M7" si="7">H7*L7*G7/1000</f>
        <v>3.5647303999999997</v>
      </c>
      <c r="N7" s="145">
        <f t="shared" ref="N7" si="8">I7-L7</f>
        <v>0</v>
      </c>
      <c r="O7" s="146">
        <f t="shared" si="2"/>
        <v>0</v>
      </c>
      <c r="P7" s="111" t="s">
        <v>389</v>
      </c>
      <c r="Q7" s="111"/>
      <c r="R7" s="111"/>
      <c r="S7" s="111"/>
    </row>
    <row r="8" spans="1:19" ht="15.6">
      <c r="A8" s="110" t="s">
        <v>231</v>
      </c>
      <c r="B8" s="111" t="s">
        <v>232</v>
      </c>
      <c r="C8" s="112" t="s">
        <v>228</v>
      </c>
      <c r="D8" s="113" t="s">
        <v>24</v>
      </c>
      <c r="E8" s="114" t="s">
        <v>14</v>
      </c>
      <c r="F8" s="115" t="s">
        <v>18</v>
      </c>
      <c r="G8" s="116">
        <v>6.86</v>
      </c>
      <c r="H8" s="125">
        <v>12</v>
      </c>
      <c r="I8" s="111">
        <v>4</v>
      </c>
      <c r="J8" s="117">
        <f t="shared" si="3"/>
        <v>0.32928000000000002</v>
      </c>
      <c r="K8" s="118" t="s">
        <v>234</v>
      </c>
      <c r="L8" s="111">
        <v>4</v>
      </c>
      <c r="M8" s="117">
        <f t="shared" si="4"/>
        <v>0.32928000000000002</v>
      </c>
      <c r="N8" s="145">
        <f t="shared" si="5"/>
        <v>0</v>
      </c>
      <c r="O8" s="146">
        <f t="shared" si="2"/>
        <v>0</v>
      </c>
      <c r="P8" s="111" t="s">
        <v>389</v>
      </c>
      <c r="Q8" s="111"/>
      <c r="R8" s="111"/>
      <c r="S8" s="111"/>
    </row>
    <row r="9" spans="1:19" ht="15.6">
      <c r="A9" s="110" t="s">
        <v>231</v>
      </c>
      <c r="B9" s="111" t="s">
        <v>232</v>
      </c>
      <c r="C9" s="112" t="s">
        <v>228</v>
      </c>
      <c r="D9" s="113" t="s">
        <v>24</v>
      </c>
      <c r="E9" s="114" t="s">
        <v>14</v>
      </c>
      <c r="F9" s="115" t="s">
        <v>18</v>
      </c>
      <c r="G9" s="116">
        <v>6.86</v>
      </c>
      <c r="H9" s="125">
        <v>11</v>
      </c>
      <c r="I9" s="111">
        <v>2</v>
      </c>
      <c r="J9" s="117">
        <f t="shared" si="3"/>
        <v>0.15092000000000003</v>
      </c>
      <c r="K9" s="118" t="s">
        <v>234</v>
      </c>
      <c r="L9" s="111">
        <v>2</v>
      </c>
      <c r="M9" s="117">
        <f t="shared" si="4"/>
        <v>0.15092000000000003</v>
      </c>
      <c r="N9" s="145">
        <f t="shared" si="5"/>
        <v>0</v>
      </c>
      <c r="O9" s="146">
        <f t="shared" si="2"/>
        <v>0</v>
      </c>
      <c r="P9" s="111" t="s">
        <v>389</v>
      </c>
      <c r="Q9" s="111"/>
      <c r="R9" s="111"/>
      <c r="S9" s="111"/>
    </row>
    <row r="10" spans="1:19" ht="15.6">
      <c r="A10" s="110" t="s">
        <v>231</v>
      </c>
      <c r="B10" s="111" t="s">
        <v>232</v>
      </c>
      <c r="C10" s="112" t="s">
        <v>228</v>
      </c>
      <c r="D10" s="113" t="s">
        <v>24</v>
      </c>
      <c r="E10" s="114" t="s">
        <v>14</v>
      </c>
      <c r="F10" s="115" t="s">
        <v>18</v>
      </c>
      <c r="G10" s="116">
        <v>6.86</v>
      </c>
      <c r="H10" s="125">
        <v>11</v>
      </c>
      <c r="I10" s="111">
        <v>2</v>
      </c>
      <c r="J10" s="117">
        <f t="shared" si="3"/>
        <v>0.15092000000000003</v>
      </c>
      <c r="K10" s="118" t="s">
        <v>233</v>
      </c>
      <c r="L10" s="111">
        <v>2</v>
      </c>
      <c r="M10" s="117">
        <f t="shared" si="4"/>
        <v>0.15092000000000003</v>
      </c>
      <c r="N10" s="145">
        <f t="shared" si="5"/>
        <v>0</v>
      </c>
      <c r="O10" s="146">
        <f t="shared" si="2"/>
        <v>0</v>
      </c>
      <c r="P10" s="111" t="s">
        <v>389</v>
      </c>
      <c r="Q10" s="111"/>
      <c r="R10" s="111"/>
      <c r="S10" s="111"/>
    </row>
    <row r="11" spans="1:19" ht="15.6">
      <c r="A11" s="110" t="s">
        <v>231</v>
      </c>
      <c r="B11" s="111" t="s">
        <v>232</v>
      </c>
      <c r="C11" s="112" t="s">
        <v>228</v>
      </c>
      <c r="D11" s="113" t="s">
        <v>24</v>
      </c>
      <c r="E11" s="114" t="s">
        <v>14</v>
      </c>
      <c r="F11" s="115" t="s">
        <v>18</v>
      </c>
      <c r="G11" s="116">
        <v>6.86</v>
      </c>
      <c r="H11" s="125">
        <v>10</v>
      </c>
      <c r="I11" s="111">
        <v>3</v>
      </c>
      <c r="J11" s="117">
        <f t="shared" si="3"/>
        <v>0.20580000000000001</v>
      </c>
      <c r="K11" s="118" t="s">
        <v>233</v>
      </c>
      <c r="L11" s="111">
        <v>3</v>
      </c>
      <c r="M11" s="117">
        <f t="shared" si="4"/>
        <v>0.20580000000000001</v>
      </c>
      <c r="N11" s="145">
        <f t="shared" si="5"/>
        <v>0</v>
      </c>
      <c r="O11" s="146">
        <f t="shared" si="2"/>
        <v>0</v>
      </c>
      <c r="P11" s="111" t="s">
        <v>389</v>
      </c>
      <c r="Q11" s="111"/>
      <c r="R11" s="111"/>
      <c r="S11" s="111"/>
    </row>
    <row r="12" spans="1:19">
      <c r="A12" s="32"/>
      <c r="B12" s="32"/>
      <c r="C12" s="32"/>
      <c r="D12" s="32"/>
      <c r="E12" s="32"/>
      <c r="F12" s="32"/>
      <c r="G12" s="32"/>
      <c r="H12" s="32"/>
      <c r="I12" s="123">
        <f>SUM(I4:I11)</f>
        <v>207</v>
      </c>
      <c r="J12" s="124">
        <f>SUM(J4:J11)</f>
        <v>16.687910399999996</v>
      </c>
      <c r="K12" s="32"/>
      <c r="L12" s="123">
        <f>SUM(L4:L11)</f>
        <v>207</v>
      </c>
      <c r="M12" s="124">
        <f>SUM(M4:M11)</f>
        <v>16.6879104</v>
      </c>
      <c r="N12" s="131">
        <f>SUM(N4:N11)</f>
        <v>0</v>
      </c>
      <c r="O12" s="132">
        <f>SUM(O4:O11)</f>
        <v>0</v>
      </c>
      <c r="P12" s="32"/>
      <c r="Q12" s="32"/>
      <c r="R12" s="32"/>
      <c r="S12" s="32"/>
    </row>
    <row r="13" spans="1:19" ht="15.6">
      <c r="A13" s="110" t="s">
        <v>231</v>
      </c>
      <c r="B13" s="111" t="s">
        <v>232</v>
      </c>
      <c r="C13" s="112" t="s">
        <v>228</v>
      </c>
      <c r="D13" s="113" t="s">
        <v>24</v>
      </c>
      <c r="E13" s="114" t="s">
        <v>14</v>
      </c>
      <c r="F13" s="115" t="s">
        <v>16</v>
      </c>
      <c r="G13" s="116">
        <v>5.77</v>
      </c>
      <c r="H13" s="125">
        <v>10.5</v>
      </c>
      <c r="I13" s="111">
        <f>15+6</f>
        <v>21</v>
      </c>
      <c r="J13" s="117">
        <f t="shared" ref="J13:J20" si="9">H13*G13*I13/1000</f>
        <v>1.2722849999999999</v>
      </c>
      <c r="K13" s="118"/>
      <c r="L13" s="111">
        <f>18+3</f>
        <v>21</v>
      </c>
      <c r="M13" s="117">
        <f t="shared" ref="M13:M20" si="10">H13*L13*G13/1000</f>
        <v>1.2722849999999999</v>
      </c>
      <c r="N13" s="119">
        <f t="shared" ref="N13:N20" si="11">I13-L13</f>
        <v>0</v>
      </c>
      <c r="O13" s="120">
        <f t="shared" ref="O13:O20" si="12">H13*N13*G13/1000</f>
        <v>0</v>
      </c>
      <c r="P13" s="130">
        <v>10.5</v>
      </c>
      <c r="Q13" s="45">
        <v>3</v>
      </c>
      <c r="R13" s="111" t="s">
        <v>352</v>
      </c>
      <c r="S13" s="111"/>
    </row>
    <row r="14" spans="1:19" ht="15.6">
      <c r="A14" s="110" t="s">
        <v>231</v>
      </c>
      <c r="B14" s="111" t="s">
        <v>232</v>
      </c>
      <c r="C14" s="112" t="s">
        <v>228</v>
      </c>
      <c r="D14" s="113" t="s">
        <v>24</v>
      </c>
      <c r="E14" s="114" t="s">
        <v>14</v>
      </c>
      <c r="F14" s="115" t="s">
        <v>16</v>
      </c>
      <c r="G14" s="116">
        <v>5.77</v>
      </c>
      <c r="H14" s="125">
        <v>12</v>
      </c>
      <c r="I14" s="111">
        <f>45+20+30</f>
        <v>95</v>
      </c>
      <c r="J14" s="117">
        <f t="shared" si="9"/>
        <v>6.577799999999999</v>
      </c>
      <c r="K14" s="118"/>
      <c r="L14" s="111">
        <f>89+6</f>
        <v>95</v>
      </c>
      <c r="M14" s="117">
        <f t="shared" si="10"/>
        <v>6.577799999999999</v>
      </c>
      <c r="N14" s="119">
        <f t="shared" si="11"/>
        <v>0</v>
      </c>
      <c r="O14" s="120">
        <f t="shared" si="12"/>
        <v>0</v>
      </c>
      <c r="P14" s="130">
        <v>12</v>
      </c>
      <c r="Q14" s="45">
        <v>6</v>
      </c>
      <c r="R14" s="111" t="s">
        <v>352</v>
      </c>
      <c r="S14" s="111"/>
    </row>
    <row r="15" spans="1:19" ht="15.6">
      <c r="A15" s="110" t="s">
        <v>231</v>
      </c>
      <c r="B15" s="111" t="s">
        <v>232</v>
      </c>
      <c r="C15" s="112" t="s">
        <v>228</v>
      </c>
      <c r="D15" s="113" t="s">
        <v>24</v>
      </c>
      <c r="E15" s="114" t="s">
        <v>14</v>
      </c>
      <c r="F15" s="115" t="s">
        <v>16</v>
      </c>
      <c r="G15" s="116">
        <v>5.77</v>
      </c>
      <c r="H15" s="125">
        <v>10</v>
      </c>
      <c r="I15" s="111">
        <v>2</v>
      </c>
      <c r="J15" s="117">
        <f t="shared" si="9"/>
        <v>0.11539999999999999</v>
      </c>
      <c r="K15" s="118" t="s">
        <v>233</v>
      </c>
      <c r="L15" s="111">
        <v>2</v>
      </c>
      <c r="M15" s="117">
        <f t="shared" si="10"/>
        <v>0.11539999999999999</v>
      </c>
      <c r="N15" s="119">
        <f t="shared" si="11"/>
        <v>0</v>
      </c>
      <c r="O15" s="120">
        <f t="shared" si="12"/>
        <v>0</v>
      </c>
      <c r="P15" s="130">
        <v>10</v>
      </c>
      <c r="Q15" s="45">
        <v>2</v>
      </c>
      <c r="R15" s="111" t="s">
        <v>352</v>
      </c>
      <c r="S15" s="111"/>
    </row>
    <row r="16" spans="1:19" ht="15.6">
      <c r="A16" s="110" t="s">
        <v>231</v>
      </c>
      <c r="B16" s="111" t="s">
        <v>232</v>
      </c>
      <c r="C16" s="112" t="s">
        <v>228</v>
      </c>
      <c r="D16" s="113" t="s">
        <v>24</v>
      </c>
      <c r="E16" s="114" t="s">
        <v>14</v>
      </c>
      <c r="F16" s="115" t="s">
        <v>16</v>
      </c>
      <c r="G16" s="116">
        <v>5.77</v>
      </c>
      <c r="H16" s="125">
        <v>11.5</v>
      </c>
      <c r="I16" s="111">
        <v>1</v>
      </c>
      <c r="J16" s="117">
        <f t="shared" si="9"/>
        <v>6.6354999999999983E-2</v>
      </c>
      <c r="K16" s="118" t="s">
        <v>233</v>
      </c>
      <c r="L16" s="111">
        <v>1</v>
      </c>
      <c r="M16" s="117">
        <f t="shared" si="10"/>
        <v>6.6354999999999983E-2</v>
      </c>
      <c r="N16" s="119">
        <f t="shared" si="11"/>
        <v>0</v>
      </c>
      <c r="O16" s="120">
        <f t="shared" si="12"/>
        <v>0</v>
      </c>
      <c r="P16" s="130">
        <v>11.5</v>
      </c>
      <c r="Q16" s="45">
        <v>1</v>
      </c>
      <c r="R16" s="111" t="s">
        <v>352</v>
      </c>
      <c r="S16" s="111"/>
    </row>
    <row r="17" spans="1:21" ht="15.6">
      <c r="A17" s="110" t="s">
        <v>231</v>
      </c>
      <c r="B17" s="111" t="s">
        <v>232</v>
      </c>
      <c r="C17" s="112" t="s">
        <v>228</v>
      </c>
      <c r="D17" s="113" t="s">
        <v>24</v>
      </c>
      <c r="E17" s="114" t="s">
        <v>14</v>
      </c>
      <c r="F17" s="115" t="s">
        <v>16</v>
      </c>
      <c r="G17" s="116">
        <v>5.77</v>
      </c>
      <c r="H17" s="125">
        <v>9</v>
      </c>
      <c r="I17" s="111">
        <v>1</v>
      </c>
      <c r="J17" s="117">
        <f t="shared" si="9"/>
        <v>5.192999999999999E-2</v>
      </c>
      <c r="K17" s="118" t="s">
        <v>233</v>
      </c>
      <c r="L17" s="111"/>
      <c r="M17" s="117">
        <f t="shared" si="10"/>
        <v>0</v>
      </c>
      <c r="N17" s="119">
        <f t="shared" si="11"/>
        <v>1</v>
      </c>
      <c r="O17" s="120">
        <f t="shared" si="12"/>
        <v>5.192999999999999E-2</v>
      </c>
      <c r="P17" s="130"/>
      <c r="Q17" s="111"/>
      <c r="R17" s="111"/>
      <c r="S17" s="111"/>
    </row>
    <row r="18" spans="1:21" ht="15.6">
      <c r="A18" s="110" t="s">
        <v>231</v>
      </c>
      <c r="B18" s="111" t="s">
        <v>232</v>
      </c>
      <c r="C18" s="112" t="s">
        <v>228</v>
      </c>
      <c r="D18" s="113" t="s">
        <v>24</v>
      </c>
      <c r="E18" s="114" t="s">
        <v>14</v>
      </c>
      <c r="F18" s="115" t="s">
        <v>16</v>
      </c>
      <c r="G18" s="116">
        <v>5.77</v>
      </c>
      <c r="H18" s="125">
        <v>10</v>
      </c>
      <c r="I18" s="111">
        <v>1</v>
      </c>
      <c r="J18" s="117">
        <f t="shared" si="9"/>
        <v>5.7699999999999994E-2</v>
      </c>
      <c r="K18" s="118" t="s">
        <v>235</v>
      </c>
      <c r="L18" s="111">
        <v>1</v>
      </c>
      <c r="M18" s="117">
        <f t="shared" si="10"/>
        <v>5.7699999999999994E-2</v>
      </c>
      <c r="N18" s="119">
        <f t="shared" si="11"/>
        <v>0</v>
      </c>
      <c r="O18" s="120">
        <f t="shared" si="12"/>
        <v>0</v>
      </c>
      <c r="P18" s="130">
        <v>10</v>
      </c>
      <c r="Q18" s="45">
        <v>1</v>
      </c>
      <c r="R18" s="111" t="s">
        <v>352</v>
      </c>
      <c r="S18" s="111"/>
    </row>
    <row r="19" spans="1:21" ht="15.6">
      <c r="A19" s="110" t="s">
        <v>231</v>
      </c>
      <c r="B19" s="111" t="s">
        <v>232</v>
      </c>
      <c r="C19" s="112" t="s">
        <v>228</v>
      </c>
      <c r="D19" s="113" t="s">
        <v>24</v>
      </c>
      <c r="E19" s="114" t="s">
        <v>14</v>
      </c>
      <c r="F19" s="115" t="s">
        <v>16</v>
      </c>
      <c r="G19" s="116">
        <v>5.77</v>
      </c>
      <c r="H19" s="125">
        <v>10.5</v>
      </c>
      <c r="I19" s="111">
        <v>1</v>
      </c>
      <c r="J19" s="117">
        <f t="shared" si="9"/>
        <v>6.0584999999999993E-2</v>
      </c>
      <c r="K19" s="118" t="s">
        <v>235</v>
      </c>
      <c r="L19" s="111">
        <v>1</v>
      </c>
      <c r="M19" s="117">
        <f t="shared" si="10"/>
        <v>6.0584999999999993E-2</v>
      </c>
      <c r="N19" s="119">
        <f t="shared" si="11"/>
        <v>0</v>
      </c>
      <c r="O19" s="120">
        <f t="shared" si="12"/>
        <v>0</v>
      </c>
      <c r="P19" s="130">
        <v>10.5</v>
      </c>
      <c r="Q19" s="45">
        <v>1</v>
      </c>
      <c r="R19" s="111" t="s">
        <v>352</v>
      </c>
      <c r="S19" s="111"/>
    </row>
    <row r="20" spans="1:21" ht="15.6">
      <c r="A20" s="110" t="s">
        <v>231</v>
      </c>
      <c r="B20" s="111" t="s">
        <v>232</v>
      </c>
      <c r="C20" s="112" t="s">
        <v>228</v>
      </c>
      <c r="D20" s="113" t="s">
        <v>24</v>
      </c>
      <c r="E20" s="114" t="s">
        <v>14</v>
      </c>
      <c r="F20" s="115" t="s">
        <v>16</v>
      </c>
      <c r="G20" s="116">
        <v>5.77</v>
      </c>
      <c r="H20" s="125">
        <v>11.8</v>
      </c>
      <c r="I20" s="111">
        <v>1</v>
      </c>
      <c r="J20" s="117">
        <f t="shared" si="9"/>
        <v>6.8085999999999994E-2</v>
      </c>
      <c r="K20" s="118" t="s">
        <v>235</v>
      </c>
      <c r="L20" s="111">
        <v>1</v>
      </c>
      <c r="M20" s="117">
        <f t="shared" si="10"/>
        <v>6.8085999999999994E-2</v>
      </c>
      <c r="N20" s="119">
        <f t="shared" si="11"/>
        <v>0</v>
      </c>
      <c r="O20" s="120">
        <f t="shared" si="12"/>
        <v>0</v>
      </c>
      <c r="P20" s="130">
        <v>11.5</v>
      </c>
      <c r="Q20" s="45">
        <v>1</v>
      </c>
      <c r="R20" s="111" t="s">
        <v>352</v>
      </c>
      <c r="S20" s="111"/>
    </row>
    <row r="21" spans="1:21" ht="15.6">
      <c r="A21" s="110" t="s">
        <v>231</v>
      </c>
      <c r="B21" s="111" t="s">
        <v>232</v>
      </c>
      <c r="C21" s="112" t="s">
        <v>228</v>
      </c>
      <c r="D21" s="113" t="s">
        <v>24</v>
      </c>
      <c r="E21" s="114" t="s">
        <v>14</v>
      </c>
      <c r="F21" s="115" t="s">
        <v>16</v>
      </c>
      <c r="G21" s="116">
        <v>5.77</v>
      </c>
      <c r="H21" s="127">
        <v>12</v>
      </c>
      <c r="I21" s="111">
        <v>1</v>
      </c>
      <c r="J21" s="117">
        <f t="shared" ref="J21:J22" si="13">H21*G21*I21/1000</f>
        <v>6.9239999999999996E-2</v>
      </c>
      <c r="K21" s="118" t="s">
        <v>235</v>
      </c>
      <c r="L21" s="111">
        <v>1</v>
      </c>
      <c r="M21" s="117">
        <f t="shared" ref="M21:M22" si="14">H21*L21*G21/1000</f>
        <v>6.9239999999999996E-2</v>
      </c>
      <c r="N21" s="119">
        <f t="shared" ref="N21:N22" si="15">I21-L21</f>
        <v>0</v>
      </c>
      <c r="O21" s="120">
        <f t="shared" ref="O21:O22" si="16">H21*N21*G21/1000</f>
        <v>0</v>
      </c>
      <c r="P21" s="130">
        <v>12</v>
      </c>
      <c r="Q21" s="45">
        <v>1</v>
      </c>
      <c r="R21" s="111" t="s">
        <v>352</v>
      </c>
      <c r="S21" s="111"/>
    </row>
    <row r="22" spans="1:21" ht="15.6">
      <c r="A22" s="110" t="s">
        <v>231</v>
      </c>
      <c r="B22" s="111" t="s">
        <v>232</v>
      </c>
      <c r="C22" s="112" t="s">
        <v>228</v>
      </c>
      <c r="D22" s="113" t="s">
        <v>24</v>
      </c>
      <c r="E22" s="114" t="s">
        <v>14</v>
      </c>
      <c r="F22" s="115" t="s">
        <v>16</v>
      </c>
      <c r="G22" s="116">
        <v>5.77</v>
      </c>
      <c r="H22" s="126">
        <v>11.5</v>
      </c>
      <c r="I22" s="111">
        <v>2</v>
      </c>
      <c r="J22" s="117">
        <f t="shared" si="13"/>
        <v>0.13270999999999997</v>
      </c>
      <c r="K22" s="118" t="s">
        <v>235</v>
      </c>
      <c r="L22" s="111">
        <v>2</v>
      </c>
      <c r="M22" s="117">
        <f t="shared" si="14"/>
        <v>0.13270999999999997</v>
      </c>
      <c r="N22" s="119">
        <f t="shared" si="15"/>
        <v>0</v>
      </c>
      <c r="O22" s="120">
        <f t="shared" si="16"/>
        <v>0</v>
      </c>
      <c r="P22" s="130">
        <v>11.5</v>
      </c>
      <c r="Q22" s="45">
        <v>2</v>
      </c>
      <c r="R22" s="111" t="s">
        <v>352</v>
      </c>
      <c r="S22" s="111"/>
    </row>
    <row r="23" spans="1:21">
      <c r="I23" s="6">
        <f>SUM(I13:I22)</f>
        <v>126</v>
      </c>
      <c r="J23" s="5">
        <f>SUM(J13:J22)</f>
        <v>8.4720909999999989</v>
      </c>
      <c r="L23" s="6">
        <f>SUM(L13:L22)</f>
        <v>125</v>
      </c>
      <c r="M23" s="5">
        <f>SUM(M13:M22)</f>
        <v>8.4201609999999985</v>
      </c>
      <c r="N23" s="78">
        <f>SUM(N13:N22)</f>
        <v>1</v>
      </c>
      <c r="O23" s="5">
        <f>SUM(O13:O22)</f>
        <v>5.192999999999999E-2</v>
      </c>
    </row>
    <row r="24" spans="1:21" ht="15.6">
      <c r="A24" s="110" t="s">
        <v>231</v>
      </c>
      <c r="B24" s="111" t="s">
        <v>232</v>
      </c>
      <c r="C24" s="112" t="s">
        <v>228</v>
      </c>
      <c r="D24" s="113" t="s">
        <v>86</v>
      </c>
      <c r="E24" s="114" t="s">
        <v>14</v>
      </c>
      <c r="F24" s="115" t="s">
        <v>23</v>
      </c>
      <c r="G24" s="116">
        <v>9</v>
      </c>
      <c r="H24" s="125">
        <v>12</v>
      </c>
      <c r="I24" s="111">
        <f>29+27+4+29+29+21</f>
        <v>139</v>
      </c>
      <c r="J24" s="117">
        <f t="shared" ref="J24" si="17">H24*G24*I24/1000</f>
        <v>15.012</v>
      </c>
      <c r="K24" s="118"/>
      <c r="L24" s="111">
        <f>97+19+18+5</f>
        <v>139</v>
      </c>
      <c r="M24" s="117">
        <f t="shared" ref="M24" si="18">H24*L24*G24/1000</f>
        <v>15.012</v>
      </c>
      <c r="N24" s="119">
        <f t="shared" ref="N24" si="19">I24-L24</f>
        <v>0</v>
      </c>
      <c r="O24" s="120">
        <f t="shared" ref="O24" si="20">H24*N24*G24/1000</f>
        <v>0</v>
      </c>
      <c r="P24" s="111">
        <v>12</v>
      </c>
      <c r="Q24" s="111">
        <v>18</v>
      </c>
      <c r="R24" s="111" t="s">
        <v>237</v>
      </c>
      <c r="S24" s="111">
        <v>12</v>
      </c>
      <c r="T24" s="321">
        <v>5</v>
      </c>
      <c r="U24" s="213" t="s">
        <v>805</v>
      </c>
    </row>
    <row r="25" spans="1:21" ht="15.6">
      <c r="A25" s="110" t="s">
        <v>231</v>
      </c>
      <c r="B25" s="111" t="s">
        <v>232</v>
      </c>
      <c r="C25" s="112" t="s">
        <v>228</v>
      </c>
      <c r="D25" s="113" t="s">
        <v>86</v>
      </c>
      <c r="E25" s="114" t="s">
        <v>14</v>
      </c>
      <c r="F25" s="115" t="s">
        <v>23</v>
      </c>
      <c r="G25" s="116">
        <v>9</v>
      </c>
      <c r="H25" s="125">
        <v>10.199999999999999</v>
      </c>
      <c r="I25" s="111">
        <v>1</v>
      </c>
      <c r="J25" s="117">
        <f t="shared" ref="J25:J28" si="21">H25*G25*I25/1000</f>
        <v>9.1799999999999993E-2</v>
      </c>
      <c r="K25" s="118" t="s">
        <v>233</v>
      </c>
      <c r="L25" s="111"/>
      <c r="M25" s="117">
        <f t="shared" ref="M25:M28" si="22">H25*L25*G25/1000</f>
        <v>0</v>
      </c>
      <c r="N25" s="119">
        <f t="shared" ref="N25:N28" si="23">I25-L25</f>
        <v>1</v>
      </c>
      <c r="O25" s="120">
        <f t="shared" ref="O25:O28" si="24">H25*N25*G25/1000</f>
        <v>9.1799999999999993E-2</v>
      </c>
      <c r="P25" s="111"/>
      <c r="Q25" s="111"/>
      <c r="R25" s="111"/>
      <c r="S25" s="111"/>
    </row>
    <row r="26" spans="1:21" ht="15.6">
      <c r="A26" s="110" t="s">
        <v>231</v>
      </c>
      <c r="B26" s="111" t="s">
        <v>232</v>
      </c>
      <c r="C26" s="112" t="s">
        <v>228</v>
      </c>
      <c r="D26" s="113" t="s">
        <v>86</v>
      </c>
      <c r="E26" s="114" t="s">
        <v>14</v>
      </c>
      <c r="F26" s="115" t="s">
        <v>23</v>
      </c>
      <c r="G26" s="116">
        <v>9</v>
      </c>
      <c r="H26" s="125">
        <v>7</v>
      </c>
      <c r="I26" s="111">
        <v>1</v>
      </c>
      <c r="J26" s="117">
        <f t="shared" si="21"/>
        <v>6.3E-2</v>
      </c>
      <c r="K26" s="118" t="s">
        <v>234</v>
      </c>
      <c r="L26" s="111"/>
      <c r="M26" s="117">
        <f t="shared" si="22"/>
        <v>0</v>
      </c>
      <c r="N26" s="119">
        <f t="shared" si="23"/>
        <v>1</v>
      </c>
      <c r="O26" s="120">
        <f t="shared" si="24"/>
        <v>6.3E-2</v>
      </c>
      <c r="P26" s="111"/>
      <c r="Q26" s="111"/>
      <c r="R26" s="111"/>
      <c r="S26" s="111"/>
    </row>
    <row r="27" spans="1:21" ht="15.6">
      <c r="A27" s="110" t="s">
        <v>231</v>
      </c>
      <c r="B27" s="111" t="s">
        <v>232</v>
      </c>
      <c r="C27" s="112" t="s">
        <v>228</v>
      </c>
      <c r="D27" s="113" t="s">
        <v>86</v>
      </c>
      <c r="E27" s="114" t="s">
        <v>14</v>
      </c>
      <c r="F27" s="115" t="s">
        <v>23</v>
      </c>
      <c r="G27" s="116">
        <v>9</v>
      </c>
      <c r="H27" s="125">
        <v>12</v>
      </c>
      <c r="I27" s="111">
        <v>1</v>
      </c>
      <c r="J27" s="117">
        <f t="shared" si="21"/>
        <v>0.108</v>
      </c>
      <c r="K27" s="118" t="s">
        <v>234</v>
      </c>
      <c r="L27" s="111">
        <v>1</v>
      </c>
      <c r="M27" s="117">
        <f t="shared" si="22"/>
        <v>0.108</v>
      </c>
      <c r="N27" s="119">
        <f t="shared" si="23"/>
        <v>0</v>
      </c>
      <c r="O27" s="120">
        <f t="shared" si="24"/>
        <v>0</v>
      </c>
      <c r="P27" s="111"/>
      <c r="Q27" s="111"/>
      <c r="R27" s="111"/>
      <c r="S27" s="111">
        <v>12</v>
      </c>
      <c r="T27">
        <v>1</v>
      </c>
      <c r="U27" s="213" t="s">
        <v>805</v>
      </c>
    </row>
    <row r="28" spans="1:21" ht="15.6">
      <c r="A28" s="110" t="s">
        <v>231</v>
      </c>
      <c r="B28" s="111" t="s">
        <v>232</v>
      </c>
      <c r="C28" s="112" t="s">
        <v>228</v>
      </c>
      <c r="D28" s="113" t="s">
        <v>86</v>
      </c>
      <c r="E28" s="114" t="s">
        <v>14</v>
      </c>
      <c r="F28" s="115" t="s">
        <v>23</v>
      </c>
      <c r="G28" s="116">
        <v>9</v>
      </c>
      <c r="H28" s="125">
        <v>11.5</v>
      </c>
      <c r="I28" s="111">
        <v>2</v>
      </c>
      <c r="J28" s="117">
        <f t="shared" si="21"/>
        <v>0.20699999999999999</v>
      </c>
      <c r="K28" s="118" t="s">
        <v>234</v>
      </c>
      <c r="L28" s="111">
        <v>2</v>
      </c>
      <c r="M28" s="117">
        <f t="shared" si="22"/>
        <v>0.20699999999999999</v>
      </c>
      <c r="N28" s="119">
        <f t="shared" si="23"/>
        <v>0</v>
      </c>
      <c r="O28" s="120">
        <f t="shared" si="24"/>
        <v>0</v>
      </c>
      <c r="P28" s="111"/>
      <c r="Q28" s="111"/>
      <c r="R28" s="111"/>
      <c r="S28" s="111"/>
    </row>
    <row r="29" spans="1:21">
      <c r="I29" s="76">
        <f t="shared" ref="I29" si="25">SUM(I24:I28)</f>
        <v>144</v>
      </c>
      <c r="J29" s="5">
        <f>SUM(J24:J28)</f>
        <v>15.481800000000002</v>
      </c>
      <c r="L29" s="76">
        <f t="shared" ref="L29" si="26">SUM(L24:L28)</f>
        <v>142</v>
      </c>
      <c r="M29" s="5">
        <f>SUM(M24:M28)</f>
        <v>15.327000000000002</v>
      </c>
      <c r="N29" s="78">
        <f>SUM(N24:N28)</f>
        <v>2</v>
      </c>
      <c r="O29" s="128">
        <f>SUM(O24:O28)</f>
        <v>0.15479999999999999</v>
      </c>
    </row>
    <row r="31" spans="1:21" ht="15.6">
      <c r="A31" s="110" t="s">
        <v>238</v>
      </c>
      <c r="B31" s="111" t="s">
        <v>232</v>
      </c>
      <c r="C31" s="112" t="s">
        <v>228</v>
      </c>
      <c r="D31" s="113" t="s">
        <v>236</v>
      </c>
      <c r="E31" s="114" t="s">
        <v>15</v>
      </c>
      <c r="F31" s="115" t="s">
        <v>18</v>
      </c>
      <c r="G31" s="116">
        <v>6.86</v>
      </c>
      <c r="H31" s="125">
        <v>11.1</v>
      </c>
      <c r="I31" s="111">
        <f>41+40+28+42+34+39+31</f>
        <v>255</v>
      </c>
      <c r="J31" s="117">
        <f t="shared" ref="J31:J38" si="27">H31*G31*I31/1000</f>
        <v>19.41723</v>
      </c>
      <c r="K31" s="118"/>
      <c r="L31" s="111">
        <v>255</v>
      </c>
      <c r="M31" s="117">
        <f t="shared" ref="M31:M38" si="28">H31*L31*G31/1000</f>
        <v>19.41723</v>
      </c>
      <c r="N31" s="119">
        <f t="shared" ref="N31:N38" si="29">I31-L31</f>
        <v>0</v>
      </c>
      <c r="O31" s="120">
        <f t="shared" ref="O31:O38" si="30">H31*N31*G31/1000</f>
        <v>0</v>
      </c>
      <c r="P31" s="111"/>
      <c r="Q31" s="111"/>
      <c r="R31" s="111"/>
      <c r="S31" s="111"/>
    </row>
    <row r="32" spans="1:21" ht="15.6">
      <c r="A32" s="110" t="s">
        <v>238</v>
      </c>
      <c r="B32" s="111" t="s">
        <v>232</v>
      </c>
      <c r="C32" s="112" t="s">
        <v>228</v>
      </c>
      <c r="D32" s="113" t="s">
        <v>236</v>
      </c>
      <c r="E32" s="114" t="s">
        <v>15</v>
      </c>
      <c r="F32" s="115" t="s">
        <v>18</v>
      </c>
      <c r="G32" s="116">
        <v>6.86</v>
      </c>
      <c r="H32" s="125">
        <v>11.5</v>
      </c>
      <c r="I32" s="111">
        <f>29+42+3+35</f>
        <v>109</v>
      </c>
      <c r="J32" s="117">
        <f t="shared" si="27"/>
        <v>8.5990099999999998</v>
      </c>
      <c r="K32" s="118"/>
      <c r="L32" s="111">
        <f>99+10</f>
        <v>109</v>
      </c>
      <c r="M32" s="117">
        <f t="shared" si="28"/>
        <v>8.5990099999999998</v>
      </c>
      <c r="N32" s="119">
        <f t="shared" si="29"/>
        <v>0</v>
      </c>
      <c r="O32" s="120">
        <f t="shared" si="30"/>
        <v>0</v>
      </c>
      <c r="P32" s="130">
        <v>11.1</v>
      </c>
      <c r="Q32" s="111">
        <v>10</v>
      </c>
      <c r="R32" s="111"/>
      <c r="S32" s="111"/>
    </row>
    <row r="33" spans="1:20" ht="15.6">
      <c r="A33" s="110" t="s">
        <v>238</v>
      </c>
      <c r="B33" s="111" t="s">
        <v>232</v>
      </c>
      <c r="C33" s="112" t="s">
        <v>228</v>
      </c>
      <c r="D33" s="113" t="s">
        <v>236</v>
      </c>
      <c r="E33" s="114" t="s">
        <v>15</v>
      </c>
      <c r="F33" s="115" t="s">
        <v>18</v>
      </c>
      <c r="G33" s="116">
        <v>6.86</v>
      </c>
      <c r="H33" s="125">
        <v>9</v>
      </c>
      <c r="I33" s="111">
        <v>6</v>
      </c>
      <c r="J33" s="117">
        <f t="shared" si="27"/>
        <v>0.37043999999999999</v>
      </c>
      <c r="K33" s="118"/>
      <c r="L33" s="111">
        <v>6</v>
      </c>
      <c r="M33" s="117">
        <f t="shared" si="28"/>
        <v>0.37043999999999999</v>
      </c>
      <c r="N33" s="119">
        <f t="shared" si="29"/>
        <v>0</v>
      </c>
      <c r="O33" s="120">
        <f t="shared" si="30"/>
        <v>0</v>
      </c>
      <c r="P33" s="130"/>
      <c r="Q33" s="111"/>
      <c r="R33" s="111"/>
      <c r="S33" s="111"/>
    </row>
    <row r="34" spans="1:20" ht="15.6">
      <c r="A34" s="110" t="s">
        <v>238</v>
      </c>
      <c r="B34" s="111" t="s">
        <v>232</v>
      </c>
      <c r="C34" s="112" t="s">
        <v>228</v>
      </c>
      <c r="D34" s="113" t="s">
        <v>236</v>
      </c>
      <c r="E34" s="114" t="s">
        <v>15</v>
      </c>
      <c r="F34" s="115" t="s">
        <v>18</v>
      </c>
      <c r="G34" s="116">
        <v>6.86</v>
      </c>
      <c r="H34" s="125">
        <v>7.1</v>
      </c>
      <c r="I34" s="111">
        <f>42+31+12+38+52+24</f>
        <v>199</v>
      </c>
      <c r="J34" s="117">
        <f t="shared" si="27"/>
        <v>9.6924939999999999</v>
      </c>
      <c r="K34" s="118"/>
      <c r="L34" s="111">
        <f>191+8</f>
        <v>199</v>
      </c>
      <c r="M34" s="117">
        <f t="shared" si="28"/>
        <v>9.6924939999999982</v>
      </c>
      <c r="N34" s="145">
        <f t="shared" si="29"/>
        <v>0</v>
      </c>
      <c r="O34" s="120">
        <f t="shared" si="30"/>
        <v>0</v>
      </c>
      <c r="P34" s="130">
        <v>7.1</v>
      </c>
      <c r="Q34" s="45">
        <v>8</v>
      </c>
      <c r="R34" s="111" t="s">
        <v>734</v>
      </c>
      <c r="S34" s="111"/>
    </row>
    <row r="35" spans="1:20" ht="15.6">
      <c r="A35" s="110" t="s">
        <v>238</v>
      </c>
      <c r="B35" s="111" t="s">
        <v>232</v>
      </c>
      <c r="C35" s="112" t="s">
        <v>228</v>
      </c>
      <c r="D35" s="113" t="s">
        <v>236</v>
      </c>
      <c r="E35" s="114" t="s">
        <v>15</v>
      </c>
      <c r="F35" s="115" t="s">
        <v>18</v>
      </c>
      <c r="G35" s="116">
        <v>6.86</v>
      </c>
      <c r="H35" s="125">
        <v>8.9499999999999993</v>
      </c>
      <c r="I35" s="111">
        <f>40+42+8+3+9+44+50</f>
        <v>196</v>
      </c>
      <c r="J35" s="117">
        <f t="shared" si="27"/>
        <v>12.033811999999999</v>
      </c>
      <c r="K35" s="118"/>
      <c r="L35" s="111">
        <f>194+2</f>
        <v>196</v>
      </c>
      <c r="M35" s="117">
        <f t="shared" si="28"/>
        <v>12.033811999999999</v>
      </c>
      <c r="N35" s="119">
        <f t="shared" si="29"/>
        <v>0</v>
      </c>
      <c r="O35" s="120">
        <f t="shared" si="30"/>
        <v>0</v>
      </c>
      <c r="P35" s="130"/>
      <c r="Q35" s="111"/>
      <c r="R35" s="159">
        <v>7.6</v>
      </c>
      <c r="S35" s="45">
        <v>2</v>
      </c>
      <c r="T35" s="213" t="s">
        <v>404</v>
      </c>
    </row>
    <row r="36" spans="1:20" ht="15.6">
      <c r="A36" s="110" t="s">
        <v>238</v>
      </c>
      <c r="B36" s="111" t="s">
        <v>232</v>
      </c>
      <c r="C36" s="112" t="s">
        <v>228</v>
      </c>
      <c r="D36" s="113" t="s">
        <v>236</v>
      </c>
      <c r="E36" s="114" t="s">
        <v>15</v>
      </c>
      <c r="F36" s="115" t="s">
        <v>18</v>
      </c>
      <c r="G36" s="116">
        <v>6.86</v>
      </c>
      <c r="H36" s="125">
        <v>11.2</v>
      </c>
      <c r="I36" s="111">
        <f>40+36+27+12+15+26+40+43+15</f>
        <v>254</v>
      </c>
      <c r="J36" s="117">
        <f t="shared" si="27"/>
        <v>19.515327999999997</v>
      </c>
      <c r="K36" s="118"/>
      <c r="L36" s="111">
        <v>254</v>
      </c>
      <c r="M36" s="117">
        <f t="shared" si="28"/>
        <v>19.515327999999997</v>
      </c>
      <c r="N36" s="119">
        <f t="shared" si="29"/>
        <v>0</v>
      </c>
      <c r="O36" s="120">
        <f t="shared" si="30"/>
        <v>0</v>
      </c>
      <c r="P36" s="130"/>
      <c r="Q36" s="111"/>
      <c r="R36" s="159"/>
      <c r="S36" s="111"/>
    </row>
    <row r="37" spans="1:20" ht="15.6">
      <c r="A37" s="110" t="s">
        <v>238</v>
      </c>
      <c r="B37" s="111" t="s">
        <v>232</v>
      </c>
      <c r="C37" s="112" t="s">
        <v>228</v>
      </c>
      <c r="D37" s="113" t="s">
        <v>236</v>
      </c>
      <c r="E37" s="114" t="s">
        <v>15</v>
      </c>
      <c r="F37" s="115" t="s">
        <v>18</v>
      </c>
      <c r="G37" s="116">
        <v>6.86</v>
      </c>
      <c r="H37" s="125">
        <v>10.5</v>
      </c>
      <c r="I37" s="111">
        <v>1</v>
      </c>
      <c r="J37" s="117">
        <f t="shared" si="27"/>
        <v>7.2029999999999997E-2</v>
      </c>
      <c r="K37" s="118"/>
      <c r="L37" s="111">
        <v>1</v>
      </c>
      <c r="M37" s="117">
        <f t="shared" si="28"/>
        <v>7.2029999999999997E-2</v>
      </c>
      <c r="N37" s="119">
        <f t="shared" si="29"/>
        <v>0</v>
      </c>
      <c r="O37" s="120">
        <f t="shared" si="30"/>
        <v>0</v>
      </c>
      <c r="P37" s="130"/>
      <c r="Q37" s="111"/>
      <c r="R37" s="159">
        <v>10</v>
      </c>
      <c r="S37" s="45">
        <v>1</v>
      </c>
      <c r="T37" s="213" t="s">
        <v>458</v>
      </c>
    </row>
    <row r="38" spans="1:20" ht="15.6">
      <c r="A38" s="110" t="s">
        <v>238</v>
      </c>
      <c r="B38" s="111" t="s">
        <v>232</v>
      </c>
      <c r="C38" s="112" t="s">
        <v>228</v>
      </c>
      <c r="D38" s="113" t="s">
        <v>236</v>
      </c>
      <c r="E38" s="114" t="s">
        <v>15</v>
      </c>
      <c r="F38" s="115" t="s">
        <v>18</v>
      </c>
      <c r="G38" s="116">
        <v>6.86</v>
      </c>
      <c r="H38" s="125">
        <v>11.5</v>
      </c>
      <c r="I38" s="111">
        <v>3</v>
      </c>
      <c r="J38" s="117">
        <f t="shared" si="27"/>
        <v>0.23667000000000002</v>
      </c>
      <c r="K38" s="118"/>
      <c r="L38" s="111">
        <v>3</v>
      </c>
      <c r="M38" s="117">
        <f t="shared" si="28"/>
        <v>0.23667000000000002</v>
      </c>
      <c r="N38" s="119">
        <f t="shared" si="29"/>
        <v>0</v>
      </c>
      <c r="O38" s="120">
        <f t="shared" si="30"/>
        <v>0</v>
      </c>
      <c r="P38" s="130">
        <v>11.1</v>
      </c>
      <c r="Q38" s="111">
        <v>3</v>
      </c>
      <c r="R38" s="111"/>
      <c r="S38" s="111"/>
    </row>
    <row r="39" spans="1:20" ht="15.6">
      <c r="A39" s="110" t="s">
        <v>238</v>
      </c>
      <c r="B39" s="111" t="s">
        <v>232</v>
      </c>
      <c r="C39" s="112" t="s">
        <v>228</v>
      </c>
      <c r="D39" s="113" t="s">
        <v>236</v>
      </c>
      <c r="E39" s="114" t="s">
        <v>15</v>
      </c>
      <c r="F39" s="115" t="s">
        <v>18</v>
      </c>
      <c r="G39" s="116">
        <v>6.86</v>
      </c>
      <c r="H39" s="127">
        <v>12</v>
      </c>
      <c r="I39" s="111">
        <v>3</v>
      </c>
      <c r="J39" s="117">
        <f t="shared" ref="J39:J67" si="31">H39*G39*I39/1000</f>
        <v>0.24696000000000004</v>
      </c>
      <c r="K39" s="118"/>
      <c r="L39" s="111">
        <v>3</v>
      </c>
      <c r="M39" s="117">
        <f t="shared" ref="M39:M67" si="32">H39*L39*G39/1000</f>
        <v>0.24696000000000001</v>
      </c>
      <c r="N39" s="119">
        <f t="shared" ref="N39:N67" si="33">I39-L39</f>
        <v>0</v>
      </c>
      <c r="O39" s="120">
        <f t="shared" ref="O39:O67" si="34">H39*N39*G39/1000</f>
        <v>0</v>
      </c>
      <c r="P39" s="130">
        <v>11.1</v>
      </c>
      <c r="Q39" s="111">
        <v>3</v>
      </c>
      <c r="R39" s="111"/>
      <c r="S39" s="111"/>
    </row>
    <row r="40" spans="1:20" ht="15.6">
      <c r="A40" s="110" t="s">
        <v>238</v>
      </c>
      <c r="B40" s="111" t="s">
        <v>232</v>
      </c>
      <c r="C40" s="112" t="s">
        <v>228</v>
      </c>
      <c r="D40" s="113" t="s">
        <v>236</v>
      </c>
      <c r="E40" s="114" t="s">
        <v>15</v>
      </c>
      <c r="F40" s="115" t="s">
        <v>18</v>
      </c>
      <c r="G40" s="116">
        <v>6.86</v>
      </c>
      <c r="H40" s="125">
        <v>6.5</v>
      </c>
      <c r="I40" s="44">
        <v>1</v>
      </c>
      <c r="J40" s="117">
        <f t="shared" si="31"/>
        <v>4.4590000000000005E-2</v>
      </c>
      <c r="K40" s="118"/>
      <c r="L40" s="111">
        <v>1</v>
      </c>
      <c r="M40" s="117">
        <f t="shared" si="32"/>
        <v>4.4590000000000005E-2</v>
      </c>
      <c r="N40" s="119">
        <f t="shared" si="33"/>
        <v>0</v>
      </c>
      <c r="O40" s="120">
        <f t="shared" si="34"/>
        <v>0</v>
      </c>
      <c r="P40" s="130"/>
      <c r="Q40" s="111"/>
      <c r="R40" s="111"/>
      <c r="S40" s="111"/>
    </row>
    <row r="41" spans="1:20" ht="15.6">
      <c r="A41" s="110" t="s">
        <v>238</v>
      </c>
      <c r="B41" s="111" t="s">
        <v>232</v>
      </c>
      <c r="C41" s="112" t="s">
        <v>228</v>
      </c>
      <c r="D41" s="113" t="s">
        <v>236</v>
      </c>
      <c r="E41" s="114" t="s">
        <v>15</v>
      </c>
      <c r="F41" s="115" t="s">
        <v>18</v>
      </c>
      <c r="G41" s="116">
        <v>6.86</v>
      </c>
      <c r="H41" s="125">
        <v>6.8</v>
      </c>
      <c r="I41" s="44">
        <v>1</v>
      </c>
      <c r="J41" s="117">
        <f t="shared" si="31"/>
        <v>4.6648000000000002E-2</v>
      </c>
      <c r="K41" s="118"/>
      <c r="L41" s="111">
        <v>1</v>
      </c>
      <c r="M41" s="117">
        <f t="shared" si="32"/>
        <v>4.6648000000000002E-2</v>
      </c>
      <c r="N41" s="119">
        <f t="shared" si="33"/>
        <v>0</v>
      </c>
      <c r="O41" s="120">
        <f t="shared" si="34"/>
        <v>0</v>
      </c>
      <c r="P41" s="130"/>
      <c r="Q41" s="111"/>
      <c r="R41" s="111"/>
      <c r="S41" s="111"/>
    </row>
    <row r="42" spans="1:20" ht="15.6">
      <c r="A42" s="110" t="s">
        <v>238</v>
      </c>
      <c r="B42" s="111" t="s">
        <v>232</v>
      </c>
      <c r="C42" s="112" t="s">
        <v>228</v>
      </c>
      <c r="D42" s="113" t="s">
        <v>236</v>
      </c>
      <c r="E42" s="114" t="s">
        <v>15</v>
      </c>
      <c r="F42" s="115" t="s">
        <v>18</v>
      </c>
      <c r="G42" s="116">
        <v>6.86</v>
      </c>
      <c r="H42" s="125">
        <v>8.3000000000000007</v>
      </c>
      <c r="I42" s="111">
        <v>1</v>
      </c>
      <c r="J42" s="117">
        <f t="shared" si="31"/>
        <v>5.6938000000000009E-2</v>
      </c>
      <c r="K42" s="118"/>
      <c r="L42" s="111">
        <v>1</v>
      </c>
      <c r="M42" s="117">
        <f t="shared" si="32"/>
        <v>5.6938000000000009E-2</v>
      </c>
      <c r="N42" s="119">
        <f t="shared" si="33"/>
        <v>0</v>
      </c>
      <c r="O42" s="120">
        <f t="shared" si="34"/>
        <v>0</v>
      </c>
      <c r="P42" s="130"/>
      <c r="Q42" s="111"/>
      <c r="R42" s="159">
        <v>7.6</v>
      </c>
      <c r="S42" s="45">
        <v>1</v>
      </c>
      <c r="T42" s="213" t="s">
        <v>404</v>
      </c>
    </row>
    <row r="43" spans="1:20" ht="15.6">
      <c r="A43" s="110" t="s">
        <v>238</v>
      </c>
      <c r="B43" s="111" t="s">
        <v>232</v>
      </c>
      <c r="C43" s="112" t="s">
        <v>228</v>
      </c>
      <c r="D43" s="113" t="s">
        <v>236</v>
      </c>
      <c r="E43" s="114" t="s">
        <v>15</v>
      </c>
      <c r="F43" s="115" t="s">
        <v>18</v>
      </c>
      <c r="G43" s="116">
        <v>6.86</v>
      </c>
      <c r="H43" s="125">
        <v>8.5</v>
      </c>
      <c r="I43" s="111">
        <v>6</v>
      </c>
      <c r="J43" s="117">
        <f t="shared" si="31"/>
        <v>0.34986</v>
      </c>
      <c r="K43" s="118"/>
      <c r="L43" s="111">
        <v>6</v>
      </c>
      <c r="M43" s="117">
        <f t="shared" si="32"/>
        <v>0.34986</v>
      </c>
      <c r="N43" s="119">
        <f t="shared" si="33"/>
        <v>0</v>
      </c>
      <c r="O43" s="120">
        <f t="shared" si="34"/>
        <v>0</v>
      </c>
      <c r="P43" s="130"/>
      <c r="Q43" s="111"/>
      <c r="R43" s="159">
        <v>7.6</v>
      </c>
      <c r="S43" s="45">
        <v>6</v>
      </c>
      <c r="T43" s="213" t="s">
        <v>404</v>
      </c>
    </row>
    <row r="44" spans="1:20" ht="15.6">
      <c r="A44" s="110" t="s">
        <v>238</v>
      </c>
      <c r="B44" s="111" t="s">
        <v>232</v>
      </c>
      <c r="C44" s="112" t="s">
        <v>228</v>
      </c>
      <c r="D44" s="113" t="s">
        <v>236</v>
      </c>
      <c r="E44" s="114" t="s">
        <v>15</v>
      </c>
      <c r="F44" s="115" t="s">
        <v>18</v>
      </c>
      <c r="G44" s="116">
        <v>6.86</v>
      </c>
      <c r="H44" s="125">
        <v>10.3</v>
      </c>
      <c r="I44" s="44">
        <v>1</v>
      </c>
      <c r="J44" s="117">
        <f t="shared" si="31"/>
        <v>7.0657999999999999E-2</v>
      </c>
      <c r="K44" s="118"/>
      <c r="L44" s="111">
        <v>1</v>
      </c>
      <c r="M44" s="117">
        <f t="shared" si="32"/>
        <v>7.0657999999999999E-2</v>
      </c>
      <c r="N44" s="119">
        <f t="shared" si="33"/>
        <v>0</v>
      </c>
      <c r="O44" s="120">
        <f t="shared" si="34"/>
        <v>0</v>
      </c>
      <c r="P44" s="130"/>
      <c r="Q44" s="111"/>
      <c r="R44" s="336">
        <v>10</v>
      </c>
      <c r="S44" s="45">
        <v>1</v>
      </c>
      <c r="T44" s="213" t="s">
        <v>458</v>
      </c>
    </row>
    <row r="45" spans="1:20" ht="15.6">
      <c r="A45" s="110" t="s">
        <v>238</v>
      </c>
      <c r="B45" s="111" t="s">
        <v>232</v>
      </c>
      <c r="C45" s="112" t="s">
        <v>228</v>
      </c>
      <c r="D45" s="113" t="s">
        <v>236</v>
      </c>
      <c r="E45" s="114" t="s">
        <v>15</v>
      </c>
      <c r="F45" s="115" t="s">
        <v>18</v>
      </c>
      <c r="G45" s="116">
        <v>6.86</v>
      </c>
      <c r="H45" s="125">
        <v>10.5</v>
      </c>
      <c r="I45" s="44">
        <v>21</v>
      </c>
      <c r="J45" s="117">
        <f t="shared" si="31"/>
        <v>1.5126300000000001</v>
      </c>
      <c r="K45" s="118"/>
      <c r="L45" s="111">
        <f>18+3</f>
        <v>21</v>
      </c>
      <c r="M45" s="117">
        <f t="shared" si="32"/>
        <v>1.5126300000000001</v>
      </c>
      <c r="N45" s="119">
        <f t="shared" si="33"/>
        <v>0</v>
      </c>
      <c r="O45" s="120">
        <f t="shared" si="34"/>
        <v>0</v>
      </c>
      <c r="P45" s="130">
        <v>9</v>
      </c>
      <c r="Q45" s="111">
        <v>18</v>
      </c>
      <c r="R45" s="336">
        <v>10</v>
      </c>
      <c r="S45" s="45">
        <v>3</v>
      </c>
      <c r="T45" s="213" t="s">
        <v>458</v>
      </c>
    </row>
    <row r="46" spans="1:20" ht="15.6">
      <c r="A46" s="110" t="s">
        <v>238</v>
      </c>
      <c r="B46" s="111" t="s">
        <v>232</v>
      </c>
      <c r="C46" s="112" t="s">
        <v>228</v>
      </c>
      <c r="D46" s="113" t="s">
        <v>236</v>
      </c>
      <c r="E46" s="114" t="s">
        <v>15</v>
      </c>
      <c r="F46" s="115" t="s">
        <v>18</v>
      </c>
      <c r="G46" s="116">
        <v>6.86</v>
      </c>
      <c r="H46" s="125">
        <v>11.5</v>
      </c>
      <c r="I46" s="111">
        <v>5</v>
      </c>
      <c r="J46" s="117">
        <f t="shared" si="31"/>
        <v>0.39444999999999997</v>
      </c>
      <c r="K46" s="118"/>
      <c r="L46" s="111">
        <v>5</v>
      </c>
      <c r="M46" s="117">
        <f t="shared" si="32"/>
        <v>0.39445000000000002</v>
      </c>
      <c r="N46" s="119">
        <f t="shared" si="33"/>
        <v>0</v>
      </c>
      <c r="O46" s="120">
        <f t="shared" si="34"/>
        <v>0</v>
      </c>
      <c r="P46" s="130">
        <v>11.1</v>
      </c>
      <c r="Q46" s="111">
        <v>5</v>
      </c>
      <c r="R46" s="111"/>
      <c r="S46" s="111"/>
    </row>
    <row r="47" spans="1:20" ht="15.6">
      <c r="A47" s="110" t="s">
        <v>238</v>
      </c>
      <c r="B47" s="111" t="s">
        <v>232</v>
      </c>
      <c r="C47" s="112" t="s">
        <v>228</v>
      </c>
      <c r="D47" s="113" t="s">
        <v>236</v>
      </c>
      <c r="E47" s="114" t="s">
        <v>15</v>
      </c>
      <c r="F47" s="115" t="s">
        <v>18</v>
      </c>
      <c r="G47" s="116">
        <v>6.86</v>
      </c>
      <c r="H47" s="125">
        <v>12</v>
      </c>
      <c r="I47" s="111">
        <v>5</v>
      </c>
      <c r="J47" s="117">
        <f t="shared" si="31"/>
        <v>0.41160000000000002</v>
      </c>
      <c r="K47" s="118"/>
      <c r="L47" s="111">
        <v>5</v>
      </c>
      <c r="M47" s="117">
        <f t="shared" si="32"/>
        <v>0.41160000000000002</v>
      </c>
      <c r="N47" s="119">
        <f t="shared" si="33"/>
        <v>0</v>
      </c>
      <c r="O47" s="120">
        <f t="shared" si="34"/>
        <v>0</v>
      </c>
      <c r="P47" s="130">
        <v>11.1</v>
      </c>
      <c r="Q47" s="111">
        <v>5</v>
      </c>
      <c r="R47" s="111"/>
      <c r="S47" s="111"/>
    </row>
    <row r="48" spans="1:20" ht="15.6">
      <c r="A48" s="110" t="s">
        <v>238</v>
      </c>
      <c r="B48" s="111" t="s">
        <v>232</v>
      </c>
      <c r="C48" s="112" t="s">
        <v>228</v>
      </c>
      <c r="D48" s="113" t="s">
        <v>236</v>
      </c>
      <c r="E48" s="114" t="s">
        <v>15</v>
      </c>
      <c r="F48" s="115" t="s">
        <v>18</v>
      </c>
      <c r="G48" s="116">
        <v>6.86</v>
      </c>
      <c r="H48" s="125">
        <v>12</v>
      </c>
      <c r="I48" s="111">
        <v>5</v>
      </c>
      <c r="J48" s="117">
        <f t="shared" si="31"/>
        <v>0.41160000000000002</v>
      </c>
      <c r="K48" s="118"/>
      <c r="L48" s="111">
        <v>5</v>
      </c>
      <c r="M48" s="117">
        <f t="shared" si="32"/>
        <v>0.41160000000000002</v>
      </c>
      <c r="N48" s="119">
        <f t="shared" si="33"/>
        <v>0</v>
      </c>
      <c r="O48" s="120">
        <f t="shared" si="34"/>
        <v>0</v>
      </c>
      <c r="P48" s="130">
        <v>11.1</v>
      </c>
      <c r="Q48" s="111">
        <v>5</v>
      </c>
      <c r="R48" s="111"/>
      <c r="S48" s="111"/>
    </row>
    <row r="49" spans="1:21" ht="15.6">
      <c r="A49" s="110" t="s">
        <v>238</v>
      </c>
      <c r="B49" s="111" t="s">
        <v>232</v>
      </c>
      <c r="C49" s="112" t="s">
        <v>228</v>
      </c>
      <c r="D49" s="113" t="s">
        <v>236</v>
      </c>
      <c r="E49" s="114" t="s">
        <v>15</v>
      </c>
      <c r="F49" s="115" t="s">
        <v>18</v>
      </c>
      <c r="G49" s="116">
        <v>6.86</v>
      </c>
      <c r="H49" s="125">
        <v>11.5</v>
      </c>
      <c r="I49" s="111">
        <v>1</v>
      </c>
      <c r="J49" s="117">
        <f t="shared" si="31"/>
        <v>7.8890000000000002E-2</v>
      </c>
      <c r="K49" s="118"/>
      <c r="L49" s="111">
        <v>1</v>
      </c>
      <c r="M49" s="117">
        <f t="shared" si="32"/>
        <v>7.8890000000000002E-2</v>
      </c>
      <c r="N49" s="119">
        <f t="shared" si="33"/>
        <v>0</v>
      </c>
      <c r="O49" s="120">
        <f t="shared" si="34"/>
        <v>0</v>
      </c>
      <c r="P49" s="130">
        <v>11.1</v>
      </c>
      <c r="Q49" s="111">
        <v>1</v>
      </c>
      <c r="R49" s="111"/>
      <c r="S49" s="111"/>
    </row>
    <row r="50" spans="1:21" ht="15.6">
      <c r="A50" s="110" t="s">
        <v>238</v>
      </c>
      <c r="B50" s="111" t="s">
        <v>232</v>
      </c>
      <c r="C50" s="112" t="s">
        <v>228</v>
      </c>
      <c r="D50" s="113" t="s">
        <v>236</v>
      </c>
      <c r="E50" s="114" t="s">
        <v>15</v>
      </c>
      <c r="F50" s="115" t="s">
        <v>18</v>
      </c>
      <c r="G50" s="116">
        <v>6.86</v>
      </c>
      <c r="H50" s="125">
        <v>11</v>
      </c>
      <c r="I50" s="111">
        <v>2</v>
      </c>
      <c r="J50" s="117">
        <f t="shared" si="31"/>
        <v>0.15092000000000003</v>
      </c>
      <c r="K50" s="118"/>
      <c r="L50" s="111">
        <v>2</v>
      </c>
      <c r="M50" s="117">
        <f t="shared" si="32"/>
        <v>0.15092000000000003</v>
      </c>
      <c r="N50" s="145">
        <f t="shared" si="33"/>
        <v>0</v>
      </c>
      <c r="O50" s="120">
        <f t="shared" si="34"/>
        <v>0</v>
      </c>
      <c r="P50" s="130">
        <v>11</v>
      </c>
      <c r="Q50" s="45">
        <v>2</v>
      </c>
      <c r="R50" s="111" t="s">
        <v>734</v>
      </c>
      <c r="S50" s="111"/>
      <c r="T50" s="29"/>
    </row>
    <row r="51" spans="1:21" ht="15.6">
      <c r="A51" s="110" t="s">
        <v>238</v>
      </c>
      <c r="B51" s="111" t="s">
        <v>232</v>
      </c>
      <c r="C51" s="112" t="s">
        <v>228</v>
      </c>
      <c r="D51" s="113" t="s">
        <v>236</v>
      </c>
      <c r="E51" s="114" t="s">
        <v>15</v>
      </c>
      <c r="F51" s="115" t="s">
        <v>18</v>
      </c>
      <c r="G51" s="116">
        <v>6.86</v>
      </c>
      <c r="H51" s="125">
        <v>10.5</v>
      </c>
      <c r="I51" s="111">
        <v>3</v>
      </c>
      <c r="J51" s="117">
        <f t="shared" si="31"/>
        <v>0.21609</v>
      </c>
      <c r="K51" s="118"/>
      <c r="L51" s="111">
        <v>3</v>
      </c>
      <c r="M51" s="117">
        <f t="shared" si="32"/>
        <v>0.21609</v>
      </c>
      <c r="N51" s="119">
        <f t="shared" si="33"/>
        <v>0</v>
      </c>
      <c r="O51" s="120">
        <f t="shared" si="34"/>
        <v>0</v>
      </c>
      <c r="P51" s="130">
        <v>10.5</v>
      </c>
      <c r="Q51" s="111">
        <v>3</v>
      </c>
      <c r="R51" s="111" t="s">
        <v>291</v>
      </c>
      <c r="S51" s="111"/>
    </row>
    <row r="52" spans="1:21" ht="15.6">
      <c r="A52" s="110" t="s">
        <v>238</v>
      </c>
      <c r="B52" s="111" t="s">
        <v>232</v>
      </c>
      <c r="C52" s="112" t="s">
        <v>228</v>
      </c>
      <c r="D52" s="113" t="s">
        <v>236</v>
      </c>
      <c r="E52" s="114" t="s">
        <v>15</v>
      </c>
      <c r="F52" s="115" t="s">
        <v>18</v>
      </c>
      <c r="G52" s="116">
        <v>6.86</v>
      </c>
      <c r="H52" s="125">
        <v>10</v>
      </c>
      <c r="I52" s="111">
        <v>1</v>
      </c>
      <c r="J52" s="117">
        <f t="shared" si="31"/>
        <v>6.8600000000000008E-2</v>
      </c>
      <c r="K52" s="118"/>
      <c r="L52" s="111">
        <v>1</v>
      </c>
      <c r="M52" s="117">
        <f t="shared" si="32"/>
        <v>6.8600000000000008E-2</v>
      </c>
      <c r="N52" s="119">
        <f t="shared" si="33"/>
        <v>0</v>
      </c>
      <c r="O52" s="120">
        <f t="shared" si="34"/>
        <v>0</v>
      </c>
      <c r="P52" s="130">
        <v>9</v>
      </c>
      <c r="Q52" s="111">
        <v>1</v>
      </c>
      <c r="R52" s="111"/>
      <c r="S52" s="111"/>
    </row>
    <row r="53" spans="1:21" ht="15.6">
      <c r="A53" s="110" t="s">
        <v>238</v>
      </c>
      <c r="B53" s="111" t="s">
        <v>232</v>
      </c>
      <c r="C53" s="112" t="s">
        <v>228</v>
      </c>
      <c r="D53" s="113" t="s">
        <v>236</v>
      </c>
      <c r="E53" s="114" t="s">
        <v>15</v>
      </c>
      <c r="F53" s="115" t="s">
        <v>18</v>
      </c>
      <c r="G53" s="116">
        <v>6.86</v>
      </c>
      <c r="H53" s="125">
        <v>8.5</v>
      </c>
      <c r="I53" s="111">
        <v>1</v>
      </c>
      <c r="J53" s="117">
        <f t="shared" si="31"/>
        <v>5.8310000000000001E-2</v>
      </c>
      <c r="K53" s="118"/>
      <c r="L53" s="111">
        <v>1</v>
      </c>
      <c r="M53" s="117">
        <f t="shared" si="32"/>
        <v>5.8310000000000001E-2</v>
      </c>
      <c r="N53" s="119">
        <f t="shared" si="33"/>
        <v>0</v>
      </c>
      <c r="O53" s="120">
        <f t="shared" si="34"/>
        <v>0</v>
      </c>
      <c r="P53" s="130"/>
      <c r="Q53" s="111"/>
      <c r="R53" s="111">
        <v>7.6</v>
      </c>
      <c r="S53" s="45">
        <v>1</v>
      </c>
      <c r="T53" s="213" t="s">
        <v>404</v>
      </c>
    </row>
    <row r="54" spans="1:21" ht="15.6">
      <c r="A54" s="110" t="s">
        <v>238</v>
      </c>
      <c r="B54" s="111" t="s">
        <v>232</v>
      </c>
      <c r="C54" s="112" t="s">
        <v>228</v>
      </c>
      <c r="D54" s="113" t="s">
        <v>236</v>
      </c>
      <c r="E54" s="114" t="s">
        <v>15</v>
      </c>
      <c r="F54" s="115" t="s">
        <v>18</v>
      </c>
      <c r="G54" s="116">
        <v>6.86</v>
      </c>
      <c r="H54" s="125">
        <v>8</v>
      </c>
      <c r="I54" s="111">
        <v>7</v>
      </c>
      <c r="J54" s="117">
        <f t="shared" si="31"/>
        <v>0.38416</v>
      </c>
      <c r="K54" s="118"/>
      <c r="L54" s="111">
        <v>7</v>
      </c>
      <c r="M54" s="117">
        <f t="shared" si="32"/>
        <v>0.38416</v>
      </c>
      <c r="N54" s="119">
        <f t="shared" si="33"/>
        <v>0</v>
      </c>
      <c r="O54" s="120">
        <f t="shared" si="34"/>
        <v>0</v>
      </c>
      <c r="P54" s="130"/>
      <c r="Q54" s="111"/>
      <c r="R54" s="111">
        <v>7.6</v>
      </c>
      <c r="S54" s="45">
        <v>7</v>
      </c>
      <c r="T54" s="213" t="s">
        <v>404</v>
      </c>
    </row>
    <row r="55" spans="1:21" ht="15.6">
      <c r="A55" s="110" t="s">
        <v>238</v>
      </c>
      <c r="B55" s="111" t="s">
        <v>232</v>
      </c>
      <c r="C55" s="112" t="s">
        <v>228</v>
      </c>
      <c r="D55" s="113" t="s">
        <v>236</v>
      </c>
      <c r="E55" s="114" t="s">
        <v>15</v>
      </c>
      <c r="F55" s="115" t="s">
        <v>18</v>
      </c>
      <c r="G55" s="116">
        <v>6.86</v>
      </c>
      <c r="H55" s="125">
        <v>10.5</v>
      </c>
      <c r="I55" s="111">
        <v>11</v>
      </c>
      <c r="J55" s="117">
        <f t="shared" si="31"/>
        <v>0.79233000000000009</v>
      </c>
      <c r="K55" s="118"/>
      <c r="L55" s="111">
        <f>7+4</f>
        <v>11</v>
      </c>
      <c r="M55" s="117">
        <f t="shared" si="32"/>
        <v>0.79233000000000009</v>
      </c>
      <c r="N55" s="145">
        <f t="shared" si="33"/>
        <v>0</v>
      </c>
      <c r="O55" s="120">
        <f t="shared" si="34"/>
        <v>0</v>
      </c>
      <c r="P55" s="130">
        <v>10.5</v>
      </c>
      <c r="Q55" s="45">
        <v>4</v>
      </c>
      <c r="R55" s="111" t="s">
        <v>734</v>
      </c>
      <c r="S55" s="130">
        <v>10</v>
      </c>
      <c r="T55" s="111">
        <v>7</v>
      </c>
      <c r="U55" s="111" t="s">
        <v>753</v>
      </c>
    </row>
    <row r="56" spans="1:21" ht="15.6">
      <c r="A56" s="110" t="s">
        <v>238</v>
      </c>
      <c r="B56" s="111" t="s">
        <v>232</v>
      </c>
      <c r="C56" s="112" t="s">
        <v>228</v>
      </c>
      <c r="D56" s="113" t="s">
        <v>236</v>
      </c>
      <c r="E56" s="114" t="s">
        <v>15</v>
      </c>
      <c r="F56" s="115" t="s">
        <v>18</v>
      </c>
      <c r="G56" s="116">
        <v>6.86</v>
      </c>
      <c r="H56" s="125">
        <v>11</v>
      </c>
      <c r="I56" s="111">
        <v>1</v>
      </c>
      <c r="J56" s="117">
        <f t="shared" si="31"/>
        <v>7.5460000000000013E-2</v>
      </c>
      <c r="K56" s="118"/>
      <c r="L56" s="111">
        <v>1</v>
      </c>
      <c r="M56" s="117">
        <f t="shared" si="32"/>
        <v>7.5460000000000013E-2</v>
      </c>
      <c r="N56" s="145">
        <f t="shared" si="33"/>
        <v>0</v>
      </c>
      <c r="O56" s="120">
        <f t="shared" si="34"/>
        <v>0</v>
      </c>
      <c r="P56" s="130">
        <v>11</v>
      </c>
      <c r="Q56" s="45">
        <v>1</v>
      </c>
      <c r="R56" s="111" t="s">
        <v>734</v>
      </c>
      <c r="S56" s="111"/>
      <c r="T56" s="213"/>
    </row>
    <row r="57" spans="1:21" ht="15.6">
      <c r="A57" s="110" t="s">
        <v>238</v>
      </c>
      <c r="B57" s="111" t="s">
        <v>232</v>
      </c>
      <c r="C57" s="112" t="s">
        <v>228</v>
      </c>
      <c r="D57" s="113" t="s">
        <v>236</v>
      </c>
      <c r="E57" s="114" t="s">
        <v>15</v>
      </c>
      <c r="F57" s="115" t="s">
        <v>18</v>
      </c>
      <c r="G57" s="116">
        <v>6.86</v>
      </c>
      <c r="H57" s="125">
        <v>10.8</v>
      </c>
      <c r="I57" s="111">
        <v>3</v>
      </c>
      <c r="J57" s="117">
        <f t="shared" si="31"/>
        <v>0.22226400000000002</v>
      </c>
      <c r="K57" s="118"/>
      <c r="L57" s="111">
        <v>3</v>
      </c>
      <c r="M57" s="117">
        <f t="shared" si="32"/>
        <v>0.22226400000000004</v>
      </c>
      <c r="N57" s="145">
        <f t="shared" si="33"/>
        <v>0</v>
      </c>
      <c r="O57" s="120">
        <f t="shared" si="34"/>
        <v>0</v>
      </c>
      <c r="P57" s="130">
        <v>10.8</v>
      </c>
      <c r="Q57" s="45">
        <v>3</v>
      </c>
      <c r="R57" s="111" t="s">
        <v>734</v>
      </c>
      <c r="S57" s="111"/>
      <c r="T57" s="213"/>
    </row>
    <row r="58" spans="1:21" ht="15.6">
      <c r="A58" s="110" t="s">
        <v>238</v>
      </c>
      <c r="B58" s="111" t="s">
        <v>232</v>
      </c>
      <c r="C58" s="112" t="s">
        <v>228</v>
      </c>
      <c r="D58" s="113" t="s">
        <v>236</v>
      </c>
      <c r="E58" s="114" t="s">
        <v>15</v>
      </c>
      <c r="F58" s="115" t="s">
        <v>18</v>
      </c>
      <c r="G58" s="116">
        <v>6.86</v>
      </c>
      <c r="H58" s="125">
        <v>10</v>
      </c>
      <c r="I58" s="111">
        <v>2</v>
      </c>
      <c r="J58" s="117">
        <f t="shared" si="31"/>
        <v>0.13720000000000002</v>
      </c>
      <c r="K58" s="118"/>
      <c r="L58" s="111">
        <v>2</v>
      </c>
      <c r="M58" s="117">
        <f t="shared" si="32"/>
        <v>0.13720000000000002</v>
      </c>
      <c r="N58" s="119">
        <f t="shared" si="33"/>
        <v>0</v>
      </c>
      <c r="O58" s="120">
        <f t="shared" si="34"/>
        <v>0</v>
      </c>
      <c r="P58" s="130">
        <v>9</v>
      </c>
      <c r="Q58" s="111">
        <v>2</v>
      </c>
      <c r="R58" s="111"/>
      <c r="S58" s="111"/>
    </row>
    <row r="59" spans="1:21" ht="15.6">
      <c r="A59" s="110" t="s">
        <v>238</v>
      </c>
      <c r="B59" s="111" t="s">
        <v>232</v>
      </c>
      <c r="C59" s="112" t="s">
        <v>228</v>
      </c>
      <c r="D59" s="113" t="s">
        <v>236</v>
      </c>
      <c r="E59" s="114" t="s">
        <v>15</v>
      </c>
      <c r="F59" s="115" t="s">
        <v>18</v>
      </c>
      <c r="G59" s="116">
        <v>6.86</v>
      </c>
      <c r="H59" s="125">
        <v>8.6999999999999993</v>
      </c>
      <c r="I59" s="111">
        <v>3</v>
      </c>
      <c r="J59" s="117">
        <f t="shared" si="31"/>
        <v>0.17904599999999998</v>
      </c>
      <c r="K59" s="118"/>
      <c r="L59" s="111">
        <v>3</v>
      </c>
      <c r="M59" s="117">
        <f t="shared" si="32"/>
        <v>0.17904599999999998</v>
      </c>
      <c r="N59" s="119">
        <f t="shared" si="33"/>
        <v>0</v>
      </c>
      <c r="O59" s="120">
        <f t="shared" si="34"/>
        <v>0</v>
      </c>
      <c r="P59" s="130"/>
      <c r="Q59" s="111"/>
      <c r="R59" s="111">
        <v>7.6</v>
      </c>
      <c r="S59" s="45">
        <v>3</v>
      </c>
      <c r="T59" s="213" t="s">
        <v>404</v>
      </c>
    </row>
    <row r="60" spans="1:21" ht="15.6">
      <c r="A60" s="110" t="s">
        <v>238</v>
      </c>
      <c r="B60" s="111" t="s">
        <v>232</v>
      </c>
      <c r="C60" s="112" t="s">
        <v>228</v>
      </c>
      <c r="D60" s="113" t="s">
        <v>236</v>
      </c>
      <c r="E60" s="114" t="s">
        <v>15</v>
      </c>
      <c r="F60" s="115" t="s">
        <v>18</v>
      </c>
      <c r="G60" s="116">
        <v>6.86</v>
      </c>
      <c r="H60" s="125">
        <v>8.65</v>
      </c>
      <c r="I60" s="111">
        <v>1</v>
      </c>
      <c r="J60" s="117">
        <f t="shared" si="31"/>
        <v>5.9339000000000003E-2</v>
      </c>
      <c r="K60" s="118"/>
      <c r="L60" s="111">
        <v>1</v>
      </c>
      <c r="M60" s="117">
        <f t="shared" si="32"/>
        <v>5.9339000000000003E-2</v>
      </c>
      <c r="N60" s="119">
        <f t="shared" si="33"/>
        <v>0</v>
      </c>
      <c r="O60" s="120">
        <f t="shared" si="34"/>
        <v>0</v>
      </c>
      <c r="P60" s="130"/>
      <c r="Q60" s="111"/>
      <c r="R60" s="111">
        <v>7.6</v>
      </c>
      <c r="S60" s="45">
        <v>1</v>
      </c>
      <c r="T60" s="213" t="s">
        <v>404</v>
      </c>
    </row>
    <row r="61" spans="1:21" ht="15.6">
      <c r="A61" s="110" t="s">
        <v>238</v>
      </c>
      <c r="B61" s="111" t="s">
        <v>232</v>
      </c>
      <c r="C61" s="112" t="s">
        <v>228</v>
      </c>
      <c r="D61" s="113" t="s">
        <v>236</v>
      </c>
      <c r="E61" s="114" t="s">
        <v>15</v>
      </c>
      <c r="F61" s="115" t="s">
        <v>18</v>
      </c>
      <c r="G61" s="116">
        <v>6.86</v>
      </c>
      <c r="H61" s="125">
        <v>8.5</v>
      </c>
      <c r="I61" s="111">
        <v>3</v>
      </c>
      <c r="J61" s="117">
        <f t="shared" si="31"/>
        <v>0.17493</v>
      </c>
      <c r="K61" s="118"/>
      <c r="L61" s="111">
        <v>3</v>
      </c>
      <c r="M61" s="117">
        <f t="shared" si="32"/>
        <v>0.17493</v>
      </c>
      <c r="N61" s="119">
        <f t="shared" si="33"/>
        <v>0</v>
      </c>
      <c r="O61" s="120">
        <f t="shared" si="34"/>
        <v>0</v>
      </c>
      <c r="P61" s="130"/>
      <c r="Q61" s="111"/>
      <c r="R61" s="111">
        <v>7.6</v>
      </c>
      <c r="S61" s="45">
        <v>3</v>
      </c>
      <c r="T61" s="213" t="s">
        <v>404</v>
      </c>
    </row>
    <row r="62" spans="1:21" ht="15.6">
      <c r="A62" s="110" t="s">
        <v>238</v>
      </c>
      <c r="B62" s="111" t="s">
        <v>232</v>
      </c>
      <c r="C62" s="112" t="s">
        <v>228</v>
      </c>
      <c r="D62" s="113" t="s">
        <v>236</v>
      </c>
      <c r="E62" s="114" t="s">
        <v>15</v>
      </c>
      <c r="F62" s="115" t="s">
        <v>18</v>
      </c>
      <c r="G62" s="116">
        <v>6.86</v>
      </c>
      <c r="H62" s="125">
        <v>8</v>
      </c>
      <c r="I62" s="111">
        <v>1</v>
      </c>
      <c r="J62" s="117">
        <f t="shared" si="31"/>
        <v>5.4880000000000005E-2</v>
      </c>
      <c r="K62" s="118"/>
      <c r="L62" s="111">
        <v>1</v>
      </c>
      <c r="M62" s="117">
        <f t="shared" si="32"/>
        <v>5.4880000000000005E-2</v>
      </c>
      <c r="N62" s="119">
        <f t="shared" si="33"/>
        <v>0</v>
      </c>
      <c r="O62" s="120">
        <f t="shared" si="34"/>
        <v>0</v>
      </c>
      <c r="P62" s="130"/>
      <c r="Q62" s="111"/>
      <c r="R62" s="111">
        <v>7.6</v>
      </c>
      <c r="S62" s="45">
        <v>1</v>
      </c>
      <c r="T62" s="213" t="s">
        <v>404</v>
      </c>
    </row>
    <row r="63" spans="1:21" ht="15.6">
      <c r="A63" s="110" t="s">
        <v>238</v>
      </c>
      <c r="B63" s="111" t="s">
        <v>232</v>
      </c>
      <c r="C63" s="112" t="s">
        <v>228</v>
      </c>
      <c r="D63" s="113" t="s">
        <v>236</v>
      </c>
      <c r="E63" s="114" t="s">
        <v>15</v>
      </c>
      <c r="F63" s="115" t="s">
        <v>18</v>
      </c>
      <c r="G63" s="116">
        <v>6.86</v>
      </c>
      <c r="H63" s="125">
        <v>7</v>
      </c>
      <c r="I63" s="111">
        <v>1</v>
      </c>
      <c r="J63" s="117">
        <f t="shared" si="31"/>
        <v>4.802E-2</v>
      </c>
      <c r="K63" s="118"/>
      <c r="L63" s="111">
        <v>1</v>
      </c>
      <c r="M63" s="117">
        <f t="shared" si="32"/>
        <v>4.802E-2</v>
      </c>
      <c r="N63" s="119">
        <f t="shared" si="33"/>
        <v>0</v>
      </c>
      <c r="O63" s="120">
        <f t="shared" si="34"/>
        <v>0</v>
      </c>
      <c r="P63" s="130">
        <v>7</v>
      </c>
      <c r="Q63" s="45">
        <v>1</v>
      </c>
      <c r="R63" s="111" t="s">
        <v>734</v>
      </c>
      <c r="S63" s="111"/>
    </row>
    <row r="64" spans="1:21" ht="15.6">
      <c r="A64" s="110" t="s">
        <v>238</v>
      </c>
      <c r="B64" s="111" t="s">
        <v>232</v>
      </c>
      <c r="C64" s="112" t="s">
        <v>228</v>
      </c>
      <c r="D64" s="113" t="s">
        <v>236</v>
      </c>
      <c r="E64" s="114" t="s">
        <v>15</v>
      </c>
      <c r="F64" s="115" t="s">
        <v>18</v>
      </c>
      <c r="G64" s="116">
        <v>6.86</v>
      </c>
      <c r="H64" s="125">
        <v>11.5</v>
      </c>
      <c r="I64" s="111">
        <v>1</v>
      </c>
      <c r="J64" s="117">
        <f t="shared" si="31"/>
        <v>7.8890000000000002E-2</v>
      </c>
      <c r="K64" s="118"/>
      <c r="L64" s="111">
        <v>1</v>
      </c>
      <c r="M64" s="117">
        <f t="shared" si="32"/>
        <v>7.8890000000000002E-2</v>
      </c>
      <c r="N64" s="119">
        <f t="shared" si="33"/>
        <v>0</v>
      </c>
      <c r="O64" s="120">
        <f t="shared" si="34"/>
        <v>0</v>
      </c>
      <c r="P64" s="130">
        <v>11.1</v>
      </c>
      <c r="Q64" s="111">
        <v>1</v>
      </c>
      <c r="R64" s="111"/>
      <c r="S64" s="111"/>
    </row>
    <row r="65" spans="1:19" ht="15.6">
      <c r="A65" s="110" t="s">
        <v>238</v>
      </c>
      <c r="B65" s="111" t="s">
        <v>232</v>
      </c>
      <c r="C65" s="112" t="s">
        <v>228</v>
      </c>
      <c r="D65" s="113" t="s">
        <v>236</v>
      </c>
      <c r="E65" s="114" t="s">
        <v>15</v>
      </c>
      <c r="F65" s="115" t="s">
        <v>18</v>
      </c>
      <c r="G65" s="116">
        <v>6.86</v>
      </c>
      <c r="H65" s="125">
        <v>11.2</v>
      </c>
      <c r="I65" s="111">
        <v>3</v>
      </c>
      <c r="J65" s="117">
        <f t="shared" si="31"/>
        <v>0.23049599999999998</v>
      </c>
      <c r="K65" s="118"/>
      <c r="L65" s="111">
        <f>2+1</f>
        <v>3</v>
      </c>
      <c r="M65" s="117">
        <f t="shared" si="32"/>
        <v>0.23049599999999998</v>
      </c>
      <c r="N65" s="119">
        <f t="shared" si="33"/>
        <v>0</v>
      </c>
      <c r="O65" s="120">
        <f t="shared" si="34"/>
        <v>0</v>
      </c>
      <c r="P65" s="130">
        <v>11.1</v>
      </c>
      <c r="Q65" s="111">
        <v>1</v>
      </c>
      <c r="R65" s="111"/>
      <c r="S65" s="111"/>
    </row>
    <row r="66" spans="1:19" ht="15.6">
      <c r="A66" s="110" t="s">
        <v>238</v>
      </c>
      <c r="B66" s="111" t="s">
        <v>232</v>
      </c>
      <c r="C66" s="112" t="s">
        <v>228</v>
      </c>
      <c r="D66" s="113" t="s">
        <v>236</v>
      </c>
      <c r="E66" s="114" t="s">
        <v>15</v>
      </c>
      <c r="F66" s="115" t="s">
        <v>18</v>
      </c>
      <c r="G66" s="116">
        <v>6.86</v>
      </c>
      <c r="H66" s="125">
        <v>11.1</v>
      </c>
      <c r="I66" s="111">
        <v>2</v>
      </c>
      <c r="J66" s="117">
        <f t="shared" si="31"/>
        <v>0.15229200000000001</v>
      </c>
      <c r="K66" s="118"/>
      <c r="L66" s="111">
        <v>2</v>
      </c>
      <c r="M66" s="117">
        <f t="shared" si="32"/>
        <v>0.15229200000000001</v>
      </c>
      <c r="N66" s="119">
        <f t="shared" si="33"/>
        <v>0</v>
      </c>
      <c r="O66" s="120">
        <f t="shared" si="34"/>
        <v>0</v>
      </c>
      <c r="P66" s="130"/>
      <c r="Q66" s="111"/>
      <c r="R66" s="111"/>
      <c r="S66" s="111"/>
    </row>
    <row r="67" spans="1:19" ht="15.6">
      <c r="A67" s="110" t="s">
        <v>238</v>
      </c>
      <c r="B67" s="111" t="s">
        <v>232</v>
      </c>
      <c r="C67" s="112" t="s">
        <v>228</v>
      </c>
      <c r="D67" s="113" t="s">
        <v>236</v>
      </c>
      <c r="E67" s="114" t="s">
        <v>15</v>
      </c>
      <c r="F67" s="115" t="s">
        <v>18</v>
      </c>
      <c r="G67" s="116">
        <v>6.86</v>
      </c>
      <c r="H67" s="125">
        <v>11</v>
      </c>
      <c r="I67" s="111">
        <v>1</v>
      </c>
      <c r="J67" s="117">
        <f t="shared" si="31"/>
        <v>7.5460000000000013E-2</v>
      </c>
      <c r="K67" s="118"/>
      <c r="L67" s="111">
        <v>1</v>
      </c>
      <c r="M67" s="117">
        <f t="shared" si="32"/>
        <v>7.5460000000000013E-2</v>
      </c>
      <c r="N67" s="119">
        <f t="shared" si="33"/>
        <v>0</v>
      </c>
      <c r="O67" s="120">
        <f t="shared" si="34"/>
        <v>0</v>
      </c>
      <c r="P67" s="130">
        <v>11.1</v>
      </c>
      <c r="Q67" s="111">
        <v>1</v>
      </c>
      <c r="R67" s="111"/>
      <c r="S67" s="111"/>
    </row>
    <row r="68" spans="1:19">
      <c r="A68" s="32"/>
      <c r="B68" s="32"/>
      <c r="C68" s="32"/>
      <c r="D68" s="32"/>
      <c r="E68" s="32"/>
      <c r="F68" s="32"/>
      <c r="G68" s="32"/>
      <c r="H68" s="32"/>
      <c r="I68" s="129">
        <f>SUM(I31:I67)</f>
        <v>1120</v>
      </c>
      <c r="J68" s="124">
        <f>SUM(J31:J67)</f>
        <v>76.720525000000038</v>
      </c>
      <c r="K68" s="32"/>
      <c r="L68" s="129">
        <f>SUM(L31:L67)</f>
        <v>1120</v>
      </c>
      <c r="M68" s="124">
        <f>SUM(M31:M67)</f>
        <v>76.720525000000038</v>
      </c>
      <c r="N68" s="131">
        <f>SUM(N31:N67)</f>
        <v>0</v>
      </c>
      <c r="O68" s="132">
        <f>SUM(O31:O67)</f>
        <v>0</v>
      </c>
      <c r="P68" s="32"/>
      <c r="Q68" s="32"/>
      <c r="R68" s="32"/>
      <c r="S68" s="131">
        <f>SUM(S31:S67)</f>
        <v>40</v>
      </c>
    </row>
    <row r="70" spans="1:19" ht="15.6">
      <c r="A70" s="110" t="s">
        <v>238</v>
      </c>
      <c r="B70" s="111" t="s">
        <v>239</v>
      </c>
      <c r="C70" s="112" t="s">
        <v>228</v>
      </c>
      <c r="D70" s="113" t="s">
        <v>75</v>
      </c>
      <c r="E70" s="114" t="s">
        <v>15</v>
      </c>
      <c r="F70" s="115" t="s">
        <v>18</v>
      </c>
      <c r="G70" s="116">
        <v>6.85</v>
      </c>
      <c r="H70" s="125">
        <v>11.5</v>
      </c>
      <c r="I70" s="111">
        <f>36+36+37+37+39+9+42+40+40+40+40+17</f>
        <v>413</v>
      </c>
      <c r="J70" s="117">
        <f t="shared" ref="J70" si="35">H70*G70*I70/1000</f>
        <v>32.534074999999994</v>
      </c>
      <c r="K70" s="118"/>
      <c r="L70" s="111">
        <v>413</v>
      </c>
      <c r="M70" s="117">
        <f t="shared" ref="M70" si="36">H70*L70*G70/1000</f>
        <v>32.534074999999994</v>
      </c>
      <c r="N70" s="119">
        <f t="shared" ref="N70" si="37">I70-L70</f>
        <v>0</v>
      </c>
      <c r="O70" s="120">
        <f t="shared" ref="O70" si="38">H70*N70*G70/1000</f>
        <v>0</v>
      </c>
      <c r="P70" s="130"/>
      <c r="Q70" s="111"/>
      <c r="R70" s="111"/>
      <c r="S70" s="111"/>
    </row>
    <row r="71" spans="1:19" ht="15.6">
      <c r="A71" s="110" t="s">
        <v>238</v>
      </c>
      <c r="B71" s="111" t="s">
        <v>239</v>
      </c>
      <c r="C71" s="112" t="s">
        <v>228</v>
      </c>
      <c r="D71" s="113" t="s">
        <v>75</v>
      </c>
      <c r="E71" s="114" t="s">
        <v>15</v>
      </c>
      <c r="F71" s="115" t="s">
        <v>18</v>
      </c>
      <c r="G71" s="116">
        <v>6.85</v>
      </c>
      <c r="H71" s="125">
        <v>11</v>
      </c>
      <c r="I71" s="111">
        <v>21</v>
      </c>
      <c r="J71" s="117">
        <f t="shared" ref="J71:J76" si="39">H71*G71*I71/1000</f>
        <v>1.5823499999999999</v>
      </c>
      <c r="K71" s="118"/>
      <c r="L71" s="111">
        <v>21</v>
      </c>
      <c r="M71" s="117">
        <f t="shared" ref="M71:M76" si="40">H71*L71*G71/1000</f>
        <v>1.5823499999999999</v>
      </c>
      <c r="N71" s="119">
        <f t="shared" ref="N71:N76" si="41">I71-L71</f>
        <v>0</v>
      </c>
      <c r="O71" s="120">
        <f t="shared" ref="O71:O76" si="42">H71*N71*G71/1000</f>
        <v>0</v>
      </c>
      <c r="P71" s="130"/>
      <c r="Q71" s="111"/>
      <c r="R71" s="111"/>
      <c r="S71" s="111"/>
    </row>
    <row r="72" spans="1:19" ht="15.6">
      <c r="A72" s="110" t="s">
        <v>238</v>
      </c>
      <c r="B72" s="111" t="s">
        <v>239</v>
      </c>
      <c r="C72" s="112" t="s">
        <v>228</v>
      </c>
      <c r="D72" s="113" t="s">
        <v>75</v>
      </c>
      <c r="E72" s="114" t="s">
        <v>15</v>
      </c>
      <c r="F72" s="115" t="s">
        <v>18</v>
      </c>
      <c r="G72" s="116">
        <v>6.85</v>
      </c>
      <c r="H72" s="125">
        <v>10.5</v>
      </c>
      <c r="I72" s="111">
        <v>4</v>
      </c>
      <c r="J72" s="117">
        <f t="shared" si="39"/>
        <v>0.28770000000000001</v>
      </c>
      <c r="K72" s="118"/>
      <c r="L72" s="111">
        <v>4</v>
      </c>
      <c r="M72" s="117">
        <f t="shared" si="40"/>
        <v>0.28770000000000001</v>
      </c>
      <c r="N72" s="119">
        <f t="shared" si="41"/>
        <v>0</v>
      </c>
      <c r="O72" s="120">
        <f t="shared" si="42"/>
        <v>0</v>
      </c>
      <c r="P72" s="130"/>
      <c r="Q72" s="111"/>
      <c r="R72" s="111"/>
      <c r="S72" s="111"/>
    </row>
    <row r="73" spans="1:19" ht="15.6">
      <c r="A73" s="110" t="s">
        <v>238</v>
      </c>
      <c r="B73" s="111" t="s">
        <v>239</v>
      </c>
      <c r="C73" s="112" t="s">
        <v>228</v>
      </c>
      <c r="D73" s="113" t="s">
        <v>75</v>
      </c>
      <c r="E73" s="114" t="s">
        <v>15</v>
      </c>
      <c r="F73" s="115" t="s">
        <v>18</v>
      </c>
      <c r="G73" s="116">
        <v>6.85</v>
      </c>
      <c r="H73" s="125">
        <v>10</v>
      </c>
      <c r="I73" s="111">
        <v>2</v>
      </c>
      <c r="J73" s="117">
        <f t="shared" si="39"/>
        <v>0.13700000000000001</v>
      </c>
      <c r="K73" s="118"/>
      <c r="L73" s="111">
        <v>2</v>
      </c>
      <c r="M73" s="117">
        <f t="shared" si="40"/>
        <v>0.13700000000000001</v>
      </c>
      <c r="N73" s="119">
        <f t="shared" si="41"/>
        <v>0</v>
      </c>
      <c r="O73" s="120">
        <f t="shared" si="42"/>
        <v>0</v>
      </c>
      <c r="P73" s="130"/>
      <c r="Q73" s="111"/>
      <c r="R73" s="111"/>
      <c r="S73" s="111"/>
    </row>
    <row r="74" spans="1:19" ht="15.6">
      <c r="A74" s="110" t="s">
        <v>238</v>
      </c>
      <c r="B74" s="111" t="s">
        <v>239</v>
      </c>
      <c r="C74" s="112" t="s">
        <v>228</v>
      </c>
      <c r="D74" s="113" t="s">
        <v>75</v>
      </c>
      <c r="E74" s="114" t="s">
        <v>15</v>
      </c>
      <c r="F74" s="115" t="s">
        <v>18</v>
      </c>
      <c r="G74" s="116">
        <v>6.85</v>
      </c>
      <c r="H74" s="125">
        <v>9.8000000000000007</v>
      </c>
      <c r="I74" s="111">
        <v>1</v>
      </c>
      <c r="J74" s="117">
        <f t="shared" si="39"/>
        <v>6.7129999999999995E-2</v>
      </c>
      <c r="K74" s="118"/>
      <c r="L74" s="111">
        <v>1</v>
      </c>
      <c r="M74" s="117">
        <f t="shared" si="40"/>
        <v>6.7129999999999995E-2</v>
      </c>
      <c r="N74" s="119">
        <f t="shared" si="41"/>
        <v>0</v>
      </c>
      <c r="O74" s="120">
        <f t="shared" si="42"/>
        <v>0</v>
      </c>
      <c r="P74" s="130"/>
      <c r="Q74" s="111"/>
      <c r="R74" s="111"/>
      <c r="S74" s="111"/>
    </row>
    <row r="75" spans="1:19" ht="15.6">
      <c r="A75" s="110" t="s">
        <v>238</v>
      </c>
      <c r="B75" s="111" t="s">
        <v>239</v>
      </c>
      <c r="C75" s="112" t="s">
        <v>228</v>
      </c>
      <c r="D75" s="113" t="s">
        <v>75</v>
      </c>
      <c r="E75" s="114" t="s">
        <v>15</v>
      </c>
      <c r="F75" s="115" t="s">
        <v>18</v>
      </c>
      <c r="G75" s="116">
        <v>6.85</v>
      </c>
      <c r="H75" s="125">
        <v>11</v>
      </c>
      <c r="I75" s="111">
        <v>3</v>
      </c>
      <c r="J75" s="117">
        <f t="shared" si="39"/>
        <v>0.22604999999999997</v>
      </c>
      <c r="K75" s="118"/>
      <c r="L75" s="111">
        <v>3</v>
      </c>
      <c r="M75" s="117">
        <f t="shared" si="40"/>
        <v>0.22604999999999997</v>
      </c>
      <c r="N75" s="119">
        <f t="shared" si="41"/>
        <v>0</v>
      </c>
      <c r="O75" s="120">
        <f t="shared" si="42"/>
        <v>0</v>
      </c>
      <c r="P75" s="130"/>
      <c r="Q75" s="111"/>
      <c r="R75" s="111"/>
      <c r="S75" s="111"/>
    </row>
    <row r="76" spans="1:19" ht="15.6">
      <c r="A76" s="110" t="s">
        <v>238</v>
      </c>
      <c r="B76" s="111" t="s">
        <v>239</v>
      </c>
      <c r="C76" s="112" t="s">
        <v>228</v>
      </c>
      <c r="D76" s="113" t="s">
        <v>75</v>
      </c>
      <c r="E76" s="114" t="s">
        <v>15</v>
      </c>
      <c r="F76" s="115" t="s">
        <v>18</v>
      </c>
      <c r="G76" s="116">
        <v>6.85</v>
      </c>
      <c r="H76" s="125">
        <v>11.3</v>
      </c>
      <c r="I76" s="111">
        <v>3</v>
      </c>
      <c r="J76" s="117">
        <f t="shared" si="39"/>
        <v>0.232215</v>
      </c>
      <c r="K76" s="118"/>
      <c r="L76" s="111">
        <v>3</v>
      </c>
      <c r="M76" s="117">
        <f t="shared" si="40"/>
        <v>0.23221500000000003</v>
      </c>
      <c r="N76" s="119">
        <f t="shared" si="41"/>
        <v>0</v>
      </c>
      <c r="O76" s="120">
        <f t="shared" si="42"/>
        <v>0</v>
      </c>
      <c r="P76" s="130"/>
      <c r="Q76" s="111"/>
      <c r="R76" s="111"/>
      <c r="S76" s="111"/>
    </row>
    <row r="77" spans="1:19">
      <c r="I77" s="6">
        <f>SUM(I70:I76)</f>
        <v>447</v>
      </c>
      <c r="J77" s="5">
        <f>SUM(J70:J76)</f>
        <v>35.06651999999999</v>
      </c>
      <c r="L77" s="6">
        <f>SUM(L70:L76)</f>
        <v>447</v>
      </c>
      <c r="M77" s="5">
        <f>SUM(M70:M76)</f>
        <v>35.06651999999999</v>
      </c>
      <c r="N77" s="6">
        <f>SUM(N70:N76)</f>
        <v>0</v>
      </c>
      <c r="O77" s="5">
        <f>SUM(O70:O76)</f>
        <v>0</v>
      </c>
    </row>
    <row r="78" spans="1:19" ht="15.6">
      <c r="A78" s="110" t="s">
        <v>231</v>
      </c>
      <c r="B78" s="111" t="s">
        <v>227</v>
      </c>
      <c r="C78" s="112" t="s">
        <v>228</v>
      </c>
      <c r="D78" s="113" t="s">
        <v>94</v>
      </c>
      <c r="E78" s="114" t="s">
        <v>15</v>
      </c>
      <c r="F78" s="115" t="s">
        <v>55</v>
      </c>
      <c r="G78" s="116">
        <v>4.6500000000000004</v>
      </c>
      <c r="H78" s="125">
        <v>7.5</v>
      </c>
      <c r="I78" s="111">
        <f>48+2</f>
        <v>50</v>
      </c>
      <c r="J78" s="117">
        <f t="shared" ref="J78" si="43">H78*G78*I78/1000</f>
        <v>1.7437499999999999</v>
      </c>
      <c r="K78" s="118"/>
      <c r="L78" s="111">
        <v>50</v>
      </c>
      <c r="M78" s="117">
        <f t="shared" ref="M78" si="44">H78*L78*G78/1000</f>
        <v>1.7437500000000001</v>
      </c>
      <c r="N78" s="119">
        <f t="shared" ref="N78" si="45">I78-L78</f>
        <v>0</v>
      </c>
      <c r="O78" s="120">
        <f t="shared" ref="O78" si="46">H78*N78*G78/1000</f>
        <v>0</v>
      </c>
      <c r="P78" s="130"/>
      <c r="Q78" s="111"/>
      <c r="R78" s="111"/>
      <c r="S78" s="111"/>
    </row>
    <row r="79" spans="1:19" ht="15.6">
      <c r="A79" s="110" t="s">
        <v>231</v>
      </c>
      <c r="B79" s="111" t="s">
        <v>227</v>
      </c>
      <c r="C79" s="112" t="s">
        <v>228</v>
      </c>
      <c r="D79" s="113" t="s">
        <v>94</v>
      </c>
      <c r="E79" s="114" t="s">
        <v>15</v>
      </c>
      <c r="F79" s="115" t="s">
        <v>55</v>
      </c>
      <c r="G79" s="116">
        <v>4.6500000000000004</v>
      </c>
      <c r="H79" s="125">
        <v>10.5</v>
      </c>
      <c r="I79" s="111">
        <f>65+72+73+11+19</f>
        <v>240</v>
      </c>
      <c r="J79" s="117">
        <f t="shared" ref="J79:J94" si="47">H79*G79*I79/1000</f>
        <v>11.718</v>
      </c>
      <c r="K79" s="118"/>
      <c r="L79" s="111">
        <v>210</v>
      </c>
      <c r="M79" s="117">
        <f t="shared" ref="M79:M94" si="48">H79*L79*G79/1000</f>
        <v>10.25325</v>
      </c>
      <c r="N79" s="119">
        <f t="shared" ref="N79:N94" si="49">I79-L79</f>
        <v>30</v>
      </c>
      <c r="O79" s="120">
        <f t="shared" ref="O79:O94" si="50">H79*N79*G79/1000</f>
        <v>1.46475</v>
      </c>
      <c r="P79" s="130"/>
      <c r="Q79" s="111"/>
      <c r="R79" s="111"/>
      <c r="S79" s="111"/>
    </row>
    <row r="80" spans="1:19" ht="15.6">
      <c r="A80" s="110" t="s">
        <v>231</v>
      </c>
      <c r="B80" s="111" t="s">
        <v>227</v>
      </c>
      <c r="C80" s="112" t="s">
        <v>228</v>
      </c>
      <c r="D80" s="113" t="s">
        <v>94</v>
      </c>
      <c r="E80" s="114" t="s">
        <v>15</v>
      </c>
      <c r="F80" s="115" t="s">
        <v>55</v>
      </c>
      <c r="G80" s="116">
        <v>4.6500000000000004</v>
      </c>
      <c r="H80" s="125">
        <v>11.5</v>
      </c>
      <c r="I80" s="111">
        <f>54+63+10+33</f>
        <v>160</v>
      </c>
      <c r="J80" s="117">
        <f t="shared" si="47"/>
        <v>8.5559999999999992</v>
      </c>
      <c r="K80" s="118"/>
      <c r="L80" s="111">
        <v>160</v>
      </c>
      <c r="M80" s="117">
        <f t="shared" si="48"/>
        <v>8.5559999999999992</v>
      </c>
      <c r="N80" s="119">
        <f t="shared" si="49"/>
        <v>0</v>
      </c>
      <c r="O80" s="120">
        <f t="shared" si="50"/>
        <v>0</v>
      </c>
      <c r="P80" s="130"/>
      <c r="Q80" s="111"/>
      <c r="R80" s="111"/>
      <c r="S80" s="111"/>
    </row>
    <row r="81" spans="1:19" ht="15.6">
      <c r="A81" s="110" t="s">
        <v>231</v>
      </c>
      <c r="B81" s="111" t="s">
        <v>227</v>
      </c>
      <c r="C81" s="112" t="s">
        <v>228</v>
      </c>
      <c r="D81" s="113" t="s">
        <v>94</v>
      </c>
      <c r="E81" s="114" t="s">
        <v>15</v>
      </c>
      <c r="F81" s="115" t="s">
        <v>55</v>
      </c>
      <c r="G81" s="116">
        <v>4.6500000000000004</v>
      </c>
      <c r="H81" s="125">
        <v>12</v>
      </c>
      <c r="I81" s="111">
        <f>47+7+5</f>
        <v>59</v>
      </c>
      <c r="J81" s="117">
        <f t="shared" si="47"/>
        <v>3.2922000000000002</v>
      </c>
      <c r="K81" s="118"/>
      <c r="L81" s="111">
        <v>56</v>
      </c>
      <c r="M81" s="117">
        <f t="shared" si="48"/>
        <v>3.1248</v>
      </c>
      <c r="N81" s="119">
        <f t="shared" si="49"/>
        <v>3</v>
      </c>
      <c r="O81" s="120">
        <f t="shared" si="50"/>
        <v>0.16739999999999999</v>
      </c>
      <c r="P81" s="130"/>
      <c r="Q81" s="111"/>
      <c r="R81" s="111"/>
      <c r="S81" s="111"/>
    </row>
    <row r="82" spans="1:19" ht="15.6">
      <c r="A82" s="110" t="s">
        <v>231</v>
      </c>
      <c r="B82" s="111" t="s">
        <v>227</v>
      </c>
      <c r="C82" s="112" t="s">
        <v>228</v>
      </c>
      <c r="D82" s="113" t="s">
        <v>94</v>
      </c>
      <c r="E82" s="114" t="s">
        <v>15</v>
      </c>
      <c r="F82" s="115" t="s">
        <v>55</v>
      </c>
      <c r="G82" s="116">
        <v>4.6500000000000004</v>
      </c>
      <c r="H82" s="125">
        <v>11.15</v>
      </c>
      <c r="I82" s="111">
        <v>1</v>
      </c>
      <c r="J82" s="117">
        <f t="shared" si="47"/>
        <v>5.1847500000000005E-2</v>
      </c>
      <c r="K82" s="118"/>
      <c r="L82" s="111"/>
      <c r="M82" s="117">
        <f t="shared" si="48"/>
        <v>0</v>
      </c>
      <c r="N82" s="119">
        <f t="shared" si="49"/>
        <v>1</v>
      </c>
      <c r="O82" s="120">
        <f t="shared" si="50"/>
        <v>5.1847500000000005E-2</v>
      </c>
      <c r="P82" s="130"/>
      <c r="Q82" s="111"/>
      <c r="R82" s="111"/>
      <c r="S82" s="111"/>
    </row>
    <row r="83" spans="1:19" ht="15.6">
      <c r="A83" s="110" t="s">
        <v>231</v>
      </c>
      <c r="B83" s="111" t="s">
        <v>227</v>
      </c>
      <c r="C83" s="112" t="s">
        <v>228</v>
      </c>
      <c r="D83" s="113" t="s">
        <v>94</v>
      </c>
      <c r="E83" s="114" t="s">
        <v>15</v>
      </c>
      <c r="F83" s="115" t="s">
        <v>55</v>
      </c>
      <c r="G83" s="116">
        <v>4.6500000000000004</v>
      </c>
      <c r="H83" s="125">
        <v>10.199999999999999</v>
      </c>
      <c r="I83" s="111">
        <v>2</v>
      </c>
      <c r="J83" s="117">
        <f t="shared" si="47"/>
        <v>9.486E-2</v>
      </c>
      <c r="K83" s="118"/>
      <c r="L83" s="111"/>
      <c r="M83" s="117">
        <f t="shared" si="48"/>
        <v>0</v>
      </c>
      <c r="N83" s="119">
        <f t="shared" si="49"/>
        <v>2</v>
      </c>
      <c r="O83" s="120">
        <f t="shared" si="50"/>
        <v>9.486E-2</v>
      </c>
      <c r="P83" s="130"/>
      <c r="Q83" s="111"/>
      <c r="R83" s="111"/>
      <c r="S83" s="111"/>
    </row>
    <row r="84" spans="1:19" ht="15.6">
      <c r="A84" s="110" t="s">
        <v>231</v>
      </c>
      <c r="B84" s="111" t="s">
        <v>227</v>
      </c>
      <c r="C84" s="112" t="s">
        <v>228</v>
      </c>
      <c r="D84" s="113" t="s">
        <v>94</v>
      </c>
      <c r="E84" s="114" t="s">
        <v>15</v>
      </c>
      <c r="F84" s="115" t="s">
        <v>55</v>
      </c>
      <c r="G84" s="116">
        <v>4.6500000000000004</v>
      </c>
      <c r="H84" s="125">
        <v>10</v>
      </c>
      <c r="I84" s="111">
        <v>12</v>
      </c>
      <c r="J84" s="117">
        <f t="shared" si="47"/>
        <v>0.55800000000000005</v>
      </c>
      <c r="K84" s="118"/>
      <c r="L84" s="111"/>
      <c r="M84" s="117">
        <f t="shared" si="48"/>
        <v>0</v>
      </c>
      <c r="N84" s="119">
        <f t="shared" si="49"/>
        <v>12</v>
      </c>
      <c r="O84" s="120">
        <f t="shared" si="50"/>
        <v>0.55800000000000005</v>
      </c>
      <c r="P84" s="130"/>
      <c r="Q84" s="111"/>
      <c r="R84" s="111"/>
      <c r="S84" s="111"/>
    </row>
    <row r="85" spans="1:19" ht="15.6">
      <c r="A85" s="110" t="s">
        <v>231</v>
      </c>
      <c r="B85" s="111" t="s">
        <v>227</v>
      </c>
      <c r="C85" s="112" t="s">
        <v>228</v>
      </c>
      <c r="D85" s="113" t="s">
        <v>94</v>
      </c>
      <c r="E85" s="114" t="s">
        <v>15</v>
      </c>
      <c r="F85" s="115" t="s">
        <v>55</v>
      </c>
      <c r="G85" s="116">
        <v>4.6500000000000004</v>
      </c>
      <c r="H85" s="125">
        <v>11.85</v>
      </c>
      <c r="I85" s="111">
        <v>1</v>
      </c>
      <c r="J85" s="117">
        <f t="shared" si="47"/>
        <v>5.5102499999999999E-2</v>
      </c>
      <c r="K85" s="118"/>
      <c r="L85" s="111"/>
      <c r="M85" s="117">
        <f t="shared" si="48"/>
        <v>0</v>
      </c>
      <c r="N85" s="119">
        <f t="shared" si="49"/>
        <v>1</v>
      </c>
      <c r="O85" s="120">
        <f t="shared" si="50"/>
        <v>5.5102499999999999E-2</v>
      </c>
      <c r="P85" s="130"/>
      <c r="Q85" s="111"/>
      <c r="R85" s="111"/>
      <c r="S85" s="111"/>
    </row>
    <row r="86" spans="1:19" ht="15.6">
      <c r="A86" s="110" t="s">
        <v>231</v>
      </c>
      <c r="B86" s="111" t="s">
        <v>227</v>
      </c>
      <c r="C86" s="112" t="s">
        <v>228</v>
      </c>
      <c r="D86" s="113" t="s">
        <v>94</v>
      </c>
      <c r="E86" s="114" t="s">
        <v>15</v>
      </c>
      <c r="F86" s="115" t="s">
        <v>55</v>
      </c>
      <c r="G86" s="116">
        <v>4.6500000000000004</v>
      </c>
      <c r="H86" s="125">
        <v>9.8000000000000007</v>
      </c>
      <c r="I86" s="111">
        <v>3</v>
      </c>
      <c r="J86" s="117">
        <f t="shared" si="47"/>
        <v>0.13671000000000003</v>
      </c>
      <c r="K86" s="118"/>
      <c r="L86" s="111">
        <v>3</v>
      </c>
      <c r="M86" s="117">
        <f t="shared" si="48"/>
        <v>0.13671</v>
      </c>
      <c r="N86" s="119">
        <f t="shared" si="49"/>
        <v>0</v>
      </c>
      <c r="O86" s="120">
        <f t="shared" si="50"/>
        <v>0</v>
      </c>
      <c r="P86" s="130"/>
      <c r="Q86" s="111"/>
      <c r="R86" s="111"/>
      <c r="S86" s="111"/>
    </row>
    <row r="87" spans="1:19" ht="15.6">
      <c r="A87" s="110" t="s">
        <v>231</v>
      </c>
      <c r="B87" s="111" t="s">
        <v>227</v>
      </c>
      <c r="C87" s="112" t="s">
        <v>228</v>
      </c>
      <c r="D87" s="113" t="s">
        <v>94</v>
      </c>
      <c r="E87" s="114" t="s">
        <v>15</v>
      </c>
      <c r="F87" s="115" t="s">
        <v>55</v>
      </c>
      <c r="G87" s="116">
        <v>4.6500000000000004</v>
      </c>
      <c r="H87" s="125">
        <v>9.6999999999999993</v>
      </c>
      <c r="I87" s="111">
        <v>1</v>
      </c>
      <c r="J87" s="117">
        <f t="shared" si="47"/>
        <v>4.5104999999999999E-2</v>
      </c>
      <c r="K87" s="118"/>
      <c r="L87" s="111">
        <v>1</v>
      </c>
      <c r="M87" s="117">
        <f t="shared" si="48"/>
        <v>4.5104999999999999E-2</v>
      </c>
      <c r="N87" s="119">
        <f t="shared" si="49"/>
        <v>0</v>
      </c>
      <c r="O87" s="120">
        <f t="shared" si="50"/>
        <v>0</v>
      </c>
      <c r="P87" s="130"/>
      <c r="Q87" s="111"/>
      <c r="R87" s="111"/>
      <c r="S87" s="111"/>
    </row>
    <row r="88" spans="1:19" ht="15.6">
      <c r="A88" s="110" t="s">
        <v>231</v>
      </c>
      <c r="B88" s="111" t="s">
        <v>227</v>
      </c>
      <c r="C88" s="112" t="s">
        <v>228</v>
      </c>
      <c r="D88" s="113" t="s">
        <v>94</v>
      </c>
      <c r="E88" s="114" t="s">
        <v>15</v>
      </c>
      <c r="F88" s="115" t="s">
        <v>55</v>
      </c>
      <c r="G88" s="116">
        <v>4.6500000000000004</v>
      </c>
      <c r="H88" s="125">
        <v>9.6</v>
      </c>
      <c r="I88" s="111">
        <v>3</v>
      </c>
      <c r="J88" s="117">
        <f t="shared" si="47"/>
        <v>0.13392000000000001</v>
      </c>
      <c r="K88" s="118"/>
      <c r="L88" s="111">
        <v>3</v>
      </c>
      <c r="M88" s="117">
        <f t="shared" si="48"/>
        <v>0.13391999999999998</v>
      </c>
      <c r="N88" s="119">
        <f t="shared" si="49"/>
        <v>0</v>
      </c>
      <c r="O88" s="120">
        <f t="shared" si="50"/>
        <v>0</v>
      </c>
      <c r="P88" s="130"/>
      <c r="Q88" s="111"/>
      <c r="R88" s="111"/>
      <c r="S88" s="111"/>
    </row>
    <row r="89" spans="1:19" ht="15.6">
      <c r="A89" s="110" t="s">
        <v>231</v>
      </c>
      <c r="B89" s="111" t="s">
        <v>227</v>
      </c>
      <c r="C89" s="112" t="s">
        <v>228</v>
      </c>
      <c r="D89" s="113" t="s">
        <v>94</v>
      </c>
      <c r="E89" s="114" t="s">
        <v>15</v>
      </c>
      <c r="F89" s="115" t="s">
        <v>55</v>
      </c>
      <c r="G89" s="116">
        <v>4.6500000000000004</v>
      </c>
      <c r="H89" s="125">
        <v>9.5</v>
      </c>
      <c r="I89" s="111">
        <v>7</v>
      </c>
      <c r="J89" s="117">
        <f t="shared" si="47"/>
        <v>0.30922500000000003</v>
      </c>
      <c r="K89" s="118"/>
      <c r="L89" s="111">
        <v>7</v>
      </c>
      <c r="M89" s="117">
        <f t="shared" si="48"/>
        <v>0.30922500000000003</v>
      </c>
      <c r="N89" s="119">
        <f t="shared" si="49"/>
        <v>0</v>
      </c>
      <c r="O89" s="120">
        <f t="shared" si="50"/>
        <v>0</v>
      </c>
      <c r="P89" s="130"/>
      <c r="Q89" s="111"/>
      <c r="R89" s="111"/>
      <c r="S89" s="111"/>
    </row>
    <row r="90" spans="1:19" ht="15.6">
      <c r="A90" s="110" t="s">
        <v>231</v>
      </c>
      <c r="B90" s="111" t="s">
        <v>227</v>
      </c>
      <c r="C90" s="112" t="s">
        <v>228</v>
      </c>
      <c r="D90" s="113" t="s">
        <v>94</v>
      </c>
      <c r="E90" s="114" t="s">
        <v>15</v>
      </c>
      <c r="F90" s="115" t="s">
        <v>55</v>
      </c>
      <c r="G90" s="116">
        <v>4.6500000000000004</v>
      </c>
      <c r="H90" s="125">
        <v>9</v>
      </c>
      <c r="I90" s="111">
        <v>2</v>
      </c>
      <c r="J90" s="117">
        <f t="shared" si="47"/>
        <v>8.3699999999999997E-2</v>
      </c>
      <c r="K90" s="118"/>
      <c r="L90" s="111">
        <v>2</v>
      </c>
      <c r="M90" s="117">
        <f t="shared" si="48"/>
        <v>8.3699999999999997E-2</v>
      </c>
      <c r="N90" s="119">
        <f t="shared" si="49"/>
        <v>0</v>
      </c>
      <c r="O90" s="120">
        <f t="shared" si="50"/>
        <v>0</v>
      </c>
      <c r="P90" s="130"/>
      <c r="Q90" s="111"/>
      <c r="R90" s="111"/>
      <c r="S90" s="111"/>
    </row>
    <row r="91" spans="1:19" ht="15.6">
      <c r="A91" s="110" t="s">
        <v>231</v>
      </c>
      <c r="B91" s="111" t="s">
        <v>227</v>
      </c>
      <c r="C91" s="112" t="s">
        <v>228</v>
      </c>
      <c r="D91" s="113" t="s">
        <v>94</v>
      </c>
      <c r="E91" s="114" t="s">
        <v>15</v>
      </c>
      <c r="F91" s="115" t="s">
        <v>55</v>
      </c>
      <c r="G91" s="116">
        <v>4.6500000000000004</v>
      </c>
      <c r="H91" s="125">
        <v>7.3</v>
      </c>
      <c r="I91" s="111">
        <v>1</v>
      </c>
      <c r="J91" s="117">
        <f t="shared" si="47"/>
        <v>3.3945000000000003E-2</v>
      </c>
      <c r="K91" s="118"/>
      <c r="L91" s="111"/>
      <c r="M91" s="117">
        <f t="shared" si="48"/>
        <v>0</v>
      </c>
      <c r="N91" s="119">
        <f t="shared" si="49"/>
        <v>1</v>
      </c>
      <c r="O91" s="120">
        <f t="shared" si="50"/>
        <v>3.3945000000000003E-2</v>
      </c>
      <c r="P91" s="130"/>
      <c r="Q91" s="111"/>
      <c r="R91" s="111"/>
      <c r="S91" s="111"/>
    </row>
    <row r="92" spans="1:19" ht="15.6">
      <c r="A92" s="110" t="s">
        <v>231</v>
      </c>
      <c r="B92" s="111" t="s">
        <v>227</v>
      </c>
      <c r="C92" s="112" t="s">
        <v>228</v>
      </c>
      <c r="D92" s="113" t="s">
        <v>94</v>
      </c>
      <c r="E92" s="114" t="s">
        <v>15</v>
      </c>
      <c r="F92" s="115" t="s">
        <v>55</v>
      </c>
      <c r="G92" s="116">
        <v>4.6500000000000004</v>
      </c>
      <c r="H92" s="125">
        <v>7.2</v>
      </c>
      <c r="I92" s="111">
        <v>1</v>
      </c>
      <c r="J92" s="117">
        <f t="shared" si="47"/>
        <v>3.3480000000000003E-2</v>
      </c>
      <c r="K92" s="118"/>
      <c r="L92" s="111"/>
      <c r="M92" s="117">
        <f t="shared" si="48"/>
        <v>0</v>
      </c>
      <c r="N92" s="119">
        <f t="shared" si="49"/>
        <v>1</v>
      </c>
      <c r="O92" s="120">
        <f t="shared" si="50"/>
        <v>3.3480000000000003E-2</v>
      </c>
      <c r="P92" s="130"/>
      <c r="Q92" s="111"/>
      <c r="R92" s="111"/>
      <c r="S92" s="111"/>
    </row>
    <row r="93" spans="1:19" ht="15.6">
      <c r="A93" s="110" t="s">
        <v>231</v>
      </c>
      <c r="B93" s="111" t="s">
        <v>227</v>
      </c>
      <c r="C93" s="112" t="s">
        <v>228</v>
      </c>
      <c r="D93" s="113" t="s">
        <v>94</v>
      </c>
      <c r="E93" s="114" t="s">
        <v>15</v>
      </c>
      <c r="F93" s="115" t="s">
        <v>55</v>
      </c>
      <c r="G93" s="116">
        <v>4.6500000000000004</v>
      </c>
      <c r="H93" s="125">
        <v>6.9</v>
      </c>
      <c r="I93" s="111">
        <v>1</v>
      </c>
      <c r="J93" s="117">
        <f t="shared" si="47"/>
        <v>3.2085000000000002E-2</v>
      </c>
      <c r="K93" s="118"/>
      <c r="L93" s="111"/>
      <c r="M93" s="117">
        <f t="shared" si="48"/>
        <v>0</v>
      </c>
      <c r="N93" s="119">
        <f t="shared" si="49"/>
        <v>1</v>
      </c>
      <c r="O93" s="120">
        <f t="shared" si="50"/>
        <v>3.2085000000000002E-2</v>
      </c>
      <c r="P93" s="130"/>
      <c r="Q93" s="111"/>
      <c r="R93" s="111"/>
      <c r="S93" s="111"/>
    </row>
    <row r="94" spans="1:19" ht="15.6">
      <c r="A94" s="110" t="s">
        <v>231</v>
      </c>
      <c r="B94" s="111" t="s">
        <v>227</v>
      </c>
      <c r="C94" s="112" t="s">
        <v>228</v>
      </c>
      <c r="D94" s="113" t="s">
        <v>94</v>
      </c>
      <c r="E94" s="114" t="s">
        <v>15</v>
      </c>
      <c r="F94" s="115" t="s">
        <v>55</v>
      </c>
      <c r="G94" s="116">
        <v>4.6500000000000004</v>
      </c>
      <c r="H94" s="125">
        <v>6.8</v>
      </c>
      <c r="I94" s="111">
        <v>1</v>
      </c>
      <c r="J94" s="117">
        <f t="shared" si="47"/>
        <v>3.1620000000000002E-2</v>
      </c>
      <c r="K94" s="118"/>
      <c r="L94" s="111"/>
      <c r="M94" s="117">
        <f t="shared" si="48"/>
        <v>0</v>
      </c>
      <c r="N94" s="119">
        <f t="shared" si="49"/>
        <v>1</v>
      </c>
      <c r="O94" s="120">
        <f t="shared" si="50"/>
        <v>3.1620000000000002E-2</v>
      </c>
      <c r="P94" s="130"/>
      <c r="Q94" s="111"/>
      <c r="R94" s="111"/>
      <c r="S94" s="111"/>
    </row>
    <row r="95" spans="1:19" ht="15.6">
      <c r="A95" s="110" t="s">
        <v>231</v>
      </c>
      <c r="B95" s="111" t="s">
        <v>227</v>
      </c>
      <c r="C95" s="112" t="s">
        <v>228</v>
      </c>
      <c r="D95" s="113" t="s">
        <v>94</v>
      </c>
      <c r="E95" s="114" t="s">
        <v>15</v>
      </c>
      <c r="F95" s="115" t="s">
        <v>55</v>
      </c>
      <c r="G95" s="116">
        <v>4.6500000000000004</v>
      </c>
      <c r="H95" s="126">
        <v>10</v>
      </c>
      <c r="I95" s="111">
        <v>3</v>
      </c>
      <c r="J95" s="117">
        <f t="shared" ref="J95" si="51">H95*G95*I95/1000</f>
        <v>0.13950000000000001</v>
      </c>
      <c r="K95" s="118"/>
      <c r="L95" s="111"/>
      <c r="M95" s="117">
        <f t="shared" ref="M95" si="52">H95*L95*G95/1000</f>
        <v>0</v>
      </c>
      <c r="N95" s="119">
        <f t="shared" ref="N95" si="53">I95-L95</f>
        <v>3</v>
      </c>
      <c r="O95" s="120">
        <f t="shared" ref="O95" si="54">H95*N95*G95/1000</f>
        <v>0.13950000000000001</v>
      </c>
      <c r="P95" s="130"/>
      <c r="Q95" s="111"/>
      <c r="R95" s="111"/>
      <c r="S95" s="111"/>
    </row>
    <row r="96" spans="1:19">
      <c r="I96" s="6">
        <f>SUM(I78:I95)</f>
        <v>548</v>
      </c>
      <c r="J96" s="5">
        <f>SUM(J78:J95)</f>
        <v>27.049050000000005</v>
      </c>
      <c r="L96" s="6">
        <f>SUM(L78:L95)</f>
        <v>492</v>
      </c>
      <c r="M96" s="5">
        <f>SUM(M78:M95)</f>
        <v>24.38646</v>
      </c>
      <c r="N96" s="78">
        <f>SUM(N78:N95)</f>
        <v>56</v>
      </c>
      <c r="O96" s="128">
        <f>SUM(O78:O95)</f>
        <v>2.6625899999999998</v>
      </c>
    </row>
    <row r="98" spans="1:20" ht="15.6">
      <c r="A98" s="110" t="s">
        <v>231</v>
      </c>
      <c r="B98" s="111" t="s">
        <v>232</v>
      </c>
      <c r="C98" s="112" t="s">
        <v>228</v>
      </c>
      <c r="D98" s="113" t="s">
        <v>17</v>
      </c>
      <c r="E98" s="114" t="s">
        <v>15</v>
      </c>
      <c r="F98" s="115" t="s">
        <v>18</v>
      </c>
      <c r="G98" s="116">
        <v>6.86</v>
      </c>
      <c r="H98" s="125">
        <v>10</v>
      </c>
      <c r="I98" s="111">
        <f>31+16+33</f>
        <v>80</v>
      </c>
      <c r="J98" s="117">
        <f t="shared" ref="J98" si="55">H98*G98*I98/1000</f>
        <v>5.4880000000000013</v>
      </c>
      <c r="K98" s="118"/>
      <c r="L98" s="111">
        <v>80</v>
      </c>
      <c r="M98" s="117">
        <f t="shared" ref="M98" si="56">H98*L98*G98/1000</f>
        <v>5.4880000000000004</v>
      </c>
      <c r="N98" s="119">
        <f t="shared" ref="N98" si="57">I98-L98</f>
        <v>0</v>
      </c>
      <c r="O98" s="120">
        <f t="shared" ref="O98" si="58">H98*N98*G98/1000</f>
        <v>0</v>
      </c>
      <c r="P98" s="111"/>
      <c r="Q98" s="111"/>
      <c r="R98" s="111"/>
      <c r="S98" s="111"/>
    </row>
    <row r="99" spans="1:20" ht="15.6">
      <c r="A99" s="110" t="s">
        <v>231</v>
      </c>
      <c r="B99" s="111" t="s">
        <v>232</v>
      </c>
      <c r="C99" s="112" t="s">
        <v>228</v>
      </c>
      <c r="D99" s="113" t="s">
        <v>17</v>
      </c>
      <c r="E99" s="114" t="s">
        <v>15</v>
      </c>
      <c r="F99" s="115" t="s">
        <v>18</v>
      </c>
      <c r="G99" s="116">
        <v>6.86</v>
      </c>
      <c r="H99" s="125">
        <v>10.5</v>
      </c>
      <c r="I99" s="111">
        <f>34+34+19+41+38+47</f>
        <v>213</v>
      </c>
      <c r="J99" s="117">
        <f t="shared" ref="J99:J105" si="59">H99*G99*I99/1000</f>
        <v>15.34239</v>
      </c>
      <c r="K99" s="118"/>
      <c r="L99" s="111">
        <f>207+6</f>
        <v>213</v>
      </c>
      <c r="M99" s="117">
        <f t="shared" ref="M99:M105" si="60">H99*L99*G99/1000</f>
        <v>15.342390000000002</v>
      </c>
      <c r="N99" s="119">
        <f t="shared" ref="N99:N105" si="61">I99-L99</f>
        <v>0</v>
      </c>
      <c r="O99" s="120">
        <f t="shared" ref="O99:O105" si="62">H99*N99*G99/1000</f>
        <v>0</v>
      </c>
      <c r="P99" s="111"/>
      <c r="Q99" s="111"/>
      <c r="R99" s="111"/>
      <c r="S99" s="111"/>
    </row>
    <row r="100" spans="1:20" ht="15.6">
      <c r="A100" s="110" t="s">
        <v>231</v>
      </c>
      <c r="B100" s="111" t="s">
        <v>232</v>
      </c>
      <c r="C100" s="112" t="s">
        <v>228</v>
      </c>
      <c r="D100" s="113" t="s">
        <v>17</v>
      </c>
      <c r="E100" s="114" t="s">
        <v>15</v>
      </c>
      <c r="F100" s="115" t="s">
        <v>18</v>
      </c>
      <c r="G100" s="116">
        <v>6.86</v>
      </c>
      <c r="H100" s="125">
        <v>11</v>
      </c>
      <c r="I100" s="111">
        <f>18+23+3</f>
        <v>44</v>
      </c>
      <c r="J100" s="117">
        <f t="shared" si="59"/>
        <v>3.3202400000000001</v>
      </c>
      <c r="K100" s="118"/>
      <c r="L100" s="111">
        <v>44</v>
      </c>
      <c r="M100" s="117">
        <f t="shared" si="60"/>
        <v>3.3202400000000001</v>
      </c>
      <c r="N100" s="119">
        <f t="shared" si="61"/>
        <v>0</v>
      </c>
      <c r="O100" s="120">
        <f t="shared" si="62"/>
        <v>0</v>
      </c>
      <c r="P100" s="111"/>
      <c r="Q100" s="111"/>
      <c r="R100" s="111"/>
      <c r="S100" s="111"/>
    </row>
    <row r="101" spans="1:20" ht="15.6">
      <c r="A101" s="110" t="s">
        <v>231</v>
      </c>
      <c r="B101" s="111" t="s">
        <v>232</v>
      </c>
      <c r="C101" s="112" t="s">
        <v>228</v>
      </c>
      <c r="D101" s="113" t="s">
        <v>17</v>
      </c>
      <c r="E101" s="114" t="s">
        <v>15</v>
      </c>
      <c r="F101" s="115" t="s">
        <v>18</v>
      </c>
      <c r="G101" s="116">
        <v>6.86</v>
      </c>
      <c r="H101" s="125">
        <v>11.4</v>
      </c>
      <c r="I101" s="111">
        <f>8+8</f>
        <v>16</v>
      </c>
      <c r="J101" s="117">
        <f t="shared" si="59"/>
        <v>1.2512640000000002</v>
      </c>
      <c r="K101" s="118"/>
      <c r="L101" s="111">
        <v>16</v>
      </c>
      <c r="M101" s="117">
        <f t="shared" si="60"/>
        <v>1.2512640000000002</v>
      </c>
      <c r="N101" s="119">
        <f t="shared" si="61"/>
        <v>0</v>
      </c>
      <c r="O101" s="120">
        <f t="shared" si="62"/>
        <v>0</v>
      </c>
      <c r="P101" s="111"/>
      <c r="Q101" s="111"/>
      <c r="R101" s="111"/>
      <c r="S101" s="111"/>
    </row>
    <row r="102" spans="1:20" ht="15.6">
      <c r="A102" s="110" t="s">
        <v>231</v>
      </c>
      <c r="B102" s="111" t="s">
        <v>232</v>
      </c>
      <c r="C102" s="112" t="s">
        <v>228</v>
      </c>
      <c r="D102" s="113" t="s">
        <v>17</v>
      </c>
      <c r="E102" s="114" t="s">
        <v>15</v>
      </c>
      <c r="F102" s="115" t="s">
        <v>18</v>
      </c>
      <c r="G102" s="116">
        <v>6.86</v>
      </c>
      <c r="H102" s="125">
        <v>11.5</v>
      </c>
      <c r="I102" s="111">
        <f>18+32+32+32+25+2</f>
        <v>141</v>
      </c>
      <c r="J102" s="117">
        <f t="shared" si="59"/>
        <v>11.12349</v>
      </c>
      <c r="K102" s="118"/>
      <c r="L102" s="111">
        <v>141</v>
      </c>
      <c r="M102" s="117">
        <f t="shared" si="60"/>
        <v>11.12349</v>
      </c>
      <c r="N102" s="119">
        <f t="shared" si="61"/>
        <v>0</v>
      </c>
      <c r="O102" s="120">
        <f t="shared" si="62"/>
        <v>0</v>
      </c>
      <c r="P102" s="111"/>
      <c r="Q102" s="111"/>
      <c r="R102" s="111"/>
      <c r="S102" s="111"/>
    </row>
    <row r="103" spans="1:20" ht="15.6">
      <c r="A103" s="110" t="s">
        <v>231</v>
      </c>
      <c r="B103" s="111" t="s">
        <v>232</v>
      </c>
      <c r="C103" s="112" t="s">
        <v>228</v>
      </c>
      <c r="D103" s="113" t="s">
        <v>17</v>
      </c>
      <c r="E103" s="114" t="s">
        <v>15</v>
      </c>
      <c r="F103" s="115" t="s">
        <v>18</v>
      </c>
      <c r="G103" s="116">
        <v>6.86</v>
      </c>
      <c r="H103" s="125">
        <v>12</v>
      </c>
      <c r="I103" s="111">
        <f>30+23+29+41+37+2</f>
        <v>162</v>
      </c>
      <c r="J103" s="117">
        <f t="shared" si="59"/>
        <v>13.335840000000003</v>
      </c>
      <c r="K103" s="118"/>
      <c r="L103" s="111">
        <f>142+20</f>
        <v>162</v>
      </c>
      <c r="M103" s="117">
        <f t="shared" si="60"/>
        <v>13.335840000000001</v>
      </c>
      <c r="N103" s="119">
        <f t="shared" si="61"/>
        <v>0</v>
      </c>
      <c r="O103" s="120">
        <f t="shared" si="62"/>
        <v>0</v>
      </c>
      <c r="P103" s="111" t="s">
        <v>247</v>
      </c>
      <c r="Q103" s="111">
        <v>20</v>
      </c>
      <c r="R103" s="111"/>
      <c r="S103" s="111"/>
    </row>
    <row r="104" spans="1:20" ht="15.6">
      <c r="A104" s="110" t="s">
        <v>231</v>
      </c>
      <c r="B104" s="111" t="s">
        <v>232</v>
      </c>
      <c r="C104" s="112" t="s">
        <v>228</v>
      </c>
      <c r="D104" s="113" t="s">
        <v>17</v>
      </c>
      <c r="E104" s="114" t="s">
        <v>15</v>
      </c>
      <c r="F104" s="115" t="s">
        <v>18</v>
      </c>
      <c r="G104" s="116">
        <v>6.86</v>
      </c>
      <c r="H104" s="125">
        <v>9.5</v>
      </c>
      <c r="I104" s="111">
        <f>11+8</f>
        <v>19</v>
      </c>
      <c r="J104" s="117">
        <f t="shared" si="59"/>
        <v>1.2382299999999999</v>
      </c>
      <c r="K104" s="118"/>
      <c r="L104" s="111">
        <f>15+4</f>
        <v>19</v>
      </c>
      <c r="M104" s="117">
        <f t="shared" si="60"/>
        <v>1.2382299999999999</v>
      </c>
      <c r="N104" s="119">
        <f t="shared" si="61"/>
        <v>0</v>
      </c>
      <c r="O104" s="120">
        <f t="shared" si="62"/>
        <v>0</v>
      </c>
      <c r="P104" s="111">
        <v>9.5</v>
      </c>
      <c r="Q104" s="111">
        <v>4</v>
      </c>
      <c r="R104" s="111"/>
      <c r="S104" s="111"/>
    </row>
    <row r="105" spans="1:20" ht="15.6">
      <c r="A105" s="110" t="s">
        <v>231</v>
      </c>
      <c r="B105" s="111" t="s">
        <v>232</v>
      </c>
      <c r="C105" s="112" t="s">
        <v>228</v>
      </c>
      <c r="D105" s="113" t="s">
        <v>17</v>
      </c>
      <c r="E105" s="114" t="s">
        <v>15</v>
      </c>
      <c r="F105" s="115" t="s">
        <v>18</v>
      </c>
      <c r="G105" s="116">
        <v>6.86</v>
      </c>
      <c r="H105" s="125">
        <v>12</v>
      </c>
      <c r="I105" s="111">
        <v>13</v>
      </c>
      <c r="J105" s="117">
        <f t="shared" si="59"/>
        <v>1.07016</v>
      </c>
      <c r="K105" s="118"/>
      <c r="L105" s="111">
        <v>13</v>
      </c>
      <c r="M105" s="117">
        <f t="shared" si="60"/>
        <v>1.07016</v>
      </c>
      <c r="N105" s="119">
        <f t="shared" si="61"/>
        <v>0</v>
      </c>
      <c r="O105" s="120">
        <f t="shared" si="62"/>
        <v>0</v>
      </c>
      <c r="P105" s="111"/>
      <c r="Q105" s="111"/>
      <c r="R105" s="111"/>
      <c r="S105" s="111"/>
    </row>
    <row r="106" spans="1:20" ht="15.6">
      <c r="A106" s="110" t="s">
        <v>231</v>
      </c>
      <c r="B106" s="111" t="s">
        <v>232</v>
      </c>
      <c r="C106" s="112" t="s">
        <v>228</v>
      </c>
      <c r="D106" s="113" t="s">
        <v>17</v>
      </c>
      <c r="E106" s="114" t="s">
        <v>15</v>
      </c>
      <c r="F106" s="115" t="s">
        <v>18</v>
      </c>
      <c r="G106" s="116">
        <v>6.86</v>
      </c>
      <c r="H106" s="125">
        <v>9</v>
      </c>
      <c r="I106" s="111">
        <v>1</v>
      </c>
      <c r="J106" s="117">
        <f t="shared" ref="J106" si="63">H106*G106*I106/1000</f>
        <v>6.1740000000000003E-2</v>
      </c>
      <c r="K106" s="118"/>
      <c r="L106" s="111"/>
      <c r="M106" s="117">
        <f t="shared" ref="M106" si="64">H106*L106*G106/1000</f>
        <v>0</v>
      </c>
      <c r="N106" s="119">
        <f t="shared" ref="N106" si="65">I106-L106</f>
        <v>1</v>
      </c>
      <c r="O106" s="120">
        <f t="shared" ref="O106" si="66">H106*N106*G106/1000</f>
        <v>6.1740000000000003E-2</v>
      </c>
      <c r="P106" s="111"/>
      <c r="Q106" s="111"/>
      <c r="R106" s="111"/>
      <c r="S106" s="111"/>
    </row>
    <row r="107" spans="1:20">
      <c r="I107" s="6">
        <f>SUM(I98:I106)</f>
        <v>689</v>
      </c>
      <c r="J107" s="5">
        <f>SUM(J98:J106)</f>
        <v>52.23135400000001</v>
      </c>
      <c r="L107" s="6">
        <f>SUM(L98:L106)</f>
        <v>688</v>
      </c>
      <c r="M107" s="5">
        <f>SUM(M98:M106)</f>
        <v>52.16961400000001</v>
      </c>
      <c r="N107" s="78">
        <f>SUM(N98:N106)</f>
        <v>1</v>
      </c>
      <c r="O107" s="5">
        <f>SUM(O98:O106)</f>
        <v>6.1740000000000003E-2</v>
      </c>
    </row>
    <row r="110" spans="1:20" ht="15.6">
      <c r="A110" s="110" t="s">
        <v>262</v>
      </c>
      <c r="B110" s="111" t="s">
        <v>232</v>
      </c>
      <c r="C110" s="112" t="s">
        <v>228</v>
      </c>
      <c r="D110" s="113" t="s">
        <v>236</v>
      </c>
      <c r="E110" s="114" t="s">
        <v>15</v>
      </c>
      <c r="F110" s="115" t="s">
        <v>16</v>
      </c>
      <c r="G110" s="116">
        <v>5.77</v>
      </c>
      <c r="H110" s="125">
        <v>12</v>
      </c>
      <c r="I110" s="111">
        <v>13</v>
      </c>
      <c r="J110" s="117">
        <f t="shared" ref="J110" si="67">H110*G110*I110/1000</f>
        <v>0.90011999999999992</v>
      </c>
      <c r="K110" s="118"/>
      <c r="L110" s="111">
        <v>13</v>
      </c>
      <c r="M110" s="117">
        <f t="shared" ref="M110" si="68">H110*L110*G110/1000</f>
        <v>0.90011999999999992</v>
      </c>
      <c r="N110" s="119">
        <f t="shared" ref="N110" si="69">I110-L110</f>
        <v>0</v>
      </c>
      <c r="O110" s="120">
        <f t="shared" ref="O110" si="70">H110*N110*G110/1000</f>
        <v>0</v>
      </c>
      <c r="P110" s="130"/>
      <c r="Q110" s="111"/>
      <c r="R110" s="111"/>
      <c r="S110" s="111"/>
    </row>
    <row r="111" spans="1:20" ht="15.6">
      <c r="A111" s="110" t="s">
        <v>262</v>
      </c>
      <c r="B111" s="111" t="s">
        <v>232</v>
      </c>
      <c r="C111" s="112" t="s">
        <v>228</v>
      </c>
      <c r="D111" s="113" t="s">
        <v>236</v>
      </c>
      <c r="E111" s="114" t="s">
        <v>15</v>
      </c>
      <c r="F111" s="115" t="s">
        <v>16</v>
      </c>
      <c r="G111" s="116">
        <v>5.77</v>
      </c>
      <c r="H111" s="125">
        <v>6.3</v>
      </c>
      <c r="I111" s="111">
        <f>33+35+59+22+1</f>
        <v>150</v>
      </c>
      <c r="J111" s="117">
        <f t="shared" ref="J111:J129" si="71">H111*G111*I111/1000</f>
        <v>5.4526499999999993</v>
      </c>
      <c r="K111" s="118"/>
      <c r="L111" s="111">
        <v>150</v>
      </c>
      <c r="M111" s="117">
        <f t="shared" ref="M111:M129" si="72">H111*L111*G111/1000</f>
        <v>5.4526499999999993</v>
      </c>
      <c r="N111" s="119">
        <f t="shared" ref="N111:N129" si="73">I111-L111</f>
        <v>0</v>
      </c>
      <c r="O111" s="120">
        <f t="shared" ref="O111:O129" si="74">H111*N111*G111/1000</f>
        <v>0</v>
      </c>
      <c r="P111" s="130"/>
      <c r="Q111" s="111"/>
      <c r="R111" s="111"/>
      <c r="S111" s="111"/>
    </row>
    <row r="112" spans="1:20" ht="15.6">
      <c r="A112" s="110" t="s">
        <v>262</v>
      </c>
      <c r="B112" s="111" t="s">
        <v>232</v>
      </c>
      <c r="C112" s="112" t="s">
        <v>228</v>
      </c>
      <c r="D112" s="113" t="s">
        <v>236</v>
      </c>
      <c r="E112" s="114" t="s">
        <v>15</v>
      </c>
      <c r="F112" s="115" t="s">
        <v>16</v>
      </c>
      <c r="G112" s="116">
        <v>5.77</v>
      </c>
      <c r="H112" s="125">
        <v>10.5</v>
      </c>
      <c r="I112" s="111">
        <f>19+34+3+3+3</f>
        <v>62</v>
      </c>
      <c r="J112" s="117">
        <f t="shared" si="71"/>
        <v>3.7562699999999993</v>
      </c>
      <c r="K112" s="118"/>
      <c r="L112" s="111">
        <f>46+12+3</f>
        <v>61</v>
      </c>
      <c r="M112" s="117">
        <f t="shared" si="72"/>
        <v>3.6956850000000001</v>
      </c>
      <c r="N112" s="119">
        <f t="shared" si="73"/>
        <v>1</v>
      </c>
      <c r="O112" s="120">
        <f t="shared" si="74"/>
        <v>6.0584999999999993E-2</v>
      </c>
      <c r="P112" s="130" t="s">
        <v>277</v>
      </c>
      <c r="Q112" s="111"/>
      <c r="R112" s="111">
        <v>10.5</v>
      </c>
      <c r="S112" s="45">
        <v>3</v>
      </c>
      <c r="T112" s="213" t="s">
        <v>692</v>
      </c>
    </row>
    <row r="113" spans="1:20" ht="15.6">
      <c r="A113" s="110" t="s">
        <v>262</v>
      </c>
      <c r="B113" s="111" t="s">
        <v>232</v>
      </c>
      <c r="C113" s="112" t="s">
        <v>228</v>
      </c>
      <c r="D113" s="113" t="s">
        <v>236</v>
      </c>
      <c r="E113" s="114" t="s">
        <v>15</v>
      </c>
      <c r="F113" s="115" t="s">
        <v>16</v>
      </c>
      <c r="G113" s="116">
        <v>5.77</v>
      </c>
      <c r="H113" s="125">
        <v>11</v>
      </c>
      <c r="I113" s="111">
        <f>38+6+7+23+13+6+18</f>
        <v>111</v>
      </c>
      <c r="J113" s="117">
        <f t="shared" si="71"/>
        <v>7.0451699999999997</v>
      </c>
      <c r="K113" s="118"/>
      <c r="L113" s="111">
        <v>111</v>
      </c>
      <c r="M113" s="117">
        <f t="shared" si="72"/>
        <v>7.0451699999999988</v>
      </c>
      <c r="N113" s="119">
        <f t="shared" si="73"/>
        <v>0</v>
      </c>
      <c r="O113" s="120">
        <f t="shared" si="74"/>
        <v>0</v>
      </c>
      <c r="P113" s="130"/>
      <c r="Q113" s="111"/>
      <c r="R113" s="111"/>
      <c r="S113" s="111"/>
    </row>
    <row r="114" spans="1:20" ht="15.6">
      <c r="A114" s="110" t="s">
        <v>262</v>
      </c>
      <c r="B114" s="111" t="s">
        <v>232</v>
      </c>
      <c r="C114" s="112" t="s">
        <v>228</v>
      </c>
      <c r="D114" s="113" t="s">
        <v>236</v>
      </c>
      <c r="E114" s="114" t="s">
        <v>15</v>
      </c>
      <c r="F114" s="115" t="s">
        <v>16</v>
      </c>
      <c r="G114" s="116">
        <v>5.77</v>
      </c>
      <c r="H114" s="125">
        <v>11.25</v>
      </c>
      <c r="I114" s="111">
        <f>54+45+45+42+11+3+44+47+45+47+18+42+30+6+1</f>
        <v>480</v>
      </c>
      <c r="J114" s="117">
        <f t="shared" si="71"/>
        <v>31.157999999999998</v>
      </c>
      <c r="K114" s="118"/>
      <c r="L114" s="111">
        <f>438+42</f>
        <v>480</v>
      </c>
      <c r="M114" s="117">
        <f t="shared" si="72"/>
        <v>31.157999999999998</v>
      </c>
      <c r="N114" s="119">
        <f t="shared" si="73"/>
        <v>0</v>
      </c>
      <c r="O114" s="120">
        <f t="shared" si="74"/>
        <v>0</v>
      </c>
      <c r="P114" s="130">
        <v>11</v>
      </c>
      <c r="Q114" s="111">
        <v>42</v>
      </c>
      <c r="R114" s="111"/>
      <c r="S114" s="111"/>
    </row>
    <row r="115" spans="1:20" ht="15.6">
      <c r="A115" s="110" t="s">
        <v>262</v>
      </c>
      <c r="B115" s="111" t="s">
        <v>232</v>
      </c>
      <c r="C115" s="112" t="s">
        <v>228</v>
      </c>
      <c r="D115" s="113" t="s">
        <v>236</v>
      </c>
      <c r="E115" s="114" t="s">
        <v>15</v>
      </c>
      <c r="F115" s="115" t="s">
        <v>16</v>
      </c>
      <c r="G115" s="116">
        <v>5.77</v>
      </c>
      <c r="H115" s="125">
        <v>12</v>
      </c>
      <c r="I115" s="111">
        <f>44+45+43+21+2</f>
        <v>155</v>
      </c>
      <c r="J115" s="117">
        <f t="shared" si="71"/>
        <v>10.732199999999999</v>
      </c>
      <c r="K115" s="118"/>
      <c r="L115" s="111">
        <f>115+14+26</f>
        <v>155</v>
      </c>
      <c r="M115" s="117">
        <f t="shared" si="72"/>
        <v>10.732199999999999</v>
      </c>
      <c r="N115" s="119">
        <f t="shared" si="73"/>
        <v>0</v>
      </c>
      <c r="O115" s="120">
        <f t="shared" si="74"/>
        <v>0</v>
      </c>
      <c r="P115" s="130" t="s">
        <v>276</v>
      </c>
      <c r="Q115" s="111">
        <f>14+26</f>
        <v>40</v>
      </c>
      <c r="R115" s="111"/>
      <c r="S115" s="111"/>
    </row>
    <row r="116" spans="1:20" ht="15.6">
      <c r="A116" s="110" t="s">
        <v>262</v>
      </c>
      <c r="B116" s="111" t="s">
        <v>232</v>
      </c>
      <c r="C116" s="112" t="s">
        <v>228</v>
      </c>
      <c r="D116" s="113" t="s">
        <v>236</v>
      </c>
      <c r="E116" s="114" t="s">
        <v>15</v>
      </c>
      <c r="F116" s="115" t="s">
        <v>16</v>
      </c>
      <c r="G116" s="116">
        <v>5.77</v>
      </c>
      <c r="H116" s="125">
        <v>7.5</v>
      </c>
      <c r="I116" s="111">
        <v>1</v>
      </c>
      <c r="J116" s="117">
        <f t="shared" si="71"/>
        <v>4.3275000000000001E-2</v>
      </c>
      <c r="K116" s="118" t="s">
        <v>234</v>
      </c>
      <c r="L116" s="111">
        <v>1</v>
      </c>
      <c r="M116" s="117">
        <f t="shared" si="72"/>
        <v>4.3275000000000001E-2</v>
      </c>
      <c r="N116" s="119">
        <f t="shared" si="73"/>
        <v>0</v>
      </c>
      <c r="O116" s="120">
        <f t="shared" si="74"/>
        <v>0</v>
      </c>
      <c r="P116" s="130"/>
      <c r="Q116" s="111"/>
      <c r="R116" s="111">
        <v>7.1</v>
      </c>
      <c r="S116" s="45">
        <v>1</v>
      </c>
      <c r="T116" s="213" t="s">
        <v>739</v>
      </c>
    </row>
    <row r="117" spans="1:20" ht="15.6">
      <c r="A117" s="110" t="s">
        <v>262</v>
      </c>
      <c r="B117" s="111" t="s">
        <v>232</v>
      </c>
      <c r="C117" s="112" t="s">
        <v>228</v>
      </c>
      <c r="D117" s="113" t="s">
        <v>236</v>
      </c>
      <c r="E117" s="114" t="s">
        <v>15</v>
      </c>
      <c r="F117" s="115" t="s">
        <v>16</v>
      </c>
      <c r="G117" s="116">
        <v>5.77</v>
      </c>
      <c r="H117" s="125">
        <v>9</v>
      </c>
      <c r="I117" s="111">
        <v>1</v>
      </c>
      <c r="J117" s="117">
        <f t="shared" si="71"/>
        <v>5.192999999999999E-2</v>
      </c>
      <c r="K117" s="118" t="s">
        <v>234</v>
      </c>
      <c r="L117" s="111">
        <v>1</v>
      </c>
      <c r="M117" s="117">
        <f t="shared" si="72"/>
        <v>5.192999999999999E-2</v>
      </c>
      <c r="N117" s="119">
        <f t="shared" si="73"/>
        <v>0</v>
      </c>
      <c r="O117" s="120">
        <f t="shared" si="74"/>
        <v>0</v>
      </c>
      <c r="P117" s="130"/>
      <c r="Q117" s="111"/>
      <c r="R117" s="111">
        <v>7.1</v>
      </c>
      <c r="S117" s="45">
        <v>1</v>
      </c>
      <c r="T117" s="213" t="s">
        <v>739</v>
      </c>
    </row>
    <row r="118" spans="1:20" ht="15.6">
      <c r="A118" s="110" t="s">
        <v>262</v>
      </c>
      <c r="B118" s="111" t="s">
        <v>232</v>
      </c>
      <c r="C118" s="112" t="s">
        <v>228</v>
      </c>
      <c r="D118" s="113" t="s">
        <v>236</v>
      </c>
      <c r="E118" s="114" t="s">
        <v>15</v>
      </c>
      <c r="F118" s="115" t="s">
        <v>16</v>
      </c>
      <c r="G118" s="116">
        <v>5.77</v>
      </c>
      <c r="H118" s="125">
        <v>9.5</v>
      </c>
      <c r="I118" s="111">
        <v>2</v>
      </c>
      <c r="J118" s="117">
        <f t="shared" si="71"/>
        <v>0.10962999999999999</v>
      </c>
      <c r="K118" s="118" t="s">
        <v>234</v>
      </c>
      <c r="L118" s="111">
        <v>2</v>
      </c>
      <c r="M118" s="117">
        <f t="shared" si="72"/>
        <v>0.10962999999999999</v>
      </c>
      <c r="N118" s="119">
        <f t="shared" si="73"/>
        <v>0</v>
      </c>
      <c r="O118" s="120">
        <f t="shared" si="74"/>
        <v>0</v>
      </c>
      <c r="P118" s="130"/>
      <c r="Q118" s="111"/>
      <c r="R118" s="111">
        <v>7.1</v>
      </c>
      <c r="S118" s="45">
        <v>2</v>
      </c>
      <c r="T118" s="213" t="s">
        <v>739</v>
      </c>
    </row>
    <row r="119" spans="1:20" ht="15.6">
      <c r="A119" s="110" t="s">
        <v>262</v>
      </c>
      <c r="B119" s="111" t="s">
        <v>232</v>
      </c>
      <c r="C119" s="112" t="s">
        <v>228</v>
      </c>
      <c r="D119" s="113" t="s">
        <v>236</v>
      </c>
      <c r="E119" s="114" t="s">
        <v>15</v>
      </c>
      <c r="F119" s="115" t="s">
        <v>16</v>
      </c>
      <c r="G119" s="116">
        <v>5.77</v>
      </c>
      <c r="H119" s="125">
        <v>10</v>
      </c>
      <c r="I119" s="111">
        <v>6</v>
      </c>
      <c r="J119" s="117">
        <f t="shared" si="71"/>
        <v>0.34620000000000001</v>
      </c>
      <c r="K119" s="118" t="s">
        <v>234</v>
      </c>
      <c r="L119" s="111">
        <v>6</v>
      </c>
      <c r="M119" s="117">
        <f t="shared" si="72"/>
        <v>0.34620000000000001</v>
      </c>
      <c r="N119" s="119">
        <f t="shared" si="73"/>
        <v>0</v>
      </c>
      <c r="O119" s="120">
        <f t="shared" si="74"/>
        <v>0</v>
      </c>
      <c r="P119" s="130"/>
      <c r="Q119" s="111"/>
      <c r="R119" s="111"/>
      <c r="S119" s="111"/>
    </row>
    <row r="120" spans="1:20" ht="15.6">
      <c r="A120" s="110" t="s">
        <v>262</v>
      </c>
      <c r="B120" s="111" t="s">
        <v>232</v>
      </c>
      <c r="C120" s="112" t="s">
        <v>228</v>
      </c>
      <c r="D120" s="113" t="s">
        <v>236</v>
      </c>
      <c r="E120" s="114" t="s">
        <v>15</v>
      </c>
      <c r="F120" s="115" t="s">
        <v>16</v>
      </c>
      <c r="G120" s="116">
        <v>5.77</v>
      </c>
      <c r="H120" s="125">
        <v>11.25</v>
      </c>
      <c r="I120" s="111">
        <v>7</v>
      </c>
      <c r="J120" s="117">
        <f t="shared" si="71"/>
        <v>0.45438749999999994</v>
      </c>
      <c r="K120" s="118" t="s">
        <v>234</v>
      </c>
      <c r="L120" s="111">
        <v>7</v>
      </c>
      <c r="M120" s="117">
        <f t="shared" si="72"/>
        <v>0.4543875</v>
      </c>
      <c r="N120" s="119">
        <f t="shared" si="73"/>
        <v>0</v>
      </c>
      <c r="O120" s="120">
        <f t="shared" si="74"/>
        <v>0</v>
      </c>
      <c r="P120" s="130">
        <v>11.25</v>
      </c>
      <c r="Q120" s="111">
        <v>7</v>
      </c>
      <c r="R120" s="111"/>
      <c r="S120" s="111"/>
    </row>
    <row r="121" spans="1:20" ht="15.6">
      <c r="A121" s="110" t="s">
        <v>262</v>
      </c>
      <c r="B121" s="111" t="s">
        <v>232</v>
      </c>
      <c r="C121" s="112" t="s">
        <v>228</v>
      </c>
      <c r="D121" s="113" t="s">
        <v>236</v>
      </c>
      <c r="E121" s="114" t="s">
        <v>15</v>
      </c>
      <c r="F121" s="115" t="s">
        <v>16</v>
      </c>
      <c r="G121" s="116">
        <v>5.77</v>
      </c>
      <c r="H121" s="125">
        <v>10.3</v>
      </c>
      <c r="I121" s="111">
        <v>1</v>
      </c>
      <c r="J121" s="117">
        <f t="shared" si="71"/>
        <v>5.9430999999999998E-2</v>
      </c>
      <c r="K121" s="118" t="s">
        <v>233</v>
      </c>
      <c r="L121" s="111">
        <v>1</v>
      </c>
      <c r="M121" s="117">
        <f t="shared" si="72"/>
        <v>5.9430999999999998E-2</v>
      </c>
      <c r="N121" s="119">
        <f t="shared" si="73"/>
        <v>0</v>
      </c>
      <c r="O121" s="120">
        <f t="shared" si="74"/>
        <v>0</v>
      </c>
      <c r="P121" s="130">
        <v>10</v>
      </c>
      <c r="Q121" s="111">
        <v>1</v>
      </c>
      <c r="R121" s="111"/>
      <c r="S121" s="111"/>
    </row>
    <row r="122" spans="1:20" ht="15.6">
      <c r="A122" s="110" t="s">
        <v>262</v>
      </c>
      <c r="B122" s="111" t="s">
        <v>232</v>
      </c>
      <c r="C122" s="112" t="s">
        <v>228</v>
      </c>
      <c r="D122" s="113" t="s">
        <v>236</v>
      </c>
      <c r="E122" s="114" t="s">
        <v>15</v>
      </c>
      <c r="F122" s="115" t="s">
        <v>16</v>
      </c>
      <c r="G122" s="116">
        <v>5.77</v>
      </c>
      <c r="H122" s="125">
        <v>9.8000000000000007</v>
      </c>
      <c r="I122" s="111">
        <v>1</v>
      </c>
      <c r="J122" s="117">
        <f t="shared" si="71"/>
        <v>5.6545999999999999E-2</v>
      </c>
      <c r="K122" s="118" t="s">
        <v>233</v>
      </c>
      <c r="L122" s="111">
        <v>1</v>
      </c>
      <c r="M122" s="117">
        <f t="shared" si="72"/>
        <v>5.6545999999999999E-2</v>
      </c>
      <c r="N122" s="119">
        <f t="shared" si="73"/>
        <v>0</v>
      </c>
      <c r="O122" s="120">
        <f t="shared" si="74"/>
        <v>0</v>
      </c>
      <c r="P122" s="130"/>
      <c r="Q122" s="111"/>
      <c r="R122" s="111">
        <v>7.1</v>
      </c>
      <c r="S122" s="45">
        <v>1</v>
      </c>
      <c r="T122" s="213" t="s">
        <v>739</v>
      </c>
    </row>
    <row r="123" spans="1:20" ht="15.6">
      <c r="A123" s="110" t="s">
        <v>262</v>
      </c>
      <c r="B123" s="111" t="s">
        <v>232</v>
      </c>
      <c r="C123" s="112" t="s">
        <v>228</v>
      </c>
      <c r="D123" s="113" t="s">
        <v>236</v>
      </c>
      <c r="E123" s="114" t="s">
        <v>15</v>
      </c>
      <c r="F123" s="115" t="s">
        <v>16</v>
      </c>
      <c r="G123" s="116">
        <v>5.77</v>
      </c>
      <c r="H123" s="125">
        <v>9.6999999999999993</v>
      </c>
      <c r="I123" s="111">
        <v>9</v>
      </c>
      <c r="J123" s="117">
        <f t="shared" si="71"/>
        <v>0.50372099999999997</v>
      </c>
      <c r="K123" s="118" t="s">
        <v>233</v>
      </c>
      <c r="L123" s="111">
        <v>9</v>
      </c>
      <c r="M123" s="117">
        <f t="shared" si="72"/>
        <v>0.50372099999999997</v>
      </c>
      <c r="N123" s="119">
        <f t="shared" si="73"/>
        <v>0</v>
      </c>
      <c r="O123" s="120">
        <f t="shared" si="74"/>
        <v>0</v>
      </c>
      <c r="P123" s="130"/>
      <c r="Q123" s="111"/>
      <c r="R123" s="111">
        <v>7.1</v>
      </c>
      <c r="S123" s="45">
        <v>9</v>
      </c>
      <c r="T123" s="213" t="s">
        <v>739</v>
      </c>
    </row>
    <row r="124" spans="1:20" ht="15.6">
      <c r="A124" s="110" t="s">
        <v>262</v>
      </c>
      <c r="B124" s="111" t="s">
        <v>232</v>
      </c>
      <c r="C124" s="112" t="s">
        <v>228</v>
      </c>
      <c r="D124" s="113" t="s">
        <v>236</v>
      </c>
      <c r="E124" s="114" t="s">
        <v>15</v>
      </c>
      <c r="F124" s="115" t="s">
        <v>16</v>
      </c>
      <c r="G124" s="116">
        <v>5.77</v>
      </c>
      <c r="H124" s="125">
        <v>9.3000000000000007</v>
      </c>
      <c r="I124" s="111">
        <v>1</v>
      </c>
      <c r="J124" s="117">
        <f t="shared" si="71"/>
        <v>5.3661E-2</v>
      </c>
      <c r="K124" s="118" t="s">
        <v>233</v>
      </c>
      <c r="L124" s="111">
        <v>1</v>
      </c>
      <c r="M124" s="117">
        <f t="shared" si="72"/>
        <v>5.3661E-2</v>
      </c>
      <c r="N124" s="119">
        <f t="shared" si="73"/>
        <v>0</v>
      </c>
      <c r="O124" s="120">
        <f t="shared" si="74"/>
        <v>0</v>
      </c>
      <c r="P124" s="130"/>
      <c r="Q124" s="111"/>
      <c r="R124" s="111">
        <v>7.1</v>
      </c>
      <c r="S124" s="45">
        <v>1</v>
      </c>
      <c r="T124" s="213" t="s">
        <v>739</v>
      </c>
    </row>
    <row r="125" spans="1:20" ht="15.6">
      <c r="A125" s="110" t="s">
        <v>262</v>
      </c>
      <c r="B125" s="111" t="s">
        <v>232</v>
      </c>
      <c r="C125" s="112" t="s">
        <v>228</v>
      </c>
      <c r="D125" s="113" t="s">
        <v>236</v>
      </c>
      <c r="E125" s="114" t="s">
        <v>15</v>
      </c>
      <c r="F125" s="115" t="s">
        <v>16</v>
      </c>
      <c r="G125" s="116">
        <v>5.77</v>
      </c>
      <c r="H125" s="125">
        <v>9</v>
      </c>
      <c r="I125" s="111">
        <v>1</v>
      </c>
      <c r="J125" s="117">
        <f t="shared" si="71"/>
        <v>5.192999999999999E-2</v>
      </c>
      <c r="K125" s="118" t="s">
        <v>233</v>
      </c>
      <c r="L125" s="111">
        <v>1</v>
      </c>
      <c r="M125" s="117">
        <f t="shared" si="72"/>
        <v>5.192999999999999E-2</v>
      </c>
      <c r="N125" s="119">
        <f t="shared" si="73"/>
        <v>0</v>
      </c>
      <c r="O125" s="120">
        <f t="shared" si="74"/>
        <v>0</v>
      </c>
      <c r="P125" s="130"/>
      <c r="Q125" s="111"/>
      <c r="R125" s="111">
        <v>7.1</v>
      </c>
      <c r="S125" s="45">
        <v>1</v>
      </c>
      <c r="T125" s="213" t="s">
        <v>739</v>
      </c>
    </row>
    <row r="126" spans="1:20" ht="15.6">
      <c r="A126" s="110" t="s">
        <v>262</v>
      </c>
      <c r="B126" s="111" t="s">
        <v>232</v>
      </c>
      <c r="C126" s="112" t="s">
        <v>228</v>
      </c>
      <c r="D126" s="113" t="s">
        <v>236</v>
      </c>
      <c r="E126" s="114" t="s">
        <v>15</v>
      </c>
      <c r="F126" s="115" t="s">
        <v>16</v>
      </c>
      <c r="G126" s="116">
        <v>5.77</v>
      </c>
      <c r="H126" s="125">
        <v>6.3</v>
      </c>
      <c r="I126" s="111">
        <v>2</v>
      </c>
      <c r="J126" s="117">
        <f t="shared" si="71"/>
        <v>7.2702000000000003E-2</v>
      </c>
      <c r="K126" s="118" t="s">
        <v>233</v>
      </c>
      <c r="L126" s="111">
        <v>2</v>
      </c>
      <c r="M126" s="117">
        <f t="shared" si="72"/>
        <v>7.2702000000000003E-2</v>
      </c>
      <c r="N126" s="119">
        <f t="shared" si="73"/>
        <v>0</v>
      </c>
      <c r="O126" s="120">
        <f t="shared" si="74"/>
        <v>0</v>
      </c>
      <c r="P126" s="130"/>
      <c r="Q126" s="111"/>
      <c r="R126" s="111"/>
      <c r="S126" s="111"/>
    </row>
    <row r="127" spans="1:20" ht="15.6">
      <c r="A127" s="110" t="s">
        <v>262</v>
      </c>
      <c r="B127" s="111" t="s">
        <v>232</v>
      </c>
      <c r="C127" s="112" t="s">
        <v>228</v>
      </c>
      <c r="D127" s="113" t="s">
        <v>236</v>
      </c>
      <c r="E127" s="114" t="s">
        <v>15</v>
      </c>
      <c r="F127" s="115" t="s">
        <v>16</v>
      </c>
      <c r="G127" s="116">
        <v>5.77</v>
      </c>
      <c r="H127" s="125">
        <v>7.1</v>
      </c>
      <c r="I127" s="111">
        <v>1</v>
      </c>
      <c r="J127" s="117">
        <f t="shared" si="71"/>
        <v>4.096699999999999E-2</v>
      </c>
      <c r="K127" s="118" t="s">
        <v>233</v>
      </c>
      <c r="L127" s="111">
        <v>1</v>
      </c>
      <c r="M127" s="117">
        <f t="shared" si="72"/>
        <v>4.096699999999999E-2</v>
      </c>
      <c r="N127" s="119">
        <f t="shared" si="73"/>
        <v>0</v>
      </c>
      <c r="O127" s="120">
        <f t="shared" si="74"/>
        <v>0</v>
      </c>
      <c r="P127" s="130"/>
      <c r="Q127" s="111"/>
      <c r="R127" s="111">
        <v>7.1</v>
      </c>
      <c r="S127" s="45">
        <v>1</v>
      </c>
      <c r="T127" s="213" t="s">
        <v>739</v>
      </c>
    </row>
    <row r="128" spans="1:20" ht="15.6">
      <c r="A128" s="110" t="s">
        <v>262</v>
      </c>
      <c r="B128" s="111" t="s">
        <v>232</v>
      </c>
      <c r="C128" s="112" t="s">
        <v>228</v>
      </c>
      <c r="D128" s="113" t="s">
        <v>236</v>
      </c>
      <c r="E128" s="114" t="s">
        <v>15</v>
      </c>
      <c r="F128" s="115" t="s">
        <v>16</v>
      </c>
      <c r="G128" s="116">
        <v>5.77</v>
      </c>
      <c r="H128" s="125">
        <v>9.5</v>
      </c>
      <c r="I128" s="111">
        <v>3</v>
      </c>
      <c r="J128" s="117">
        <f t="shared" si="71"/>
        <v>0.16444499999999998</v>
      </c>
      <c r="K128" s="118" t="s">
        <v>233</v>
      </c>
      <c r="L128" s="111">
        <v>3</v>
      </c>
      <c r="M128" s="117">
        <f t="shared" si="72"/>
        <v>0.16444499999999998</v>
      </c>
      <c r="N128" s="119">
        <f t="shared" si="73"/>
        <v>0</v>
      </c>
      <c r="O128" s="120">
        <f t="shared" si="74"/>
        <v>0</v>
      </c>
      <c r="P128" s="130"/>
      <c r="Q128" s="111"/>
      <c r="R128" s="111">
        <v>7.1</v>
      </c>
      <c r="S128" s="45">
        <v>3</v>
      </c>
      <c r="T128" s="213" t="s">
        <v>739</v>
      </c>
    </row>
    <row r="129" spans="1:20" ht="15.6">
      <c r="A129" s="110" t="s">
        <v>262</v>
      </c>
      <c r="B129" s="111" t="s">
        <v>232</v>
      </c>
      <c r="C129" s="112" t="s">
        <v>228</v>
      </c>
      <c r="D129" s="113" t="s">
        <v>236</v>
      </c>
      <c r="E129" s="114" t="s">
        <v>15</v>
      </c>
      <c r="F129" s="115" t="s">
        <v>16</v>
      </c>
      <c r="G129" s="116">
        <v>5.77</v>
      </c>
      <c r="H129" s="125">
        <v>11.5</v>
      </c>
      <c r="I129" s="111">
        <v>1</v>
      </c>
      <c r="J129" s="117">
        <f t="shared" si="71"/>
        <v>6.6354999999999983E-2</v>
      </c>
      <c r="K129" s="118" t="s">
        <v>234</v>
      </c>
      <c r="L129" s="111">
        <v>1</v>
      </c>
      <c r="M129" s="117">
        <f t="shared" si="72"/>
        <v>6.6354999999999983E-2</v>
      </c>
      <c r="N129" s="119">
        <f t="shared" si="73"/>
        <v>0</v>
      </c>
      <c r="O129" s="120">
        <f t="shared" si="74"/>
        <v>0</v>
      </c>
      <c r="P129" s="130"/>
      <c r="Q129" s="111"/>
      <c r="R129" s="111"/>
      <c r="S129" s="111"/>
    </row>
    <row r="130" spans="1:20" ht="15.6">
      <c r="A130" s="110" t="s">
        <v>262</v>
      </c>
      <c r="B130" s="111" t="s">
        <v>232</v>
      </c>
      <c r="C130" s="112" t="s">
        <v>228</v>
      </c>
      <c r="D130" s="113" t="s">
        <v>236</v>
      </c>
      <c r="E130" s="114" t="s">
        <v>15</v>
      </c>
      <c r="F130" s="115" t="s">
        <v>16</v>
      </c>
      <c r="G130" s="116">
        <v>5.77</v>
      </c>
      <c r="H130" s="126">
        <v>12</v>
      </c>
      <c r="I130" s="111">
        <v>1</v>
      </c>
      <c r="J130" s="117">
        <f t="shared" ref="J130:J131" si="75">H130*G130*I130/1000</f>
        <v>6.9239999999999996E-2</v>
      </c>
      <c r="K130" s="118" t="s">
        <v>234</v>
      </c>
      <c r="L130" s="111">
        <v>1</v>
      </c>
      <c r="M130" s="117">
        <f t="shared" ref="M130:M131" si="76">H130*L130*G130/1000</f>
        <v>6.9239999999999996E-2</v>
      </c>
      <c r="N130" s="119">
        <f t="shared" ref="N130:N131" si="77">I130-L130</f>
        <v>0</v>
      </c>
      <c r="O130" s="120">
        <f t="shared" ref="O130:O131" si="78">H130*N130*G130/1000</f>
        <v>0</v>
      </c>
      <c r="P130" s="130">
        <v>11</v>
      </c>
      <c r="Q130" s="111">
        <v>1</v>
      </c>
      <c r="R130" s="111"/>
      <c r="S130" s="111"/>
    </row>
    <row r="131" spans="1:20" ht="15.6">
      <c r="A131" s="110" t="s">
        <v>262</v>
      </c>
      <c r="B131" s="111" t="s">
        <v>232</v>
      </c>
      <c r="C131" s="112" t="s">
        <v>228</v>
      </c>
      <c r="D131" s="113" t="s">
        <v>236</v>
      </c>
      <c r="E131" s="114" t="s">
        <v>15</v>
      </c>
      <c r="F131" s="115" t="s">
        <v>16</v>
      </c>
      <c r="G131" s="116">
        <v>5.77</v>
      </c>
      <c r="H131" s="126">
        <v>12.25</v>
      </c>
      <c r="I131" s="111">
        <v>2</v>
      </c>
      <c r="J131" s="117">
        <f t="shared" si="75"/>
        <v>0.14136499999999999</v>
      </c>
      <c r="K131" s="118" t="s">
        <v>234</v>
      </c>
      <c r="L131" s="111">
        <v>2</v>
      </c>
      <c r="M131" s="117">
        <f t="shared" si="76"/>
        <v>0.14136499999999999</v>
      </c>
      <c r="N131" s="119">
        <f t="shared" si="77"/>
        <v>0</v>
      </c>
      <c r="O131" s="120">
        <f t="shared" si="78"/>
        <v>0</v>
      </c>
      <c r="P131" s="130">
        <v>11</v>
      </c>
      <c r="Q131" s="111">
        <v>20</v>
      </c>
      <c r="R131" s="111"/>
      <c r="S131" s="111"/>
    </row>
    <row r="132" spans="1:20" ht="15.6">
      <c r="A132" s="110" t="s">
        <v>262</v>
      </c>
      <c r="B132" s="111" t="s">
        <v>232</v>
      </c>
      <c r="C132" s="112" t="s">
        <v>228</v>
      </c>
      <c r="D132" s="113" t="s">
        <v>236</v>
      </c>
      <c r="E132" s="114" t="s">
        <v>15</v>
      </c>
      <c r="F132" s="115" t="s">
        <v>16</v>
      </c>
      <c r="G132" s="116">
        <v>5.77</v>
      </c>
      <c r="H132" s="126">
        <v>7.5</v>
      </c>
      <c r="I132" s="111">
        <f>60+3+63</f>
        <v>126</v>
      </c>
      <c r="J132" s="117">
        <f t="shared" ref="J132:J149" si="79">H132*G132*I132/1000</f>
        <v>5.4526499999999993</v>
      </c>
      <c r="K132" s="118"/>
      <c r="L132" s="111">
        <f>124+2</f>
        <v>126</v>
      </c>
      <c r="M132" s="117">
        <f t="shared" ref="M132:M149" si="80">H132*L132*G132/1000</f>
        <v>5.4526499999999993</v>
      </c>
      <c r="N132" s="119">
        <f t="shared" ref="N132:N149" si="81">I132-L132</f>
        <v>0</v>
      </c>
      <c r="O132" s="120">
        <f t="shared" ref="O132:O149" si="82">H132*N132*G132/1000</f>
        <v>0</v>
      </c>
      <c r="P132" s="130"/>
      <c r="Q132" s="111"/>
      <c r="R132" s="111">
        <v>7.1</v>
      </c>
      <c r="S132" s="45">
        <v>2</v>
      </c>
      <c r="T132" s="213" t="s">
        <v>739</v>
      </c>
    </row>
    <row r="133" spans="1:20" ht="15.6">
      <c r="A133" s="110" t="s">
        <v>262</v>
      </c>
      <c r="B133" s="111" t="s">
        <v>232</v>
      </c>
      <c r="C133" s="112" t="s">
        <v>228</v>
      </c>
      <c r="D133" s="113" t="s">
        <v>236</v>
      </c>
      <c r="E133" s="114" t="s">
        <v>15</v>
      </c>
      <c r="F133" s="115" t="s">
        <v>16</v>
      </c>
      <c r="G133" s="116">
        <v>5.77</v>
      </c>
      <c r="H133" s="126">
        <v>8</v>
      </c>
      <c r="I133" s="111">
        <v>3</v>
      </c>
      <c r="J133" s="117">
        <f t="shared" ref="J133" si="83">H133*G133*I133/1000</f>
        <v>0.13847999999999999</v>
      </c>
      <c r="K133" s="118"/>
      <c r="L133" s="111">
        <v>3</v>
      </c>
      <c r="M133" s="117">
        <f t="shared" ref="M133" si="84">H133*L133*G133/1000</f>
        <v>0.13847999999999999</v>
      </c>
      <c r="N133" s="119">
        <f t="shared" ref="N133" si="85">I133-L133</f>
        <v>0</v>
      </c>
      <c r="O133" s="120">
        <f t="shared" ref="O133" si="86">H133*N133*G133/1000</f>
        <v>0</v>
      </c>
      <c r="P133" s="130"/>
      <c r="Q133" s="111"/>
      <c r="R133" s="111">
        <v>7.1</v>
      </c>
      <c r="S133" s="45">
        <v>3</v>
      </c>
      <c r="T133" s="213" t="s">
        <v>739</v>
      </c>
    </row>
    <row r="134" spans="1:20" ht="15.6">
      <c r="A134" s="110" t="s">
        <v>262</v>
      </c>
      <c r="B134" s="111" t="s">
        <v>232</v>
      </c>
      <c r="C134" s="112" t="s">
        <v>228</v>
      </c>
      <c r="D134" s="113" t="s">
        <v>236</v>
      </c>
      <c r="E134" s="114" t="s">
        <v>15</v>
      </c>
      <c r="F134" s="115" t="s">
        <v>16</v>
      </c>
      <c r="G134" s="116">
        <v>5.77</v>
      </c>
      <c r="H134" s="126">
        <v>10</v>
      </c>
      <c r="I134" s="111">
        <f>30+36+39+43+52+52+33+34+45+12+43</f>
        <v>419</v>
      </c>
      <c r="J134" s="117">
        <f t="shared" si="79"/>
        <v>24.176299999999998</v>
      </c>
      <c r="K134" s="118"/>
      <c r="L134" s="111">
        <v>419</v>
      </c>
      <c r="M134" s="117">
        <f t="shared" si="80"/>
        <v>24.176299999999998</v>
      </c>
      <c r="N134" s="119">
        <f t="shared" si="81"/>
        <v>0</v>
      </c>
      <c r="O134" s="120">
        <f t="shared" si="82"/>
        <v>0</v>
      </c>
      <c r="P134" s="130"/>
      <c r="Q134" s="111"/>
      <c r="R134" s="111"/>
      <c r="S134" s="111"/>
    </row>
    <row r="135" spans="1:20" ht="15.6">
      <c r="A135" s="110" t="s">
        <v>262</v>
      </c>
      <c r="B135" s="111" t="s">
        <v>232</v>
      </c>
      <c r="C135" s="112" t="s">
        <v>228</v>
      </c>
      <c r="D135" s="113" t="s">
        <v>236</v>
      </c>
      <c r="E135" s="114" t="s">
        <v>15</v>
      </c>
      <c r="F135" s="115" t="s">
        <v>16</v>
      </c>
      <c r="G135" s="116">
        <v>5.77</v>
      </c>
      <c r="H135" s="126">
        <v>11</v>
      </c>
      <c r="I135" s="111">
        <v>24</v>
      </c>
      <c r="J135" s="117">
        <f t="shared" si="79"/>
        <v>1.52328</v>
      </c>
      <c r="K135" s="118"/>
      <c r="L135" s="111">
        <v>24</v>
      </c>
      <c r="M135" s="117">
        <f t="shared" si="80"/>
        <v>1.52328</v>
      </c>
      <c r="N135" s="119">
        <f t="shared" si="81"/>
        <v>0</v>
      </c>
      <c r="O135" s="120">
        <f t="shared" si="82"/>
        <v>0</v>
      </c>
      <c r="P135" s="130"/>
      <c r="Q135" s="111"/>
      <c r="R135" s="111"/>
      <c r="S135" s="111"/>
    </row>
    <row r="136" spans="1:20" ht="15.6">
      <c r="A136" s="110" t="s">
        <v>262</v>
      </c>
      <c r="B136" s="111" t="s">
        <v>232</v>
      </c>
      <c r="C136" s="112" t="s">
        <v>228</v>
      </c>
      <c r="D136" s="113" t="s">
        <v>236</v>
      </c>
      <c r="E136" s="114" t="s">
        <v>15</v>
      </c>
      <c r="F136" s="115" t="s">
        <v>16</v>
      </c>
      <c r="G136" s="116">
        <v>5.77</v>
      </c>
      <c r="H136" s="126">
        <v>11.5</v>
      </c>
      <c r="I136" s="111">
        <f>47+33+46+24+41+13+33+20</f>
        <v>257</v>
      </c>
      <c r="J136" s="117">
        <f t="shared" si="79"/>
        <v>17.053234999999997</v>
      </c>
      <c r="K136" s="118"/>
      <c r="L136" s="111">
        <v>257</v>
      </c>
      <c r="M136" s="117">
        <f t="shared" si="80"/>
        <v>17.053234999999997</v>
      </c>
      <c r="N136" s="119">
        <f t="shared" si="81"/>
        <v>0</v>
      </c>
      <c r="O136" s="120">
        <f t="shared" si="82"/>
        <v>0</v>
      </c>
      <c r="P136" s="130"/>
      <c r="Q136" s="111"/>
      <c r="R136" s="111"/>
      <c r="S136" s="111"/>
    </row>
    <row r="137" spans="1:20" ht="15.6">
      <c r="A137" s="110" t="s">
        <v>262</v>
      </c>
      <c r="B137" s="111" t="s">
        <v>232</v>
      </c>
      <c r="C137" s="112" t="s">
        <v>228</v>
      </c>
      <c r="D137" s="113" t="s">
        <v>236</v>
      </c>
      <c r="E137" s="114" t="s">
        <v>15</v>
      </c>
      <c r="F137" s="115" t="s">
        <v>16</v>
      </c>
      <c r="G137" s="116">
        <v>5.77</v>
      </c>
      <c r="H137" s="126">
        <v>12</v>
      </c>
      <c r="I137" s="111">
        <f>42+35+44+44+44+44+18+39</f>
        <v>310</v>
      </c>
      <c r="J137" s="117">
        <f t="shared" si="79"/>
        <v>21.464399999999998</v>
      </c>
      <c r="K137" s="118"/>
      <c r="L137" s="111">
        <f>290+20</f>
        <v>310</v>
      </c>
      <c r="M137" s="117">
        <f t="shared" si="80"/>
        <v>21.464399999999998</v>
      </c>
      <c r="N137" s="119">
        <f t="shared" si="81"/>
        <v>0</v>
      </c>
      <c r="O137" s="120">
        <f t="shared" si="82"/>
        <v>0</v>
      </c>
      <c r="P137" s="130">
        <v>11</v>
      </c>
      <c r="Q137" s="111">
        <v>20</v>
      </c>
      <c r="R137" s="111"/>
      <c r="S137" s="111"/>
    </row>
    <row r="138" spans="1:20" ht="15.6">
      <c r="A138" s="110" t="s">
        <v>262</v>
      </c>
      <c r="B138" s="111" t="s">
        <v>232</v>
      </c>
      <c r="C138" s="112" t="s">
        <v>228</v>
      </c>
      <c r="D138" s="113" t="s">
        <v>236</v>
      </c>
      <c r="E138" s="114" t="s">
        <v>15</v>
      </c>
      <c r="F138" s="115" t="s">
        <v>16</v>
      </c>
      <c r="G138" s="116">
        <v>5.77</v>
      </c>
      <c r="H138" s="126">
        <v>9.8000000000000007</v>
      </c>
      <c r="I138" s="111">
        <v>1</v>
      </c>
      <c r="J138" s="117">
        <f t="shared" si="79"/>
        <v>5.6545999999999999E-2</v>
      </c>
      <c r="K138" s="118"/>
      <c r="L138" s="111">
        <v>1</v>
      </c>
      <c r="M138" s="117">
        <f t="shared" si="80"/>
        <v>5.6545999999999999E-2</v>
      </c>
      <c r="N138" s="119">
        <f t="shared" si="81"/>
        <v>0</v>
      </c>
      <c r="O138" s="120">
        <f t="shared" si="82"/>
        <v>0</v>
      </c>
      <c r="P138" s="130"/>
      <c r="Q138" s="111"/>
      <c r="R138" s="111">
        <v>7.1</v>
      </c>
      <c r="S138" s="45">
        <v>1</v>
      </c>
      <c r="T138" s="213" t="s">
        <v>739</v>
      </c>
    </row>
    <row r="139" spans="1:20" ht="15.6">
      <c r="A139" s="110" t="s">
        <v>262</v>
      </c>
      <c r="B139" s="111" t="s">
        <v>232</v>
      </c>
      <c r="C139" s="112" t="s">
        <v>228</v>
      </c>
      <c r="D139" s="113" t="s">
        <v>236</v>
      </c>
      <c r="E139" s="114" t="s">
        <v>15</v>
      </c>
      <c r="F139" s="115" t="s">
        <v>16</v>
      </c>
      <c r="G139" s="116">
        <v>5.77</v>
      </c>
      <c r="H139" s="126">
        <v>9.5</v>
      </c>
      <c r="I139" s="111">
        <v>1</v>
      </c>
      <c r="J139" s="117">
        <f t="shared" si="79"/>
        <v>5.4814999999999996E-2</v>
      </c>
      <c r="K139" s="118"/>
      <c r="L139" s="111">
        <v>1</v>
      </c>
      <c r="M139" s="117">
        <f t="shared" si="80"/>
        <v>5.4814999999999996E-2</v>
      </c>
      <c r="N139" s="119">
        <f t="shared" si="81"/>
        <v>0</v>
      </c>
      <c r="O139" s="120">
        <f t="shared" si="82"/>
        <v>0</v>
      </c>
      <c r="P139" s="130"/>
      <c r="Q139" s="111"/>
      <c r="R139" s="111">
        <v>7.1</v>
      </c>
      <c r="S139" s="45">
        <v>1</v>
      </c>
      <c r="T139" s="213" t="s">
        <v>739</v>
      </c>
    </row>
    <row r="140" spans="1:20" ht="15.6">
      <c r="A140" s="110" t="s">
        <v>262</v>
      </c>
      <c r="B140" s="111" t="s">
        <v>232</v>
      </c>
      <c r="C140" s="112" t="s">
        <v>228</v>
      </c>
      <c r="D140" s="113" t="s">
        <v>236</v>
      </c>
      <c r="E140" s="114" t="s">
        <v>15</v>
      </c>
      <c r="F140" s="115" t="s">
        <v>16</v>
      </c>
      <c r="G140" s="116">
        <v>5.77</v>
      </c>
      <c r="H140" s="126">
        <v>8.8000000000000007</v>
      </c>
      <c r="I140" s="111">
        <v>1</v>
      </c>
      <c r="J140" s="117">
        <f t="shared" si="79"/>
        <v>5.0776000000000002E-2</v>
      </c>
      <c r="K140" s="118"/>
      <c r="L140" s="111">
        <v>1</v>
      </c>
      <c r="M140" s="117">
        <f t="shared" si="80"/>
        <v>5.0776000000000002E-2</v>
      </c>
      <c r="N140" s="119">
        <f t="shared" si="81"/>
        <v>0</v>
      </c>
      <c r="O140" s="120">
        <f t="shared" si="82"/>
        <v>0</v>
      </c>
      <c r="P140" s="130"/>
      <c r="Q140" s="111"/>
      <c r="R140" s="111">
        <v>7.1</v>
      </c>
      <c r="S140" s="45">
        <v>1</v>
      </c>
      <c r="T140" s="213" t="s">
        <v>739</v>
      </c>
    </row>
    <row r="141" spans="1:20" ht="15.6">
      <c r="A141" s="110" t="s">
        <v>262</v>
      </c>
      <c r="B141" s="111" t="s">
        <v>232</v>
      </c>
      <c r="C141" s="112" t="s">
        <v>228</v>
      </c>
      <c r="D141" s="113" t="s">
        <v>236</v>
      </c>
      <c r="E141" s="114" t="s">
        <v>15</v>
      </c>
      <c r="F141" s="115" t="s">
        <v>16</v>
      </c>
      <c r="G141" s="116">
        <v>5.77</v>
      </c>
      <c r="H141" s="126">
        <v>7.5</v>
      </c>
      <c r="I141" s="111">
        <v>2</v>
      </c>
      <c r="J141" s="117">
        <f t="shared" si="79"/>
        <v>8.6550000000000002E-2</v>
      </c>
      <c r="K141" s="118"/>
      <c r="L141" s="111">
        <v>2</v>
      </c>
      <c r="M141" s="117">
        <f t="shared" si="80"/>
        <v>8.6550000000000002E-2</v>
      </c>
      <c r="N141" s="119">
        <f t="shared" si="81"/>
        <v>0</v>
      </c>
      <c r="O141" s="120">
        <f t="shared" si="82"/>
        <v>0</v>
      </c>
      <c r="P141" s="130">
        <v>6.3</v>
      </c>
      <c r="Q141" s="111">
        <v>2</v>
      </c>
      <c r="R141" s="111"/>
      <c r="S141" s="111"/>
    </row>
    <row r="142" spans="1:20" ht="15.6">
      <c r="A142" s="110" t="s">
        <v>262</v>
      </c>
      <c r="B142" s="111" t="s">
        <v>232</v>
      </c>
      <c r="C142" s="112" t="s">
        <v>228</v>
      </c>
      <c r="D142" s="113" t="s">
        <v>236</v>
      </c>
      <c r="E142" s="114" t="s">
        <v>15</v>
      </c>
      <c r="F142" s="115" t="s">
        <v>16</v>
      </c>
      <c r="G142" s="116">
        <v>5.77</v>
      </c>
      <c r="H142" s="126">
        <v>9.5</v>
      </c>
      <c r="I142" s="111">
        <v>1</v>
      </c>
      <c r="J142" s="117">
        <f t="shared" si="79"/>
        <v>5.4814999999999996E-2</v>
      </c>
      <c r="K142" s="118"/>
      <c r="L142" s="111">
        <v>1</v>
      </c>
      <c r="M142" s="117">
        <f t="shared" si="80"/>
        <v>5.4814999999999996E-2</v>
      </c>
      <c r="N142" s="119">
        <f t="shared" si="81"/>
        <v>0</v>
      </c>
      <c r="O142" s="120">
        <f t="shared" si="82"/>
        <v>0</v>
      </c>
      <c r="P142" s="130"/>
      <c r="Q142" s="111"/>
      <c r="R142" s="111">
        <v>7.1</v>
      </c>
      <c r="S142" s="45">
        <v>1</v>
      </c>
      <c r="T142" s="213" t="s">
        <v>739</v>
      </c>
    </row>
    <row r="143" spans="1:20" ht="15.6">
      <c r="A143" s="110" t="s">
        <v>262</v>
      </c>
      <c r="B143" s="111" t="s">
        <v>232</v>
      </c>
      <c r="C143" s="112" t="s">
        <v>228</v>
      </c>
      <c r="D143" s="113" t="s">
        <v>236</v>
      </c>
      <c r="E143" s="114" t="s">
        <v>15</v>
      </c>
      <c r="F143" s="115" t="s">
        <v>16</v>
      </c>
      <c r="G143" s="116">
        <v>5.77</v>
      </c>
      <c r="H143" s="126">
        <v>9</v>
      </c>
      <c r="I143" s="111">
        <v>1</v>
      </c>
      <c r="J143" s="117">
        <f t="shared" si="79"/>
        <v>5.192999999999999E-2</v>
      </c>
      <c r="K143" s="118"/>
      <c r="L143" s="111">
        <v>1</v>
      </c>
      <c r="M143" s="117">
        <f t="shared" si="80"/>
        <v>5.192999999999999E-2</v>
      </c>
      <c r="N143" s="119">
        <f t="shared" si="81"/>
        <v>0</v>
      </c>
      <c r="O143" s="120">
        <f t="shared" si="82"/>
        <v>0</v>
      </c>
      <c r="P143" s="130"/>
      <c r="Q143" s="111"/>
      <c r="R143" s="111">
        <v>7.1</v>
      </c>
      <c r="S143" s="45">
        <v>1</v>
      </c>
      <c r="T143" s="213" t="s">
        <v>739</v>
      </c>
    </row>
    <row r="144" spans="1:20" ht="15.6">
      <c r="A144" s="110" t="s">
        <v>262</v>
      </c>
      <c r="B144" s="111" t="s">
        <v>232</v>
      </c>
      <c r="C144" s="112" t="s">
        <v>228</v>
      </c>
      <c r="D144" s="113" t="s">
        <v>236</v>
      </c>
      <c r="E144" s="114" t="s">
        <v>15</v>
      </c>
      <c r="F144" s="115" t="s">
        <v>16</v>
      </c>
      <c r="G144" s="116">
        <v>5.77</v>
      </c>
      <c r="H144" s="126">
        <v>8.5</v>
      </c>
      <c r="I144" s="111">
        <v>1</v>
      </c>
      <c r="J144" s="117">
        <f t="shared" si="79"/>
        <v>4.9044999999999991E-2</v>
      </c>
      <c r="K144" s="118"/>
      <c r="L144" s="111">
        <v>1</v>
      </c>
      <c r="M144" s="117">
        <f t="shared" si="80"/>
        <v>4.9044999999999991E-2</v>
      </c>
      <c r="N144" s="119">
        <f t="shared" si="81"/>
        <v>0</v>
      </c>
      <c r="O144" s="120">
        <f t="shared" si="82"/>
        <v>0</v>
      </c>
      <c r="P144" s="130">
        <v>6.3</v>
      </c>
      <c r="Q144" s="111">
        <v>1</v>
      </c>
      <c r="R144" s="111"/>
      <c r="S144" s="111"/>
    </row>
    <row r="145" spans="1:20" ht="15.6">
      <c r="A145" s="110" t="s">
        <v>262</v>
      </c>
      <c r="B145" s="111" t="s">
        <v>232</v>
      </c>
      <c r="C145" s="112" t="s">
        <v>228</v>
      </c>
      <c r="D145" s="113" t="s">
        <v>236</v>
      </c>
      <c r="E145" s="114" t="s">
        <v>15</v>
      </c>
      <c r="F145" s="115" t="s">
        <v>16</v>
      </c>
      <c r="G145" s="116">
        <v>5.77</v>
      </c>
      <c r="H145" s="126">
        <v>8</v>
      </c>
      <c r="I145" s="111">
        <v>3</v>
      </c>
      <c r="J145" s="117">
        <f t="shared" si="79"/>
        <v>0.13847999999999999</v>
      </c>
      <c r="K145" s="118"/>
      <c r="L145" s="111">
        <v>3</v>
      </c>
      <c r="M145" s="117">
        <f t="shared" si="80"/>
        <v>0.13847999999999999</v>
      </c>
      <c r="N145" s="119">
        <f t="shared" si="81"/>
        <v>0</v>
      </c>
      <c r="O145" s="120">
        <f t="shared" si="82"/>
        <v>0</v>
      </c>
      <c r="P145" s="130">
        <v>6.3</v>
      </c>
      <c r="Q145" s="111">
        <v>3</v>
      </c>
      <c r="R145" s="111"/>
      <c r="S145" s="111"/>
    </row>
    <row r="146" spans="1:20" ht="15.6">
      <c r="A146" s="110" t="s">
        <v>262</v>
      </c>
      <c r="B146" s="111" t="s">
        <v>232</v>
      </c>
      <c r="C146" s="112" t="s">
        <v>228</v>
      </c>
      <c r="D146" s="113" t="s">
        <v>236</v>
      </c>
      <c r="E146" s="114" t="s">
        <v>15</v>
      </c>
      <c r="F146" s="115" t="s">
        <v>16</v>
      </c>
      <c r="G146" s="116">
        <v>5.77</v>
      </c>
      <c r="H146" s="126">
        <v>8</v>
      </c>
      <c r="I146" s="111">
        <v>1</v>
      </c>
      <c r="J146" s="117">
        <f t="shared" si="79"/>
        <v>4.616E-2</v>
      </c>
      <c r="K146" s="118"/>
      <c r="L146" s="111">
        <v>1</v>
      </c>
      <c r="M146" s="117">
        <f t="shared" si="80"/>
        <v>4.616E-2</v>
      </c>
      <c r="N146" s="119">
        <f t="shared" si="81"/>
        <v>0</v>
      </c>
      <c r="O146" s="120">
        <f t="shared" si="82"/>
        <v>0</v>
      </c>
      <c r="P146" s="130">
        <v>6.3</v>
      </c>
      <c r="Q146" s="111">
        <v>1</v>
      </c>
      <c r="R146" s="111"/>
      <c r="S146" s="111"/>
    </row>
    <row r="147" spans="1:20" ht="15.6">
      <c r="A147" s="110" t="s">
        <v>262</v>
      </c>
      <c r="B147" s="111" t="s">
        <v>232</v>
      </c>
      <c r="C147" s="112" t="s">
        <v>228</v>
      </c>
      <c r="D147" s="113" t="s">
        <v>236</v>
      </c>
      <c r="E147" s="114" t="s">
        <v>15</v>
      </c>
      <c r="F147" s="115" t="s">
        <v>16</v>
      </c>
      <c r="G147" s="116">
        <v>5.77</v>
      </c>
      <c r="H147" s="126">
        <v>8.5</v>
      </c>
      <c r="I147" s="111">
        <v>1</v>
      </c>
      <c r="J147" s="117">
        <f t="shared" si="79"/>
        <v>4.9044999999999991E-2</v>
      </c>
      <c r="K147" s="118"/>
      <c r="L147" s="111">
        <v>1</v>
      </c>
      <c r="M147" s="117">
        <f t="shared" si="80"/>
        <v>4.9044999999999991E-2</v>
      </c>
      <c r="N147" s="119">
        <f t="shared" si="81"/>
        <v>0</v>
      </c>
      <c r="O147" s="120">
        <f t="shared" si="82"/>
        <v>0</v>
      </c>
      <c r="P147" s="130">
        <v>6.3</v>
      </c>
      <c r="Q147" s="111">
        <v>1</v>
      </c>
      <c r="R147" s="111"/>
      <c r="S147" s="111"/>
    </row>
    <row r="148" spans="1:20" ht="15.6">
      <c r="A148" s="110" t="s">
        <v>262</v>
      </c>
      <c r="B148" s="111" t="s">
        <v>232</v>
      </c>
      <c r="C148" s="112" t="s">
        <v>228</v>
      </c>
      <c r="D148" s="113" t="s">
        <v>236</v>
      </c>
      <c r="E148" s="114" t="s">
        <v>15</v>
      </c>
      <c r="F148" s="115" t="s">
        <v>16</v>
      </c>
      <c r="G148" s="116">
        <v>5.77</v>
      </c>
      <c r="H148" s="126">
        <v>9</v>
      </c>
      <c r="I148" s="111">
        <v>3</v>
      </c>
      <c r="J148" s="117">
        <f t="shared" si="79"/>
        <v>0.15578999999999996</v>
      </c>
      <c r="K148" s="118"/>
      <c r="L148" s="111">
        <v>3</v>
      </c>
      <c r="M148" s="117">
        <f t="shared" si="80"/>
        <v>0.15578999999999998</v>
      </c>
      <c r="N148" s="119">
        <f t="shared" si="81"/>
        <v>0</v>
      </c>
      <c r="O148" s="120">
        <f t="shared" si="82"/>
        <v>0</v>
      </c>
      <c r="P148" s="130"/>
      <c r="Q148" s="111"/>
      <c r="R148" s="111">
        <v>7.1</v>
      </c>
      <c r="S148" s="45">
        <v>3</v>
      </c>
      <c r="T148" s="213" t="s">
        <v>739</v>
      </c>
    </row>
    <row r="149" spans="1:20" ht="15.6">
      <c r="A149" s="110" t="s">
        <v>262</v>
      </c>
      <c r="B149" s="111" t="s">
        <v>232</v>
      </c>
      <c r="C149" s="112" t="s">
        <v>228</v>
      </c>
      <c r="D149" s="113" t="s">
        <v>236</v>
      </c>
      <c r="E149" s="114" t="s">
        <v>15</v>
      </c>
      <c r="F149" s="115" t="s">
        <v>16</v>
      </c>
      <c r="G149" s="116">
        <v>5.77</v>
      </c>
      <c r="H149" s="126">
        <v>9.5</v>
      </c>
      <c r="I149" s="111">
        <v>1</v>
      </c>
      <c r="J149" s="117">
        <f t="shared" si="79"/>
        <v>5.4814999999999996E-2</v>
      </c>
      <c r="K149" s="118"/>
      <c r="L149" s="111">
        <v>1</v>
      </c>
      <c r="M149" s="117">
        <f t="shared" si="80"/>
        <v>5.4814999999999996E-2</v>
      </c>
      <c r="N149" s="119">
        <f t="shared" si="81"/>
        <v>0</v>
      </c>
      <c r="O149" s="120">
        <f t="shared" si="82"/>
        <v>0</v>
      </c>
      <c r="P149" s="130"/>
      <c r="Q149" s="111"/>
      <c r="R149" s="111">
        <v>7.1</v>
      </c>
      <c r="S149" s="45">
        <v>1</v>
      </c>
      <c r="T149" s="213" t="s">
        <v>739</v>
      </c>
    </row>
    <row r="150" spans="1:20">
      <c r="I150" s="6">
        <f>SUM(I110:I149)</f>
        <v>2167</v>
      </c>
      <c r="J150" s="5">
        <f>SUM(J110:J149)</f>
        <v>131.98730749999993</v>
      </c>
      <c r="L150" s="6">
        <f>SUM(L110:L149)</f>
        <v>2166</v>
      </c>
      <c r="M150" s="5">
        <f>SUM(M110:M149)</f>
        <v>131.92672249999995</v>
      </c>
      <c r="N150" s="78">
        <f>SUM(N110:N149)</f>
        <v>1</v>
      </c>
      <c r="O150" s="128">
        <f>SUM(O110:O149)</f>
        <v>6.0584999999999993E-2</v>
      </c>
      <c r="S150" s="78">
        <f>SUM(S110:S149)</f>
        <v>37</v>
      </c>
    </row>
    <row r="152" spans="1:20" ht="15.6">
      <c r="A152" s="110" t="s">
        <v>391</v>
      </c>
      <c r="B152" s="111" t="s">
        <v>227</v>
      </c>
      <c r="C152" s="112" t="s">
        <v>228</v>
      </c>
      <c r="D152" s="113" t="s">
        <v>390</v>
      </c>
      <c r="E152" s="114" t="s">
        <v>14</v>
      </c>
      <c r="F152" s="115" t="s">
        <v>16</v>
      </c>
      <c r="G152" s="116">
        <v>5.77</v>
      </c>
      <c r="H152" s="125">
        <v>6.95</v>
      </c>
      <c r="I152" s="111">
        <f>50+50+50+51+49+49+50+18+48+52+57+47+54+57</f>
        <v>682</v>
      </c>
      <c r="J152" s="117">
        <f t="shared" ref="J152" si="87">H152*G152*I152/1000</f>
        <v>27.349223000000002</v>
      </c>
      <c r="K152" s="118"/>
      <c r="L152" s="111">
        <v>682</v>
      </c>
      <c r="M152" s="117">
        <f t="shared" ref="M152" si="88">H152*L152*G152/1000</f>
        <v>27.349223000000002</v>
      </c>
      <c r="N152" s="119">
        <f t="shared" ref="N152" si="89">I152-L152</f>
        <v>0</v>
      </c>
      <c r="O152" s="120">
        <f t="shared" ref="O152" si="90">H152*N152*G152/1000</f>
        <v>0</v>
      </c>
      <c r="P152" s="130"/>
      <c r="Q152" s="111"/>
      <c r="R152" s="111"/>
      <c r="S152" s="111"/>
    </row>
    <row r="153" spans="1:20" ht="15.6">
      <c r="A153" s="110" t="s">
        <v>391</v>
      </c>
      <c r="B153" s="111" t="s">
        <v>227</v>
      </c>
      <c r="C153" s="112" t="s">
        <v>228</v>
      </c>
      <c r="D153" s="113" t="s">
        <v>390</v>
      </c>
      <c r="E153" s="114" t="s">
        <v>14</v>
      </c>
      <c r="F153" s="115" t="s">
        <v>16</v>
      </c>
      <c r="G153" s="116">
        <v>5.77</v>
      </c>
      <c r="H153" s="125">
        <v>7.1</v>
      </c>
      <c r="I153" s="111">
        <v>4</v>
      </c>
      <c r="J153" s="117">
        <f t="shared" ref="J153:J165" si="91">H153*G153*I153/1000</f>
        <v>0.16386799999999996</v>
      </c>
      <c r="K153" s="118"/>
      <c r="L153" s="111">
        <f>3+1</f>
        <v>4</v>
      </c>
      <c r="M153" s="117">
        <f t="shared" ref="M153:M165" si="92">H153*L153*G153/1000</f>
        <v>0.16386799999999996</v>
      </c>
      <c r="N153" s="119">
        <f t="shared" ref="N153:N165" si="93">I153-L153</f>
        <v>0</v>
      </c>
      <c r="O153" s="120">
        <f t="shared" ref="O153:O165" si="94">H153*N153*G153/1000</f>
        <v>0</v>
      </c>
      <c r="P153" s="130">
        <v>6.95</v>
      </c>
      <c r="Q153" s="111">
        <v>1</v>
      </c>
      <c r="R153" s="111"/>
      <c r="S153" s="111"/>
    </row>
    <row r="154" spans="1:20" ht="15.6">
      <c r="A154" s="110" t="s">
        <v>391</v>
      </c>
      <c r="B154" s="111" t="s">
        <v>227</v>
      </c>
      <c r="C154" s="112" t="s">
        <v>228</v>
      </c>
      <c r="D154" s="113" t="s">
        <v>390</v>
      </c>
      <c r="E154" s="114" t="s">
        <v>14</v>
      </c>
      <c r="F154" s="115" t="s">
        <v>16</v>
      </c>
      <c r="G154" s="116">
        <v>5.77</v>
      </c>
      <c r="H154" s="125">
        <v>11</v>
      </c>
      <c r="I154" s="111">
        <v>40</v>
      </c>
      <c r="J154" s="117">
        <f t="shared" si="91"/>
        <v>2.5388000000000002</v>
      </c>
      <c r="K154" s="118"/>
      <c r="L154" s="111">
        <f>26+14</f>
        <v>40</v>
      </c>
      <c r="M154" s="117">
        <f t="shared" si="92"/>
        <v>2.5387999999999997</v>
      </c>
      <c r="N154" s="119">
        <f t="shared" si="93"/>
        <v>0</v>
      </c>
      <c r="O154" s="120">
        <f t="shared" si="94"/>
        <v>0</v>
      </c>
      <c r="P154" s="130"/>
      <c r="Q154" s="111"/>
      <c r="R154" s="111"/>
      <c r="S154" s="111"/>
    </row>
    <row r="155" spans="1:20" ht="15.6">
      <c r="A155" s="110" t="s">
        <v>391</v>
      </c>
      <c r="B155" s="111" t="s">
        <v>227</v>
      </c>
      <c r="C155" s="112" t="s">
        <v>228</v>
      </c>
      <c r="D155" s="113" t="s">
        <v>390</v>
      </c>
      <c r="E155" s="114" t="s">
        <v>14</v>
      </c>
      <c r="F155" s="115" t="s">
        <v>16</v>
      </c>
      <c r="G155" s="116">
        <v>5.77</v>
      </c>
      <c r="H155" s="125">
        <v>11</v>
      </c>
      <c r="I155" s="111">
        <f>26+40</f>
        <v>66</v>
      </c>
      <c r="J155" s="117">
        <f t="shared" si="91"/>
        <v>4.1890199999999993</v>
      </c>
      <c r="K155" s="118"/>
      <c r="L155" s="111">
        <f>66+12</f>
        <v>78</v>
      </c>
      <c r="M155" s="117">
        <f t="shared" si="92"/>
        <v>4.9506600000000001</v>
      </c>
      <c r="N155" s="228">
        <f t="shared" si="93"/>
        <v>-12</v>
      </c>
      <c r="O155" s="229">
        <f t="shared" si="94"/>
        <v>-0.76163999999999998</v>
      </c>
      <c r="P155" s="399" t="s">
        <v>393</v>
      </c>
      <c r="Q155" s="400"/>
      <c r="R155" s="400"/>
      <c r="S155" s="111"/>
    </row>
    <row r="156" spans="1:20" ht="15.6">
      <c r="A156" s="110" t="s">
        <v>391</v>
      </c>
      <c r="B156" s="111" t="s">
        <v>227</v>
      </c>
      <c r="C156" s="112" t="s">
        <v>228</v>
      </c>
      <c r="D156" s="113" t="s">
        <v>390</v>
      </c>
      <c r="E156" s="114" t="s">
        <v>14</v>
      </c>
      <c r="F156" s="115" t="s">
        <v>16</v>
      </c>
      <c r="G156" s="116">
        <v>5.77</v>
      </c>
      <c r="H156" s="125">
        <v>12</v>
      </c>
      <c r="I156" s="111">
        <f>20+16</f>
        <v>36</v>
      </c>
      <c r="J156" s="117">
        <f t="shared" si="91"/>
        <v>2.4926399999999997</v>
      </c>
      <c r="K156" s="118"/>
      <c r="L156" s="111">
        <f>35+1</f>
        <v>36</v>
      </c>
      <c r="M156" s="117">
        <f t="shared" si="92"/>
        <v>2.4926399999999997</v>
      </c>
      <c r="N156" s="119">
        <f t="shared" si="93"/>
        <v>0</v>
      </c>
      <c r="O156" s="120">
        <f t="shared" si="94"/>
        <v>0</v>
      </c>
      <c r="P156" s="130">
        <v>11</v>
      </c>
      <c r="Q156" s="111">
        <v>1</v>
      </c>
      <c r="R156" s="111"/>
      <c r="S156" s="111"/>
    </row>
    <row r="157" spans="1:20" ht="15.6">
      <c r="A157" s="110" t="s">
        <v>391</v>
      </c>
      <c r="B157" s="111" t="s">
        <v>227</v>
      </c>
      <c r="C157" s="112" t="s">
        <v>228</v>
      </c>
      <c r="D157" s="113" t="s">
        <v>390</v>
      </c>
      <c r="E157" s="114" t="s">
        <v>14</v>
      </c>
      <c r="F157" s="115" t="s">
        <v>16</v>
      </c>
      <c r="G157" s="116">
        <v>5.77</v>
      </c>
      <c r="H157" s="125">
        <v>6.5</v>
      </c>
      <c r="I157" s="111">
        <v>12</v>
      </c>
      <c r="J157" s="117">
        <f t="shared" si="91"/>
        <v>0.45005999999999996</v>
      </c>
      <c r="K157" s="118"/>
      <c r="L157" s="111">
        <v>12</v>
      </c>
      <c r="M157" s="117">
        <f t="shared" si="92"/>
        <v>0.45005999999999996</v>
      </c>
      <c r="N157" s="119">
        <f t="shared" si="93"/>
        <v>0</v>
      </c>
      <c r="O157" s="120">
        <f t="shared" si="94"/>
        <v>0</v>
      </c>
      <c r="P157" s="130"/>
      <c r="Q157" s="111"/>
      <c r="R157" s="111"/>
      <c r="S157" s="111"/>
    </row>
    <row r="158" spans="1:20" ht="15.6">
      <c r="A158" s="110" t="s">
        <v>391</v>
      </c>
      <c r="B158" s="111" t="s">
        <v>227</v>
      </c>
      <c r="C158" s="112" t="s">
        <v>228</v>
      </c>
      <c r="D158" s="113" t="s">
        <v>390</v>
      </c>
      <c r="E158" s="114" t="s">
        <v>14</v>
      </c>
      <c r="F158" s="115" t="s">
        <v>16</v>
      </c>
      <c r="G158" s="116">
        <v>5.77</v>
      </c>
      <c r="H158" s="125">
        <v>6</v>
      </c>
      <c r="I158" s="111">
        <v>6</v>
      </c>
      <c r="J158" s="117">
        <f t="shared" si="91"/>
        <v>0.20771999999999996</v>
      </c>
      <c r="K158" s="118"/>
      <c r="L158" s="111">
        <v>6</v>
      </c>
      <c r="M158" s="117">
        <f t="shared" si="92"/>
        <v>0.20771999999999996</v>
      </c>
      <c r="N158" s="119">
        <f t="shared" si="93"/>
        <v>0</v>
      </c>
      <c r="O158" s="120">
        <f t="shared" si="94"/>
        <v>0</v>
      </c>
      <c r="P158" s="130"/>
      <c r="Q158" s="111"/>
      <c r="R158" s="111"/>
      <c r="S158" s="111"/>
    </row>
    <row r="159" spans="1:20" ht="15.6">
      <c r="A159" s="110" t="s">
        <v>391</v>
      </c>
      <c r="B159" s="111" t="s">
        <v>227</v>
      </c>
      <c r="C159" s="112" t="s">
        <v>228</v>
      </c>
      <c r="D159" s="113" t="s">
        <v>390</v>
      </c>
      <c r="E159" s="114" t="s">
        <v>14</v>
      </c>
      <c r="F159" s="115" t="s">
        <v>16</v>
      </c>
      <c r="G159" s="116">
        <v>5.77</v>
      </c>
      <c r="H159" s="125">
        <v>5.7</v>
      </c>
      <c r="I159" s="111">
        <v>1</v>
      </c>
      <c r="J159" s="117">
        <f t="shared" si="91"/>
        <v>3.2888999999999995E-2</v>
      </c>
      <c r="K159" s="118"/>
      <c r="L159" s="111"/>
      <c r="M159" s="117">
        <f t="shared" si="92"/>
        <v>0</v>
      </c>
      <c r="N159" s="119">
        <f t="shared" si="93"/>
        <v>1</v>
      </c>
      <c r="O159" s="120">
        <f t="shared" si="94"/>
        <v>3.2888999999999995E-2</v>
      </c>
      <c r="P159" s="130"/>
      <c r="Q159" s="111"/>
      <c r="R159" s="111"/>
      <c r="S159" s="111"/>
    </row>
    <row r="160" spans="1:20" ht="15.6">
      <c r="A160" s="110" t="s">
        <v>391</v>
      </c>
      <c r="B160" s="111" t="s">
        <v>227</v>
      </c>
      <c r="C160" s="112" t="s">
        <v>228</v>
      </c>
      <c r="D160" s="113" t="s">
        <v>390</v>
      </c>
      <c r="E160" s="114" t="s">
        <v>14</v>
      </c>
      <c r="F160" s="115" t="s">
        <v>16</v>
      </c>
      <c r="G160" s="116">
        <v>5.77</v>
      </c>
      <c r="H160" s="125">
        <v>10.5</v>
      </c>
      <c r="I160" s="111">
        <v>4</v>
      </c>
      <c r="J160" s="117">
        <f t="shared" si="91"/>
        <v>0.24233999999999997</v>
      </c>
      <c r="K160" s="118"/>
      <c r="L160" s="111">
        <v>4</v>
      </c>
      <c r="M160" s="117">
        <f t="shared" si="92"/>
        <v>0.24233999999999997</v>
      </c>
      <c r="N160" s="119">
        <f t="shared" si="93"/>
        <v>0</v>
      </c>
      <c r="O160" s="120">
        <f t="shared" si="94"/>
        <v>0</v>
      </c>
      <c r="P160" s="130">
        <v>6.95</v>
      </c>
      <c r="Q160" s="111">
        <v>4</v>
      </c>
      <c r="R160" s="111"/>
      <c r="S160" s="111"/>
    </row>
    <row r="161" spans="1:19" ht="15.6">
      <c r="A161" s="110" t="s">
        <v>391</v>
      </c>
      <c r="B161" s="111" t="s">
        <v>227</v>
      </c>
      <c r="C161" s="112" t="s">
        <v>228</v>
      </c>
      <c r="D161" s="113" t="s">
        <v>390</v>
      </c>
      <c r="E161" s="114" t="s">
        <v>14</v>
      </c>
      <c r="F161" s="115" t="s">
        <v>16</v>
      </c>
      <c r="G161" s="116">
        <v>5.77</v>
      </c>
      <c r="H161" s="125">
        <v>10</v>
      </c>
      <c r="I161" s="111">
        <v>3</v>
      </c>
      <c r="J161" s="117">
        <f t="shared" si="91"/>
        <v>0.1731</v>
      </c>
      <c r="K161" s="118"/>
      <c r="L161" s="111">
        <v>3</v>
      </c>
      <c r="M161" s="117">
        <f t="shared" si="92"/>
        <v>0.1731</v>
      </c>
      <c r="N161" s="119">
        <f t="shared" si="93"/>
        <v>0</v>
      </c>
      <c r="O161" s="120">
        <f t="shared" si="94"/>
        <v>0</v>
      </c>
      <c r="P161" s="130">
        <v>6.95</v>
      </c>
      <c r="Q161" s="111">
        <v>3</v>
      </c>
      <c r="R161" s="111"/>
      <c r="S161" s="111"/>
    </row>
    <row r="162" spans="1:19" ht="15.6">
      <c r="A162" s="110" t="s">
        <v>391</v>
      </c>
      <c r="B162" s="111" t="s">
        <v>227</v>
      </c>
      <c r="C162" s="112" t="s">
        <v>228</v>
      </c>
      <c r="D162" s="113" t="s">
        <v>390</v>
      </c>
      <c r="E162" s="114" t="s">
        <v>14</v>
      </c>
      <c r="F162" s="115" t="s">
        <v>16</v>
      </c>
      <c r="G162" s="116">
        <v>5.77</v>
      </c>
      <c r="H162" s="125">
        <v>9.6999999999999993</v>
      </c>
      <c r="I162" s="111">
        <v>1</v>
      </c>
      <c r="J162" s="117">
        <f t="shared" si="91"/>
        <v>5.5968999999999991E-2</v>
      </c>
      <c r="K162" s="118"/>
      <c r="L162" s="111">
        <v>1</v>
      </c>
      <c r="M162" s="117">
        <f t="shared" si="92"/>
        <v>5.5968999999999991E-2</v>
      </c>
      <c r="N162" s="119">
        <f t="shared" si="93"/>
        <v>0</v>
      </c>
      <c r="O162" s="120">
        <f t="shared" si="94"/>
        <v>0</v>
      </c>
      <c r="P162" s="130">
        <v>6.95</v>
      </c>
      <c r="Q162" s="111">
        <v>1</v>
      </c>
      <c r="R162" s="111"/>
      <c r="S162" s="111"/>
    </row>
    <row r="163" spans="1:19" ht="15.6">
      <c r="A163" s="110" t="s">
        <v>391</v>
      </c>
      <c r="B163" s="111" t="s">
        <v>227</v>
      </c>
      <c r="C163" s="112" t="s">
        <v>228</v>
      </c>
      <c r="D163" s="113" t="s">
        <v>390</v>
      </c>
      <c r="E163" s="114" t="s">
        <v>14</v>
      </c>
      <c r="F163" s="115" t="s">
        <v>16</v>
      </c>
      <c r="G163" s="116">
        <v>5.77</v>
      </c>
      <c r="H163" s="125">
        <v>9</v>
      </c>
      <c r="I163" s="111">
        <v>4</v>
      </c>
      <c r="J163" s="117">
        <f t="shared" si="91"/>
        <v>0.20771999999999996</v>
      </c>
      <c r="K163" s="118"/>
      <c r="L163" s="111">
        <v>4</v>
      </c>
      <c r="M163" s="117">
        <f t="shared" si="92"/>
        <v>0.20771999999999996</v>
      </c>
      <c r="N163" s="119">
        <f t="shared" si="93"/>
        <v>0</v>
      </c>
      <c r="O163" s="120">
        <f t="shared" si="94"/>
        <v>0</v>
      </c>
      <c r="P163" s="130">
        <v>6.95</v>
      </c>
      <c r="Q163" s="111">
        <v>4</v>
      </c>
      <c r="R163" s="111"/>
      <c r="S163" s="111"/>
    </row>
    <row r="164" spans="1:19" ht="15.6">
      <c r="A164" s="110" t="s">
        <v>391</v>
      </c>
      <c r="B164" s="111" t="s">
        <v>227</v>
      </c>
      <c r="C164" s="112" t="s">
        <v>228</v>
      </c>
      <c r="D164" s="113" t="s">
        <v>390</v>
      </c>
      <c r="E164" s="114" t="s">
        <v>14</v>
      </c>
      <c r="F164" s="115" t="s">
        <v>16</v>
      </c>
      <c r="G164" s="116">
        <v>5.77</v>
      </c>
      <c r="H164" s="125">
        <v>6.5</v>
      </c>
      <c r="I164" s="111">
        <v>2</v>
      </c>
      <c r="J164" s="117">
        <f t="shared" si="91"/>
        <v>7.5009999999999993E-2</v>
      </c>
      <c r="K164" s="118"/>
      <c r="L164" s="111"/>
      <c r="M164" s="117">
        <f t="shared" si="92"/>
        <v>0</v>
      </c>
      <c r="N164" s="119">
        <f t="shared" si="93"/>
        <v>2</v>
      </c>
      <c r="O164" s="120">
        <f t="shared" si="94"/>
        <v>7.5009999999999993E-2</v>
      </c>
      <c r="P164" s="130"/>
      <c r="Q164" s="111"/>
      <c r="R164" s="111"/>
      <c r="S164" s="111"/>
    </row>
    <row r="165" spans="1:19" ht="15.6">
      <c r="A165" s="110" t="s">
        <v>391</v>
      </c>
      <c r="B165" s="111" t="s">
        <v>227</v>
      </c>
      <c r="C165" s="112" t="s">
        <v>228</v>
      </c>
      <c r="D165" s="113" t="s">
        <v>390</v>
      </c>
      <c r="E165" s="114" t="s">
        <v>14</v>
      </c>
      <c r="F165" s="115" t="s">
        <v>16</v>
      </c>
      <c r="G165" s="116">
        <v>5.77</v>
      </c>
      <c r="H165" s="125">
        <v>6.6</v>
      </c>
      <c r="I165" s="111">
        <v>1</v>
      </c>
      <c r="J165" s="117">
        <f t="shared" si="91"/>
        <v>3.8081999999999991E-2</v>
      </c>
      <c r="K165" s="118"/>
      <c r="L165" s="111"/>
      <c r="M165" s="117">
        <f t="shared" si="92"/>
        <v>0</v>
      </c>
      <c r="N165" s="119">
        <f t="shared" si="93"/>
        <v>1</v>
      </c>
      <c r="O165" s="120">
        <f t="shared" si="94"/>
        <v>3.8081999999999991E-2</v>
      </c>
      <c r="P165" s="130"/>
      <c r="Q165" s="111"/>
      <c r="R165" s="111"/>
      <c r="S165" s="111"/>
    </row>
    <row r="166" spans="1:19" ht="15.6">
      <c r="A166" s="110" t="s">
        <v>391</v>
      </c>
      <c r="B166" s="111" t="s">
        <v>227</v>
      </c>
      <c r="C166" s="112" t="s">
        <v>228</v>
      </c>
      <c r="D166" s="113" t="s">
        <v>390</v>
      </c>
      <c r="E166" s="114" t="s">
        <v>14</v>
      </c>
      <c r="F166" s="115" t="s">
        <v>16</v>
      </c>
      <c r="G166" s="116">
        <v>5.77</v>
      </c>
      <c r="H166" s="126">
        <v>5.7</v>
      </c>
      <c r="I166" s="111">
        <v>1</v>
      </c>
      <c r="J166" s="117">
        <f t="shared" ref="J166:J175" si="95">H166*G166*I166/1000</f>
        <v>3.2888999999999995E-2</v>
      </c>
      <c r="K166" s="118"/>
      <c r="L166" s="111"/>
      <c r="M166" s="117">
        <f t="shared" ref="M166:M175" si="96">H166*L166*G166/1000</f>
        <v>0</v>
      </c>
      <c r="N166" s="119">
        <f t="shared" ref="N166:N175" si="97">I166-L166</f>
        <v>1</v>
      </c>
      <c r="O166" s="120">
        <f t="shared" ref="O166:O175" si="98">H166*N166*G166/1000</f>
        <v>3.2888999999999995E-2</v>
      </c>
      <c r="P166" s="130"/>
      <c r="Q166" s="111"/>
      <c r="R166" s="111"/>
      <c r="S166" s="111"/>
    </row>
    <row r="167" spans="1:19" ht="15.6">
      <c r="A167" s="110" t="s">
        <v>391</v>
      </c>
      <c r="B167" s="111" t="s">
        <v>227</v>
      </c>
      <c r="C167" s="112" t="s">
        <v>228</v>
      </c>
      <c r="D167" s="113" t="s">
        <v>390</v>
      </c>
      <c r="E167" s="114" t="s">
        <v>14</v>
      </c>
      <c r="F167" s="115" t="s">
        <v>16</v>
      </c>
      <c r="G167" s="116">
        <v>5.77</v>
      </c>
      <c r="H167" s="126">
        <v>6</v>
      </c>
      <c r="I167" s="111">
        <v>1</v>
      </c>
      <c r="J167" s="117">
        <f t="shared" si="95"/>
        <v>3.4619999999999998E-2</v>
      </c>
      <c r="K167" s="118"/>
      <c r="L167" s="111"/>
      <c r="M167" s="117">
        <f t="shared" si="96"/>
        <v>0</v>
      </c>
      <c r="N167" s="119">
        <f t="shared" si="97"/>
        <v>1</v>
      </c>
      <c r="O167" s="120">
        <f t="shared" si="98"/>
        <v>3.4619999999999998E-2</v>
      </c>
      <c r="P167" s="130"/>
      <c r="Q167" s="111"/>
      <c r="R167" s="111"/>
      <c r="S167" s="111"/>
    </row>
    <row r="168" spans="1:19" ht="15.6">
      <c r="A168" s="110" t="s">
        <v>391</v>
      </c>
      <c r="B168" s="111" t="s">
        <v>227</v>
      </c>
      <c r="C168" s="112" t="s">
        <v>228</v>
      </c>
      <c r="D168" s="113" t="s">
        <v>390</v>
      </c>
      <c r="E168" s="114" t="s">
        <v>14</v>
      </c>
      <c r="F168" s="115" t="s">
        <v>16</v>
      </c>
      <c r="G168" s="116">
        <v>5.77</v>
      </c>
      <c r="H168" s="126">
        <v>6.5</v>
      </c>
      <c r="I168" s="111">
        <v>6</v>
      </c>
      <c r="J168" s="117">
        <f t="shared" si="95"/>
        <v>0.22502999999999998</v>
      </c>
      <c r="K168" s="118"/>
      <c r="L168" s="111">
        <v>6</v>
      </c>
      <c r="M168" s="117">
        <f t="shared" si="96"/>
        <v>0.22502999999999998</v>
      </c>
      <c r="N168" s="119">
        <f t="shared" si="97"/>
        <v>0</v>
      </c>
      <c r="O168" s="120">
        <f t="shared" si="98"/>
        <v>0</v>
      </c>
      <c r="P168" s="130"/>
      <c r="Q168" s="111"/>
      <c r="R168" s="111"/>
      <c r="S168" s="111"/>
    </row>
    <row r="169" spans="1:19" ht="15.6">
      <c r="A169" s="110" t="s">
        <v>391</v>
      </c>
      <c r="B169" s="111" t="s">
        <v>227</v>
      </c>
      <c r="C169" s="112" t="s">
        <v>228</v>
      </c>
      <c r="D169" s="113" t="s">
        <v>390</v>
      </c>
      <c r="E169" s="114" t="s">
        <v>14</v>
      </c>
      <c r="F169" s="115" t="s">
        <v>16</v>
      </c>
      <c r="G169" s="116">
        <v>5.77</v>
      </c>
      <c r="H169" s="126">
        <v>8.8000000000000007</v>
      </c>
      <c r="I169" s="111">
        <v>1</v>
      </c>
      <c r="J169" s="117">
        <f t="shared" si="95"/>
        <v>5.0776000000000002E-2</v>
      </c>
      <c r="K169" s="118"/>
      <c r="L169" s="111">
        <v>1</v>
      </c>
      <c r="M169" s="117">
        <f t="shared" si="96"/>
        <v>5.0776000000000002E-2</v>
      </c>
      <c r="N169" s="119">
        <f t="shared" si="97"/>
        <v>0</v>
      </c>
      <c r="O169" s="120">
        <f t="shared" si="98"/>
        <v>0</v>
      </c>
      <c r="P169" s="130">
        <v>6.95</v>
      </c>
      <c r="Q169" s="111">
        <v>1</v>
      </c>
      <c r="R169" s="111"/>
      <c r="S169" s="111"/>
    </row>
    <row r="170" spans="1:19" ht="15.6">
      <c r="A170" s="110" t="s">
        <v>391</v>
      </c>
      <c r="B170" s="111" t="s">
        <v>227</v>
      </c>
      <c r="C170" s="112" t="s">
        <v>228</v>
      </c>
      <c r="D170" s="113" t="s">
        <v>390</v>
      </c>
      <c r="E170" s="114" t="s">
        <v>14</v>
      </c>
      <c r="F170" s="115" t="s">
        <v>16</v>
      </c>
      <c r="G170" s="116">
        <v>5.77</v>
      </c>
      <c r="H170" s="126">
        <v>9</v>
      </c>
      <c r="I170" s="111">
        <v>1</v>
      </c>
      <c r="J170" s="117">
        <f t="shared" si="95"/>
        <v>5.192999999999999E-2</v>
      </c>
      <c r="K170" s="118"/>
      <c r="L170" s="111">
        <v>1</v>
      </c>
      <c r="M170" s="117">
        <f t="shared" si="96"/>
        <v>5.192999999999999E-2</v>
      </c>
      <c r="N170" s="119">
        <f t="shared" si="97"/>
        <v>0</v>
      </c>
      <c r="O170" s="120">
        <f t="shared" si="98"/>
        <v>0</v>
      </c>
      <c r="P170" s="130">
        <v>6.95</v>
      </c>
      <c r="Q170" s="111">
        <v>1</v>
      </c>
      <c r="R170" s="111"/>
      <c r="S170" s="111"/>
    </row>
    <row r="171" spans="1:19" ht="15.6">
      <c r="A171" s="110" t="s">
        <v>391</v>
      </c>
      <c r="B171" s="111" t="s">
        <v>227</v>
      </c>
      <c r="C171" s="112" t="s">
        <v>228</v>
      </c>
      <c r="D171" s="113" t="s">
        <v>390</v>
      </c>
      <c r="E171" s="114" t="s">
        <v>14</v>
      </c>
      <c r="F171" s="115" t="s">
        <v>16</v>
      </c>
      <c r="G171" s="116">
        <v>5.77</v>
      </c>
      <c r="H171" s="126">
        <v>9.5</v>
      </c>
      <c r="I171" s="111">
        <v>1</v>
      </c>
      <c r="J171" s="117">
        <f t="shared" si="95"/>
        <v>5.4814999999999996E-2</v>
      </c>
      <c r="K171" s="118"/>
      <c r="L171" s="111">
        <v>1</v>
      </c>
      <c r="M171" s="117">
        <f t="shared" si="96"/>
        <v>5.4814999999999996E-2</v>
      </c>
      <c r="N171" s="119">
        <f t="shared" si="97"/>
        <v>0</v>
      </c>
      <c r="O171" s="120">
        <f t="shared" si="98"/>
        <v>0</v>
      </c>
      <c r="P171" s="130">
        <v>6.95</v>
      </c>
      <c r="Q171" s="111">
        <v>1</v>
      </c>
      <c r="R171" s="111"/>
      <c r="S171" s="111"/>
    </row>
    <row r="172" spans="1:19" ht="15.6">
      <c r="A172" s="110" t="s">
        <v>391</v>
      </c>
      <c r="B172" s="111" t="s">
        <v>227</v>
      </c>
      <c r="C172" s="112" t="s">
        <v>228</v>
      </c>
      <c r="D172" s="113" t="s">
        <v>390</v>
      </c>
      <c r="E172" s="114" t="s">
        <v>14</v>
      </c>
      <c r="F172" s="115" t="s">
        <v>16</v>
      </c>
      <c r="G172" s="116">
        <v>5.77</v>
      </c>
      <c r="H172" s="126">
        <v>9.6999999999999993</v>
      </c>
      <c r="I172" s="111">
        <v>1</v>
      </c>
      <c r="J172" s="117">
        <f t="shared" si="95"/>
        <v>5.5968999999999991E-2</v>
      </c>
      <c r="K172" s="118"/>
      <c r="L172" s="111">
        <v>1</v>
      </c>
      <c r="M172" s="117">
        <f t="shared" si="96"/>
        <v>5.5968999999999991E-2</v>
      </c>
      <c r="N172" s="119">
        <f t="shared" si="97"/>
        <v>0</v>
      </c>
      <c r="O172" s="120">
        <f t="shared" si="98"/>
        <v>0</v>
      </c>
      <c r="P172" s="130">
        <v>6.95</v>
      </c>
      <c r="Q172" s="111">
        <v>1</v>
      </c>
      <c r="R172" s="111"/>
      <c r="S172" s="111"/>
    </row>
    <row r="173" spans="1:19" ht="15.6">
      <c r="A173" s="110" t="s">
        <v>391</v>
      </c>
      <c r="B173" s="111" t="s">
        <v>227</v>
      </c>
      <c r="C173" s="112" t="s">
        <v>228</v>
      </c>
      <c r="D173" s="113" t="s">
        <v>390</v>
      </c>
      <c r="E173" s="114" t="s">
        <v>14</v>
      </c>
      <c r="F173" s="115" t="s">
        <v>16</v>
      </c>
      <c r="G173" s="116">
        <v>5.77</v>
      </c>
      <c r="H173" s="126">
        <v>10.3</v>
      </c>
      <c r="I173" s="111">
        <v>3</v>
      </c>
      <c r="J173" s="117">
        <f t="shared" si="95"/>
        <v>0.17829300000000001</v>
      </c>
      <c r="K173" s="118"/>
      <c r="L173" s="111">
        <v>3</v>
      </c>
      <c r="M173" s="117">
        <f t="shared" si="96"/>
        <v>0.17829300000000001</v>
      </c>
      <c r="N173" s="119">
        <f t="shared" si="97"/>
        <v>0</v>
      </c>
      <c r="O173" s="120">
        <f t="shared" si="98"/>
        <v>0</v>
      </c>
      <c r="P173" s="130">
        <v>6.95</v>
      </c>
      <c r="Q173" s="111">
        <v>3</v>
      </c>
      <c r="R173" s="111"/>
      <c r="S173" s="111"/>
    </row>
    <row r="174" spans="1:19" ht="15.6">
      <c r="A174" s="110" t="s">
        <v>391</v>
      </c>
      <c r="B174" s="111" t="s">
        <v>227</v>
      </c>
      <c r="C174" s="112" t="s">
        <v>228</v>
      </c>
      <c r="D174" s="113" t="s">
        <v>390</v>
      </c>
      <c r="E174" s="114" t="s">
        <v>14</v>
      </c>
      <c r="F174" s="115" t="s">
        <v>16</v>
      </c>
      <c r="G174" s="116">
        <v>5.77</v>
      </c>
      <c r="H174" s="126">
        <v>10.5</v>
      </c>
      <c r="I174" s="111">
        <v>6</v>
      </c>
      <c r="J174" s="117">
        <f t="shared" si="95"/>
        <v>0.36351</v>
      </c>
      <c r="K174" s="118"/>
      <c r="L174" s="111">
        <v>6</v>
      </c>
      <c r="M174" s="117">
        <f t="shared" si="96"/>
        <v>0.36351</v>
      </c>
      <c r="N174" s="119">
        <f t="shared" si="97"/>
        <v>0</v>
      </c>
      <c r="O174" s="120">
        <f t="shared" si="98"/>
        <v>0</v>
      </c>
      <c r="P174" s="130">
        <v>6.95</v>
      </c>
      <c r="Q174" s="111">
        <v>6</v>
      </c>
      <c r="R174" s="111"/>
      <c r="S174" s="111"/>
    </row>
    <row r="175" spans="1:19" ht="15.6">
      <c r="A175" s="110" t="s">
        <v>391</v>
      </c>
      <c r="B175" s="111" t="s">
        <v>227</v>
      </c>
      <c r="C175" s="112" t="s">
        <v>228</v>
      </c>
      <c r="D175" s="113" t="s">
        <v>390</v>
      </c>
      <c r="E175" s="114" t="s">
        <v>14</v>
      </c>
      <c r="F175" s="115" t="s">
        <v>16</v>
      </c>
      <c r="G175" s="116">
        <v>5.77</v>
      </c>
      <c r="H175" s="126">
        <v>11.5</v>
      </c>
      <c r="I175" s="111">
        <v>7</v>
      </c>
      <c r="J175" s="117">
        <f t="shared" si="95"/>
        <v>0.46448499999999993</v>
      </c>
      <c r="K175" s="118"/>
      <c r="L175" s="111">
        <f>3+4</f>
        <v>7</v>
      </c>
      <c r="M175" s="117">
        <f t="shared" si="96"/>
        <v>0.46448499999999998</v>
      </c>
      <c r="N175" s="119">
        <f t="shared" si="97"/>
        <v>0</v>
      </c>
      <c r="O175" s="120">
        <f t="shared" si="98"/>
        <v>0</v>
      </c>
      <c r="P175" s="130">
        <v>11</v>
      </c>
      <c r="Q175" s="111">
        <v>4</v>
      </c>
      <c r="R175" s="111"/>
      <c r="S175" s="111"/>
    </row>
    <row r="176" spans="1:19">
      <c r="I176" s="215">
        <f>SUM(I152:I175)</f>
        <v>890</v>
      </c>
      <c r="J176" s="214">
        <f>SUM(J152:J175)</f>
        <v>39.728757999999985</v>
      </c>
      <c r="L176" s="215">
        <f>SUM(L152:L175)</f>
        <v>896</v>
      </c>
      <c r="M176" s="214">
        <f>SUM(M152:M175)</f>
        <v>40.276907999999992</v>
      </c>
      <c r="N176" s="215">
        <f>SUM(N152:N175)</f>
        <v>-6</v>
      </c>
      <c r="O176" s="214">
        <f>SUM(O152:O175)</f>
        <v>-0.54815000000000014</v>
      </c>
    </row>
    <row r="179" spans="1:20" ht="15.6">
      <c r="A179" s="110" t="s">
        <v>391</v>
      </c>
      <c r="B179" s="111" t="s">
        <v>232</v>
      </c>
      <c r="C179" s="112" t="s">
        <v>228</v>
      </c>
      <c r="D179" s="113" t="s">
        <v>20</v>
      </c>
      <c r="E179" s="114" t="s">
        <v>15</v>
      </c>
      <c r="F179" s="115" t="s">
        <v>18</v>
      </c>
      <c r="G179" s="116">
        <v>6.85</v>
      </c>
      <c r="H179" s="125">
        <v>11.65</v>
      </c>
      <c r="I179" s="111">
        <v>27</v>
      </c>
      <c r="J179" s="117">
        <f t="shared" ref="J179" si="99">H179*G179*I179/1000</f>
        <v>2.1546675</v>
      </c>
      <c r="K179" s="118"/>
      <c r="L179" s="111">
        <v>27</v>
      </c>
      <c r="M179" s="117">
        <f t="shared" ref="M179" si="100">H179*L179*G179/1000</f>
        <v>2.1546675</v>
      </c>
      <c r="N179" s="119">
        <f t="shared" ref="N179" si="101">I179-L179</f>
        <v>0</v>
      </c>
      <c r="O179" s="120">
        <f t="shared" ref="O179" si="102">H179*N179*G179/1000</f>
        <v>0</v>
      </c>
      <c r="P179" s="130"/>
      <c r="Q179" s="111"/>
      <c r="R179" s="111"/>
      <c r="S179" s="111"/>
    </row>
    <row r="180" spans="1:20" ht="15.6">
      <c r="A180" s="110" t="s">
        <v>391</v>
      </c>
      <c r="B180" s="111" t="s">
        <v>232</v>
      </c>
      <c r="C180" s="112" t="s">
        <v>228</v>
      </c>
      <c r="D180" s="113" t="s">
        <v>20</v>
      </c>
      <c r="E180" s="114" t="s">
        <v>15</v>
      </c>
      <c r="F180" s="115" t="s">
        <v>18</v>
      </c>
      <c r="G180" s="116">
        <v>6.85</v>
      </c>
      <c r="H180" s="125">
        <v>11.65</v>
      </c>
      <c r="I180" s="111">
        <v>27</v>
      </c>
      <c r="J180" s="117">
        <f t="shared" ref="J180:J191" si="103">H180*G180*I180/1000</f>
        <v>2.1546675</v>
      </c>
      <c r="K180" s="118"/>
      <c r="L180" s="111">
        <v>27</v>
      </c>
      <c r="M180" s="117">
        <f t="shared" ref="M180:M194" si="104">H180*L180*G180/1000</f>
        <v>2.1546675</v>
      </c>
      <c r="N180" s="119">
        <f t="shared" ref="N180:N194" si="105">I180-L180</f>
        <v>0</v>
      </c>
      <c r="O180" s="120">
        <f t="shared" ref="O180:O191" si="106">H180*N180*G180/1000</f>
        <v>0</v>
      </c>
      <c r="P180" s="130"/>
      <c r="Q180" s="111"/>
      <c r="R180" s="111"/>
      <c r="S180" s="111"/>
    </row>
    <row r="181" spans="1:20" ht="15.6">
      <c r="A181" s="110" t="s">
        <v>391</v>
      </c>
      <c r="B181" s="111" t="s">
        <v>232</v>
      </c>
      <c r="C181" s="112" t="s">
        <v>228</v>
      </c>
      <c r="D181" s="113" t="s">
        <v>20</v>
      </c>
      <c r="E181" s="114" t="s">
        <v>15</v>
      </c>
      <c r="F181" s="115" t="s">
        <v>18</v>
      </c>
      <c r="G181" s="116">
        <v>6.85</v>
      </c>
      <c r="H181" s="125">
        <v>11.65</v>
      </c>
      <c r="I181" s="111">
        <v>43</v>
      </c>
      <c r="J181" s="117">
        <f t="shared" si="103"/>
        <v>3.4315074999999995</v>
      </c>
      <c r="K181" s="118"/>
      <c r="L181" s="111">
        <f>43+9</f>
        <v>52</v>
      </c>
      <c r="M181" s="117">
        <f t="shared" si="104"/>
        <v>4.1497300000000008</v>
      </c>
      <c r="N181" s="228">
        <f t="shared" si="105"/>
        <v>-9</v>
      </c>
      <c r="O181" s="229">
        <f t="shared" si="106"/>
        <v>-0.71822249999999999</v>
      </c>
      <c r="P181" s="405" t="s">
        <v>690</v>
      </c>
      <c r="Q181" s="111"/>
      <c r="R181" s="111"/>
      <c r="S181" s="111"/>
    </row>
    <row r="182" spans="1:20" ht="15.6">
      <c r="A182" s="110" t="s">
        <v>391</v>
      </c>
      <c r="B182" s="111" t="s">
        <v>232</v>
      </c>
      <c r="C182" s="112" t="s">
        <v>228</v>
      </c>
      <c r="D182" s="113" t="s">
        <v>20</v>
      </c>
      <c r="E182" s="114" t="s">
        <v>15</v>
      </c>
      <c r="F182" s="115" t="s">
        <v>18</v>
      </c>
      <c r="G182" s="116">
        <v>6.85</v>
      </c>
      <c r="H182" s="125">
        <v>6</v>
      </c>
      <c r="I182" s="111">
        <v>1</v>
      </c>
      <c r="J182" s="117">
        <f t="shared" si="103"/>
        <v>4.1099999999999998E-2</v>
      </c>
      <c r="K182" s="118"/>
      <c r="L182" s="111">
        <v>1</v>
      </c>
      <c r="M182" s="117">
        <f t="shared" si="104"/>
        <v>4.1099999999999998E-2</v>
      </c>
      <c r="N182" s="119">
        <f t="shared" si="105"/>
        <v>0</v>
      </c>
      <c r="O182" s="120">
        <f t="shared" si="106"/>
        <v>0</v>
      </c>
      <c r="P182" s="130"/>
      <c r="Q182" s="111"/>
      <c r="R182" s="111"/>
      <c r="S182" s="111"/>
    </row>
    <row r="183" spans="1:20" ht="15.6">
      <c r="A183" s="110" t="s">
        <v>391</v>
      </c>
      <c r="B183" s="111" t="s">
        <v>232</v>
      </c>
      <c r="C183" s="112" t="s">
        <v>228</v>
      </c>
      <c r="D183" s="113" t="s">
        <v>20</v>
      </c>
      <c r="E183" s="114" t="s">
        <v>15</v>
      </c>
      <c r="F183" s="115" t="s">
        <v>18</v>
      </c>
      <c r="G183" s="116">
        <v>6.85</v>
      </c>
      <c r="H183" s="125">
        <v>10.5</v>
      </c>
      <c r="I183" s="111">
        <v>3</v>
      </c>
      <c r="J183" s="117">
        <f t="shared" si="103"/>
        <v>0.21577499999999997</v>
      </c>
      <c r="K183" s="118"/>
      <c r="L183" s="111">
        <v>3</v>
      </c>
      <c r="M183" s="117">
        <f t="shared" si="104"/>
        <v>0.21577499999999997</v>
      </c>
      <c r="N183" s="119">
        <f t="shared" si="105"/>
        <v>0</v>
      </c>
      <c r="O183" s="120">
        <f t="shared" si="106"/>
        <v>0</v>
      </c>
      <c r="P183" s="130"/>
      <c r="Q183" s="111"/>
      <c r="R183" s="111"/>
      <c r="S183" s="111"/>
    </row>
    <row r="184" spans="1:20" ht="15.6">
      <c r="A184" s="110" t="s">
        <v>391</v>
      </c>
      <c r="B184" s="111" t="s">
        <v>232</v>
      </c>
      <c r="C184" s="112" t="s">
        <v>228</v>
      </c>
      <c r="D184" s="113" t="s">
        <v>20</v>
      </c>
      <c r="E184" s="114" t="s">
        <v>15</v>
      </c>
      <c r="F184" s="115" t="s">
        <v>18</v>
      </c>
      <c r="G184" s="116">
        <v>6.85</v>
      </c>
      <c r="H184" s="125">
        <v>11.1</v>
      </c>
      <c r="I184" s="111">
        <v>1</v>
      </c>
      <c r="J184" s="117">
        <f t="shared" si="103"/>
        <v>7.6034999999999991E-2</v>
      </c>
      <c r="K184" s="118"/>
      <c r="L184" s="111">
        <v>1</v>
      </c>
      <c r="M184" s="117">
        <f t="shared" si="104"/>
        <v>7.6034999999999991E-2</v>
      </c>
      <c r="N184" s="119">
        <f t="shared" si="105"/>
        <v>0</v>
      </c>
      <c r="O184" s="120">
        <f t="shared" si="106"/>
        <v>0</v>
      </c>
      <c r="P184" s="130"/>
      <c r="Q184" s="111"/>
      <c r="R184" s="130"/>
      <c r="S184" s="45"/>
      <c r="T184" s="213"/>
    </row>
    <row r="185" spans="1:20" ht="15.6">
      <c r="A185" s="110" t="s">
        <v>391</v>
      </c>
      <c r="B185" s="111" t="s">
        <v>232</v>
      </c>
      <c r="C185" s="112" t="s">
        <v>228</v>
      </c>
      <c r="D185" s="113" t="s">
        <v>20</v>
      </c>
      <c r="E185" s="114" t="s">
        <v>15</v>
      </c>
      <c r="F185" s="115" t="s">
        <v>18</v>
      </c>
      <c r="G185" s="116">
        <v>6.85</v>
      </c>
      <c r="H185" s="125">
        <v>11</v>
      </c>
      <c r="I185" s="111">
        <v>3</v>
      </c>
      <c r="J185" s="117">
        <f t="shared" si="103"/>
        <v>0.22604999999999997</v>
      </c>
      <c r="K185" s="118"/>
      <c r="L185" s="111">
        <v>3</v>
      </c>
      <c r="M185" s="117">
        <f t="shared" si="104"/>
        <v>0.22604999999999997</v>
      </c>
      <c r="N185" s="119">
        <f t="shared" si="105"/>
        <v>0</v>
      </c>
      <c r="O185" s="120">
        <f t="shared" si="106"/>
        <v>0</v>
      </c>
      <c r="P185" s="130"/>
      <c r="Q185" s="111"/>
      <c r="R185" s="130"/>
      <c r="S185" s="45"/>
    </row>
    <row r="186" spans="1:20" ht="15.6">
      <c r="A186" s="110" t="s">
        <v>391</v>
      </c>
      <c r="B186" s="111" t="s">
        <v>232</v>
      </c>
      <c r="C186" s="112" t="s">
        <v>228</v>
      </c>
      <c r="D186" s="113" t="s">
        <v>20</v>
      </c>
      <c r="E186" s="114" t="s">
        <v>15</v>
      </c>
      <c r="F186" s="115" t="s">
        <v>18</v>
      </c>
      <c r="G186" s="116">
        <v>6.85</v>
      </c>
      <c r="H186" s="125">
        <v>11.7</v>
      </c>
      <c r="I186" s="111">
        <v>4</v>
      </c>
      <c r="J186" s="117">
        <f t="shared" si="103"/>
        <v>0.32057999999999998</v>
      </c>
      <c r="K186" s="118"/>
      <c r="L186" s="111">
        <v>4</v>
      </c>
      <c r="M186" s="117">
        <f t="shared" si="104"/>
        <v>0.32057999999999998</v>
      </c>
      <c r="N186" s="119">
        <f t="shared" si="105"/>
        <v>0</v>
      </c>
      <c r="O186" s="120">
        <f t="shared" si="106"/>
        <v>0</v>
      </c>
      <c r="P186" s="130">
        <v>11.65</v>
      </c>
      <c r="Q186" s="111">
        <v>4</v>
      </c>
      <c r="R186" s="130"/>
      <c r="S186" s="45"/>
    </row>
    <row r="187" spans="1:20" ht="15.6">
      <c r="A187" s="110" t="s">
        <v>391</v>
      </c>
      <c r="B187" s="111" t="s">
        <v>232</v>
      </c>
      <c r="C187" s="112" t="s">
        <v>228</v>
      </c>
      <c r="D187" s="113" t="s">
        <v>20</v>
      </c>
      <c r="E187" s="114" t="s">
        <v>15</v>
      </c>
      <c r="F187" s="115" t="s">
        <v>18</v>
      </c>
      <c r="G187" s="116">
        <v>6.85</v>
      </c>
      <c r="H187" s="125">
        <v>9.8000000000000007</v>
      </c>
      <c r="I187" s="111">
        <v>1</v>
      </c>
      <c r="J187" s="117">
        <f t="shared" si="103"/>
        <v>6.7129999999999995E-2</v>
      </c>
      <c r="K187" s="118"/>
      <c r="L187" s="111">
        <v>1</v>
      </c>
      <c r="M187" s="117">
        <f t="shared" si="104"/>
        <v>6.7129999999999995E-2</v>
      </c>
      <c r="N187" s="119">
        <f t="shared" si="105"/>
        <v>0</v>
      </c>
      <c r="O187" s="120">
        <f t="shared" si="106"/>
        <v>0</v>
      </c>
      <c r="P187" s="130"/>
      <c r="Q187" s="111"/>
      <c r="R187" s="130"/>
      <c r="S187" s="45"/>
    </row>
    <row r="188" spans="1:20" ht="15.6">
      <c r="A188" s="110" t="s">
        <v>391</v>
      </c>
      <c r="B188" s="111" t="s">
        <v>232</v>
      </c>
      <c r="C188" s="112" t="s">
        <v>228</v>
      </c>
      <c r="D188" s="113" t="s">
        <v>20</v>
      </c>
      <c r="E188" s="114" t="s">
        <v>15</v>
      </c>
      <c r="F188" s="115" t="s">
        <v>18</v>
      </c>
      <c r="G188" s="116">
        <v>6.85</v>
      </c>
      <c r="H188" s="125">
        <v>11.65</v>
      </c>
      <c r="I188" s="111">
        <v>20</v>
      </c>
      <c r="J188" s="117">
        <f t="shared" si="103"/>
        <v>1.59605</v>
      </c>
      <c r="K188" s="118"/>
      <c r="L188" s="111">
        <v>20</v>
      </c>
      <c r="M188" s="117">
        <f t="shared" si="104"/>
        <v>1.59605</v>
      </c>
      <c r="N188" s="119">
        <f t="shared" si="105"/>
        <v>0</v>
      </c>
      <c r="O188" s="120">
        <f t="shared" si="106"/>
        <v>0</v>
      </c>
      <c r="P188" s="130"/>
      <c r="Q188" s="111"/>
      <c r="R188" s="130"/>
      <c r="S188" s="45"/>
    </row>
    <row r="189" spans="1:20" ht="15.6">
      <c r="A189" s="110" t="s">
        <v>391</v>
      </c>
      <c r="B189" s="111" t="s">
        <v>232</v>
      </c>
      <c r="C189" s="112" t="s">
        <v>228</v>
      </c>
      <c r="D189" s="113" t="s">
        <v>20</v>
      </c>
      <c r="E189" s="114" t="s">
        <v>15</v>
      </c>
      <c r="F189" s="115" t="s">
        <v>18</v>
      </c>
      <c r="G189" s="116">
        <v>6.85</v>
      </c>
      <c r="H189" s="125">
        <v>11.65</v>
      </c>
      <c r="I189" s="111">
        <v>19</v>
      </c>
      <c r="J189" s="117">
        <f t="shared" si="103"/>
        <v>1.5162475</v>
      </c>
      <c r="K189" s="118"/>
      <c r="L189" s="111">
        <v>19</v>
      </c>
      <c r="M189" s="117">
        <f t="shared" si="104"/>
        <v>1.5162475</v>
      </c>
      <c r="N189" s="119">
        <f t="shared" si="105"/>
        <v>0</v>
      </c>
      <c r="O189" s="120">
        <f t="shared" si="106"/>
        <v>0</v>
      </c>
      <c r="P189" s="130"/>
      <c r="Q189" s="111"/>
      <c r="R189" s="130"/>
      <c r="S189" s="45"/>
    </row>
    <row r="190" spans="1:20" ht="15.6">
      <c r="A190" s="110" t="s">
        <v>391</v>
      </c>
      <c r="B190" s="111" t="s">
        <v>232</v>
      </c>
      <c r="C190" s="112" t="s">
        <v>228</v>
      </c>
      <c r="D190" s="113" t="s">
        <v>20</v>
      </c>
      <c r="E190" s="114" t="s">
        <v>15</v>
      </c>
      <c r="F190" s="115" t="s">
        <v>18</v>
      </c>
      <c r="G190" s="116">
        <v>6.85</v>
      </c>
      <c r="H190" s="125">
        <v>11.65</v>
      </c>
      <c r="I190" s="111">
        <v>20</v>
      </c>
      <c r="J190" s="117">
        <f t="shared" si="103"/>
        <v>1.59605</v>
      </c>
      <c r="K190" s="118"/>
      <c r="L190" s="111">
        <v>20</v>
      </c>
      <c r="M190" s="117">
        <f t="shared" si="104"/>
        <v>1.59605</v>
      </c>
      <c r="N190" s="119">
        <f t="shared" si="105"/>
        <v>0</v>
      </c>
      <c r="O190" s="120">
        <f t="shared" si="106"/>
        <v>0</v>
      </c>
      <c r="P190" s="130"/>
      <c r="Q190" s="111"/>
      <c r="R190" s="130"/>
      <c r="S190" s="45"/>
    </row>
    <row r="191" spans="1:20" ht="15.6">
      <c r="A191" s="110" t="s">
        <v>391</v>
      </c>
      <c r="B191" s="111" t="s">
        <v>232</v>
      </c>
      <c r="C191" s="112" t="s">
        <v>228</v>
      </c>
      <c r="D191" s="113" t="s">
        <v>20</v>
      </c>
      <c r="E191" s="114" t="s">
        <v>15</v>
      </c>
      <c r="F191" s="115" t="s">
        <v>18</v>
      </c>
      <c r="G191" s="116">
        <v>6.85</v>
      </c>
      <c r="H191" s="125">
        <v>11.65</v>
      </c>
      <c r="I191" s="111">
        <v>16</v>
      </c>
      <c r="J191" s="117">
        <f t="shared" si="103"/>
        <v>1.27684</v>
      </c>
      <c r="K191" s="118"/>
      <c r="L191" s="111">
        <v>16</v>
      </c>
      <c r="M191" s="117">
        <f t="shared" si="104"/>
        <v>1.27684</v>
      </c>
      <c r="N191" s="119">
        <f t="shared" si="105"/>
        <v>0</v>
      </c>
      <c r="O191" s="120">
        <f t="shared" si="106"/>
        <v>0</v>
      </c>
      <c r="P191" s="130"/>
      <c r="Q191" s="111"/>
      <c r="R191" s="130"/>
      <c r="S191" s="45"/>
    </row>
    <row r="192" spans="1:20" ht="15.6">
      <c r="A192" s="110" t="s">
        <v>391</v>
      </c>
      <c r="B192" s="111" t="s">
        <v>232</v>
      </c>
      <c r="C192" s="112" t="s">
        <v>228</v>
      </c>
      <c r="D192" s="113" t="s">
        <v>20</v>
      </c>
      <c r="E192" s="114" t="s">
        <v>15</v>
      </c>
      <c r="F192" s="115" t="s">
        <v>18</v>
      </c>
      <c r="G192" s="116">
        <v>6.85</v>
      </c>
      <c r="H192" s="125">
        <v>10</v>
      </c>
      <c r="I192" s="44">
        <v>1</v>
      </c>
      <c r="J192" s="117">
        <f>H192*G192*I192/1000</f>
        <v>6.8500000000000005E-2</v>
      </c>
      <c r="K192" s="118"/>
      <c r="L192" s="111">
        <v>1</v>
      </c>
      <c r="M192" s="117">
        <f t="shared" si="104"/>
        <v>6.8500000000000005E-2</v>
      </c>
      <c r="N192" s="119">
        <f t="shared" si="105"/>
        <v>0</v>
      </c>
      <c r="O192" s="120">
        <f>H192*N192*G192/1000</f>
        <v>0</v>
      </c>
      <c r="P192" s="130"/>
      <c r="Q192" s="111"/>
      <c r="R192" s="130"/>
      <c r="S192" s="45"/>
      <c r="T192" s="213"/>
    </row>
    <row r="193" spans="1:20" ht="15.6">
      <c r="A193" s="110" t="s">
        <v>391</v>
      </c>
      <c r="B193" s="111" t="s">
        <v>232</v>
      </c>
      <c r="C193" s="112" t="s">
        <v>228</v>
      </c>
      <c r="D193" s="113" t="s">
        <v>20</v>
      </c>
      <c r="E193" s="114" t="s">
        <v>15</v>
      </c>
      <c r="F193" s="115" t="s">
        <v>18</v>
      </c>
      <c r="G193" s="116">
        <v>6.85</v>
      </c>
      <c r="H193" s="125">
        <v>10.5</v>
      </c>
      <c r="I193" s="44">
        <v>1</v>
      </c>
      <c r="J193" s="117">
        <f>H193*G193*I193/1000</f>
        <v>7.1925000000000003E-2</v>
      </c>
      <c r="K193" s="118"/>
      <c r="L193" s="111">
        <v>1</v>
      </c>
      <c r="M193" s="117">
        <f t="shared" si="104"/>
        <v>7.1925000000000003E-2</v>
      </c>
      <c r="N193" s="119">
        <f t="shared" si="105"/>
        <v>0</v>
      </c>
      <c r="O193" s="120">
        <f>H193*N193*G193/1000</f>
        <v>0</v>
      </c>
      <c r="P193" s="130"/>
      <c r="Q193" s="111"/>
      <c r="R193" s="130"/>
      <c r="S193" s="45"/>
      <c r="T193" s="213"/>
    </row>
    <row r="194" spans="1:20" ht="15.6">
      <c r="A194" s="110" t="s">
        <v>391</v>
      </c>
      <c r="B194" s="111" t="s">
        <v>232</v>
      </c>
      <c r="C194" s="112" t="s">
        <v>228</v>
      </c>
      <c r="D194" s="113" t="s">
        <v>20</v>
      </c>
      <c r="E194" s="114" t="s">
        <v>15</v>
      </c>
      <c r="F194" s="115" t="s">
        <v>18</v>
      </c>
      <c r="G194" s="116">
        <v>6.85</v>
      </c>
      <c r="H194" s="125">
        <v>11</v>
      </c>
      <c r="I194" s="44">
        <v>2</v>
      </c>
      <c r="J194" s="117">
        <f>H194*G194*I194/1000</f>
        <v>0.1507</v>
      </c>
      <c r="K194" s="118"/>
      <c r="L194" s="111">
        <v>2</v>
      </c>
      <c r="M194" s="117">
        <f t="shared" si="104"/>
        <v>0.1507</v>
      </c>
      <c r="N194" s="119">
        <f t="shared" si="105"/>
        <v>0</v>
      </c>
      <c r="O194" s="120">
        <f>H194*N194*G194/1000</f>
        <v>0</v>
      </c>
      <c r="P194" s="130"/>
      <c r="Q194" s="111"/>
      <c r="R194" s="130"/>
      <c r="S194" s="45"/>
    </row>
    <row r="195" spans="1:20" ht="15.6">
      <c r="A195" s="110" t="s">
        <v>391</v>
      </c>
      <c r="B195" s="111" t="s">
        <v>232</v>
      </c>
      <c r="C195" s="112" t="s">
        <v>228</v>
      </c>
      <c r="D195" s="113" t="s">
        <v>20</v>
      </c>
      <c r="E195" s="114" t="s">
        <v>15</v>
      </c>
      <c r="F195" s="115" t="s">
        <v>18</v>
      </c>
      <c r="G195" s="116">
        <v>6.85</v>
      </c>
      <c r="H195" s="125">
        <v>11.3</v>
      </c>
      <c r="I195" s="44">
        <v>2</v>
      </c>
      <c r="J195" s="117">
        <f>H195*G195*I195/1000</f>
        <v>0.15481</v>
      </c>
      <c r="K195" s="118"/>
      <c r="L195" s="111">
        <v>2</v>
      </c>
      <c r="M195" s="117">
        <f t="shared" ref="M195:M196" si="107">H195*L195*G195/1000</f>
        <v>0.15481</v>
      </c>
      <c r="N195" s="119">
        <f t="shared" ref="N195:N196" si="108">I195-L195</f>
        <v>0</v>
      </c>
      <c r="O195" s="120">
        <f>H195*N195*G195/1000</f>
        <v>0</v>
      </c>
      <c r="P195" s="130"/>
      <c r="Q195" s="111"/>
      <c r="R195" s="130"/>
      <c r="S195" s="45"/>
      <c r="T195" s="213"/>
    </row>
    <row r="196" spans="1:20" ht="15.6">
      <c r="A196" s="110" t="s">
        <v>391</v>
      </c>
      <c r="B196" s="111" t="s">
        <v>232</v>
      </c>
      <c r="C196" s="112" t="s">
        <v>228</v>
      </c>
      <c r="D196" s="113" t="s">
        <v>20</v>
      </c>
      <c r="E196" s="114" t="s">
        <v>15</v>
      </c>
      <c r="F196" s="115" t="s">
        <v>18</v>
      </c>
      <c r="G196" s="116">
        <v>6.85</v>
      </c>
      <c r="H196" s="125">
        <v>11.5</v>
      </c>
      <c r="I196" s="44">
        <v>2</v>
      </c>
      <c r="J196" s="117">
        <f>H196*G196*I196/1000</f>
        <v>0.15755</v>
      </c>
      <c r="K196" s="118"/>
      <c r="L196" s="111">
        <v>2</v>
      </c>
      <c r="M196" s="117">
        <f t="shared" si="107"/>
        <v>0.15755</v>
      </c>
      <c r="N196" s="119">
        <f t="shared" si="108"/>
        <v>0</v>
      </c>
      <c r="O196" s="120">
        <f>H196*N196*G196/1000</f>
        <v>0</v>
      </c>
      <c r="P196" s="130"/>
      <c r="Q196" s="111"/>
      <c r="R196" s="130"/>
      <c r="S196" s="45"/>
      <c r="T196" s="213"/>
    </row>
    <row r="197" spans="1:20">
      <c r="A197" s="32"/>
      <c r="B197" s="32"/>
      <c r="C197" s="32"/>
      <c r="D197" s="32"/>
      <c r="E197" s="32"/>
      <c r="F197" s="32"/>
      <c r="G197" s="32"/>
      <c r="H197" s="32"/>
      <c r="I197" s="129">
        <f>SUM(I179:I196)</f>
        <v>193</v>
      </c>
      <c r="J197" s="124">
        <f>SUM(J179:J196)</f>
        <v>15.276185000000002</v>
      </c>
      <c r="K197" s="32"/>
      <c r="L197" s="171">
        <f>SUM(L179:L196)</f>
        <v>202</v>
      </c>
      <c r="M197" s="132">
        <f>SUM(M179:M196)</f>
        <v>15.994407500000003</v>
      </c>
      <c r="N197" s="131">
        <f>SUM(N179:N196)</f>
        <v>-9</v>
      </c>
      <c r="O197" s="132">
        <f>SUM(O179:O196)</f>
        <v>-0.71822249999999999</v>
      </c>
      <c r="P197" s="32"/>
      <c r="Q197" s="32"/>
      <c r="R197" s="32"/>
      <c r="S197" s="32"/>
    </row>
    <row r="199" spans="1:20" ht="15.6">
      <c r="A199" s="110" t="s">
        <v>391</v>
      </c>
      <c r="B199" s="111" t="s">
        <v>227</v>
      </c>
      <c r="C199" s="112" t="s">
        <v>228</v>
      </c>
      <c r="D199" s="113" t="s">
        <v>24</v>
      </c>
      <c r="E199" s="114" t="s">
        <v>14</v>
      </c>
      <c r="F199" s="115" t="s">
        <v>18</v>
      </c>
      <c r="G199" s="116">
        <v>6.86</v>
      </c>
      <c r="H199" s="125">
        <v>12</v>
      </c>
      <c r="I199" s="111">
        <v>35</v>
      </c>
      <c r="J199" s="117">
        <f t="shared" ref="J199" si="109">H199*G199*I199/1000</f>
        <v>2.8812000000000002</v>
      </c>
      <c r="K199" s="118"/>
      <c r="L199" s="111">
        <v>35</v>
      </c>
      <c r="M199" s="117">
        <f t="shared" ref="M199" si="110">H199*L199*G199/1000</f>
        <v>2.8812000000000002</v>
      </c>
      <c r="N199" s="119">
        <f t="shared" ref="N199" si="111">I199-L199</f>
        <v>0</v>
      </c>
      <c r="O199" s="120">
        <f t="shared" ref="O199" si="112">H199*N199*G199/1000</f>
        <v>0</v>
      </c>
      <c r="P199" s="130"/>
      <c r="Q199" s="111"/>
      <c r="R199" s="111"/>
      <c r="S199" s="111"/>
    </row>
    <row r="200" spans="1:20" ht="15.6">
      <c r="A200" s="110" t="s">
        <v>391</v>
      </c>
      <c r="B200" s="111" t="s">
        <v>227</v>
      </c>
      <c r="C200" s="112" t="s">
        <v>228</v>
      </c>
      <c r="D200" s="113" t="s">
        <v>24</v>
      </c>
      <c r="E200" s="114" t="s">
        <v>14</v>
      </c>
      <c r="F200" s="115" t="s">
        <v>18</v>
      </c>
      <c r="G200" s="116">
        <v>6.86</v>
      </c>
      <c r="H200" s="125">
        <v>10</v>
      </c>
      <c r="I200" s="111">
        <v>24</v>
      </c>
      <c r="J200" s="117">
        <f t="shared" ref="J200:J211" si="113">H200*G200*I200/1000</f>
        <v>1.6464000000000001</v>
      </c>
      <c r="K200" s="118"/>
      <c r="L200" s="111">
        <v>24</v>
      </c>
      <c r="M200" s="117">
        <f t="shared" ref="M200:M211" si="114">H200*L200*G200/1000</f>
        <v>1.6464000000000001</v>
      </c>
      <c r="N200" s="119">
        <f t="shared" ref="N200:N211" si="115">I200-L200</f>
        <v>0</v>
      </c>
      <c r="O200" s="120">
        <f t="shared" ref="O200:O211" si="116">H200*N200*G200/1000</f>
        <v>0</v>
      </c>
      <c r="P200" s="130"/>
      <c r="Q200" s="111"/>
      <c r="R200" s="111"/>
      <c r="S200" s="111"/>
    </row>
    <row r="201" spans="1:20" ht="15.6">
      <c r="A201" s="110" t="s">
        <v>391</v>
      </c>
      <c r="B201" s="111" t="s">
        <v>227</v>
      </c>
      <c r="C201" s="112" t="s">
        <v>228</v>
      </c>
      <c r="D201" s="113" t="s">
        <v>24</v>
      </c>
      <c r="E201" s="114" t="s">
        <v>14</v>
      </c>
      <c r="F201" s="115" t="s">
        <v>18</v>
      </c>
      <c r="G201" s="116">
        <v>6.86</v>
      </c>
      <c r="H201" s="125">
        <v>7.75</v>
      </c>
      <c r="I201" s="111">
        <v>9</v>
      </c>
      <c r="J201" s="117">
        <f t="shared" si="113"/>
        <v>0.47848499999999999</v>
      </c>
      <c r="K201" s="118"/>
      <c r="L201" s="111">
        <v>9</v>
      </c>
      <c r="M201" s="117">
        <f t="shared" si="114"/>
        <v>0.47848499999999999</v>
      </c>
      <c r="N201" s="119">
        <f t="shared" si="115"/>
        <v>0</v>
      </c>
      <c r="O201" s="120">
        <f t="shared" si="116"/>
        <v>0</v>
      </c>
      <c r="P201" s="130"/>
      <c r="Q201" s="111"/>
      <c r="R201" s="111"/>
      <c r="S201" s="111"/>
    </row>
    <row r="202" spans="1:20" ht="15.6">
      <c r="A202" s="110" t="s">
        <v>391</v>
      </c>
      <c r="B202" s="111" t="s">
        <v>227</v>
      </c>
      <c r="C202" s="112" t="s">
        <v>228</v>
      </c>
      <c r="D202" s="113" t="s">
        <v>24</v>
      </c>
      <c r="E202" s="114" t="s">
        <v>14</v>
      </c>
      <c r="F202" s="115" t="s">
        <v>18</v>
      </c>
      <c r="G202" s="116">
        <v>6.86</v>
      </c>
      <c r="H202" s="125">
        <v>8</v>
      </c>
      <c r="I202" s="111">
        <v>7</v>
      </c>
      <c r="J202" s="117">
        <f t="shared" si="113"/>
        <v>0.38416</v>
      </c>
      <c r="K202" s="118"/>
      <c r="L202" s="111">
        <v>7</v>
      </c>
      <c r="M202" s="117">
        <f t="shared" si="114"/>
        <v>0.38416</v>
      </c>
      <c r="N202" s="119">
        <f t="shared" si="115"/>
        <v>0</v>
      </c>
      <c r="O202" s="120">
        <f t="shared" si="116"/>
        <v>0</v>
      </c>
      <c r="P202" s="130"/>
      <c r="Q202" s="111"/>
      <c r="R202" s="111"/>
      <c r="S202" s="111"/>
    </row>
    <row r="203" spans="1:20" ht="15.6">
      <c r="A203" s="110" t="s">
        <v>391</v>
      </c>
      <c r="B203" s="111" t="s">
        <v>227</v>
      </c>
      <c r="C203" s="112" t="s">
        <v>228</v>
      </c>
      <c r="D203" s="113" t="s">
        <v>24</v>
      </c>
      <c r="E203" s="114" t="s">
        <v>14</v>
      </c>
      <c r="F203" s="115" t="s">
        <v>18</v>
      </c>
      <c r="G203" s="116">
        <v>6.86</v>
      </c>
      <c r="H203" s="125">
        <v>12</v>
      </c>
      <c r="I203" s="111">
        <v>13</v>
      </c>
      <c r="J203" s="117">
        <f t="shared" si="113"/>
        <v>1.07016</v>
      </c>
      <c r="K203" s="118"/>
      <c r="L203" s="111">
        <v>13</v>
      </c>
      <c r="M203" s="117">
        <f t="shared" si="114"/>
        <v>1.07016</v>
      </c>
      <c r="N203" s="119">
        <f t="shared" si="115"/>
        <v>0</v>
      </c>
      <c r="O203" s="120">
        <f t="shared" si="116"/>
        <v>0</v>
      </c>
      <c r="P203" s="130"/>
      <c r="Q203" s="111"/>
      <c r="R203" s="111"/>
      <c r="S203" s="111"/>
    </row>
    <row r="204" spans="1:20" ht="15.6">
      <c r="A204" s="110" t="s">
        <v>391</v>
      </c>
      <c r="B204" s="111" t="s">
        <v>227</v>
      </c>
      <c r="C204" s="112" t="s">
        <v>228</v>
      </c>
      <c r="D204" s="113" t="s">
        <v>24</v>
      </c>
      <c r="E204" s="114" t="s">
        <v>14</v>
      </c>
      <c r="F204" s="115" t="s">
        <v>18</v>
      </c>
      <c r="G204" s="116">
        <v>6.86</v>
      </c>
      <c r="H204" s="125">
        <v>12</v>
      </c>
      <c r="I204" s="111">
        <v>14</v>
      </c>
      <c r="J204" s="117">
        <f t="shared" si="113"/>
        <v>1.1524799999999999</v>
      </c>
      <c r="K204" s="118"/>
      <c r="L204" s="111">
        <v>14</v>
      </c>
      <c r="M204" s="117">
        <f t="shared" si="114"/>
        <v>1.1524799999999999</v>
      </c>
      <c r="N204" s="119">
        <f t="shared" si="115"/>
        <v>0</v>
      </c>
      <c r="O204" s="120">
        <f t="shared" si="116"/>
        <v>0</v>
      </c>
      <c r="P204" s="130"/>
      <c r="Q204" s="111"/>
      <c r="R204" s="111"/>
      <c r="S204" s="111"/>
    </row>
    <row r="205" spans="1:20" ht="15.6">
      <c r="A205" s="110" t="s">
        <v>391</v>
      </c>
      <c r="B205" s="111" t="s">
        <v>227</v>
      </c>
      <c r="C205" s="112" t="s">
        <v>228</v>
      </c>
      <c r="D205" s="113" t="s">
        <v>24</v>
      </c>
      <c r="E205" s="114" t="s">
        <v>14</v>
      </c>
      <c r="F205" s="115" t="s">
        <v>18</v>
      </c>
      <c r="G205" s="116">
        <v>6.86</v>
      </c>
      <c r="H205" s="125">
        <v>12</v>
      </c>
      <c r="I205" s="111">
        <v>8</v>
      </c>
      <c r="J205" s="117">
        <f t="shared" si="113"/>
        <v>0.65856000000000003</v>
      </c>
      <c r="K205" s="118"/>
      <c r="L205" s="111">
        <v>8</v>
      </c>
      <c r="M205" s="117">
        <f t="shared" si="114"/>
        <v>0.65856000000000003</v>
      </c>
      <c r="N205" s="119">
        <f t="shared" si="115"/>
        <v>0</v>
      </c>
      <c r="O205" s="120">
        <f t="shared" si="116"/>
        <v>0</v>
      </c>
      <c r="P205" s="130"/>
      <c r="Q205" s="111"/>
      <c r="R205" s="111"/>
      <c r="S205" s="111"/>
    </row>
    <row r="206" spans="1:20" ht="15.6">
      <c r="A206" s="110" t="s">
        <v>391</v>
      </c>
      <c r="B206" s="111" t="s">
        <v>227</v>
      </c>
      <c r="C206" s="112" t="s">
        <v>228</v>
      </c>
      <c r="D206" s="113" t="s">
        <v>24</v>
      </c>
      <c r="E206" s="114" t="s">
        <v>14</v>
      </c>
      <c r="F206" s="115" t="s">
        <v>18</v>
      </c>
      <c r="G206" s="116">
        <v>6.86</v>
      </c>
      <c r="H206" s="125">
        <v>11.5</v>
      </c>
      <c r="I206" s="111">
        <v>2</v>
      </c>
      <c r="J206" s="117">
        <f t="shared" si="113"/>
        <v>0.15778</v>
      </c>
      <c r="K206" s="118"/>
      <c r="L206" s="111">
        <v>2</v>
      </c>
      <c r="M206" s="117">
        <f t="shared" si="114"/>
        <v>0.15778</v>
      </c>
      <c r="N206" s="119">
        <f t="shared" si="115"/>
        <v>0</v>
      </c>
      <c r="O206" s="120">
        <f t="shared" si="116"/>
        <v>0</v>
      </c>
      <c r="P206" s="130"/>
      <c r="Q206" s="111"/>
      <c r="R206" s="111"/>
      <c r="S206" s="111"/>
    </row>
    <row r="207" spans="1:20" ht="15.6">
      <c r="A207" s="110" t="s">
        <v>391</v>
      </c>
      <c r="B207" s="111" t="s">
        <v>227</v>
      </c>
      <c r="C207" s="112" t="s">
        <v>228</v>
      </c>
      <c r="D207" s="113" t="s">
        <v>24</v>
      </c>
      <c r="E207" s="114" t="s">
        <v>14</v>
      </c>
      <c r="F207" s="115" t="s">
        <v>18</v>
      </c>
      <c r="G207" s="116">
        <v>6.86</v>
      </c>
      <c r="H207" s="125">
        <v>11</v>
      </c>
      <c r="I207" s="111">
        <v>1</v>
      </c>
      <c r="J207" s="117">
        <f t="shared" si="113"/>
        <v>7.5460000000000013E-2</v>
      </c>
      <c r="K207" s="118"/>
      <c r="L207" s="111"/>
      <c r="M207" s="117">
        <f t="shared" si="114"/>
        <v>0</v>
      </c>
      <c r="N207" s="119">
        <f t="shared" si="115"/>
        <v>1</v>
      </c>
      <c r="O207" s="120">
        <f t="shared" si="116"/>
        <v>7.5460000000000013E-2</v>
      </c>
      <c r="P207" s="130"/>
      <c r="Q207" s="111"/>
      <c r="R207" s="111"/>
      <c r="S207" s="111"/>
    </row>
    <row r="208" spans="1:20" ht="15.6">
      <c r="A208" s="110" t="s">
        <v>391</v>
      </c>
      <c r="B208" s="111" t="s">
        <v>227</v>
      </c>
      <c r="C208" s="112" t="s">
        <v>228</v>
      </c>
      <c r="D208" s="113" t="s">
        <v>24</v>
      </c>
      <c r="E208" s="114" t="s">
        <v>14</v>
      </c>
      <c r="F208" s="115" t="s">
        <v>18</v>
      </c>
      <c r="G208" s="116">
        <v>6.86</v>
      </c>
      <c r="H208" s="125">
        <v>10</v>
      </c>
      <c r="I208" s="111">
        <v>2</v>
      </c>
      <c r="J208" s="117">
        <f t="shared" si="113"/>
        <v>0.13720000000000002</v>
      </c>
      <c r="K208" s="118"/>
      <c r="L208" s="111"/>
      <c r="M208" s="117">
        <f t="shared" si="114"/>
        <v>0</v>
      </c>
      <c r="N208" s="119">
        <f t="shared" si="115"/>
        <v>2</v>
      </c>
      <c r="O208" s="120">
        <f t="shared" si="116"/>
        <v>0.13720000000000002</v>
      </c>
      <c r="P208" s="130"/>
      <c r="Q208" s="111"/>
      <c r="R208" s="111"/>
      <c r="S208" s="111"/>
    </row>
    <row r="209" spans="1:19" ht="15.6">
      <c r="A209" s="110" t="s">
        <v>391</v>
      </c>
      <c r="B209" s="111" t="s">
        <v>227</v>
      </c>
      <c r="C209" s="112" t="s">
        <v>228</v>
      </c>
      <c r="D209" s="113" t="s">
        <v>24</v>
      </c>
      <c r="E209" s="114" t="s">
        <v>14</v>
      </c>
      <c r="F209" s="115" t="s">
        <v>18</v>
      </c>
      <c r="G209" s="116">
        <v>6.86</v>
      </c>
      <c r="H209" s="125">
        <v>7.4</v>
      </c>
      <c r="I209" s="111">
        <v>1</v>
      </c>
      <c r="J209" s="117">
        <f t="shared" si="113"/>
        <v>5.0764000000000004E-2</v>
      </c>
      <c r="K209" s="118"/>
      <c r="L209" s="111">
        <v>1</v>
      </c>
      <c r="M209" s="117">
        <f t="shared" si="114"/>
        <v>5.0764000000000004E-2</v>
      </c>
      <c r="N209" s="119">
        <f t="shared" si="115"/>
        <v>0</v>
      </c>
      <c r="O209" s="120">
        <f t="shared" si="116"/>
        <v>0</v>
      </c>
      <c r="P209" s="130"/>
      <c r="Q209" s="111"/>
      <c r="R209" s="111"/>
      <c r="S209" s="111"/>
    </row>
    <row r="210" spans="1:19" ht="15.6">
      <c r="A210" s="110" t="s">
        <v>391</v>
      </c>
      <c r="B210" s="111" t="s">
        <v>227</v>
      </c>
      <c r="C210" s="112" t="s">
        <v>228</v>
      </c>
      <c r="D210" s="113" t="s">
        <v>24</v>
      </c>
      <c r="E210" s="114" t="s">
        <v>14</v>
      </c>
      <c r="F210" s="115" t="s">
        <v>18</v>
      </c>
      <c r="G210" s="116">
        <v>6.86</v>
      </c>
      <c r="H210" s="125">
        <v>6.8</v>
      </c>
      <c r="I210" s="111">
        <v>1</v>
      </c>
      <c r="J210" s="117">
        <f t="shared" si="113"/>
        <v>4.6648000000000002E-2</v>
      </c>
      <c r="K210" s="118"/>
      <c r="L210" s="111">
        <v>1</v>
      </c>
      <c r="M210" s="117">
        <f t="shared" si="114"/>
        <v>4.6648000000000002E-2</v>
      </c>
      <c r="N210" s="119">
        <f t="shared" si="115"/>
        <v>0</v>
      </c>
      <c r="O210" s="120">
        <f t="shared" si="116"/>
        <v>0</v>
      </c>
      <c r="P210" s="130"/>
      <c r="Q210" s="111"/>
      <c r="R210" s="111"/>
      <c r="S210" s="111"/>
    </row>
    <row r="211" spans="1:19" ht="15.6">
      <c r="A211" s="110" t="s">
        <v>391</v>
      </c>
      <c r="B211" s="111" t="s">
        <v>227</v>
      </c>
      <c r="C211" s="112" t="s">
        <v>228</v>
      </c>
      <c r="D211" s="113" t="s">
        <v>24</v>
      </c>
      <c r="E211" s="114" t="s">
        <v>14</v>
      </c>
      <c r="F211" s="115" t="s">
        <v>18</v>
      </c>
      <c r="G211" s="116">
        <v>6.86</v>
      </c>
      <c r="H211" s="125">
        <v>6.5</v>
      </c>
      <c r="I211" s="111">
        <v>1</v>
      </c>
      <c r="J211" s="117">
        <f t="shared" si="113"/>
        <v>4.4590000000000005E-2</v>
      </c>
      <c r="K211" s="118"/>
      <c r="L211" s="111">
        <v>1</v>
      </c>
      <c r="M211" s="117">
        <f t="shared" si="114"/>
        <v>4.4590000000000005E-2</v>
      </c>
      <c r="N211" s="119">
        <f t="shared" si="115"/>
        <v>0</v>
      </c>
      <c r="O211" s="120">
        <f t="shared" si="116"/>
        <v>0</v>
      </c>
      <c r="P211" s="130"/>
      <c r="Q211" s="111"/>
      <c r="R211" s="111"/>
      <c r="S211" s="111"/>
    </row>
    <row r="212" spans="1:19" ht="15.6">
      <c r="A212" s="110" t="s">
        <v>391</v>
      </c>
      <c r="B212" s="111" t="s">
        <v>227</v>
      </c>
      <c r="C212" s="112" t="s">
        <v>228</v>
      </c>
      <c r="D212" s="113" t="s">
        <v>24</v>
      </c>
      <c r="E212" s="114" t="s">
        <v>14</v>
      </c>
      <c r="F212" s="115" t="s">
        <v>18</v>
      </c>
      <c r="G212" s="116">
        <v>6.86</v>
      </c>
      <c r="H212" s="126">
        <v>12</v>
      </c>
      <c r="I212" s="111">
        <v>10</v>
      </c>
      <c r="J212" s="117">
        <f t="shared" ref="J212" si="117">H212*G212*I212/1000</f>
        <v>0.82320000000000004</v>
      </c>
      <c r="K212" s="118"/>
      <c r="L212" s="111">
        <f>8+2</f>
        <v>10</v>
      </c>
      <c r="M212" s="117">
        <f t="shared" ref="M212" si="118">H212*L212*G212/1000</f>
        <v>0.82320000000000004</v>
      </c>
      <c r="N212" s="119">
        <f t="shared" ref="N212" si="119">I212-L212</f>
        <v>0</v>
      </c>
      <c r="O212" s="120">
        <f t="shared" ref="O212" si="120">H212*N212*G212/1000</f>
        <v>0</v>
      </c>
      <c r="P212" s="130">
        <v>12</v>
      </c>
      <c r="Q212" s="45">
        <v>2</v>
      </c>
      <c r="R212" s="111" t="s">
        <v>631</v>
      </c>
      <c r="S212" s="111"/>
    </row>
    <row r="213" spans="1:19">
      <c r="I213" s="215">
        <f>SUM(I199:I212)</f>
        <v>128</v>
      </c>
      <c r="J213" s="214">
        <f>SUM(J199:J212)</f>
        <v>9.6070869999999982</v>
      </c>
      <c r="L213" s="215">
        <f>SUM(L199:L212)</f>
        <v>125</v>
      </c>
      <c r="M213" s="214">
        <f>SUM(M199:M212)</f>
        <v>9.3944269999999985</v>
      </c>
      <c r="N213" s="215">
        <f>SUM(N199:N212)</f>
        <v>3</v>
      </c>
      <c r="O213" s="214">
        <f>SUM(O199:O212)</f>
        <v>0.21266000000000002</v>
      </c>
      <c r="Q213" s="215">
        <f>SUM(Q199:Q212)</f>
        <v>2</v>
      </c>
    </row>
    <row r="215" spans="1:19" ht="15.6">
      <c r="A215" s="110" t="s">
        <v>391</v>
      </c>
      <c r="B215" s="111" t="s">
        <v>232</v>
      </c>
      <c r="C215" s="112" t="s">
        <v>430</v>
      </c>
      <c r="D215" s="113" t="s">
        <v>17</v>
      </c>
      <c r="E215" s="114" t="s">
        <v>15</v>
      </c>
      <c r="F215" s="115" t="s">
        <v>16</v>
      </c>
      <c r="G215" s="116">
        <v>5.77</v>
      </c>
      <c r="H215" s="125">
        <v>12</v>
      </c>
      <c r="I215" s="111">
        <v>36</v>
      </c>
      <c r="J215" s="117">
        <f t="shared" ref="J215" si="121">H215*G215*I215/1000</f>
        <v>2.4926399999999997</v>
      </c>
      <c r="K215" s="118"/>
      <c r="L215" s="111">
        <v>36</v>
      </c>
      <c r="M215" s="117">
        <f t="shared" ref="M215" si="122">H215*L215*G215/1000</f>
        <v>2.4926399999999997</v>
      </c>
      <c r="N215" s="228">
        <f t="shared" ref="N215" si="123">I215-L215</f>
        <v>0</v>
      </c>
      <c r="O215" s="229">
        <f t="shared" ref="O215" si="124">H215*N215*G215/1000</f>
        <v>0</v>
      </c>
      <c r="P215" s="32"/>
      <c r="Q215" s="32"/>
      <c r="R215" s="32"/>
      <c r="S215" s="32"/>
    </row>
    <row r="216" spans="1:19" ht="15.6">
      <c r="A216" s="110" t="s">
        <v>391</v>
      </c>
      <c r="B216" s="111" t="s">
        <v>232</v>
      </c>
      <c r="C216" s="112" t="s">
        <v>430</v>
      </c>
      <c r="D216" s="113" t="s">
        <v>17</v>
      </c>
      <c r="E216" s="114" t="s">
        <v>15</v>
      </c>
      <c r="F216" s="115" t="s">
        <v>16</v>
      </c>
      <c r="G216" s="116">
        <v>5.77</v>
      </c>
      <c r="H216" s="125">
        <v>11.5</v>
      </c>
      <c r="I216" s="111">
        <v>29</v>
      </c>
      <c r="J216" s="117">
        <f t="shared" ref="J216:J228" si="125">H216*G216*I216/1000</f>
        <v>1.9242949999999996</v>
      </c>
      <c r="K216" s="118"/>
      <c r="L216" s="111">
        <v>29</v>
      </c>
      <c r="M216" s="117">
        <f t="shared" ref="M216:M228" si="126">H216*L216*G216/1000</f>
        <v>1.9242949999999999</v>
      </c>
      <c r="N216" s="228">
        <f t="shared" ref="N216:N228" si="127">I216-L216</f>
        <v>0</v>
      </c>
      <c r="O216" s="229">
        <f t="shared" ref="O216:O228" si="128">H216*N216*G216/1000</f>
        <v>0</v>
      </c>
      <c r="P216" s="32"/>
      <c r="Q216" s="32"/>
      <c r="R216" s="32"/>
      <c r="S216" s="32"/>
    </row>
    <row r="217" spans="1:19" ht="15.6">
      <c r="A217" s="110" t="s">
        <v>391</v>
      </c>
      <c r="B217" s="111" t="s">
        <v>232</v>
      </c>
      <c r="C217" s="112" t="s">
        <v>430</v>
      </c>
      <c r="D217" s="113" t="s">
        <v>17</v>
      </c>
      <c r="E217" s="114" t="s">
        <v>15</v>
      </c>
      <c r="F217" s="115" t="s">
        <v>16</v>
      </c>
      <c r="G217" s="116">
        <v>5.77</v>
      </c>
      <c r="H217" s="125">
        <v>10.5</v>
      </c>
      <c r="I217" s="111">
        <v>7</v>
      </c>
      <c r="J217" s="117">
        <f t="shared" si="125"/>
        <v>0.42409499999999994</v>
      </c>
      <c r="K217" s="118"/>
      <c r="L217" s="111">
        <v>7</v>
      </c>
      <c r="M217" s="117">
        <f t="shared" si="126"/>
        <v>0.42409499999999994</v>
      </c>
      <c r="N217" s="228">
        <f t="shared" si="127"/>
        <v>0</v>
      </c>
      <c r="O217" s="229">
        <f t="shared" si="128"/>
        <v>0</v>
      </c>
      <c r="P217" s="32"/>
      <c r="Q217" s="32"/>
      <c r="R217" s="32"/>
      <c r="S217" s="32"/>
    </row>
    <row r="218" spans="1:19" ht="15.6">
      <c r="A218" s="110" t="s">
        <v>391</v>
      </c>
      <c r="B218" s="111" t="s">
        <v>232</v>
      </c>
      <c r="C218" s="112" t="s">
        <v>430</v>
      </c>
      <c r="D218" s="113" t="s">
        <v>17</v>
      </c>
      <c r="E218" s="114" t="s">
        <v>15</v>
      </c>
      <c r="F218" s="115" t="s">
        <v>16</v>
      </c>
      <c r="G218" s="116">
        <v>5.77</v>
      </c>
      <c r="H218" s="125">
        <v>11</v>
      </c>
      <c r="I218" s="111">
        <v>18</v>
      </c>
      <c r="J218" s="117">
        <f t="shared" si="125"/>
        <v>1.14246</v>
      </c>
      <c r="K218" s="118"/>
      <c r="L218" s="111">
        <v>18</v>
      </c>
      <c r="M218" s="117">
        <f t="shared" si="126"/>
        <v>1.1424599999999998</v>
      </c>
      <c r="N218" s="228">
        <f t="shared" si="127"/>
        <v>0</v>
      </c>
      <c r="O218" s="229">
        <f t="shared" si="128"/>
        <v>0</v>
      </c>
      <c r="P218" s="32"/>
      <c r="Q218" s="32"/>
      <c r="R218" s="32"/>
      <c r="S218" s="32"/>
    </row>
    <row r="219" spans="1:19" ht="15.6">
      <c r="A219" s="110" t="s">
        <v>391</v>
      </c>
      <c r="B219" s="111" t="s">
        <v>232</v>
      </c>
      <c r="C219" s="112" t="s">
        <v>430</v>
      </c>
      <c r="D219" s="113" t="s">
        <v>17</v>
      </c>
      <c r="E219" s="114" t="s">
        <v>15</v>
      </c>
      <c r="F219" s="115" t="s">
        <v>16</v>
      </c>
      <c r="G219" s="116">
        <v>5.77</v>
      </c>
      <c r="H219" s="125">
        <v>10</v>
      </c>
      <c r="I219" s="111">
        <v>50</v>
      </c>
      <c r="J219" s="117">
        <f t="shared" si="125"/>
        <v>2.8849999999999998</v>
      </c>
      <c r="K219" s="118"/>
      <c r="L219" s="111">
        <v>50</v>
      </c>
      <c r="M219" s="117">
        <f t="shared" si="126"/>
        <v>2.8849999999999998</v>
      </c>
      <c r="N219" s="228">
        <f t="shared" si="127"/>
        <v>0</v>
      </c>
      <c r="O219" s="229">
        <f t="shared" si="128"/>
        <v>0</v>
      </c>
      <c r="P219" s="32"/>
      <c r="Q219" s="32"/>
      <c r="R219" s="32"/>
      <c r="S219" s="32"/>
    </row>
    <row r="220" spans="1:19" ht="15.6">
      <c r="A220" s="110" t="s">
        <v>391</v>
      </c>
      <c r="B220" s="111" t="s">
        <v>232</v>
      </c>
      <c r="C220" s="112" t="s">
        <v>430</v>
      </c>
      <c r="D220" s="113" t="s">
        <v>17</v>
      </c>
      <c r="E220" s="114" t="s">
        <v>15</v>
      </c>
      <c r="F220" s="115" t="s">
        <v>16</v>
      </c>
      <c r="G220" s="116">
        <v>5.77</v>
      </c>
      <c r="H220" s="125">
        <v>12</v>
      </c>
      <c r="I220" s="111">
        <v>4</v>
      </c>
      <c r="J220" s="117">
        <f t="shared" si="125"/>
        <v>0.27695999999999998</v>
      </c>
      <c r="K220" s="118"/>
      <c r="L220" s="111">
        <v>4</v>
      </c>
      <c r="M220" s="117">
        <f t="shared" si="126"/>
        <v>0.27695999999999998</v>
      </c>
      <c r="N220" s="228">
        <f t="shared" si="127"/>
        <v>0</v>
      </c>
      <c r="O220" s="229">
        <f t="shared" si="128"/>
        <v>0</v>
      </c>
      <c r="P220" s="32"/>
      <c r="Q220" s="32"/>
      <c r="R220" s="32"/>
      <c r="S220" s="32"/>
    </row>
    <row r="221" spans="1:19" ht="15.6">
      <c r="A221" s="110" t="s">
        <v>391</v>
      </c>
      <c r="B221" s="111" t="s">
        <v>232</v>
      </c>
      <c r="C221" s="112" t="s">
        <v>430</v>
      </c>
      <c r="D221" s="113" t="s">
        <v>17</v>
      </c>
      <c r="E221" s="114" t="s">
        <v>15</v>
      </c>
      <c r="F221" s="115" t="s">
        <v>16</v>
      </c>
      <c r="G221" s="116">
        <v>5.77</v>
      </c>
      <c r="H221" s="125">
        <v>8.0500000000000007</v>
      </c>
      <c r="I221" s="111">
        <v>1</v>
      </c>
      <c r="J221" s="117">
        <f t="shared" si="125"/>
        <v>4.6448500000000004E-2</v>
      </c>
      <c r="K221" s="118"/>
      <c r="L221" s="111"/>
      <c r="M221" s="117">
        <f t="shared" si="126"/>
        <v>0</v>
      </c>
      <c r="N221" s="228">
        <f t="shared" si="127"/>
        <v>1</v>
      </c>
      <c r="O221" s="229">
        <f t="shared" si="128"/>
        <v>4.6448500000000004E-2</v>
      </c>
      <c r="P221" s="32"/>
      <c r="Q221" s="32"/>
      <c r="R221" s="32"/>
      <c r="S221" s="32"/>
    </row>
    <row r="222" spans="1:19" ht="15.6">
      <c r="A222" s="110" t="s">
        <v>391</v>
      </c>
      <c r="B222" s="111" t="s">
        <v>232</v>
      </c>
      <c r="C222" s="112" t="s">
        <v>430</v>
      </c>
      <c r="D222" s="113" t="s">
        <v>17</v>
      </c>
      <c r="E222" s="114" t="s">
        <v>15</v>
      </c>
      <c r="F222" s="115" t="s">
        <v>16</v>
      </c>
      <c r="G222" s="116">
        <v>5.77</v>
      </c>
      <c r="H222" s="125">
        <v>8.5</v>
      </c>
      <c r="I222" s="111">
        <v>6</v>
      </c>
      <c r="J222" s="117">
        <f t="shared" si="125"/>
        <v>0.29426999999999998</v>
      </c>
      <c r="K222" s="118"/>
      <c r="L222" s="111"/>
      <c r="M222" s="117">
        <f t="shared" si="126"/>
        <v>0</v>
      </c>
      <c r="N222" s="228">
        <f t="shared" si="127"/>
        <v>6</v>
      </c>
      <c r="O222" s="229">
        <f t="shared" si="128"/>
        <v>0.29426999999999998</v>
      </c>
      <c r="P222" s="32"/>
      <c r="Q222" s="32"/>
      <c r="R222" s="32"/>
      <c r="S222" s="32"/>
    </row>
    <row r="223" spans="1:19" ht="15.6">
      <c r="A223" s="110" t="s">
        <v>391</v>
      </c>
      <c r="B223" s="111" t="s">
        <v>232</v>
      </c>
      <c r="C223" s="112" t="s">
        <v>430</v>
      </c>
      <c r="D223" s="113" t="s">
        <v>17</v>
      </c>
      <c r="E223" s="114" t="s">
        <v>15</v>
      </c>
      <c r="F223" s="115" t="s">
        <v>16</v>
      </c>
      <c r="G223" s="116">
        <v>5.77</v>
      </c>
      <c r="H223" s="125">
        <v>9.6999999999999993</v>
      </c>
      <c r="I223" s="111">
        <v>4</v>
      </c>
      <c r="J223" s="117">
        <f t="shared" si="125"/>
        <v>0.22387599999999996</v>
      </c>
      <c r="K223" s="118"/>
      <c r="L223" s="111"/>
      <c r="M223" s="117">
        <f t="shared" si="126"/>
        <v>0</v>
      </c>
      <c r="N223" s="228">
        <f t="shared" si="127"/>
        <v>4</v>
      </c>
      <c r="O223" s="229">
        <f t="shared" si="128"/>
        <v>0.22387599999999996</v>
      </c>
      <c r="P223" s="32"/>
      <c r="Q223" s="32"/>
      <c r="R223" s="32"/>
      <c r="S223" s="32"/>
    </row>
    <row r="224" spans="1:19" ht="15.6">
      <c r="A224" s="110" t="s">
        <v>391</v>
      </c>
      <c r="B224" s="111" t="s">
        <v>232</v>
      </c>
      <c r="C224" s="112" t="s">
        <v>430</v>
      </c>
      <c r="D224" s="113" t="s">
        <v>17</v>
      </c>
      <c r="E224" s="114" t="s">
        <v>15</v>
      </c>
      <c r="F224" s="115" t="s">
        <v>16</v>
      </c>
      <c r="G224" s="116">
        <v>5.77</v>
      </c>
      <c r="H224" s="125">
        <v>9</v>
      </c>
      <c r="I224" s="111">
        <v>1</v>
      </c>
      <c r="J224" s="117">
        <f t="shared" si="125"/>
        <v>5.192999999999999E-2</v>
      </c>
      <c r="K224" s="118"/>
      <c r="L224" s="111"/>
      <c r="M224" s="117">
        <f t="shared" si="126"/>
        <v>0</v>
      </c>
      <c r="N224" s="228">
        <f t="shared" si="127"/>
        <v>1</v>
      </c>
      <c r="O224" s="229">
        <f t="shared" si="128"/>
        <v>5.192999999999999E-2</v>
      </c>
      <c r="P224" s="32"/>
      <c r="Q224" s="32"/>
      <c r="R224" s="32"/>
      <c r="S224" s="32"/>
    </row>
    <row r="225" spans="1:19" ht="15.6">
      <c r="A225" s="110" t="s">
        <v>391</v>
      </c>
      <c r="B225" s="111" t="s">
        <v>232</v>
      </c>
      <c r="C225" s="112" t="s">
        <v>430</v>
      </c>
      <c r="D225" s="113" t="s">
        <v>17</v>
      </c>
      <c r="E225" s="114" t="s">
        <v>15</v>
      </c>
      <c r="F225" s="115" t="s">
        <v>16</v>
      </c>
      <c r="G225" s="116">
        <v>5.77</v>
      </c>
      <c r="H225" s="125">
        <v>11</v>
      </c>
      <c r="I225" s="111">
        <v>1</v>
      </c>
      <c r="J225" s="117">
        <f t="shared" si="125"/>
        <v>6.3469999999999999E-2</v>
      </c>
      <c r="K225" s="118"/>
      <c r="L225" s="111">
        <v>1</v>
      </c>
      <c r="M225" s="117">
        <f t="shared" si="126"/>
        <v>6.3469999999999999E-2</v>
      </c>
      <c r="N225" s="228">
        <f t="shared" si="127"/>
        <v>0</v>
      </c>
      <c r="O225" s="229">
        <f t="shared" si="128"/>
        <v>0</v>
      </c>
      <c r="P225" s="32"/>
      <c r="Q225" s="32"/>
      <c r="R225" s="32"/>
      <c r="S225" s="32"/>
    </row>
    <row r="226" spans="1:19" ht="15.6">
      <c r="A226" s="110" t="s">
        <v>391</v>
      </c>
      <c r="B226" s="111" t="s">
        <v>232</v>
      </c>
      <c r="C226" s="112" t="s">
        <v>430</v>
      </c>
      <c r="D226" s="113" t="s">
        <v>17</v>
      </c>
      <c r="E226" s="114" t="s">
        <v>15</v>
      </c>
      <c r="F226" s="115" t="s">
        <v>16</v>
      </c>
      <c r="G226" s="116">
        <v>5.77</v>
      </c>
      <c r="H226" s="125">
        <v>10</v>
      </c>
      <c r="I226" s="111">
        <v>13</v>
      </c>
      <c r="J226" s="117">
        <f t="shared" si="125"/>
        <v>0.75009999999999988</v>
      </c>
      <c r="K226" s="118"/>
      <c r="L226" s="111">
        <v>5</v>
      </c>
      <c r="M226" s="117">
        <f t="shared" si="126"/>
        <v>0.28849999999999998</v>
      </c>
      <c r="N226" s="228">
        <f t="shared" si="127"/>
        <v>8</v>
      </c>
      <c r="O226" s="229">
        <f t="shared" si="128"/>
        <v>0.46159999999999995</v>
      </c>
      <c r="P226" s="32"/>
      <c r="Q226" s="32"/>
      <c r="R226" s="32"/>
      <c r="S226" s="32"/>
    </row>
    <row r="227" spans="1:19" ht="15.6">
      <c r="A227" s="110" t="s">
        <v>391</v>
      </c>
      <c r="B227" s="111" t="s">
        <v>232</v>
      </c>
      <c r="C227" s="112" t="s">
        <v>430</v>
      </c>
      <c r="D227" s="113" t="s">
        <v>17</v>
      </c>
      <c r="E227" s="114" t="s">
        <v>15</v>
      </c>
      <c r="F227" s="115" t="s">
        <v>16</v>
      </c>
      <c r="G227" s="116">
        <v>5.77</v>
      </c>
      <c r="H227" s="125">
        <v>9.4</v>
      </c>
      <c r="I227" s="111">
        <v>1</v>
      </c>
      <c r="J227" s="117">
        <f t="shared" si="125"/>
        <v>5.4238000000000001E-2</v>
      </c>
      <c r="K227" s="118"/>
      <c r="L227" s="111"/>
      <c r="M227" s="117">
        <f t="shared" si="126"/>
        <v>0</v>
      </c>
      <c r="N227" s="228">
        <f t="shared" si="127"/>
        <v>1</v>
      </c>
      <c r="O227" s="229">
        <f t="shared" si="128"/>
        <v>5.4238000000000001E-2</v>
      </c>
      <c r="P227" s="32"/>
      <c r="Q227" s="32"/>
      <c r="R227" s="32"/>
      <c r="S227" s="32"/>
    </row>
    <row r="228" spans="1:19" ht="15.6">
      <c r="A228" s="110" t="s">
        <v>391</v>
      </c>
      <c r="B228" s="111" t="s">
        <v>232</v>
      </c>
      <c r="C228" s="112" t="s">
        <v>430</v>
      </c>
      <c r="D228" s="113" t="s">
        <v>17</v>
      </c>
      <c r="E228" s="114" t="s">
        <v>15</v>
      </c>
      <c r="F228" s="115" t="s">
        <v>16</v>
      </c>
      <c r="G228" s="116">
        <v>5.77</v>
      </c>
      <c r="H228" s="125">
        <v>9.6</v>
      </c>
      <c r="I228" s="111">
        <v>4</v>
      </c>
      <c r="J228" s="117">
        <f t="shared" si="125"/>
        <v>0.22156799999999999</v>
      </c>
      <c r="K228" s="118"/>
      <c r="L228" s="111"/>
      <c r="M228" s="117">
        <f t="shared" si="126"/>
        <v>0</v>
      </c>
      <c r="N228" s="228">
        <f t="shared" si="127"/>
        <v>4</v>
      </c>
      <c r="O228" s="229">
        <f t="shared" si="128"/>
        <v>0.22156799999999999</v>
      </c>
      <c r="P228" s="32"/>
      <c r="Q228" s="32"/>
      <c r="R228" s="32"/>
      <c r="S228" s="32"/>
    </row>
    <row r="229" spans="1:19" ht="15.6">
      <c r="A229" s="110" t="s">
        <v>391</v>
      </c>
      <c r="B229" s="111" t="s">
        <v>232</v>
      </c>
      <c r="C229" s="112" t="s">
        <v>430</v>
      </c>
      <c r="D229" s="113" t="s">
        <v>17</v>
      </c>
      <c r="E229" s="114" t="s">
        <v>15</v>
      </c>
      <c r="F229" s="115" t="s">
        <v>16</v>
      </c>
      <c r="G229" s="116">
        <v>5.77</v>
      </c>
      <c r="H229" s="125">
        <v>10.5</v>
      </c>
      <c r="I229" s="111">
        <v>52</v>
      </c>
      <c r="J229" s="117">
        <f t="shared" ref="J229:J237" si="129">H229*G229*I229/1000</f>
        <v>3.1504199999999996</v>
      </c>
      <c r="K229" s="118"/>
      <c r="L229" s="111">
        <f>52+39</f>
        <v>91</v>
      </c>
      <c r="M229" s="117">
        <f t="shared" ref="M229:M237" si="130">H229*L229*G229/1000</f>
        <v>5.5132349999999999</v>
      </c>
      <c r="N229" s="228">
        <f t="shared" ref="N229:N237" si="131">I229-L229</f>
        <v>-39</v>
      </c>
      <c r="O229" s="229">
        <f t="shared" ref="O229:O237" si="132">H229*N229*G229/1000</f>
        <v>-2.3628149999999994</v>
      </c>
      <c r="P229" s="32"/>
      <c r="Q229" s="32"/>
      <c r="R229" s="32"/>
      <c r="S229" s="32"/>
    </row>
    <row r="230" spans="1:19" ht="15.6">
      <c r="A230" s="110" t="s">
        <v>391</v>
      </c>
      <c r="B230" s="111" t="s">
        <v>232</v>
      </c>
      <c r="C230" s="112" t="s">
        <v>430</v>
      </c>
      <c r="D230" s="113" t="s">
        <v>17</v>
      </c>
      <c r="E230" s="114" t="s">
        <v>15</v>
      </c>
      <c r="F230" s="115" t="s">
        <v>16</v>
      </c>
      <c r="G230" s="116">
        <v>5.77</v>
      </c>
      <c r="H230" s="125">
        <v>11.5</v>
      </c>
      <c r="I230" s="111">
        <v>47</v>
      </c>
      <c r="J230" s="117">
        <f t="shared" si="129"/>
        <v>3.1186849999999997</v>
      </c>
      <c r="K230" s="118"/>
      <c r="L230" s="111">
        <v>47</v>
      </c>
      <c r="M230" s="117">
        <f t="shared" si="130"/>
        <v>3.1186850000000002</v>
      </c>
      <c r="N230" s="228">
        <f t="shared" si="131"/>
        <v>0</v>
      </c>
      <c r="O230" s="229">
        <f t="shared" si="132"/>
        <v>0</v>
      </c>
      <c r="P230" s="32"/>
      <c r="Q230" s="32"/>
      <c r="R230" s="32"/>
      <c r="S230" s="32"/>
    </row>
    <row r="231" spans="1:19" ht="15.6">
      <c r="A231" s="110" t="s">
        <v>391</v>
      </c>
      <c r="B231" s="111" t="s">
        <v>232</v>
      </c>
      <c r="C231" s="112" t="s">
        <v>430</v>
      </c>
      <c r="D231" s="113" t="s">
        <v>17</v>
      </c>
      <c r="E231" s="114" t="s">
        <v>15</v>
      </c>
      <c r="F231" s="115" t="s">
        <v>16</v>
      </c>
      <c r="G231" s="116">
        <v>5.77</v>
      </c>
      <c r="H231" s="125">
        <v>12</v>
      </c>
      <c r="I231" s="111">
        <v>47</v>
      </c>
      <c r="J231" s="117">
        <f t="shared" si="129"/>
        <v>3.2542799999999996</v>
      </c>
      <c r="K231" s="118"/>
      <c r="L231" s="111">
        <v>47</v>
      </c>
      <c r="M231" s="117">
        <f t="shared" si="130"/>
        <v>3.2542799999999996</v>
      </c>
      <c r="N231" s="228">
        <f t="shared" si="131"/>
        <v>0</v>
      </c>
      <c r="O231" s="229">
        <f t="shared" si="132"/>
        <v>0</v>
      </c>
      <c r="P231" s="32"/>
      <c r="Q231" s="32"/>
      <c r="R231" s="32"/>
      <c r="S231" s="32"/>
    </row>
    <row r="232" spans="1:19" ht="15.6">
      <c r="A232" s="110" t="s">
        <v>391</v>
      </c>
      <c r="B232" s="111" t="s">
        <v>232</v>
      </c>
      <c r="C232" s="112" t="s">
        <v>430</v>
      </c>
      <c r="D232" s="113" t="s">
        <v>17</v>
      </c>
      <c r="E232" s="114" t="s">
        <v>15</v>
      </c>
      <c r="F232" s="115" t="s">
        <v>16</v>
      </c>
      <c r="G232" s="116">
        <v>5.77</v>
      </c>
      <c r="H232" s="125">
        <v>11.5</v>
      </c>
      <c r="I232" s="111">
        <v>48</v>
      </c>
      <c r="J232" s="117">
        <f t="shared" si="129"/>
        <v>3.1850399999999994</v>
      </c>
      <c r="K232" s="118"/>
      <c r="L232" s="111">
        <v>48</v>
      </c>
      <c r="M232" s="117">
        <f t="shared" si="130"/>
        <v>3.1850399999999999</v>
      </c>
      <c r="N232" s="228">
        <f t="shared" si="131"/>
        <v>0</v>
      </c>
      <c r="O232" s="229">
        <f t="shared" si="132"/>
        <v>0</v>
      </c>
      <c r="P232" s="32"/>
      <c r="Q232" s="32"/>
      <c r="R232" s="32"/>
      <c r="S232" s="32"/>
    </row>
    <row r="233" spans="1:19" ht="15.6">
      <c r="A233" s="110" t="s">
        <v>391</v>
      </c>
      <c r="B233" s="111" t="s">
        <v>232</v>
      </c>
      <c r="C233" s="112" t="s">
        <v>430</v>
      </c>
      <c r="D233" s="113" t="s">
        <v>17</v>
      </c>
      <c r="E233" s="114" t="s">
        <v>15</v>
      </c>
      <c r="F233" s="115" t="s">
        <v>16</v>
      </c>
      <c r="G233" s="116">
        <v>5.77</v>
      </c>
      <c r="H233" s="125">
        <v>12</v>
      </c>
      <c r="I233" s="111">
        <v>47</v>
      </c>
      <c r="J233" s="117">
        <f t="shared" si="129"/>
        <v>3.2542799999999996</v>
      </c>
      <c r="K233" s="118"/>
      <c r="L233" s="111">
        <v>47</v>
      </c>
      <c r="M233" s="117">
        <f t="shared" si="130"/>
        <v>3.2542799999999996</v>
      </c>
      <c r="N233" s="228">
        <f t="shared" si="131"/>
        <v>0</v>
      </c>
      <c r="O233" s="229">
        <f t="shared" si="132"/>
        <v>0</v>
      </c>
      <c r="P233" s="32"/>
      <c r="Q233" s="32"/>
      <c r="R233" s="32"/>
      <c r="S233" s="32"/>
    </row>
    <row r="234" spans="1:19" ht="15.6">
      <c r="A234" s="110" t="s">
        <v>391</v>
      </c>
      <c r="B234" s="111" t="s">
        <v>232</v>
      </c>
      <c r="C234" s="112" t="s">
        <v>430</v>
      </c>
      <c r="D234" s="113" t="s">
        <v>17</v>
      </c>
      <c r="E234" s="114" t="s">
        <v>15</v>
      </c>
      <c r="F234" s="115" t="s">
        <v>16</v>
      </c>
      <c r="G234" s="116">
        <v>5.77</v>
      </c>
      <c r="H234" s="125">
        <v>12</v>
      </c>
      <c r="I234" s="111">
        <v>39</v>
      </c>
      <c r="J234" s="117">
        <f t="shared" si="129"/>
        <v>2.7003599999999999</v>
      </c>
      <c r="K234" s="118"/>
      <c r="L234" s="111">
        <v>39</v>
      </c>
      <c r="M234" s="117">
        <f t="shared" si="130"/>
        <v>2.7003599999999999</v>
      </c>
      <c r="N234" s="228">
        <f t="shared" si="131"/>
        <v>0</v>
      </c>
      <c r="O234" s="229">
        <f t="shared" si="132"/>
        <v>0</v>
      </c>
      <c r="P234" s="32"/>
      <c r="Q234" s="32"/>
      <c r="R234" s="32"/>
      <c r="S234" s="32"/>
    </row>
    <row r="235" spans="1:19" ht="15.6">
      <c r="A235" s="110" t="s">
        <v>391</v>
      </c>
      <c r="B235" s="111" t="s">
        <v>232</v>
      </c>
      <c r="C235" s="112" t="s">
        <v>430</v>
      </c>
      <c r="D235" s="113" t="s">
        <v>17</v>
      </c>
      <c r="E235" s="114" t="s">
        <v>15</v>
      </c>
      <c r="F235" s="115" t="s">
        <v>16</v>
      </c>
      <c r="G235" s="116">
        <v>5.77</v>
      </c>
      <c r="H235" s="125">
        <v>12</v>
      </c>
      <c r="I235" s="111">
        <v>42</v>
      </c>
      <c r="J235" s="117">
        <f t="shared" si="129"/>
        <v>2.90808</v>
      </c>
      <c r="K235" s="118"/>
      <c r="L235" s="111">
        <v>42</v>
      </c>
      <c r="M235" s="117">
        <f t="shared" si="130"/>
        <v>2.90808</v>
      </c>
      <c r="N235" s="228">
        <f t="shared" si="131"/>
        <v>0</v>
      </c>
      <c r="O235" s="229">
        <f t="shared" si="132"/>
        <v>0</v>
      </c>
      <c r="P235" s="32"/>
      <c r="Q235" s="32"/>
      <c r="R235" s="32"/>
      <c r="S235" s="32"/>
    </row>
    <row r="236" spans="1:19" ht="15.6">
      <c r="A236" s="110" t="s">
        <v>391</v>
      </c>
      <c r="B236" s="111" t="s">
        <v>232</v>
      </c>
      <c r="C236" s="112" t="s">
        <v>430</v>
      </c>
      <c r="D236" s="113" t="s">
        <v>17</v>
      </c>
      <c r="E236" s="114" t="s">
        <v>15</v>
      </c>
      <c r="F236" s="115" t="s">
        <v>16</v>
      </c>
      <c r="G236" s="116">
        <v>5.77</v>
      </c>
      <c r="H236" s="125">
        <v>12</v>
      </c>
      <c r="I236" s="111">
        <v>44</v>
      </c>
      <c r="J236" s="117">
        <f t="shared" si="129"/>
        <v>3.0465599999999999</v>
      </c>
      <c r="K236" s="118"/>
      <c r="L236" s="111">
        <v>44</v>
      </c>
      <c r="M236" s="117">
        <f t="shared" si="130"/>
        <v>3.0465599999999999</v>
      </c>
      <c r="N236" s="228">
        <f t="shared" si="131"/>
        <v>0</v>
      </c>
      <c r="O236" s="229">
        <f t="shared" si="132"/>
        <v>0</v>
      </c>
      <c r="P236" s="32"/>
      <c r="Q236" s="32"/>
      <c r="R236" s="32"/>
      <c r="S236" s="32"/>
    </row>
    <row r="237" spans="1:19" ht="15.6">
      <c r="A237" s="110" t="s">
        <v>391</v>
      </c>
      <c r="B237" s="111" t="s">
        <v>232</v>
      </c>
      <c r="C237" s="112" t="s">
        <v>430</v>
      </c>
      <c r="D237" s="113" t="s">
        <v>17</v>
      </c>
      <c r="E237" s="114" t="s">
        <v>15</v>
      </c>
      <c r="F237" s="115" t="s">
        <v>16</v>
      </c>
      <c r="G237" s="116">
        <v>5.77</v>
      </c>
      <c r="H237" s="125">
        <v>12</v>
      </c>
      <c r="I237" s="111">
        <v>26</v>
      </c>
      <c r="J237" s="117">
        <f t="shared" si="129"/>
        <v>1.8002399999999998</v>
      </c>
      <c r="K237" s="118"/>
      <c r="L237" s="111">
        <v>26</v>
      </c>
      <c r="M237" s="117">
        <f t="shared" si="130"/>
        <v>1.8002399999999998</v>
      </c>
      <c r="N237" s="228">
        <f t="shared" si="131"/>
        <v>0</v>
      </c>
      <c r="O237" s="229">
        <f t="shared" si="132"/>
        <v>0</v>
      </c>
      <c r="P237" s="32"/>
      <c r="Q237" s="32"/>
      <c r="R237" s="32"/>
      <c r="S237" s="32"/>
    </row>
    <row r="238" spans="1:19" ht="15.6">
      <c r="A238" s="110" t="s">
        <v>391</v>
      </c>
      <c r="B238" s="111" t="s">
        <v>232</v>
      </c>
      <c r="C238" s="112" t="s">
        <v>430</v>
      </c>
      <c r="D238" s="113" t="s">
        <v>17</v>
      </c>
      <c r="E238" s="114" t="s">
        <v>15</v>
      </c>
      <c r="F238" s="115" t="s">
        <v>16</v>
      </c>
      <c r="G238" s="116">
        <v>5.77</v>
      </c>
      <c r="H238" s="125">
        <v>11.5</v>
      </c>
      <c r="I238" s="111">
        <v>9</v>
      </c>
      <c r="J238" s="117">
        <f t="shared" ref="J238:J243" si="133">H238*G238*I238/1000</f>
        <v>0.59719499999999992</v>
      </c>
      <c r="K238" s="118"/>
      <c r="L238" s="111">
        <v>9</v>
      </c>
      <c r="M238" s="117">
        <f t="shared" ref="M238:M243" si="134">H238*L238*G238/1000</f>
        <v>0.59719499999999992</v>
      </c>
      <c r="N238" s="228">
        <f t="shared" ref="N238:N243" si="135">I238-L238</f>
        <v>0</v>
      </c>
      <c r="O238" s="229">
        <f t="shared" ref="O238:O243" si="136">H238*N238*G238/1000</f>
        <v>0</v>
      </c>
      <c r="P238" s="32"/>
      <c r="Q238" s="32"/>
      <c r="R238" s="32"/>
      <c r="S238" s="32"/>
    </row>
    <row r="239" spans="1:19" ht="15.6">
      <c r="A239" s="110" t="s">
        <v>391</v>
      </c>
      <c r="B239" s="111" t="s">
        <v>232</v>
      </c>
      <c r="C239" s="112" t="s">
        <v>430</v>
      </c>
      <c r="D239" s="113" t="s">
        <v>17</v>
      </c>
      <c r="E239" s="114" t="s">
        <v>15</v>
      </c>
      <c r="F239" s="115" t="s">
        <v>16</v>
      </c>
      <c r="G239" s="116">
        <v>5.77</v>
      </c>
      <c r="H239" s="125">
        <v>11</v>
      </c>
      <c r="I239" s="111">
        <v>21</v>
      </c>
      <c r="J239" s="117">
        <f t="shared" si="133"/>
        <v>1.33287</v>
      </c>
      <c r="K239" s="118"/>
      <c r="L239" s="111">
        <v>21</v>
      </c>
      <c r="M239" s="117">
        <f t="shared" si="134"/>
        <v>1.33287</v>
      </c>
      <c r="N239" s="228">
        <f t="shared" si="135"/>
        <v>0</v>
      </c>
      <c r="O239" s="229">
        <f t="shared" si="136"/>
        <v>0</v>
      </c>
      <c r="P239" s="32"/>
      <c r="Q239" s="32"/>
      <c r="R239" s="32"/>
      <c r="S239" s="32"/>
    </row>
    <row r="240" spans="1:19" ht="15.6">
      <c r="A240" s="110" t="s">
        <v>391</v>
      </c>
      <c r="B240" s="111" t="s">
        <v>232</v>
      </c>
      <c r="C240" s="112" t="s">
        <v>430</v>
      </c>
      <c r="D240" s="113" t="s">
        <v>17</v>
      </c>
      <c r="E240" s="114" t="s">
        <v>15</v>
      </c>
      <c r="F240" s="115" t="s">
        <v>16</v>
      </c>
      <c r="G240" s="116">
        <v>5.77</v>
      </c>
      <c r="H240" s="125">
        <v>10.5</v>
      </c>
      <c r="I240" s="111">
        <v>4</v>
      </c>
      <c r="J240" s="117">
        <f t="shared" si="133"/>
        <v>0.24233999999999997</v>
      </c>
      <c r="K240" s="118"/>
      <c r="L240" s="111">
        <v>4</v>
      </c>
      <c r="M240" s="117">
        <f t="shared" si="134"/>
        <v>0.24233999999999997</v>
      </c>
      <c r="N240" s="228">
        <f t="shared" si="135"/>
        <v>0</v>
      </c>
      <c r="O240" s="229">
        <f t="shared" si="136"/>
        <v>0</v>
      </c>
      <c r="P240" s="32"/>
      <c r="Q240" s="32"/>
      <c r="R240" s="32"/>
      <c r="S240" s="32"/>
    </row>
    <row r="241" spans="1:19" ht="15.6">
      <c r="A241" s="110" t="s">
        <v>391</v>
      </c>
      <c r="B241" s="111" t="s">
        <v>232</v>
      </c>
      <c r="C241" s="112" t="s">
        <v>430</v>
      </c>
      <c r="D241" s="113" t="s">
        <v>17</v>
      </c>
      <c r="E241" s="114" t="s">
        <v>15</v>
      </c>
      <c r="F241" s="115" t="s">
        <v>16</v>
      </c>
      <c r="G241" s="116">
        <v>5.77</v>
      </c>
      <c r="H241" s="125">
        <v>10.5</v>
      </c>
      <c r="I241" s="111">
        <v>44</v>
      </c>
      <c r="J241" s="117">
        <f t="shared" si="133"/>
        <v>2.66574</v>
      </c>
      <c r="K241" s="118"/>
      <c r="L241" s="111">
        <v>44</v>
      </c>
      <c r="M241" s="117">
        <f t="shared" si="134"/>
        <v>2.66574</v>
      </c>
      <c r="N241" s="228">
        <f t="shared" si="135"/>
        <v>0</v>
      </c>
      <c r="O241" s="229">
        <f t="shared" si="136"/>
        <v>0</v>
      </c>
      <c r="P241" s="32"/>
      <c r="Q241" s="32"/>
      <c r="R241" s="32"/>
      <c r="S241" s="32"/>
    </row>
    <row r="242" spans="1:19" ht="15.6">
      <c r="A242" s="110" t="s">
        <v>391</v>
      </c>
      <c r="B242" s="111" t="s">
        <v>232</v>
      </c>
      <c r="C242" s="112" t="s">
        <v>430</v>
      </c>
      <c r="D242" s="113" t="s">
        <v>17</v>
      </c>
      <c r="E242" s="114" t="s">
        <v>15</v>
      </c>
      <c r="F242" s="115" t="s">
        <v>16</v>
      </c>
      <c r="G242" s="116">
        <v>5.77</v>
      </c>
      <c r="H242" s="125">
        <v>10</v>
      </c>
      <c r="I242" s="111">
        <v>15</v>
      </c>
      <c r="J242" s="117">
        <f t="shared" si="133"/>
        <v>0.86549999999999994</v>
      </c>
      <c r="K242" s="118"/>
      <c r="L242" s="111">
        <v>15</v>
      </c>
      <c r="M242" s="117">
        <f t="shared" si="134"/>
        <v>0.86549999999999994</v>
      </c>
      <c r="N242" s="228">
        <f t="shared" si="135"/>
        <v>0</v>
      </c>
      <c r="O242" s="229">
        <f t="shared" si="136"/>
        <v>0</v>
      </c>
      <c r="P242" s="32"/>
      <c r="Q242" s="32"/>
      <c r="R242" s="32"/>
      <c r="S242" s="32"/>
    </row>
    <row r="243" spans="1:19" ht="15.6">
      <c r="A243" s="110" t="s">
        <v>391</v>
      </c>
      <c r="B243" s="111" t="s">
        <v>232</v>
      </c>
      <c r="C243" s="112" t="s">
        <v>430</v>
      </c>
      <c r="D243" s="113" t="s">
        <v>17</v>
      </c>
      <c r="E243" s="114" t="s">
        <v>15</v>
      </c>
      <c r="F243" s="115" t="s">
        <v>16</v>
      </c>
      <c r="G243" s="116">
        <v>5.77</v>
      </c>
      <c r="H243" s="125">
        <v>8</v>
      </c>
      <c r="I243" s="111">
        <v>24</v>
      </c>
      <c r="J243" s="117">
        <f t="shared" si="133"/>
        <v>1.1078399999999999</v>
      </c>
      <c r="K243" s="118"/>
      <c r="L243" s="111">
        <v>24</v>
      </c>
      <c r="M243" s="117">
        <f t="shared" si="134"/>
        <v>1.1078399999999999</v>
      </c>
      <c r="N243" s="228">
        <f t="shared" si="135"/>
        <v>0</v>
      </c>
      <c r="O243" s="229">
        <f t="shared" si="136"/>
        <v>0</v>
      </c>
      <c r="P243" s="32"/>
      <c r="Q243" s="32"/>
      <c r="R243" s="32"/>
      <c r="S243" s="32"/>
    </row>
    <row r="244" spans="1:19" ht="15.6">
      <c r="A244" s="110" t="s">
        <v>391</v>
      </c>
      <c r="B244" s="111" t="s">
        <v>232</v>
      </c>
      <c r="C244" s="112" t="s">
        <v>430</v>
      </c>
      <c r="D244" s="113" t="s">
        <v>17</v>
      </c>
      <c r="E244" s="114" t="s">
        <v>15</v>
      </c>
      <c r="F244" s="115" t="s">
        <v>16</v>
      </c>
      <c r="G244" s="116">
        <v>5.77</v>
      </c>
      <c r="H244" s="125">
        <v>11.5</v>
      </c>
      <c r="I244" s="111">
        <v>40</v>
      </c>
      <c r="J244" s="117">
        <f t="shared" ref="J244:J256" si="137">H244*G244*I244/1000</f>
        <v>2.6541999999999999</v>
      </c>
      <c r="K244" s="118"/>
      <c r="L244" s="111">
        <v>40</v>
      </c>
      <c r="M244" s="117">
        <f t="shared" ref="M244:M256" si="138">H244*L244*G244/1000</f>
        <v>2.6541999999999999</v>
      </c>
      <c r="N244" s="228">
        <f t="shared" ref="N244:N256" si="139">I244-L244</f>
        <v>0</v>
      </c>
      <c r="O244" s="229">
        <f t="shared" ref="O244:O256" si="140">H244*N244*G244/1000</f>
        <v>0</v>
      </c>
      <c r="P244" s="32"/>
      <c r="Q244" s="32"/>
      <c r="R244" s="32"/>
      <c r="S244" s="32"/>
    </row>
    <row r="245" spans="1:19" ht="15.6">
      <c r="A245" s="110" t="s">
        <v>391</v>
      </c>
      <c r="B245" s="111" t="s">
        <v>232</v>
      </c>
      <c r="C245" s="112" t="s">
        <v>430</v>
      </c>
      <c r="D245" s="113" t="s">
        <v>17</v>
      </c>
      <c r="E245" s="114" t="s">
        <v>15</v>
      </c>
      <c r="F245" s="115" t="s">
        <v>16</v>
      </c>
      <c r="G245" s="116">
        <v>5.77</v>
      </c>
      <c r="H245" s="125">
        <v>11</v>
      </c>
      <c r="I245" s="111">
        <v>40</v>
      </c>
      <c r="J245" s="117">
        <f t="shared" si="137"/>
        <v>2.5388000000000002</v>
      </c>
      <c r="K245" s="118"/>
      <c r="L245" s="111">
        <v>40</v>
      </c>
      <c r="M245" s="117">
        <f t="shared" si="138"/>
        <v>2.5387999999999997</v>
      </c>
      <c r="N245" s="228">
        <f t="shared" si="139"/>
        <v>0</v>
      </c>
      <c r="O245" s="229">
        <f t="shared" si="140"/>
        <v>0</v>
      </c>
      <c r="P245" s="32"/>
      <c r="Q245" s="32"/>
      <c r="R245" s="32"/>
      <c r="S245" s="32"/>
    </row>
    <row r="246" spans="1:19" ht="15.6">
      <c r="A246" s="110" t="s">
        <v>391</v>
      </c>
      <c r="B246" s="111" t="s">
        <v>232</v>
      </c>
      <c r="C246" s="112" t="s">
        <v>430</v>
      </c>
      <c r="D246" s="113" t="s">
        <v>17</v>
      </c>
      <c r="E246" s="114" t="s">
        <v>15</v>
      </c>
      <c r="F246" s="115" t="s">
        <v>16</v>
      </c>
      <c r="G246" s="116">
        <v>5.77</v>
      </c>
      <c r="H246" s="125">
        <v>11.5</v>
      </c>
      <c r="I246" s="111">
        <v>42</v>
      </c>
      <c r="J246" s="117">
        <f t="shared" si="137"/>
        <v>2.7869099999999993</v>
      </c>
      <c r="K246" s="118"/>
      <c r="L246" s="111">
        <v>42</v>
      </c>
      <c r="M246" s="117">
        <f t="shared" si="138"/>
        <v>2.7869099999999998</v>
      </c>
      <c r="N246" s="228">
        <f t="shared" si="139"/>
        <v>0</v>
      </c>
      <c r="O246" s="229">
        <f t="shared" si="140"/>
        <v>0</v>
      </c>
      <c r="P246" s="32"/>
      <c r="Q246" s="32"/>
      <c r="R246" s="32"/>
      <c r="S246" s="32"/>
    </row>
    <row r="247" spans="1:19" ht="15.6">
      <c r="A247" s="110" t="s">
        <v>391</v>
      </c>
      <c r="B247" s="111" t="s">
        <v>232</v>
      </c>
      <c r="C247" s="112" t="s">
        <v>430</v>
      </c>
      <c r="D247" s="113" t="s">
        <v>17</v>
      </c>
      <c r="E247" s="114" t="s">
        <v>15</v>
      </c>
      <c r="F247" s="115" t="s">
        <v>16</v>
      </c>
      <c r="G247" s="116">
        <v>5.77</v>
      </c>
      <c r="H247" s="125">
        <v>10</v>
      </c>
      <c r="I247" s="111">
        <v>50</v>
      </c>
      <c r="J247" s="117">
        <f t="shared" si="137"/>
        <v>2.8849999999999998</v>
      </c>
      <c r="K247" s="118"/>
      <c r="L247" s="111">
        <v>50</v>
      </c>
      <c r="M247" s="117">
        <f t="shared" si="138"/>
        <v>2.8849999999999998</v>
      </c>
      <c r="N247" s="228">
        <f t="shared" si="139"/>
        <v>0</v>
      </c>
      <c r="O247" s="229">
        <f t="shared" si="140"/>
        <v>0</v>
      </c>
      <c r="P247" s="32"/>
      <c r="Q247" s="32"/>
      <c r="R247" s="32"/>
      <c r="S247" s="32"/>
    </row>
    <row r="248" spans="1:19" ht="15.6">
      <c r="A248" s="110" t="s">
        <v>391</v>
      </c>
      <c r="B248" s="111" t="s">
        <v>232</v>
      </c>
      <c r="C248" s="112" t="s">
        <v>430</v>
      </c>
      <c r="D248" s="113" t="s">
        <v>17</v>
      </c>
      <c r="E248" s="114" t="s">
        <v>15</v>
      </c>
      <c r="F248" s="115" t="s">
        <v>16</v>
      </c>
      <c r="G248" s="116">
        <v>5.77</v>
      </c>
      <c r="H248" s="125">
        <v>10.5</v>
      </c>
      <c r="I248" s="111">
        <v>19</v>
      </c>
      <c r="J248" s="117">
        <f t="shared" si="137"/>
        <v>1.1511149999999999</v>
      </c>
      <c r="K248" s="118"/>
      <c r="L248" s="111">
        <v>19</v>
      </c>
      <c r="M248" s="117">
        <f t="shared" si="138"/>
        <v>1.1511150000000001</v>
      </c>
      <c r="N248" s="228">
        <f t="shared" si="139"/>
        <v>0</v>
      </c>
      <c r="O248" s="229">
        <f t="shared" si="140"/>
        <v>0</v>
      </c>
      <c r="P248" s="32"/>
      <c r="Q248" s="32"/>
      <c r="R248" s="32"/>
      <c r="S248" s="32"/>
    </row>
    <row r="249" spans="1:19" ht="15.6">
      <c r="A249" s="110" t="s">
        <v>391</v>
      </c>
      <c r="B249" s="111" t="s">
        <v>232</v>
      </c>
      <c r="C249" s="112" t="s">
        <v>430</v>
      </c>
      <c r="D249" s="113" t="s">
        <v>17</v>
      </c>
      <c r="E249" s="114" t="s">
        <v>15</v>
      </c>
      <c r="F249" s="115" t="s">
        <v>16</v>
      </c>
      <c r="G249" s="116">
        <v>5.77</v>
      </c>
      <c r="H249" s="125">
        <v>11.5</v>
      </c>
      <c r="I249" s="111">
        <v>32</v>
      </c>
      <c r="J249" s="117">
        <f t="shared" si="137"/>
        <v>2.1233599999999995</v>
      </c>
      <c r="K249" s="118"/>
      <c r="L249" s="111">
        <v>32</v>
      </c>
      <c r="M249" s="117">
        <f t="shared" si="138"/>
        <v>2.1233599999999995</v>
      </c>
      <c r="N249" s="228">
        <f t="shared" si="139"/>
        <v>0</v>
      </c>
      <c r="O249" s="229">
        <f t="shared" si="140"/>
        <v>0</v>
      </c>
      <c r="P249" s="32"/>
      <c r="Q249" s="32"/>
      <c r="R249" s="32"/>
      <c r="S249" s="32"/>
    </row>
    <row r="250" spans="1:19" ht="15.6">
      <c r="A250" s="110" t="s">
        <v>391</v>
      </c>
      <c r="B250" s="111" t="s">
        <v>232</v>
      </c>
      <c r="C250" s="112" t="s">
        <v>430</v>
      </c>
      <c r="D250" s="113" t="s">
        <v>17</v>
      </c>
      <c r="E250" s="114" t="s">
        <v>15</v>
      </c>
      <c r="F250" s="115" t="s">
        <v>16</v>
      </c>
      <c r="G250" s="116">
        <v>5.77</v>
      </c>
      <c r="H250" s="125">
        <v>12</v>
      </c>
      <c r="I250" s="111">
        <v>33</v>
      </c>
      <c r="J250" s="117">
        <f t="shared" si="137"/>
        <v>2.2849199999999996</v>
      </c>
      <c r="K250" s="118"/>
      <c r="L250" s="111">
        <v>33</v>
      </c>
      <c r="M250" s="117">
        <f t="shared" si="138"/>
        <v>2.2849199999999996</v>
      </c>
      <c r="N250" s="228">
        <f t="shared" si="139"/>
        <v>0</v>
      </c>
      <c r="O250" s="229">
        <f t="shared" si="140"/>
        <v>0</v>
      </c>
      <c r="P250" s="32"/>
      <c r="Q250" s="32"/>
      <c r="R250" s="32"/>
      <c r="S250" s="32"/>
    </row>
    <row r="251" spans="1:19" ht="15.6">
      <c r="A251" s="110" t="s">
        <v>391</v>
      </c>
      <c r="B251" s="111" t="s">
        <v>232</v>
      </c>
      <c r="C251" s="112" t="s">
        <v>430</v>
      </c>
      <c r="D251" s="113" t="s">
        <v>17</v>
      </c>
      <c r="E251" s="114" t="s">
        <v>15</v>
      </c>
      <c r="F251" s="115" t="s">
        <v>16</v>
      </c>
      <c r="G251" s="116">
        <v>5.77</v>
      </c>
      <c r="H251" s="125">
        <v>8</v>
      </c>
      <c r="I251" s="111">
        <v>1</v>
      </c>
      <c r="J251" s="117">
        <f t="shared" si="137"/>
        <v>4.616E-2</v>
      </c>
      <c r="K251" s="118"/>
      <c r="L251" s="111"/>
      <c r="M251" s="117">
        <f t="shared" si="138"/>
        <v>0</v>
      </c>
      <c r="N251" s="228">
        <f t="shared" si="139"/>
        <v>1</v>
      </c>
      <c r="O251" s="229">
        <f t="shared" si="140"/>
        <v>4.616E-2</v>
      </c>
      <c r="P251" s="32"/>
      <c r="Q251" s="32"/>
      <c r="R251" s="32"/>
      <c r="S251" s="32"/>
    </row>
    <row r="252" spans="1:19" ht="15.6">
      <c r="A252" s="110" t="s">
        <v>391</v>
      </c>
      <c r="B252" s="111" t="s">
        <v>232</v>
      </c>
      <c r="C252" s="112" t="s">
        <v>430</v>
      </c>
      <c r="D252" s="113" t="s">
        <v>17</v>
      </c>
      <c r="E252" s="114" t="s">
        <v>15</v>
      </c>
      <c r="F252" s="115" t="s">
        <v>16</v>
      </c>
      <c r="G252" s="116">
        <v>5.77</v>
      </c>
      <c r="H252" s="125">
        <v>12</v>
      </c>
      <c r="I252" s="111">
        <v>1</v>
      </c>
      <c r="J252" s="117">
        <f t="shared" si="137"/>
        <v>6.9239999999999996E-2</v>
      </c>
      <c r="K252" s="118"/>
      <c r="L252" s="111">
        <v>1</v>
      </c>
      <c r="M252" s="117">
        <f t="shared" si="138"/>
        <v>6.9239999999999996E-2</v>
      </c>
      <c r="N252" s="228">
        <f t="shared" si="139"/>
        <v>0</v>
      </c>
      <c r="O252" s="229">
        <f t="shared" si="140"/>
        <v>0</v>
      </c>
      <c r="P252" s="32"/>
      <c r="Q252" s="32"/>
      <c r="R252" s="32"/>
      <c r="S252" s="32"/>
    </row>
    <row r="253" spans="1:19" ht="15.6">
      <c r="A253" s="110" t="s">
        <v>391</v>
      </c>
      <c r="B253" s="111" t="s">
        <v>232</v>
      </c>
      <c r="C253" s="112" t="s">
        <v>430</v>
      </c>
      <c r="D253" s="113" t="s">
        <v>17</v>
      </c>
      <c r="E253" s="114" t="s">
        <v>15</v>
      </c>
      <c r="F253" s="115" t="s">
        <v>16</v>
      </c>
      <c r="G253" s="116">
        <v>5.77</v>
      </c>
      <c r="H253" s="125">
        <v>9.6999999999999993</v>
      </c>
      <c r="I253" s="111">
        <v>2</v>
      </c>
      <c r="J253" s="117">
        <f t="shared" si="137"/>
        <v>0.11193799999999998</v>
      </c>
      <c r="K253" s="118"/>
      <c r="L253" s="111"/>
      <c r="M253" s="117">
        <f t="shared" si="138"/>
        <v>0</v>
      </c>
      <c r="N253" s="228">
        <f t="shared" si="139"/>
        <v>2</v>
      </c>
      <c r="O253" s="229">
        <f t="shared" si="140"/>
        <v>0.11193799999999998</v>
      </c>
      <c r="P253" s="32"/>
      <c r="Q253" s="32"/>
      <c r="R253" s="32"/>
      <c r="S253" s="32"/>
    </row>
    <row r="254" spans="1:19" ht="15.6">
      <c r="A254" s="110" t="s">
        <v>391</v>
      </c>
      <c r="B254" s="111" t="s">
        <v>232</v>
      </c>
      <c r="C254" s="112" t="s">
        <v>430</v>
      </c>
      <c r="D254" s="113" t="s">
        <v>17</v>
      </c>
      <c r="E254" s="114" t="s">
        <v>15</v>
      </c>
      <c r="F254" s="115" t="s">
        <v>16</v>
      </c>
      <c r="G254" s="116">
        <v>5.77</v>
      </c>
      <c r="H254" s="125">
        <v>7.4</v>
      </c>
      <c r="I254" s="111">
        <v>1</v>
      </c>
      <c r="J254" s="117">
        <f t="shared" si="137"/>
        <v>4.2698E-2</v>
      </c>
      <c r="K254" s="118"/>
      <c r="L254" s="111"/>
      <c r="M254" s="117">
        <f t="shared" si="138"/>
        <v>0</v>
      </c>
      <c r="N254" s="228">
        <f t="shared" si="139"/>
        <v>1</v>
      </c>
      <c r="O254" s="229">
        <f t="shared" si="140"/>
        <v>4.2698E-2</v>
      </c>
      <c r="P254" s="32"/>
      <c r="Q254" s="32"/>
      <c r="R254" s="32"/>
      <c r="S254" s="32"/>
    </row>
    <row r="255" spans="1:19" ht="15.6">
      <c r="A255" s="110" t="s">
        <v>391</v>
      </c>
      <c r="B255" s="111" t="s">
        <v>232</v>
      </c>
      <c r="C255" s="112" t="s">
        <v>430</v>
      </c>
      <c r="D255" s="113" t="s">
        <v>17</v>
      </c>
      <c r="E255" s="114" t="s">
        <v>15</v>
      </c>
      <c r="F255" s="115" t="s">
        <v>16</v>
      </c>
      <c r="G255" s="116">
        <v>5.77</v>
      </c>
      <c r="H255" s="125">
        <v>5.6</v>
      </c>
      <c r="I255" s="111">
        <v>1</v>
      </c>
      <c r="J255" s="117">
        <f t="shared" si="137"/>
        <v>3.2312E-2</v>
      </c>
      <c r="K255" s="118"/>
      <c r="L255" s="111"/>
      <c r="M255" s="117">
        <f t="shared" si="138"/>
        <v>0</v>
      </c>
      <c r="N255" s="228">
        <f t="shared" si="139"/>
        <v>1</v>
      </c>
      <c r="O255" s="229">
        <f t="shared" si="140"/>
        <v>3.2312E-2</v>
      </c>
      <c r="P255" s="32"/>
      <c r="Q255" s="32"/>
      <c r="R255" s="32"/>
      <c r="S255" s="32"/>
    </row>
    <row r="256" spans="1:19" ht="15.6">
      <c r="A256" s="110" t="s">
        <v>391</v>
      </c>
      <c r="B256" s="111" t="s">
        <v>232</v>
      </c>
      <c r="C256" s="112" t="s">
        <v>430</v>
      </c>
      <c r="D256" s="113" t="s">
        <v>17</v>
      </c>
      <c r="E256" s="114" t="s">
        <v>15</v>
      </c>
      <c r="F256" s="115" t="s">
        <v>16</v>
      </c>
      <c r="G256" s="116">
        <v>5.77</v>
      </c>
      <c r="H256" s="125">
        <v>9.5</v>
      </c>
      <c r="I256" s="111">
        <v>2</v>
      </c>
      <c r="J256" s="117">
        <f t="shared" si="137"/>
        <v>0.10962999999999999</v>
      </c>
      <c r="K256" s="118"/>
      <c r="L256" s="111"/>
      <c r="M256" s="117">
        <f t="shared" si="138"/>
        <v>0</v>
      </c>
      <c r="N256" s="228">
        <f t="shared" si="139"/>
        <v>2</v>
      </c>
      <c r="O256" s="229">
        <f t="shared" si="140"/>
        <v>0.10962999999999999</v>
      </c>
      <c r="P256" s="32"/>
      <c r="Q256" s="32"/>
      <c r="R256" s="32"/>
      <c r="S256" s="32"/>
    </row>
    <row r="257" spans="1:20" ht="15.6">
      <c r="A257" s="110" t="s">
        <v>391</v>
      </c>
      <c r="B257" s="111" t="s">
        <v>232</v>
      </c>
      <c r="C257" s="112" t="s">
        <v>430</v>
      </c>
      <c r="D257" s="113" t="s">
        <v>17</v>
      </c>
      <c r="E257" s="114" t="s">
        <v>15</v>
      </c>
      <c r="F257" s="115" t="s">
        <v>16</v>
      </c>
      <c r="G257" s="116">
        <v>5.77</v>
      </c>
      <c r="H257" s="125">
        <v>12</v>
      </c>
      <c r="I257" s="111">
        <v>42</v>
      </c>
      <c r="J257" s="117">
        <f t="shared" ref="J257" si="141">H257*G257*I257/1000</f>
        <v>2.90808</v>
      </c>
      <c r="K257" s="118"/>
      <c r="L257" s="111">
        <v>42</v>
      </c>
      <c r="M257" s="117">
        <f t="shared" ref="M257" si="142">H257*L257*G257/1000</f>
        <v>2.90808</v>
      </c>
      <c r="N257" s="228">
        <f t="shared" ref="N257" si="143">I257-L257</f>
        <v>0</v>
      </c>
      <c r="O257" s="229">
        <f t="shared" ref="O257" si="144">H257*N257*G257/1000</f>
        <v>0</v>
      </c>
      <c r="P257" s="32"/>
      <c r="Q257" s="32"/>
      <c r="R257" s="32"/>
      <c r="S257" s="32"/>
    </row>
    <row r="258" spans="1:20" ht="15.6">
      <c r="A258" s="110" t="s">
        <v>391</v>
      </c>
      <c r="B258" s="111" t="s">
        <v>232</v>
      </c>
      <c r="C258" s="112" t="s">
        <v>430</v>
      </c>
      <c r="D258" s="113" t="s">
        <v>17</v>
      </c>
      <c r="E258" s="114" t="s">
        <v>15</v>
      </c>
      <c r="F258" s="115" t="s">
        <v>16</v>
      </c>
      <c r="G258" s="116">
        <v>5.77</v>
      </c>
      <c r="H258" s="125">
        <v>12</v>
      </c>
      <c r="I258" s="111">
        <v>42</v>
      </c>
      <c r="J258" s="117">
        <f t="shared" ref="J258:J264" si="145">H258*G258*I258/1000</f>
        <v>2.90808</v>
      </c>
      <c r="K258" s="118"/>
      <c r="L258" s="111">
        <v>42</v>
      </c>
      <c r="M258" s="117">
        <f t="shared" ref="M258:M264" si="146">H258*L258*G258/1000</f>
        <v>2.90808</v>
      </c>
      <c r="N258" s="228">
        <f t="shared" ref="N258:N264" si="147">I258-L258</f>
        <v>0</v>
      </c>
      <c r="O258" s="229">
        <f t="shared" ref="O258:O260" si="148">H258*N258*G258/1000</f>
        <v>0</v>
      </c>
      <c r="P258" s="32"/>
      <c r="Q258" s="32"/>
      <c r="R258" s="32"/>
      <c r="S258" s="32"/>
    </row>
    <row r="259" spans="1:20" ht="15.6">
      <c r="A259" s="110" t="s">
        <v>391</v>
      </c>
      <c r="B259" s="111" t="s">
        <v>232</v>
      </c>
      <c r="C259" s="112" t="s">
        <v>430</v>
      </c>
      <c r="D259" s="113" t="s">
        <v>17</v>
      </c>
      <c r="E259" s="114" t="s">
        <v>15</v>
      </c>
      <c r="F259" s="115" t="s">
        <v>16</v>
      </c>
      <c r="G259" s="116">
        <v>5.77</v>
      </c>
      <c r="H259" s="125">
        <v>12</v>
      </c>
      <c r="I259" s="111">
        <v>40</v>
      </c>
      <c r="J259" s="117">
        <f t="shared" si="145"/>
        <v>2.7696000000000001</v>
      </c>
      <c r="K259" s="118"/>
      <c r="L259" s="111">
        <v>40</v>
      </c>
      <c r="M259" s="117">
        <f t="shared" si="146"/>
        <v>2.7696000000000001</v>
      </c>
      <c r="N259" s="228">
        <f t="shared" si="147"/>
        <v>0</v>
      </c>
      <c r="O259" s="229">
        <f t="shared" si="148"/>
        <v>0</v>
      </c>
      <c r="P259" s="32"/>
      <c r="Q259" s="32"/>
      <c r="R259" s="32"/>
      <c r="S259" s="32"/>
    </row>
    <row r="260" spans="1:20" ht="15.6">
      <c r="A260" s="110" t="s">
        <v>391</v>
      </c>
      <c r="B260" s="111" t="s">
        <v>232</v>
      </c>
      <c r="C260" s="112" t="s">
        <v>430</v>
      </c>
      <c r="D260" s="113" t="s">
        <v>17</v>
      </c>
      <c r="E260" s="114" t="s">
        <v>15</v>
      </c>
      <c r="F260" s="115" t="s">
        <v>16</v>
      </c>
      <c r="G260" s="116">
        <v>5.77</v>
      </c>
      <c r="H260" s="125">
        <v>12</v>
      </c>
      <c r="I260" s="111">
        <v>41</v>
      </c>
      <c r="J260" s="117">
        <f t="shared" si="145"/>
        <v>2.8388399999999998</v>
      </c>
      <c r="K260" s="118"/>
      <c r="L260" s="111">
        <v>41</v>
      </c>
      <c r="M260" s="117">
        <f t="shared" si="146"/>
        <v>2.8388399999999998</v>
      </c>
      <c r="N260" s="228">
        <f t="shared" si="147"/>
        <v>0</v>
      </c>
      <c r="O260" s="229">
        <f t="shared" si="148"/>
        <v>0</v>
      </c>
      <c r="P260" s="32"/>
      <c r="Q260" s="32"/>
      <c r="R260" s="32"/>
      <c r="S260" s="32"/>
    </row>
    <row r="261" spans="1:20" ht="15.6">
      <c r="A261" s="110" t="s">
        <v>391</v>
      </c>
      <c r="B261" s="111" t="s">
        <v>232</v>
      </c>
      <c r="C261" s="112" t="s">
        <v>430</v>
      </c>
      <c r="D261" s="113" t="s">
        <v>17</v>
      </c>
      <c r="E261" s="114" t="s">
        <v>15</v>
      </c>
      <c r="F261" s="115" t="s">
        <v>16</v>
      </c>
      <c r="G261" s="116">
        <v>5.77</v>
      </c>
      <c r="H261" s="125">
        <v>12</v>
      </c>
      <c r="I261" s="111">
        <v>40</v>
      </c>
      <c r="J261" s="117">
        <f t="shared" si="145"/>
        <v>2.7696000000000001</v>
      </c>
      <c r="K261" s="118"/>
      <c r="L261" s="111">
        <v>40</v>
      </c>
      <c r="M261" s="117">
        <f t="shared" si="146"/>
        <v>2.7696000000000001</v>
      </c>
      <c r="N261" s="228">
        <f t="shared" si="147"/>
        <v>0</v>
      </c>
      <c r="O261" s="229">
        <f>H261*N261*G261/1000</f>
        <v>0</v>
      </c>
      <c r="P261" s="32"/>
      <c r="Q261" s="32"/>
      <c r="R261" s="32"/>
      <c r="S261" s="32"/>
    </row>
    <row r="262" spans="1:20" ht="15.6">
      <c r="A262" s="110" t="s">
        <v>391</v>
      </c>
      <c r="B262" s="111" t="s">
        <v>232</v>
      </c>
      <c r="C262" s="112" t="s">
        <v>430</v>
      </c>
      <c r="D262" s="113" t="s">
        <v>17</v>
      </c>
      <c r="E262" s="114" t="s">
        <v>15</v>
      </c>
      <c r="F262" s="115" t="s">
        <v>16</v>
      </c>
      <c r="G262" s="116">
        <v>5.77</v>
      </c>
      <c r="H262" s="125">
        <v>11.5</v>
      </c>
      <c r="I262" s="111">
        <v>42</v>
      </c>
      <c r="J262" s="117">
        <f t="shared" si="145"/>
        <v>2.7869099999999993</v>
      </c>
      <c r="K262" s="118"/>
      <c r="L262" s="111">
        <f>32+10</f>
        <v>42</v>
      </c>
      <c r="M262" s="117">
        <f t="shared" si="146"/>
        <v>2.7869099999999998</v>
      </c>
      <c r="N262" s="228">
        <f t="shared" si="147"/>
        <v>0</v>
      </c>
      <c r="O262" s="229">
        <f>H262*N262*G262/1000</f>
        <v>0</v>
      </c>
      <c r="P262" s="32"/>
      <c r="Q262" s="32"/>
      <c r="R262" s="32"/>
      <c r="S262" s="32"/>
    </row>
    <row r="263" spans="1:20" ht="15.6">
      <c r="A263" s="110" t="s">
        <v>391</v>
      </c>
      <c r="B263" s="111" t="s">
        <v>232</v>
      </c>
      <c r="C263" s="112" t="s">
        <v>430</v>
      </c>
      <c r="D263" s="113" t="s">
        <v>17</v>
      </c>
      <c r="E263" s="114" t="s">
        <v>15</v>
      </c>
      <c r="F263" s="115" t="s">
        <v>16</v>
      </c>
      <c r="G263" s="116">
        <v>5.77</v>
      </c>
      <c r="H263" s="125">
        <v>10.5</v>
      </c>
      <c r="I263" s="111">
        <v>40</v>
      </c>
      <c r="J263" s="117">
        <f t="shared" si="145"/>
        <v>2.4233999999999996</v>
      </c>
      <c r="K263" s="118"/>
      <c r="L263" s="111">
        <v>40</v>
      </c>
      <c r="M263" s="117">
        <f t="shared" si="146"/>
        <v>2.4233999999999996</v>
      </c>
      <c r="N263" s="228">
        <f t="shared" si="147"/>
        <v>0</v>
      </c>
      <c r="O263" s="229">
        <f>H263*N263*G263/1000</f>
        <v>0</v>
      </c>
      <c r="P263" s="32"/>
      <c r="Q263" s="32"/>
      <c r="R263" s="32"/>
      <c r="S263" s="32"/>
    </row>
    <row r="264" spans="1:20" ht="15.6">
      <c r="A264" s="110" t="s">
        <v>391</v>
      </c>
      <c r="B264" s="111" t="s">
        <v>232</v>
      </c>
      <c r="C264" s="112" t="s">
        <v>430</v>
      </c>
      <c r="D264" s="113" t="s">
        <v>17</v>
      </c>
      <c r="E264" s="114" t="s">
        <v>15</v>
      </c>
      <c r="F264" s="115" t="s">
        <v>16</v>
      </c>
      <c r="G264" s="116">
        <v>5.77</v>
      </c>
      <c r="H264" s="125">
        <v>12</v>
      </c>
      <c r="I264" s="111">
        <v>42</v>
      </c>
      <c r="J264" s="117">
        <f t="shared" si="145"/>
        <v>2.90808</v>
      </c>
      <c r="K264" s="118"/>
      <c r="L264" s="111">
        <v>42</v>
      </c>
      <c r="M264" s="117">
        <f t="shared" si="146"/>
        <v>2.90808</v>
      </c>
      <c r="N264" s="228">
        <f t="shared" si="147"/>
        <v>0</v>
      </c>
      <c r="O264" s="229">
        <f>H264*N264*G264/1000</f>
        <v>0</v>
      </c>
      <c r="P264" s="32"/>
      <c r="Q264" s="32"/>
      <c r="R264" s="32"/>
      <c r="S264" s="32"/>
    </row>
    <row r="265" spans="1:20">
      <c r="A265" s="32"/>
      <c r="B265" s="32"/>
      <c r="C265" s="32"/>
      <c r="D265" s="32"/>
      <c r="E265" s="32"/>
      <c r="F265" s="32"/>
      <c r="G265" s="32"/>
      <c r="H265" s="32"/>
      <c r="I265" s="129">
        <f>SUM(I215:I264)</f>
        <v>1277</v>
      </c>
      <c r="J265" s="124">
        <f>SUM(J215:J264)</f>
        <v>83.229653500000012</v>
      </c>
      <c r="K265" s="32"/>
      <c r="L265" s="129">
        <f>SUM(L215:L264)</f>
        <v>1284</v>
      </c>
      <c r="M265" s="124">
        <f>SUM(M215:M264)</f>
        <v>83.895800000000008</v>
      </c>
      <c r="N265" s="402">
        <f>SUM(N215:N264)</f>
        <v>-7</v>
      </c>
      <c r="O265" s="403">
        <f>SUM(O215:O264)</f>
        <v>-0.66614649999999953</v>
      </c>
      <c r="P265" s="32"/>
      <c r="Q265" s="32"/>
      <c r="R265" s="32"/>
      <c r="S265" s="32"/>
    </row>
    <row r="267" spans="1:20" ht="15.6">
      <c r="A267" s="110" t="s">
        <v>391</v>
      </c>
      <c r="B267" s="111" t="s">
        <v>227</v>
      </c>
      <c r="C267" s="112" t="s">
        <v>430</v>
      </c>
      <c r="D267" s="113" t="s">
        <v>24</v>
      </c>
      <c r="E267" s="114" t="s">
        <v>14</v>
      </c>
      <c r="F267" s="115" t="s">
        <v>16</v>
      </c>
      <c r="G267" s="116">
        <v>5.77</v>
      </c>
      <c r="H267" s="125">
        <v>11.5</v>
      </c>
      <c r="I267" s="111">
        <v>2</v>
      </c>
      <c r="J267" s="117">
        <f t="shared" ref="J267" si="149">H267*G267*I267/1000</f>
        <v>0.13270999999999997</v>
      </c>
      <c r="K267" s="118"/>
      <c r="L267" s="111">
        <v>2</v>
      </c>
      <c r="M267" s="117">
        <f t="shared" ref="M267" si="150">H267*L267*G267/1000</f>
        <v>0.13270999999999997</v>
      </c>
      <c r="N267" s="119">
        <f t="shared" ref="N267" si="151">I267-L267</f>
        <v>0</v>
      </c>
      <c r="O267" s="120">
        <f t="shared" ref="O267" si="152">H267*N267*G267/1000</f>
        <v>0</v>
      </c>
      <c r="P267" s="32"/>
      <c r="Q267" s="32"/>
      <c r="R267" s="32"/>
      <c r="S267" s="32"/>
    </row>
    <row r="268" spans="1:20" ht="15.6">
      <c r="A268" s="110" t="s">
        <v>391</v>
      </c>
      <c r="B268" s="111" t="s">
        <v>227</v>
      </c>
      <c r="C268" s="112" t="s">
        <v>430</v>
      </c>
      <c r="D268" s="113" t="s">
        <v>24</v>
      </c>
      <c r="E268" s="114" t="s">
        <v>14</v>
      </c>
      <c r="F268" s="115" t="s">
        <v>16</v>
      </c>
      <c r="G268" s="116">
        <v>5.77</v>
      </c>
      <c r="H268" s="125">
        <v>11</v>
      </c>
      <c r="I268" s="111">
        <v>9</v>
      </c>
      <c r="J268" s="117">
        <f t="shared" ref="J268:J279" si="153">H268*G268*I268/1000</f>
        <v>0.57123000000000002</v>
      </c>
      <c r="K268" s="118"/>
      <c r="L268" s="111">
        <f>5+4</f>
        <v>9</v>
      </c>
      <c r="M268" s="117">
        <f t="shared" ref="M268:M279" si="154">H268*L268*G268/1000</f>
        <v>0.5712299999999999</v>
      </c>
      <c r="N268" s="119">
        <f t="shared" ref="N268:N279" si="155">I268-L268</f>
        <v>0</v>
      </c>
      <c r="O268" s="120">
        <f t="shared" ref="O268:O277" si="156">H268*N268*G268/1000</f>
        <v>0</v>
      </c>
      <c r="P268" s="32"/>
      <c r="Q268" s="32"/>
      <c r="R268" s="32"/>
      <c r="S268" s="32"/>
    </row>
    <row r="269" spans="1:20" ht="15.6">
      <c r="A269" s="110" t="s">
        <v>391</v>
      </c>
      <c r="B269" s="111" t="s">
        <v>227</v>
      </c>
      <c r="C269" s="112" t="s">
        <v>430</v>
      </c>
      <c r="D269" s="113" t="s">
        <v>24</v>
      </c>
      <c r="E269" s="114" t="s">
        <v>14</v>
      </c>
      <c r="F269" s="115" t="s">
        <v>16</v>
      </c>
      <c r="G269" s="116">
        <v>5.77</v>
      </c>
      <c r="H269" s="125">
        <v>10.5</v>
      </c>
      <c r="I269" s="111">
        <v>3</v>
      </c>
      <c r="J269" s="117">
        <f t="shared" si="153"/>
        <v>0.181755</v>
      </c>
      <c r="K269" s="118"/>
      <c r="L269" s="111">
        <v>3</v>
      </c>
      <c r="M269" s="117">
        <f t="shared" si="154"/>
        <v>0.181755</v>
      </c>
      <c r="N269" s="119">
        <f t="shared" si="155"/>
        <v>0</v>
      </c>
      <c r="O269" s="120">
        <f t="shared" si="156"/>
        <v>0</v>
      </c>
      <c r="P269" s="32"/>
      <c r="Q269" s="32"/>
      <c r="R269" s="32"/>
      <c r="S269" s="32"/>
    </row>
    <row r="270" spans="1:20" ht="15.6">
      <c r="A270" s="110" t="s">
        <v>391</v>
      </c>
      <c r="B270" s="111" t="s">
        <v>227</v>
      </c>
      <c r="C270" s="112" t="s">
        <v>430</v>
      </c>
      <c r="D270" s="113" t="s">
        <v>24</v>
      </c>
      <c r="E270" s="114" t="s">
        <v>14</v>
      </c>
      <c r="F270" s="115" t="s">
        <v>16</v>
      </c>
      <c r="G270" s="116">
        <v>5.77</v>
      </c>
      <c r="H270" s="125">
        <v>10</v>
      </c>
      <c r="I270" s="111">
        <v>3</v>
      </c>
      <c r="J270" s="117">
        <f t="shared" si="153"/>
        <v>0.1731</v>
      </c>
      <c r="K270" s="118"/>
      <c r="L270" s="111">
        <v>3</v>
      </c>
      <c r="M270" s="117">
        <f t="shared" si="154"/>
        <v>0.1731</v>
      </c>
      <c r="N270" s="119">
        <f t="shared" si="155"/>
        <v>0</v>
      </c>
      <c r="O270" s="120">
        <f t="shared" si="156"/>
        <v>0</v>
      </c>
      <c r="P270" s="32"/>
      <c r="Q270" s="32"/>
      <c r="R270" s="32"/>
      <c r="S270" s="32"/>
    </row>
    <row r="271" spans="1:20" ht="15.6">
      <c r="A271" s="110" t="s">
        <v>391</v>
      </c>
      <c r="B271" s="111" t="s">
        <v>227</v>
      </c>
      <c r="C271" s="112" t="s">
        <v>430</v>
      </c>
      <c r="D271" s="113" t="s">
        <v>24</v>
      </c>
      <c r="E271" s="114" t="s">
        <v>14</v>
      </c>
      <c r="F271" s="115" t="s">
        <v>16</v>
      </c>
      <c r="G271" s="116">
        <v>5.77</v>
      </c>
      <c r="H271" s="125">
        <v>10</v>
      </c>
      <c r="I271" s="111">
        <v>2</v>
      </c>
      <c r="J271" s="117">
        <f t="shared" si="153"/>
        <v>0.11539999999999999</v>
      </c>
      <c r="K271" s="118"/>
      <c r="L271" s="111">
        <v>2</v>
      </c>
      <c r="M271" s="117">
        <f t="shared" si="154"/>
        <v>0.11539999999999999</v>
      </c>
      <c r="N271" s="119">
        <f t="shared" si="155"/>
        <v>0</v>
      </c>
      <c r="O271" s="120">
        <f t="shared" si="156"/>
        <v>0</v>
      </c>
      <c r="P271" s="32"/>
      <c r="Q271" s="32"/>
      <c r="R271" s="32"/>
      <c r="S271" s="32"/>
    </row>
    <row r="272" spans="1:20" ht="15.6">
      <c r="A272" s="110" t="s">
        <v>391</v>
      </c>
      <c r="B272" s="111" t="s">
        <v>227</v>
      </c>
      <c r="C272" s="112" t="s">
        <v>430</v>
      </c>
      <c r="D272" s="113" t="s">
        <v>24</v>
      </c>
      <c r="E272" s="114" t="s">
        <v>14</v>
      </c>
      <c r="F272" s="115" t="s">
        <v>16</v>
      </c>
      <c r="G272" s="116">
        <v>5.77</v>
      </c>
      <c r="H272" s="125">
        <v>12</v>
      </c>
      <c r="I272" s="111">
        <v>10</v>
      </c>
      <c r="J272" s="117">
        <f t="shared" si="153"/>
        <v>0.69240000000000002</v>
      </c>
      <c r="K272" s="118"/>
      <c r="L272" s="111">
        <f>3+4+3</f>
        <v>10</v>
      </c>
      <c r="M272" s="117">
        <f t="shared" si="154"/>
        <v>0.69240000000000002</v>
      </c>
      <c r="N272" s="119">
        <f t="shared" si="155"/>
        <v>0</v>
      </c>
      <c r="O272" s="120">
        <f t="shared" si="156"/>
        <v>0</v>
      </c>
      <c r="P272" s="32">
        <v>11</v>
      </c>
      <c r="Q272" s="32">
        <v>4</v>
      </c>
      <c r="R272" s="97">
        <v>12</v>
      </c>
      <c r="S272" s="45">
        <v>3</v>
      </c>
      <c r="T272" s="213" t="s">
        <v>631</v>
      </c>
    </row>
    <row r="273" spans="1:21" ht="15.6">
      <c r="A273" s="110" t="s">
        <v>391</v>
      </c>
      <c r="B273" s="111" t="s">
        <v>227</v>
      </c>
      <c r="C273" s="112" t="s">
        <v>430</v>
      </c>
      <c r="D273" s="113" t="s">
        <v>24</v>
      </c>
      <c r="E273" s="114" t="s">
        <v>14</v>
      </c>
      <c r="F273" s="115" t="s">
        <v>16</v>
      </c>
      <c r="G273" s="116">
        <v>5.77</v>
      </c>
      <c r="H273" s="125">
        <v>9.8000000000000007</v>
      </c>
      <c r="I273" s="111">
        <v>1</v>
      </c>
      <c r="J273" s="117">
        <f t="shared" si="153"/>
        <v>5.6545999999999999E-2</v>
      </c>
      <c r="K273" s="118"/>
      <c r="L273" s="111">
        <v>1</v>
      </c>
      <c r="M273" s="117">
        <f t="shared" si="154"/>
        <v>5.6545999999999999E-2</v>
      </c>
      <c r="N273" s="119">
        <f t="shared" si="155"/>
        <v>0</v>
      </c>
      <c r="O273" s="120">
        <f t="shared" si="156"/>
        <v>0</v>
      </c>
      <c r="P273" s="32"/>
      <c r="Q273" s="32"/>
      <c r="R273" s="97">
        <v>7.25</v>
      </c>
      <c r="S273" s="45">
        <v>1</v>
      </c>
      <c r="T273" s="213" t="s">
        <v>631</v>
      </c>
    </row>
    <row r="274" spans="1:21" ht="15.6">
      <c r="A274" s="110" t="s">
        <v>391</v>
      </c>
      <c r="B274" s="111" t="s">
        <v>227</v>
      </c>
      <c r="C274" s="112" t="s">
        <v>430</v>
      </c>
      <c r="D274" s="113" t="s">
        <v>24</v>
      </c>
      <c r="E274" s="114" t="s">
        <v>14</v>
      </c>
      <c r="F274" s="115" t="s">
        <v>16</v>
      </c>
      <c r="G274" s="116">
        <v>5.77</v>
      </c>
      <c r="H274" s="125">
        <v>12</v>
      </c>
      <c r="I274" s="111">
        <v>15</v>
      </c>
      <c r="J274" s="117">
        <f t="shared" si="153"/>
        <v>1.0386</v>
      </c>
      <c r="K274" s="118"/>
      <c r="L274" s="111">
        <v>15</v>
      </c>
      <c r="M274" s="117">
        <f t="shared" si="154"/>
        <v>1.0386</v>
      </c>
      <c r="N274" s="119">
        <f t="shared" si="155"/>
        <v>0</v>
      </c>
      <c r="O274" s="120">
        <f t="shared" si="156"/>
        <v>0</v>
      </c>
      <c r="P274" s="32"/>
      <c r="Q274" s="32"/>
      <c r="R274" s="32"/>
      <c r="S274" s="32"/>
    </row>
    <row r="275" spans="1:21" ht="15.6">
      <c r="A275" s="110" t="s">
        <v>391</v>
      </c>
      <c r="B275" s="111" t="s">
        <v>227</v>
      </c>
      <c r="C275" s="112" t="s">
        <v>430</v>
      </c>
      <c r="D275" s="113" t="s">
        <v>24</v>
      </c>
      <c r="E275" s="114" t="s">
        <v>14</v>
      </c>
      <c r="F275" s="115" t="s">
        <v>16</v>
      </c>
      <c r="G275" s="116">
        <v>5.77</v>
      </c>
      <c r="H275" s="125">
        <v>10</v>
      </c>
      <c r="I275" s="111">
        <v>6</v>
      </c>
      <c r="J275" s="117">
        <f t="shared" si="153"/>
        <v>0.34620000000000001</v>
      </c>
      <c r="K275" s="118"/>
      <c r="L275" s="111">
        <v>6</v>
      </c>
      <c r="M275" s="117">
        <f t="shared" si="154"/>
        <v>0.34620000000000001</v>
      </c>
      <c r="N275" s="119">
        <f t="shared" si="155"/>
        <v>0</v>
      </c>
      <c r="O275" s="120">
        <f t="shared" si="156"/>
        <v>0</v>
      </c>
      <c r="P275" s="32"/>
      <c r="Q275" s="32"/>
      <c r="R275" s="32"/>
      <c r="S275" s="32"/>
    </row>
    <row r="276" spans="1:21" ht="15.6">
      <c r="A276" s="110" t="s">
        <v>391</v>
      </c>
      <c r="B276" s="111" t="s">
        <v>227</v>
      </c>
      <c r="C276" s="112" t="s">
        <v>430</v>
      </c>
      <c r="D276" s="113" t="s">
        <v>24</v>
      </c>
      <c r="E276" s="114" t="s">
        <v>14</v>
      </c>
      <c r="F276" s="115" t="s">
        <v>16</v>
      </c>
      <c r="G276" s="116">
        <v>5.77</v>
      </c>
      <c r="H276" s="125">
        <v>11</v>
      </c>
      <c r="I276" s="111">
        <v>8</v>
      </c>
      <c r="J276" s="117">
        <f t="shared" si="153"/>
        <v>0.50775999999999999</v>
      </c>
      <c r="K276" s="118"/>
      <c r="L276" s="111">
        <v>8</v>
      </c>
      <c r="M276" s="117">
        <f t="shared" si="154"/>
        <v>0.50775999999999999</v>
      </c>
      <c r="N276" s="119">
        <f t="shared" si="155"/>
        <v>0</v>
      </c>
      <c r="O276" s="120">
        <f t="shared" si="156"/>
        <v>0</v>
      </c>
      <c r="P276" s="32"/>
      <c r="Q276" s="32"/>
      <c r="R276" s="32"/>
      <c r="S276" s="32"/>
    </row>
    <row r="277" spans="1:21" ht="15.6">
      <c r="A277" s="110" t="s">
        <v>391</v>
      </c>
      <c r="B277" s="111" t="s">
        <v>227</v>
      </c>
      <c r="C277" s="112" t="s">
        <v>430</v>
      </c>
      <c r="D277" s="113" t="s">
        <v>24</v>
      </c>
      <c r="E277" s="114" t="s">
        <v>14</v>
      </c>
      <c r="F277" s="115" t="s">
        <v>16</v>
      </c>
      <c r="G277" s="116">
        <v>5.77</v>
      </c>
      <c r="H277" s="125">
        <v>10.5</v>
      </c>
      <c r="I277" s="111">
        <v>5</v>
      </c>
      <c r="J277" s="117">
        <f t="shared" si="153"/>
        <v>0.30292499999999994</v>
      </c>
      <c r="K277" s="118"/>
      <c r="L277" s="111">
        <v>5</v>
      </c>
      <c r="M277" s="117">
        <f t="shared" si="154"/>
        <v>0.30292499999999994</v>
      </c>
      <c r="N277" s="119">
        <f t="shared" si="155"/>
        <v>0</v>
      </c>
      <c r="O277" s="120">
        <f t="shared" si="156"/>
        <v>0</v>
      </c>
      <c r="P277" s="32"/>
      <c r="Q277" s="32"/>
      <c r="R277" s="32"/>
      <c r="S277" s="32"/>
    </row>
    <row r="278" spans="1:21" ht="15.6">
      <c r="A278" s="110" t="s">
        <v>391</v>
      </c>
      <c r="B278" s="111" t="s">
        <v>227</v>
      </c>
      <c r="C278" s="112" t="s">
        <v>430</v>
      </c>
      <c r="D278" s="113" t="s">
        <v>24</v>
      </c>
      <c r="E278" s="114" t="s">
        <v>14</v>
      </c>
      <c r="F278" s="115" t="s">
        <v>16</v>
      </c>
      <c r="G278" s="116">
        <v>5.77</v>
      </c>
      <c r="H278" s="125">
        <v>11.5</v>
      </c>
      <c r="I278" s="111">
        <v>3</v>
      </c>
      <c r="J278" s="117">
        <f t="shared" si="153"/>
        <v>0.19906499999999996</v>
      </c>
      <c r="K278" s="118"/>
      <c r="L278" s="111">
        <v>3</v>
      </c>
      <c r="M278" s="117">
        <f t="shared" si="154"/>
        <v>0.19906499999999999</v>
      </c>
      <c r="N278" s="119">
        <f t="shared" si="155"/>
        <v>0</v>
      </c>
      <c r="O278" s="120">
        <f>H278*N278*G278/1000</f>
        <v>0</v>
      </c>
      <c r="P278" s="32"/>
      <c r="Q278" s="32"/>
      <c r="R278" s="32"/>
      <c r="S278" s="32"/>
    </row>
    <row r="279" spans="1:21" ht="15.6">
      <c r="A279" s="110" t="s">
        <v>391</v>
      </c>
      <c r="B279" s="111" t="s">
        <v>227</v>
      </c>
      <c r="C279" s="112" t="s">
        <v>430</v>
      </c>
      <c r="D279" s="113" t="s">
        <v>24</v>
      </c>
      <c r="E279" s="114" t="s">
        <v>14</v>
      </c>
      <c r="F279" s="115" t="s">
        <v>16</v>
      </c>
      <c r="G279" s="116">
        <v>5.77</v>
      </c>
      <c r="H279" s="125">
        <v>12</v>
      </c>
      <c r="I279" s="111">
        <v>5</v>
      </c>
      <c r="J279" s="117">
        <f t="shared" si="153"/>
        <v>0.34620000000000001</v>
      </c>
      <c r="K279" s="118"/>
      <c r="L279" s="111">
        <f>2+3</f>
        <v>5</v>
      </c>
      <c r="M279" s="117">
        <f t="shared" si="154"/>
        <v>0.34620000000000001</v>
      </c>
      <c r="N279" s="119">
        <f t="shared" si="155"/>
        <v>0</v>
      </c>
      <c r="O279" s="120">
        <f>H279*N279*G279/1000</f>
        <v>0</v>
      </c>
      <c r="P279" s="32">
        <v>11.5</v>
      </c>
      <c r="Q279" s="32">
        <v>2</v>
      </c>
      <c r="R279" s="45">
        <v>12</v>
      </c>
      <c r="S279" s="45">
        <v>3</v>
      </c>
      <c r="T279" s="213" t="s">
        <v>631</v>
      </c>
    </row>
    <row r="280" spans="1:21">
      <c r="A280" s="32"/>
      <c r="B280" s="32"/>
      <c r="C280" s="32"/>
      <c r="D280" s="32"/>
      <c r="E280" s="32"/>
      <c r="F280" s="32"/>
      <c r="G280" s="32"/>
      <c r="H280" s="32"/>
      <c r="I280" s="129">
        <f>SUM(I267:I279)</f>
        <v>72</v>
      </c>
      <c r="J280" s="132">
        <f>SUM(J267:J279)</f>
        <v>4.6638909999999996</v>
      </c>
      <c r="K280" s="32"/>
      <c r="L280" s="129">
        <f>SUM(L267:L279)</f>
        <v>72</v>
      </c>
      <c r="M280" s="132">
        <f>SUM(M267:M279)</f>
        <v>4.6638909999999996</v>
      </c>
      <c r="N280" s="131">
        <f>SUM(N267:N279)</f>
        <v>0</v>
      </c>
      <c r="O280" s="132">
        <f>SUM(O267:O279)</f>
        <v>0</v>
      </c>
      <c r="P280" s="32"/>
      <c r="Q280" s="32"/>
      <c r="R280" s="32"/>
      <c r="S280" s="32"/>
    </row>
    <row r="283" spans="1:21" ht="15.6">
      <c r="A283" s="110" t="s">
        <v>502</v>
      </c>
      <c r="B283" s="111" t="s">
        <v>501</v>
      </c>
      <c r="C283" s="112" t="s">
        <v>468</v>
      </c>
      <c r="D283" s="113" t="s">
        <v>131</v>
      </c>
      <c r="E283" s="114" t="s">
        <v>15</v>
      </c>
      <c r="F283" s="115" t="s">
        <v>18</v>
      </c>
      <c r="G283" s="116">
        <v>6.86</v>
      </c>
      <c r="H283" s="319">
        <v>9</v>
      </c>
      <c r="I283" s="313">
        <f>16+44+40+34+30</f>
        <v>164</v>
      </c>
      <c r="J283" s="117">
        <f t="shared" ref="J283" si="157">H283*G283*I283/1000</f>
        <v>10.125360000000001</v>
      </c>
      <c r="K283" s="118"/>
      <c r="L283" s="111">
        <f>160-24+18+10</f>
        <v>164</v>
      </c>
      <c r="M283" s="117">
        <f t="shared" ref="M283" si="158">H283*L283*G283/1000</f>
        <v>10.125360000000001</v>
      </c>
      <c r="N283" s="119">
        <f t="shared" ref="N283" si="159">I283-L283</f>
        <v>0</v>
      </c>
      <c r="O283" s="120">
        <f t="shared" ref="O283" si="160">H283*N283*G283/1000</f>
        <v>0</v>
      </c>
      <c r="P283" s="32"/>
      <c r="Q283" s="32"/>
      <c r="R283" s="32"/>
      <c r="S283" s="33">
        <v>7.8</v>
      </c>
      <c r="T283" s="45">
        <v>10</v>
      </c>
    </row>
    <row r="284" spans="1:21" ht="15.6">
      <c r="A284" s="110" t="s">
        <v>502</v>
      </c>
      <c r="B284" s="111" t="s">
        <v>501</v>
      </c>
      <c r="C284" s="112" t="s">
        <v>468</v>
      </c>
      <c r="D284" s="113" t="s">
        <v>131</v>
      </c>
      <c r="E284" s="114" t="s">
        <v>15</v>
      </c>
      <c r="F284" s="115" t="s">
        <v>18</v>
      </c>
      <c r="G284" s="116">
        <v>6.86</v>
      </c>
      <c r="H284" s="319">
        <v>10</v>
      </c>
      <c r="I284" s="313">
        <f>6+52</f>
        <v>58</v>
      </c>
      <c r="J284" s="117">
        <f t="shared" ref="J284:J300" si="161">H284*G284*I284/1000</f>
        <v>3.9788000000000006</v>
      </c>
      <c r="K284" s="118"/>
      <c r="L284" s="111">
        <f>6+35+17</f>
        <v>58</v>
      </c>
      <c r="M284" s="117">
        <f t="shared" ref="M284:M300" si="162">H284*L284*G284/1000</f>
        <v>3.9788000000000001</v>
      </c>
      <c r="N284" s="119">
        <f t="shared" ref="N284:N300" si="163">I284-L284</f>
        <v>0</v>
      </c>
      <c r="O284" s="120">
        <f t="shared" ref="O284:O300" si="164">H284*N284*G284/1000</f>
        <v>0</v>
      </c>
      <c r="P284" s="32"/>
      <c r="Q284" s="32"/>
      <c r="R284" s="32"/>
      <c r="S284" s="33" t="s">
        <v>797</v>
      </c>
      <c r="T284" s="354">
        <f>35+7+17</f>
        <v>59</v>
      </c>
      <c r="U284" s="213" t="s">
        <v>798</v>
      </c>
    </row>
    <row r="285" spans="1:21" ht="15.6">
      <c r="A285" s="110" t="s">
        <v>502</v>
      </c>
      <c r="B285" s="111" t="s">
        <v>501</v>
      </c>
      <c r="C285" s="112" t="s">
        <v>468</v>
      </c>
      <c r="D285" s="113" t="s">
        <v>131</v>
      </c>
      <c r="E285" s="114" t="s">
        <v>15</v>
      </c>
      <c r="F285" s="115" t="s">
        <v>18</v>
      </c>
      <c r="G285" s="116">
        <v>6.86</v>
      </c>
      <c r="H285" s="125">
        <v>11.5</v>
      </c>
      <c r="I285" s="313">
        <f>40+48+44+42+42+42+42+39+41+40+40+40+40+37+40</f>
        <v>617</v>
      </c>
      <c r="J285" s="117">
        <f t="shared" si="161"/>
        <v>48.675129999999996</v>
      </c>
      <c r="K285" s="118"/>
      <c r="L285" s="111">
        <v>617</v>
      </c>
      <c r="M285" s="117">
        <f t="shared" si="162"/>
        <v>48.675130000000003</v>
      </c>
      <c r="N285" s="119">
        <f t="shared" si="163"/>
        <v>0</v>
      </c>
      <c r="O285" s="120">
        <f t="shared" si="164"/>
        <v>0</v>
      </c>
      <c r="P285" s="32"/>
      <c r="Q285" s="32"/>
      <c r="R285" s="32"/>
      <c r="S285" s="33"/>
    </row>
    <row r="286" spans="1:21" ht="15.6">
      <c r="A286" s="110" t="s">
        <v>502</v>
      </c>
      <c r="B286" s="111" t="s">
        <v>501</v>
      </c>
      <c r="C286" s="112" t="s">
        <v>468</v>
      </c>
      <c r="D286" s="113" t="s">
        <v>131</v>
      </c>
      <c r="E286" s="114" t="s">
        <v>15</v>
      </c>
      <c r="F286" s="115" t="s">
        <v>18</v>
      </c>
      <c r="G286" s="116">
        <v>6.86</v>
      </c>
      <c r="H286" s="125">
        <v>11</v>
      </c>
      <c r="I286" s="111">
        <v>7</v>
      </c>
      <c r="J286" s="117">
        <f t="shared" si="161"/>
        <v>0.52822000000000002</v>
      </c>
      <c r="K286" s="118"/>
      <c r="L286" s="111">
        <f>5+2</f>
        <v>7</v>
      </c>
      <c r="M286" s="117">
        <f t="shared" si="162"/>
        <v>0.52822000000000002</v>
      </c>
      <c r="N286" s="119">
        <f t="shared" si="163"/>
        <v>0</v>
      </c>
      <c r="O286" s="120">
        <f t="shared" si="164"/>
        <v>0</v>
      </c>
      <c r="P286" s="33">
        <v>11</v>
      </c>
      <c r="Q286" s="45">
        <v>5</v>
      </c>
      <c r="R286" s="32" t="s">
        <v>631</v>
      </c>
      <c r="S286" s="33">
        <v>11</v>
      </c>
      <c r="T286">
        <v>2</v>
      </c>
      <c r="U286" s="213" t="s">
        <v>233</v>
      </c>
    </row>
    <row r="287" spans="1:21" ht="15.6">
      <c r="A287" s="110" t="s">
        <v>502</v>
      </c>
      <c r="B287" s="111" t="s">
        <v>501</v>
      </c>
      <c r="C287" s="112" t="s">
        <v>468</v>
      </c>
      <c r="D287" s="113" t="s">
        <v>131</v>
      </c>
      <c r="E287" s="114" t="s">
        <v>15</v>
      </c>
      <c r="F287" s="115" t="s">
        <v>18</v>
      </c>
      <c r="G287" s="116">
        <v>6.86</v>
      </c>
      <c r="H287" s="125">
        <v>10.5</v>
      </c>
      <c r="I287" s="111">
        <v>1</v>
      </c>
      <c r="J287" s="117">
        <f t="shared" si="161"/>
        <v>7.2029999999999997E-2</v>
      </c>
      <c r="K287" s="118"/>
      <c r="L287" s="111">
        <v>1</v>
      </c>
      <c r="M287" s="117">
        <f t="shared" si="162"/>
        <v>7.2029999999999997E-2</v>
      </c>
      <c r="N287" s="119">
        <f t="shared" si="163"/>
        <v>0</v>
      </c>
      <c r="O287" s="120">
        <f t="shared" si="164"/>
        <v>0</v>
      </c>
      <c r="P287" s="33"/>
      <c r="Q287" s="32"/>
      <c r="R287" s="32"/>
      <c r="S287" s="33">
        <v>10.5</v>
      </c>
      <c r="T287">
        <v>1</v>
      </c>
      <c r="U287" s="213" t="s">
        <v>233</v>
      </c>
    </row>
    <row r="288" spans="1:21" ht="15.6">
      <c r="A288" s="110" t="s">
        <v>502</v>
      </c>
      <c r="B288" s="111" t="s">
        <v>501</v>
      </c>
      <c r="C288" s="112" t="s">
        <v>468</v>
      </c>
      <c r="D288" s="113" t="s">
        <v>131</v>
      </c>
      <c r="E288" s="114" t="s">
        <v>15</v>
      </c>
      <c r="F288" s="115" t="s">
        <v>18</v>
      </c>
      <c r="G288" s="116">
        <v>6.86</v>
      </c>
      <c r="H288" s="125">
        <v>10</v>
      </c>
      <c r="I288" s="111">
        <v>16</v>
      </c>
      <c r="J288" s="117">
        <f t="shared" si="161"/>
        <v>1.0976000000000001</v>
      </c>
      <c r="K288" s="118"/>
      <c r="L288" s="111">
        <f>1+15</f>
        <v>16</v>
      </c>
      <c r="M288" s="117">
        <f t="shared" si="162"/>
        <v>1.0976000000000001</v>
      </c>
      <c r="N288" s="119">
        <f t="shared" si="163"/>
        <v>0</v>
      </c>
      <c r="O288" s="120">
        <f t="shared" si="164"/>
        <v>0</v>
      </c>
      <c r="P288" s="33"/>
      <c r="Q288" s="32"/>
      <c r="R288" s="32"/>
      <c r="S288" s="33">
        <v>7.8</v>
      </c>
      <c r="T288" s="354">
        <v>15</v>
      </c>
    </row>
    <row r="289" spans="1:20" ht="15.6">
      <c r="A289" s="110" t="s">
        <v>502</v>
      </c>
      <c r="B289" s="111" t="s">
        <v>501</v>
      </c>
      <c r="C289" s="112" t="s">
        <v>468</v>
      </c>
      <c r="D289" s="113" t="s">
        <v>131</v>
      </c>
      <c r="E289" s="114" t="s">
        <v>15</v>
      </c>
      <c r="F289" s="115" t="s">
        <v>18</v>
      </c>
      <c r="G289" s="116">
        <v>6.86</v>
      </c>
      <c r="H289" s="125">
        <v>9.5</v>
      </c>
      <c r="I289" s="111">
        <v>2</v>
      </c>
      <c r="J289" s="117">
        <f t="shared" si="161"/>
        <v>0.13034000000000001</v>
      </c>
      <c r="K289" s="118"/>
      <c r="L289" s="111">
        <v>2</v>
      </c>
      <c r="M289" s="117">
        <f t="shared" si="162"/>
        <v>0.13034000000000001</v>
      </c>
      <c r="N289" s="119">
        <f t="shared" si="163"/>
        <v>0</v>
      </c>
      <c r="O289" s="120">
        <f t="shared" si="164"/>
        <v>0</v>
      </c>
      <c r="P289" s="33"/>
      <c r="Q289" s="32"/>
      <c r="R289" s="32"/>
      <c r="S289" s="33">
        <v>7.8</v>
      </c>
      <c r="T289" s="354">
        <v>2</v>
      </c>
    </row>
    <row r="290" spans="1:20" ht="15.6">
      <c r="A290" s="110" t="s">
        <v>502</v>
      </c>
      <c r="B290" s="111" t="s">
        <v>501</v>
      </c>
      <c r="C290" s="112" t="s">
        <v>468</v>
      </c>
      <c r="D290" s="113" t="s">
        <v>131</v>
      </c>
      <c r="E290" s="114" t="s">
        <v>15</v>
      </c>
      <c r="F290" s="115" t="s">
        <v>18</v>
      </c>
      <c r="G290" s="116">
        <v>6.86</v>
      </c>
      <c r="H290" s="125">
        <v>8.6999999999999993</v>
      </c>
      <c r="I290" s="111">
        <v>1</v>
      </c>
      <c r="J290" s="117">
        <f t="shared" si="161"/>
        <v>5.9681999999999992E-2</v>
      </c>
      <c r="K290" s="118"/>
      <c r="L290" s="111">
        <v>1</v>
      </c>
      <c r="M290" s="117">
        <f t="shared" si="162"/>
        <v>5.9681999999999992E-2</v>
      </c>
      <c r="N290" s="119">
        <f t="shared" si="163"/>
        <v>0</v>
      </c>
      <c r="O290" s="120">
        <f t="shared" si="164"/>
        <v>0</v>
      </c>
      <c r="P290" s="33"/>
      <c r="Q290" s="32"/>
      <c r="R290" s="32"/>
      <c r="S290" s="33">
        <v>7.8</v>
      </c>
      <c r="T290" s="354">
        <v>1</v>
      </c>
    </row>
    <row r="291" spans="1:20" ht="15.6">
      <c r="A291" s="110" t="s">
        <v>502</v>
      </c>
      <c r="B291" s="111" t="s">
        <v>501</v>
      </c>
      <c r="C291" s="112" t="s">
        <v>468</v>
      </c>
      <c r="D291" s="113" t="s">
        <v>131</v>
      </c>
      <c r="E291" s="114" t="s">
        <v>15</v>
      </c>
      <c r="F291" s="115" t="s">
        <v>18</v>
      </c>
      <c r="G291" s="116">
        <v>6.86</v>
      </c>
      <c r="H291" s="125">
        <v>8.5</v>
      </c>
      <c r="I291" s="111">
        <v>8</v>
      </c>
      <c r="J291" s="117">
        <f t="shared" si="161"/>
        <v>0.46648000000000001</v>
      </c>
      <c r="K291" s="118"/>
      <c r="L291" s="111">
        <v>8</v>
      </c>
      <c r="M291" s="117">
        <f t="shared" si="162"/>
        <v>0.46648000000000001</v>
      </c>
      <c r="N291" s="119">
        <f t="shared" si="163"/>
        <v>0</v>
      </c>
      <c r="O291" s="120">
        <f t="shared" si="164"/>
        <v>0</v>
      </c>
      <c r="P291" s="33"/>
      <c r="Q291" s="32"/>
      <c r="R291" s="32"/>
      <c r="S291" s="33">
        <v>7.8</v>
      </c>
      <c r="T291" s="354">
        <v>8</v>
      </c>
    </row>
    <row r="292" spans="1:20" ht="15.6">
      <c r="A292" s="110" t="s">
        <v>502</v>
      </c>
      <c r="B292" s="111" t="s">
        <v>501</v>
      </c>
      <c r="C292" s="112" t="s">
        <v>468</v>
      </c>
      <c r="D292" s="113" t="s">
        <v>131</v>
      </c>
      <c r="E292" s="114" t="s">
        <v>15</v>
      </c>
      <c r="F292" s="115" t="s">
        <v>18</v>
      </c>
      <c r="G292" s="116">
        <v>6.86</v>
      </c>
      <c r="H292" s="125">
        <v>8</v>
      </c>
      <c r="I292" s="111">
        <v>24</v>
      </c>
      <c r="J292" s="117">
        <f t="shared" si="161"/>
        <v>1.3171200000000001</v>
      </c>
      <c r="K292" s="118"/>
      <c r="L292" s="111">
        <v>24</v>
      </c>
      <c r="M292" s="117">
        <f t="shared" si="162"/>
        <v>1.3171200000000001</v>
      </c>
      <c r="N292" s="119">
        <f t="shared" si="163"/>
        <v>0</v>
      </c>
      <c r="O292" s="120">
        <f t="shared" si="164"/>
        <v>0</v>
      </c>
      <c r="P292" s="33"/>
      <c r="Q292" s="32"/>
      <c r="R292" s="32"/>
      <c r="S292" s="33">
        <v>7.8</v>
      </c>
      <c r="T292" s="354">
        <v>24</v>
      </c>
    </row>
    <row r="293" spans="1:20" ht="15.6">
      <c r="A293" s="110" t="s">
        <v>502</v>
      </c>
      <c r="B293" s="111" t="s">
        <v>501</v>
      </c>
      <c r="C293" s="112" t="s">
        <v>468</v>
      </c>
      <c r="D293" s="113" t="s">
        <v>131</v>
      </c>
      <c r="E293" s="114" t="s">
        <v>15</v>
      </c>
      <c r="F293" s="115" t="s">
        <v>18</v>
      </c>
      <c r="G293" s="116">
        <v>6.86</v>
      </c>
      <c r="H293" s="125">
        <v>7.2</v>
      </c>
      <c r="I293" s="111">
        <v>2</v>
      </c>
      <c r="J293" s="117">
        <f t="shared" si="161"/>
        <v>9.8784000000000011E-2</v>
      </c>
      <c r="K293" s="118"/>
      <c r="L293" s="111">
        <v>2</v>
      </c>
      <c r="M293" s="117">
        <f t="shared" si="162"/>
        <v>9.8784000000000011E-2</v>
      </c>
      <c r="N293" s="119">
        <f t="shared" si="163"/>
        <v>0</v>
      </c>
      <c r="O293" s="120">
        <f t="shared" si="164"/>
        <v>0</v>
      </c>
      <c r="P293" s="33"/>
      <c r="Q293" s="32"/>
      <c r="R293" s="32"/>
      <c r="S293" s="33">
        <v>6.8</v>
      </c>
      <c r="T293" s="354">
        <v>2</v>
      </c>
    </row>
    <row r="294" spans="1:20" ht="15.6">
      <c r="A294" s="110" t="s">
        <v>502</v>
      </c>
      <c r="B294" s="111" t="s">
        <v>501</v>
      </c>
      <c r="C294" s="112" t="s">
        <v>468</v>
      </c>
      <c r="D294" s="113" t="s">
        <v>131</v>
      </c>
      <c r="E294" s="114" t="s">
        <v>15</v>
      </c>
      <c r="F294" s="115" t="s">
        <v>18</v>
      </c>
      <c r="G294" s="116">
        <v>6.86</v>
      </c>
      <c r="H294" s="125">
        <v>7.5</v>
      </c>
      <c r="I294" s="111">
        <v>7</v>
      </c>
      <c r="J294" s="117">
        <f t="shared" si="161"/>
        <v>0.36015000000000003</v>
      </c>
      <c r="K294" s="118"/>
      <c r="L294" s="111">
        <f>4+3</f>
        <v>7</v>
      </c>
      <c r="M294" s="117">
        <f t="shared" si="162"/>
        <v>0.36015000000000003</v>
      </c>
      <c r="N294" s="119">
        <f t="shared" si="163"/>
        <v>0</v>
      </c>
      <c r="O294" s="120">
        <f t="shared" si="164"/>
        <v>0</v>
      </c>
      <c r="P294" s="33" t="s">
        <v>694</v>
      </c>
      <c r="Q294" s="45">
        <f>4+3</f>
        <v>7</v>
      </c>
      <c r="R294" s="32" t="s">
        <v>631</v>
      </c>
      <c r="S294" s="33"/>
    </row>
    <row r="295" spans="1:20" ht="15.6">
      <c r="A295" s="110" t="s">
        <v>502</v>
      </c>
      <c r="B295" s="111" t="s">
        <v>501</v>
      </c>
      <c r="C295" s="112" t="s">
        <v>468</v>
      </c>
      <c r="D295" s="113" t="s">
        <v>131</v>
      </c>
      <c r="E295" s="114" t="s">
        <v>15</v>
      </c>
      <c r="F295" s="115" t="s">
        <v>18</v>
      </c>
      <c r="G295" s="116">
        <v>6.86</v>
      </c>
      <c r="H295" s="125">
        <v>6.9</v>
      </c>
      <c r="I295" s="111">
        <v>1</v>
      </c>
      <c r="J295" s="117">
        <f t="shared" si="161"/>
        <v>4.7334000000000001E-2</v>
      </c>
      <c r="K295" s="118"/>
      <c r="L295" s="111">
        <v>1</v>
      </c>
      <c r="M295" s="117">
        <f t="shared" si="162"/>
        <v>4.7334000000000001E-2</v>
      </c>
      <c r="N295" s="119">
        <f t="shared" si="163"/>
        <v>0</v>
      </c>
      <c r="O295" s="120">
        <f t="shared" si="164"/>
        <v>0</v>
      </c>
      <c r="P295" s="33"/>
      <c r="Q295" s="32"/>
      <c r="R295" s="32"/>
      <c r="S295" s="33">
        <v>6.8</v>
      </c>
      <c r="T295" s="354">
        <v>1</v>
      </c>
    </row>
    <row r="296" spans="1:20" ht="15.6">
      <c r="A296" s="110" t="s">
        <v>502</v>
      </c>
      <c r="B296" s="111" t="s">
        <v>501</v>
      </c>
      <c r="C296" s="112" t="s">
        <v>468</v>
      </c>
      <c r="D296" s="113" t="s">
        <v>131</v>
      </c>
      <c r="E296" s="114" t="s">
        <v>15</v>
      </c>
      <c r="F296" s="115" t="s">
        <v>18</v>
      </c>
      <c r="G296" s="116">
        <v>6.86</v>
      </c>
      <c r="H296" s="125">
        <v>10.5</v>
      </c>
      <c r="I296" s="111">
        <v>1</v>
      </c>
      <c r="J296" s="117">
        <f t="shared" si="161"/>
        <v>7.2029999999999997E-2</v>
      </c>
      <c r="K296" s="118"/>
      <c r="L296" s="111">
        <v>1</v>
      </c>
      <c r="M296" s="117">
        <f t="shared" si="162"/>
        <v>7.2029999999999997E-2</v>
      </c>
      <c r="N296" s="119">
        <f t="shared" si="163"/>
        <v>0</v>
      </c>
      <c r="O296" s="120">
        <f t="shared" si="164"/>
        <v>0</v>
      </c>
      <c r="P296" s="33"/>
      <c r="Q296" s="32"/>
      <c r="R296" s="32"/>
      <c r="S296" s="33">
        <v>10</v>
      </c>
      <c r="T296" s="354">
        <v>1</v>
      </c>
    </row>
    <row r="297" spans="1:20" ht="15.6">
      <c r="A297" s="110" t="s">
        <v>502</v>
      </c>
      <c r="B297" s="111" t="s">
        <v>227</v>
      </c>
      <c r="C297" s="112" t="s">
        <v>468</v>
      </c>
      <c r="D297" s="113" t="s">
        <v>131</v>
      </c>
      <c r="E297" s="114" t="s">
        <v>15</v>
      </c>
      <c r="F297" s="115" t="s">
        <v>18</v>
      </c>
      <c r="G297" s="116">
        <v>6.86</v>
      </c>
      <c r="H297" s="125">
        <v>10</v>
      </c>
      <c r="I297" s="111">
        <v>45</v>
      </c>
      <c r="J297" s="117">
        <f t="shared" si="161"/>
        <v>3.0870000000000006</v>
      </c>
      <c r="K297" s="118"/>
      <c r="L297" s="111">
        <f>24+21</f>
        <v>45</v>
      </c>
      <c r="M297" s="117">
        <f t="shared" si="162"/>
        <v>3.0870000000000002</v>
      </c>
      <c r="N297" s="119">
        <f t="shared" si="163"/>
        <v>0</v>
      </c>
      <c r="O297" s="120">
        <f t="shared" si="164"/>
        <v>0</v>
      </c>
      <c r="P297" s="33"/>
      <c r="Q297" s="32"/>
      <c r="R297" s="32"/>
      <c r="S297" s="32"/>
    </row>
    <row r="298" spans="1:20" ht="15.6">
      <c r="A298" s="110" t="s">
        <v>502</v>
      </c>
      <c r="B298" s="111" t="s">
        <v>501</v>
      </c>
      <c r="C298" s="112" t="s">
        <v>468</v>
      </c>
      <c r="D298" s="113" t="s">
        <v>131</v>
      </c>
      <c r="E298" s="114" t="s">
        <v>15</v>
      </c>
      <c r="F298" s="115" t="s">
        <v>18</v>
      </c>
      <c r="G298" s="116">
        <v>6.86</v>
      </c>
      <c r="H298" s="125">
        <v>11</v>
      </c>
      <c r="I298" s="111">
        <v>7</v>
      </c>
      <c r="J298" s="117">
        <f t="shared" si="161"/>
        <v>0.52822000000000002</v>
      </c>
      <c r="K298" s="118"/>
      <c r="L298" s="111">
        <f>4+3</f>
        <v>7</v>
      </c>
      <c r="M298" s="117">
        <f t="shared" si="162"/>
        <v>0.52822000000000002</v>
      </c>
      <c r="N298" s="119">
        <f t="shared" si="163"/>
        <v>0</v>
      </c>
      <c r="O298" s="120">
        <f t="shared" si="164"/>
        <v>0</v>
      </c>
      <c r="P298" s="33">
        <v>11</v>
      </c>
      <c r="Q298" s="45">
        <v>7</v>
      </c>
      <c r="R298" s="32" t="s">
        <v>631</v>
      </c>
      <c r="S298" s="32"/>
    </row>
    <row r="299" spans="1:20" ht="15.6">
      <c r="A299" s="110" t="s">
        <v>502</v>
      </c>
      <c r="B299" s="111" t="s">
        <v>501</v>
      </c>
      <c r="C299" s="112" t="s">
        <v>468</v>
      </c>
      <c r="D299" s="113" t="s">
        <v>131</v>
      </c>
      <c r="E299" s="114" t="s">
        <v>15</v>
      </c>
      <c r="F299" s="115" t="s">
        <v>18</v>
      </c>
      <c r="G299" s="116">
        <v>6.86</v>
      </c>
      <c r="H299" s="125">
        <v>11.5</v>
      </c>
      <c r="I299" s="111">
        <v>2</v>
      </c>
      <c r="J299" s="117">
        <f t="shared" si="161"/>
        <v>0.15778</v>
      </c>
      <c r="K299" s="118"/>
      <c r="L299" s="111">
        <v>2</v>
      </c>
      <c r="M299" s="117">
        <f t="shared" si="162"/>
        <v>0.15778</v>
      </c>
      <c r="N299" s="119">
        <f t="shared" si="163"/>
        <v>0</v>
      </c>
      <c r="O299" s="120">
        <f t="shared" si="164"/>
        <v>0</v>
      </c>
      <c r="P299" s="32"/>
      <c r="Q299" s="32"/>
      <c r="R299" s="32"/>
      <c r="S299" s="32">
        <v>11.5</v>
      </c>
      <c r="T299" s="354">
        <v>2</v>
      </c>
    </row>
    <row r="300" spans="1:20" ht="15.6">
      <c r="A300" s="110" t="s">
        <v>502</v>
      </c>
      <c r="B300" s="111" t="s">
        <v>501</v>
      </c>
      <c r="C300" s="112" t="s">
        <v>468</v>
      </c>
      <c r="D300" s="113" t="s">
        <v>131</v>
      </c>
      <c r="E300" s="114" t="s">
        <v>15</v>
      </c>
      <c r="F300" s="115" t="s">
        <v>18</v>
      </c>
      <c r="G300" s="116">
        <v>6.86</v>
      </c>
      <c r="H300" s="125">
        <v>6.9</v>
      </c>
      <c r="I300" s="111">
        <v>1</v>
      </c>
      <c r="J300" s="117">
        <f t="shared" si="161"/>
        <v>4.7334000000000001E-2</v>
      </c>
      <c r="K300" s="118"/>
      <c r="L300" s="111">
        <v>1</v>
      </c>
      <c r="M300" s="117">
        <f t="shared" si="162"/>
        <v>4.7334000000000001E-2</v>
      </c>
      <c r="N300" s="119">
        <f t="shared" si="163"/>
        <v>0</v>
      </c>
      <c r="O300" s="120">
        <f t="shared" si="164"/>
        <v>0</v>
      </c>
      <c r="P300" s="55">
        <v>6.6</v>
      </c>
      <c r="Q300" s="45">
        <v>1</v>
      </c>
      <c r="R300" s="32" t="s">
        <v>631</v>
      </c>
      <c r="S300" s="32"/>
    </row>
    <row r="301" spans="1:20" ht="15.6">
      <c r="A301" s="110" t="s">
        <v>502</v>
      </c>
      <c r="B301" s="111" t="s">
        <v>501</v>
      </c>
      <c r="C301" s="112" t="s">
        <v>468</v>
      </c>
      <c r="D301" s="113" t="s">
        <v>131</v>
      </c>
      <c r="E301" s="114" t="s">
        <v>15</v>
      </c>
      <c r="F301" s="115" t="s">
        <v>18</v>
      </c>
      <c r="G301" s="116">
        <v>6.86</v>
      </c>
      <c r="H301" s="126">
        <v>7.3</v>
      </c>
      <c r="I301" s="111">
        <v>1</v>
      </c>
      <c r="J301" s="117">
        <f t="shared" ref="J301:J306" si="165">H301*G301*I301/1000</f>
        <v>5.0078000000000004E-2</v>
      </c>
      <c r="K301" s="118"/>
      <c r="L301" s="111">
        <v>1</v>
      </c>
      <c r="M301" s="117">
        <f t="shared" ref="M301:M306" si="166">H301*L301*G301/1000</f>
        <v>5.0078000000000004E-2</v>
      </c>
      <c r="N301" s="119">
        <f t="shared" ref="N301:N306" si="167">I301-L301</f>
        <v>0</v>
      </c>
      <c r="O301" s="120">
        <f t="shared" ref="O301:O306" si="168">H301*N301*G301/1000</f>
        <v>0</v>
      </c>
      <c r="P301" s="55">
        <v>7.3</v>
      </c>
      <c r="Q301" s="45">
        <v>1</v>
      </c>
      <c r="R301" s="32" t="s">
        <v>631</v>
      </c>
      <c r="S301" s="32"/>
    </row>
    <row r="302" spans="1:20" ht="15.6">
      <c r="A302" s="110" t="s">
        <v>502</v>
      </c>
      <c r="B302" s="111" t="s">
        <v>501</v>
      </c>
      <c r="C302" s="112" t="s">
        <v>468</v>
      </c>
      <c r="D302" s="113" t="s">
        <v>131</v>
      </c>
      <c r="E302" s="114" t="s">
        <v>15</v>
      </c>
      <c r="F302" s="115" t="s">
        <v>18</v>
      </c>
      <c r="G302" s="116">
        <v>6.86</v>
      </c>
      <c r="H302" s="126">
        <v>7.5</v>
      </c>
      <c r="I302" s="111">
        <v>7</v>
      </c>
      <c r="J302" s="117">
        <f t="shared" si="165"/>
        <v>0.36015000000000003</v>
      </c>
      <c r="K302" s="118"/>
      <c r="L302" s="111">
        <v>7</v>
      </c>
      <c r="M302" s="117">
        <f t="shared" si="166"/>
        <v>0.36015000000000003</v>
      </c>
      <c r="N302" s="119">
        <f t="shared" si="167"/>
        <v>0</v>
      </c>
      <c r="O302" s="120">
        <f t="shared" si="168"/>
        <v>0</v>
      </c>
      <c r="P302" s="55">
        <v>6.6</v>
      </c>
      <c r="Q302" s="45">
        <v>7</v>
      </c>
      <c r="R302" s="32" t="s">
        <v>631</v>
      </c>
      <c r="S302" s="32"/>
    </row>
    <row r="303" spans="1:20" ht="15.6">
      <c r="A303" s="110" t="s">
        <v>502</v>
      </c>
      <c r="B303" s="111" t="s">
        <v>501</v>
      </c>
      <c r="C303" s="112" t="s">
        <v>468</v>
      </c>
      <c r="D303" s="113" t="s">
        <v>131</v>
      </c>
      <c r="E303" s="114" t="s">
        <v>15</v>
      </c>
      <c r="F303" s="115" t="s">
        <v>18</v>
      </c>
      <c r="G303" s="116">
        <v>6.86</v>
      </c>
      <c r="H303" s="126">
        <v>8</v>
      </c>
      <c r="I303" s="111">
        <v>9</v>
      </c>
      <c r="J303" s="117">
        <f t="shared" si="165"/>
        <v>0.49392000000000003</v>
      </c>
      <c r="K303" s="118"/>
      <c r="L303" s="111">
        <v>9</v>
      </c>
      <c r="M303" s="117">
        <f t="shared" si="166"/>
        <v>0.49392000000000003</v>
      </c>
      <c r="N303" s="119">
        <f t="shared" si="167"/>
        <v>0</v>
      </c>
      <c r="O303" s="120">
        <f t="shared" si="168"/>
        <v>0</v>
      </c>
      <c r="P303" s="55">
        <v>6.6</v>
      </c>
      <c r="Q303" s="45">
        <v>9</v>
      </c>
      <c r="R303" s="32" t="s">
        <v>631</v>
      </c>
      <c r="S303" s="32"/>
    </row>
    <row r="304" spans="1:20" ht="15.6">
      <c r="A304" s="110" t="s">
        <v>502</v>
      </c>
      <c r="B304" s="111" t="s">
        <v>501</v>
      </c>
      <c r="C304" s="112" t="s">
        <v>468</v>
      </c>
      <c r="D304" s="113" t="s">
        <v>131</v>
      </c>
      <c r="E304" s="114" t="s">
        <v>15</v>
      </c>
      <c r="F304" s="115" t="s">
        <v>18</v>
      </c>
      <c r="G304" s="116">
        <v>6.86</v>
      </c>
      <c r="H304" s="126">
        <v>8.5</v>
      </c>
      <c r="I304" s="111">
        <v>4</v>
      </c>
      <c r="J304" s="117">
        <f t="shared" si="165"/>
        <v>0.23324</v>
      </c>
      <c r="K304" s="118"/>
      <c r="L304" s="111">
        <v>4</v>
      </c>
      <c r="M304" s="117">
        <f t="shared" si="166"/>
        <v>0.23324</v>
      </c>
      <c r="N304" s="119">
        <f t="shared" si="167"/>
        <v>0</v>
      </c>
      <c r="O304" s="120">
        <f t="shared" si="168"/>
        <v>0</v>
      </c>
      <c r="P304" s="32"/>
      <c r="Q304" s="32"/>
      <c r="R304" s="32"/>
      <c r="S304" s="33">
        <v>7.8</v>
      </c>
      <c r="T304" s="354">
        <v>4</v>
      </c>
    </row>
    <row r="305" spans="1:20" ht="15.6">
      <c r="A305" s="110" t="s">
        <v>502</v>
      </c>
      <c r="B305" s="111" t="s">
        <v>501</v>
      </c>
      <c r="C305" s="112" t="s">
        <v>468</v>
      </c>
      <c r="D305" s="113" t="s">
        <v>131</v>
      </c>
      <c r="E305" s="114" t="s">
        <v>15</v>
      </c>
      <c r="F305" s="115" t="s">
        <v>18</v>
      </c>
      <c r="G305" s="116">
        <v>6.86</v>
      </c>
      <c r="H305" s="126">
        <v>8.1999999999999993</v>
      </c>
      <c r="I305" s="111">
        <v>1</v>
      </c>
      <c r="J305" s="117">
        <f t="shared" si="165"/>
        <v>5.6251999999999996E-2</v>
      </c>
      <c r="K305" s="118"/>
      <c r="L305" s="111">
        <v>1</v>
      </c>
      <c r="M305" s="117">
        <f t="shared" si="166"/>
        <v>5.6251999999999996E-2</v>
      </c>
      <c r="N305" s="119">
        <f t="shared" si="167"/>
        <v>0</v>
      </c>
      <c r="O305" s="120">
        <f t="shared" si="168"/>
        <v>0</v>
      </c>
      <c r="P305" s="32"/>
      <c r="Q305" s="32"/>
      <c r="R305" s="32"/>
      <c r="S305" s="33">
        <v>7.8</v>
      </c>
      <c r="T305" s="354">
        <v>1</v>
      </c>
    </row>
    <row r="306" spans="1:20" ht="15.6">
      <c r="A306" s="110" t="s">
        <v>502</v>
      </c>
      <c r="B306" s="111" t="s">
        <v>501</v>
      </c>
      <c r="C306" s="112" t="s">
        <v>468</v>
      </c>
      <c r="D306" s="113" t="s">
        <v>131</v>
      </c>
      <c r="E306" s="114" t="s">
        <v>15</v>
      </c>
      <c r="F306" s="115" t="s">
        <v>18</v>
      </c>
      <c r="G306" s="116">
        <v>6.86</v>
      </c>
      <c r="H306" s="126">
        <v>8.8000000000000007</v>
      </c>
      <c r="I306" s="111">
        <v>1</v>
      </c>
      <c r="J306" s="117">
        <f t="shared" si="165"/>
        <v>6.0368000000000012E-2</v>
      </c>
      <c r="K306" s="118"/>
      <c r="L306" s="111">
        <v>1</v>
      </c>
      <c r="M306" s="117">
        <f t="shared" si="166"/>
        <v>6.0368000000000012E-2</v>
      </c>
      <c r="N306" s="119">
        <f t="shared" si="167"/>
        <v>0</v>
      </c>
      <c r="O306" s="120">
        <f t="shared" si="168"/>
        <v>0</v>
      </c>
      <c r="P306" s="32"/>
      <c r="Q306" s="32"/>
      <c r="R306" s="32"/>
      <c r="S306" s="33">
        <v>7.8</v>
      </c>
      <c r="T306" s="354">
        <v>1</v>
      </c>
    </row>
    <row r="307" spans="1:20" ht="15.6">
      <c r="A307" s="110" t="s">
        <v>502</v>
      </c>
      <c r="B307" s="111" t="s">
        <v>501</v>
      </c>
      <c r="C307" s="112" t="s">
        <v>468</v>
      </c>
      <c r="D307" s="113" t="s">
        <v>131</v>
      </c>
      <c r="E307" s="114" t="s">
        <v>15</v>
      </c>
      <c r="F307" s="115" t="s">
        <v>18</v>
      </c>
      <c r="G307" s="116">
        <v>6.86</v>
      </c>
      <c r="H307" s="126">
        <v>8.5</v>
      </c>
      <c r="I307" s="111">
        <v>1</v>
      </c>
      <c r="J307" s="117">
        <f t="shared" ref="J307:J310" si="169">H307*G307*I307/1000</f>
        <v>5.8310000000000001E-2</v>
      </c>
      <c r="K307" s="118"/>
      <c r="L307" s="111">
        <v>1</v>
      </c>
      <c r="M307" s="117">
        <f t="shared" ref="M307:M310" si="170">H307*L307*G307/1000</f>
        <v>5.8310000000000001E-2</v>
      </c>
      <c r="N307" s="119">
        <f t="shared" ref="N307:N310" si="171">I307-L307</f>
        <v>0</v>
      </c>
      <c r="O307" s="120">
        <f t="shared" ref="O307:O310" si="172">H307*N307*G307/1000</f>
        <v>0</v>
      </c>
      <c r="P307" s="32"/>
      <c r="Q307" s="32"/>
      <c r="R307" s="32"/>
      <c r="S307" s="33">
        <v>7.8</v>
      </c>
      <c r="T307" s="354">
        <v>1</v>
      </c>
    </row>
    <row r="308" spans="1:20" ht="15.6">
      <c r="A308" s="110" t="s">
        <v>502</v>
      </c>
      <c r="B308" s="111" t="s">
        <v>501</v>
      </c>
      <c r="C308" s="112" t="s">
        <v>468</v>
      </c>
      <c r="D308" s="113" t="s">
        <v>131</v>
      </c>
      <c r="E308" s="114" t="s">
        <v>15</v>
      </c>
      <c r="F308" s="115" t="s">
        <v>18</v>
      </c>
      <c r="G308" s="116">
        <v>6.86</v>
      </c>
      <c r="H308" s="126">
        <v>8.1999999999999993</v>
      </c>
      <c r="I308" s="111">
        <v>2</v>
      </c>
      <c r="J308" s="117">
        <f t="shared" si="169"/>
        <v>0.11250399999999999</v>
      </c>
      <c r="K308" s="118"/>
      <c r="L308" s="111">
        <v>2</v>
      </c>
      <c r="M308" s="117">
        <f t="shared" si="170"/>
        <v>0.11250399999999999</v>
      </c>
      <c r="N308" s="119">
        <f t="shared" si="171"/>
        <v>0</v>
      </c>
      <c r="O308" s="120">
        <f t="shared" si="172"/>
        <v>0</v>
      </c>
      <c r="P308" s="32"/>
      <c r="Q308" s="32"/>
      <c r="R308" s="32"/>
      <c r="S308" s="33">
        <v>7.8</v>
      </c>
      <c r="T308" s="354">
        <v>2</v>
      </c>
    </row>
    <row r="309" spans="1:20" ht="15.6">
      <c r="A309" s="110" t="s">
        <v>502</v>
      </c>
      <c r="B309" s="111" t="s">
        <v>501</v>
      </c>
      <c r="C309" s="112" t="s">
        <v>468</v>
      </c>
      <c r="D309" s="113" t="s">
        <v>131</v>
      </c>
      <c r="E309" s="114" t="s">
        <v>15</v>
      </c>
      <c r="F309" s="115" t="s">
        <v>18</v>
      </c>
      <c r="G309" s="116">
        <v>6.86</v>
      </c>
      <c r="H309" s="126">
        <v>8.1</v>
      </c>
      <c r="I309" s="111">
        <v>2</v>
      </c>
      <c r="J309" s="117">
        <f t="shared" si="169"/>
        <v>0.11113200000000001</v>
      </c>
      <c r="K309" s="118"/>
      <c r="L309" s="111">
        <v>2</v>
      </c>
      <c r="M309" s="117">
        <f t="shared" si="170"/>
        <v>0.11113200000000001</v>
      </c>
      <c r="N309" s="119">
        <f t="shared" si="171"/>
        <v>0</v>
      </c>
      <c r="O309" s="120">
        <f t="shared" si="172"/>
        <v>0</v>
      </c>
      <c r="P309" s="32"/>
      <c r="Q309" s="32"/>
      <c r="R309" s="32"/>
      <c r="S309" s="33">
        <v>7.8</v>
      </c>
      <c r="T309" s="354">
        <v>2</v>
      </c>
    </row>
    <row r="310" spans="1:20" ht="15.6">
      <c r="A310" s="110" t="s">
        <v>502</v>
      </c>
      <c r="B310" s="111" t="s">
        <v>501</v>
      </c>
      <c r="C310" s="112" t="s">
        <v>468</v>
      </c>
      <c r="D310" s="113" t="s">
        <v>131</v>
      </c>
      <c r="E310" s="114" t="s">
        <v>15</v>
      </c>
      <c r="F310" s="115" t="s">
        <v>18</v>
      </c>
      <c r="G310" s="116">
        <v>6.86</v>
      </c>
      <c r="H310" s="126">
        <v>7.5</v>
      </c>
      <c r="I310" s="111">
        <v>1</v>
      </c>
      <c r="J310" s="117">
        <f t="shared" si="169"/>
        <v>5.1450000000000003E-2</v>
      </c>
      <c r="K310" s="118"/>
      <c r="L310" s="111">
        <v>1</v>
      </c>
      <c r="M310" s="117">
        <f t="shared" si="170"/>
        <v>5.1450000000000003E-2</v>
      </c>
      <c r="N310" s="119">
        <f t="shared" si="171"/>
        <v>0</v>
      </c>
      <c r="O310" s="120">
        <f t="shared" si="172"/>
        <v>0</v>
      </c>
      <c r="P310" s="32"/>
      <c r="Q310" s="32"/>
      <c r="R310" s="32"/>
      <c r="S310" s="32">
        <v>6.8</v>
      </c>
      <c r="T310" s="354">
        <v>1</v>
      </c>
    </row>
    <row r="311" spans="1:20">
      <c r="I311" s="215">
        <f>SUM(I283:I310)</f>
        <v>993</v>
      </c>
      <c r="J311" s="128">
        <f>SUM(J283:J310)</f>
        <v>72.436798000000024</v>
      </c>
      <c r="L311" s="215">
        <f>SUM(L283:L310)</f>
        <v>993</v>
      </c>
      <c r="M311" s="128">
        <f>SUM(M283:M310)</f>
        <v>72.436798000000039</v>
      </c>
      <c r="N311" s="215">
        <f>SUM(N283:N310)</f>
        <v>0</v>
      </c>
      <c r="O311" s="128">
        <f>SUM(O283:O310)</f>
        <v>0</v>
      </c>
      <c r="T311" s="215">
        <f>SUM(T283:T310)</f>
        <v>140</v>
      </c>
    </row>
    <row r="313" spans="1:20" ht="15.6">
      <c r="A313" s="110" t="s">
        <v>502</v>
      </c>
      <c r="B313" s="111" t="s">
        <v>232</v>
      </c>
      <c r="C313" s="112" t="s">
        <v>468</v>
      </c>
      <c r="D313" s="113" t="s">
        <v>131</v>
      </c>
      <c r="E313" s="114" t="s">
        <v>15</v>
      </c>
      <c r="F313" s="115" t="s">
        <v>18</v>
      </c>
      <c r="G313" s="116">
        <v>6.86</v>
      </c>
      <c r="H313" s="126">
        <v>7.6</v>
      </c>
      <c r="I313" s="111">
        <f>54+27+50+19</f>
        <v>150</v>
      </c>
      <c r="J313" s="117">
        <f t="shared" ref="J313" si="173">H313*G313*I313/1000</f>
        <v>7.8204000000000002</v>
      </c>
      <c r="K313" s="118"/>
      <c r="L313" s="111">
        <f>1+144+5</f>
        <v>150</v>
      </c>
      <c r="M313" s="117">
        <f t="shared" ref="M313" si="174">H313*L313*G313/1000</f>
        <v>7.8204000000000002</v>
      </c>
      <c r="N313" s="119">
        <f t="shared" ref="N313" si="175">I313-L313</f>
        <v>0</v>
      </c>
      <c r="O313" s="120">
        <f t="shared" ref="O313" si="176">H313*N313*G313/1000</f>
        <v>0</v>
      </c>
      <c r="P313" s="55">
        <v>7.6</v>
      </c>
      <c r="Q313" s="32">
        <v>5</v>
      </c>
      <c r="R313" s="32" t="s">
        <v>734</v>
      </c>
      <c r="S313" s="32"/>
    </row>
    <row r="314" spans="1:20" ht="15.6">
      <c r="A314" s="110" t="s">
        <v>502</v>
      </c>
      <c r="B314" s="111" t="s">
        <v>232</v>
      </c>
      <c r="C314" s="112" t="s">
        <v>468</v>
      </c>
      <c r="D314" s="113" t="s">
        <v>131</v>
      </c>
      <c r="E314" s="114" t="s">
        <v>15</v>
      </c>
      <c r="F314" s="115" t="s">
        <v>18</v>
      </c>
      <c r="G314" s="116">
        <v>6.86</v>
      </c>
      <c r="H314" s="126">
        <v>10</v>
      </c>
      <c r="I314" s="111">
        <f>21+9-17</f>
        <v>13</v>
      </c>
      <c r="J314" s="117">
        <f t="shared" ref="J314:J322" si="177">H314*G314*I314/1000</f>
        <v>0.89180000000000004</v>
      </c>
      <c r="K314" s="118"/>
      <c r="L314" s="111">
        <v>13</v>
      </c>
      <c r="M314" s="117">
        <f t="shared" ref="M314:M322" si="178">H314*L314*G314/1000</f>
        <v>0.89180000000000004</v>
      </c>
      <c r="N314" s="119">
        <f t="shared" ref="N314:N322" si="179">I314-L314</f>
        <v>0</v>
      </c>
      <c r="O314" s="120">
        <f t="shared" ref="O314:O322" si="180">H314*N314*G314/1000</f>
        <v>0</v>
      </c>
      <c r="P314" s="55"/>
      <c r="Q314" s="67"/>
      <c r="R314" s="32"/>
      <c r="S314" s="32"/>
    </row>
    <row r="315" spans="1:20" ht="15.6">
      <c r="A315" s="110" t="s">
        <v>502</v>
      </c>
      <c r="B315" s="111" t="s">
        <v>232</v>
      </c>
      <c r="C315" s="112" t="s">
        <v>468</v>
      </c>
      <c r="D315" s="113" t="s">
        <v>131</v>
      </c>
      <c r="E315" s="114" t="s">
        <v>15</v>
      </c>
      <c r="F315" s="115" t="s">
        <v>18</v>
      </c>
      <c r="G315" s="116">
        <v>6.86</v>
      </c>
      <c r="H315" s="126">
        <v>12</v>
      </c>
      <c r="I315" s="111">
        <v>16</v>
      </c>
      <c r="J315" s="117">
        <f t="shared" si="177"/>
        <v>1.3171200000000001</v>
      </c>
      <c r="K315" s="118"/>
      <c r="L315" s="111">
        <v>16</v>
      </c>
      <c r="M315" s="117">
        <f t="shared" si="178"/>
        <v>1.3171200000000001</v>
      </c>
      <c r="N315" s="119">
        <f t="shared" si="179"/>
        <v>0</v>
      </c>
      <c r="O315" s="120">
        <f t="shared" si="180"/>
        <v>0</v>
      </c>
      <c r="P315" s="55"/>
      <c r="Q315" s="67"/>
      <c r="R315" s="32"/>
      <c r="S315" s="32"/>
    </row>
    <row r="316" spans="1:20" ht="15.6">
      <c r="A316" s="110" t="s">
        <v>502</v>
      </c>
      <c r="B316" s="111" t="s">
        <v>232</v>
      </c>
      <c r="C316" s="112" t="s">
        <v>468</v>
      </c>
      <c r="D316" s="113" t="s">
        <v>131</v>
      </c>
      <c r="E316" s="114" t="s">
        <v>15</v>
      </c>
      <c r="F316" s="115" t="s">
        <v>18</v>
      </c>
      <c r="G316" s="116">
        <v>6.86</v>
      </c>
      <c r="H316" s="126">
        <v>11.5</v>
      </c>
      <c r="I316" s="111">
        <v>1</v>
      </c>
      <c r="J316" s="117">
        <f t="shared" si="177"/>
        <v>7.8890000000000002E-2</v>
      </c>
      <c r="K316" s="118"/>
      <c r="L316" s="111">
        <v>1</v>
      </c>
      <c r="M316" s="117">
        <f t="shared" si="178"/>
        <v>7.8890000000000002E-2</v>
      </c>
      <c r="N316" s="119">
        <f t="shared" si="179"/>
        <v>0</v>
      </c>
      <c r="O316" s="120">
        <f t="shared" si="180"/>
        <v>0</v>
      </c>
      <c r="P316" s="55">
        <v>11.5</v>
      </c>
      <c r="Q316" s="67">
        <v>1</v>
      </c>
      <c r="R316" s="32" t="s">
        <v>734</v>
      </c>
      <c r="S316" s="32"/>
    </row>
    <row r="317" spans="1:20" ht="15.6">
      <c r="A317" s="110" t="s">
        <v>502</v>
      </c>
      <c r="B317" s="111" t="s">
        <v>232</v>
      </c>
      <c r="C317" s="112" t="s">
        <v>468</v>
      </c>
      <c r="D317" s="113" t="s">
        <v>131</v>
      </c>
      <c r="E317" s="114" t="s">
        <v>15</v>
      </c>
      <c r="F317" s="115" t="s">
        <v>18</v>
      </c>
      <c r="G317" s="116">
        <v>6.86</v>
      </c>
      <c r="H317" s="126">
        <v>9.5</v>
      </c>
      <c r="I317" s="111">
        <v>1</v>
      </c>
      <c r="J317" s="117">
        <f t="shared" si="177"/>
        <v>6.5170000000000006E-2</v>
      </c>
      <c r="K317" s="118"/>
      <c r="L317" s="111">
        <v>1</v>
      </c>
      <c r="M317" s="117">
        <f t="shared" si="178"/>
        <v>6.5170000000000006E-2</v>
      </c>
      <c r="N317" s="119">
        <f t="shared" si="179"/>
        <v>0</v>
      </c>
      <c r="O317" s="120">
        <f t="shared" si="180"/>
        <v>0</v>
      </c>
      <c r="P317" s="55">
        <v>9.5</v>
      </c>
      <c r="Q317" s="67">
        <v>1</v>
      </c>
      <c r="R317" s="32" t="s">
        <v>734</v>
      </c>
      <c r="S317" s="32"/>
    </row>
    <row r="318" spans="1:20" ht="15.6">
      <c r="A318" s="110" t="s">
        <v>502</v>
      </c>
      <c r="B318" s="111" t="s">
        <v>232</v>
      </c>
      <c r="C318" s="112" t="s">
        <v>468</v>
      </c>
      <c r="D318" s="113" t="s">
        <v>131</v>
      </c>
      <c r="E318" s="114" t="s">
        <v>15</v>
      </c>
      <c r="F318" s="115" t="s">
        <v>18</v>
      </c>
      <c r="G318" s="116">
        <v>6.86</v>
      </c>
      <c r="H318" s="126">
        <v>7.2</v>
      </c>
      <c r="I318" s="111">
        <v>2</v>
      </c>
      <c r="J318" s="117">
        <f t="shared" si="177"/>
        <v>9.8784000000000011E-2</v>
      </c>
      <c r="K318" s="118"/>
      <c r="L318" s="111">
        <v>2</v>
      </c>
      <c r="M318" s="117">
        <f t="shared" si="178"/>
        <v>9.8784000000000011E-2</v>
      </c>
      <c r="N318" s="119">
        <f t="shared" si="179"/>
        <v>0</v>
      </c>
      <c r="O318" s="120">
        <f t="shared" si="180"/>
        <v>0</v>
      </c>
      <c r="P318" s="55">
        <v>7.2</v>
      </c>
      <c r="Q318" s="67">
        <v>2</v>
      </c>
      <c r="R318" s="32" t="s">
        <v>734</v>
      </c>
      <c r="S318" s="32"/>
    </row>
    <row r="319" spans="1:20" ht="15.6">
      <c r="A319" s="110" t="s">
        <v>502</v>
      </c>
      <c r="B319" s="111" t="s">
        <v>232</v>
      </c>
      <c r="C319" s="112" t="s">
        <v>468</v>
      </c>
      <c r="D319" s="113" t="s">
        <v>131</v>
      </c>
      <c r="E319" s="114" t="s">
        <v>15</v>
      </c>
      <c r="F319" s="115" t="s">
        <v>18</v>
      </c>
      <c r="G319" s="116">
        <v>6.86</v>
      </c>
      <c r="H319" s="126">
        <v>12</v>
      </c>
      <c r="I319" s="111">
        <f>15+18</f>
        <v>33</v>
      </c>
      <c r="J319" s="117">
        <f t="shared" si="177"/>
        <v>2.7165600000000003</v>
      </c>
      <c r="K319" s="118"/>
      <c r="L319" s="111">
        <v>33</v>
      </c>
      <c r="M319" s="117">
        <f t="shared" si="178"/>
        <v>2.7165599999999999</v>
      </c>
      <c r="N319" s="119">
        <f t="shared" si="179"/>
        <v>0</v>
      </c>
      <c r="O319" s="120">
        <f t="shared" si="180"/>
        <v>0</v>
      </c>
      <c r="P319" s="55"/>
      <c r="Q319" s="67"/>
      <c r="R319" s="32"/>
      <c r="S319" s="32"/>
    </row>
    <row r="320" spans="1:20" ht="15.6">
      <c r="A320" s="110" t="s">
        <v>502</v>
      </c>
      <c r="B320" s="111" t="s">
        <v>232</v>
      </c>
      <c r="C320" s="112" t="s">
        <v>468</v>
      </c>
      <c r="D320" s="113" t="s">
        <v>131</v>
      </c>
      <c r="E320" s="114" t="s">
        <v>15</v>
      </c>
      <c r="F320" s="115" t="s">
        <v>18</v>
      </c>
      <c r="G320" s="116">
        <v>6.86</v>
      </c>
      <c r="H320" s="126">
        <v>7.2</v>
      </c>
      <c r="I320" s="111">
        <v>1</v>
      </c>
      <c r="J320" s="117">
        <f t="shared" si="177"/>
        <v>4.9392000000000005E-2</v>
      </c>
      <c r="K320" s="118"/>
      <c r="L320" s="111">
        <v>1</v>
      </c>
      <c r="M320" s="117">
        <f t="shared" si="178"/>
        <v>4.9392000000000005E-2</v>
      </c>
      <c r="N320" s="119">
        <f t="shared" si="179"/>
        <v>0</v>
      </c>
      <c r="O320" s="120">
        <f t="shared" si="180"/>
        <v>0</v>
      </c>
      <c r="P320" s="55">
        <v>7.2</v>
      </c>
      <c r="Q320" s="67">
        <v>1</v>
      </c>
      <c r="R320" s="32" t="s">
        <v>734</v>
      </c>
      <c r="S320" s="32"/>
    </row>
    <row r="321" spans="1:20" ht="15.6">
      <c r="A321" s="110" t="s">
        <v>502</v>
      </c>
      <c r="B321" s="111" t="s">
        <v>232</v>
      </c>
      <c r="C321" s="112" t="s">
        <v>468</v>
      </c>
      <c r="D321" s="113" t="s">
        <v>131</v>
      </c>
      <c r="E321" s="114" t="s">
        <v>15</v>
      </c>
      <c r="F321" s="115" t="s">
        <v>18</v>
      </c>
      <c r="G321" s="116">
        <v>6.86</v>
      </c>
      <c r="H321" s="126">
        <v>11</v>
      </c>
      <c r="I321" s="111">
        <v>1</v>
      </c>
      <c r="J321" s="117">
        <f t="shared" si="177"/>
        <v>7.5460000000000013E-2</v>
      </c>
      <c r="K321" s="118"/>
      <c r="L321" s="111">
        <v>1</v>
      </c>
      <c r="M321" s="117">
        <f t="shared" si="178"/>
        <v>7.5460000000000013E-2</v>
      </c>
      <c r="N321" s="119">
        <f t="shared" si="179"/>
        <v>0</v>
      </c>
      <c r="O321" s="120">
        <f t="shared" si="180"/>
        <v>0</v>
      </c>
      <c r="P321" s="55">
        <v>11</v>
      </c>
      <c r="Q321" s="67">
        <v>1</v>
      </c>
      <c r="R321" s="32" t="s">
        <v>734</v>
      </c>
      <c r="S321" s="32"/>
    </row>
    <row r="322" spans="1:20" ht="15.6">
      <c r="A322" s="110" t="s">
        <v>502</v>
      </c>
      <c r="B322" s="111" t="s">
        <v>232</v>
      </c>
      <c r="C322" s="112" t="s">
        <v>468</v>
      </c>
      <c r="D322" s="113" t="s">
        <v>131</v>
      </c>
      <c r="E322" s="114" t="s">
        <v>15</v>
      </c>
      <c r="F322" s="115" t="s">
        <v>18</v>
      </c>
      <c r="G322" s="116">
        <v>6.86</v>
      </c>
      <c r="H322" s="126">
        <v>11.7</v>
      </c>
      <c r="I322" s="111">
        <v>2</v>
      </c>
      <c r="J322" s="117">
        <f t="shared" si="177"/>
        <v>0.160524</v>
      </c>
      <c r="K322" s="118"/>
      <c r="L322" s="111">
        <v>2</v>
      </c>
      <c r="M322" s="117">
        <f t="shared" si="178"/>
        <v>0.160524</v>
      </c>
      <c r="N322" s="119">
        <f t="shared" si="179"/>
        <v>0</v>
      </c>
      <c r="O322" s="120">
        <f t="shared" si="180"/>
        <v>0</v>
      </c>
      <c r="P322" s="55">
        <v>11.7</v>
      </c>
      <c r="Q322" s="32">
        <v>2</v>
      </c>
      <c r="R322" s="32" t="s">
        <v>734</v>
      </c>
      <c r="S322" s="32"/>
    </row>
    <row r="323" spans="1:20">
      <c r="I323" s="215">
        <f>SUM(I313:I322)</f>
        <v>220</v>
      </c>
      <c r="J323" s="214">
        <f>SUM(J313:J322)</f>
        <v>13.274100000000001</v>
      </c>
      <c r="L323" s="215">
        <f>SUM(L313:L322)</f>
        <v>220</v>
      </c>
      <c r="M323" s="214">
        <f>SUM(M313:M322)</f>
        <v>13.274100000000001</v>
      </c>
      <c r="N323" s="78">
        <f>SUM(N313:N322)</f>
        <v>0</v>
      </c>
      <c r="O323" s="128">
        <f>SUM(O313:O322)</f>
        <v>0</v>
      </c>
    </row>
    <row r="324" spans="1:20" s="213" customFormat="1">
      <c r="I324" s="215"/>
      <c r="J324" s="214"/>
      <c r="L324" s="215"/>
      <c r="M324" s="214"/>
      <c r="N324" s="78"/>
      <c r="O324" s="128"/>
    </row>
    <row r="325" spans="1:20" s="213" customFormat="1">
      <c r="I325" s="215"/>
      <c r="J325" s="214"/>
      <c r="L325" s="215"/>
      <c r="M325" s="214"/>
      <c r="N325" s="78"/>
      <c r="O325" s="128"/>
    </row>
    <row r="326" spans="1:20" s="213" customFormat="1" ht="15.6">
      <c r="A326" s="110" t="s">
        <v>502</v>
      </c>
      <c r="B326" s="111" t="s">
        <v>232</v>
      </c>
      <c r="C326" s="112" t="s">
        <v>468</v>
      </c>
      <c r="D326" s="113" t="s">
        <v>658</v>
      </c>
      <c r="E326" s="114" t="s">
        <v>14</v>
      </c>
      <c r="F326" s="115" t="s">
        <v>18</v>
      </c>
      <c r="G326" s="116">
        <v>6.86</v>
      </c>
      <c r="H326" s="126">
        <v>11.5</v>
      </c>
      <c r="I326" s="111">
        <v>40</v>
      </c>
      <c r="J326" s="117">
        <f t="shared" ref="J326" si="181">H326*G326*I326/1000</f>
        <v>3.1555999999999997</v>
      </c>
      <c r="K326" s="118"/>
      <c r="L326" s="111">
        <f>40</f>
        <v>40</v>
      </c>
      <c r="M326" s="117">
        <f t="shared" ref="M326" si="182">H326*L326*G326/1000</f>
        <v>3.1556000000000002</v>
      </c>
      <c r="N326" s="119">
        <f t="shared" ref="N326" si="183">I326-L326</f>
        <v>0</v>
      </c>
      <c r="O326" s="120">
        <f t="shared" ref="O326" si="184">H326*N326*G326/1000</f>
        <v>0</v>
      </c>
      <c r="P326" s="111"/>
      <c r="Q326" s="67"/>
      <c r="R326" s="33">
        <v>11.5</v>
      </c>
      <c r="S326" s="45">
        <v>2</v>
      </c>
      <c r="T326" s="213" t="s">
        <v>689</v>
      </c>
    </row>
    <row r="327" spans="1:20" s="213" customFormat="1" ht="15.6">
      <c r="A327" s="110" t="s">
        <v>502</v>
      </c>
      <c r="B327" s="111" t="s">
        <v>232</v>
      </c>
      <c r="C327" s="112" t="s">
        <v>468</v>
      </c>
      <c r="D327" s="113" t="s">
        <v>658</v>
      </c>
      <c r="E327" s="114" t="s">
        <v>14</v>
      </c>
      <c r="F327" s="115" t="s">
        <v>18</v>
      </c>
      <c r="G327" s="116">
        <v>6.86</v>
      </c>
      <c r="H327" s="126">
        <v>10</v>
      </c>
      <c r="I327" s="111">
        <f>26+17</f>
        <v>43</v>
      </c>
      <c r="J327" s="117">
        <f t="shared" ref="J327:J334" si="185">H327*G327*I327/1000</f>
        <v>2.9498000000000002</v>
      </c>
      <c r="K327" s="118"/>
      <c r="L327" s="111">
        <v>43</v>
      </c>
      <c r="M327" s="117">
        <f t="shared" ref="M327:M334" si="186">H327*L327*G327/1000</f>
        <v>2.9498000000000002</v>
      </c>
      <c r="N327" s="119">
        <f t="shared" ref="N327:N334" si="187">I327-L327</f>
        <v>0</v>
      </c>
      <c r="O327" s="120">
        <f t="shared" ref="O327:O334" si="188">H327*N327*G327/1000</f>
        <v>0</v>
      </c>
      <c r="P327" s="32"/>
      <c r="Q327" s="67"/>
      <c r="R327" s="33"/>
      <c r="S327" s="32"/>
    </row>
    <row r="328" spans="1:20" s="213" customFormat="1" ht="15.6">
      <c r="A328" s="110" t="s">
        <v>502</v>
      </c>
      <c r="B328" s="111" t="s">
        <v>232</v>
      </c>
      <c r="C328" s="112" t="s">
        <v>468</v>
      </c>
      <c r="D328" s="113" t="s">
        <v>658</v>
      </c>
      <c r="E328" s="114" t="s">
        <v>14</v>
      </c>
      <c r="F328" s="115" t="s">
        <v>18</v>
      </c>
      <c r="G328" s="116">
        <v>6.86</v>
      </c>
      <c r="H328" s="126">
        <v>6.1</v>
      </c>
      <c r="I328" s="111">
        <v>1</v>
      </c>
      <c r="J328" s="117">
        <f t="shared" si="185"/>
        <v>4.1845999999999994E-2</v>
      </c>
      <c r="K328" s="118"/>
      <c r="L328" s="111">
        <v>1</v>
      </c>
      <c r="M328" s="117">
        <f t="shared" si="186"/>
        <v>4.1845999999999994E-2</v>
      </c>
      <c r="N328" s="119">
        <f t="shared" si="187"/>
        <v>0</v>
      </c>
      <c r="O328" s="120">
        <f t="shared" si="188"/>
        <v>0</v>
      </c>
      <c r="P328" s="32"/>
      <c r="Q328" s="67"/>
      <c r="R328" s="33"/>
      <c r="S328" s="32"/>
    </row>
    <row r="329" spans="1:20" s="213" customFormat="1" ht="15.6">
      <c r="A329" s="110" t="s">
        <v>502</v>
      </c>
      <c r="B329" s="111" t="s">
        <v>232</v>
      </c>
      <c r="C329" s="112" t="s">
        <v>468</v>
      </c>
      <c r="D329" s="113" t="s">
        <v>658</v>
      </c>
      <c r="E329" s="114" t="s">
        <v>14</v>
      </c>
      <c r="F329" s="115" t="s">
        <v>18</v>
      </c>
      <c r="G329" s="116">
        <v>6.86</v>
      </c>
      <c r="H329" s="126">
        <v>8.5</v>
      </c>
      <c r="I329" s="111">
        <v>1</v>
      </c>
      <c r="J329" s="117">
        <f t="shared" si="185"/>
        <v>5.8310000000000001E-2</v>
      </c>
      <c r="K329" s="118"/>
      <c r="L329" s="111">
        <v>1</v>
      </c>
      <c r="M329" s="117">
        <f t="shared" si="186"/>
        <v>5.8310000000000001E-2</v>
      </c>
      <c r="N329" s="119">
        <f t="shared" si="187"/>
        <v>0</v>
      </c>
      <c r="O329" s="120">
        <f t="shared" si="188"/>
        <v>0</v>
      </c>
      <c r="P329" s="32">
        <v>6.1</v>
      </c>
      <c r="Q329" s="67">
        <v>1</v>
      </c>
      <c r="R329" s="33"/>
      <c r="S329" s="32"/>
    </row>
    <row r="330" spans="1:20" s="213" customFormat="1" ht="15.6">
      <c r="A330" s="110" t="s">
        <v>502</v>
      </c>
      <c r="B330" s="111" t="s">
        <v>232</v>
      </c>
      <c r="C330" s="112" t="s">
        <v>468</v>
      </c>
      <c r="D330" s="113" t="s">
        <v>658</v>
      </c>
      <c r="E330" s="114" t="s">
        <v>14</v>
      </c>
      <c r="F330" s="115" t="s">
        <v>18</v>
      </c>
      <c r="G330" s="116">
        <v>6.86</v>
      </c>
      <c r="H330" s="126">
        <v>9.6999999999999993</v>
      </c>
      <c r="I330" s="111">
        <v>1</v>
      </c>
      <c r="J330" s="117">
        <f t="shared" si="185"/>
        <v>6.6542000000000004E-2</v>
      </c>
      <c r="K330" s="118"/>
      <c r="L330" s="111"/>
      <c r="M330" s="117">
        <f t="shared" si="186"/>
        <v>0</v>
      </c>
      <c r="N330" s="119">
        <f t="shared" si="187"/>
        <v>1</v>
      </c>
      <c r="O330" s="120">
        <f t="shared" si="188"/>
        <v>6.6542000000000004E-2</v>
      </c>
      <c r="P330" s="32"/>
      <c r="Q330" s="67"/>
      <c r="R330" s="33"/>
      <c r="S330" s="32"/>
    </row>
    <row r="331" spans="1:20" s="213" customFormat="1" ht="15.6">
      <c r="A331" s="110" t="s">
        <v>502</v>
      </c>
      <c r="B331" s="111" t="s">
        <v>232</v>
      </c>
      <c r="C331" s="112" t="s">
        <v>468</v>
      </c>
      <c r="D331" s="113" t="s">
        <v>658</v>
      </c>
      <c r="E331" s="114" t="s">
        <v>14</v>
      </c>
      <c r="F331" s="115" t="s">
        <v>18</v>
      </c>
      <c r="G331" s="116">
        <v>6.86</v>
      </c>
      <c r="H331" s="126">
        <v>11.5</v>
      </c>
      <c r="I331" s="111">
        <v>23</v>
      </c>
      <c r="J331" s="117">
        <f t="shared" si="185"/>
        <v>1.81447</v>
      </c>
      <c r="K331" s="118"/>
      <c r="L331" s="111">
        <v>23</v>
      </c>
      <c r="M331" s="117">
        <f t="shared" si="186"/>
        <v>1.81447</v>
      </c>
      <c r="N331" s="119">
        <f t="shared" si="187"/>
        <v>0</v>
      </c>
      <c r="O331" s="120">
        <f t="shared" si="188"/>
        <v>0</v>
      </c>
      <c r="P331" s="32" t="s">
        <v>659</v>
      </c>
      <c r="Q331" s="67"/>
      <c r="R331" s="33"/>
      <c r="S331" s="32"/>
    </row>
    <row r="332" spans="1:20" s="213" customFormat="1" ht="15.6">
      <c r="A332" s="110" t="s">
        <v>502</v>
      </c>
      <c r="B332" s="111" t="s">
        <v>232</v>
      </c>
      <c r="C332" s="112" t="s">
        <v>468</v>
      </c>
      <c r="D332" s="113" t="s">
        <v>658</v>
      </c>
      <c r="E332" s="114" t="s">
        <v>14</v>
      </c>
      <c r="F332" s="115" t="s">
        <v>18</v>
      </c>
      <c r="G332" s="116">
        <v>6.86</v>
      </c>
      <c r="H332" s="126">
        <v>6.1</v>
      </c>
      <c r="I332" s="111">
        <v>2</v>
      </c>
      <c r="J332" s="117">
        <f t="shared" si="185"/>
        <v>8.3691999999999989E-2</v>
      </c>
      <c r="K332" s="118"/>
      <c r="L332" s="111">
        <v>2</v>
      </c>
      <c r="M332" s="117">
        <f t="shared" si="186"/>
        <v>8.3691999999999989E-2</v>
      </c>
      <c r="N332" s="119">
        <f t="shared" si="187"/>
        <v>0</v>
      </c>
      <c r="O332" s="120">
        <f t="shared" si="188"/>
        <v>0</v>
      </c>
      <c r="P332" s="32"/>
      <c r="Q332" s="67"/>
      <c r="R332" s="33"/>
      <c r="S332" s="32"/>
    </row>
    <row r="333" spans="1:20" s="213" customFormat="1" ht="15.6">
      <c r="A333" s="110" t="s">
        <v>502</v>
      </c>
      <c r="B333" s="111" t="s">
        <v>232</v>
      </c>
      <c r="C333" s="112" t="s">
        <v>468</v>
      </c>
      <c r="D333" s="113" t="s">
        <v>658</v>
      </c>
      <c r="E333" s="114" t="s">
        <v>14</v>
      </c>
      <c r="F333" s="115" t="s">
        <v>18</v>
      </c>
      <c r="G333" s="116">
        <v>6.86</v>
      </c>
      <c r="H333" s="126">
        <v>9.5</v>
      </c>
      <c r="I333" s="111">
        <v>2</v>
      </c>
      <c r="J333" s="117">
        <f t="shared" si="185"/>
        <v>0.13034000000000001</v>
      </c>
      <c r="K333" s="118"/>
      <c r="L333" s="111">
        <v>2</v>
      </c>
      <c r="M333" s="117">
        <f t="shared" si="186"/>
        <v>0.13034000000000001</v>
      </c>
      <c r="N333" s="119">
        <f t="shared" si="187"/>
        <v>0</v>
      </c>
      <c r="O333" s="120">
        <f t="shared" si="188"/>
        <v>0</v>
      </c>
      <c r="P333" s="32"/>
      <c r="Q333" s="67"/>
      <c r="R333" s="33">
        <v>9.5</v>
      </c>
      <c r="S333" s="45">
        <v>2</v>
      </c>
      <c r="T333" s="213" t="s">
        <v>689</v>
      </c>
    </row>
    <row r="334" spans="1:20" s="213" customFormat="1" ht="15.6">
      <c r="A334" s="110" t="s">
        <v>502</v>
      </c>
      <c r="B334" s="111" t="s">
        <v>232</v>
      </c>
      <c r="C334" s="112" t="s">
        <v>468</v>
      </c>
      <c r="D334" s="113" t="s">
        <v>658</v>
      </c>
      <c r="E334" s="114" t="s">
        <v>14</v>
      </c>
      <c r="F334" s="115" t="s">
        <v>18</v>
      </c>
      <c r="G334" s="116">
        <v>6.86</v>
      </c>
      <c r="H334" s="126">
        <v>11</v>
      </c>
      <c r="I334" s="111">
        <v>2</v>
      </c>
      <c r="J334" s="117">
        <f t="shared" si="185"/>
        <v>0.15092000000000003</v>
      </c>
      <c r="K334" s="118"/>
      <c r="L334" s="111">
        <v>2</v>
      </c>
      <c r="M334" s="117">
        <f t="shared" si="186"/>
        <v>0.15092000000000003</v>
      </c>
      <c r="N334" s="119">
        <f t="shared" si="187"/>
        <v>0</v>
      </c>
      <c r="O334" s="120">
        <f t="shared" si="188"/>
        <v>0</v>
      </c>
      <c r="P334" s="32">
        <v>10</v>
      </c>
      <c r="Q334" s="67">
        <v>2</v>
      </c>
      <c r="R334" s="32"/>
      <c r="S334" s="32"/>
    </row>
    <row r="335" spans="1:20" s="213" customFormat="1">
      <c r="I335" s="215">
        <f>SUM(I326:I334)</f>
        <v>115</v>
      </c>
      <c r="J335" s="128">
        <f>SUM(J326:J334)</f>
        <v>8.4515199999999986</v>
      </c>
      <c r="L335" s="215">
        <f>SUM(L326:L334)</f>
        <v>114</v>
      </c>
      <c r="M335" s="128">
        <f>SUM(M326:M334)</f>
        <v>8.3849779999999985</v>
      </c>
      <c r="N335" s="78">
        <f>SUM(N326:N334)</f>
        <v>1</v>
      </c>
      <c r="O335" s="128">
        <f>SUM(O326:O334)</f>
        <v>6.6542000000000004E-2</v>
      </c>
    </row>
    <row r="336" spans="1:20" s="213" customFormat="1">
      <c r="I336" s="215"/>
      <c r="J336" s="214"/>
      <c r="L336" s="215"/>
      <c r="M336" s="214"/>
      <c r="N336" s="78"/>
      <c r="O336" s="128"/>
    </row>
    <row r="338" spans="1:19" ht="15.6">
      <c r="A338" s="110" t="s">
        <v>503</v>
      </c>
      <c r="B338" s="111" t="s">
        <v>227</v>
      </c>
      <c r="C338" s="112" t="s">
        <v>449</v>
      </c>
      <c r="D338" s="113" t="s">
        <v>131</v>
      </c>
      <c r="E338" s="114" t="s">
        <v>15</v>
      </c>
      <c r="F338" s="115" t="s">
        <v>16</v>
      </c>
      <c r="G338" s="116">
        <v>5.77</v>
      </c>
      <c r="H338" s="125">
        <v>11</v>
      </c>
      <c r="I338" s="111">
        <v>50</v>
      </c>
      <c r="J338" s="117">
        <f t="shared" ref="J338" si="189">H338*G338*I338/1000</f>
        <v>3.1735000000000002</v>
      </c>
      <c r="K338" s="118"/>
      <c r="L338" s="111">
        <v>50</v>
      </c>
      <c r="M338" s="117">
        <f t="shared" ref="M338" si="190">H338*L338*G338/1000</f>
        <v>3.1734999999999998</v>
      </c>
      <c r="N338" s="119">
        <f t="shared" ref="N338" si="191">I338-L338</f>
        <v>0</v>
      </c>
      <c r="O338" s="120">
        <f t="shared" ref="O338" si="192">H338*N338*G338/1000</f>
        <v>0</v>
      </c>
      <c r="P338" s="32"/>
      <c r="Q338" s="32"/>
      <c r="R338" s="32"/>
      <c r="S338" s="32"/>
    </row>
    <row r="339" spans="1:19" ht="15.6">
      <c r="A339" s="110" t="s">
        <v>503</v>
      </c>
      <c r="B339" s="111" t="s">
        <v>227</v>
      </c>
      <c r="C339" s="112" t="s">
        <v>449</v>
      </c>
      <c r="D339" s="113" t="s">
        <v>131</v>
      </c>
      <c r="E339" s="114" t="s">
        <v>15</v>
      </c>
      <c r="F339" s="115" t="s">
        <v>16</v>
      </c>
      <c r="G339" s="116">
        <v>5.77</v>
      </c>
      <c r="H339" s="125">
        <v>11</v>
      </c>
      <c r="I339" s="111">
        <v>23</v>
      </c>
      <c r="J339" s="117">
        <f t="shared" ref="J339:J362" si="193">H339*G339*I339/1000</f>
        <v>1.4598100000000001</v>
      </c>
      <c r="K339" s="118"/>
      <c r="L339" s="111">
        <v>23</v>
      </c>
      <c r="M339" s="117">
        <f t="shared" ref="M339:M362" si="194">H339*L339*G339/1000</f>
        <v>1.4598100000000001</v>
      </c>
      <c r="N339" s="119">
        <f t="shared" ref="N339:N362" si="195">I339-L339</f>
        <v>0</v>
      </c>
      <c r="O339" s="120">
        <f t="shared" ref="O339:O362" si="196">H339*N339*G339/1000</f>
        <v>0</v>
      </c>
      <c r="P339" s="32"/>
      <c r="Q339" s="32"/>
      <c r="R339" s="32"/>
      <c r="S339" s="32"/>
    </row>
    <row r="340" spans="1:19" ht="15.6">
      <c r="A340" s="110" t="s">
        <v>503</v>
      </c>
      <c r="B340" s="111" t="s">
        <v>227</v>
      </c>
      <c r="C340" s="112" t="s">
        <v>449</v>
      </c>
      <c r="D340" s="113" t="s">
        <v>131</v>
      </c>
      <c r="E340" s="114" t="s">
        <v>15</v>
      </c>
      <c r="F340" s="115" t="s">
        <v>16</v>
      </c>
      <c r="G340" s="116">
        <v>5.77</v>
      </c>
      <c r="H340" s="125">
        <v>8</v>
      </c>
      <c r="I340" s="111">
        <v>1</v>
      </c>
      <c r="J340" s="117">
        <f t="shared" si="193"/>
        <v>4.616E-2</v>
      </c>
      <c r="K340" s="118"/>
      <c r="L340" s="111">
        <v>1</v>
      </c>
      <c r="M340" s="117">
        <f t="shared" si="194"/>
        <v>4.616E-2</v>
      </c>
      <c r="N340" s="119">
        <f t="shared" si="195"/>
        <v>0</v>
      </c>
      <c r="O340" s="120">
        <f t="shared" si="196"/>
        <v>0</v>
      </c>
      <c r="P340" s="32">
        <v>8</v>
      </c>
      <c r="Q340" s="32">
        <v>1</v>
      </c>
      <c r="R340" s="32" t="s">
        <v>535</v>
      </c>
      <c r="S340" s="32"/>
    </row>
    <row r="341" spans="1:19" ht="15.6">
      <c r="A341" s="110" t="s">
        <v>503</v>
      </c>
      <c r="B341" s="111" t="s">
        <v>227</v>
      </c>
      <c r="C341" s="112" t="s">
        <v>449</v>
      </c>
      <c r="D341" s="113" t="s">
        <v>131</v>
      </c>
      <c r="E341" s="114" t="s">
        <v>15</v>
      </c>
      <c r="F341" s="115" t="s">
        <v>16</v>
      </c>
      <c r="G341" s="116">
        <v>5.77</v>
      </c>
      <c r="H341" s="125">
        <v>9</v>
      </c>
      <c r="I341" s="111">
        <v>1</v>
      </c>
      <c r="J341" s="117">
        <f t="shared" si="193"/>
        <v>5.192999999999999E-2</v>
      </c>
      <c r="K341" s="118"/>
      <c r="L341" s="111">
        <v>1</v>
      </c>
      <c r="M341" s="117">
        <f t="shared" si="194"/>
        <v>5.192999999999999E-2</v>
      </c>
      <c r="N341" s="119">
        <f t="shared" si="195"/>
        <v>0</v>
      </c>
      <c r="O341" s="120">
        <f t="shared" si="196"/>
        <v>0</v>
      </c>
      <c r="P341" s="55">
        <v>7.1</v>
      </c>
      <c r="Q341" s="45">
        <v>1</v>
      </c>
      <c r="R341" s="32" t="s">
        <v>739</v>
      </c>
      <c r="S341" s="32"/>
    </row>
    <row r="342" spans="1:19" ht="15.6">
      <c r="A342" s="110" t="s">
        <v>503</v>
      </c>
      <c r="B342" s="111" t="s">
        <v>227</v>
      </c>
      <c r="C342" s="112" t="s">
        <v>449</v>
      </c>
      <c r="D342" s="113" t="s">
        <v>131</v>
      </c>
      <c r="E342" s="114" t="s">
        <v>15</v>
      </c>
      <c r="F342" s="115" t="s">
        <v>16</v>
      </c>
      <c r="G342" s="116">
        <v>5.77</v>
      </c>
      <c r="H342" s="125">
        <v>9.5</v>
      </c>
      <c r="I342" s="111">
        <v>1</v>
      </c>
      <c r="J342" s="117">
        <f t="shared" si="193"/>
        <v>5.4814999999999996E-2</v>
      </c>
      <c r="K342" s="118"/>
      <c r="L342" s="111">
        <v>1</v>
      </c>
      <c r="M342" s="117">
        <f t="shared" si="194"/>
        <v>5.4814999999999996E-2</v>
      </c>
      <c r="N342" s="119">
        <f t="shared" si="195"/>
        <v>0</v>
      </c>
      <c r="O342" s="120">
        <f t="shared" si="196"/>
        <v>0</v>
      </c>
      <c r="P342" s="55">
        <v>7.1</v>
      </c>
      <c r="Q342" s="45">
        <v>1</v>
      </c>
      <c r="R342" s="32" t="s">
        <v>739</v>
      </c>
      <c r="S342" s="32"/>
    </row>
    <row r="343" spans="1:19" ht="15.6">
      <c r="A343" s="110" t="s">
        <v>503</v>
      </c>
      <c r="B343" s="111" t="s">
        <v>227</v>
      </c>
      <c r="C343" s="112" t="s">
        <v>449</v>
      </c>
      <c r="D343" s="113" t="s">
        <v>131</v>
      </c>
      <c r="E343" s="114" t="s">
        <v>15</v>
      </c>
      <c r="F343" s="115" t="s">
        <v>16</v>
      </c>
      <c r="G343" s="116">
        <v>5.77</v>
      </c>
      <c r="H343" s="125">
        <v>9.6999999999999993</v>
      </c>
      <c r="I343" s="111">
        <v>1</v>
      </c>
      <c r="J343" s="117">
        <f t="shared" si="193"/>
        <v>5.5968999999999991E-2</v>
      </c>
      <c r="K343" s="118"/>
      <c r="L343" s="111">
        <v>1</v>
      </c>
      <c r="M343" s="117">
        <f t="shared" si="194"/>
        <v>5.5968999999999991E-2</v>
      </c>
      <c r="N343" s="119">
        <f t="shared" si="195"/>
        <v>0</v>
      </c>
      <c r="O343" s="120">
        <f t="shared" si="196"/>
        <v>0</v>
      </c>
      <c r="P343" s="55">
        <v>7.1</v>
      </c>
      <c r="Q343" s="45">
        <v>1</v>
      </c>
      <c r="R343" s="32" t="s">
        <v>739</v>
      </c>
      <c r="S343" s="32"/>
    </row>
    <row r="344" spans="1:19" ht="15.6">
      <c r="A344" s="110" t="s">
        <v>503</v>
      </c>
      <c r="B344" s="111" t="s">
        <v>227</v>
      </c>
      <c r="C344" s="112" t="s">
        <v>449</v>
      </c>
      <c r="D344" s="113" t="s">
        <v>131</v>
      </c>
      <c r="E344" s="114" t="s">
        <v>15</v>
      </c>
      <c r="F344" s="115" t="s">
        <v>16</v>
      </c>
      <c r="G344" s="116">
        <v>5.77</v>
      </c>
      <c r="H344" s="125">
        <v>10.5</v>
      </c>
      <c r="I344" s="111">
        <v>2</v>
      </c>
      <c r="J344" s="117">
        <f t="shared" si="193"/>
        <v>0.12116999999999999</v>
      </c>
      <c r="K344" s="118"/>
      <c r="L344" s="111">
        <v>2</v>
      </c>
      <c r="M344" s="117">
        <f t="shared" si="194"/>
        <v>0.12116999999999999</v>
      </c>
      <c r="N344" s="119">
        <f t="shared" si="195"/>
        <v>0</v>
      </c>
      <c r="O344" s="120">
        <f t="shared" si="196"/>
        <v>0</v>
      </c>
      <c r="P344" s="55">
        <v>7.1</v>
      </c>
      <c r="Q344" s="45">
        <v>2</v>
      </c>
      <c r="R344" s="32" t="s">
        <v>739</v>
      </c>
      <c r="S344" s="32"/>
    </row>
    <row r="345" spans="1:19" ht="15.6">
      <c r="A345" s="110" t="s">
        <v>503</v>
      </c>
      <c r="B345" s="111" t="s">
        <v>227</v>
      </c>
      <c r="C345" s="112" t="s">
        <v>449</v>
      </c>
      <c r="D345" s="113" t="s">
        <v>131</v>
      </c>
      <c r="E345" s="114" t="s">
        <v>15</v>
      </c>
      <c r="F345" s="115" t="s">
        <v>16</v>
      </c>
      <c r="G345" s="116">
        <v>5.77</v>
      </c>
      <c r="H345" s="125">
        <v>11</v>
      </c>
      <c r="I345" s="111">
        <v>34</v>
      </c>
      <c r="J345" s="117">
        <f t="shared" si="193"/>
        <v>2.1579800000000002</v>
      </c>
      <c r="K345" s="118"/>
      <c r="L345" s="111">
        <v>34</v>
      </c>
      <c r="M345" s="117">
        <f t="shared" si="194"/>
        <v>2.1579800000000002</v>
      </c>
      <c r="N345" s="119">
        <f t="shared" si="195"/>
        <v>0</v>
      </c>
      <c r="O345" s="120">
        <f t="shared" si="196"/>
        <v>0</v>
      </c>
      <c r="P345" s="55"/>
      <c r="Q345" s="45"/>
      <c r="R345" s="32"/>
      <c r="S345" s="32"/>
    </row>
    <row r="346" spans="1:19" ht="15.6">
      <c r="A346" s="110" t="s">
        <v>503</v>
      </c>
      <c r="B346" s="111" t="s">
        <v>227</v>
      </c>
      <c r="C346" s="112" t="s">
        <v>449</v>
      </c>
      <c r="D346" s="113" t="s">
        <v>131</v>
      </c>
      <c r="E346" s="114" t="s">
        <v>15</v>
      </c>
      <c r="F346" s="115" t="s">
        <v>16</v>
      </c>
      <c r="G346" s="116">
        <v>5.77</v>
      </c>
      <c r="H346" s="125">
        <v>10.5</v>
      </c>
      <c r="I346" s="111">
        <v>2</v>
      </c>
      <c r="J346" s="117">
        <f t="shared" si="193"/>
        <v>0.12116999999999999</v>
      </c>
      <c r="K346" s="118"/>
      <c r="L346" s="111">
        <v>2</v>
      </c>
      <c r="M346" s="117">
        <f t="shared" si="194"/>
        <v>0.12116999999999999</v>
      </c>
      <c r="N346" s="119">
        <f t="shared" si="195"/>
        <v>0</v>
      </c>
      <c r="O346" s="120">
        <f t="shared" si="196"/>
        <v>0</v>
      </c>
      <c r="P346" s="55">
        <v>7.1</v>
      </c>
      <c r="Q346" s="45">
        <v>2</v>
      </c>
      <c r="R346" s="32" t="s">
        <v>739</v>
      </c>
      <c r="S346" s="32"/>
    </row>
    <row r="347" spans="1:19" ht="15.6">
      <c r="A347" s="110" t="s">
        <v>503</v>
      </c>
      <c r="B347" s="111" t="s">
        <v>227</v>
      </c>
      <c r="C347" s="112" t="s">
        <v>449</v>
      </c>
      <c r="D347" s="113" t="s">
        <v>131</v>
      </c>
      <c r="E347" s="114" t="s">
        <v>15</v>
      </c>
      <c r="F347" s="115" t="s">
        <v>16</v>
      </c>
      <c r="G347" s="116">
        <v>5.77</v>
      </c>
      <c r="H347" s="125">
        <v>9</v>
      </c>
      <c r="I347" s="111">
        <v>1</v>
      </c>
      <c r="J347" s="117">
        <f t="shared" si="193"/>
        <v>5.192999999999999E-2</v>
      </c>
      <c r="K347" s="118"/>
      <c r="L347" s="111">
        <v>1</v>
      </c>
      <c r="M347" s="117">
        <f t="shared" si="194"/>
        <v>5.192999999999999E-2</v>
      </c>
      <c r="N347" s="119">
        <f t="shared" si="195"/>
        <v>0</v>
      </c>
      <c r="O347" s="120">
        <f t="shared" si="196"/>
        <v>0</v>
      </c>
      <c r="P347" s="55">
        <v>7.1</v>
      </c>
      <c r="Q347" s="45">
        <v>1</v>
      </c>
      <c r="R347" s="32" t="s">
        <v>739</v>
      </c>
      <c r="S347" s="32"/>
    </row>
    <row r="348" spans="1:19" ht="15.6">
      <c r="A348" s="110" t="s">
        <v>503</v>
      </c>
      <c r="B348" s="111" t="s">
        <v>227</v>
      </c>
      <c r="C348" s="112" t="s">
        <v>449</v>
      </c>
      <c r="D348" s="113" t="s">
        <v>131</v>
      </c>
      <c r="E348" s="114" t="s">
        <v>15</v>
      </c>
      <c r="F348" s="115" t="s">
        <v>16</v>
      </c>
      <c r="G348" s="116">
        <v>5.77</v>
      </c>
      <c r="H348" s="125">
        <v>10</v>
      </c>
      <c r="I348" s="111">
        <v>2</v>
      </c>
      <c r="J348" s="117">
        <f t="shared" si="193"/>
        <v>0.11539999999999999</v>
      </c>
      <c r="K348" s="118"/>
      <c r="L348" s="111">
        <v>2</v>
      </c>
      <c r="M348" s="117">
        <f t="shared" si="194"/>
        <v>0.11539999999999999</v>
      </c>
      <c r="N348" s="119">
        <f t="shared" si="195"/>
        <v>0</v>
      </c>
      <c r="O348" s="120">
        <f t="shared" si="196"/>
        <v>0</v>
      </c>
      <c r="P348" s="55">
        <v>7.1</v>
      </c>
      <c r="Q348" s="45">
        <v>2</v>
      </c>
      <c r="R348" s="32" t="s">
        <v>739</v>
      </c>
      <c r="S348" s="32"/>
    </row>
    <row r="349" spans="1:19" ht="15.6">
      <c r="A349" s="110" t="s">
        <v>503</v>
      </c>
      <c r="B349" s="111" t="s">
        <v>227</v>
      </c>
      <c r="C349" s="112" t="s">
        <v>449</v>
      </c>
      <c r="D349" s="113" t="s">
        <v>131</v>
      </c>
      <c r="E349" s="114" t="s">
        <v>15</v>
      </c>
      <c r="F349" s="115" t="s">
        <v>16</v>
      </c>
      <c r="G349" s="116">
        <v>5.77</v>
      </c>
      <c r="H349" s="125">
        <v>11.8</v>
      </c>
      <c r="I349" s="111">
        <v>1</v>
      </c>
      <c r="J349" s="117">
        <f t="shared" si="193"/>
        <v>6.8085999999999994E-2</v>
      </c>
      <c r="K349" s="118"/>
      <c r="L349" s="111">
        <v>1</v>
      </c>
      <c r="M349" s="117">
        <f t="shared" si="194"/>
        <v>6.8085999999999994E-2</v>
      </c>
      <c r="N349" s="119">
        <f t="shared" si="195"/>
        <v>0</v>
      </c>
      <c r="O349" s="120">
        <f t="shared" si="196"/>
        <v>0</v>
      </c>
      <c r="P349" s="32">
        <v>11</v>
      </c>
      <c r="Q349" s="32">
        <v>1</v>
      </c>
      <c r="R349" s="32"/>
      <c r="S349" s="32"/>
    </row>
    <row r="350" spans="1:19" ht="15.6">
      <c r="A350" s="110" t="s">
        <v>503</v>
      </c>
      <c r="B350" s="111" t="s">
        <v>227</v>
      </c>
      <c r="C350" s="112" t="s">
        <v>449</v>
      </c>
      <c r="D350" s="113" t="s">
        <v>131</v>
      </c>
      <c r="E350" s="114" t="s">
        <v>15</v>
      </c>
      <c r="F350" s="115" t="s">
        <v>16</v>
      </c>
      <c r="G350" s="116">
        <v>5.77</v>
      </c>
      <c r="H350" s="125">
        <v>11</v>
      </c>
      <c r="I350" s="111">
        <v>1</v>
      </c>
      <c r="J350" s="117">
        <f t="shared" si="193"/>
        <v>6.3469999999999999E-2</v>
      </c>
      <c r="K350" s="118"/>
      <c r="L350" s="111">
        <v>1</v>
      </c>
      <c r="M350" s="117">
        <f t="shared" si="194"/>
        <v>6.3469999999999999E-2</v>
      </c>
      <c r="N350" s="119">
        <f t="shared" si="195"/>
        <v>0</v>
      </c>
      <c r="O350" s="120">
        <f t="shared" si="196"/>
        <v>0</v>
      </c>
      <c r="P350" s="32"/>
      <c r="Q350" s="32"/>
      <c r="R350" s="32"/>
      <c r="S350" s="32"/>
    </row>
    <row r="351" spans="1:19" ht="15.6">
      <c r="A351" s="110" t="s">
        <v>503</v>
      </c>
      <c r="B351" s="111" t="s">
        <v>227</v>
      </c>
      <c r="C351" s="112" t="s">
        <v>449</v>
      </c>
      <c r="D351" s="113" t="s">
        <v>131</v>
      </c>
      <c r="E351" s="114" t="s">
        <v>15</v>
      </c>
      <c r="F351" s="115" t="s">
        <v>16</v>
      </c>
      <c r="G351" s="116">
        <v>5.77</v>
      </c>
      <c r="H351" s="125">
        <v>12</v>
      </c>
      <c r="I351" s="111">
        <v>20</v>
      </c>
      <c r="J351" s="117">
        <f t="shared" si="193"/>
        <v>1.3848</v>
      </c>
      <c r="K351" s="118"/>
      <c r="L351" s="111">
        <v>20</v>
      </c>
      <c r="M351" s="117">
        <f t="shared" si="194"/>
        <v>1.3848</v>
      </c>
      <c r="N351" s="119">
        <f t="shared" si="195"/>
        <v>0</v>
      </c>
      <c r="O351" s="120">
        <f t="shared" si="196"/>
        <v>0</v>
      </c>
      <c r="P351" s="32"/>
      <c r="Q351" s="32"/>
      <c r="R351" s="32"/>
      <c r="S351" s="32"/>
    </row>
    <row r="352" spans="1:19" ht="15.6">
      <c r="A352" s="110" t="s">
        <v>503</v>
      </c>
      <c r="B352" s="111" t="s">
        <v>227</v>
      </c>
      <c r="C352" s="112" t="s">
        <v>449</v>
      </c>
      <c r="D352" s="113" t="s">
        <v>131</v>
      </c>
      <c r="E352" s="114" t="s">
        <v>15</v>
      </c>
      <c r="F352" s="115" t="s">
        <v>16</v>
      </c>
      <c r="G352" s="116">
        <v>5.77</v>
      </c>
      <c r="H352" s="125">
        <v>11</v>
      </c>
      <c r="I352" s="111">
        <v>50</v>
      </c>
      <c r="J352" s="117">
        <f t="shared" si="193"/>
        <v>3.1735000000000002</v>
      </c>
      <c r="K352" s="118"/>
      <c r="L352" s="111">
        <v>50</v>
      </c>
      <c r="M352" s="117">
        <f t="shared" si="194"/>
        <v>3.1734999999999998</v>
      </c>
      <c r="N352" s="119">
        <f t="shared" si="195"/>
        <v>0</v>
      </c>
      <c r="O352" s="120">
        <f t="shared" si="196"/>
        <v>0</v>
      </c>
      <c r="P352" s="32"/>
      <c r="Q352" s="32"/>
      <c r="R352" s="32"/>
      <c r="S352" s="32"/>
    </row>
    <row r="353" spans="1:19" ht="15.6">
      <c r="A353" s="110" t="s">
        <v>503</v>
      </c>
      <c r="B353" s="111" t="s">
        <v>227</v>
      </c>
      <c r="C353" s="112" t="s">
        <v>449</v>
      </c>
      <c r="D353" s="113" t="s">
        <v>131</v>
      </c>
      <c r="E353" s="114" t="s">
        <v>15</v>
      </c>
      <c r="F353" s="115" t="s">
        <v>16</v>
      </c>
      <c r="G353" s="116">
        <v>5.77</v>
      </c>
      <c r="H353" s="125">
        <v>11</v>
      </c>
      <c r="I353" s="111">
        <v>49</v>
      </c>
      <c r="J353" s="117">
        <f t="shared" si="193"/>
        <v>3.1100299999999996</v>
      </c>
      <c r="K353" s="118"/>
      <c r="L353" s="111">
        <v>49</v>
      </c>
      <c r="M353" s="117">
        <f t="shared" si="194"/>
        <v>3.1100299999999996</v>
      </c>
      <c r="N353" s="119">
        <f t="shared" si="195"/>
        <v>0</v>
      </c>
      <c r="O353" s="120">
        <f t="shared" si="196"/>
        <v>0</v>
      </c>
      <c r="P353" s="32"/>
      <c r="Q353" s="32"/>
      <c r="R353" s="32"/>
      <c r="S353" s="32"/>
    </row>
    <row r="354" spans="1:19" ht="15.6">
      <c r="A354" s="110" t="s">
        <v>503</v>
      </c>
      <c r="B354" s="111" t="s">
        <v>227</v>
      </c>
      <c r="C354" s="112" t="s">
        <v>449</v>
      </c>
      <c r="D354" s="113" t="s">
        <v>131</v>
      </c>
      <c r="E354" s="114" t="s">
        <v>15</v>
      </c>
      <c r="F354" s="115" t="s">
        <v>16</v>
      </c>
      <c r="G354" s="116">
        <v>5.77</v>
      </c>
      <c r="H354" s="125">
        <v>11</v>
      </c>
      <c r="I354" s="111">
        <v>49</v>
      </c>
      <c r="J354" s="117">
        <f t="shared" si="193"/>
        <v>3.1100299999999996</v>
      </c>
      <c r="K354" s="118"/>
      <c r="L354" s="111">
        <v>49</v>
      </c>
      <c r="M354" s="117">
        <f t="shared" si="194"/>
        <v>3.1100299999999996</v>
      </c>
      <c r="N354" s="119">
        <f t="shared" si="195"/>
        <v>0</v>
      </c>
      <c r="O354" s="120">
        <f t="shared" si="196"/>
        <v>0</v>
      </c>
      <c r="P354" s="32"/>
      <c r="Q354" s="32"/>
      <c r="R354" s="32"/>
      <c r="S354" s="32"/>
    </row>
    <row r="355" spans="1:19" ht="15.6">
      <c r="A355" s="110" t="s">
        <v>503</v>
      </c>
      <c r="B355" s="111" t="s">
        <v>227</v>
      </c>
      <c r="C355" s="112" t="s">
        <v>449</v>
      </c>
      <c r="D355" s="113" t="s">
        <v>131</v>
      </c>
      <c r="E355" s="114" t="s">
        <v>15</v>
      </c>
      <c r="F355" s="115" t="s">
        <v>16</v>
      </c>
      <c r="G355" s="116">
        <v>5.77</v>
      </c>
      <c r="H355" s="125">
        <v>11</v>
      </c>
      <c r="I355" s="111">
        <v>49</v>
      </c>
      <c r="J355" s="117">
        <f t="shared" si="193"/>
        <v>3.1100299999999996</v>
      </c>
      <c r="K355" s="118"/>
      <c r="L355" s="111">
        <v>49</v>
      </c>
      <c r="M355" s="117">
        <f t="shared" si="194"/>
        <v>3.1100299999999996</v>
      </c>
      <c r="N355" s="119">
        <f t="shared" si="195"/>
        <v>0</v>
      </c>
      <c r="O355" s="120">
        <f t="shared" si="196"/>
        <v>0</v>
      </c>
      <c r="P355" s="32"/>
      <c r="Q355" s="32"/>
      <c r="R355" s="32"/>
      <c r="S355" s="32"/>
    </row>
    <row r="356" spans="1:19" ht="15.6">
      <c r="A356" s="110" t="s">
        <v>503</v>
      </c>
      <c r="B356" s="111" t="s">
        <v>227</v>
      </c>
      <c r="C356" s="112" t="s">
        <v>449</v>
      </c>
      <c r="D356" s="113" t="s">
        <v>131</v>
      </c>
      <c r="E356" s="114" t="s">
        <v>15</v>
      </c>
      <c r="F356" s="115" t="s">
        <v>16</v>
      </c>
      <c r="G356" s="116">
        <v>5.77</v>
      </c>
      <c r="H356" s="125">
        <v>11</v>
      </c>
      <c r="I356" s="111">
        <v>49</v>
      </c>
      <c r="J356" s="117">
        <f t="shared" si="193"/>
        <v>3.1100299999999996</v>
      </c>
      <c r="K356" s="118"/>
      <c r="L356" s="111">
        <v>49</v>
      </c>
      <c r="M356" s="117">
        <f t="shared" si="194"/>
        <v>3.1100299999999996</v>
      </c>
      <c r="N356" s="119">
        <f t="shared" si="195"/>
        <v>0</v>
      </c>
      <c r="O356" s="120">
        <f t="shared" si="196"/>
        <v>0</v>
      </c>
      <c r="P356" s="32"/>
      <c r="Q356" s="32"/>
      <c r="R356" s="32"/>
      <c r="S356" s="32"/>
    </row>
    <row r="357" spans="1:19" ht="15.6">
      <c r="A357" s="110" t="s">
        <v>503</v>
      </c>
      <c r="B357" s="111" t="s">
        <v>227</v>
      </c>
      <c r="C357" s="112" t="s">
        <v>449</v>
      </c>
      <c r="D357" s="113" t="s">
        <v>131</v>
      </c>
      <c r="E357" s="114" t="s">
        <v>15</v>
      </c>
      <c r="F357" s="115" t="s">
        <v>16</v>
      </c>
      <c r="G357" s="116">
        <v>5.77</v>
      </c>
      <c r="H357" s="125">
        <v>10</v>
      </c>
      <c r="I357" s="111">
        <v>47</v>
      </c>
      <c r="J357" s="117">
        <f t="shared" si="193"/>
        <v>2.7118999999999995</v>
      </c>
      <c r="K357" s="118"/>
      <c r="L357" s="111">
        <f>42+5</f>
        <v>47</v>
      </c>
      <c r="M357" s="117">
        <f t="shared" si="194"/>
        <v>2.7118999999999995</v>
      </c>
      <c r="N357" s="119">
        <f t="shared" si="195"/>
        <v>0</v>
      </c>
      <c r="O357" s="120">
        <f t="shared" si="196"/>
        <v>0</v>
      </c>
      <c r="P357" s="32"/>
      <c r="Q357" s="32"/>
      <c r="R357" s="32"/>
      <c r="S357" s="32"/>
    </row>
    <row r="358" spans="1:19" ht="15.6">
      <c r="A358" s="110" t="s">
        <v>503</v>
      </c>
      <c r="B358" s="111" t="s">
        <v>227</v>
      </c>
      <c r="C358" s="112" t="s">
        <v>449</v>
      </c>
      <c r="D358" s="113" t="s">
        <v>131</v>
      </c>
      <c r="E358" s="114" t="s">
        <v>15</v>
      </c>
      <c r="F358" s="115" t="s">
        <v>16</v>
      </c>
      <c r="G358" s="116">
        <v>5.77</v>
      </c>
      <c r="H358" s="125">
        <v>12</v>
      </c>
      <c r="I358" s="111">
        <v>25</v>
      </c>
      <c r="J358" s="117">
        <f t="shared" si="193"/>
        <v>1.7309999999999999</v>
      </c>
      <c r="K358" s="118"/>
      <c r="L358" s="111">
        <v>25</v>
      </c>
      <c r="M358" s="117">
        <f t="shared" si="194"/>
        <v>1.7309999999999999</v>
      </c>
      <c r="N358" s="119">
        <f t="shared" si="195"/>
        <v>0</v>
      </c>
      <c r="O358" s="120">
        <f t="shared" si="196"/>
        <v>0</v>
      </c>
      <c r="P358" s="32"/>
      <c r="Q358" s="32"/>
      <c r="R358" s="32"/>
      <c r="S358" s="32"/>
    </row>
    <row r="359" spans="1:19" ht="15.6">
      <c r="A359" s="110" t="s">
        <v>503</v>
      </c>
      <c r="B359" s="111" t="s">
        <v>227</v>
      </c>
      <c r="C359" s="112" t="s">
        <v>449</v>
      </c>
      <c r="D359" s="113" t="s">
        <v>131</v>
      </c>
      <c r="E359" s="114" t="s">
        <v>15</v>
      </c>
      <c r="F359" s="115" t="s">
        <v>16</v>
      </c>
      <c r="G359" s="116">
        <v>5.77</v>
      </c>
      <c r="H359" s="125">
        <v>11</v>
      </c>
      <c r="I359" s="111">
        <v>32</v>
      </c>
      <c r="J359" s="117">
        <f t="shared" si="193"/>
        <v>2.03104</v>
      </c>
      <c r="K359" s="118"/>
      <c r="L359" s="111">
        <v>32</v>
      </c>
      <c r="M359" s="117">
        <f t="shared" si="194"/>
        <v>2.03104</v>
      </c>
      <c r="N359" s="119">
        <f t="shared" si="195"/>
        <v>0</v>
      </c>
      <c r="O359" s="120">
        <f t="shared" si="196"/>
        <v>0</v>
      </c>
      <c r="P359" s="32"/>
      <c r="Q359" s="32"/>
      <c r="R359" s="32"/>
      <c r="S359" s="32"/>
    </row>
    <row r="360" spans="1:19" ht="15.6">
      <c r="A360" s="110" t="s">
        <v>503</v>
      </c>
      <c r="B360" s="111" t="s">
        <v>227</v>
      </c>
      <c r="C360" s="112" t="s">
        <v>449</v>
      </c>
      <c r="D360" s="113" t="s">
        <v>131</v>
      </c>
      <c r="E360" s="114" t="s">
        <v>15</v>
      </c>
      <c r="F360" s="115" t="s">
        <v>16</v>
      </c>
      <c r="G360" s="116">
        <v>5.77</v>
      </c>
      <c r="H360" s="125">
        <v>9.5</v>
      </c>
      <c r="I360" s="111">
        <v>2</v>
      </c>
      <c r="J360" s="117">
        <f t="shared" si="193"/>
        <v>0.10962999999999999</v>
      </c>
      <c r="K360" s="118"/>
      <c r="L360" s="111">
        <v>2</v>
      </c>
      <c r="M360" s="117">
        <f t="shared" si="194"/>
        <v>0.10962999999999999</v>
      </c>
      <c r="N360" s="119">
        <f t="shared" si="195"/>
        <v>0</v>
      </c>
      <c r="O360" s="120">
        <f t="shared" si="196"/>
        <v>0</v>
      </c>
      <c r="P360" s="32">
        <v>7.1</v>
      </c>
      <c r="Q360" s="45">
        <v>2</v>
      </c>
      <c r="R360" s="32" t="s">
        <v>739</v>
      </c>
      <c r="S360" s="32"/>
    </row>
    <row r="361" spans="1:19" ht="15.6">
      <c r="A361" s="110" t="s">
        <v>503</v>
      </c>
      <c r="B361" s="111" t="s">
        <v>227</v>
      </c>
      <c r="C361" s="112" t="s">
        <v>449</v>
      </c>
      <c r="D361" s="113" t="s">
        <v>131</v>
      </c>
      <c r="E361" s="114" t="s">
        <v>15</v>
      </c>
      <c r="F361" s="115" t="s">
        <v>16</v>
      </c>
      <c r="G361" s="116">
        <v>5.77</v>
      </c>
      <c r="H361" s="125">
        <v>10</v>
      </c>
      <c r="I361" s="111">
        <v>5</v>
      </c>
      <c r="J361" s="117">
        <f t="shared" si="193"/>
        <v>0.28849999999999998</v>
      </c>
      <c r="K361" s="118"/>
      <c r="L361" s="111">
        <v>5</v>
      </c>
      <c r="M361" s="117">
        <f t="shared" si="194"/>
        <v>0.28849999999999998</v>
      </c>
      <c r="N361" s="119">
        <f t="shared" si="195"/>
        <v>0</v>
      </c>
      <c r="O361" s="120">
        <f t="shared" si="196"/>
        <v>0</v>
      </c>
      <c r="P361" s="32"/>
      <c r="Q361" s="32"/>
      <c r="R361" s="32"/>
      <c r="S361" s="32"/>
    </row>
    <row r="362" spans="1:19" ht="15.6">
      <c r="A362" s="110" t="s">
        <v>503</v>
      </c>
      <c r="B362" s="111" t="s">
        <v>227</v>
      </c>
      <c r="C362" s="112" t="s">
        <v>449</v>
      </c>
      <c r="D362" s="113" t="s">
        <v>131</v>
      </c>
      <c r="E362" s="114" t="s">
        <v>15</v>
      </c>
      <c r="F362" s="115" t="s">
        <v>16</v>
      </c>
      <c r="G362" s="116">
        <v>5.77</v>
      </c>
      <c r="H362" s="125">
        <v>10.5</v>
      </c>
      <c r="I362" s="111">
        <v>16</v>
      </c>
      <c r="J362" s="117">
        <f t="shared" si="193"/>
        <v>0.96935999999999989</v>
      </c>
      <c r="K362" s="118"/>
      <c r="L362" s="111">
        <v>16</v>
      </c>
      <c r="M362" s="117">
        <f t="shared" si="194"/>
        <v>0.96935999999999989</v>
      </c>
      <c r="N362" s="119">
        <f t="shared" si="195"/>
        <v>0</v>
      </c>
      <c r="O362" s="120">
        <f t="shared" si="196"/>
        <v>0</v>
      </c>
      <c r="P362" s="32"/>
      <c r="Q362" s="32"/>
      <c r="R362" s="32"/>
      <c r="S362" s="32"/>
    </row>
    <row r="363" spans="1:19" ht="15.6">
      <c r="A363" s="110" t="s">
        <v>503</v>
      </c>
      <c r="B363" s="111" t="s">
        <v>227</v>
      </c>
      <c r="C363" s="112" t="s">
        <v>449</v>
      </c>
      <c r="D363" s="113" t="s">
        <v>131</v>
      </c>
      <c r="E363" s="114" t="s">
        <v>15</v>
      </c>
      <c r="F363" s="115" t="s">
        <v>16</v>
      </c>
      <c r="G363" s="116">
        <v>5.77</v>
      </c>
      <c r="H363" s="125">
        <v>10</v>
      </c>
      <c r="I363" s="111">
        <v>32</v>
      </c>
      <c r="J363" s="117">
        <f t="shared" ref="J363:J383" si="197">H363*G363*I363/1000</f>
        <v>1.8463999999999998</v>
      </c>
      <c r="K363" s="118"/>
      <c r="L363" s="111">
        <f>5+3+24</f>
        <v>32</v>
      </c>
      <c r="M363" s="117">
        <f t="shared" ref="M363:M383" si="198">H363*L363*G363/1000</f>
        <v>1.8463999999999998</v>
      </c>
      <c r="N363" s="119">
        <f t="shared" ref="N363:N383" si="199">I363-L363</f>
        <v>0</v>
      </c>
      <c r="O363" s="120">
        <f t="shared" ref="O363:O383" si="200">H363*N363*G363/1000</f>
        <v>0</v>
      </c>
      <c r="P363" s="32" t="s">
        <v>796</v>
      </c>
      <c r="Q363" s="45">
        <v>24</v>
      </c>
      <c r="R363" s="32" t="s">
        <v>739</v>
      </c>
      <c r="S363" s="32"/>
    </row>
    <row r="364" spans="1:19" ht="15.6">
      <c r="A364" s="110" t="s">
        <v>503</v>
      </c>
      <c r="B364" s="111" t="s">
        <v>227</v>
      </c>
      <c r="C364" s="112" t="s">
        <v>449</v>
      </c>
      <c r="D364" s="113" t="s">
        <v>131</v>
      </c>
      <c r="E364" s="114" t="s">
        <v>15</v>
      </c>
      <c r="F364" s="115" t="s">
        <v>16</v>
      </c>
      <c r="G364" s="116">
        <v>5.77</v>
      </c>
      <c r="H364" s="125">
        <v>11</v>
      </c>
      <c r="I364" s="111">
        <v>49</v>
      </c>
      <c r="J364" s="117">
        <f t="shared" si="197"/>
        <v>3.1100299999999996</v>
      </c>
      <c r="K364" s="118"/>
      <c r="L364" s="111">
        <v>49</v>
      </c>
      <c r="M364" s="117">
        <f t="shared" si="198"/>
        <v>3.1100299999999996</v>
      </c>
      <c r="N364" s="119">
        <f t="shared" si="199"/>
        <v>0</v>
      </c>
      <c r="O364" s="120">
        <f t="shared" si="200"/>
        <v>0</v>
      </c>
      <c r="P364" s="32"/>
      <c r="Q364" s="32"/>
      <c r="R364" s="32"/>
      <c r="S364" s="32"/>
    </row>
    <row r="365" spans="1:19" ht="15.6">
      <c r="A365" s="110" t="s">
        <v>503</v>
      </c>
      <c r="B365" s="111" t="s">
        <v>227</v>
      </c>
      <c r="C365" s="112" t="s">
        <v>449</v>
      </c>
      <c r="D365" s="113" t="s">
        <v>131</v>
      </c>
      <c r="E365" s="114" t="s">
        <v>15</v>
      </c>
      <c r="F365" s="115" t="s">
        <v>16</v>
      </c>
      <c r="G365" s="116">
        <v>5.77</v>
      </c>
      <c r="H365" s="125">
        <v>11</v>
      </c>
      <c r="I365" s="111">
        <v>51</v>
      </c>
      <c r="J365" s="117">
        <f t="shared" si="197"/>
        <v>3.2369699999999999</v>
      </c>
      <c r="K365" s="118"/>
      <c r="L365" s="111">
        <v>51</v>
      </c>
      <c r="M365" s="117">
        <f t="shared" si="198"/>
        <v>3.2369699999999999</v>
      </c>
      <c r="N365" s="119">
        <f t="shared" si="199"/>
        <v>0</v>
      </c>
      <c r="O365" s="120">
        <f t="shared" si="200"/>
        <v>0</v>
      </c>
      <c r="P365" s="32"/>
      <c r="Q365" s="32"/>
      <c r="R365" s="32"/>
      <c r="S365" s="32"/>
    </row>
    <row r="366" spans="1:19" ht="15.6">
      <c r="A366" s="110" t="s">
        <v>503</v>
      </c>
      <c r="B366" s="111" t="s">
        <v>227</v>
      </c>
      <c r="C366" s="112" t="s">
        <v>449</v>
      </c>
      <c r="D366" s="113" t="s">
        <v>131</v>
      </c>
      <c r="E366" s="114" t="s">
        <v>15</v>
      </c>
      <c r="F366" s="115" t="s">
        <v>16</v>
      </c>
      <c r="G366" s="116">
        <v>5.77</v>
      </c>
      <c r="H366" s="125">
        <v>11</v>
      </c>
      <c r="I366" s="111">
        <v>52</v>
      </c>
      <c r="J366" s="117">
        <f t="shared" si="197"/>
        <v>3.30044</v>
      </c>
      <c r="K366" s="118"/>
      <c r="L366" s="111">
        <v>52</v>
      </c>
      <c r="M366" s="117">
        <f t="shared" si="198"/>
        <v>3.3004399999999996</v>
      </c>
      <c r="N366" s="119">
        <f t="shared" si="199"/>
        <v>0</v>
      </c>
      <c r="O366" s="120">
        <f t="shared" si="200"/>
        <v>0</v>
      </c>
      <c r="P366" s="32"/>
      <c r="Q366" s="32"/>
      <c r="R366" s="32"/>
      <c r="S366" s="32"/>
    </row>
    <row r="367" spans="1:19" ht="15.6">
      <c r="A367" s="110" t="s">
        <v>503</v>
      </c>
      <c r="B367" s="111" t="s">
        <v>227</v>
      </c>
      <c r="C367" s="112" t="s">
        <v>449</v>
      </c>
      <c r="D367" s="113" t="s">
        <v>131</v>
      </c>
      <c r="E367" s="114" t="s">
        <v>15</v>
      </c>
      <c r="F367" s="115" t="s">
        <v>16</v>
      </c>
      <c r="G367" s="116">
        <v>5.77</v>
      </c>
      <c r="H367" s="125">
        <v>11</v>
      </c>
      <c r="I367" s="111">
        <v>50</v>
      </c>
      <c r="J367" s="117">
        <f t="shared" si="197"/>
        <v>3.1735000000000002</v>
      </c>
      <c r="K367" s="118"/>
      <c r="L367" s="111">
        <v>50</v>
      </c>
      <c r="M367" s="117">
        <f t="shared" si="198"/>
        <v>3.1734999999999998</v>
      </c>
      <c r="N367" s="119">
        <f t="shared" si="199"/>
        <v>0</v>
      </c>
      <c r="O367" s="120">
        <f t="shared" si="200"/>
        <v>0</v>
      </c>
      <c r="P367" s="32"/>
      <c r="Q367" s="32"/>
      <c r="R367" s="32"/>
      <c r="S367" s="32"/>
    </row>
    <row r="368" spans="1:19" ht="15.6">
      <c r="A368" s="110" t="s">
        <v>503</v>
      </c>
      <c r="B368" s="111" t="s">
        <v>227</v>
      </c>
      <c r="C368" s="112" t="s">
        <v>449</v>
      </c>
      <c r="D368" s="113" t="s">
        <v>131</v>
      </c>
      <c r="E368" s="114" t="s">
        <v>15</v>
      </c>
      <c r="F368" s="115" t="s">
        <v>16</v>
      </c>
      <c r="G368" s="116">
        <v>5.77</v>
      </c>
      <c r="H368" s="125">
        <v>11</v>
      </c>
      <c r="I368" s="111">
        <v>47</v>
      </c>
      <c r="J368" s="117">
        <f t="shared" si="197"/>
        <v>2.9830900000000002</v>
      </c>
      <c r="K368" s="118"/>
      <c r="L368" s="111">
        <v>47</v>
      </c>
      <c r="M368" s="117">
        <f t="shared" si="198"/>
        <v>2.9830899999999998</v>
      </c>
      <c r="N368" s="119">
        <f t="shared" si="199"/>
        <v>0</v>
      </c>
      <c r="O368" s="120">
        <f t="shared" si="200"/>
        <v>0</v>
      </c>
      <c r="P368" s="32"/>
      <c r="Q368" s="32"/>
      <c r="R368" s="32"/>
      <c r="S368" s="32"/>
    </row>
    <row r="369" spans="1:19" ht="15.6">
      <c r="A369" s="110" t="s">
        <v>503</v>
      </c>
      <c r="B369" s="111" t="s">
        <v>227</v>
      </c>
      <c r="C369" s="112" t="s">
        <v>449</v>
      </c>
      <c r="D369" s="113" t="s">
        <v>131</v>
      </c>
      <c r="E369" s="114" t="s">
        <v>15</v>
      </c>
      <c r="F369" s="115" t="s">
        <v>16</v>
      </c>
      <c r="G369" s="116">
        <v>5.77</v>
      </c>
      <c r="H369" s="125">
        <v>11</v>
      </c>
      <c r="I369" s="111">
        <v>50</v>
      </c>
      <c r="J369" s="117">
        <f t="shared" si="197"/>
        <v>3.1735000000000002</v>
      </c>
      <c r="K369" s="118"/>
      <c r="L369" s="111">
        <v>50</v>
      </c>
      <c r="M369" s="117">
        <f t="shared" si="198"/>
        <v>3.1734999999999998</v>
      </c>
      <c r="N369" s="119">
        <f t="shared" si="199"/>
        <v>0</v>
      </c>
      <c r="O369" s="120">
        <f t="shared" si="200"/>
        <v>0</v>
      </c>
      <c r="P369" s="32"/>
      <c r="Q369" s="32"/>
      <c r="R369" s="32"/>
      <c r="S369" s="32"/>
    </row>
    <row r="370" spans="1:19" ht="15.6">
      <c r="A370" s="110" t="s">
        <v>503</v>
      </c>
      <c r="B370" s="111" t="s">
        <v>227</v>
      </c>
      <c r="C370" s="112" t="s">
        <v>449</v>
      </c>
      <c r="D370" s="113" t="s">
        <v>131</v>
      </c>
      <c r="E370" s="114" t="s">
        <v>15</v>
      </c>
      <c r="F370" s="115" t="s">
        <v>16</v>
      </c>
      <c r="G370" s="116">
        <v>5.77</v>
      </c>
      <c r="H370" s="125">
        <v>11</v>
      </c>
      <c r="I370" s="111">
        <v>6</v>
      </c>
      <c r="J370" s="117">
        <f t="shared" si="197"/>
        <v>0.38081999999999999</v>
      </c>
      <c r="K370" s="118"/>
      <c r="L370" s="111">
        <v>6</v>
      </c>
      <c r="M370" s="117">
        <f t="shared" si="198"/>
        <v>0.38081999999999999</v>
      </c>
      <c r="N370" s="119">
        <f t="shared" si="199"/>
        <v>0</v>
      </c>
      <c r="O370" s="120">
        <f t="shared" si="200"/>
        <v>0</v>
      </c>
      <c r="P370" s="32"/>
      <c r="Q370" s="32"/>
      <c r="R370" s="32"/>
      <c r="S370" s="32"/>
    </row>
    <row r="371" spans="1:19" ht="15.6">
      <c r="A371" s="110" t="s">
        <v>503</v>
      </c>
      <c r="B371" s="111" t="s">
        <v>227</v>
      </c>
      <c r="C371" s="112" t="s">
        <v>449</v>
      </c>
      <c r="D371" s="113" t="s">
        <v>131</v>
      </c>
      <c r="E371" s="114" t="s">
        <v>15</v>
      </c>
      <c r="F371" s="115" t="s">
        <v>16</v>
      </c>
      <c r="G371" s="116">
        <v>5.77</v>
      </c>
      <c r="H371" s="125">
        <v>12</v>
      </c>
      <c r="I371" s="111">
        <v>46</v>
      </c>
      <c r="J371" s="117">
        <f t="shared" si="197"/>
        <v>3.1850399999999999</v>
      </c>
      <c r="K371" s="118"/>
      <c r="L371" s="111">
        <f>40+2+4</f>
        <v>46</v>
      </c>
      <c r="M371" s="117">
        <f t="shared" si="198"/>
        <v>3.1850399999999999</v>
      </c>
      <c r="N371" s="119">
        <f t="shared" si="199"/>
        <v>0</v>
      </c>
      <c r="O371" s="120">
        <f t="shared" si="200"/>
        <v>0</v>
      </c>
      <c r="P371" s="32">
        <v>11</v>
      </c>
      <c r="Q371" s="32">
        <v>4</v>
      </c>
      <c r="R371" s="32"/>
      <c r="S371" s="32"/>
    </row>
    <row r="372" spans="1:19" ht="15.6">
      <c r="A372" s="110" t="s">
        <v>503</v>
      </c>
      <c r="B372" s="111" t="s">
        <v>227</v>
      </c>
      <c r="C372" s="112" t="s">
        <v>449</v>
      </c>
      <c r="D372" s="113" t="s">
        <v>131</v>
      </c>
      <c r="E372" s="114" t="s">
        <v>15</v>
      </c>
      <c r="F372" s="115" t="s">
        <v>16</v>
      </c>
      <c r="G372" s="116">
        <v>5.77</v>
      </c>
      <c r="H372" s="125">
        <v>12</v>
      </c>
      <c r="I372" s="111">
        <v>47</v>
      </c>
      <c r="J372" s="117">
        <f t="shared" si="197"/>
        <v>3.2542799999999996</v>
      </c>
      <c r="K372" s="118"/>
      <c r="L372" s="111">
        <v>47</v>
      </c>
      <c r="M372" s="117">
        <f t="shared" si="198"/>
        <v>3.2542799999999996</v>
      </c>
      <c r="N372" s="119">
        <f t="shared" si="199"/>
        <v>0</v>
      </c>
      <c r="O372" s="120">
        <f t="shared" si="200"/>
        <v>0</v>
      </c>
      <c r="P372" s="32"/>
      <c r="Q372" s="32"/>
      <c r="R372" s="32"/>
      <c r="S372" s="32"/>
    </row>
    <row r="373" spans="1:19" ht="15.6">
      <c r="A373" s="110" t="s">
        <v>503</v>
      </c>
      <c r="B373" s="111" t="s">
        <v>227</v>
      </c>
      <c r="C373" s="112" t="s">
        <v>449</v>
      </c>
      <c r="D373" s="113" t="s">
        <v>131</v>
      </c>
      <c r="E373" s="114" t="s">
        <v>15</v>
      </c>
      <c r="F373" s="115" t="s">
        <v>16</v>
      </c>
      <c r="G373" s="116">
        <v>5.77</v>
      </c>
      <c r="H373" s="125">
        <v>12</v>
      </c>
      <c r="I373" s="111">
        <v>47</v>
      </c>
      <c r="J373" s="117">
        <f t="shared" si="197"/>
        <v>3.2542799999999996</v>
      </c>
      <c r="K373" s="118"/>
      <c r="L373" s="111">
        <v>47</v>
      </c>
      <c r="M373" s="117">
        <f t="shared" si="198"/>
        <v>3.2542799999999996</v>
      </c>
      <c r="N373" s="119">
        <f t="shared" si="199"/>
        <v>0</v>
      </c>
      <c r="O373" s="120">
        <f t="shared" si="200"/>
        <v>0</v>
      </c>
      <c r="P373" s="32"/>
      <c r="Q373" s="32"/>
      <c r="R373" s="32"/>
      <c r="S373" s="32"/>
    </row>
    <row r="374" spans="1:19" ht="15.6">
      <c r="A374" s="110" t="s">
        <v>503</v>
      </c>
      <c r="B374" s="111" t="s">
        <v>227</v>
      </c>
      <c r="C374" s="112" t="s">
        <v>449</v>
      </c>
      <c r="D374" s="113" t="s">
        <v>131</v>
      </c>
      <c r="E374" s="114" t="s">
        <v>15</v>
      </c>
      <c r="F374" s="115" t="s">
        <v>16</v>
      </c>
      <c r="G374" s="116">
        <v>5.77</v>
      </c>
      <c r="H374" s="125">
        <v>12</v>
      </c>
      <c r="I374" s="111">
        <v>47</v>
      </c>
      <c r="J374" s="117">
        <f t="shared" si="197"/>
        <v>3.2542799999999996</v>
      </c>
      <c r="K374" s="118"/>
      <c r="L374" s="111">
        <v>47</v>
      </c>
      <c r="M374" s="117">
        <f t="shared" si="198"/>
        <v>3.2542799999999996</v>
      </c>
      <c r="N374" s="119">
        <f t="shared" si="199"/>
        <v>0</v>
      </c>
      <c r="O374" s="120">
        <f t="shared" si="200"/>
        <v>0</v>
      </c>
      <c r="P374" s="32"/>
      <c r="Q374" s="32"/>
      <c r="R374" s="32"/>
      <c r="S374" s="32"/>
    </row>
    <row r="375" spans="1:19" ht="15.6">
      <c r="A375" s="110" t="s">
        <v>503</v>
      </c>
      <c r="B375" s="111" t="s">
        <v>227</v>
      </c>
      <c r="C375" s="112" t="s">
        <v>449</v>
      </c>
      <c r="D375" s="113" t="s">
        <v>131</v>
      </c>
      <c r="E375" s="114" t="s">
        <v>15</v>
      </c>
      <c r="F375" s="115" t="s">
        <v>16</v>
      </c>
      <c r="G375" s="116">
        <v>5.77</v>
      </c>
      <c r="H375" s="125">
        <v>12</v>
      </c>
      <c r="I375" s="111">
        <v>48</v>
      </c>
      <c r="J375" s="117">
        <f t="shared" si="197"/>
        <v>3.3235199999999994</v>
      </c>
      <c r="K375" s="118"/>
      <c r="L375" s="111">
        <v>48</v>
      </c>
      <c r="M375" s="117">
        <f t="shared" si="198"/>
        <v>3.3235199999999994</v>
      </c>
      <c r="N375" s="119">
        <f t="shared" si="199"/>
        <v>0</v>
      </c>
      <c r="O375" s="120">
        <f t="shared" si="200"/>
        <v>0</v>
      </c>
      <c r="P375" s="32"/>
      <c r="Q375" s="32"/>
      <c r="R375" s="32"/>
      <c r="S375" s="32"/>
    </row>
    <row r="376" spans="1:19" ht="15.6">
      <c r="A376" s="110" t="s">
        <v>503</v>
      </c>
      <c r="B376" s="111" t="s">
        <v>227</v>
      </c>
      <c r="C376" s="112" t="s">
        <v>449</v>
      </c>
      <c r="D376" s="113" t="s">
        <v>131</v>
      </c>
      <c r="E376" s="114" t="s">
        <v>15</v>
      </c>
      <c r="F376" s="115" t="s">
        <v>16</v>
      </c>
      <c r="G376" s="116">
        <v>5.77</v>
      </c>
      <c r="H376" s="125">
        <v>10.6</v>
      </c>
      <c r="I376" s="111">
        <v>1</v>
      </c>
      <c r="J376" s="117">
        <f t="shared" si="197"/>
        <v>6.1161999999999994E-2</v>
      </c>
      <c r="K376" s="118"/>
      <c r="L376" s="111">
        <v>1</v>
      </c>
      <c r="M376" s="117">
        <f t="shared" si="198"/>
        <v>6.1161999999999994E-2</v>
      </c>
      <c r="N376" s="119">
        <f t="shared" si="199"/>
        <v>0</v>
      </c>
      <c r="O376" s="120">
        <f t="shared" si="200"/>
        <v>0</v>
      </c>
      <c r="P376" s="32">
        <v>7.1</v>
      </c>
      <c r="Q376" s="45">
        <v>1</v>
      </c>
      <c r="R376" s="32" t="s">
        <v>739</v>
      </c>
      <c r="S376" s="32"/>
    </row>
    <row r="377" spans="1:19" ht="15.6">
      <c r="A377" s="110" t="s">
        <v>503</v>
      </c>
      <c r="B377" s="111" t="s">
        <v>227</v>
      </c>
      <c r="C377" s="112" t="s">
        <v>449</v>
      </c>
      <c r="D377" s="113" t="s">
        <v>131</v>
      </c>
      <c r="E377" s="114" t="s">
        <v>15</v>
      </c>
      <c r="F377" s="115" t="s">
        <v>16</v>
      </c>
      <c r="G377" s="116">
        <v>5.77</v>
      </c>
      <c r="H377" s="125">
        <v>10.4</v>
      </c>
      <c r="I377" s="111">
        <v>1</v>
      </c>
      <c r="J377" s="117">
        <f t="shared" si="197"/>
        <v>6.0007999999999999E-2</v>
      </c>
      <c r="K377" s="118"/>
      <c r="L377" s="111">
        <v>1</v>
      </c>
      <c r="M377" s="117">
        <f t="shared" si="198"/>
        <v>6.0007999999999999E-2</v>
      </c>
      <c r="N377" s="119">
        <f t="shared" si="199"/>
        <v>0</v>
      </c>
      <c r="O377" s="120">
        <f t="shared" si="200"/>
        <v>0</v>
      </c>
      <c r="P377" s="32">
        <v>7.1</v>
      </c>
      <c r="Q377" s="45">
        <v>1</v>
      </c>
      <c r="R377" s="32" t="s">
        <v>739</v>
      </c>
      <c r="S377" s="32"/>
    </row>
    <row r="378" spans="1:19" ht="15.6">
      <c r="A378" s="110" t="s">
        <v>503</v>
      </c>
      <c r="B378" s="111" t="s">
        <v>227</v>
      </c>
      <c r="C378" s="112" t="s">
        <v>449</v>
      </c>
      <c r="D378" s="113" t="s">
        <v>131</v>
      </c>
      <c r="E378" s="114" t="s">
        <v>15</v>
      </c>
      <c r="F378" s="115" t="s">
        <v>16</v>
      </c>
      <c r="G378" s="116">
        <v>5.77</v>
      </c>
      <c r="H378" s="125">
        <v>10</v>
      </c>
      <c r="I378" s="111">
        <v>1</v>
      </c>
      <c r="J378" s="117">
        <f t="shared" si="197"/>
        <v>5.7699999999999994E-2</v>
      </c>
      <c r="K378" s="118"/>
      <c r="L378" s="111">
        <v>1</v>
      </c>
      <c r="M378" s="117">
        <f t="shared" si="198"/>
        <v>5.7699999999999994E-2</v>
      </c>
      <c r="N378" s="119">
        <f t="shared" si="199"/>
        <v>0</v>
      </c>
      <c r="O378" s="120">
        <f t="shared" si="200"/>
        <v>0</v>
      </c>
      <c r="P378" s="32">
        <v>7.1</v>
      </c>
      <c r="Q378" s="45">
        <v>1</v>
      </c>
      <c r="R378" s="32" t="s">
        <v>739</v>
      </c>
      <c r="S378" s="32"/>
    </row>
    <row r="379" spans="1:19" ht="15.6">
      <c r="A379" s="110" t="s">
        <v>503</v>
      </c>
      <c r="B379" s="111" t="s">
        <v>227</v>
      </c>
      <c r="C379" s="112" t="s">
        <v>449</v>
      </c>
      <c r="D379" s="113" t="s">
        <v>131</v>
      </c>
      <c r="E379" s="114" t="s">
        <v>15</v>
      </c>
      <c r="F379" s="115" t="s">
        <v>16</v>
      </c>
      <c r="G379" s="116">
        <v>5.77</v>
      </c>
      <c r="H379" s="125">
        <v>9.6</v>
      </c>
      <c r="I379" s="111">
        <v>2</v>
      </c>
      <c r="J379" s="117">
        <f t="shared" si="197"/>
        <v>0.11078399999999999</v>
      </c>
      <c r="K379" s="118"/>
      <c r="L379" s="111">
        <v>2</v>
      </c>
      <c r="M379" s="117">
        <f t="shared" si="198"/>
        <v>0.11078399999999999</v>
      </c>
      <c r="N379" s="119">
        <f t="shared" si="199"/>
        <v>0</v>
      </c>
      <c r="O379" s="120">
        <f t="shared" si="200"/>
        <v>0</v>
      </c>
      <c r="P379" s="32">
        <v>7.1</v>
      </c>
      <c r="Q379" s="45">
        <v>2</v>
      </c>
      <c r="R379" s="32" t="s">
        <v>739</v>
      </c>
      <c r="S379" s="32"/>
    </row>
    <row r="380" spans="1:19" ht="15.6">
      <c r="A380" s="110" t="s">
        <v>503</v>
      </c>
      <c r="B380" s="111" t="s">
        <v>227</v>
      </c>
      <c r="C380" s="112" t="s">
        <v>449</v>
      </c>
      <c r="D380" s="113" t="s">
        <v>131</v>
      </c>
      <c r="E380" s="114" t="s">
        <v>15</v>
      </c>
      <c r="F380" s="115" t="s">
        <v>16</v>
      </c>
      <c r="G380" s="116">
        <v>5.77</v>
      </c>
      <c r="H380" s="125">
        <v>9.5</v>
      </c>
      <c r="I380" s="111">
        <v>1</v>
      </c>
      <c r="J380" s="117">
        <f t="shared" si="197"/>
        <v>5.4814999999999996E-2</v>
      </c>
      <c r="K380" s="118"/>
      <c r="L380" s="111">
        <v>1</v>
      </c>
      <c r="M380" s="117">
        <f t="shared" si="198"/>
        <v>5.4814999999999996E-2</v>
      </c>
      <c r="N380" s="119">
        <f t="shared" si="199"/>
        <v>0</v>
      </c>
      <c r="O380" s="120">
        <f t="shared" si="200"/>
        <v>0</v>
      </c>
      <c r="P380" s="32">
        <v>7.1</v>
      </c>
      <c r="Q380" s="45">
        <v>1</v>
      </c>
      <c r="R380" s="32" t="s">
        <v>739</v>
      </c>
      <c r="S380" s="32"/>
    </row>
    <row r="381" spans="1:19" ht="15.6">
      <c r="A381" s="110" t="s">
        <v>503</v>
      </c>
      <c r="B381" s="111" t="s">
        <v>227</v>
      </c>
      <c r="C381" s="112" t="s">
        <v>449</v>
      </c>
      <c r="D381" s="113" t="s">
        <v>131</v>
      </c>
      <c r="E381" s="114" t="s">
        <v>15</v>
      </c>
      <c r="F381" s="115" t="s">
        <v>16</v>
      </c>
      <c r="G381" s="116">
        <v>5.77</v>
      </c>
      <c r="H381" s="125">
        <v>9.4</v>
      </c>
      <c r="I381" s="111">
        <v>1</v>
      </c>
      <c r="J381" s="117">
        <f t="shared" si="197"/>
        <v>5.4238000000000001E-2</v>
      </c>
      <c r="K381" s="118"/>
      <c r="L381" s="111">
        <v>1</v>
      </c>
      <c r="M381" s="117">
        <f t="shared" si="198"/>
        <v>5.4238000000000001E-2</v>
      </c>
      <c r="N381" s="119">
        <f t="shared" si="199"/>
        <v>0</v>
      </c>
      <c r="O381" s="120">
        <f t="shared" si="200"/>
        <v>0</v>
      </c>
      <c r="P381" s="32">
        <v>7.1</v>
      </c>
      <c r="Q381" s="45">
        <v>1</v>
      </c>
      <c r="R381" s="32" t="s">
        <v>739</v>
      </c>
      <c r="S381" s="32"/>
    </row>
    <row r="382" spans="1:19" ht="15.6">
      <c r="A382" s="110" t="s">
        <v>503</v>
      </c>
      <c r="B382" s="111" t="s">
        <v>227</v>
      </c>
      <c r="C382" s="112" t="s">
        <v>449</v>
      </c>
      <c r="D382" s="113" t="s">
        <v>131</v>
      </c>
      <c r="E382" s="114" t="s">
        <v>15</v>
      </c>
      <c r="F382" s="115" t="s">
        <v>16</v>
      </c>
      <c r="G382" s="116">
        <v>5.77</v>
      </c>
      <c r="H382" s="125">
        <v>7.6</v>
      </c>
      <c r="I382" s="111">
        <v>1</v>
      </c>
      <c r="J382" s="117">
        <f t="shared" si="197"/>
        <v>4.3851999999999995E-2</v>
      </c>
      <c r="K382" s="118"/>
      <c r="L382" s="111">
        <v>1</v>
      </c>
      <c r="M382" s="117">
        <f t="shared" si="198"/>
        <v>4.3851999999999995E-2</v>
      </c>
      <c r="N382" s="119">
        <f t="shared" si="199"/>
        <v>0</v>
      </c>
      <c r="O382" s="120">
        <f t="shared" si="200"/>
        <v>0</v>
      </c>
      <c r="P382" s="32">
        <v>7.1</v>
      </c>
      <c r="Q382" s="45">
        <v>1</v>
      </c>
      <c r="R382" s="32" t="s">
        <v>739</v>
      </c>
      <c r="S382" s="32"/>
    </row>
    <row r="383" spans="1:19" ht="15.6">
      <c r="A383" s="110" t="s">
        <v>503</v>
      </c>
      <c r="B383" s="111" t="s">
        <v>227</v>
      </c>
      <c r="C383" s="112" t="s">
        <v>449</v>
      </c>
      <c r="D383" s="113" t="s">
        <v>131</v>
      </c>
      <c r="E383" s="114" t="s">
        <v>15</v>
      </c>
      <c r="F383" s="115" t="s">
        <v>16</v>
      </c>
      <c r="G383" s="116">
        <v>5.77</v>
      </c>
      <c r="H383" s="125">
        <v>6.7</v>
      </c>
      <c r="I383" s="111">
        <v>1</v>
      </c>
      <c r="J383" s="117">
        <f t="shared" si="197"/>
        <v>3.8658999999999999E-2</v>
      </c>
      <c r="K383" s="118"/>
      <c r="L383" s="111">
        <v>1</v>
      </c>
      <c r="M383" s="117">
        <f t="shared" si="198"/>
        <v>3.8658999999999999E-2</v>
      </c>
      <c r="N383" s="119">
        <f t="shared" si="199"/>
        <v>0</v>
      </c>
      <c r="O383" s="120">
        <f t="shared" si="200"/>
        <v>0</v>
      </c>
      <c r="P383" s="32">
        <v>6</v>
      </c>
      <c r="Q383" s="32">
        <v>1</v>
      </c>
      <c r="R383" s="32"/>
      <c r="S383" s="32"/>
    </row>
    <row r="384" spans="1:19" ht="15.6">
      <c r="A384" s="110" t="s">
        <v>503</v>
      </c>
      <c r="B384" s="111" t="s">
        <v>227</v>
      </c>
      <c r="C384" s="112" t="s">
        <v>449</v>
      </c>
      <c r="D384" s="113" t="s">
        <v>131</v>
      </c>
      <c r="E384" s="114" t="s">
        <v>15</v>
      </c>
      <c r="F384" s="115" t="s">
        <v>16</v>
      </c>
      <c r="G384" s="116">
        <v>5.77</v>
      </c>
      <c r="H384" s="125">
        <v>11</v>
      </c>
      <c r="I384" s="111">
        <v>42</v>
      </c>
      <c r="J384" s="117">
        <f t="shared" ref="J384:J397" si="201">H384*G384*I384/1000</f>
        <v>2.66574</v>
      </c>
      <c r="K384" s="118"/>
      <c r="L384" s="111">
        <v>42</v>
      </c>
      <c r="M384" s="117">
        <f t="shared" ref="M384:M397" si="202">H384*L384*G384/1000</f>
        <v>2.66574</v>
      </c>
      <c r="N384" s="119">
        <f t="shared" ref="N384:N397" si="203">I384-L384</f>
        <v>0</v>
      </c>
      <c r="O384" s="120">
        <f t="shared" ref="O384:O396" si="204">H384*N384*G384/1000</f>
        <v>0</v>
      </c>
      <c r="P384" s="32"/>
      <c r="Q384" s="32"/>
      <c r="R384" s="32"/>
      <c r="S384" s="32"/>
    </row>
    <row r="385" spans="1:19" ht="15.6">
      <c r="A385" s="110" t="s">
        <v>503</v>
      </c>
      <c r="B385" s="111" t="s">
        <v>227</v>
      </c>
      <c r="C385" s="112" t="s">
        <v>449</v>
      </c>
      <c r="D385" s="113" t="s">
        <v>131</v>
      </c>
      <c r="E385" s="114" t="s">
        <v>15</v>
      </c>
      <c r="F385" s="115" t="s">
        <v>16</v>
      </c>
      <c r="G385" s="116">
        <v>5.77</v>
      </c>
      <c r="H385" s="125">
        <v>11</v>
      </c>
      <c r="I385" s="111">
        <v>42</v>
      </c>
      <c r="J385" s="117">
        <f t="shared" si="201"/>
        <v>2.66574</v>
      </c>
      <c r="K385" s="118"/>
      <c r="L385" s="111">
        <v>42</v>
      </c>
      <c r="M385" s="117">
        <f t="shared" si="202"/>
        <v>2.66574</v>
      </c>
      <c r="N385" s="119">
        <f t="shared" si="203"/>
        <v>0</v>
      </c>
      <c r="O385" s="120">
        <f t="shared" si="204"/>
        <v>0</v>
      </c>
      <c r="P385" s="32"/>
      <c r="Q385" s="32"/>
      <c r="R385" s="32"/>
      <c r="S385" s="32"/>
    </row>
    <row r="386" spans="1:19" ht="15.6">
      <c r="A386" s="110" t="s">
        <v>503</v>
      </c>
      <c r="B386" s="111" t="s">
        <v>227</v>
      </c>
      <c r="C386" s="112" t="s">
        <v>449</v>
      </c>
      <c r="D386" s="113" t="s">
        <v>131</v>
      </c>
      <c r="E386" s="114" t="s">
        <v>15</v>
      </c>
      <c r="F386" s="115" t="s">
        <v>16</v>
      </c>
      <c r="G386" s="116">
        <v>5.77</v>
      </c>
      <c r="H386" s="125">
        <v>11</v>
      </c>
      <c r="I386" s="111">
        <v>42</v>
      </c>
      <c r="J386" s="117">
        <f t="shared" si="201"/>
        <v>2.66574</v>
      </c>
      <c r="K386" s="118"/>
      <c r="L386" s="111">
        <v>42</v>
      </c>
      <c r="M386" s="117">
        <f t="shared" si="202"/>
        <v>2.66574</v>
      </c>
      <c r="N386" s="119">
        <f t="shared" si="203"/>
        <v>0</v>
      </c>
      <c r="O386" s="120">
        <f t="shared" si="204"/>
        <v>0</v>
      </c>
      <c r="P386" s="32"/>
      <c r="Q386" s="32"/>
      <c r="R386" s="32"/>
      <c r="S386" s="32"/>
    </row>
    <row r="387" spans="1:19" ht="15.6">
      <c r="A387" s="110" t="s">
        <v>503</v>
      </c>
      <c r="B387" s="111" t="s">
        <v>227</v>
      </c>
      <c r="C387" s="112" t="s">
        <v>449</v>
      </c>
      <c r="D387" s="113" t="s">
        <v>131</v>
      </c>
      <c r="E387" s="114" t="s">
        <v>15</v>
      </c>
      <c r="F387" s="115" t="s">
        <v>16</v>
      </c>
      <c r="G387" s="116">
        <v>5.77</v>
      </c>
      <c r="H387" s="125">
        <v>12</v>
      </c>
      <c r="I387" s="111">
        <v>42</v>
      </c>
      <c r="J387" s="117">
        <f t="shared" si="201"/>
        <v>2.90808</v>
      </c>
      <c r="K387" s="118"/>
      <c r="L387" s="111">
        <v>42</v>
      </c>
      <c r="M387" s="117">
        <f t="shared" si="202"/>
        <v>2.90808</v>
      </c>
      <c r="N387" s="119">
        <f t="shared" si="203"/>
        <v>0</v>
      </c>
      <c r="O387" s="120">
        <f t="shared" si="204"/>
        <v>0</v>
      </c>
      <c r="P387" s="32"/>
      <c r="Q387" s="32"/>
      <c r="R387" s="32"/>
      <c r="S387" s="32"/>
    </row>
    <row r="388" spans="1:19" ht="15.6">
      <c r="A388" s="110" t="s">
        <v>503</v>
      </c>
      <c r="B388" s="111" t="s">
        <v>227</v>
      </c>
      <c r="C388" s="112" t="s">
        <v>449</v>
      </c>
      <c r="D388" s="113" t="s">
        <v>131</v>
      </c>
      <c r="E388" s="114" t="s">
        <v>15</v>
      </c>
      <c r="F388" s="115" t="s">
        <v>16</v>
      </c>
      <c r="G388" s="116">
        <v>5.77</v>
      </c>
      <c r="H388" s="125">
        <v>11</v>
      </c>
      <c r="I388" s="111">
        <v>6</v>
      </c>
      <c r="J388" s="117">
        <f t="shared" si="201"/>
        <v>0.38081999999999999</v>
      </c>
      <c r="K388" s="118"/>
      <c r="L388" s="111">
        <v>6</v>
      </c>
      <c r="M388" s="117">
        <f t="shared" si="202"/>
        <v>0.38081999999999999</v>
      </c>
      <c r="N388" s="119">
        <f t="shared" si="203"/>
        <v>0</v>
      </c>
      <c r="O388" s="120">
        <f t="shared" si="204"/>
        <v>0</v>
      </c>
      <c r="P388" s="32"/>
      <c r="Q388" s="32"/>
      <c r="R388" s="32"/>
      <c r="S388" s="32"/>
    </row>
    <row r="389" spans="1:19" ht="15.6">
      <c r="A389" s="110" t="s">
        <v>503</v>
      </c>
      <c r="B389" s="111" t="s">
        <v>227</v>
      </c>
      <c r="C389" s="112" t="s">
        <v>449</v>
      </c>
      <c r="D389" s="113" t="s">
        <v>131</v>
      </c>
      <c r="E389" s="114" t="s">
        <v>15</v>
      </c>
      <c r="F389" s="115" t="s">
        <v>16</v>
      </c>
      <c r="G389" s="116">
        <v>5.77</v>
      </c>
      <c r="H389" s="125">
        <v>12</v>
      </c>
      <c r="I389" s="111">
        <v>45</v>
      </c>
      <c r="J389" s="117">
        <f t="shared" si="201"/>
        <v>3.1157999999999997</v>
      </c>
      <c r="K389" s="118"/>
      <c r="L389" s="111">
        <v>45</v>
      </c>
      <c r="M389" s="117">
        <f t="shared" si="202"/>
        <v>3.1157999999999997</v>
      </c>
      <c r="N389" s="119">
        <f t="shared" si="203"/>
        <v>0</v>
      </c>
      <c r="O389" s="120">
        <f t="shared" si="204"/>
        <v>0</v>
      </c>
      <c r="P389" s="32"/>
      <c r="Q389" s="32"/>
      <c r="R389" s="32"/>
      <c r="S389" s="32"/>
    </row>
    <row r="390" spans="1:19" ht="15.6">
      <c r="A390" s="110" t="s">
        <v>503</v>
      </c>
      <c r="B390" s="111" t="s">
        <v>227</v>
      </c>
      <c r="C390" s="112" t="s">
        <v>449</v>
      </c>
      <c r="D390" s="113" t="s">
        <v>131</v>
      </c>
      <c r="E390" s="114" t="s">
        <v>15</v>
      </c>
      <c r="F390" s="115" t="s">
        <v>16</v>
      </c>
      <c r="G390" s="116">
        <v>5.77</v>
      </c>
      <c r="H390" s="125">
        <v>12</v>
      </c>
      <c r="I390" s="111">
        <v>47</v>
      </c>
      <c r="J390" s="117">
        <f t="shared" si="201"/>
        <v>3.2542799999999996</v>
      </c>
      <c r="K390" s="118"/>
      <c r="L390" s="111">
        <v>47</v>
      </c>
      <c r="M390" s="117">
        <f t="shared" si="202"/>
        <v>3.2542799999999996</v>
      </c>
      <c r="N390" s="119">
        <f t="shared" si="203"/>
        <v>0</v>
      </c>
      <c r="O390" s="120">
        <f t="shared" si="204"/>
        <v>0</v>
      </c>
      <c r="P390" s="32"/>
      <c r="Q390" s="32"/>
      <c r="R390" s="32"/>
      <c r="S390" s="32"/>
    </row>
    <row r="391" spans="1:19" ht="15.6">
      <c r="A391" s="110" t="s">
        <v>503</v>
      </c>
      <c r="B391" s="111" t="s">
        <v>227</v>
      </c>
      <c r="C391" s="112" t="s">
        <v>449</v>
      </c>
      <c r="D391" s="113" t="s">
        <v>131</v>
      </c>
      <c r="E391" s="114" t="s">
        <v>15</v>
      </c>
      <c r="F391" s="115" t="s">
        <v>16</v>
      </c>
      <c r="G391" s="116">
        <v>5.77</v>
      </c>
      <c r="H391" s="125">
        <v>12</v>
      </c>
      <c r="I391" s="111">
        <v>45</v>
      </c>
      <c r="J391" s="117">
        <f t="shared" si="201"/>
        <v>3.1157999999999997</v>
      </c>
      <c r="K391" s="118"/>
      <c r="L391" s="111">
        <v>45</v>
      </c>
      <c r="M391" s="117">
        <f t="shared" si="202"/>
        <v>3.1157999999999997</v>
      </c>
      <c r="N391" s="119">
        <f t="shared" si="203"/>
        <v>0</v>
      </c>
      <c r="O391" s="120">
        <f t="shared" si="204"/>
        <v>0</v>
      </c>
      <c r="P391" s="32"/>
      <c r="Q391" s="32"/>
      <c r="R391" s="32"/>
      <c r="S391" s="32"/>
    </row>
    <row r="392" spans="1:19" ht="15.6">
      <c r="A392" s="110" t="s">
        <v>503</v>
      </c>
      <c r="B392" s="111" t="s">
        <v>227</v>
      </c>
      <c r="C392" s="112" t="s">
        <v>449</v>
      </c>
      <c r="D392" s="113" t="s">
        <v>131</v>
      </c>
      <c r="E392" s="114" t="s">
        <v>15</v>
      </c>
      <c r="F392" s="115" t="s">
        <v>16</v>
      </c>
      <c r="G392" s="116">
        <v>5.77</v>
      </c>
      <c r="H392" s="125">
        <v>11</v>
      </c>
      <c r="I392" s="111">
        <v>47</v>
      </c>
      <c r="J392" s="117">
        <f t="shared" si="201"/>
        <v>2.9830900000000002</v>
      </c>
      <c r="K392" s="118"/>
      <c r="L392" s="111">
        <v>47</v>
      </c>
      <c r="M392" s="117">
        <f t="shared" si="202"/>
        <v>2.9830899999999998</v>
      </c>
      <c r="N392" s="119">
        <f t="shared" si="203"/>
        <v>0</v>
      </c>
      <c r="O392" s="120">
        <f t="shared" si="204"/>
        <v>0</v>
      </c>
      <c r="P392" s="32"/>
      <c r="Q392" s="32"/>
      <c r="R392" s="32"/>
      <c r="S392" s="32"/>
    </row>
    <row r="393" spans="1:19" ht="15.6">
      <c r="A393" s="110" t="s">
        <v>503</v>
      </c>
      <c r="B393" s="111" t="s">
        <v>227</v>
      </c>
      <c r="C393" s="112" t="s">
        <v>449</v>
      </c>
      <c r="D393" s="113" t="s">
        <v>131</v>
      </c>
      <c r="E393" s="114" t="s">
        <v>15</v>
      </c>
      <c r="F393" s="115" t="s">
        <v>16</v>
      </c>
      <c r="G393" s="116">
        <v>5.77</v>
      </c>
      <c r="H393" s="125">
        <v>12</v>
      </c>
      <c r="I393" s="111">
        <v>20</v>
      </c>
      <c r="J393" s="117">
        <f t="shared" si="201"/>
        <v>1.3848</v>
      </c>
      <c r="K393" s="118"/>
      <c r="L393" s="111">
        <v>20</v>
      </c>
      <c r="M393" s="117">
        <f t="shared" si="202"/>
        <v>1.3848</v>
      </c>
      <c r="N393" s="119">
        <f t="shared" si="203"/>
        <v>0</v>
      </c>
      <c r="O393" s="120">
        <f t="shared" si="204"/>
        <v>0</v>
      </c>
      <c r="P393" s="32">
        <v>11</v>
      </c>
      <c r="Q393" s="32">
        <v>20</v>
      </c>
      <c r="R393" s="32"/>
      <c r="S393" s="32"/>
    </row>
    <row r="394" spans="1:19" ht="15.6">
      <c r="A394" s="110" t="s">
        <v>503</v>
      </c>
      <c r="B394" s="111" t="s">
        <v>227</v>
      </c>
      <c r="C394" s="112" t="s">
        <v>449</v>
      </c>
      <c r="D394" s="113" t="s">
        <v>131</v>
      </c>
      <c r="E394" s="114" t="s">
        <v>15</v>
      </c>
      <c r="F394" s="115" t="s">
        <v>16</v>
      </c>
      <c r="G394" s="116">
        <v>5.77</v>
      </c>
      <c r="H394" s="125">
        <v>11</v>
      </c>
      <c r="I394" s="111">
        <v>47</v>
      </c>
      <c r="J394" s="117">
        <f t="shared" si="201"/>
        <v>2.9830900000000002</v>
      </c>
      <c r="K394" s="118"/>
      <c r="L394" s="111">
        <v>47</v>
      </c>
      <c r="M394" s="117">
        <f t="shared" si="202"/>
        <v>2.9830899999999998</v>
      </c>
      <c r="N394" s="119">
        <f t="shared" si="203"/>
        <v>0</v>
      </c>
      <c r="O394" s="120">
        <f t="shared" si="204"/>
        <v>0</v>
      </c>
      <c r="P394" s="32"/>
      <c r="Q394" s="32"/>
      <c r="R394" s="32"/>
      <c r="S394" s="32"/>
    </row>
    <row r="395" spans="1:19" ht="15.6">
      <c r="A395" s="110" t="s">
        <v>503</v>
      </c>
      <c r="B395" s="111" t="s">
        <v>227</v>
      </c>
      <c r="C395" s="112" t="s">
        <v>449</v>
      </c>
      <c r="D395" s="113" t="s">
        <v>131</v>
      </c>
      <c r="E395" s="114" t="s">
        <v>15</v>
      </c>
      <c r="F395" s="115" t="s">
        <v>16</v>
      </c>
      <c r="G395" s="116">
        <v>5.77</v>
      </c>
      <c r="H395" s="125">
        <v>11</v>
      </c>
      <c r="I395" s="111">
        <v>47</v>
      </c>
      <c r="J395" s="117">
        <f t="shared" si="201"/>
        <v>2.9830900000000002</v>
      </c>
      <c r="K395" s="118"/>
      <c r="L395" s="111">
        <v>47</v>
      </c>
      <c r="M395" s="117">
        <f t="shared" si="202"/>
        <v>2.9830899999999998</v>
      </c>
      <c r="N395" s="119">
        <f t="shared" si="203"/>
        <v>0</v>
      </c>
      <c r="O395" s="120">
        <f t="shared" si="204"/>
        <v>0</v>
      </c>
      <c r="P395" s="32"/>
      <c r="Q395" s="32"/>
      <c r="R395" s="32"/>
      <c r="S395" s="32"/>
    </row>
    <row r="396" spans="1:19" ht="15.6">
      <c r="A396" s="110" t="s">
        <v>503</v>
      </c>
      <c r="B396" s="111" t="s">
        <v>227</v>
      </c>
      <c r="C396" s="112" t="s">
        <v>449</v>
      </c>
      <c r="D396" s="113" t="s">
        <v>131</v>
      </c>
      <c r="E396" s="114" t="s">
        <v>15</v>
      </c>
      <c r="F396" s="115" t="s">
        <v>16</v>
      </c>
      <c r="G396" s="116">
        <v>5.77</v>
      </c>
      <c r="H396" s="125">
        <v>11</v>
      </c>
      <c r="I396" s="111">
        <v>47</v>
      </c>
      <c r="J396" s="117">
        <f t="shared" si="201"/>
        <v>2.9830900000000002</v>
      </c>
      <c r="K396" s="118"/>
      <c r="L396" s="111">
        <v>47</v>
      </c>
      <c r="M396" s="117">
        <f t="shared" si="202"/>
        <v>2.9830899999999998</v>
      </c>
      <c r="N396" s="119">
        <f t="shared" si="203"/>
        <v>0</v>
      </c>
      <c r="O396" s="120">
        <f t="shared" si="204"/>
        <v>0</v>
      </c>
      <c r="P396" s="32"/>
      <c r="Q396" s="32"/>
      <c r="R396" s="32"/>
      <c r="S396" s="32"/>
    </row>
    <row r="397" spans="1:19" ht="15.6">
      <c r="A397" s="110" t="s">
        <v>503</v>
      </c>
      <c r="B397" s="111" t="s">
        <v>227</v>
      </c>
      <c r="C397" s="112" t="s">
        <v>449</v>
      </c>
      <c r="D397" s="113" t="s">
        <v>131</v>
      </c>
      <c r="E397" s="114" t="s">
        <v>15</v>
      </c>
      <c r="F397" s="115" t="s">
        <v>16</v>
      </c>
      <c r="G397" s="116">
        <v>5.77</v>
      </c>
      <c r="H397" s="125">
        <v>11</v>
      </c>
      <c r="I397" s="111">
        <v>47</v>
      </c>
      <c r="J397" s="117">
        <f t="shared" si="201"/>
        <v>2.9830900000000002</v>
      </c>
      <c r="K397" s="118"/>
      <c r="L397" s="111">
        <v>47</v>
      </c>
      <c r="M397" s="117">
        <f t="shared" si="202"/>
        <v>2.9830899999999998</v>
      </c>
      <c r="N397" s="119">
        <f t="shared" si="203"/>
        <v>0</v>
      </c>
      <c r="O397" s="120">
        <f>H397*N397*G397/1000</f>
        <v>0</v>
      </c>
      <c r="P397" s="32"/>
      <c r="Q397" s="32"/>
      <c r="R397" s="32"/>
      <c r="S397" s="32"/>
    </row>
    <row r="398" spans="1:19" ht="15.6">
      <c r="A398" s="110" t="s">
        <v>503</v>
      </c>
      <c r="B398" s="111" t="s">
        <v>227</v>
      </c>
      <c r="C398" s="112" t="s">
        <v>449</v>
      </c>
      <c r="D398" s="113" t="s">
        <v>131</v>
      </c>
      <c r="E398" s="114" t="s">
        <v>15</v>
      </c>
      <c r="F398" s="115" t="s">
        <v>16</v>
      </c>
      <c r="G398" s="116">
        <v>5.77</v>
      </c>
      <c r="H398" s="125">
        <v>11</v>
      </c>
      <c r="I398" s="111">
        <v>50</v>
      </c>
      <c r="J398" s="117">
        <f t="shared" ref="J398:J399" si="205">H398*G398*I398/1000</f>
        <v>3.1735000000000002</v>
      </c>
      <c r="K398" s="118"/>
      <c r="L398" s="111">
        <v>50</v>
      </c>
      <c r="M398" s="117">
        <f t="shared" ref="M398:M399" si="206">H398*L398*G398/1000</f>
        <v>3.1734999999999998</v>
      </c>
      <c r="N398" s="119">
        <f t="shared" ref="N398:N399" si="207">I398-L398</f>
        <v>0</v>
      </c>
      <c r="O398" s="120">
        <f>H398*N398*G398/1000</f>
        <v>0</v>
      </c>
      <c r="P398" s="32"/>
      <c r="Q398" s="32"/>
      <c r="R398" s="32"/>
      <c r="S398" s="32"/>
    </row>
    <row r="399" spans="1:19" ht="15.6">
      <c r="A399" s="110" t="s">
        <v>503</v>
      </c>
      <c r="B399" s="111" t="s">
        <v>227</v>
      </c>
      <c r="C399" s="112" t="s">
        <v>449</v>
      </c>
      <c r="D399" s="113" t="s">
        <v>131</v>
      </c>
      <c r="E399" s="114" t="s">
        <v>15</v>
      </c>
      <c r="F399" s="115" t="s">
        <v>16</v>
      </c>
      <c r="G399" s="116">
        <v>5.77</v>
      </c>
      <c r="H399" s="125">
        <v>11</v>
      </c>
      <c r="I399" s="111">
        <v>50</v>
      </c>
      <c r="J399" s="117">
        <f t="shared" si="205"/>
        <v>3.1735000000000002</v>
      </c>
      <c r="K399" s="118"/>
      <c r="L399" s="111">
        <v>50</v>
      </c>
      <c r="M399" s="117">
        <f t="shared" si="206"/>
        <v>3.1734999999999998</v>
      </c>
      <c r="N399" s="119">
        <f t="shared" si="207"/>
        <v>0</v>
      </c>
      <c r="O399" s="120">
        <f>H399*N399*G399/1000</f>
        <v>0</v>
      </c>
      <c r="P399" s="32"/>
      <c r="Q399" s="32"/>
      <c r="R399" s="32"/>
      <c r="S399" s="32"/>
    </row>
    <row r="400" spans="1:19">
      <c r="A400" s="32"/>
      <c r="B400" s="32"/>
      <c r="C400" s="32"/>
      <c r="D400" s="32"/>
      <c r="E400" s="32"/>
      <c r="F400" s="32"/>
      <c r="G400" s="32"/>
      <c r="H400" s="32"/>
      <c r="I400" s="129">
        <f>SUM(I338:I399)</f>
        <v>1760</v>
      </c>
      <c r="J400" s="124">
        <f>SUM(J338:J399)</f>
        <v>113.75785799999998</v>
      </c>
      <c r="K400" s="32"/>
      <c r="L400" s="129">
        <f>SUM(L338:L399)</f>
        <v>1760</v>
      </c>
      <c r="M400" s="132">
        <f>SUM(M338:M399)</f>
        <v>113.75785799999998</v>
      </c>
      <c r="N400" s="131">
        <f>SUM(N338:N399)</f>
        <v>0</v>
      </c>
      <c r="O400" s="132">
        <f>SUM(O338:O399)</f>
        <v>0</v>
      </c>
      <c r="P400" s="32"/>
      <c r="Q400" s="32"/>
      <c r="R400" s="32"/>
      <c r="S400" s="32"/>
    </row>
    <row r="403" spans="1:20" ht="15.6">
      <c r="A403" s="110" t="s">
        <v>503</v>
      </c>
      <c r="B403" s="111" t="s">
        <v>227</v>
      </c>
      <c r="C403" s="112" t="s">
        <v>449</v>
      </c>
      <c r="D403" s="113" t="s">
        <v>326</v>
      </c>
      <c r="E403" s="114" t="s">
        <v>14</v>
      </c>
      <c r="F403" s="115" t="s">
        <v>16</v>
      </c>
      <c r="G403" s="116">
        <v>5.77</v>
      </c>
      <c r="H403" s="125">
        <v>11.5</v>
      </c>
      <c r="I403" s="111">
        <v>1</v>
      </c>
      <c r="J403" s="117">
        <f t="shared" ref="J403:J407" si="208">H403*G403*I403/1000</f>
        <v>6.6354999999999983E-2</v>
      </c>
      <c r="K403" s="118"/>
      <c r="L403" s="111">
        <v>1</v>
      </c>
      <c r="M403" s="117">
        <f t="shared" ref="M403:M407" si="209">H403*L403*G403/1000</f>
        <v>6.6354999999999983E-2</v>
      </c>
      <c r="N403" s="119">
        <f t="shared" ref="N403:N407" si="210">I403-L403</f>
        <v>0</v>
      </c>
      <c r="O403" s="120">
        <f t="shared" ref="O403:O407" si="211">H403*N403*G403/1000</f>
        <v>0</v>
      </c>
      <c r="P403" s="32"/>
      <c r="Q403" s="32"/>
      <c r="R403" s="32"/>
      <c r="S403" s="32"/>
    </row>
    <row r="404" spans="1:20" ht="15.6">
      <c r="A404" s="110" t="s">
        <v>503</v>
      </c>
      <c r="B404" s="111" t="s">
        <v>227</v>
      </c>
      <c r="C404" s="112" t="s">
        <v>449</v>
      </c>
      <c r="D404" s="113" t="s">
        <v>326</v>
      </c>
      <c r="E404" s="114" t="s">
        <v>14</v>
      </c>
      <c r="F404" s="115" t="s">
        <v>16</v>
      </c>
      <c r="G404" s="116">
        <v>5.77</v>
      </c>
      <c r="H404" s="125">
        <v>12</v>
      </c>
      <c r="I404" s="111">
        <v>25</v>
      </c>
      <c r="J404" s="117">
        <f t="shared" si="208"/>
        <v>1.7309999999999999</v>
      </c>
      <c r="K404" s="118"/>
      <c r="L404" s="111">
        <f>3+14+5+3</f>
        <v>25</v>
      </c>
      <c r="M404" s="117">
        <f t="shared" si="209"/>
        <v>1.7309999999999999</v>
      </c>
      <c r="N404" s="119">
        <f t="shared" si="210"/>
        <v>0</v>
      </c>
      <c r="O404" s="120">
        <f t="shared" si="211"/>
        <v>0</v>
      </c>
      <c r="P404" s="32" t="s">
        <v>508</v>
      </c>
      <c r="Q404" s="32">
        <v>14</v>
      </c>
      <c r="R404" s="45">
        <v>12</v>
      </c>
      <c r="S404" s="45">
        <v>3</v>
      </c>
      <c r="T404" s="213" t="s">
        <v>631</v>
      </c>
    </row>
    <row r="405" spans="1:20" ht="15.6">
      <c r="A405" s="110" t="s">
        <v>503</v>
      </c>
      <c r="B405" s="111" t="s">
        <v>227</v>
      </c>
      <c r="C405" s="112" t="s">
        <v>449</v>
      </c>
      <c r="D405" s="113" t="s">
        <v>326</v>
      </c>
      <c r="E405" s="114" t="s">
        <v>14</v>
      </c>
      <c r="F405" s="115" t="s">
        <v>16</v>
      </c>
      <c r="G405" s="116">
        <v>5.77</v>
      </c>
      <c r="H405" s="125">
        <v>10</v>
      </c>
      <c r="I405" s="111">
        <v>8</v>
      </c>
      <c r="J405" s="117">
        <f t="shared" si="208"/>
        <v>0.46159999999999995</v>
      </c>
      <c r="K405" s="118"/>
      <c r="L405" s="111">
        <v>8</v>
      </c>
      <c r="M405" s="117">
        <f t="shared" si="209"/>
        <v>0.46159999999999995</v>
      </c>
      <c r="N405" s="119">
        <f t="shared" si="210"/>
        <v>0</v>
      </c>
      <c r="O405" s="120">
        <f t="shared" si="211"/>
        <v>0</v>
      </c>
      <c r="P405" s="32"/>
      <c r="Q405" s="32"/>
      <c r="R405" s="32"/>
      <c r="S405" s="32"/>
    </row>
    <row r="406" spans="1:20" ht="15.6">
      <c r="A406" s="110" t="s">
        <v>503</v>
      </c>
      <c r="B406" s="111" t="s">
        <v>227</v>
      </c>
      <c r="C406" s="112" t="s">
        <v>449</v>
      </c>
      <c r="D406" s="113" t="s">
        <v>326</v>
      </c>
      <c r="E406" s="114" t="s">
        <v>14</v>
      </c>
      <c r="F406" s="115" t="s">
        <v>16</v>
      </c>
      <c r="G406" s="116">
        <v>5.77</v>
      </c>
      <c r="H406" s="125">
        <v>9.5</v>
      </c>
      <c r="I406" s="111">
        <v>2</v>
      </c>
      <c r="J406" s="117">
        <f t="shared" si="208"/>
        <v>0.10962999999999999</v>
      </c>
      <c r="K406" s="118"/>
      <c r="L406" s="111">
        <v>2</v>
      </c>
      <c r="M406" s="117">
        <f t="shared" si="209"/>
        <v>0.10962999999999999</v>
      </c>
      <c r="N406" s="119">
        <f t="shared" si="210"/>
        <v>0</v>
      </c>
      <c r="O406" s="120">
        <f t="shared" si="211"/>
        <v>0</v>
      </c>
      <c r="P406" s="32">
        <v>6.5</v>
      </c>
      <c r="Q406" s="32">
        <v>2</v>
      </c>
      <c r="R406" s="32"/>
      <c r="S406" s="32"/>
    </row>
    <row r="407" spans="1:20" ht="15.6">
      <c r="A407" s="110" t="s">
        <v>503</v>
      </c>
      <c r="B407" s="111" t="s">
        <v>227</v>
      </c>
      <c r="C407" s="112" t="s">
        <v>449</v>
      </c>
      <c r="D407" s="113" t="s">
        <v>326</v>
      </c>
      <c r="E407" s="114" t="s">
        <v>14</v>
      </c>
      <c r="F407" s="115" t="s">
        <v>16</v>
      </c>
      <c r="G407" s="116">
        <v>5.77</v>
      </c>
      <c r="H407" s="125">
        <v>6.5</v>
      </c>
      <c r="I407" s="111">
        <v>3</v>
      </c>
      <c r="J407" s="117">
        <f t="shared" si="208"/>
        <v>0.11251499999999999</v>
      </c>
      <c r="K407" s="118"/>
      <c r="L407" s="111">
        <v>3</v>
      </c>
      <c r="M407" s="117">
        <f t="shared" si="209"/>
        <v>0.11251499999999999</v>
      </c>
      <c r="N407" s="119">
        <f t="shared" si="210"/>
        <v>0</v>
      </c>
      <c r="O407" s="120">
        <f t="shared" si="211"/>
        <v>0</v>
      </c>
      <c r="P407" s="32"/>
      <c r="Q407" s="32"/>
      <c r="R407" s="32"/>
      <c r="S407" s="32"/>
    </row>
    <row r="408" spans="1:20">
      <c r="I408" s="215">
        <f>SUM(I403:I407)</f>
        <v>39</v>
      </c>
      <c r="J408" s="214">
        <f>SUM(J403:J407)</f>
        <v>2.4811000000000001</v>
      </c>
      <c r="L408" s="215">
        <f>SUM(L403:L407)</f>
        <v>39</v>
      </c>
      <c r="M408" s="214">
        <f>SUM(M403:M407)</f>
        <v>2.4811000000000001</v>
      </c>
      <c r="N408" s="215">
        <f>SUM(N403:N407)</f>
        <v>0</v>
      </c>
      <c r="O408" s="214">
        <f>SUM(O403:O407)</f>
        <v>0</v>
      </c>
    </row>
    <row r="410" spans="1:20" ht="15.6">
      <c r="A410" s="110" t="s">
        <v>503</v>
      </c>
      <c r="B410" s="111" t="s">
        <v>227</v>
      </c>
      <c r="C410" s="112" t="s">
        <v>449</v>
      </c>
      <c r="D410" s="113" t="s">
        <v>326</v>
      </c>
      <c r="E410" s="114" t="s">
        <v>14</v>
      </c>
      <c r="F410" s="115" t="s">
        <v>18</v>
      </c>
      <c r="G410" s="116">
        <v>6.86</v>
      </c>
      <c r="H410" s="125">
        <v>8</v>
      </c>
      <c r="I410" s="111">
        <v>50</v>
      </c>
      <c r="J410" s="117">
        <f t="shared" ref="J410:J417" si="212">H410*G410*I410/1000</f>
        <v>2.7440000000000002</v>
      </c>
      <c r="K410" s="118"/>
      <c r="L410" s="111">
        <v>50</v>
      </c>
      <c r="M410" s="117">
        <f t="shared" ref="M410:M411" si="213">H410*L410*G410/1000</f>
        <v>2.7440000000000002</v>
      </c>
      <c r="N410" s="119">
        <f t="shared" ref="N410:N411" si="214">I410-L410</f>
        <v>0</v>
      </c>
      <c r="O410" s="120">
        <f t="shared" ref="O410:O411" si="215">H410*N410*G410/1000</f>
        <v>0</v>
      </c>
      <c r="P410" s="32"/>
      <c r="Q410" s="32"/>
      <c r="R410" s="32"/>
      <c r="S410" s="32"/>
    </row>
    <row r="411" spans="1:20" ht="15.6">
      <c r="A411" s="110" t="s">
        <v>503</v>
      </c>
      <c r="B411" s="111" t="s">
        <v>227</v>
      </c>
      <c r="C411" s="112" t="s">
        <v>449</v>
      </c>
      <c r="D411" s="113" t="s">
        <v>326</v>
      </c>
      <c r="E411" s="114" t="s">
        <v>14</v>
      </c>
      <c r="F411" s="115" t="s">
        <v>18</v>
      </c>
      <c r="G411" s="116">
        <v>6.86</v>
      </c>
      <c r="H411" s="125">
        <v>8</v>
      </c>
      <c r="I411" s="111">
        <v>47</v>
      </c>
      <c r="J411" s="117">
        <f t="shared" si="212"/>
        <v>2.5793600000000003</v>
      </c>
      <c r="K411" s="118"/>
      <c r="L411" s="111">
        <v>47</v>
      </c>
      <c r="M411" s="117">
        <f t="shared" si="213"/>
        <v>2.5793600000000003</v>
      </c>
      <c r="N411" s="119">
        <f t="shared" si="214"/>
        <v>0</v>
      </c>
      <c r="O411" s="120">
        <f t="shared" si="215"/>
        <v>0</v>
      </c>
      <c r="P411" s="32"/>
      <c r="Q411" s="32"/>
      <c r="R411" s="32"/>
      <c r="S411" s="32"/>
    </row>
    <row r="412" spans="1:20" ht="15.6">
      <c r="A412" s="110" t="s">
        <v>503</v>
      </c>
      <c r="B412" s="111" t="s">
        <v>227</v>
      </c>
      <c r="C412" s="112" t="s">
        <v>449</v>
      </c>
      <c r="D412" s="113" t="s">
        <v>326</v>
      </c>
      <c r="E412" s="114" t="s">
        <v>14</v>
      </c>
      <c r="F412" s="115" t="s">
        <v>18</v>
      </c>
      <c r="G412" s="116">
        <v>6.86</v>
      </c>
      <c r="H412" s="125">
        <v>8</v>
      </c>
      <c r="I412" s="111">
        <v>3</v>
      </c>
      <c r="J412" s="117">
        <f t="shared" si="212"/>
        <v>0.16464000000000001</v>
      </c>
      <c r="K412" s="118"/>
      <c r="L412" s="111">
        <v>3</v>
      </c>
      <c r="M412" s="117">
        <f t="shared" ref="M412:M417" si="216">H412*L412*G412/1000</f>
        <v>0.16464000000000001</v>
      </c>
      <c r="N412" s="119">
        <f t="shared" ref="N412:N417" si="217">I412-L412</f>
        <v>0</v>
      </c>
      <c r="O412" s="120">
        <f t="shared" ref="O412:O416" si="218">H412*N412*G412/1000</f>
        <v>0</v>
      </c>
      <c r="P412" s="32"/>
      <c r="Q412" s="32"/>
      <c r="R412" s="32"/>
      <c r="S412" s="32"/>
    </row>
    <row r="413" spans="1:20" ht="15.6">
      <c r="A413" s="110" t="s">
        <v>503</v>
      </c>
      <c r="B413" s="111" t="s">
        <v>227</v>
      </c>
      <c r="C413" s="112" t="s">
        <v>449</v>
      </c>
      <c r="D413" s="113" t="s">
        <v>326</v>
      </c>
      <c r="E413" s="114" t="s">
        <v>14</v>
      </c>
      <c r="F413" s="115" t="s">
        <v>18</v>
      </c>
      <c r="G413" s="116">
        <v>6.86</v>
      </c>
      <c r="H413" s="125">
        <v>8.6</v>
      </c>
      <c r="I413" s="111">
        <v>1</v>
      </c>
      <c r="J413" s="117">
        <f t="shared" si="212"/>
        <v>5.8996E-2</v>
      </c>
      <c r="K413" s="118"/>
      <c r="L413" s="111">
        <v>1</v>
      </c>
      <c r="M413" s="117">
        <f t="shared" si="216"/>
        <v>5.8996E-2</v>
      </c>
      <c r="N413" s="119">
        <f t="shared" si="217"/>
        <v>0</v>
      </c>
      <c r="O413" s="120">
        <f t="shared" si="218"/>
        <v>0</v>
      </c>
      <c r="P413" s="32"/>
      <c r="Q413" s="32"/>
      <c r="R413" s="32"/>
      <c r="S413" s="32"/>
    </row>
    <row r="414" spans="1:20" ht="15.6">
      <c r="A414" s="110" t="s">
        <v>503</v>
      </c>
      <c r="B414" s="111" t="s">
        <v>227</v>
      </c>
      <c r="C414" s="112" t="s">
        <v>449</v>
      </c>
      <c r="D414" s="113" t="s">
        <v>326</v>
      </c>
      <c r="E414" s="114" t="s">
        <v>14</v>
      </c>
      <c r="F414" s="115" t="s">
        <v>18</v>
      </c>
      <c r="G414" s="116">
        <v>6.86</v>
      </c>
      <c r="H414" s="125">
        <v>7.9</v>
      </c>
      <c r="I414" s="111">
        <v>2</v>
      </c>
      <c r="J414" s="117">
        <f t="shared" si="212"/>
        <v>0.10838800000000001</v>
      </c>
      <c r="K414" s="118"/>
      <c r="L414" s="111"/>
      <c r="M414" s="117">
        <f t="shared" si="216"/>
        <v>0</v>
      </c>
      <c r="N414" s="119">
        <f t="shared" si="217"/>
        <v>2</v>
      </c>
      <c r="O414" s="120">
        <f t="shared" si="218"/>
        <v>0.10838800000000001</v>
      </c>
      <c r="P414" s="32"/>
      <c r="Q414" s="32"/>
      <c r="R414" s="32"/>
      <c r="S414" s="32"/>
    </row>
    <row r="415" spans="1:20" ht="15.6">
      <c r="A415" s="110" t="s">
        <v>503</v>
      </c>
      <c r="B415" s="111" t="s">
        <v>227</v>
      </c>
      <c r="C415" s="112" t="s">
        <v>449</v>
      </c>
      <c r="D415" s="113" t="s">
        <v>326</v>
      </c>
      <c r="E415" s="114" t="s">
        <v>14</v>
      </c>
      <c r="F415" s="115" t="s">
        <v>18</v>
      </c>
      <c r="G415" s="116">
        <v>6.86</v>
      </c>
      <c r="H415" s="125">
        <v>7.6</v>
      </c>
      <c r="I415" s="111">
        <v>2</v>
      </c>
      <c r="J415" s="117">
        <f t="shared" si="212"/>
        <v>0.104272</v>
      </c>
      <c r="K415" s="118"/>
      <c r="L415" s="111"/>
      <c r="M415" s="117">
        <f t="shared" si="216"/>
        <v>0</v>
      </c>
      <c r="N415" s="119">
        <f t="shared" si="217"/>
        <v>2</v>
      </c>
      <c r="O415" s="120">
        <f t="shared" si="218"/>
        <v>0.104272</v>
      </c>
      <c r="P415" s="32"/>
      <c r="Q415" s="32"/>
      <c r="R415" s="32"/>
      <c r="S415" s="32"/>
    </row>
    <row r="416" spans="1:20" ht="15.6">
      <c r="A416" s="110" t="s">
        <v>503</v>
      </c>
      <c r="B416" s="111" t="s">
        <v>227</v>
      </c>
      <c r="C416" s="112" t="s">
        <v>449</v>
      </c>
      <c r="D416" s="113" t="s">
        <v>326</v>
      </c>
      <c r="E416" s="114" t="s">
        <v>14</v>
      </c>
      <c r="F416" s="115" t="s">
        <v>18</v>
      </c>
      <c r="G416" s="116">
        <v>6.86</v>
      </c>
      <c r="H416" s="125">
        <v>7.5</v>
      </c>
      <c r="I416" s="111">
        <v>1</v>
      </c>
      <c r="J416" s="117">
        <f t="shared" si="212"/>
        <v>5.1450000000000003E-2</v>
      </c>
      <c r="K416" s="118"/>
      <c r="L416" s="111"/>
      <c r="M416" s="117">
        <f t="shared" si="216"/>
        <v>0</v>
      </c>
      <c r="N416" s="119">
        <f t="shared" si="217"/>
        <v>1</v>
      </c>
      <c r="O416" s="120">
        <f t="shared" si="218"/>
        <v>5.1450000000000003E-2</v>
      </c>
      <c r="P416" s="32"/>
      <c r="Q416" s="32"/>
      <c r="R416" s="32"/>
      <c r="S416" s="32"/>
    </row>
    <row r="417" spans="1:20" ht="15.6">
      <c r="A417" s="110" t="s">
        <v>503</v>
      </c>
      <c r="B417" s="111" t="s">
        <v>227</v>
      </c>
      <c r="C417" s="112" t="s">
        <v>449</v>
      </c>
      <c r="D417" s="113" t="s">
        <v>326</v>
      </c>
      <c r="E417" s="114" t="s">
        <v>14</v>
      </c>
      <c r="F417" s="115" t="s">
        <v>18</v>
      </c>
      <c r="G417" s="116">
        <v>6.86</v>
      </c>
      <c r="H417" s="125">
        <v>8</v>
      </c>
      <c r="I417" s="111">
        <v>50</v>
      </c>
      <c r="J417" s="117">
        <f t="shared" si="212"/>
        <v>2.7440000000000002</v>
      </c>
      <c r="K417" s="118"/>
      <c r="L417" s="111">
        <v>50</v>
      </c>
      <c r="M417" s="117">
        <f t="shared" si="216"/>
        <v>2.7440000000000002</v>
      </c>
      <c r="N417" s="119">
        <f t="shared" si="217"/>
        <v>0</v>
      </c>
      <c r="O417" s="120">
        <f>H417*N417*G417/1000</f>
        <v>0</v>
      </c>
      <c r="P417" s="32"/>
      <c r="Q417" s="32"/>
      <c r="R417" s="32"/>
      <c r="S417" s="32"/>
    </row>
    <row r="418" spans="1:20">
      <c r="I418" s="215">
        <f>SUM(I410:I417)</f>
        <v>156</v>
      </c>
      <c r="J418" s="128">
        <f>SUM(J410:J417)</f>
        <v>8.5551060000000003</v>
      </c>
      <c r="L418" s="215">
        <f>SUM(L410:L417)</f>
        <v>151</v>
      </c>
      <c r="M418" s="128">
        <f>SUM(M410:M417)</f>
        <v>8.2909960000000016</v>
      </c>
      <c r="N418" s="78">
        <f>SUM(N410:N417)</f>
        <v>5</v>
      </c>
      <c r="O418" s="128">
        <f>SUM(O410:O417)</f>
        <v>0.26411000000000001</v>
      </c>
    </row>
    <row r="421" spans="1:20" ht="15.6">
      <c r="A421" s="110" t="s">
        <v>503</v>
      </c>
      <c r="B421" s="111" t="s">
        <v>227</v>
      </c>
      <c r="C421" s="112" t="s">
        <v>449</v>
      </c>
      <c r="D421" s="113" t="s">
        <v>24</v>
      </c>
      <c r="E421" s="114" t="s">
        <v>14</v>
      </c>
      <c r="F421" s="115" t="s">
        <v>16</v>
      </c>
      <c r="G421" s="116">
        <v>5.77</v>
      </c>
      <c r="H421" s="125">
        <v>12</v>
      </c>
      <c r="I421" s="111">
        <v>49</v>
      </c>
      <c r="J421" s="117">
        <f t="shared" ref="J421" si="219">H421*G421*I421/1000</f>
        <v>3.3927599999999996</v>
      </c>
      <c r="K421" s="118"/>
      <c r="L421" s="111">
        <f>49+8</f>
        <v>57</v>
      </c>
      <c r="M421" s="117">
        <f t="shared" ref="M421" si="220">H421*L421*G421/1000</f>
        <v>3.9466799999999997</v>
      </c>
      <c r="N421" s="141">
        <f t="shared" ref="N421" si="221">I421-L421</f>
        <v>-8</v>
      </c>
      <c r="O421" s="142">
        <f t="shared" ref="O421" si="222">H421*N421*G421/1000</f>
        <v>-0.55391999999999997</v>
      </c>
      <c r="P421" s="32" t="s">
        <v>253</v>
      </c>
      <c r="Q421" s="32"/>
      <c r="R421" s="32"/>
      <c r="S421" s="32"/>
    </row>
    <row r="422" spans="1:20" ht="15.6">
      <c r="A422" s="110" t="s">
        <v>503</v>
      </c>
      <c r="B422" s="111" t="s">
        <v>227</v>
      </c>
      <c r="C422" s="112" t="s">
        <v>449</v>
      </c>
      <c r="D422" s="113" t="s">
        <v>24</v>
      </c>
      <c r="E422" s="114" t="s">
        <v>14</v>
      </c>
      <c r="F422" s="115" t="s">
        <v>16</v>
      </c>
      <c r="G422" s="116">
        <v>5.77</v>
      </c>
      <c r="H422" s="125">
        <v>12</v>
      </c>
      <c r="I422" s="111">
        <v>26</v>
      </c>
      <c r="J422" s="117">
        <f t="shared" ref="J422:J436" si="223">H422*G422*I422/1000</f>
        <v>1.8002399999999998</v>
      </c>
      <c r="K422" s="118"/>
      <c r="L422" s="111">
        <f>24+2</f>
        <v>26</v>
      </c>
      <c r="M422" s="117">
        <f t="shared" ref="M422:M438" si="224">H422*L422*G422/1000</f>
        <v>1.8002399999999998</v>
      </c>
      <c r="N422" s="119">
        <f t="shared" ref="N422:N438" si="225">I422-L422</f>
        <v>0</v>
      </c>
      <c r="O422" s="120">
        <f t="shared" ref="O422:O438" si="226">H422*N422*G422/1000</f>
        <v>0</v>
      </c>
      <c r="P422" s="32"/>
      <c r="Q422" s="32"/>
      <c r="R422" s="32"/>
      <c r="S422" s="32"/>
    </row>
    <row r="423" spans="1:20" ht="15.6">
      <c r="A423" s="110" t="s">
        <v>503</v>
      </c>
      <c r="B423" s="111" t="s">
        <v>227</v>
      </c>
      <c r="C423" s="112" t="s">
        <v>449</v>
      </c>
      <c r="D423" s="113" t="s">
        <v>24</v>
      </c>
      <c r="E423" s="114" t="s">
        <v>14</v>
      </c>
      <c r="F423" s="115" t="s">
        <v>16</v>
      </c>
      <c r="G423" s="116">
        <v>5.77</v>
      </c>
      <c r="H423" s="125">
        <v>10.5</v>
      </c>
      <c r="I423" s="111">
        <v>13</v>
      </c>
      <c r="J423" s="117">
        <f t="shared" si="223"/>
        <v>0.78760499999999989</v>
      </c>
      <c r="K423" s="118"/>
      <c r="L423" s="111">
        <f>13+9</f>
        <v>22</v>
      </c>
      <c r="M423" s="117">
        <f t="shared" si="224"/>
        <v>1.33287</v>
      </c>
      <c r="N423" s="141">
        <f t="shared" si="225"/>
        <v>-9</v>
      </c>
      <c r="O423" s="142">
        <f t="shared" si="226"/>
        <v>-0.545265</v>
      </c>
      <c r="P423" s="32" t="s">
        <v>253</v>
      </c>
      <c r="Q423" s="32"/>
      <c r="R423" s="32"/>
      <c r="S423" s="32"/>
    </row>
    <row r="424" spans="1:20" ht="15.6">
      <c r="A424" s="110" t="s">
        <v>503</v>
      </c>
      <c r="B424" s="111" t="s">
        <v>227</v>
      </c>
      <c r="C424" s="112" t="s">
        <v>449</v>
      </c>
      <c r="D424" s="113" t="s">
        <v>24</v>
      </c>
      <c r="E424" s="114" t="s">
        <v>14</v>
      </c>
      <c r="F424" s="115" t="s">
        <v>16</v>
      </c>
      <c r="G424" s="116">
        <v>5.77</v>
      </c>
      <c r="H424" s="125">
        <v>11</v>
      </c>
      <c r="I424" s="111">
        <v>40</v>
      </c>
      <c r="J424" s="117">
        <f t="shared" si="223"/>
        <v>2.5388000000000002</v>
      </c>
      <c r="K424" s="118"/>
      <c r="L424" s="111">
        <f>24+16+38</f>
        <v>78</v>
      </c>
      <c r="M424" s="117">
        <f t="shared" si="224"/>
        <v>4.9506600000000001</v>
      </c>
      <c r="N424" s="141">
        <f t="shared" si="225"/>
        <v>-38</v>
      </c>
      <c r="O424" s="142">
        <f t="shared" si="226"/>
        <v>-2.4118599999999999</v>
      </c>
      <c r="P424" s="32" t="s">
        <v>253</v>
      </c>
      <c r="Q424" s="32"/>
      <c r="R424" s="32"/>
      <c r="S424" s="32"/>
    </row>
    <row r="425" spans="1:20" ht="15.6">
      <c r="A425" s="110" t="s">
        <v>503</v>
      </c>
      <c r="B425" s="111" t="s">
        <v>227</v>
      </c>
      <c r="C425" s="112" t="s">
        <v>449</v>
      </c>
      <c r="D425" s="113" t="s">
        <v>24</v>
      </c>
      <c r="E425" s="114" t="s">
        <v>14</v>
      </c>
      <c r="F425" s="115" t="s">
        <v>16</v>
      </c>
      <c r="G425" s="116">
        <v>5.77</v>
      </c>
      <c r="H425" s="125">
        <v>8.0500000000000007</v>
      </c>
      <c r="I425" s="111">
        <v>11</v>
      </c>
      <c r="J425" s="117">
        <f t="shared" si="223"/>
        <v>0.51093350000000004</v>
      </c>
      <c r="K425" s="118"/>
      <c r="L425" s="111">
        <f>9+2</f>
        <v>11</v>
      </c>
      <c r="M425" s="117">
        <f t="shared" si="224"/>
        <v>0.51093350000000004</v>
      </c>
      <c r="N425" s="119">
        <f t="shared" si="225"/>
        <v>0</v>
      </c>
      <c r="O425" s="120">
        <f t="shared" si="226"/>
        <v>0</v>
      </c>
      <c r="P425" s="32"/>
      <c r="Q425" s="45">
        <v>2</v>
      </c>
      <c r="R425" s="32"/>
      <c r="S425" s="32"/>
      <c r="T425" s="213"/>
    </row>
    <row r="426" spans="1:20" ht="15.6">
      <c r="A426" s="110" t="s">
        <v>503</v>
      </c>
      <c r="B426" s="111" t="s">
        <v>227</v>
      </c>
      <c r="C426" s="112" t="s">
        <v>449</v>
      </c>
      <c r="D426" s="113" t="s">
        <v>24</v>
      </c>
      <c r="E426" s="114" t="s">
        <v>14</v>
      </c>
      <c r="F426" s="115" t="s">
        <v>16</v>
      </c>
      <c r="G426" s="116">
        <v>5.77</v>
      </c>
      <c r="H426" s="125">
        <v>7.4</v>
      </c>
      <c r="I426" s="111">
        <v>48</v>
      </c>
      <c r="J426" s="117">
        <f t="shared" si="223"/>
        <v>2.0495039999999998</v>
      </c>
      <c r="K426" s="118"/>
      <c r="L426" s="111">
        <f>48</f>
        <v>48</v>
      </c>
      <c r="M426" s="117">
        <f t="shared" si="224"/>
        <v>2.0495039999999998</v>
      </c>
      <c r="N426" s="141">
        <f t="shared" si="225"/>
        <v>0</v>
      </c>
      <c r="O426" s="142">
        <f t="shared" si="226"/>
        <v>0</v>
      </c>
      <c r="P426" s="32"/>
      <c r="Q426" s="45">
        <v>1</v>
      </c>
      <c r="R426" s="32"/>
      <c r="S426" s="32"/>
    </row>
    <row r="427" spans="1:20" ht="15.6">
      <c r="A427" s="110" t="s">
        <v>503</v>
      </c>
      <c r="B427" s="111" t="s">
        <v>227</v>
      </c>
      <c r="C427" s="112" t="s">
        <v>449</v>
      </c>
      <c r="D427" s="113" t="s">
        <v>24</v>
      </c>
      <c r="E427" s="114" t="s">
        <v>14</v>
      </c>
      <c r="F427" s="115" t="s">
        <v>16</v>
      </c>
      <c r="G427" s="116">
        <v>5.77</v>
      </c>
      <c r="H427" s="125">
        <v>12</v>
      </c>
      <c r="I427" s="111">
        <v>50</v>
      </c>
      <c r="J427" s="117">
        <f t="shared" si="223"/>
        <v>3.4619999999999997</v>
      </c>
      <c r="K427" s="118"/>
      <c r="L427" s="111">
        <v>50</v>
      </c>
      <c r="M427" s="117">
        <f t="shared" si="224"/>
        <v>3.4619999999999997</v>
      </c>
      <c r="N427" s="119">
        <f t="shared" si="225"/>
        <v>0</v>
      </c>
      <c r="O427" s="120">
        <f t="shared" si="226"/>
        <v>0</v>
      </c>
      <c r="P427" s="32"/>
      <c r="Q427" s="32"/>
      <c r="R427" s="32"/>
      <c r="S427" s="32"/>
    </row>
    <row r="428" spans="1:20" ht="15.6">
      <c r="A428" s="110" t="s">
        <v>503</v>
      </c>
      <c r="B428" s="111" t="s">
        <v>227</v>
      </c>
      <c r="C428" s="112" t="s">
        <v>449</v>
      </c>
      <c r="D428" s="113" t="s">
        <v>24</v>
      </c>
      <c r="E428" s="114" t="s">
        <v>14</v>
      </c>
      <c r="F428" s="115" t="s">
        <v>16</v>
      </c>
      <c r="G428" s="116">
        <v>5.77</v>
      </c>
      <c r="H428" s="125">
        <v>10.5</v>
      </c>
      <c r="I428" s="111">
        <v>52</v>
      </c>
      <c r="J428" s="117">
        <f t="shared" si="223"/>
        <v>3.1504199999999996</v>
      </c>
      <c r="K428" s="118"/>
      <c r="L428" s="111">
        <v>52</v>
      </c>
      <c r="M428" s="117">
        <f t="shared" si="224"/>
        <v>3.1504199999999996</v>
      </c>
      <c r="N428" s="119">
        <f t="shared" si="225"/>
        <v>0</v>
      </c>
      <c r="O428" s="120">
        <f t="shared" si="226"/>
        <v>0</v>
      </c>
      <c r="P428" s="32"/>
      <c r="Q428" s="32"/>
      <c r="R428" s="32"/>
      <c r="S428" s="32"/>
    </row>
    <row r="429" spans="1:20" ht="15.6">
      <c r="A429" s="110" t="s">
        <v>503</v>
      </c>
      <c r="B429" s="111" t="s">
        <v>227</v>
      </c>
      <c r="C429" s="112" t="s">
        <v>449</v>
      </c>
      <c r="D429" s="113" t="s">
        <v>24</v>
      </c>
      <c r="E429" s="114" t="s">
        <v>14</v>
      </c>
      <c r="F429" s="115" t="s">
        <v>16</v>
      </c>
      <c r="G429" s="116">
        <v>5.77</v>
      </c>
      <c r="H429" s="125">
        <v>7.4</v>
      </c>
      <c r="I429" s="111">
        <v>38</v>
      </c>
      <c r="J429" s="117">
        <f t="shared" si="223"/>
        <v>1.6225240000000001</v>
      </c>
      <c r="K429" s="118"/>
      <c r="L429" s="111">
        <f>37+1</f>
        <v>38</v>
      </c>
      <c r="M429" s="117">
        <f t="shared" si="224"/>
        <v>1.6225239999999999</v>
      </c>
      <c r="N429" s="119">
        <f t="shared" si="225"/>
        <v>0</v>
      </c>
      <c r="O429" s="120">
        <f t="shared" si="226"/>
        <v>0</v>
      </c>
      <c r="P429" s="32"/>
      <c r="Q429" s="32"/>
      <c r="R429" s="32">
        <v>7.25</v>
      </c>
      <c r="S429" s="45">
        <v>1</v>
      </c>
      <c r="T429" s="213" t="s">
        <v>631</v>
      </c>
    </row>
    <row r="430" spans="1:20" ht="15.6">
      <c r="A430" s="110" t="s">
        <v>503</v>
      </c>
      <c r="B430" s="111" t="s">
        <v>227</v>
      </c>
      <c r="C430" s="112" t="s">
        <v>449</v>
      </c>
      <c r="D430" s="113" t="s">
        <v>24</v>
      </c>
      <c r="E430" s="114" t="s">
        <v>14</v>
      </c>
      <c r="F430" s="115" t="s">
        <v>16</v>
      </c>
      <c r="G430" s="116">
        <v>5.77</v>
      </c>
      <c r="H430" s="125">
        <v>8.0500000000000007</v>
      </c>
      <c r="I430" s="111">
        <v>23</v>
      </c>
      <c r="J430" s="117">
        <f t="shared" si="223"/>
        <v>1.0683155000000002</v>
      </c>
      <c r="K430" s="118"/>
      <c r="L430" s="111">
        <v>23</v>
      </c>
      <c r="M430" s="117">
        <f t="shared" si="224"/>
        <v>1.0683155</v>
      </c>
      <c r="N430" s="119">
        <f t="shared" si="225"/>
        <v>0</v>
      </c>
      <c r="O430" s="120">
        <f t="shared" si="226"/>
        <v>0</v>
      </c>
      <c r="P430" s="32"/>
      <c r="Q430" s="32"/>
      <c r="R430" s="32"/>
      <c r="S430" s="32"/>
    </row>
    <row r="431" spans="1:20" ht="15.6">
      <c r="A431" s="110" t="s">
        <v>503</v>
      </c>
      <c r="B431" s="111" t="s">
        <v>227</v>
      </c>
      <c r="C431" s="112" t="s">
        <v>449</v>
      </c>
      <c r="D431" s="113" t="s">
        <v>24</v>
      </c>
      <c r="E431" s="114" t="s">
        <v>14</v>
      </c>
      <c r="F431" s="115" t="s">
        <v>16</v>
      </c>
      <c r="G431" s="116">
        <v>5.77</v>
      </c>
      <c r="H431" s="125">
        <v>11</v>
      </c>
      <c r="I431" s="111">
        <v>36</v>
      </c>
      <c r="J431" s="117">
        <f t="shared" si="223"/>
        <v>2.2849200000000001</v>
      </c>
      <c r="K431" s="118"/>
      <c r="L431" s="111">
        <f>30+6</f>
        <v>36</v>
      </c>
      <c r="M431" s="117">
        <f t="shared" si="224"/>
        <v>2.2849199999999996</v>
      </c>
      <c r="N431" s="119">
        <f t="shared" si="225"/>
        <v>0</v>
      </c>
      <c r="O431" s="120">
        <f t="shared" si="226"/>
        <v>0</v>
      </c>
      <c r="P431" s="32">
        <v>10.5</v>
      </c>
      <c r="Q431" s="32">
        <v>30</v>
      </c>
      <c r="R431" s="32"/>
      <c r="S431" s="32"/>
    </row>
    <row r="432" spans="1:20" ht="15.6">
      <c r="A432" s="110" t="s">
        <v>503</v>
      </c>
      <c r="B432" s="111" t="s">
        <v>227</v>
      </c>
      <c r="C432" s="112" t="s">
        <v>449</v>
      </c>
      <c r="D432" s="113" t="s">
        <v>24</v>
      </c>
      <c r="E432" s="114" t="s">
        <v>14</v>
      </c>
      <c r="F432" s="115" t="s">
        <v>16</v>
      </c>
      <c r="G432" s="116">
        <v>5.77</v>
      </c>
      <c r="H432" s="125">
        <v>12</v>
      </c>
      <c r="I432" s="111">
        <v>5</v>
      </c>
      <c r="J432" s="117">
        <f t="shared" si="223"/>
        <v>0.34620000000000001</v>
      </c>
      <c r="K432" s="118"/>
      <c r="L432" s="111">
        <v>5</v>
      </c>
      <c r="M432" s="117">
        <f t="shared" si="224"/>
        <v>0.34620000000000001</v>
      </c>
      <c r="N432" s="119">
        <f t="shared" si="225"/>
        <v>0</v>
      </c>
      <c r="O432" s="120">
        <f t="shared" si="226"/>
        <v>0</v>
      </c>
      <c r="P432" s="32"/>
      <c r="Q432" s="32"/>
      <c r="R432" s="32"/>
      <c r="S432" s="32"/>
    </row>
    <row r="433" spans="1:20" ht="15.6">
      <c r="A433" s="110" t="s">
        <v>503</v>
      </c>
      <c r="B433" s="111" t="s">
        <v>227</v>
      </c>
      <c r="C433" s="112" t="s">
        <v>449</v>
      </c>
      <c r="D433" s="113" t="s">
        <v>24</v>
      </c>
      <c r="E433" s="114" t="s">
        <v>14</v>
      </c>
      <c r="F433" s="115" t="s">
        <v>16</v>
      </c>
      <c r="G433" s="116">
        <v>5.77</v>
      </c>
      <c r="H433" s="125">
        <v>11.5</v>
      </c>
      <c r="I433" s="111">
        <v>1</v>
      </c>
      <c r="J433" s="117">
        <f t="shared" si="223"/>
        <v>6.6354999999999983E-2</v>
      </c>
      <c r="K433" s="118"/>
      <c r="L433" s="111">
        <v>1</v>
      </c>
      <c r="M433" s="117">
        <f t="shared" si="224"/>
        <v>6.6354999999999983E-2</v>
      </c>
      <c r="N433" s="119">
        <f t="shared" si="225"/>
        <v>0</v>
      </c>
      <c r="O433" s="120">
        <f t="shared" si="226"/>
        <v>0</v>
      </c>
      <c r="P433" s="32">
        <v>11</v>
      </c>
      <c r="Q433" s="32">
        <v>1</v>
      </c>
      <c r="R433" s="32"/>
      <c r="S433" s="32"/>
    </row>
    <row r="434" spans="1:20" ht="15.6">
      <c r="A434" s="110" t="s">
        <v>503</v>
      </c>
      <c r="B434" s="111" t="s">
        <v>227</v>
      </c>
      <c r="C434" s="112" t="s">
        <v>449</v>
      </c>
      <c r="D434" s="113" t="s">
        <v>24</v>
      </c>
      <c r="E434" s="114" t="s">
        <v>14</v>
      </c>
      <c r="F434" s="115" t="s">
        <v>16</v>
      </c>
      <c r="G434" s="116">
        <v>5.77</v>
      </c>
      <c r="H434" s="125">
        <v>11.3</v>
      </c>
      <c r="I434" s="111">
        <v>1</v>
      </c>
      <c r="J434" s="117">
        <f t="shared" si="223"/>
        <v>6.5200999999999995E-2</v>
      </c>
      <c r="K434" s="118"/>
      <c r="L434" s="111">
        <v>1</v>
      </c>
      <c r="M434" s="117">
        <f t="shared" si="224"/>
        <v>6.5200999999999995E-2</v>
      </c>
      <c r="N434" s="119">
        <f t="shared" si="225"/>
        <v>0</v>
      </c>
      <c r="O434" s="120">
        <f t="shared" si="226"/>
        <v>0</v>
      </c>
      <c r="P434" s="32">
        <v>11</v>
      </c>
      <c r="Q434" s="32">
        <v>1</v>
      </c>
      <c r="R434" s="32"/>
      <c r="S434" s="32"/>
    </row>
    <row r="435" spans="1:20" ht="15.6">
      <c r="A435" s="110" t="s">
        <v>503</v>
      </c>
      <c r="B435" s="111" t="s">
        <v>227</v>
      </c>
      <c r="C435" s="112" t="s">
        <v>449</v>
      </c>
      <c r="D435" s="113" t="s">
        <v>24</v>
      </c>
      <c r="E435" s="114" t="s">
        <v>14</v>
      </c>
      <c r="F435" s="115" t="s">
        <v>16</v>
      </c>
      <c r="G435" s="116">
        <v>5.77</v>
      </c>
      <c r="H435" s="125">
        <v>9.5</v>
      </c>
      <c r="I435" s="111">
        <v>5</v>
      </c>
      <c r="J435" s="117">
        <f t="shared" si="223"/>
        <v>0.27407500000000001</v>
      </c>
      <c r="K435" s="118"/>
      <c r="L435" s="111">
        <v>5</v>
      </c>
      <c r="M435" s="117">
        <f t="shared" si="224"/>
        <v>0.27407500000000001</v>
      </c>
      <c r="N435" s="119">
        <f t="shared" si="225"/>
        <v>0</v>
      </c>
      <c r="O435" s="120">
        <f t="shared" si="226"/>
        <v>0</v>
      </c>
      <c r="P435" s="32">
        <v>7.4</v>
      </c>
      <c r="Q435" s="32">
        <v>1</v>
      </c>
      <c r="R435" s="32">
        <v>7.25</v>
      </c>
      <c r="S435" s="45">
        <v>4</v>
      </c>
      <c r="T435" s="213" t="s">
        <v>631</v>
      </c>
    </row>
    <row r="436" spans="1:20" ht="15.6">
      <c r="A436" s="110" t="s">
        <v>503</v>
      </c>
      <c r="B436" s="111" t="s">
        <v>227</v>
      </c>
      <c r="C436" s="112" t="s">
        <v>449</v>
      </c>
      <c r="D436" s="113" t="s">
        <v>24</v>
      </c>
      <c r="E436" s="114" t="s">
        <v>14</v>
      </c>
      <c r="F436" s="115" t="s">
        <v>16</v>
      </c>
      <c r="G436" s="116">
        <v>5.77</v>
      </c>
      <c r="H436" s="125">
        <v>10</v>
      </c>
      <c r="I436" s="111">
        <v>7</v>
      </c>
      <c r="J436" s="117">
        <f t="shared" si="223"/>
        <v>0.40389999999999998</v>
      </c>
      <c r="K436" s="118"/>
      <c r="L436" s="111">
        <v>7</v>
      </c>
      <c r="M436" s="117">
        <f t="shared" si="224"/>
        <v>0.40389999999999998</v>
      </c>
      <c r="N436" s="119">
        <f t="shared" si="225"/>
        <v>0</v>
      </c>
      <c r="O436" s="120">
        <f t="shared" si="226"/>
        <v>0</v>
      </c>
      <c r="P436" s="32"/>
      <c r="Q436" s="44">
        <v>1</v>
      </c>
      <c r="R436" s="32">
        <v>7.25</v>
      </c>
      <c r="S436" s="45">
        <v>7</v>
      </c>
      <c r="T436" s="213" t="s">
        <v>631</v>
      </c>
    </row>
    <row r="437" spans="1:20" ht="15.6">
      <c r="A437" s="110" t="s">
        <v>503</v>
      </c>
      <c r="B437" s="111" t="s">
        <v>227</v>
      </c>
      <c r="C437" s="112" t="s">
        <v>449</v>
      </c>
      <c r="D437" s="113" t="s">
        <v>24</v>
      </c>
      <c r="E437" s="114" t="s">
        <v>14</v>
      </c>
      <c r="F437" s="115" t="s">
        <v>16</v>
      </c>
      <c r="G437" s="116">
        <v>5.77</v>
      </c>
      <c r="H437" s="125">
        <v>10.199999999999999</v>
      </c>
      <c r="I437" s="111">
        <v>1</v>
      </c>
      <c r="J437" s="117">
        <f>H437*G437*I437/1000</f>
        <v>5.885399999999999E-2</v>
      </c>
      <c r="K437" s="118"/>
      <c r="L437" s="111">
        <v>1</v>
      </c>
      <c r="M437" s="117">
        <f t="shared" si="224"/>
        <v>5.885399999999999E-2</v>
      </c>
      <c r="N437" s="119">
        <f t="shared" si="225"/>
        <v>0</v>
      </c>
      <c r="O437" s="120">
        <f t="shared" si="226"/>
        <v>0</v>
      </c>
      <c r="P437" s="32"/>
      <c r="Q437" s="44">
        <v>1</v>
      </c>
      <c r="R437" s="32">
        <v>7.25</v>
      </c>
      <c r="S437" s="45">
        <v>1</v>
      </c>
      <c r="T437" s="213" t="s">
        <v>631</v>
      </c>
    </row>
    <row r="438" spans="1:20" ht="15.6">
      <c r="A438" s="110" t="s">
        <v>503</v>
      </c>
      <c r="B438" s="111" t="s">
        <v>227</v>
      </c>
      <c r="C438" s="112" t="s">
        <v>449</v>
      </c>
      <c r="D438" s="113" t="s">
        <v>24</v>
      </c>
      <c r="E438" s="114" t="s">
        <v>14</v>
      </c>
      <c r="F438" s="115" t="s">
        <v>16</v>
      </c>
      <c r="G438" s="116">
        <v>5.77</v>
      </c>
      <c r="H438" s="125">
        <v>10.7</v>
      </c>
      <c r="I438" s="111">
        <v>1</v>
      </c>
      <c r="J438" s="117">
        <f>H438*G438*I438/1000</f>
        <v>6.1738999999999988E-2</v>
      </c>
      <c r="K438" s="118"/>
      <c r="L438" s="111">
        <v>1</v>
      </c>
      <c r="M438" s="117">
        <f t="shared" si="224"/>
        <v>6.1738999999999988E-2</v>
      </c>
      <c r="N438" s="119">
        <f t="shared" si="225"/>
        <v>0</v>
      </c>
      <c r="O438" s="120">
        <f t="shared" si="226"/>
        <v>0</v>
      </c>
      <c r="P438" s="32">
        <v>10.5</v>
      </c>
      <c r="Q438" s="32">
        <v>1</v>
      </c>
      <c r="R438" s="32"/>
      <c r="S438" s="32"/>
    </row>
    <row r="439" spans="1:20" ht="15.6">
      <c r="A439" s="110" t="s">
        <v>503</v>
      </c>
      <c r="B439" s="111" t="s">
        <v>227</v>
      </c>
      <c r="C439" s="112" t="s">
        <v>449</v>
      </c>
      <c r="D439" s="113" t="s">
        <v>24</v>
      </c>
      <c r="E439" s="114" t="s">
        <v>14</v>
      </c>
      <c r="F439" s="115" t="s">
        <v>16</v>
      </c>
      <c r="G439" s="116">
        <v>5.77</v>
      </c>
      <c r="H439" s="125">
        <v>10.5</v>
      </c>
      <c r="I439" s="111">
        <v>1</v>
      </c>
      <c r="J439" s="117">
        <f>H439*G439*I439/1000</f>
        <v>6.0584999999999993E-2</v>
      </c>
      <c r="K439" s="118"/>
      <c r="L439" s="111">
        <v>1</v>
      </c>
      <c r="M439" s="117">
        <f t="shared" ref="M439:M440" si="227">H439*L439*G439/1000</f>
        <v>6.0584999999999993E-2</v>
      </c>
      <c r="N439" s="119">
        <f t="shared" ref="N439:N440" si="228">I439-L439</f>
        <v>0</v>
      </c>
      <c r="O439" s="120">
        <f t="shared" ref="O439" si="229">H439*N439*G439/1000</f>
        <v>0</v>
      </c>
      <c r="P439" s="32"/>
      <c r="Q439" s="32"/>
      <c r="R439" s="32"/>
      <c r="S439" s="32"/>
    </row>
    <row r="440" spans="1:20" ht="15.6">
      <c r="A440" s="110" t="s">
        <v>503</v>
      </c>
      <c r="B440" s="111" t="s">
        <v>227</v>
      </c>
      <c r="C440" s="112" t="s">
        <v>449</v>
      </c>
      <c r="D440" s="113" t="s">
        <v>24</v>
      </c>
      <c r="E440" s="114" t="s">
        <v>14</v>
      </c>
      <c r="F440" s="115" t="s">
        <v>16</v>
      </c>
      <c r="G440" s="116">
        <v>5.77</v>
      </c>
      <c r="H440" s="125">
        <v>12</v>
      </c>
      <c r="I440" s="111">
        <v>1</v>
      </c>
      <c r="J440" s="117">
        <f>H440*G440*I440/1000</f>
        <v>6.9239999999999996E-2</v>
      </c>
      <c r="K440" s="118"/>
      <c r="L440" s="111">
        <v>1</v>
      </c>
      <c r="M440" s="117">
        <f t="shared" si="227"/>
        <v>6.9239999999999996E-2</v>
      </c>
      <c r="N440" s="119">
        <f t="shared" si="228"/>
        <v>0</v>
      </c>
      <c r="O440" s="120">
        <f>H440*N440*G440/1000</f>
        <v>0</v>
      </c>
      <c r="P440" s="32"/>
      <c r="Q440" s="32"/>
      <c r="R440" s="32"/>
      <c r="S440" s="32"/>
    </row>
    <row r="441" spans="1:20">
      <c r="A441" s="32"/>
      <c r="B441" s="32"/>
      <c r="C441" s="32"/>
      <c r="D441" s="32"/>
      <c r="E441" s="32"/>
      <c r="F441" s="32"/>
      <c r="G441" s="32"/>
      <c r="H441" s="32"/>
      <c r="I441" s="129">
        <f>SUM(I421:I440)</f>
        <v>409</v>
      </c>
      <c r="J441" s="132">
        <f>SUM(J421:J440)</f>
        <v>24.074170999999996</v>
      </c>
      <c r="K441" s="32"/>
      <c r="L441" s="129">
        <f>SUM(L421:L440)</f>
        <v>464</v>
      </c>
      <c r="M441" s="132">
        <f>SUM(M421:M440)</f>
        <v>27.585215999999996</v>
      </c>
      <c r="N441" s="129">
        <f>SUM(N421:N440)</f>
        <v>-55</v>
      </c>
      <c r="O441" s="132">
        <f>SUM(O421:O440)</f>
        <v>-3.5110449999999997</v>
      </c>
      <c r="P441" s="32"/>
      <c r="Q441" s="32"/>
      <c r="R441" s="32"/>
      <c r="S441" s="129">
        <f>SUM(S421:S440)</f>
        <v>13</v>
      </c>
    </row>
    <row r="444" spans="1:20" ht="15.6">
      <c r="A444" s="110" t="s">
        <v>803</v>
      </c>
      <c r="B444" s="111" t="s">
        <v>227</v>
      </c>
      <c r="C444" s="112" t="s">
        <v>449</v>
      </c>
      <c r="D444" s="113" t="s">
        <v>804</v>
      </c>
      <c r="E444" s="114" t="s">
        <v>14</v>
      </c>
      <c r="F444" s="115" t="s">
        <v>18</v>
      </c>
      <c r="G444" s="116">
        <v>6.86</v>
      </c>
      <c r="H444" s="125">
        <v>11.5</v>
      </c>
      <c r="I444" s="111">
        <v>23</v>
      </c>
      <c r="J444" s="117">
        <f t="shared" ref="J444" si="230">H444*G444*I444/1000</f>
        <v>1.81447</v>
      </c>
      <c r="K444" s="118"/>
      <c r="L444" s="111">
        <f>8+6</f>
        <v>14</v>
      </c>
      <c r="M444" s="117">
        <f t="shared" ref="M444" si="231">H444*L444*G444/1000</f>
        <v>1.10446</v>
      </c>
      <c r="N444" s="119">
        <f t="shared" ref="N444" si="232">I444-L444</f>
        <v>9</v>
      </c>
      <c r="O444" s="120">
        <f t="shared" ref="O444" si="233">H444*N444*G444/1000</f>
        <v>0.71001000000000003</v>
      </c>
      <c r="P444" s="32"/>
      <c r="Q444" s="32"/>
      <c r="R444" s="32"/>
      <c r="S444" s="32"/>
    </row>
    <row r="445" spans="1:20" ht="15.6">
      <c r="A445" s="110" t="s">
        <v>803</v>
      </c>
      <c r="B445" s="111" t="s">
        <v>227</v>
      </c>
      <c r="C445" s="112" t="s">
        <v>449</v>
      </c>
      <c r="D445" s="113" t="s">
        <v>804</v>
      </c>
      <c r="E445" s="114" t="s">
        <v>14</v>
      </c>
      <c r="F445" s="115" t="s">
        <v>18</v>
      </c>
      <c r="G445" s="116">
        <v>6.86</v>
      </c>
      <c r="H445" s="125">
        <v>6.1</v>
      </c>
      <c r="I445" s="111">
        <v>3</v>
      </c>
      <c r="J445" s="117">
        <f t="shared" ref="J445:J455" si="234">H445*G445*I445/1000</f>
        <v>0.12553799999999998</v>
      </c>
      <c r="K445" s="118"/>
      <c r="L445" s="111">
        <v>3</v>
      </c>
      <c r="M445" s="117">
        <f t="shared" ref="M445:M455" si="235">H445*L445*G445/1000</f>
        <v>0.12553799999999998</v>
      </c>
      <c r="N445" s="119">
        <f t="shared" ref="N445:N455" si="236">I445-L445</f>
        <v>0</v>
      </c>
      <c r="O445" s="120">
        <f t="shared" ref="O445:O453" si="237">H445*N445*G445/1000</f>
        <v>0</v>
      </c>
      <c r="P445" s="32"/>
      <c r="Q445" s="32"/>
      <c r="R445" s="32"/>
      <c r="S445" s="32"/>
    </row>
    <row r="446" spans="1:20" ht="15.6">
      <c r="A446" s="110" t="s">
        <v>803</v>
      </c>
      <c r="B446" s="111" t="s">
        <v>227</v>
      </c>
      <c r="C446" s="112" t="s">
        <v>449</v>
      </c>
      <c r="D446" s="113" t="s">
        <v>804</v>
      </c>
      <c r="E446" s="114" t="s">
        <v>14</v>
      </c>
      <c r="F446" s="115" t="s">
        <v>18</v>
      </c>
      <c r="G446" s="116">
        <v>6.86</v>
      </c>
      <c r="H446" s="125">
        <v>12</v>
      </c>
      <c r="I446" s="111">
        <v>12</v>
      </c>
      <c r="J446" s="117">
        <f t="shared" si="234"/>
        <v>0.98784000000000016</v>
      </c>
      <c r="K446" s="118"/>
      <c r="L446" s="111">
        <v>12</v>
      </c>
      <c r="M446" s="117">
        <f t="shared" si="235"/>
        <v>0.98784000000000005</v>
      </c>
      <c r="N446" s="119">
        <f t="shared" si="236"/>
        <v>0</v>
      </c>
      <c r="O446" s="120">
        <f t="shared" si="237"/>
        <v>0</v>
      </c>
      <c r="P446" s="32"/>
      <c r="Q446" s="32"/>
      <c r="R446" s="32"/>
      <c r="S446" s="32"/>
    </row>
    <row r="447" spans="1:20" ht="15.6">
      <c r="A447" s="110" t="s">
        <v>803</v>
      </c>
      <c r="B447" s="111" t="s">
        <v>227</v>
      </c>
      <c r="C447" s="112" t="s">
        <v>449</v>
      </c>
      <c r="D447" s="113" t="s">
        <v>804</v>
      </c>
      <c r="E447" s="114" t="s">
        <v>14</v>
      </c>
      <c r="F447" s="115" t="s">
        <v>18</v>
      </c>
      <c r="G447" s="116">
        <v>6.86</v>
      </c>
      <c r="H447" s="125">
        <v>10</v>
      </c>
      <c r="I447" s="111">
        <v>10</v>
      </c>
      <c r="J447" s="117">
        <f t="shared" si="234"/>
        <v>0.68600000000000017</v>
      </c>
      <c r="K447" s="118"/>
      <c r="L447" s="111">
        <v>10</v>
      </c>
      <c r="M447" s="117">
        <f t="shared" si="235"/>
        <v>0.68600000000000005</v>
      </c>
      <c r="N447" s="119">
        <f t="shared" si="236"/>
        <v>0</v>
      </c>
      <c r="O447" s="120">
        <f t="shared" si="237"/>
        <v>0</v>
      </c>
      <c r="P447" s="32"/>
      <c r="Q447" s="32"/>
      <c r="R447" s="32"/>
      <c r="S447" s="32"/>
    </row>
    <row r="448" spans="1:20" ht="15.6">
      <c r="A448" s="110" t="s">
        <v>803</v>
      </c>
      <c r="B448" s="111" t="s">
        <v>227</v>
      </c>
      <c r="C448" s="112" t="s">
        <v>449</v>
      </c>
      <c r="D448" s="113" t="s">
        <v>804</v>
      </c>
      <c r="E448" s="114" t="s">
        <v>14</v>
      </c>
      <c r="F448" s="115" t="s">
        <v>18</v>
      </c>
      <c r="G448" s="116">
        <v>6.86</v>
      </c>
      <c r="H448" s="125">
        <v>10.25</v>
      </c>
      <c r="I448" s="111">
        <v>10</v>
      </c>
      <c r="J448" s="117">
        <f t="shared" si="234"/>
        <v>0.70314999999999994</v>
      </c>
      <c r="K448" s="118"/>
      <c r="L448" s="111">
        <v>10</v>
      </c>
      <c r="M448" s="117">
        <f t="shared" si="235"/>
        <v>0.70314999999999994</v>
      </c>
      <c r="N448" s="119">
        <f t="shared" si="236"/>
        <v>0</v>
      </c>
      <c r="O448" s="120">
        <f t="shared" si="237"/>
        <v>0</v>
      </c>
      <c r="P448" s="32"/>
      <c r="Q448" s="32"/>
      <c r="R448" s="32"/>
      <c r="S448" s="32"/>
    </row>
    <row r="449" spans="1:19" ht="15.6">
      <c r="A449" s="110" t="s">
        <v>803</v>
      </c>
      <c r="B449" s="111" t="s">
        <v>227</v>
      </c>
      <c r="C449" s="112" t="s">
        <v>449</v>
      </c>
      <c r="D449" s="113" t="s">
        <v>804</v>
      </c>
      <c r="E449" s="114" t="s">
        <v>14</v>
      </c>
      <c r="F449" s="115" t="s">
        <v>18</v>
      </c>
      <c r="G449" s="116">
        <v>6.86</v>
      </c>
      <c r="H449" s="125">
        <v>11.5</v>
      </c>
      <c r="I449" s="111">
        <v>9</v>
      </c>
      <c r="J449" s="117">
        <f t="shared" si="234"/>
        <v>0.71001000000000003</v>
      </c>
      <c r="K449" s="118"/>
      <c r="L449" s="111">
        <v>9</v>
      </c>
      <c r="M449" s="117">
        <f t="shared" si="235"/>
        <v>0.71001000000000003</v>
      </c>
      <c r="N449" s="119">
        <f t="shared" si="236"/>
        <v>0</v>
      </c>
      <c r="O449" s="120">
        <f t="shared" si="237"/>
        <v>0</v>
      </c>
      <c r="P449" s="32"/>
      <c r="Q449" s="32"/>
      <c r="R449" s="32"/>
      <c r="S449" s="32"/>
    </row>
    <row r="450" spans="1:19" ht="15.6">
      <c r="A450" s="110" t="s">
        <v>803</v>
      </c>
      <c r="B450" s="111" t="s">
        <v>227</v>
      </c>
      <c r="C450" s="112" t="s">
        <v>449</v>
      </c>
      <c r="D450" s="113" t="s">
        <v>804</v>
      </c>
      <c r="E450" s="114" t="s">
        <v>14</v>
      </c>
      <c r="F450" s="115" t="s">
        <v>18</v>
      </c>
      <c r="G450" s="116">
        <v>6.86</v>
      </c>
      <c r="H450" s="125">
        <v>12</v>
      </c>
      <c r="I450" s="111">
        <v>1</v>
      </c>
      <c r="J450" s="117">
        <f t="shared" si="234"/>
        <v>8.2320000000000004E-2</v>
      </c>
      <c r="K450" s="118"/>
      <c r="L450" s="111">
        <v>1</v>
      </c>
      <c r="M450" s="117">
        <f t="shared" si="235"/>
        <v>8.2320000000000004E-2</v>
      </c>
      <c r="N450" s="119">
        <f t="shared" si="236"/>
        <v>0</v>
      </c>
      <c r="O450" s="120">
        <f t="shared" si="237"/>
        <v>0</v>
      </c>
      <c r="P450" s="32"/>
      <c r="Q450" s="32"/>
      <c r="R450" s="32"/>
      <c r="S450" s="32"/>
    </row>
    <row r="451" spans="1:19" ht="15.6">
      <c r="A451" s="110" t="s">
        <v>803</v>
      </c>
      <c r="B451" s="111" t="s">
        <v>227</v>
      </c>
      <c r="C451" s="112" t="s">
        <v>449</v>
      </c>
      <c r="D451" s="113" t="s">
        <v>804</v>
      </c>
      <c r="E451" s="114" t="s">
        <v>14</v>
      </c>
      <c r="F451" s="115" t="s">
        <v>18</v>
      </c>
      <c r="G451" s="116">
        <v>6.86</v>
      </c>
      <c r="H451" s="125">
        <v>12</v>
      </c>
      <c r="I451" s="111">
        <v>4</v>
      </c>
      <c r="J451" s="117">
        <f t="shared" si="234"/>
        <v>0.32928000000000002</v>
      </c>
      <c r="K451" s="118"/>
      <c r="L451" s="111">
        <v>4</v>
      </c>
      <c r="M451" s="117">
        <f t="shared" si="235"/>
        <v>0.32928000000000002</v>
      </c>
      <c r="N451" s="119">
        <f t="shared" si="236"/>
        <v>0</v>
      </c>
      <c r="O451" s="120">
        <f t="shared" si="237"/>
        <v>0</v>
      </c>
      <c r="P451" s="32"/>
      <c r="Q451" s="32"/>
      <c r="R451" s="32"/>
      <c r="S451" s="32"/>
    </row>
    <row r="452" spans="1:19" ht="15.6">
      <c r="A452" s="110" t="s">
        <v>803</v>
      </c>
      <c r="B452" s="111" t="s">
        <v>227</v>
      </c>
      <c r="C452" s="112" t="s">
        <v>449</v>
      </c>
      <c r="D452" s="113" t="s">
        <v>804</v>
      </c>
      <c r="E452" s="114" t="s">
        <v>14</v>
      </c>
      <c r="F452" s="115" t="s">
        <v>18</v>
      </c>
      <c r="G452" s="116">
        <v>6.86</v>
      </c>
      <c r="H452" s="125">
        <v>8</v>
      </c>
      <c r="I452" s="111">
        <v>3</v>
      </c>
      <c r="J452" s="117">
        <f t="shared" si="234"/>
        <v>0.16464000000000001</v>
      </c>
      <c r="K452" s="118"/>
      <c r="L452" s="111">
        <v>3</v>
      </c>
      <c r="M452" s="117">
        <f t="shared" si="235"/>
        <v>0.16464000000000001</v>
      </c>
      <c r="N452" s="119">
        <f t="shared" si="236"/>
        <v>0</v>
      </c>
      <c r="O452" s="120">
        <f t="shared" si="237"/>
        <v>0</v>
      </c>
      <c r="P452" s="32"/>
      <c r="Q452" s="32"/>
      <c r="R452" s="32"/>
      <c r="S452" s="32"/>
    </row>
    <row r="453" spans="1:19" ht="15.6">
      <c r="A453" s="110" t="s">
        <v>803</v>
      </c>
      <c r="B453" s="111" t="s">
        <v>227</v>
      </c>
      <c r="C453" s="112" t="s">
        <v>449</v>
      </c>
      <c r="D453" s="113" t="s">
        <v>804</v>
      </c>
      <c r="E453" s="114" t="s">
        <v>14</v>
      </c>
      <c r="F453" s="115" t="s">
        <v>18</v>
      </c>
      <c r="G453" s="116">
        <v>6.86</v>
      </c>
      <c r="H453" s="125">
        <v>11.5</v>
      </c>
      <c r="I453" s="111">
        <v>1</v>
      </c>
      <c r="J453" s="117">
        <f t="shared" si="234"/>
        <v>7.8890000000000002E-2</v>
      </c>
      <c r="K453" s="118"/>
      <c r="L453" s="111">
        <v>1</v>
      </c>
      <c r="M453" s="117">
        <f t="shared" si="235"/>
        <v>7.8890000000000002E-2</v>
      </c>
      <c r="N453" s="119">
        <f t="shared" si="236"/>
        <v>0</v>
      </c>
      <c r="O453" s="120">
        <f t="shared" si="237"/>
        <v>0</v>
      </c>
      <c r="P453" s="32">
        <v>10</v>
      </c>
      <c r="Q453" s="32">
        <v>1</v>
      </c>
      <c r="R453" s="32"/>
      <c r="S453" s="32"/>
    </row>
    <row r="454" spans="1:19" ht="15.6">
      <c r="A454" s="110" t="s">
        <v>803</v>
      </c>
      <c r="B454" s="111" t="s">
        <v>227</v>
      </c>
      <c r="C454" s="112" t="s">
        <v>449</v>
      </c>
      <c r="D454" s="113" t="s">
        <v>804</v>
      </c>
      <c r="E454" s="114" t="s">
        <v>14</v>
      </c>
      <c r="F454" s="115" t="s">
        <v>18</v>
      </c>
      <c r="G454" s="116">
        <v>6.86</v>
      </c>
      <c r="H454" s="125">
        <v>9.8000000000000007</v>
      </c>
      <c r="I454" s="111">
        <v>1</v>
      </c>
      <c r="J454" s="117">
        <f t="shared" si="234"/>
        <v>6.722800000000001E-2</v>
      </c>
      <c r="K454" s="118"/>
      <c r="L454" s="111"/>
      <c r="M454" s="117">
        <f t="shared" si="235"/>
        <v>0</v>
      </c>
      <c r="N454" s="119">
        <f t="shared" si="236"/>
        <v>1</v>
      </c>
      <c r="O454" s="120">
        <f>H454*N454*G454/1000</f>
        <v>6.722800000000001E-2</v>
      </c>
      <c r="P454" s="32"/>
      <c r="Q454" s="32"/>
      <c r="R454" s="32"/>
      <c r="S454" s="32"/>
    </row>
    <row r="455" spans="1:19" ht="15.6">
      <c r="A455" s="110" t="s">
        <v>803</v>
      </c>
      <c r="B455" s="111" t="s">
        <v>227</v>
      </c>
      <c r="C455" s="112" t="s">
        <v>449</v>
      </c>
      <c r="D455" s="113" t="s">
        <v>804</v>
      </c>
      <c r="E455" s="114" t="s">
        <v>14</v>
      </c>
      <c r="F455" s="115" t="s">
        <v>18</v>
      </c>
      <c r="G455" s="116">
        <v>6.86</v>
      </c>
      <c r="H455" s="125">
        <v>9.6</v>
      </c>
      <c r="I455" s="111">
        <v>1</v>
      </c>
      <c r="J455" s="117">
        <f t="shared" si="234"/>
        <v>6.5855999999999998E-2</v>
      </c>
      <c r="K455" s="118"/>
      <c r="L455" s="111"/>
      <c r="M455" s="117">
        <f t="shared" si="235"/>
        <v>0</v>
      </c>
      <c r="N455" s="119">
        <f t="shared" si="236"/>
        <v>1</v>
      </c>
      <c r="O455" s="120">
        <f>H455*N455*G455/1000</f>
        <v>6.5855999999999998E-2</v>
      </c>
      <c r="P455" s="32"/>
      <c r="Q455" s="32"/>
      <c r="R455" s="32"/>
      <c r="S455" s="32"/>
    </row>
    <row r="456" spans="1:19">
      <c r="I456" s="215">
        <f>SUM(I444:I455)</f>
        <v>78</v>
      </c>
      <c r="J456" s="128">
        <f>SUM(J444:J455)</f>
        <v>5.8152220000000012</v>
      </c>
      <c r="L456" s="215">
        <f>SUM(L444:L455)</f>
        <v>67</v>
      </c>
      <c r="M456" s="128">
        <f>SUM(M444:M455)</f>
        <v>4.9721280000000005</v>
      </c>
      <c r="N456" s="78">
        <f>SUM(N444:N455)</f>
        <v>11</v>
      </c>
      <c r="O456" s="128">
        <f>SUM(O444:O455)</f>
        <v>0.84309400000000012</v>
      </c>
    </row>
    <row r="458" spans="1:19" ht="15.6">
      <c r="A458" s="110" t="s">
        <v>803</v>
      </c>
      <c r="B458" s="111" t="s">
        <v>227</v>
      </c>
      <c r="C458" s="112" t="s">
        <v>449</v>
      </c>
      <c r="D458" s="113" t="s">
        <v>804</v>
      </c>
      <c r="E458" s="114" t="s">
        <v>14</v>
      </c>
      <c r="F458" s="115" t="s">
        <v>23</v>
      </c>
      <c r="G458" s="116">
        <v>9</v>
      </c>
      <c r="H458" s="125">
        <v>11.5</v>
      </c>
      <c r="I458" s="111">
        <v>30</v>
      </c>
      <c r="J458" s="117">
        <f t="shared" ref="J458" si="238">H458*G458*I458/1000</f>
        <v>3.105</v>
      </c>
      <c r="K458" s="118"/>
      <c r="L458" s="111">
        <v>30</v>
      </c>
      <c r="M458" s="117">
        <f t="shared" ref="M458" si="239">H458*L458*G458/1000</f>
        <v>3.105</v>
      </c>
      <c r="N458" s="119">
        <f t="shared" ref="N458" si="240">I458-L458</f>
        <v>0</v>
      </c>
      <c r="O458" s="120">
        <f t="shared" ref="O458" si="241">H458*N458*G458/1000</f>
        <v>0</v>
      </c>
      <c r="P458" s="32"/>
      <c r="Q458" s="32"/>
      <c r="R458" s="32"/>
    </row>
    <row r="459" spans="1:19" ht="15.6">
      <c r="A459" s="110" t="s">
        <v>803</v>
      </c>
      <c r="B459" s="111" t="s">
        <v>227</v>
      </c>
      <c r="C459" s="112" t="s">
        <v>449</v>
      </c>
      <c r="D459" s="113" t="s">
        <v>804</v>
      </c>
      <c r="E459" s="114" t="s">
        <v>14</v>
      </c>
      <c r="F459" s="115" t="s">
        <v>23</v>
      </c>
      <c r="G459" s="116">
        <v>9</v>
      </c>
      <c r="H459" s="125">
        <v>11.5</v>
      </c>
      <c r="I459" s="111">
        <v>30</v>
      </c>
      <c r="J459" s="117">
        <f t="shared" ref="J459:J487" si="242">H459*G459*I459/1000</f>
        <v>3.105</v>
      </c>
      <c r="K459" s="118"/>
      <c r="L459" s="111">
        <v>30</v>
      </c>
      <c r="M459" s="117">
        <f t="shared" ref="M459:M487" si="243">H459*L459*G459/1000</f>
        <v>3.105</v>
      </c>
      <c r="N459" s="119">
        <f t="shared" ref="N459:N487" si="244">I459-L459</f>
        <v>0</v>
      </c>
      <c r="O459" s="120">
        <f t="shared" ref="O459:O487" si="245">H459*N459*G459/1000</f>
        <v>0</v>
      </c>
      <c r="P459" s="32"/>
      <c r="Q459" s="32"/>
      <c r="R459" s="32"/>
    </row>
    <row r="460" spans="1:19" ht="15.6">
      <c r="A460" s="110" t="s">
        <v>803</v>
      </c>
      <c r="B460" s="111" t="s">
        <v>227</v>
      </c>
      <c r="C460" s="112" t="s">
        <v>449</v>
      </c>
      <c r="D460" s="113" t="s">
        <v>804</v>
      </c>
      <c r="E460" s="114" t="s">
        <v>14</v>
      </c>
      <c r="F460" s="115" t="s">
        <v>23</v>
      </c>
      <c r="G460" s="116">
        <v>9</v>
      </c>
      <c r="H460" s="125">
        <v>11</v>
      </c>
      <c r="I460" s="111">
        <v>4</v>
      </c>
      <c r="J460" s="117">
        <f t="shared" si="242"/>
        <v>0.39600000000000002</v>
      </c>
      <c r="K460" s="118"/>
      <c r="L460" s="111">
        <v>4</v>
      </c>
      <c r="M460" s="117">
        <f t="shared" si="243"/>
        <v>0.39600000000000002</v>
      </c>
      <c r="N460" s="119">
        <f t="shared" si="244"/>
        <v>0</v>
      </c>
      <c r="O460" s="120">
        <f t="shared" si="245"/>
        <v>0</v>
      </c>
      <c r="P460" s="32"/>
      <c r="Q460" s="32"/>
      <c r="R460" s="32"/>
    </row>
    <row r="461" spans="1:19" ht="15.6">
      <c r="A461" s="110" t="s">
        <v>803</v>
      </c>
      <c r="B461" s="111" t="s">
        <v>227</v>
      </c>
      <c r="C461" s="112" t="s">
        <v>449</v>
      </c>
      <c r="D461" s="113" t="s">
        <v>804</v>
      </c>
      <c r="E461" s="114" t="s">
        <v>14</v>
      </c>
      <c r="F461" s="115" t="s">
        <v>23</v>
      </c>
      <c r="G461" s="116">
        <v>9</v>
      </c>
      <c r="H461" s="125">
        <v>11.5</v>
      </c>
      <c r="I461" s="111">
        <v>21</v>
      </c>
      <c r="J461" s="117">
        <f t="shared" si="242"/>
        <v>2.1735000000000002</v>
      </c>
      <c r="K461" s="118"/>
      <c r="L461" s="111">
        <v>21</v>
      </c>
      <c r="M461" s="117">
        <f t="shared" si="243"/>
        <v>2.1735000000000002</v>
      </c>
      <c r="N461" s="119">
        <f t="shared" si="244"/>
        <v>0</v>
      </c>
      <c r="O461" s="120">
        <f t="shared" si="245"/>
        <v>0</v>
      </c>
      <c r="P461" s="32"/>
      <c r="Q461" s="32"/>
      <c r="R461" s="32"/>
    </row>
    <row r="462" spans="1:19" ht="15.6">
      <c r="A462" s="110" t="s">
        <v>803</v>
      </c>
      <c r="B462" s="111" t="s">
        <v>227</v>
      </c>
      <c r="C462" s="112" t="s">
        <v>449</v>
      </c>
      <c r="D462" s="113" t="s">
        <v>804</v>
      </c>
      <c r="E462" s="114" t="s">
        <v>14</v>
      </c>
      <c r="F462" s="115" t="s">
        <v>23</v>
      </c>
      <c r="G462" s="116">
        <v>9</v>
      </c>
      <c r="H462" s="125">
        <v>12</v>
      </c>
      <c r="I462" s="111">
        <v>4</v>
      </c>
      <c r="J462" s="117">
        <f t="shared" si="242"/>
        <v>0.432</v>
      </c>
      <c r="K462" s="118"/>
      <c r="L462" s="111">
        <v>4</v>
      </c>
      <c r="M462" s="117">
        <f t="shared" si="243"/>
        <v>0.432</v>
      </c>
      <c r="N462" s="119">
        <f t="shared" si="244"/>
        <v>0</v>
      </c>
      <c r="O462" s="120">
        <f t="shared" si="245"/>
        <v>0</v>
      </c>
      <c r="P462" s="32"/>
      <c r="Q462" s="32"/>
      <c r="R462" s="32"/>
    </row>
    <row r="463" spans="1:19" ht="15.6">
      <c r="A463" s="110" t="s">
        <v>803</v>
      </c>
      <c r="B463" s="111" t="s">
        <v>227</v>
      </c>
      <c r="C463" s="112" t="s">
        <v>449</v>
      </c>
      <c r="D463" s="113" t="s">
        <v>804</v>
      </c>
      <c r="E463" s="114" t="s">
        <v>14</v>
      </c>
      <c r="F463" s="115" t="s">
        <v>23</v>
      </c>
      <c r="G463" s="116">
        <v>9</v>
      </c>
      <c r="H463" s="125">
        <v>13</v>
      </c>
      <c r="I463" s="111">
        <v>2</v>
      </c>
      <c r="J463" s="117">
        <f t="shared" si="242"/>
        <v>0.23400000000000001</v>
      </c>
      <c r="K463" s="118"/>
      <c r="L463" s="111">
        <v>2</v>
      </c>
      <c r="M463" s="117">
        <f t="shared" si="243"/>
        <v>0.23400000000000001</v>
      </c>
      <c r="N463" s="119">
        <f t="shared" si="244"/>
        <v>0</v>
      </c>
      <c r="O463" s="120">
        <f t="shared" si="245"/>
        <v>0</v>
      </c>
      <c r="P463" s="32"/>
      <c r="Q463" s="32"/>
      <c r="R463" s="32"/>
    </row>
    <row r="464" spans="1:19" ht="15.6">
      <c r="A464" s="110" t="s">
        <v>803</v>
      </c>
      <c r="B464" s="111" t="s">
        <v>227</v>
      </c>
      <c r="C464" s="112" t="s">
        <v>449</v>
      </c>
      <c r="D464" s="113" t="s">
        <v>804</v>
      </c>
      <c r="E464" s="114" t="s">
        <v>14</v>
      </c>
      <c r="F464" s="115" t="s">
        <v>23</v>
      </c>
      <c r="G464" s="116">
        <v>9</v>
      </c>
      <c r="H464" s="125">
        <v>11.5</v>
      </c>
      <c r="I464" s="111">
        <v>29</v>
      </c>
      <c r="J464" s="117">
        <f t="shared" si="242"/>
        <v>3.0015000000000001</v>
      </c>
      <c r="K464" s="118"/>
      <c r="L464" s="111">
        <v>29</v>
      </c>
      <c r="M464" s="117">
        <f t="shared" si="243"/>
        <v>3.0015000000000001</v>
      </c>
      <c r="N464" s="119">
        <f t="shared" si="244"/>
        <v>0</v>
      </c>
      <c r="O464" s="120">
        <f t="shared" si="245"/>
        <v>0</v>
      </c>
      <c r="P464" s="32"/>
      <c r="Q464" s="32"/>
      <c r="R464" s="32"/>
    </row>
    <row r="465" spans="1:18" ht="15.6">
      <c r="A465" s="110" t="s">
        <v>803</v>
      </c>
      <c r="B465" s="111" t="s">
        <v>227</v>
      </c>
      <c r="C465" s="112" t="s">
        <v>449</v>
      </c>
      <c r="D465" s="113" t="s">
        <v>804</v>
      </c>
      <c r="E465" s="114" t="s">
        <v>14</v>
      </c>
      <c r="F465" s="115" t="s">
        <v>23</v>
      </c>
      <c r="G465" s="116">
        <v>9</v>
      </c>
      <c r="H465" s="125">
        <v>12</v>
      </c>
      <c r="I465" s="111">
        <v>5</v>
      </c>
      <c r="J465" s="117">
        <f t="shared" si="242"/>
        <v>0.54</v>
      </c>
      <c r="K465" s="118"/>
      <c r="L465" s="111">
        <v>5</v>
      </c>
      <c r="M465" s="117">
        <f t="shared" si="243"/>
        <v>0.54</v>
      </c>
      <c r="N465" s="119">
        <f t="shared" si="244"/>
        <v>0</v>
      </c>
      <c r="O465" s="120">
        <f t="shared" si="245"/>
        <v>0</v>
      </c>
      <c r="P465" s="32"/>
      <c r="Q465" s="32"/>
      <c r="R465" s="32"/>
    </row>
    <row r="466" spans="1:18" ht="15.6">
      <c r="A466" s="110" t="s">
        <v>803</v>
      </c>
      <c r="B466" s="111" t="s">
        <v>227</v>
      </c>
      <c r="C466" s="112" t="s">
        <v>449</v>
      </c>
      <c r="D466" s="113" t="s">
        <v>804</v>
      </c>
      <c r="E466" s="114" t="s">
        <v>14</v>
      </c>
      <c r="F466" s="115" t="s">
        <v>23</v>
      </c>
      <c r="G466" s="116">
        <v>9</v>
      </c>
      <c r="H466" s="125">
        <v>11.5</v>
      </c>
      <c r="I466" s="111">
        <v>18</v>
      </c>
      <c r="J466" s="117">
        <f t="shared" si="242"/>
        <v>1.863</v>
      </c>
      <c r="K466" s="118"/>
      <c r="L466" s="111">
        <v>18</v>
      </c>
      <c r="M466" s="117">
        <f t="shared" si="243"/>
        <v>1.863</v>
      </c>
      <c r="N466" s="119">
        <f t="shared" si="244"/>
        <v>0</v>
      </c>
      <c r="O466" s="120">
        <f t="shared" si="245"/>
        <v>0</v>
      </c>
      <c r="P466" s="32"/>
      <c r="Q466" s="32"/>
      <c r="R466" s="32"/>
    </row>
    <row r="467" spans="1:18" ht="15.6">
      <c r="A467" s="110" t="s">
        <v>803</v>
      </c>
      <c r="B467" s="111" t="s">
        <v>227</v>
      </c>
      <c r="C467" s="112" t="s">
        <v>449</v>
      </c>
      <c r="D467" s="113" t="s">
        <v>804</v>
      </c>
      <c r="E467" s="114" t="s">
        <v>14</v>
      </c>
      <c r="F467" s="115" t="s">
        <v>23</v>
      </c>
      <c r="G467" s="116">
        <v>9</v>
      </c>
      <c r="H467" s="125">
        <v>12</v>
      </c>
      <c r="I467" s="111">
        <v>1</v>
      </c>
      <c r="J467" s="117">
        <f t="shared" si="242"/>
        <v>0.108</v>
      </c>
      <c r="K467" s="118"/>
      <c r="L467" s="111">
        <v>1</v>
      </c>
      <c r="M467" s="117">
        <f t="shared" si="243"/>
        <v>0.108</v>
      </c>
      <c r="N467" s="119">
        <f t="shared" si="244"/>
        <v>0</v>
      </c>
      <c r="O467" s="120">
        <f t="shared" si="245"/>
        <v>0</v>
      </c>
      <c r="P467" s="32"/>
      <c r="Q467" s="32"/>
      <c r="R467" s="32"/>
    </row>
    <row r="468" spans="1:18" ht="15.6">
      <c r="A468" s="110" t="s">
        <v>803</v>
      </c>
      <c r="B468" s="111" t="s">
        <v>227</v>
      </c>
      <c r="C468" s="112" t="s">
        <v>449</v>
      </c>
      <c r="D468" s="113" t="s">
        <v>804</v>
      </c>
      <c r="E468" s="114" t="s">
        <v>14</v>
      </c>
      <c r="F468" s="115" t="s">
        <v>23</v>
      </c>
      <c r="G468" s="116">
        <v>9</v>
      </c>
      <c r="H468" s="125">
        <v>11.5</v>
      </c>
      <c r="I468" s="111">
        <v>30</v>
      </c>
      <c r="J468" s="117">
        <f t="shared" si="242"/>
        <v>3.105</v>
      </c>
      <c r="K468" s="118"/>
      <c r="L468" s="111">
        <v>30</v>
      </c>
      <c r="M468" s="117">
        <f t="shared" si="243"/>
        <v>3.105</v>
      </c>
      <c r="N468" s="119">
        <f t="shared" si="244"/>
        <v>0</v>
      </c>
      <c r="O468" s="120">
        <f t="shared" si="245"/>
        <v>0</v>
      </c>
      <c r="P468" s="32"/>
      <c r="Q468" s="32"/>
      <c r="R468" s="32"/>
    </row>
    <row r="469" spans="1:18" ht="15.6">
      <c r="A469" s="110" t="s">
        <v>803</v>
      </c>
      <c r="B469" s="111" t="s">
        <v>227</v>
      </c>
      <c r="C469" s="112" t="s">
        <v>449</v>
      </c>
      <c r="D469" s="113" t="s">
        <v>804</v>
      </c>
      <c r="E469" s="114" t="s">
        <v>14</v>
      </c>
      <c r="F469" s="115" t="s">
        <v>23</v>
      </c>
      <c r="G469" s="116">
        <v>9</v>
      </c>
      <c r="H469" s="125">
        <v>13</v>
      </c>
      <c r="I469" s="111">
        <v>27</v>
      </c>
      <c r="J469" s="117">
        <f t="shared" si="242"/>
        <v>3.1589999999999998</v>
      </c>
      <c r="K469" s="118"/>
      <c r="L469" s="111">
        <v>27</v>
      </c>
      <c r="M469" s="117">
        <f t="shared" si="243"/>
        <v>3.1589999999999998</v>
      </c>
      <c r="N469" s="119">
        <f t="shared" si="244"/>
        <v>0</v>
      </c>
      <c r="O469" s="120">
        <f t="shared" si="245"/>
        <v>0</v>
      </c>
      <c r="P469" s="32"/>
      <c r="Q469" s="32"/>
      <c r="R469" s="32"/>
    </row>
    <row r="470" spans="1:18" ht="15.6">
      <c r="A470" s="110" t="s">
        <v>803</v>
      </c>
      <c r="B470" s="111" t="s">
        <v>227</v>
      </c>
      <c r="C470" s="112" t="s">
        <v>449</v>
      </c>
      <c r="D470" s="113" t="s">
        <v>804</v>
      </c>
      <c r="E470" s="114" t="s">
        <v>14</v>
      </c>
      <c r="F470" s="115" t="s">
        <v>23</v>
      </c>
      <c r="G470" s="116">
        <v>9</v>
      </c>
      <c r="H470" s="125">
        <v>11.5</v>
      </c>
      <c r="I470" s="111">
        <v>30</v>
      </c>
      <c r="J470" s="117">
        <f t="shared" si="242"/>
        <v>3.105</v>
      </c>
      <c r="K470" s="118"/>
      <c r="L470" s="111">
        <v>30</v>
      </c>
      <c r="M470" s="117">
        <f t="shared" si="243"/>
        <v>3.105</v>
      </c>
      <c r="N470" s="119">
        <f t="shared" si="244"/>
        <v>0</v>
      </c>
      <c r="O470" s="120">
        <f t="shared" si="245"/>
        <v>0</v>
      </c>
      <c r="P470" s="32"/>
      <c r="Q470" s="32"/>
      <c r="R470" s="32"/>
    </row>
    <row r="471" spans="1:18" ht="15.6">
      <c r="A471" s="110" t="s">
        <v>803</v>
      </c>
      <c r="B471" s="111" t="s">
        <v>227</v>
      </c>
      <c r="C471" s="112" t="s">
        <v>449</v>
      </c>
      <c r="D471" s="113" t="s">
        <v>804</v>
      </c>
      <c r="E471" s="114" t="s">
        <v>14</v>
      </c>
      <c r="F471" s="115" t="s">
        <v>23</v>
      </c>
      <c r="G471" s="116">
        <v>9</v>
      </c>
      <c r="H471" s="125">
        <v>11.5</v>
      </c>
      <c r="I471" s="111">
        <v>30</v>
      </c>
      <c r="J471" s="117">
        <f t="shared" si="242"/>
        <v>3.105</v>
      </c>
      <c r="K471" s="118"/>
      <c r="L471" s="111">
        <v>30</v>
      </c>
      <c r="M471" s="117">
        <f t="shared" si="243"/>
        <v>3.105</v>
      </c>
      <c r="N471" s="119">
        <f t="shared" si="244"/>
        <v>0</v>
      </c>
      <c r="O471" s="120">
        <f t="shared" si="245"/>
        <v>0</v>
      </c>
      <c r="P471" s="32"/>
      <c r="Q471" s="32"/>
      <c r="R471" s="32"/>
    </row>
    <row r="472" spans="1:18" ht="15.6">
      <c r="A472" s="110" t="s">
        <v>803</v>
      </c>
      <c r="B472" s="111" t="s">
        <v>227</v>
      </c>
      <c r="C472" s="112" t="s">
        <v>449</v>
      </c>
      <c r="D472" s="113" t="s">
        <v>804</v>
      </c>
      <c r="E472" s="114" t="s">
        <v>14</v>
      </c>
      <c r="F472" s="115" t="s">
        <v>23</v>
      </c>
      <c r="G472" s="116">
        <v>9</v>
      </c>
      <c r="H472" s="125">
        <v>11.5</v>
      </c>
      <c r="I472" s="111">
        <v>31</v>
      </c>
      <c r="J472" s="117">
        <f t="shared" si="242"/>
        <v>3.2084999999999999</v>
      </c>
      <c r="K472" s="118"/>
      <c r="L472" s="111">
        <v>31</v>
      </c>
      <c r="M472" s="117">
        <f t="shared" si="243"/>
        <v>3.2084999999999999</v>
      </c>
      <c r="N472" s="119">
        <f t="shared" si="244"/>
        <v>0</v>
      </c>
      <c r="O472" s="120">
        <f t="shared" si="245"/>
        <v>0</v>
      </c>
      <c r="P472" s="32"/>
      <c r="Q472" s="32"/>
      <c r="R472" s="32"/>
    </row>
    <row r="473" spans="1:18" ht="15.6">
      <c r="A473" s="110" t="s">
        <v>803</v>
      </c>
      <c r="B473" s="111" t="s">
        <v>227</v>
      </c>
      <c r="C473" s="112" t="s">
        <v>449</v>
      </c>
      <c r="D473" s="113" t="s">
        <v>804</v>
      </c>
      <c r="E473" s="114" t="s">
        <v>14</v>
      </c>
      <c r="F473" s="115" t="s">
        <v>23</v>
      </c>
      <c r="G473" s="116">
        <v>9</v>
      </c>
      <c r="H473" s="125">
        <v>13</v>
      </c>
      <c r="I473" s="111">
        <v>29</v>
      </c>
      <c r="J473" s="117">
        <f t="shared" si="242"/>
        <v>3.3929999999999998</v>
      </c>
      <c r="K473" s="118"/>
      <c r="L473" s="111">
        <v>29</v>
      </c>
      <c r="M473" s="117">
        <f t="shared" si="243"/>
        <v>3.3929999999999998</v>
      </c>
      <c r="N473" s="119">
        <f t="shared" si="244"/>
        <v>0</v>
      </c>
      <c r="O473" s="120">
        <f t="shared" si="245"/>
        <v>0</v>
      </c>
      <c r="P473" s="32"/>
      <c r="Q473" s="32"/>
      <c r="R473" s="32"/>
    </row>
    <row r="474" spans="1:18" ht="15.6">
      <c r="A474" s="110" t="s">
        <v>803</v>
      </c>
      <c r="B474" s="111" t="s">
        <v>227</v>
      </c>
      <c r="C474" s="112" t="s">
        <v>449</v>
      </c>
      <c r="D474" s="113" t="s">
        <v>804</v>
      </c>
      <c r="E474" s="114" t="s">
        <v>14</v>
      </c>
      <c r="F474" s="115" t="s">
        <v>23</v>
      </c>
      <c r="G474" s="116">
        <v>9</v>
      </c>
      <c r="H474" s="125">
        <v>11</v>
      </c>
      <c r="I474" s="111">
        <v>30</v>
      </c>
      <c r="J474" s="117">
        <f t="shared" si="242"/>
        <v>2.97</v>
      </c>
      <c r="K474" s="118"/>
      <c r="L474" s="111">
        <v>30</v>
      </c>
      <c r="M474" s="117">
        <f t="shared" si="243"/>
        <v>2.97</v>
      </c>
      <c r="N474" s="119">
        <f t="shared" si="244"/>
        <v>0</v>
      </c>
      <c r="O474" s="120">
        <f t="shared" si="245"/>
        <v>0</v>
      </c>
      <c r="P474" s="32"/>
      <c r="Q474" s="32"/>
      <c r="R474" s="32"/>
    </row>
    <row r="475" spans="1:18" ht="15.6">
      <c r="A475" s="110" t="s">
        <v>803</v>
      </c>
      <c r="B475" s="111" t="s">
        <v>227</v>
      </c>
      <c r="C475" s="112" t="s">
        <v>449</v>
      </c>
      <c r="D475" s="113" t="s">
        <v>804</v>
      </c>
      <c r="E475" s="114" t="s">
        <v>14</v>
      </c>
      <c r="F475" s="115" t="s">
        <v>23</v>
      </c>
      <c r="G475" s="116">
        <v>9</v>
      </c>
      <c r="H475" s="125">
        <v>11.5</v>
      </c>
      <c r="I475" s="111">
        <v>30</v>
      </c>
      <c r="J475" s="117">
        <f t="shared" si="242"/>
        <v>3.105</v>
      </c>
      <c r="K475" s="118"/>
      <c r="L475" s="111">
        <v>30</v>
      </c>
      <c r="M475" s="117">
        <f t="shared" si="243"/>
        <v>3.105</v>
      </c>
      <c r="N475" s="119">
        <f t="shared" si="244"/>
        <v>0</v>
      </c>
      <c r="O475" s="120">
        <f t="shared" si="245"/>
        <v>0</v>
      </c>
      <c r="P475" s="32"/>
      <c r="Q475" s="32"/>
      <c r="R475" s="32"/>
    </row>
    <row r="476" spans="1:18" ht="15.6">
      <c r="A476" s="110" t="s">
        <v>803</v>
      </c>
      <c r="B476" s="111" t="s">
        <v>227</v>
      </c>
      <c r="C476" s="112" t="s">
        <v>449</v>
      </c>
      <c r="D476" s="113" t="s">
        <v>804</v>
      </c>
      <c r="E476" s="114" t="s">
        <v>14</v>
      </c>
      <c r="F476" s="115" t="s">
        <v>23</v>
      </c>
      <c r="G476" s="116">
        <v>9</v>
      </c>
      <c r="H476" s="125">
        <v>12</v>
      </c>
      <c r="I476" s="111">
        <v>26</v>
      </c>
      <c r="J476" s="117">
        <f t="shared" si="242"/>
        <v>2.8079999999999998</v>
      </c>
      <c r="K476" s="118"/>
      <c r="L476" s="111">
        <v>26</v>
      </c>
      <c r="M476" s="117">
        <f t="shared" si="243"/>
        <v>2.8079999999999998</v>
      </c>
      <c r="N476" s="119">
        <f t="shared" si="244"/>
        <v>0</v>
      </c>
      <c r="O476" s="120">
        <f t="shared" si="245"/>
        <v>0</v>
      </c>
      <c r="P476" s="32"/>
      <c r="Q476" s="32"/>
      <c r="R476" s="32"/>
    </row>
    <row r="477" spans="1:18" ht="15.6">
      <c r="A477" s="110" t="s">
        <v>803</v>
      </c>
      <c r="B477" s="111" t="s">
        <v>227</v>
      </c>
      <c r="C477" s="112" t="s">
        <v>449</v>
      </c>
      <c r="D477" s="113" t="s">
        <v>804</v>
      </c>
      <c r="E477" s="114" t="s">
        <v>14</v>
      </c>
      <c r="F477" s="115" t="s">
        <v>23</v>
      </c>
      <c r="G477" s="116">
        <v>9</v>
      </c>
      <c r="H477" s="125">
        <v>13</v>
      </c>
      <c r="I477" s="111">
        <v>12</v>
      </c>
      <c r="J477" s="117">
        <f t="shared" si="242"/>
        <v>1.4039999999999999</v>
      </c>
      <c r="K477" s="118"/>
      <c r="L477" s="111">
        <v>12</v>
      </c>
      <c r="M477" s="117">
        <f t="shared" si="243"/>
        <v>1.4039999999999999</v>
      </c>
      <c r="N477" s="119">
        <f t="shared" si="244"/>
        <v>0</v>
      </c>
      <c r="O477" s="120">
        <f t="shared" si="245"/>
        <v>0</v>
      </c>
      <c r="P477" s="32"/>
      <c r="Q477" s="32"/>
      <c r="R477" s="32"/>
    </row>
    <row r="478" spans="1:18" ht="15.6">
      <c r="A478" s="110" t="s">
        <v>803</v>
      </c>
      <c r="B478" s="111" t="s">
        <v>227</v>
      </c>
      <c r="C478" s="112" t="s">
        <v>449</v>
      </c>
      <c r="D478" s="113" t="s">
        <v>804</v>
      </c>
      <c r="E478" s="114" t="s">
        <v>14</v>
      </c>
      <c r="F478" s="115" t="s">
        <v>23</v>
      </c>
      <c r="G478" s="116">
        <v>9</v>
      </c>
      <c r="H478" s="125">
        <v>11.5</v>
      </c>
      <c r="I478" s="111">
        <v>14</v>
      </c>
      <c r="J478" s="117">
        <f t="shared" si="242"/>
        <v>1.4490000000000001</v>
      </c>
      <c r="K478" s="118"/>
      <c r="L478" s="111">
        <v>14</v>
      </c>
      <c r="M478" s="117">
        <f t="shared" si="243"/>
        <v>1.4490000000000001</v>
      </c>
      <c r="N478" s="119">
        <f t="shared" si="244"/>
        <v>0</v>
      </c>
      <c r="O478" s="120">
        <f t="shared" si="245"/>
        <v>0</v>
      </c>
      <c r="P478" s="32"/>
      <c r="Q478" s="32"/>
      <c r="R478" s="32"/>
    </row>
    <row r="479" spans="1:18" ht="15.6">
      <c r="A479" s="110" t="s">
        <v>803</v>
      </c>
      <c r="B479" s="111" t="s">
        <v>227</v>
      </c>
      <c r="C479" s="112" t="s">
        <v>449</v>
      </c>
      <c r="D479" s="113" t="s">
        <v>804</v>
      </c>
      <c r="E479" s="114" t="s">
        <v>14</v>
      </c>
      <c r="F479" s="115" t="s">
        <v>23</v>
      </c>
      <c r="G479" s="116">
        <v>9</v>
      </c>
      <c r="H479" s="125">
        <v>11</v>
      </c>
      <c r="I479" s="111">
        <v>9</v>
      </c>
      <c r="J479" s="117">
        <f t="shared" si="242"/>
        <v>0.89100000000000001</v>
      </c>
      <c r="K479" s="118"/>
      <c r="L479" s="111">
        <v>9</v>
      </c>
      <c r="M479" s="117">
        <f t="shared" si="243"/>
        <v>0.89100000000000001</v>
      </c>
      <c r="N479" s="119">
        <f t="shared" si="244"/>
        <v>0</v>
      </c>
      <c r="O479" s="120">
        <f t="shared" si="245"/>
        <v>0</v>
      </c>
      <c r="P479" s="32"/>
      <c r="Q479" s="32"/>
      <c r="R479" s="32"/>
    </row>
    <row r="480" spans="1:18" ht="15.6">
      <c r="A480" s="110" t="s">
        <v>803</v>
      </c>
      <c r="B480" s="111" t="s">
        <v>227</v>
      </c>
      <c r="C480" s="112" t="s">
        <v>449</v>
      </c>
      <c r="D480" s="113" t="s">
        <v>804</v>
      </c>
      <c r="E480" s="114" t="s">
        <v>14</v>
      </c>
      <c r="F480" s="115" t="s">
        <v>23</v>
      </c>
      <c r="G480" s="116">
        <v>9</v>
      </c>
      <c r="H480" s="125">
        <v>11.5</v>
      </c>
      <c r="I480" s="111">
        <v>1</v>
      </c>
      <c r="J480" s="117">
        <f t="shared" si="242"/>
        <v>0.10349999999999999</v>
      </c>
      <c r="K480" s="118"/>
      <c r="L480" s="111">
        <v>1</v>
      </c>
      <c r="M480" s="117">
        <f t="shared" si="243"/>
        <v>0.10349999999999999</v>
      </c>
      <c r="N480" s="119">
        <f t="shared" si="244"/>
        <v>0</v>
      </c>
      <c r="O480" s="120">
        <f t="shared" si="245"/>
        <v>0</v>
      </c>
      <c r="P480" s="32"/>
      <c r="Q480" s="32"/>
      <c r="R480" s="32"/>
    </row>
    <row r="481" spans="1:18" ht="15.6">
      <c r="A481" s="110" t="s">
        <v>803</v>
      </c>
      <c r="B481" s="111" t="s">
        <v>227</v>
      </c>
      <c r="C481" s="112" t="s">
        <v>449</v>
      </c>
      <c r="D481" s="113" t="s">
        <v>804</v>
      </c>
      <c r="E481" s="114" t="s">
        <v>14</v>
      </c>
      <c r="F481" s="115" t="s">
        <v>23</v>
      </c>
      <c r="G481" s="116">
        <v>9</v>
      </c>
      <c r="H481" s="125">
        <v>12</v>
      </c>
      <c r="I481" s="111">
        <v>1</v>
      </c>
      <c r="J481" s="117">
        <f t="shared" si="242"/>
        <v>0.108</v>
      </c>
      <c r="K481" s="118"/>
      <c r="L481" s="111">
        <v>1</v>
      </c>
      <c r="M481" s="117">
        <f t="shared" si="243"/>
        <v>0.108</v>
      </c>
      <c r="N481" s="119">
        <f t="shared" si="244"/>
        <v>0</v>
      </c>
      <c r="O481" s="120">
        <f t="shared" si="245"/>
        <v>0</v>
      </c>
      <c r="P481" s="32"/>
      <c r="Q481" s="32"/>
      <c r="R481" s="32"/>
    </row>
    <row r="482" spans="1:18" ht="15.6">
      <c r="A482" s="110" t="s">
        <v>803</v>
      </c>
      <c r="B482" s="111" t="s">
        <v>227</v>
      </c>
      <c r="C482" s="112" t="s">
        <v>449</v>
      </c>
      <c r="D482" s="113" t="s">
        <v>804</v>
      </c>
      <c r="E482" s="114" t="s">
        <v>14</v>
      </c>
      <c r="F482" s="115" t="s">
        <v>23</v>
      </c>
      <c r="G482" s="116">
        <v>9</v>
      </c>
      <c r="H482" s="125">
        <v>13</v>
      </c>
      <c r="I482" s="111">
        <v>1</v>
      </c>
      <c r="J482" s="117">
        <f t="shared" si="242"/>
        <v>0.11700000000000001</v>
      </c>
      <c r="K482" s="118"/>
      <c r="L482" s="111">
        <v>1</v>
      </c>
      <c r="M482" s="117">
        <f t="shared" si="243"/>
        <v>0.11700000000000001</v>
      </c>
      <c r="N482" s="119">
        <f t="shared" si="244"/>
        <v>0</v>
      </c>
      <c r="O482" s="120">
        <f t="shared" si="245"/>
        <v>0</v>
      </c>
      <c r="P482" s="32"/>
      <c r="Q482" s="32"/>
      <c r="R482" s="32"/>
    </row>
    <row r="483" spans="1:18" ht="15.6">
      <c r="A483" s="110" t="s">
        <v>803</v>
      </c>
      <c r="B483" s="111" t="s">
        <v>227</v>
      </c>
      <c r="C483" s="112" t="s">
        <v>449</v>
      </c>
      <c r="D483" s="113" t="s">
        <v>804</v>
      </c>
      <c r="E483" s="114" t="s">
        <v>14</v>
      </c>
      <c r="F483" s="115" t="s">
        <v>23</v>
      </c>
      <c r="G483" s="116">
        <v>9</v>
      </c>
      <c r="H483" s="125">
        <v>10</v>
      </c>
      <c r="I483" s="111">
        <v>1</v>
      </c>
      <c r="J483" s="117">
        <f t="shared" si="242"/>
        <v>0.09</v>
      </c>
      <c r="K483" s="118"/>
      <c r="L483" s="111"/>
      <c r="M483" s="117">
        <f t="shared" si="243"/>
        <v>0</v>
      </c>
      <c r="N483" s="119">
        <f t="shared" si="244"/>
        <v>1</v>
      </c>
      <c r="O483" s="120">
        <f t="shared" si="245"/>
        <v>0.09</v>
      </c>
      <c r="P483" s="32"/>
      <c r="Q483" s="32"/>
      <c r="R483" s="32"/>
    </row>
    <row r="484" spans="1:18" ht="15.6">
      <c r="A484" s="110" t="s">
        <v>803</v>
      </c>
      <c r="B484" s="111" t="s">
        <v>227</v>
      </c>
      <c r="C484" s="112" t="s">
        <v>449</v>
      </c>
      <c r="D484" s="113" t="s">
        <v>804</v>
      </c>
      <c r="E484" s="114" t="s">
        <v>14</v>
      </c>
      <c r="F484" s="115" t="s">
        <v>23</v>
      </c>
      <c r="G484" s="116">
        <v>9</v>
      </c>
      <c r="H484" s="125">
        <v>11.2</v>
      </c>
      <c r="I484" s="111">
        <v>1</v>
      </c>
      <c r="J484" s="117">
        <f t="shared" si="242"/>
        <v>0.1008</v>
      </c>
      <c r="K484" s="118"/>
      <c r="L484" s="111">
        <v>1</v>
      </c>
      <c r="M484" s="117">
        <f t="shared" si="243"/>
        <v>0.1008</v>
      </c>
      <c r="N484" s="119">
        <f t="shared" si="244"/>
        <v>0</v>
      </c>
      <c r="O484" s="120">
        <f t="shared" si="245"/>
        <v>0</v>
      </c>
      <c r="P484" s="32">
        <v>11</v>
      </c>
      <c r="Q484" s="32">
        <v>1</v>
      </c>
      <c r="R484" s="32"/>
    </row>
    <row r="485" spans="1:18" ht="15.6">
      <c r="A485" s="110" t="s">
        <v>803</v>
      </c>
      <c r="B485" s="111" t="s">
        <v>227</v>
      </c>
      <c r="C485" s="112" t="s">
        <v>449</v>
      </c>
      <c r="D485" s="113" t="s">
        <v>804</v>
      </c>
      <c r="E485" s="114" t="s">
        <v>14</v>
      </c>
      <c r="F485" s="115" t="s">
        <v>23</v>
      </c>
      <c r="G485" s="116">
        <v>9</v>
      </c>
      <c r="H485" s="125">
        <v>11.5</v>
      </c>
      <c r="I485" s="111">
        <v>2</v>
      </c>
      <c r="J485" s="117">
        <f t="shared" si="242"/>
        <v>0.20699999999999999</v>
      </c>
      <c r="K485" s="118"/>
      <c r="L485" s="111">
        <v>2</v>
      </c>
      <c r="M485" s="117">
        <f t="shared" si="243"/>
        <v>0.20699999999999999</v>
      </c>
      <c r="N485" s="119">
        <f t="shared" si="244"/>
        <v>0</v>
      </c>
      <c r="O485" s="120">
        <f t="shared" si="245"/>
        <v>0</v>
      </c>
      <c r="P485" s="32"/>
      <c r="Q485" s="32"/>
      <c r="R485" s="32"/>
    </row>
    <row r="486" spans="1:18" ht="15.6">
      <c r="A486" s="110" t="s">
        <v>803</v>
      </c>
      <c r="B486" s="111" t="s">
        <v>227</v>
      </c>
      <c r="C486" s="112" t="s">
        <v>449</v>
      </c>
      <c r="D486" s="113" t="s">
        <v>804</v>
      </c>
      <c r="E486" s="114" t="s">
        <v>14</v>
      </c>
      <c r="F486" s="115" t="s">
        <v>23</v>
      </c>
      <c r="G486" s="116">
        <v>9</v>
      </c>
      <c r="H486" s="125">
        <v>12</v>
      </c>
      <c r="I486" s="111">
        <v>1</v>
      </c>
      <c r="J486" s="117">
        <f t="shared" si="242"/>
        <v>0.108</v>
      </c>
      <c r="K486" s="118"/>
      <c r="L486" s="111">
        <v>1</v>
      </c>
      <c r="M486" s="117">
        <f t="shared" si="243"/>
        <v>0.108</v>
      </c>
      <c r="N486" s="119">
        <f t="shared" si="244"/>
        <v>0</v>
      </c>
      <c r="O486" s="120">
        <f t="shared" si="245"/>
        <v>0</v>
      </c>
      <c r="P486" s="32"/>
      <c r="Q486" s="32"/>
      <c r="R486" s="32"/>
    </row>
    <row r="487" spans="1:18" ht="15.6">
      <c r="A487" s="110" t="s">
        <v>803</v>
      </c>
      <c r="B487" s="111" t="s">
        <v>227</v>
      </c>
      <c r="C487" s="112" t="s">
        <v>449</v>
      </c>
      <c r="D487" s="113" t="s">
        <v>804</v>
      </c>
      <c r="E487" s="114" t="s">
        <v>14</v>
      </c>
      <c r="F487" s="115" t="s">
        <v>23</v>
      </c>
      <c r="G487" s="116">
        <v>9</v>
      </c>
      <c r="H487" s="125">
        <v>11.5</v>
      </c>
      <c r="I487" s="111">
        <v>29</v>
      </c>
      <c r="J487" s="117">
        <f t="shared" si="242"/>
        <v>3.0015000000000001</v>
      </c>
      <c r="K487" s="118"/>
      <c r="L487" s="111">
        <v>29</v>
      </c>
      <c r="M487" s="117">
        <f t="shared" si="243"/>
        <v>3.0015000000000001</v>
      </c>
      <c r="N487" s="119">
        <f t="shared" si="244"/>
        <v>0</v>
      </c>
      <c r="O487" s="120">
        <f t="shared" si="245"/>
        <v>0</v>
      </c>
      <c r="P487" s="32"/>
      <c r="Q487" s="32"/>
      <c r="R487" s="32"/>
    </row>
    <row r="488" spans="1:18" ht="15.6">
      <c r="A488" s="110" t="s">
        <v>803</v>
      </c>
      <c r="B488" s="111" t="s">
        <v>227</v>
      </c>
      <c r="C488" s="112" t="s">
        <v>449</v>
      </c>
      <c r="D488" s="113" t="s">
        <v>804</v>
      </c>
      <c r="E488" s="114" t="s">
        <v>14</v>
      </c>
      <c r="F488" s="115" t="s">
        <v>23</v>
      </c>
      <c r="G488" s="116">
        <v>9</v>
      </c>
      <c r="H488" s="126">
        <v>12</v>
      </c>
      <c r="I488" s="321">
        <v>29</v>
      </c>
      <c r="J488" s="117">
        <f t="shared" ref="J488:J503" si="246">H488*G488*I488/1000</f>
        <v>3.1320000000000001</v>
      </c>
      <c r="K488" s="118"/>
      <c r="L488" s="111">
        <v>29</v>
      </c>
      <c r="M488" s="117">
        <f t="shared" ref="M488:M503" si="247">H488*L488*G488/1000</f>
        <v>3.1320000000000001</v>
      </c>
      <c r="N488" s="119">
        <f t="shared" ref="N488:N503" si="248">I488-L488</f>
        <v>0</v>
      </c>
      <c r="O488" s="120">
        <f t="shared" ref="O488:O502" si="249">H488*N488*G488/1000</f>
        <v>0</v>
      </c>
      <c r="P488" s="32"/>
      <c r="Q488" s="32"/>
      <c r="R488" s="32"/>
    </row>
    <row r="489" spans="1:18" ht="15.6">
      <c r="A489" s="110" t="s">
        <v>803</v>
      </c>
      <c r="B489" s="111" t="s">
        <v>227</v>
      </c>
      <c r="C489" s="112" t="s">
        <v>449</v>
      </c>
      <c r="D489" s="113" t="s">
        <v>804</v>
      </c>
      <c r="E489" s="114" t="s">
        <v>14</v>
      </c>
      <c r="F489" s="115" t="s">
        <v>23</v>
      </c>
      <c r="G489" s="116">
        <v>9</v>
      </c>
      <c r="H489" s="126">
        <v>11.5</v>
      </c>
      <c r="I489" s="321">
        <v>29</v>
      </c>
      <c r="J489" s="117">
        <f t="shared" si="246"/>
        <v>3.0015000000000001</v>
      </c>
      <c r="K489" s="118"/>
      <c r="L489" s="111">
        <v>29</v>
      </c>
      <c r="M489" s="117">
        <f t="shared" si="247"/>
        <v>3.0015000000000001</v>
      </c>
      <c r="N489" s="119">
        <f t="shared" si="248"/>
        <v>0</v>
      </c>
      <c r="O489" s="120">
        <f t="shared" si="249"/>
        <v>0</v>
      </c>
      <c r="P489" s="32"/>
      <c r="Q489" s="32"/>
      <c r="R489" s="32"/>
    </row>
    <row r="490" spans="1:18" ht="15.6">
      <c r="A490" s="110" t="s">
        <v>803</v>
      </c>
      <c r="B490" s="111" t="s">
        <v>227</v>
      </c>
      <c r="C490" s="112" t="s">
        <v>449</v>
      </c>
      <c r="D490" s="113" t="s">
        <v>804</v>
      </c>
      <c r="E490" s="114" t="s">
        <v>14</v>
      </c>
      <c r="F490" s="115" t="s">
        <v>23</v>
      </c>
      <c r="G490" s="116">
        <v>9</v>
      </c>
      <c r="H490" s="126">
        <v>11.5</v>
      </c>
      <c r="I490" s="321">
        <v>29</v>
      </c>
      <c r="J490" s="117">
        <f t="shared" si="246"/>
        <v>3.0015000000000001</v>
      </c>
      <c r="K490" s="118"/>
      <c r="L490" s="111">
        <v>29</v>
      </c>
      <c r="M490" s="117">
        <f t="shared" si="247"/>
        <v>3.0015000000000001</v>
      </c>
      <c r="N490" s="119">
        <f t="shared" si="248"/>
        <v>0</v>
      </c>
      <c r="O490" s="120">
        <f t="shared" si="249"/>
        <v>0</v>
      </c>
      <c r="P490" s="32"/>
      <c r="Q490" s="32"/>
      <c r="R490" s="32"/>
    </row>
    <row r="491" spans="1:18" ht="15.6">
      <c r="A491" s="110" t="s">
        <v>803</v>
      </c>
      <c r="B491" s="111" t="s">
        <v>227</v>
      </c>
      <c r="C491" s="112" t="s">
        <v>449</v>
      </c>
      <c r="D491" s="113" t="s">
        <v>804</v>
      </c>
      <c r="E491" s="114" t="s">
        <v>14</v>
      </c>
      <c r="F491" s="115" t="s">
        <v>23</v>
      </c>
      <c r="G491" s="116">
        <v>9</v>
      </c>
      <c r="H491" s="126">
        <v>11.5</v>
      </c>
      <c r="I491" s="321">
        <v>29</v>
      </c>
      <c r="J491" s="117">
        <f t="shared" si="246"/>
        <v>3.0015000000000001</v>
      </c>
      <c r="K491" s="118"/>
      <c r="L491" s="111">
        <v>29</v>
      </c>
      <c r="M491" s="117">
        <f t="shared" si="247"/>
        <v>3.0015000000000001</v>
      </c>
      <c r="N491" s="119">
        <f t="shared" si="248"/>
        <v>0</v>
      </c>
      <c r="O491" s="120">
        <f t="shared" si="249"/>
        <v>0</v>
      </c>
      <c r="P491" s="32"/>
      <c r="Q491" s="32"/>
      <c r="R491" s="32"/>
    </row>
    <row r="492" spans="1:18" ht="15.6">
      <c r="A492" s="110" t="s">
        <v>803</v>
      </c>
      <c r="B492" s="111" t="s">
        <v>227</v>
      </c>
      <c r="C492" s="112" t="s">
        <v>449</v>
      </c>
      <c r="D492" s="113" t="s">
        <v>804</v>
      </c>
      <c r="E492" s="114" t="s">
        <v>14</v>
      </c>
      <c r="F492" s="115" t="s">
        <v>23</v>
      </c>
      <c r="G492" s="116">
        <v>9</v>
      </c>
      <c r="H492" s="126">
        <v>11</v>
      </c>
      <c r="I492" s="321">
        <v>29</v>
      </c>
      <c r="J492" s="117">
        <f t="shared" si="246"/>
        <v>2.871</v>
      </c>
      <c r="K492" s="118"/>
      <c r="L492" s="111">
        <v>29</v>
      </c>
      <c r="M492" s="117">
        <f t="shared" si="247"/>
        <v>2.871</v>
      </c>
      <c r="N492" s="119">
        <f t="shared" si="248"/>
        <v>0</v>
      </c>
      <c r="O492" s="120">
        <f t="shared" si="249"/>
        <v>0</v>
      </c>
      <c r="P492" s="32"/>
      <c r="Q492" s="32"/>
      <c r="R492" s="32"/>
    </row>
    <row r="493" spans="1:18" ht="15.6">
      <c r="A493" s="110" t="s">
        <v>803</v>
      </c>
      <c r="B493" s="111" t="s">
        <v>227</v>
      </c>
      <c r="C493" s="112" t="s">
        <v>449</v>
      </c>
      <c r="D493" s="113" t="s">
        <v>804</v>
      </c>
      <c r="E493" s="114" t="s">
        <v>14</v>
      </c>
      <c r="F493" s="115" t="s">
        <v>23</v>
      </c>
      <c r="G493" s="116">
        <v>9</v>
      </c>
      <c r="H493" s="126">
        <v>13</v>
      </c>
      <c r="I493" s="321">
        <v>29</v>
      </c>
      <c r="J493" s="117">
        <f t="shared" si="246"/>
        <v>3.3929999999999998</v>
      </c>
      <c r="K493" s="118"/>
      <c r="L493" s="111">
        <v>29</v>
      </c>
      <c r="M493" s="117">
        <f t="shared" si="247"/>
        <v>3.3929999999999998</v>
      </c>
      <c r="N493" s="119">
        <f t="shared" si="248"/>
        <v>0</v>
      </c>
      <c r="O493" s="120">
        <f t="shared" si="249"/>
        <v>0</v>
      </c>
      <c r="P493" s="32"/>
      <c r="Q493" s="32"/>
      <c r="R493" s="32"/>
    </row>
    <row r="494" spans="1:18" ht="15.6">
      <c r="A494" s="110" t="s">
        <v>803</v>
      </c>
      <c r="B494" s="111" t="s">
        <v>227</v>
      </c>
      <c r="C494" s="112" t="s">
        <v>449</v>
      </c>
      <c r="D494" s="113" t="s">
        <v>804</v>
      </c>
      <c r="E494" s="114" t="s">
        <v>14</v>
      </c>
      <c r="F494" s="115" t="s">
        <v>23</v>
      </c>
      <c r="G494" s="116">
        <v>9</v>
      </c>
      <c r="H494" s="126">
        <v>11</v>
      </c>
      <c r="I494" s="321">
        <v>29</v>
      </c>
      <c r="J494" s="117">
        <f t="shared" si="246"/>
        <v>2.871</v>
      </c>
      <c r="K494" s="118"/>
      <c r="L494" s="111">
        <v>29</v>
      </c>
      <c r="M494" s="117">
        <f t="shared" si="247"/>
        <v>2.871</v>
      </c>
      <c r="N494" s="119">
        <f t="shared" si="248"/>
        <v>0</v>
      </c>
      <c r="O494" s="120">
        <f t="shared" si="249"/>
        <v>0</v>
      </c>
      <c r="P494" s="32"/>
      <c r="Q494" s="32"/>
      <c r="R494" s="32"/>
    </row>
    <row r="495" spans="1:18" ht="15.6">
      <c r="A495" s="110" t="s">
        <v>803</v>
      </c>
      <c r="B495" s="111" t="s">
        <v>227</v>
      </c>
      <c r="C495" s="112" t="s">
        <v>449</v>
      </c>
      <c r="D495" s="113" t="s">
        <v>804</v>
      </c>
      <c r="E495" s="114" t="s">
        <v>14</v>
      </c>
      <c r="F495" s="115" t="s">
        <v>23</v>
      </c>
      <c r="G495" s="116">
        <v>9</v>
      </c>
      <c r="H495" s="126">
        <v>11.5</v>
      </c>
      <c r="I495" s="321">
        <v>29</v>
      </c>
      <c r="J495" s="117">
        <f t="shared" si="246"/>
        <v>3.0015000000000001</v>
      </c>
      <c r="K495" s="118"/>
      <c r="L495" s="111">
        <v>29</v>
      </c>
      <c r="M495" s="117">
        <f t="shared" si="247"/>
        <v>3.0015000000000001</v>
      </c>
      <c r="N495" s="119">
        <f t="shared" si="248"/>
        <v>0</v>
      </c>
      <c r="O495" s="120">
        <f t="shared" si="249"/>
        <v>0</v>
      </c>
      <c r="P495" s="32"/>
      <c r="Q495" s="32"/>
      <c r="R495" s="32"/>
    </row>
    <row r="496" spans="1:18" ht="15.6">
      <c r="A496" s="110" t="s">
        <v>803</v>
      </c>
      <c r="B496" s="111" t="s">
        <v>227</v>
      </c>
      <c r="C496" s="112" t="s">
        <v>449</v>
      </c>
      <c r="D496" s="113" t="s">
        <v>804</v>
      </c>
      <c r="E496" s="114" t="s">
        <v>14</v>
      </c>
      <c r="F496" s="115" t="s">
        <v>23</v>
      </c>
      <c r="G496" s="116">
        <v>9</v>
      </c>
      <c r="H496" s="126">
        <v>11</v>
      </c>
      <c r="I496" s="321">
        <v>29</v>
      </c>
      <c r="J496" s="117">
        <f t="shared" si="246"/>
        <v>2.871</v>
      </c>
      <c r="K496" s="118"/>
      <c r="L496" s="111">
        <v>29</v>
      </c>
      <c r="M496" s="117">
        <f t="shared" si="247"/>
        <v>2.871</v>
      </c>
      <c r="N496" s="119">
        <f t="shared" si="248"/>
        <v>0</v>
      </c>
      <c r="O496" s="120">
        <f t="shared" si="249"/>
        <v>0</v>
      </c>
      <c r="P496" s="32"/>
      <c r="Q496" s="32"/>
      <c r="R496" s="32"/>
    </row>
    <row r="497" spans="1:18" ht="15.6">
      <c r="A497" s="110" t="s">
        <v>803</v>
      </c>
      <c r="B497" s="111" t="s">
        <v>227</v>
      </c>
      <c r="C497" s="112" t="s">
        <v>449</v>
      </c>
      <c r="D497" s="113" t="s">
        <v>804</v>
      </c>
      <c r="E497" s="114" t="s">
        <v>14</v>
      </c>
      <c r="F497" s="115" t="s">
        <v>23</v>
      </c>
      <c r="G497" s="116">
        <v>9</v>
      </c>
      <c r="H497" s="126">
        <v>11.5</v>
      </c>
      <c r="I497" s="321">
        <v>15</v>
      </c>
      <c r="J497" s="117">
        <f t="shared" si="246"/>
        <v>1.5525</v>
      </c>
      <c r="K497" s="118"/>
      <c r="L497" s="111">
        <v>15</v>
      </c>
      <c r="M497" s="117">
        <f t="shared" si="247"/>
        <v>1.5525</v>
      </c>
      <c r="N497" s="119">
        <f t="shared" si="248"/>
        <v>0</v>
      </c>
      <c r="O497" s="120">
        <f t="shared" si="249"/>
        <v>0</v>
      </c>
      <c r="P497" s="32"/>
      <c r="Q497" s="32"/>
      <c r="R497" s="32"/>
    </row>
    <row r="498" spans="1:18" ht="15.6">
      <c r="A498" s="110" t="s">
        <v>803</v>
      </c>
      <c r="B498" s="111" t="s">
        <v>227</v>
      </c>
      <c r="C498" s="112" t="s">
        <v>449</v>
      </c>
      <c r="D498" s="113" t="s">
        <v>804</v>
      </c>
      <c r="E498" s="114" t="s">
        <v>14</v>
      </c>
      <c r="F498" s="115" t="s">
        <v>23</v>
      </c>
      <c r="G498" s="116">
        <v>9</v>
      </c>
      <c r="H498" s="126">
        <v>11</v>
      </c>
      <c r="I498" s="321">
        <v>18</v>
      </c>
      <c r="J498" s="117">
        <f t="shared" si="246"/>
        <v>1.782</v>
      </c>
      <c r="K498" s="118"/>
      <c r="L498" s="111">
        <v>18</v>
      </c>
      <c r="M498" s="117">
        <f t="shared" si="247"/>
        <v>1.782</v>
      </c>
      <c r="N498" s="119">
        <f t="shared" si="248"/>
        <v>0</v>
      </c>
      <c r="O498" s="120">
        <f t="shared" si="249"/>
        <v>0</v>
      </c>
      <c r="P498" s="32"/>
      <c r="Q498" s="32"/>
      <c r="R498" s="32"/>
    </row>
    <row r="499" spans="1:18" ht="15.6">
      <c r="A499" s="110" t="s">
        <v>803</v>
      </c>
      <c r="B499" s="111" t="s">
        <v>227</v>
      </c>
      <c r="C499" s="112" t="s">
        <v>449</v>
      </c>
      <c r="D499" s="113" t="s">
        <v>804</v>
      </c>
      <c r="E499" s="114" t="s">
        <v>14</v>
      </c>
      <c r="F499" s="115" t="s">
        <v>23</v>
      </c>
      <c r="G499" s="116">
        <v>9</v>
      </c>
      <c r="H499" s="126">
        <v>13</v>
      </c>
      <c r="I499" s="321">
        <v>8</v>
      </c>
      <c r="J499" s="117">
        <f t="shared" si="246"/>
        <v>0.93600000000000005</v>
      </c>
      <c r="K499" s="118"/>
      <c r="L499" s="111">
        <v>8</v>
      </c>
      <c r="M499" s="117">
        <f t="shared" si="247"/>
        <v>0.93600000000000005</v>
      </c>
      <c r="N499" s="119">
        <f t="shared" si="248"/>
        <v>0</v>
      </c>
      <c r="O499" s="120">
        <f t="shared" si="249"/>
        <v>0</v>
      </c>
      <c r="P499" s="32"/>
      <c r="Q499" s="32"/>
      <c r="R499" s="32"/>
    </row>
    <row r="500" spans="1:18" ht="15.6">
      <c r="A500" s="110" t="s">
        <v>803</v>
      </c>
      <c r="B500" s="111" t="s">
        <v>227</v>
      </c>
      <c r="C500" s="112" t="s">
        <v>449</v>
      </c>
      <c r="D500" s="113" t="s">
        <v>804</v>
      </c>
      <c r="E500" s="114" t="s">
        <v>14</v>
      </c>
      <c r="F500" s="115" t="s">
        <v>23</v>
      </c>
      <c r="G500" s="116">
        <v>9</v>
      </c>
      <c r="H500" s="126">
        <v>10</v>
      </c>
      <c r="I500" s="321">
        <v>1</v>
      </c>
      <c r="J500" s="117">
        <f t="shared" si="246"/>
        <v>0.09</v>
      </c>
      <c r="K500" s="118"/>
      <c r="L500" s="111"/>
      <c r="M500" s="117">
        <f t="shared" si="247"/>
        <v>0</v>
      </c>
      <c r="N500" s="119">
        <f t="shared" si="248"/>
        <v>1</v>
      </c>
      <c r="O500" s="120">
        <f t="shared" si="249"/>
        <v>0.09</v>
      </c>
      <c r="P500" s="32"/>
      <c r="Q500" s="32"/>
      <c r="R500" s="32"/>
    </row>
    <row r="501" spans="1:18" ht="15.6">
      <c r="A501" s="110" t="s">
        <v>803</v>
      </c>
      <c r="B501" s="111" t="s">
        <v>227</v>
      </c>
      <c r="C501" s="112" t="s">
        <v>449</v>
      </c>
      <c r="D501" s="113" t="s">
        <v>804</v>
      </c>
      <c r="E501" s="114" t="s">
        <v>14</v>
      </c>
      <c r="F501" s="115" t="s">
        <v>23</v>
      </c>
      <c r="G501" s="116">
        <v>9</v>
      </c>
      <c r="H501" s="126">
        <v>10.199999999999999</v>
      </c>
      <c r="I501" s="321">
        <v>1</v>
      </c>
      <c r="J501" s="117">
        <f t="shared" si="246"/>
        <v>9.1799999999999993E-2</v>
      </c>
      <c r="K501" s="118"/>
      <c r="L501" s="111"/>
      <c r="M501" s="117">
        <f t="shared" si="247"/>
        <v>0</v>
      </c>
      <c r="N501" s="119">
        <f t="shared" si="248"/>
        <v>1</v>
      </c>
      <c r="O501" s="120">
        <f t="shared" si="249"/>
        <v>9.1799999999999993E-2</v>
      </c>
      <c r="P501" s="32"/>
      <c r="Q501" s="32"/>
      <c r="R501" s="32"/>
    </row>
    <row r="502" spans="1:18" ht="15.6">
      <c r="A502" s="110" t="s">
        <v>803</v>
      </c>
      <c r="B502" s="111" t="s">
        <v>227</v>
      </c>
      <c r="C502" s="112" t="s">
        <v>449</v>
      </c>
      <c r="D502" s="113" t="s">
        <v>804</v>
      </c>
      <c r="E502" s="114" t="s">
        <v>14</v>
      </c>
      <c r="F502" s="115" t="s">
        <v>23</v>
      </c>
      <c r="G502" s="116">
        <v>9</v>
      </c>
      <c r="H502" s="126">
        <v>10.5</v>
      </c>
      <c r="I502" s="321">
        <v>1</v>
      </c>
      <c r="J502" s="117">
        <f t="shared" si="246"/>
        <v>9.4500000000000001E-2</v>
      </c>
      <c r="K502" s="118"/>
      <c r="L502" s="111"/>
      <c r="M502" s="117">
        <f t="shared" si="247"/>
        <v>0</v>
      </c>
      <c r="N502" s="119">
        <f t="shared" si="248"/>
        <v>1</v>
      </c>
      <c r="O502" s="120">
        <f t="shared" si="249"/>
        <v>9.4500000000000001E-2</v>
      </c>
      <c r="P502" s="32"/>
      <c r="Q502" s="32"/>
      <c r="R502" s="32"/>
    </row>
    <row r="503" spans="1:18" ht="15.6">
      <c r="A503" s="110" t="s">
        <v>803</v>
      </c>
      <c r="B503" s="111" t="s">
        <v>227</v>
      </c>
      <c r="C503" s="112" t="s">
        <v>449</v>
      </c>
      <c r="D503" s="113" t="s">
        <v>804</v>
      </c>
      <c r="E503" s="114" t="s">
        <v>14</v>
      </c>
      <c r="F503" s="115" t="s">
        <v>23</v>
      </c>
      <c r="G503" s="116">
        <v>9</v>
      </c>
      <c r="H503" s="126">
        <v>12</v>
      </c>
      <c r="I503" s="321">
        <v>2</v>
      </c>
      <c r="J503" s="117">
        <f t="shared" si="246"/>
        <v>0.216</v>
      </c>
      <c r="K503" s="118"/>
      <c r="L503" s="111">
        <v>2</v>
      </c>
      <c r="M503" s="117">
        <f t="shared" si="247"/>
        <v>0.216</v>
      </c>
      <c r="N503" s="119">
        <f t="shared" si="248"/>
        <v>0</v>
      </c>
      <c r="O503" s="120">
        <f>H503*N503*G503/1000</f>
        <v>0</v>
      </c>
      <c r="P503" s="32"/>
      <c r="Q503" s="32"/>
      <c r="R503" s="32"/>
    </row>
    <row r="504" spans="1:18">
      <c r="I504" s="215">
        <f>SUM(I458:I503)</f>
        <v>786</v>
      </c>
      <c r="J504" s="214">
        <f>SUM(J458:J503)</f>
        <v>82.403099999999981</v>
      </c>
      <c r="L504" s="215">
        <f>SUM(L458:L503)</f>
        <v>782</v>
      </c>
      <c r="M504" s="214">
        <f>SUM(M458:M503)</f>
        <v>82.036799999999971</v>
      </c>
      <c r="N504" s="215">
        <f>SUM(N458:N503)</f>
        <v>4</v>
      </c>
      <c r="O504" s="214">
        <f>SUM(O458:O503)</f>
        <v>0.36629999999999996</v>
      </c>
    </row>
    <row r="506" spans="1:18" ht="15.6">
      <c r="A506" s="110" t="s">
        <v>803</v>
      </c>
      <c r="B506" s="111" t="s">
        <v>227</v>
      </c>
      <c r="C506" s="112" t="s">
        <v>449</v>
      </c>
      <c r="D506" s="113" t="s">
        <v>17</v>
      </c>
      <c r="E506" s="114" t="s">
        <v>15</v>
      </c>
      <c r="F506" s="115" t="s">
        <v>18</v>
      </c>
      <c r="G506" s="116">
        <v>6.86</v>
      </c>
      <c r="H506" s="125">
        <v>11</v>
      </c>
      <c r="I506" s="111">
        <v>40</v>
      </c>
      <c r="J506" s="117">
        <f t="shared" ref="J506" si="250">H506*G506*I506/1000</f>
        <v>3.0184000000000006</v>
      </c>
      <c r="K506" s="118"/>
      <c r="L506" s="111">
        <v>40</v>
      </c>
      <c r="M506" s="117">
        <f t="shared" ref="M506" si="251">H506*L506*G506/1000</f>
        <v>3.0184000000000002</v>
      </c>
      <c r="N506" s="119">
        <f t="shared" ref="N506" si="252">I506-L506</f>
        <v>0</v>
      </c>
      <c r="O506" s="120">
        <f t="shared" ref="O506" si="253">H506*N506*G506/1000</f>
        <v>0</v>
      </c>
      <c r="P506" s="32"/>
      <c r="Q506" s="32"/>
      <c r="R506" s="32"/>
    </row>
    <row r="507" spans="1:18" ht="15.6">
      <c r="A507" s="110" t="s">
        <v>803</v>
      </c>
      <c r="B507" s="111" t="s">
        <v>227</v>
      </c>
      <c r="C507" s="112" t="s">
        <v>449</v>
      </c>
      <c r="D507" s="113" t="s">
        <v>17</v>
      </c>
      <c r="E507" s="114" t="s">
        <v>15</v>
      </c>
      <c r="F507" s="115" t="s">
        <v>18</v>
      </c>
      <c r="G507" s="116">
        <v>6.86</v>
      </c>
      <c r="H507" s="125">
        <v>11</v>
      </c>
      <c r="I507" s="111">
        <v>40</v>
      </c>
      <c r="J507" s="117">
        <f t="shared" ref="J507:J520" si="254">H507*G507*I507/1000</f>
        <v>3.0184000000000006</v>
      </c>
      <c r="K507" s="118"/>
      <c r="L507" s="111">
        <v>40</v>
      </c>
      <c r="M507" s="117">
        <f t="shared" ref="M507:M520" si="255">H507*L507*G507/1000</f>
        <v>3.0184000000000002</v>
      </c>
      <c r="N507" s="119">
        <f t="shared" ref="N507:N520" si="256">I507-L507</f>
        <v>0</v>
      </c>
      <c r="O507" s="120">
        <f t="shared" ref="O507:O520" si="257">H507*N507*G507/1000</f>
        <v>0</v>
      </c>
      <c r="P507" s="32"/>
      <c r="Q507" s="32"/>
      <c r="R507" s="32"/>
    </row>
    <row r="508" spans="1:18" ht="15.6">
      <c r="A508" s="110" t="s">
        <v>803</v>
      </c>
      <c r="B508" s="111" t="s">
        <v>227</v>
      </c>
      <c r="C508" s="112" t="s">
        <v>449</v>
      </c>
      <c r="D508" s="113" t="s">
        <v>17</v>
      </c>
      <c r="E508" s="114" t="s">
        <v>15</v>
      </c>
      <c r="F508" s="115" t="s">
        <v>18</v>
      </c>
      <c r="G508" s="116">
        <v>6.86</v>
      </c>
      <c r="H508" s="125">
        <v>11</v>
      </c>
      <c r="I508" s="111">
        <v>36</v>
      </c>
      <c r="J508" s="117">
        <f t="shared" si="254"/>
        <v>2.7165600000000003</v>
      </c>
      <c r="K508" s="118"/>
      <c r="L508" s="111">
        <v>36</v>
      </c>
      <c r="M508" s="117">
        <f t="shared" si="255"/>
        <v>2.7165599999999999</v>
      </c>
      <c r="N508" s="119">
        <f t="shared" si="256"/>
        <v>0</v>
      </c>
      <c r="O508" s="120">
        <f t="shared" si="257"/>
        <v>0</v>
      </c>
      <c r="P508" s="32"/>
      <c r="Q508" s="32"/>
      <c r="R508" s="32"/>
    </row>
    <row r="509" spans="1:18" ht="15.6">
      <c r="A509" s="110" t="s">
        <v>803</v>
      </c>
      <c r="B509" s="111" t="s">
        <v>227</v>
      </c>
      <c r="C509" s="112" t="s">
        <v>449</v>
      </c>
      <c r="D509" s="113" t="s">
        <v>17</v>
      </c>
      <c r="E509" s="114" t="s">
        <v>15</v>
      </c>
      <c r="F509" s="115" t="s">
        <v>18</v>
      </c>
      <c r="G509" s="116">
        <v>6.86</v>
      </c>
      <c r="H509" s="125">
        <v>12</v>
      </c>
      <c r="I509" s="111">
        <v>35</v>
      </c>
      <c r="J509" s="117">
        <f t="shared" si="254"/>
        <v>2.8812000000000002</v>
      </c>
      <c r="K509" s="118"/>
      <c r="L509" s="111">
        <v>35</v>
      </c>
      <c r="M509" s="117">
        <f t="shared" si="255"/>
        <v>2.8812000000000002</v>
      </c>
      <c r="N509" s="119">
        <f t="shared" si="256"/>
        <v>0</v>
      </c>
      <c r="O509" s="120">
        <f t="shared" si="257"/>
        <v>0</v>
      </c>
      <c r="P509" s="32"/>
      <c r="Q509" s="32"/>
      <c r="R509" s="32"/>
    </row>
    <row r="510" spans="1:18" ht="15.6">
      <c r="A510" s="110" t="s">
        <v>803</v>
      </c>
      <c r="B510" s="111" t="s">
        <v>227</v>
      </c>
      <c r="C510" s="112" t="s">
        <v>449</v>
      </c>
      <c r="D510" s="113" t="s">
        <v>17</v>
      </c>
      <c r="E510" s="114" t="s">
        <v>15</v>
      </c>
      <c r="F510" s="115" t="s">
        <v>18</v>
      </c>
      <c r="G510" s="116">
        <v>6.86</v>
      </c>
      <c r="H510" s="125">
        <v>7</v>
      </c>
      <c r="I510" s="111">
        <v>35</v>
      </c>
      <c r="J510" s="117">
        <f t="shared" si="254"/>
        <v>1.6807000000000001</v>
      </c>
      <c r="K510" s="118"/>
      <c r="L510" s="111">
        <v>35</v>
      </c>
      <c r="M510" s="117">
        <f t="shared" si="255"/>
        <v>1.6807000000000001</v>
      </c>
      <c r="N510" s="119">
        <f t="shared" si="256"/>
        <v>0</v>
      </c>
      <c r="O510" s="120">
        <f t="shared" si="257"/>
        <v>0</v>
      </c>
      <c r="P510" s="32"/>
      <c r="Q510" s="32"/>
      <c r="R510" s="32"/>
    </row>
    <row r="511" spans="1:18" ht="15.6">
      <c r="A511" s="110" t="s">
        <v>803</v>
      </c>
      <c r="B511" s="111" t="s">
        <v>227</v>
      </c>
      <c r="C511" s="112" t="s">
        <v>449</v>
      </c>
      <c r="D511" s="113" t="s">
        <v>17</v>
      </c>
      <c r="E511" s="114" t="s">
        <v>15</v>
      </c>
      <c r="F511" s="115" t="s">
        <v>18</v>
      </c>
      <c r="G511" s="116">
        <v>6.86</v>
      </c>
      <c r="H511" s="125">
        <v>10.199999999999999</v>
      </c>
      <c r="I511" s="111">
        <v>1</v>
      </c>
      <c r="J511" s="117">
        <f t="shared" si="254"/>
        <v>6.9971999999999993E-2</v>
      </c>
      <c r="K511" s="118"/>
      <c r="L511" s="111"/>
      <c r="M511" s="117">
        <f t="shared" si="255"/>
        <v>0</v>
      </c>
      <c r="N511" s="119">
        <f t="shared" si="256"/>
        <v>1</v>
      </c>
      <c r="O511" s="120">
        <f t="shared" si="257"/>
        <v>6.9971999999999993E-2</v>
      </c>
      <c r="P511" s="32"/>
      <c r="Q511" s="32"/>
      <c r="R511" s="32"/>
    </row>
    <row r="512" spans="1:18" ht="15.6">
      <c r="A512" s="110" t="s">
        <v>803</v>
      </c>
      <c r="B512" s="111" t="s">
        <v>227</v>
      </c>
      <c r="C512" s="112" t="s">
        <v>449</v>
      </c>
      <c r="D512" s="113" t="s">
        <v>17</v>
      </c>
      <c r="E512" s="114" t="s">
        <v>15</v>
      </c>
      <c r="F512" s="115" t="s">
        <v>18</v>
      </c>
      <c r="G512" s="116">
        <v>6.86</v>
      </c>
      <c r="H512" s="125">
        <v>10.5</v>
      </c>
      <c r="I512" s="111">
        <v>2</v>
      </c>
      <c r="J512" s="117">
        <f t="shared" si="254"/>
        <v>0.14405999999999999</v>
      </c>
      <c r="K512" s="118"/>
      <c r="L512" s="111"/>
      <c r="M512" s="117">
        <f t="shared" si="255"/>
        <v>0</v>
      </c>
      <c r="N512" s="119">
        <f t="shared" si="256"/>
        <v>2</v>
      </c>
      <c r="O512" s="120">
        <f t="shared" si="257"/>
        <v>0.14405999999999999</v>
      </c>
      <c r="P512" s="32"/>
      <c r="Q512" s="32"/>
      <c r="R512" s="32"/>
    </row>
    <row r="513" spans="1:18" ht="15.6">
      <c r="A513" s="110" t="s">
        <v>803</v>
      </c>
      <c r="B513" s="111" t="s">
        <v>227</v>
      </c>
      <c r="C513" s="112" t="s">
        <v>449</v>
      </c>
      <c r="D513" s="113" t="s">
        <v>17</v>
      </c>
      <c r="E513" s="114" t="s">
        <v>15</v>
      </c>
      <c r="F513" s="115" t="s">
        <v>18</v>
      </c>
      <c r="G513" s="116">
        <v>6.86</v>
      </c>
      <c r="H513" s="125">
        <v>11</v>
      </c>
      <c r="I513" s="111">
        <v>8</v>
      </c>
      <c r="J513" s="117">
        <f t="shared" si="254"/>
        <v>0.60368000000000011</v>
      </c>
      <c r="K513" s="118"/>
      <c r="L513" s="111">
        <v>8</v>
      </c>
      <c r="M513" s="117">
        <f t="shared" si="255"/>
        <v>0.60368000000000011</v>
      </c>
      <c r="N513" s="119">
        <f t="shared" si="256"/>
        <v>0</v>
      </c>
      <c r="O513" s="120">
        <f t="shared" si="257"/>
        <v>0</v>
      </c>
      <c r="P513" s="32"/>
      <c r="Q513" s="32"/>
      <c r="R513" s="32"/>
    </row>
    <row r="514" spans="1:18" ht="15.6">
      <c r="A514" s="110" t="s">
        <v>803</v>
      </c>
      <c r="B514" s="111" t="s">
        <v>227</v>
      </c>
      <c r="C514" s="112" t="s">
        <v>449</v>
      </c>
      <c r="D514" s="113" t="s">
        <v>17</v>
      </c>
      <c r="E514" s="114" t="s">
        <v>15</v>
      </c>
      <c r="F514" s="115" t="s">
        <v>18</v>
      </c>
      <c r="G514" s="116">
        <v>6.86</v>
      </c>
      <c r="H514" s="125">
        <v>12</v>
      </c>
      <c r="I514" s="111">
        <v>21</v>
      </c>
      <c r="J514" s="117">
        <f t="shared" si="254"/>
        <v>1.7287200000000003</v>
      </c>
      <c r="K514" s="118"/>
      <c r="L514" s="111">
        <v>21</v>
      </c>
      <c r="M514" s="117">
        <f t="shared" si="255"/>
        <v>1.72872</v>
      </c>
      <c r="N514" s="119">
        <f t="shared" si="256"/>
        <v>0</v>
      </c>
      <c r="O514" s="120">
        <f t="shared" si="257"/>
        <v>0</v>
      </c>
      <c r="P514" s="32"/>
      <c r="Q514" s="32"/>
      <c r="R514" s="32"/>
    </row>
    <row r="515" spans="1:18" ht="15.6">
      <c r="A515" s="110" t="s">
        <v>803</v>
      </c>
      <c r="B515" s="111" t="s">
        <v>227</v>
      </c>
      <c r="C515" s="112" t="s">
        <v>449</v>
      </c>
      <c r="D515" s="113" t="s">
        <v>17</v>
      </c>
      <c r="E515" s="114" t="s">
        <v>15</v>
      </c>
      <c r="F515" s="115" t="s">
        <v>18</v>
      </c>
      <c r="G515" s="116">
        <v>6.86</v>
      </c>
      <c r="H515" s="125">
        <v>7</v>
      </c>
      <c r="I515" s="111">
        <v>17</v>
      </c>
      <c r="J515" s="117">
        <f t="shared" si="254"/>
        <v>0.81634000000000007</v>
      </c>
      <c r="K515" s="118"/>
      <c r="L515" s="111">
        <v>17</v>
      </c>
      <c r="M515" s="117">
        <f t="shared" si="255"/>
        <v>0.81634000000000007</v>
      </c>
      <c r="N515" s="119">
        <f t="shared" si="256"/>
        <v>0</v>
      </c>
      <c r="O515" s="120">
        <f t="shared" si="257"/>
        <v>0</v>
      </c>
      <c r="P515" s="32"/>
      <c r="Q515" s="32"/>
      <c r="R515" s="32"/>
    </row>
    <row r="516" spans="1:18" ht="15.6">
      <c r="A516" s="110" t="s">
        <v>803</v>
      </c>
      <c r="B516" s="111" t="s">
        <v>227</v>
      </c>
      <c r="C516" s="112" t="s">
        <v>449</v>
      </c>
      <c r="D516" s="113" t="s">
        <v>17</v>
      </c>
      <c r="E516" s="114" t="s">
        <v>15</v>
      </c>
      <c r="F516" s="115" t="s">
        <v>18</v>
      </c>
      <c r="G516" s="116">
        <v>6.86</v>
      </c>
      <c r="H516" s="125">
        <v>6.8</v>
      </c>
      <c r="I516" s="111">
        <v>1</v>
      </c>
      <c r="J516" s="117">
        <f t="shared" si="254"/>
        <v>4.6648000000000002E-2</v>
      </c>
      <c r="K516" s="118"/>
      <c r="L516" s="111"/>
      <c r="M516" s="117">
        <f t="shared" si="255"/>
        <v>0</v>
      </c>
      <c r="N516" s="119">
        <f t="shared" si="256"/>
        <v>1</v>
      </c>
      <c r="O516" s="120">
        <f t="shared" si="257"/>
        <v>4.6648000000000002E-2</v>
      </c>
      <c r="P516" s="32"/>
      <c r="Q516" s="32"/>
      <c r="R516" s="32"/>
    </row>
    <row r="517" spans="1:18" ht="15.6">
      <c r="A517" s="110" t="s">
        <v>803</v>
      </c>
      <c r="B517" s="111" t="s">
        <v>227</v>
      </c>
      <c r="C517" s="112" t="s">
        <v>449</v>
      </c>
      <c r="D517" s="113" t="s">
        <v>17</v>
      </c>
      <c r="E517" s="114" t="s">
        <v>15</v>
      </c>
      <c r="F517" s="115" t="s">
        <v>18</v>
      </c>
      <c r="G517" s="116">
        <v>6.86</v>
      </c>
      <c r="H517" s="125">
        <v>11</v>
      </c>
      <c r="I517" s="111">
        <v>40</v>
      </c>
      <c r="J517" s="117">
        <f t="shared" si="254"/>
        <v>3.0184000000000006</v>
      </c>
      <c r="K517" s="118"/>
      <c r="L517" s="111">
        <v>40</v>
      </c>
      <c r="M517" s="117">
        <f t="shared" si="255"/>
        <v>3.0184000000000002</v>
      </c>
      <c r="N517" s="119">
        <f t="shared" si="256"/>
        <v>0</v>
      </c>
      <c r="O517" s="120">
        <f t="shared" si="257"/>
        <v>0</v>
      </c>
      <c r="P517" s="32"/>
      <c r="Q517" s="32"/>
      <c r="R517" s="32"/>
    </row>
    <row r="518" spans="1:18" ht="15.6">
      <c r="A518" s="110" t="s">
        <v>803</v>
      </c>
      <c r="B518" s="111" t="s">
        <v>227</v>
      </c>
      <c r="C518" s="112" t="s">
        <v>449</v>
      </c>
      <c r="D518" s="113" t="s">
        <v>17</v>
      </c>
      <c r="E518" s="114" t="s">
        <v>15</v>
      </c>
      <c r="F518" s="115" t="s">
        <v>18</v>
      </c>
      <c r="G518" s="116">
        <v>6.86</v>
      </c>
      <c r="H518" s="125">
        <v>11</v>
      </c>
      <c r="I518" s="111">
        <v>40</v>
      </c>
      <c r="J518" s="117">
        <f t="shared" si="254"/>
        <v>3.0184000000000006</v>
      </c>
      <c r="K518" s="118"/>
      <c r="L518" s="111">
        <v>40</v>
      </c>
      <c r="M518" s="117">
        <f t="shared" si="255"/>
        <v>3.0184000000000002</v>
      </c>
      <c r="N518" s="119">
        <f t="shared" si="256"/>
        <v>0</v>
      </c>
      <c r="O518" s="120">
        <f t="shared" si="257"/>
        <v>0</v>
      </c>
      <c r="P518" s="32"/>
      <c r="Q518" s="32"/>
      <c r="R518" s="32"/>
    </row>
    <row r="519" spans="1:18" ht="15.6">
      <c r="A519" s="110" t="s">
        <v>803</v>
      </c>
      <c r="B519" s="111" t="s">
        <v>227</v>
      </c>
      <c r="C519" s="112" t="s">
        <v>449</v>
      </c>
      <c r="D519" s="113" t="s">
        <v>17</v>
      </c>
      <c r="E519" s="114" t="s">
        <v>15</v>
      </c>
      <c r="F519" s="115" t="s">
        <v>18</v>
      </c>
      <c r="G519" s="116">
        <v>6.86</v>
      </c>
      <c r="H519" s="125">
        <v>11</v>
      </c>
      <c r="I519" s="111">
        <v>39</v>
      </c>
      <c r="J519" s="117">
        <f t="shared" si="254"/>
        <v>2.9429400000000006</v>
      </c>
      <c r="K519" s="118"/>
      <c r="L519" s="111">
        <v>39</v>
      </c>
      <c r="M519" s="117">
        <f t="shared" si="255"/>
        <v>2.9429400000000001</v>
      </c>
      <c r="N519" s="119">
        <f t="shared" si="256"/>
        <v>0</v>
      </c>
      <c r="O519" s="120">
        <f t="shared" si="257"/>
        <v>0</v>
      </c>
      <c r="P519" s="32"/>
      <c r="Q519" s="32"/>
      <c r="R519" s="32"/>
    </row>
    <row r="520" spans="1:18" ht="15.6">
      <c r="A520" s="110" t="s">
        <v>803</v>
      </c>
      <c r="B520" s="111" t="s">
        <v>227</v>
      </c>
      <c r="C520" s="112" t="s">
        <v>449</v>
      </c>
      <c r="D520" s="113" t="s">
        <v>17</v>
      </c>
      <c r="E520" s="114" t="s">
        <v>15</v>
      </c>
      <c r="F520" s="115" t="s">
        <v>18</v>
      </c>
      <c r="G520" s="116">
        <v>6.86</v>
      </c>
      <c r="H520" s="125">
        <v>11</v>
      </c>
      <c r="I520" s="111">
        <v>44</v>
      </c>
      <c r="J520" s="117">
        <f t="shared" si="254"/>
        <v>3.3202400000000001</v>
      </c>
      <c r="K520" s="118"/>
      <c r="L520" s="111">
        <v>44</v>
      </c>
      <c r="M520" s="117">
        <f t="shared" si="255"/>
        <v>3.3202400000000001</v>
      </c>
      <c r="N520" s="119">
        <f t="shared" si="256"/>
        <v>0</v>
      </c>
      <c r="O520" s="120">
        <f t="shared" si="257"/>
        <v>0</v>
      </c>
      <c r="P520" s="32"/>
      <c r="Q520" s="32"/>
      <c r="R520" s="32"/>
    </row>
    <row r="521" spans="1:18" ht="15.6">
      <c r="A521" s="110" t="s">
        <v>803</v>
      </c>
      <c r="B521" s="111" t="s">
        <v>227</v>
      </c>
      <c r="C521" s="112" t="s">
        <v>449</v>
      </c>
      <c r="D521" s="113" t="s">
        <v>17</v>
      </c>
      <c r="E521" s="114" t="s">
        <v>15</v>
      </c>
      <c r="F521" s="115" t="s">
        <v>18</v>
      </c>
      <c r="G521" s="116">
        <v>6.86</v>
      </c>
      <c r="H521" s="125">
        <v>8.5</v>
      </c>
      <c r="I521" s="111">
        <v>1</v>
      </c>
      <c r="J521" s="117">
        <f t="shared" ref="J521:J525" si="258">H521*G521*I521/1000</f>
        <v>5.8310000000000001E-2</v>
      </c>
      <c r="K521" s="118"/>
      <c r="L521" s="111"/>
      <c r="M521" s="117">
        <f t="shared" ref="M521:M525" si="259">H521*L521*G521/1000</f>
        <v>0</v>
      </c>
      <c r="N521" s="119">
        <f t="shared" ref="N521:N524" si="260">I521-L521</f>
        <v>1</v>
      </c>
      <c r="O521" s="120">
        <f>H521*N521*G521/1000</f>
        <v>5.8310000000000001E-2</v>
      </c>
      <c r="P521" s="32"/>
      <c r="Q521" s="32"/>
      <c r="R521" s="32"/>
    </row>
    <row r="522" spans="1:18" ht="15.6">
      <c r="A522" s="110" t="s">
        <v>803</v>
      </c>
      <c r="B522" s="111" t="s">
        <v>227</v>
      </c>
      <c r="C522" s="112" t="s">
        <v>449</v>
      </c>
      <c r="D522" s="113" t="s">
        <v>17</v>
      </c>
      <c r="E522" s="114" t="s">
        <v>15</v>
      </c>
      <c r="F522" s="115" t="s">
        <v>18</v>
      </c>
      <c r="G522" s="116">
        <v>6.86</v>
      </c>
      <c r="H522" s="125">
        <v>10.4</v>
      </c>
      <c r="I522" s="111">
        <v>2</v>
      </c>
      <c r="J522" s="117">
        <f t="shared" si="258"/>
        <v>0.14268800000000001</v>
      </c>
      <c r="K522" s="118"/>
      <c r="L522" s="111"/>
      <c r="M522" s="117">
        <f t="shared" si="259"/>
        <v>0</v>
      </c>
      <c r="N522" s="119">
        <f t="shared" si="260"/>
        <v>2</v>
      </c>
      <c r="O522" s="120">
        <f>H522*N522*G522/1000</f>
        <v>0.14268800000000001</v>
      </c>
      <c r="P522" s="32"/>
      <c r="Q522" s="32"/>
      <c r="R522" s="32"/>
    </row>
    <row r="523" spans="1:18" ht="15.6">
      <c r="A523" s="110" t="s">
        <v>803</v>
      </c>
      <c r="B523" s="111" t="s">
        <v>227</v>
      </c>
      <c r="C523" s="112" t="s">
        <v>449</v>
      </c>
      <c r="D523" s="113" t="s">
        <v>17</v>
      </c>
      <c r="E523" s="114" t="s">
        <v>15</v>
      </c>
      <c r="F523" s="115" t="s">
        <v>18</v>
      </c>
      <c r="G523" s="116">
        <v>6.86</v>
      </c>
      <c r="H523" s="125">
        <v>10.7</v>
      </c>
      <c r="I523" s="111">
        <v>3</v>
      </c>
      <c r="J523" s="117">
        <f t="shared" si="258"/>
        <v>0.22020600000000001</v>
      </c>
      <c r="K523" s="118"/>
      <c r="L523" s="111"/>
      <c r="M523" s="117">
        <f t="shared" si="259"/>
        <v>0</v>
      </c>
      <c r="N523" s="119">
        <f t="shared" si="260"/>
        <v>3</v>
      </c>
      <c r="O523" s="120">
        <f>H523*N523*G523/1000</f>
        <v>0.22020599999999996</v>
      </c>
      <c r="P523" s="32"/>
      <c r="Q523" s="32"/>
      <c r="R523" s="32"/>
    </row>
    <row r="524" spans="1:18" ht="15.6">
      <c r="A524" s="110" t="s">
        <v>803</v>
      </c>
      <c r="B524" s="111" t="s">
        <v>227</v>
      </c>
      <c r="C524" s="112" t="s">
        <v>449</v>
      </c>
      <c r="D524" s="113" t="s">
        <v>17</v>
      </c>
      <c r="E524" s="114" t="s">
        <v>15</v>
      </c>
      <c r="F524" s="115" t="s">
        <v>18</v>
      </c>
      <c r="G524" s="116">
        <v>6.86</v>
      </c>
      <c r="H524" s="125">
        <v>10.8</v>
      </c>
      <c r="I524" s="111">
        <v>3</v>
      </c>
      <c r="J524" s="117">
        <f t="shared" si="258"/>
        <v>0.22226400000000002</v>
      </c>
      <c r="K524" s="118"/>
      <c r="L524" s="111"/>
      <c r="M524" s="117">
        <f t="shared" si="259"/>
        <v>0</v>
      </c>
      <c r="N524" s="119">
        <f t="shared" si="260"/>
        <v>3</v>
      </c>
      <c r="O524" s="120">
        <f>H524*N524*G524/1000</f>
        <v>0.22226400000000004</v>
      </c>
      <c r="P524" s="32"/>
      <c r="Q524" s="32"/>
      <c r="R524" s="32"/>
    </row>
    <row r="525" spans="1:18" ht="15.6">
      <c r="A525" s="110" t="s">
        <v>803</v>
      </c>
      <c r="B525" s="111" t="s">
        <v>227</v>
      </c>
      <c r="C525" s="112" t="s">
        <v>449</v>
      </c>
      <c r="D525" s="113" t="s">
        <v>17</v>
      </c>
      <c r="E525" s="114" t="s">
        <v>15</v>
      </c>
      <c r="F525" s="115" t="s">
        <v>18</v>
      </c>
      <c r="G525" s="116">
        <v>6.86</v>
      </c>
      <c r="H525" s="125">
        <v>12</v>
      </c>
      <c r="I525" s="111">
        <v>11</v>
      </c>
      <c r="J525" s="117">
        <f t="shared" si="258"/>
        <v>0.9055200000000001</v>
      </c>
      <c r="K525" s="118"/>
      <c r="L525" s="111">
        <v>9</v>
      </c>
      <c r="M525" s="117">
        <f t="shared" si="259"/>
        <v>0.74087999999999998</v>
      </c>
      <c r="N525" s="119">
        <f>I525-L525</f>
        <v>2</v>
      </c>
      <c r="O525" s="120">
        <f>H525*N525*G525/1000</f>
        <v>0.16464000000000001</v>
      </c>
      <c r="P525" s="33">
        <v>11</v>
      </c>
      <c r="Q525" s="32">
        <v>9</v>
      </c>
      <c r="R525" s="32"/>
    </row>
    <row r="526" spans="1:18">
      <c r="A526" s="32"/>
      <c r="B526" s="32"/>
      <c r="C526" s="32"/>
      <c r="D526" s="32"/>
      <c r="E526" s="32"/>
      <c r="F526" s="32"/>
      <c r="G526" s="32"/>
      <c r="H526" s="32"/>
      <c r="I526" s="129">
        <f>SUM(I506:I525)</f>
        <v>419</v>
      </c>
      <c r="J526" s="124">
        <f>SUM(J506:J525)</f>
        <v>30.573648000000002</v>
      </c>
      <c r="K526" s="32"/>
      <c r="L526" s="129">
        <f>SUM(L506:L525)</f>
        <v>404</v>
      </c>
      <c r="M526" s="124">
        <f>SUM(M506:M525)</f>
        <v>29.504860000000004</v>
      </c>
      <c r="N526" s="131">
        <f>SUM(N506:N525)</f>
        <v>15</v>
      </c>
      <c r="O526" s="132">
        <f>SUM(O506:O525)</f>
        <v>1.0687880000000001</v>
      </c>
      <c r="P526" s="32"/>
      <c r="Q526" s="32"/>
      <c r="R526" s="32"/>
    </row>
    <row r="529" spans="1:18" ht="15.6">
      <c r="A529" s="110" t="s">
        <v>803</v>
      </c>
      <c r="B529" s="111" t="s">
        <v>227</v>
      </c>
      <c r="C529" s="112" t="s">
        <v>449</v>
      </c>
      <c r="D529" s="113" t="s">
        <v>17</v>
      </c>
      <c r="E529" s="114" t="s">
        <v>15</v>
      </c>
      <c r="F529" s="115" t="s">
        <v>16</v>
      </c>
      <c r="G529" s="116">
        <v>5.77</v>
      </c>
      <c r="H529" s="125">
        <v>12</v>
      </c>
      <c r="I529" s="111">
        <v>41</v>
      </c>
      <c r="J529" s="117">
        <f t="shared" ref="J529" si="261">H529*G529*I529/1000</f>
        <v>2.8388399999999998</v>
      </c>
      <c r="K529" s="118"/>
      <c r="L529" s="111">
        <v>41</v>
      </c>
      <c r="M529" s="117">
        <f t="shared" ref="M529" si="262">H529*L529*G529/1000</f>
        <v>2.8388399999999998</v>
      </c>
      <c r="N529" s="119">
        <f t="shared" ref="N529" si="263">I529-L529</f>
        <v>0</v>
      </c>
      <c r="O529" s="120">
        <f t="shared" ref="O529" si="264">H529*N529*G529/1000</f>
        <v>0</v>
      </c>
      <c r="P529" s="32"/>
      <c r="Q529" s="32"/>
      <c r="R529" s="32"/>
    </row>
    <row r="530" spans="1:18" ht="15.6">
      <c r="A530" s="110" t="s">
        <v>803</v>
      </c>
      <c r="B530" s="111" t="s">
        <v>227</v>
      </c>
      <c r="C530" s="112" t="s">
        <v>449</v>
      </c>
      <c r="D530" s="113" t="s">
        <v>17</v>
      </c>
      <c r="E530" s="114" t="s">
        <v>15</v>
      </c>
      <c r="F530" s="115" t="s">
        <v>16</v>
      </c>
      <c r="G530" s="116">
        <v>5.77</v>
      </c>
      <c r="H530" s="125">
        <v>12</v>
      </c>
      <c r="I530" s="111">
        <v>43</v>
      </c>
      <c r="J530" s="117">
        <f t="shared" ref="J530:J551" si="265">H530*G530*I530/1000</f>
        <v>2.9773199999999997</v>
      </c>
      <c r="K530" s="118"/>
      <c r="L530" s="111">
        <v>43</v>
      </c>
      <c r="M530" s="117">
        <f t="shared" ref="M530:M551" si="266">H530*L530*G530/1000</f>
        <v>2.9773199999999997</v>
      </c>
      <c r="N530" s="119">
        <f t="shared" ref="N530:N551" si="267">I530-L530</f>
        <v>0</v>
      </c>
      <c r="O530" s="120">
        <f t="shared" ref="O530:O551" si="268">H530*N530*G530/1000</f>
        <v>0</v>
      </c>
      <c r="P530" s="32"/>
      <c r="Q530" s="32"/>
      <c r="R530" s="32"/>
    </row>
    <row r="531" spans="1:18" ht="15.6">
      <c r="A531" s="110" t="s">
        <v>803</v>
      </c>
      <c r="B531" s="111" t="s">
        <v>227</v>
      </c>
      <c r="C531" s="112" t="s">
        <v>449</v>
      </c>
      <c r="D531" s="113" t="s">
        <v>17</v>
      </c>
      <c r="E531" s="114" t="s">
        <v>15</v>
      </c>
      <c r="F531" s="115" t="s">
        <v>16</v>
      </c>
      <c r="G531" s="116">
        <v>5.77</v>
      </c>
      <c r="H531" s="125">
        <v>11</v>
      </c>
      <c r="I531" s="111">
        <v>44</v>
      </c>
      <c r="J531" s="117">
        <f t="shared" si="265"/>
        <v>2.7926799999999998</v>
      </c>
      <c r="K531" s="118"/>
      <c r="L531" s="111">
        <v>44</v>
      </c>
      <c r="M531" s="117">
        <f t="shared" si="266"/>
        <v>2.7926799999999998</v>
      </c>
      <c r="N531" s="119">
        <f t="shared" si="267"/>
        <v>0</v>
      </c>
      <c r="O531" s="120">
        <f t="shared" si="268"/>
        <v>0</v>
      </c>
      <c r="P531" s="32"/>
      <c r="Q531" s="32"/>
      <c r="R531" s="32"/>
    </row>
    <row r="532" spans="1:18" ht="15.6">
      <c r="A532" s="110" t="s">
        <v>803</v>
      </c>
      <c r="B532" s="111" t="s">
        <v>227</v>
      </c>
      <c r="C532" s="112" t="s">
        <v>449</v>
      </c>
      <c r="D532" s="113" t="s">
        <v>17</v>
      </c>
      <c r="E532" s="114" t="s">
        <v>15</v>
      </c>
      <c r="F532" s="115" t="s">
        <v>16</v>
      </c>
      <c r="G532" s="116">
        <v>5.77</v>
      </c>
      <c r="H532" s="125">
        <v>11</v>
      </c>
      <c r="I532" s="111">
        <v>44</v>
      </c>
      <c r="J532" s="117">
        <f t="shared" si="265"/>
        <v>2.7926799999999998</v>
      </c>
      <c r="K532" s="118"/>
      <c r="L532" s="111">
        <f>44+15</f>
        <v>59</v>
      </c>
      <c r="M532" s="117">
        <f t="shared" si="266"/>
        <v>3.7447299999999997</v>
      </c>
      <c r="N532" s="180">
        <f t="shared" si="267"/>
        <v>-15</v>
      </c>
      <c r="O532" s="181">
        <f t="shared" si="268"/>
        <v>-0.95204999999999995</v>
      </c>
      <c r="P532" s="32" t="s">
        <v>281</v>
      </c>
      <c r="Q532" s="32"/>
      <c r="R532" s="32"/>
    </row>
    <row r="533" spans="1:18" ht="15.6">
      <c r="A533" s="110" t="s">
        <v>803</v>
      </c>
      <c r="B533" s="111" t="s">
        <v>227</v>
      </c>
      <c r="C533" s="112" t="s">
        <v>449</v>
      </c>
      <c r="D533" s="113" t="s">
        <v>17</v>
      </c>
      <c r="E533" s="114" t="s">
        <v>15</v>
      </c>
      <c r="F533" s="115" t="s">
        <v>16</v>
      </c>
      <c r="G533" s="116">
        <v>5.77</v>
      </c>
      <c r="H533" s="125">
        <v>12</v>
      </c>
      <c r="I533" s="111">
        <v>33</v>
      </c>
      <c r="J533" s="117">
        <f t="shared" si="265"/>
        <v>2.2849199999999996</v>
      </c>
      <c r="K533" s="118"/>
      <c r="L533" s="111">
        <v>33</v>
      </c>
      <c r="M533" s="117">
        <f t="shared" si="266"/>
        <v>2.2849199999999996</v>
      </c>
      <c r="N533" s="119">
        <f t="shared" si="267"/>
        <v>0</v>
      </c>
      <c r="O533" s="120">
        <f t="shared" si="268"/>
        <v>0</v>
      </c>
      <c r="P533" s="32"/>
      <c r="Q533" s="32"/>
      <c r="R533" s="32"/>
    </row>
    <row r="534" spans="1:18" ht="15.6">
      <c r="A534" s="110" t="s">
        <v>803</v>
      </c>
      <c r="B534" s="111" t="s">
        <v>227</v>
      </c>
      <c r="C534" s="112" t="s">
        <v>449</v>
      </c>
      <c r="D534" s="113" t="s">
        <v>17</v>
      </c>
      <c r="E534" s="114" t="s">
        <v>15</v>
      </c>
      <c r="F534" s="115" t="s">
        <v>16</v>
      </c>
      <c r="G534" s="116">
        <v>5.77</v>
      </c>
      <c r="H534" s="125">
        <v>10.5</v>
      </c>
      <c r="I534" s="111">
        <v>42</v>
      </c>
      <c r="J534" s="117">
        <f t="shared" si="265"/>
        <v>2.5445699999999998</v>
      </c>
      <c r="K534" s="118"/>
      <c r="L534" s="111">
        <v>42</v>
      </c>
      <c r="M534" s="117">
        <f t="shared" si="266"/>
        <v>2.5445699999999998</v>
      </c>
      <c r="N534" s="119">
        <f t="shared" si="267"/>
        <v>0</v>
      </c>
      <c r="O534" s="120">
        <f t="shared" si="268"/>
        <v>0</v>
      </c>
      <c r="P534" s="32"/>
      <c r="Q534" s="32"/>
      <c r="R534" s="32"/>
    </row>
    <row r="535" spans="1:18" ht="15.6">
      <c r="A535" s="110" t="s">
        <v>803</v>
      </c>
      <c r="B535" s="111" t="s">
        <v>227</v>
      </c>
      <c r="C535" s="112" t="s">
        <v>449</v>
      </c>
      <c r="D535" s="113" t="s">
        <v>17</v>
      </c>
      <c r="E535" s="114" t="s">
        <v>15</v>
      </c>
      <c r="F535" s="115" t="s">
        <v>16</v>
      </c>
      <c r="G535" s="116">
        <v>5.77</v>
      </c>
      <c r="H535" s="125">
        <v>7.35</v>
      </c>
      <c r="I535" s="111">
        <v>48</v>
      </c>
      <c r="J535" s="117">
        <f t="shared" si="265"/>
        <v>2.0356559999999999</v>
      </c>
      <c r="K535" s="118"/>
      <c r="L535" s="111">
        <v>48</v>
      </c>
      <c r="M535" s="117">
        <f t="shared" si="266"/>
        <v>2.0356559999999995</v>
      </c>
      <c r="N535" s="119">
        <f t="shared" si="267"/>
        <v>0</v>
      </c>
      <c r="O535" s="120">
        <f t="shared" si="268"/>
        <v>0</v>
      </c>
      <c r="P535" s="32"/>
      <c r="Q535" s="32"/>
      <c r="R535" s="32"/>
    </row>
    <row r="536" spans="1:18" ht="15.6">
      <c r="A536" s="110" t="s">
        <v>803</v>
      </c>
      <c r="B536" s="111" t="s">
        <v>227</v>
      </c>
      <c r="C536" s="112" t="s">
        <v>449</v>
      </c>
      <c r="D536" s="113" t="s">
        <v>17</v>
      </c>
      <c r="E536" s="114" t="s">
        <v>15</v>
      </c>
      <c r="F536" s="115" t="s">
        <v>16</v>
      </c>
      <c r="G536" s="116">
        <v>5.77</v>
      </c>
      <c r="H536" s="125">
        <v>11</v>
      </c>
      <c r="I536" s="111">
        <v>12</v>
      </c>
      <c r="J536" s="117">
        <f t="shared" si="265"/>
        <v>0.76163999999999998</v>
      </c>
      <c r="K536" s="118"/>
      <c r="L536" s="111">
        <v>12</v>
      </c>
      <c r="M536" s="117">
        <f t="shared" si="266"/>
        <v>0.76163999999999998</v>
      </c>
      <c r="N536" s="119">
        <f t="shared" si="267"/>
        <v>0</v>
      </c>
      <c r="O536" s="120">
        <f t="shared" si="268"/>
        <v>0</v>
      </c>
      <c r="P536" s="32"/>
      <c r="Q536" s="32"/>
      <c r="R536" s="32"/>
    </row>
    <row r="537" spans="1:18" ht="15.6">
      <c r="A537" s="110" t="s">
        <v>803</v>
      </c>
      <c r="B537" s="111" t="s">
        <v>227</v>
      </c>
      <c r="C537" s="112" t="s">
        <v>449</v>
      </c>
      <c r="D537" s="113" t="s">
        <v>17</v>
      </c>
      <c r="E537" s="114" t="s">
        <v>15</v>
      </c>
      <c r="F537" s="115" t="s">
        <v>16</v>
      </c>
      <c r="G537" s="116">
        <v>5.77</v>
      </c>
      <c r="H537" s="125">
        <v>10</v>
      </c>
      <c r="I537" s="111">
        <v>27</v>
      </c>
      <c r="J537" s="117">
        <f t="shared" si="265"/>
        <v>1.5578999999999998</v>
      </c>
      <c r="K537" s="118"/>
      <c r="L537" s="111">
        <v>13</v>
      </c>
      <c r="M537" s="117">
        <f t="shared" si="266"/>
        <v>0.75009999999999988</v>
      </c>
      <c r="N537" s="119">
        <f t="shared" si="267"/>
        <v>14</v>
      </c>
      <c r="O537" s="120">
        <f t="shared" si="268"/>
        <v>0.80779999999999996</v>
      </c>
      <c r="P537" s="32"/>
      <c r="Q537" s="32"/>
      <c r="R537" s="32"/>
    </row>
    <row r="538" spans="1:18" ht="15.6">
      <c r="A538" s="110" t="s">
        <v>803</v>
      </c>
      <c r="B538" s="111" t="s">
        <v>227</v>
      </c>
      <c r="C538" s="112" t="s">
        <v>449</v>
      </c>
      <c r="D538" s="113" t="s">
        <v>17</v>
      </c>
      <c r="E538" s="114" t="s">
        <v>15</v>
      </c>
      <c r="F538" s="115" t="s">
        <v>16</v>
      </c>
      <c r="G538" s="116">
        <v>5.77</v>
      </c>
      <c r="H538" s="125">
        <v>10.5</v>
      </c>
      <c r="I538" s="111">
        <v>18</v>
      </c>
      <c r="J538" s="117">
        <f t="shared" si="265"/>
        <v>1.09053</v>
      </c>
      <c r="K538" s="118"/>
      <c r="L538" s="111">
        <v>18</v>
      </c>
      <c r="M538" s="117">
        <f t="shared" si="266"/>
        <v>1.09053</v>
      </c>
      <c r="N538" s="119">
        <f t="shared" si="267"/>
        <v>0</v>
      </c>
      <c r="O538" s="120">
        <f t="shared" si="268"/>
        <v>0</v>
      </c>
      <c r="P538" s="32"/>
      <c r="Q538" s="32"/>
      <c r="R538" s="32"/>
    </row>
    <row r="539" spans="1:18" ht="15.6">
      <c r="A539" s="110" t="s">
        <v>803</v>
      </c>
      <c r="B539" s="111" t="s">
        <v>227</v>
      </c>
      <c r="C539" s="112" t="s">
        <v>449</v>
      </c>
      <c r="D539" s="113" t="s">
        <v>17</v>
      </c>
      <c r="E539" s="114" t="s">
        <v>15</v>
      </c>
      <c r="F539" s="115" t="s">
        <v>16</v>
      </c>
      <c r="G539" s="116">
        <v>5.77</v>
      </c>
      <c r="H539" s="125">
        <v>7.35</v>
      </c>
      <c r="I539" s="111">
        <v>11</v>
      </c>
      <c r="J539" s="117">
        <f t="shared" si="265"/>
        <v>0.46650449999999993</v>
      </c>
      <c r="K539" s="118"/>
      <c r="L539" s="111">
        <v>11</v>
      </c>
      <c r="M539" s="117">
        <f t="shared" si="266"/>
        <v>0.46650449999999993</v>
      </c>
      <c r="N539" s="119">
        <f t="shared" si="267"/>
        <v>0</v>
      </c>
      <c r="O539" s="120">
        <f t="shared" si="268"/>
        <v>0</v>
      </c>
      <c r="P539" s="32"/>
      <c r="Q539" s="32"/>
      <c r="R539" s="32"/>
    </row>
    <row r="540" spans="1:18" ht="15.6">
      <c r="A540" s="110" t="s">
        <v>803</v>
      </c>
      <c r="B540" s="111" t="s">
        <v>227</v>
      </c>
      <c r="C540" s="112" t="s">
        <v>449</v>
      </c>
      <c r="D540" s="113" t="s">
        <v>17</v>
      </c>
      <c r="E540" s="114" t="s">
        <v>15</v>
      </c>
      <c r="F540" s="115" t="s">
        <v>16</v>
      </c>
      <c r="G540" s="116">
        <v>5.77</v>
      </c>
      <c r="H540" s="125">
        <v>9.5</v>
      </c>
      <c r="I540" s="111">
        <v>3</v>
      </c>
      <c r="J540" s="117">
        <f t="shared" si="265"/>
        <v>0.16444499999999998</v>
      </c>
      <c r="K540" s="118"/>
      <c r="L540" s="111">
        <v>3</v>
      </c>
      <c r="M540" s="117">
        <f t="shared" si="266"/>
        <v>0.16444499999999998</v>
      </c>
      <c r="N540" s="119">
        <f t="shared" si="267"/>
        <v>0</v>
      </c>
      <c r="O540" s="120">
        <f t="shared" si="268"/>
        <v>0</v>
      </c>
      <c r="P540" s="32">
        <v>7.35</v>
      </c>
      <c r="Q540" s="32">
        <v>3</v>
      </c>
      <c r="R540" s="32"/>
    </row>
    <row r="541" spans="1:18" ht="15.6">
      <c r="A541" s="110" t="s">
        <v>803</v>
      </c>
      <c r="B541" s="111" t="s">
        <v>227</v>
      </c>
      <c r="C541" s="112" t="s">
        <v>449</v>
      </c>
      <c r="D541" s="113" t="s">
        <v>17</v>
      </c>
      <c r="E541" s="114" t="s">
        <v>15</v>
      </c>
      <c r="F541" s="115" t="s">
        <v>16</v>
      </c>
      <c r="G541" s="116">
        <v>5.77</v>
      </c>
      <c r="H541" s="125">
        <v>9.8000000000000007</v>
      </c>
      <c r="I541" s="111">
        <v>3</v>
      </c>
      <c r="J541" s="117">
        <f t="shared" si="265"/>
        <v>0.16963800000000001</v>
      </c>
      <c r="K541" s="118"/>
      <c r="L541" s="111"/>
      <c r="M541" s="117">
        <f t="shared" si="266"/>
        <v>0</v>
      </c>
      <c r="N541" s="119">
        <f t="shared" si="267"/>
        <v>3</v>
      </c>
      <c r="O541" s="120">
        <f t="shared" si="268"/>
        <v>0.16963800000000001</v>
      </c>
      <c r="P541" s="32"/>
      <c r="Q541" s="32"/>
      <c r="R541" s="32"/>
    </row>
    <row r="542" spans="1:18" ht="15.6">
      <c r="A542" s="110" t="s">
        <v>803</v>
      </c>
      <c r="B542" s="111" t="s">
        <v>227</v>
      </c>
      <c r="C542" s="112" t="s">
        <v>449</v>
      </c>
      <c r="D542" s="113" t="s">
        <v>17</v>
      </c>
      <c r="E542" s="114" t="s">
        <v>15</v>
      </c>
      <c r="F542" s="115" t="s">
        <v>16</v>
      </c>
      <c r="G542" s="116">
        <v>5.77</v>
      </c>
      <c r="H542" s="125">
        <v>7</v>
      </c>
      <c r="I542" s="111">
        <v>1</v>
      </c>
      <c r="J542" s="117">
        <f t="shared" si="265"/>
        <v>4.0390000000000002E-2</v>
      </c>
      <c r="K542" s="118"/>
      <c r="L542" s="111"/>
      <c r="M542" s="117">
        <f t="shared" si="266"/>
        <v>0</v>
      </c>
      <c r="N542" s="119">
        <f t="shared" si="267"/>
        <v>1</v>
      </c>
      <c r="O542" s="120">
        <f t="shared" si="268"/>
        <v>4.0390000000000002E-2</v>
      </c>
      <c r="P542" s="32"/>
      <c r="Q542" s="32"/>
      <c r="R542" s="32"/>
    </row>
    <row r="543" spans="1:18" ht="15.6">
      <c r="A543" s="110" t="s">
        <v>803</v>
      </c>
      <c r="B543" s="111" t="s">
        <v>227</v>
      </c>
      <c r="C543" s="112" t="s">
        <v>449</v>
      </c>
      <c r="D543" s="113" t="s">
        <v>17</v>
      </c>
      <c r="E543" s="114" t="s">
        <v>15</v>
      </c>
      <c r="F543" s="115" t="s">
        <v>16</v>
      </c>
      <c r="G543" s="116">
        <v>5.77</v>
      </c>
      <c r="H543" s="125">
        <v>12</v>
      </c>
      <c r="I543" s="111">
        <v>49</v>
      </c>
      <c r="J543" s="117">
        <f t="shared" si="265"/>
        <v>3.3927599999999996</v>
      </c>
      <c r="K543" s="118"/>
      <c r="L543" s="111">
        <v>49</v>
      </c>
      <c r="M543" s="117">
        <f t="shared" si="266"/>
        <v>3.3927599999999996</v>
      </c>
      <c r="N543" s="119">
        <f t="shared" si="267"/>
        <v>0</v>
      </c>
      <c r="O543" s="120">
        <f t="shared" si="268"/>
        <v>0</v>
      </c>
      <c r="P543" s="32"/>
      <c r="Q543" s="32"/>
      <c r="R543" s="32"/>
    </row>
    <row r="544" spans="1:18" ht="15.6">
      <c r="A544" s="110" t="s">
        <v>803</v>
      </c>
      <c r="B544" s="111" t="s">
        <v>227</v>
      </c>
      <c r="C544" s="112" t="s">
        <v>449</v>
      </c>
      <c r="D544" s="113" t="s">
        <v>17</v>
      </c>
      <c r="E544" s="114" t="s">
        <v>15</v>
      </c>
      <c r="F544" s="115" t="s">
        <v>16</v>
      </c>
      <c r="G544" s="116">
        <v>5.77</v>
      </c>
      <c r="H544" s="125">
        <v>11</v>
      </c>
      <c r="I544" s="111">
        <v>48</v>
      </c>
      <c r="J544" s="117">
        <f t="shared" si="265"/>
        <v>3.0465599999999999</v>
      </c>
      <c r="K544" s="118"/>
      <c r="L544" s="111">
        <v>48</v>
      </c>
      <c r="M544" s="117">
        <f t="shared" si="266"/>
        <v>3.0465599999999999</v>
      </c>
      <c r="N544" s="119">
        <f t="shared" si="267"/>
        <v>0</v>
      </c>
      <c r="O544" s="120">
        <f t="shared" si="268"/>
        <v>0</v>
      </c>
      <c r="P544" s="32"/>
      <c r="Q544" s="32"/>
      <c r="R544" s="32"/>
    </row>
    <row r="545" spans="1:18" ht="15.6">
      <c r="A545" s="110" t="s">
        <v>803</v>
      </c>
      <c r="B545" s="111" t="s">
        <v>227</v>
      </c>
      <c r="C545" s="112" t="s">
        <v>449</v>
      </c>
      <c r="D545" s="113" t="s">
        <v>17</v>
      </c>
      <c r="E545" s="114" t="s">
        <v>15</v>
      </c>
      <c r="F545" s="115" t="s">
        <v>16</v>
      </c>
      <c r="G545" s="116">
        <v>5.77</v>
      </c>
      <c r="H545" s="125">
        <v>11</v>
      </c>
      <c r="I545" s="111">
        <v>59</v>
      </c>
      <c r="J545" s="117">
        <f t="shared" si="265"/>
        <v>3.7447300000000001</v>
      </c>
      <c r="K545" s="118"/>
      <c r="L545" s="111">
        <v>59</v>
      </c>
      <c r="M545" s="117">
        <f t="shared" si="266"/>
        <v>3.7447299999999997</v>
      </c>
      <c r="N545" s="119">
        <f t="shared" si="267"/>
        <v>0</v>
      </c>
      <c r="O545" s="120">
        <f t="shared" si="268"/>
        <v>0</v>
      </c>
      <c r="P545" s="32"/>
      <c r="Q545" s="32"/>
      <c r="R545" s="32"/>
    </row>
    <row r="546" spans="1:18" ht="15.6">
      <c r="A546" s="110" t="s">
        <v>803</v>
      </c>
      <c r="B546" s="111" t="s">
        <v>227</v>
      </c>
      <c r="C546" s="112" t="s">
        <v>449</v>
      </c>
      <c r="D546" s="113" t="s">
        <v>17</v>
      </c>
      <c r="E546" s="114" t="s">
        <v>15</v>
      </c>
      <c r="F546" s="115" t="s">
        <v>16</v>
      </c>
      <c r="G546" s="116">
        <v>5.77</v>
      </c>
      <c r="H546" s="125">
        <v>10.5</v>
      </c>
      <c r="I546" s="111">
        <v>47</v>
      </c>
      <c r="J546" s="117">
        <f t="shared" si="265"/>
        <v>2.8474949999999999</v>
      </c>
      <c r="K546" s="118"/>
      <c r="L546" s="111">
        <v>47</v>
      </c>
      <c r="M546" s="117">
        <f t="shared" si="266"/>
        <v>2.8474949999999999</v>
      </c>
      <c r="N546" s="119">
        <f t="shared" si="267"/>
        <v>0</v>
      </c>
      <c r="O546" s="120">
        <f t="shared" si="268"/>
        <v>0</v>
      </c>
      <c r="P546" s="32"/>
      <c r="Q546" s="32"/>
      <c r="R546" s="32"/>
    </row>
    <row r="547" spans="1:18" ht="15.6">
      <c r="A547" s="110" t="s">
        <v>803</v>
      </c>
      <c r="B547" s="111" t="s">
        <v>227</v>
      </c>
      <c r="C547" s="112" t="s">
        <v>449</v>
      </c>
      <c r="D547" s="113" t="s">
        <v>17</v>
      </c>
      <c r="E547" s="114" t="s">
        <v>15</v>
      </c>
      <c r="F547" s="115" t="s">
        <v>16</v>
      </c>
      <c r="G547" s="116">
        <v>5.77</v>
      </c>
      <c r="H547" s="125">
        <v>12</v>
      </c>
      <c r="I547" s="111">
        <v>46</v>
      </c>
      <c r="J547" s="117">
        <f t="shared" si="265"/>
        <v>3.1850399999999999</v>
      </c>
      <c r="K547" s="118"/>
      <c r="L547" s="111">
        <v>46</v>
      </c>
      <c r="M547" s="117">
        <f t="shared" si="266"/>
        <v>3.1850399999999999</v>
      </c>
      <c r="N547" s="119">
        <f t="shared" si="267"/>
        <v>0</v>
      </c>
      <c r="O547" s="120">
        <f t="shared" si="268"/>
        <v>0</v>
      </c>
      <c r="P547" s="32"/>
      <c r="Q547" s="32"/>
      <c r="R547" s="32"/>
    </row>
    <row r="548" spans="1:18" ht="15.6">
      <c r="A548" s="110" t="s">
        <v>803</v>
      </c>
      <c r="B548" s="111" t="s">
        <v>227</v>
      </c>
      <c r="C548" s="112" t="s">
        <v>449</v>
      </c>
      <c r="D548" s="113" t="s">
        <v>17</v>
      </c>
      <c r="E548" s="114" t="s">
        <v>15</v>
      </c>
      <c r="F548" s="115" t="s">
        <v>16</v>
      </c>
      <c r="G548" s="116">
        <v>5.77</v>
      </c>
      <c r="H548" s="125">
        <v>12</v>
      </c>
      <c r="I548" s="111">
        <v>13</v>
      </c>
      <c r="J548" s="117">
        <f t="shared" si="265"/>
        <v>0.90011999999999992</v>
      </c>
      <c r="K548" s="118"/>
      <c r="L548" s="111">
        <f>6+7</f>
        <v>13</v>
      </c>
      <c r="M548" s="117">
        <f t="shared" si="266"/>
        <v>0.90011999999999992</v>
      </c>
      <c r="N548" s="119">
        <f t="shared" si="267"/>
        <v>0</v>
      </c>
      <c r="O548" s="120">
        <f t="shared" si="268"/>
        <v>0</v>
      </c>
      <c r="P548" s="32">
        <v>11</v>
      </c>
      <c r="Q548" s="32">
        <v>7</v>
      </c>
      <c r="R548" s="32"/>
    </row>
    <row r="549" spans="1:18" ht="15.6">
      <c r="A549" s="110" t="s">
        <v>803</v>
      </c>
      <c r="B549" s="111" t="s">
        <v>227</v>
      </c>
      <c r="C549" s="112" t="s">
        <v>449</v>
      </c>
      <c r="D549" s="113" t="s">
        <v>17</v>
      </c>
      <c r="E549" s="114" t="s">
        <v>15</v>
      </c>
      <c r="F549" s="115" t="s">
        <v>16</v>
      </c>
      <c r="G549" s="116">
        <v>5.77</v>
      </c>
      <c r="H549" s="125">
        <v>11</v>
      </c>
      <c r="I549" s="111">
        <v>5</v>
      </c>
      <c r="J549" s="117">
        <f t="shared" si="265"/>
        <v>0.31735000000000002</v>
      </c>
      <c r="K549" s="118"/>
      <c r="L549" s="111">
        <v>5</v>
      </c>
      <c r="M549" s="117">
        <f t="shared" si="266"/>
        <v>0.31734999999999997</v>
      </c>
      <c r="N549" s="119">
        <f t="shared" si="267"/>
        <v>0</v>
      </c>
      <c r="O549" s="120">
        <f t="shared" si="268"/>
        <v>0</v>
      </c>
      <c r="P549" s="32"/>
      <c r="Q549" s="32"/>
      <c r="R549" s="32"/>
    </row>
    <row r="550" spans="1:18" ht="15.6">
      <c r="A550" s="110" t="s">
        <v>803</v>
      </c>
      <c r="B550" s="111" t="s">
        <v>227</v>
      </c>
      <c r="C550" s="112" t="s">
        <v>449</v>
      </c>
      <c r="D550" s="113" t="s">
        <v>17</v>
      </c>
      <c r="E550" s="114" t="s">
        <v>15</v>
      </c>
      <c r="F550" s="115" t="s">
        <v>16</v>
      </c>
      <c r="G550" s="116">
        <v>5.77</v>
      </c>
      <c r="H550" s="125">
        <v>10.5</v>
      </c>
      <c r="I550" s="111">
        <v>10</v>
      </c>
      <c r="J550" s="117">
        <f t="shared" si="265"/>
        <v>0.60584999999999989</v>
      </c>
      <c r="K550" s="118"/>
      <c r="L550" s="111">
        <v>4</v>
      </c>
      <c r="M550" s="117">
        <f t="shared" si="266"/>
        <v>0.24233999999999997</v>
      </c>
      <c r="N550" s="119">
        <f t="shared" si="267"/>
        <v>6</v>
      </c>
      <c r="O550" s="120">
        <f t="shared" si="268"/>
        <v>0.36351</v>
      </c>
      <c r="P550" s="32"/>
      <c r="Q550" s="32"/>
      <c r="R550" s="32"/>
    </row>
    <row r="551" spans="1:18" ht="15.6">
      <c r="A551" s="110" t="s">
        <v>803</v>
      </c>
      <c r="B551" s="111" t="s">
        <v>227</v>
      </c>
      <c r="C551" s="112" t="s">
        <v>449</v>
      </c>
      <c r="D551" s="113" t="s">
        <v>17</v>
      </c>
      <c r="E551" s="114" t="s">
        <v>15</v>
      </c>
      <c r="F551" s="115" t="s">
        <v>16</v>
      </c>
      <c r="G551" s="116">
        <v>5.77</v>
      </c>
      <c r="H551" s="125">
        <v>10</v>
      </c>
      <c r="I551" s="111">
        <v>45</v>
      </c>
      <c r="J551" s="117">
        <f t="shared" si="265"/>
        <v>2.5964999999999998</v>
      </c>
      <c r="K551" s="118"/>
      <c r="L551" s="111">
        <v>45</v>
      </c>
      <c r="M551" s="117">
        <f t="shared" si="266"/>
        <v>2.5964999999999998</v>
      </c>
      <c r="N551" s="119">
        <f t="shared" si="267"/>
        <v>0</v>
      </c>
      <c r="O551" s="120">
        <f t="shared" si="268"/>
        <v>0</v>
      </c>
      <c r="P551" s="32"/>
      <c r="Q551" s="32"/>
      <c r="R551" s="32"/>
    </row>
    <row r="552" spans="1:18" ht="15.6">
      <c r="A552" s="110" t="s">
        <v>803</v>
      </c>
      <c r="B552" s="111" t="s">
        <v>227</v>
      </c>
      <c r="C552" s="112" t="s">
        <v>449</v>
      </c>
      <c r="D552" s="113" t="s">
        <v>17</v>
      </c>
      <c r="E552" s="114" t="s">
        <v>15</v>
      </c>
      <c r="F552" s="115" t="s">
        <v>16</v>
      </c>
      <c r="G552" s="116">
        <v>5.77</v>
      </c>
      <c r="H552" s="125">
        <v>7.35</v>
      </c>
      <c r="I552" s="111">
        <v>27</v>
      </c>
      <c r="J552" s="117">
        <f t="shared" ref="J552:J554" si="269">H552*G552*I552/1000</f>
        <v>1.1450564999999999</v>
      </c>
      <c r="K552" s="118"/>
      <c r="L552" s="111">
        <v>27</v>
      </c>
      <c r="M552" s="117">
        <f t="shared" ref="M552:M554" si="270">H552*L552*G552/1000</f>
        <v>1.1450564999999999</v>
      </c>
      <c r="N552" s="119">
        <f t="shared" ref="N552:N554" si="271">I552-L552</f>
        <v>0</v>
      </c>
      <c r="O552" s="120">
        <f t="shared" ref="O552:O554" si="272">H552*N552*G552/1000</f>
        <v>0</v>
      </c>
      <c r="P552" s="32"/>
      <c r="Q552" s="32"/>
      <c r="R552" s="32"/>
    </row>
    <row r="553" spans="1:18" ht="15.6">
      <c r="A553" s="110" t="s">
        <v>803</v>
      </c>
      <c r="B553" s="111" t="s">
        <v>227</v>
      </c>
      <c r="C553" s="112" t="s">
        <v>449</v>
      </c>
      <c r="D553" s="113" t="s">
        <v>17</v>
      </c>
      <c r="E553" s="114" t="s">
        <v>15</v>
      </c>
      <c r="F553" s="115" t="s">
        <v>16</v>
      </c>
      <c r="G553" s="116">
        <v>5.77</v>
      </c>
      <c r="H553" s="125">
        <v>9</v>
      </c>
      <c r="I553" s="111">
        <v>1</v>
      </c>
      <c r="J553" s="117">
        <f t="shared" si="269"/>
        <v>5.192999999999999E-2</v>
      </c>
      <c r="K553" s="118"/>
      <c r="L553" s="111">
        <v>1</v>
      </c>
      <c r="M553" s="117">
        <f t="shared" si="270"/>
        <v>5.192999999999999E-2</v>
      </c>
      <c r="N553" s="119">
        <f t="shared" si="271"/>
        <v>0</v>
      </c>
      <c r="O553" s="120">
        <f t="shared" si="272"/>
        <v>0</v>
      </c>
      <c r="P553" s="32"/>
      <c r="Q553" s="32"/>
      <c r="R553" s="32"/>
    </row>
    <row r="554" spans="1:18" ht="15.6">
      <c r="A554" s="110" t="s">
        <v>803</v>
      </c>
      <c r="B554" s="111" t="s">
        <v>227</v>
      </c>
      <c r="C554" s="112" t="s">
        <v>449</v>
      </c>
      <c r="D554" s="113" t="s">
        <v>17</v>
      </c>
      <c r="E554" s="114" t="s">
        <v>15</v>
      </c>
      <c r="F554" s="115" t="s">
        <v>16</v>
      </c>
      <c r="G554" s="116">
        <v>5.77</v>
      </c>
      <c r="H554" s="125">
        <v>9.6999999999999993</v>
      </c>
      <c r="I554" s="111">
        <v>1</v>
      </c>
      <c r="J554" s="117">
        <f t="shared" si="269"/>
        <v>5.5968999999999991E-2</v>
      </c>
      <c r="K554" s="118"/>
      <c r="L554" s="111"/>
      <c r="M554" s="117">
        <f t="shared" si="270"/>
        <v>0</v>
      </c>
      <c r="N554" s="119">
        <f t="shared" si="271"/>
        <v>1</v>
      </c>
      <c r="O554" s="120">
        <f t="shared" si="272"/>
        <v>5.5968999999999991E-2</v>
      </c>
      <c r="P554" s="32"/>
      <c r="Q554" s="32"/>
      <c r="R554" s="32"/>
    </row>
    <row r="555" spans="1:18">
      <c r="A555" s="32"/>
      <c r="B555" s="32"/>
      <c r="C555" s="32"/>
      <c r="D555" s="32"/>
      <c r="E555" s="32"/>
      <c r="F555" s="32"/>
      <c r="G555" s="32"/>
      <c r="H555" s="32"/>
      <c r="I555" s="129">
        <f>SUM(I529:I554)</f>
        <v>721</v>
      </c>
      <c r="J555" s="124">
        <f>SUM(J529:J554)</f>
        <v>44.407073999999994</v>
      </c>
      <c r="K555" s="32"/>
      <c r="L555" s="129">
        <f>SUM(L529:L554)</f>
        <v>711</v>
      </c>
      <c r="M555" s="124">
        <f>SUM(M529:M554)</f>
        <v>43.921816999999997</v>
      </c>
      <c r="N555" s="129">
        <f>SUM(N529:N554)</f>
        <v>10</v>
      </c>
      <c r="O555" s="124">
        <f>SUM(O529:O554)</f>
        <v>0.48525699999999999</v>
      </c>
      <c r="P555" s="32"/>
      <c r="Q555" s="32"/>
      <c r="R555" s="32"/>
    </row>
  </sheetData>
  <pageMargins left="0.28000000000000003" right="0.2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V890"/>
  <sheetViews>
    <sheetView topLeftCell="A22" workbookViewId="0">
      <selection activeCell="N874" sqref="N874"/>
    </sheetView>
  </sheetViews>
  <sheetFormatPr defaultRowHeight="14.4"/>
  <cols>
    <col min="3" max="3" width="10.5546875" bestFit="1" customWidth="1"/>
    <col min="4" max="4" width="14.6640625" bestFit="1" customWidth="1"/>
    <col min="5" max="5" width="4.33203125" bestFit="1" customWidth="1"/>
    <col min="6" max="6" width="12.109375" bestFit="1" customWidth="1"/>
    <col min="9" max="9" width="11.5546875" customWidth="1"/>
    <col min="10" max="10" width="8.44140625" bestFit="1" customWidth="1"/>
    <col min="11" max="11" width="14.33203125" customWidth="1"/>
    <col min="14" max="14" width="5.5546875" bestFit="1" customWidth="1"/>
    <col min="15" max="15" width="8.44140625" bestFit="1" customWidth="1"/>
    <col min="16" max="16" width="12.88671875" bestFit="1" customWidth="1"/>
    <col min="18" max="18" width="14.6640625" customWidth="1"/>
  </cols>
  <sheetData>
    <row r="2" spans="1:19" ht="26.4">
      <c r="A2" s="121" t="s">
        <v>229</v>
      </c>
      <c r="B2" s="122" t="s">
        <v>230</v>
      </c>
      <c r="C2" s="122" t="s">
        <v>0</v>
      </c>
      <c r="D2" s="122" t="s">
        <v>1</v>
      </c>
      <c r="E2" s="122" t="s">
        <v>2</v>
      </c>
      <c r="F2" s="122" t="s">
        <v>3</v>
      </c>
      <c r="G2" s="122" t="s">
        <v>10</v>
      </c>
      <c r="H2" s="122" t="s">
        <v>4</v>
      </c>
      <c r="I2" s="122" t="s">
        <v>5</v>
      </c>
      <c r="J2" s="122" t="s">
        <v>6</v>
      </c>
      <c r="K2" s="122" t="s">
        <v>7</v>
      </c>
      <c r="L2" s="122" t="s">
        <v>5</v>
      </c>
      <c r="M2" s="122" t="s">
        <v>6</v>
      </c>
      <c r="N2" s="122" t="s">
        <v>5</v>
      </c>
      <c r="O2" s="122" t="s">
        <v>6</v>
      </c>
      <c r="P2" s="122" t="s">
        <v>8</v>
      </c>
      <c r="Q2" s="122" t="s">
        <v>9</v>
      </c>
      <c r="R2" s="122" t="s">
        <v>7</v>
      </c>
    </row>
    <row r="3" spans="1:19" ht="15.6">
      <c r="A3" s="110" t="s">
        <v>248</v>
      </c>
      <c r="B3" s="111" t="s">
        <v>232</v>
      </c>
      <c r="C3" s="112" t="s">
        <v>228</v>
      </c>
      <c r="D3" s="113" t="s">
        <v>17</v>
      </c>
      <c r="E3" s="114" t="s">
        <v>15</v>
      </c>
      <c r="F3" s="115" t="s">
        <v>28</v>
      </c>
      <c r="G3" s="116">
        <v>12.18</v>
      </c>
      <c r="H3" s="125">
        <v>9</v>
      </c>
      <c r="I3" s="111">
        <v>14</v>
      </c>
      <c r="J3" s="117">
        <f t="shared" ref="J3" si="0">H3*G3*I3/1000</f>
        <v>1.53468</v>
      </c>
      <c r="K3" s="118"/>
      <c r="L3" s="111">
        <v>14</v>
      </c>
      <c r="M3" s="117">
        <f t="shared" ref="M3" si="1">H3*L3*G3/1000</f>
        <v>1.53468</v>
      </c>
      <c r="N3" s="119">
        <f t="shared" ref="N3" si="2">I3-L3</f>
        <v>0</v>
      </c>
      <c r="O3" s="120">
        <f t="shared" ref="O3" si="3">H3*N3*G3/1000</f>
        <v>0</v>
      </c>
      <c r="P3" s="111"/>
      <c r="Q3" s="111"/>
      <c r="R3" s="111"/>
      <c r="S3" s="111"/>
    </row>
    <row r="4" spans="1:19" ht="15.6">
      <c r="A4" s="110" t="s">
        <v>248</v>
      </c>
      <c r="B4" s="111" t="s">
        <v>232</v>
      </c>
      <c r="C4" s="112" t="s">
        <v>228</v>
      </c>
      <c r="D4" s="113" t="s">
        <v>17</v>
      </c>
      <c r="E4" s="114" t="s">
        <v>15</v>
      </c>
      <c r="F4" s="115" t="s">
        <v>28</v>
      </c>
      <c r="G4" s="116">
        <v>12.18</v>
      </c>
      <c r="H4" s="125">
        <v>12</v>
      </c>
      <c r="I4" s="111">
        <f>4+20</f>
        <v>24</v>
      </c>
      <c r="J4" s="117">
        <f t="shared" ref="J4:J8" si="4">H4*G4*I4/1000</f>
        <v>3.5078400000000003</v>
      </c>
      <c r="K4" s="118"/>
      <c r="L4" s="111">
        <v>24</v>
      </c>
      <c r="M4" s="117">
        <f t="shared" ref="M4:M8" si="5">H4*L4*G4/1000</f>
        <v>3.5078400000000003</v>
      </c>
      <c r="N4" s="119">
        <f t="shared" ref="N4:N8" si="6">I4-L4</f>
        <v>0</v>
      </c>
      <c r="O4" s="120">
        <f t="shared" ref="O4:O8" si="7">H4*N4*G4/1000</f>
        <v>0</v>
      </c>
      <c r="P4" s="111"/>
      <c r="Q4" s="111"/>
      <c r="R4" s="111"/>
      <c r="S4" s="111"/>
    </row>
    <row r="5" spans="1:19" ht="15.6">
      <c r="A5" s="110" t="s">
        <v>248</v>
      </c>
      <c r="B5" s="111" t="s">
        <v>232</v>
      </c>
      <c r="C5" s="112" t="s">
        <v>228</v>
      </c>
      <c r="D5" s="113" t="s">
        <v>17</v>
      </c>
      <c r="E5" s="114" t="s">
        <v>15</v>
      </c>
      <c r="F5" s="115" t="s">
        <v>28</v>
      </c>
      <c r="G5" s="116">
        <v>12.18</v>
      </c>
      <c r="H5" s="125">
        <v>12</v>
      </c>
      <c r="I5" s="111">
        <v>7</v>
      </c>
      <c r="J5" s="117">
        <f t="shared" si="4"/>
        <v>1.02312</v>
      </c>
      <c r="K5" s="118"/>
      <c r="L5" s="111">
        <v>7</v>
      </c>
      <c r="M5" s="117">
        <f t="shared" si="5"/>
        <v>1.02312</v>
      </c>
      <c r="N5" s="119">
        <f t="shared" si="6"/>
        <v>0</v>
      </c>
      <c r="O5" s="120">
        <f t="shared" si="7"/>
        <v>0</v>
      </c>
      <c r="P5" s="111"/>
      <c r="Q5" s="111"/>
      <c r="R5" s="111"/>
      <c r="S5" s="111"/>
    </row>
    <row r="6" spans="1:19" ht="15.6">
      <c r="A6" s="110" t="s">
        <v>248</v>
      </c>
      <c r="B6" s="111" t="s">
        <v>232</v>
      </c>
      <c r="C6" s="112" t="s">
        <v>228</v>
      </c>
      <c r="D6" s="113" t="s">
        <v>17</v>
      </c>
      <c r="E6" s="114" t="s">
        <v>15</v>
      </c>
      <c r="F6" s="115" t="s">
        <v>28</v>
      </c>
      <c r="G6" s="116">
        <v>12.18</v>
      </c>
      <c r="H6" s="125">
        <v>8.5</v>
      </c>
      <c r="I6" s="111">
        <v>1</v>
      </c>
      <c r="J6" s="117">
        <f t="shared" si="4"/>
        <v>0.10353</v>
      </c>
      <c r="K6" s="118"/>
      <c r="L6" s="111">
        <v>1</v>
      </c>
      <c r="M6" s="117">
        <f t="shared" si="5"/>
        <v>0.10353</v>
      </c>
      <c r="N6" s="119">
        <f t="shared" si="6"/>
        <v>0</v>
      </c>
      <c r="O6" s="120">
        <f t="shared" si="7"/>
        <v>0</v>
      </c>
      <c r="P6" s="111"/>
      <c r="Q6" s="111">
        <v>1</v>
      </c>
      <c r="R6" s="111" t="s">
        <v>250</v>
      </c>
      <c r="S6" s="111"/>
    </row>
    <row r="7" spans="1:19" ht="15.6">
      <c r="A7" s="110" t="s">
        <v>248</v>
      </c>
      <c r="B7" s="111" t="s">
        <v>232</v>
      </c>
      <c r="C7" s="112" t="s">
        <v>228</v>
      </c>
      <c r="D7" s="113" t="s">
        <v>17</v>
      </c>
      <c r="E7" s="114" t="s">
        <v>15</v>
      </c>
      <c r="F7" s="115" t="s">
        <v>28</v>
      </c>
      <c r="G7" s="116">
        <v>12.18</v>
      </c>
      <c r="H7" s="125">
        <v>8.6999999999999993</v>
      </c>
      <c r="I7" s="111">
        <v>1</v>
      </c>
      <c r="J7" s="117">
        <f t="shared" si="4"/>
        <v>0.10596599999999999</v>
      </c>
      <c r="K7" s="118"/>
      <c r="L7" s="111">
        <v>1</v>
      </c>
      <c r="M7" s="117">
        <f t="shared" si="5"/>
        <v>0.10596599999999999</v>
      </c>
      <c r="N7" s="119">
        <f t="shared" si="6"/>
        <v>0</v>
      </c>
      <c r="O7" s="120">
        <f t="shared" si="7"/>
        <v>0</v>
      </c>
      <c r="P7" s="111"/>
      <c r="Q7" s="111">
        <v>1</v>
      </c>
      <c r="R7" s="111" t="s">
        <v>250</v>
      </c>
      <c r="S7" s="111"/>
    </row>
    <row r="8" spans="1:19" ht="15.6">
      <c r="A8" s="110" t="s">
        <v>248</v>
      </c>
      <c r="B8" s="111" t="s">
        <v>232</v>
      </c>
      <c r="C8" s="112" t="s">
        <v>228</v>
      </c>
      <c r="D8" s="113" t="s">
        <v>17</v>
      </c>
      <c r="E8" s="114" t="s">
        <v>15</v>
      </c>
      <c r="F8" s="115" t="s">
        <v>28</v>
      </c>
      <c r="G8" s="116">
        <v>12.18</v>
      </c>
      <c r="H8" s="125">
        <v>11.8</v>
      </c>
      <c r="I8" s="111">
        <v>1</v>
      </c>
      <c r="J8" s="117">
        <f t="shared" si="4"/>
        <v>0.14372400000000002</v>
      </c>
      <c r="K8" s="118"/>
      <c r="L8" s="111">
        <v>1</v>
      </c>
      <c r="M8" s="117">
        <f t="shared" si="5"/>
        <v>0.14372400000000002</v>
      </c>
      <c r="N8" s="119">
        <f t="shared" si="6"/>
        <v>0</v>
      </c>
      <c r="O8" s="120">
        <f t="shared" si="7"/>
        <v>0</v>
      </c>
      <c r="P8" s="130"/>
      <c r="Q8" s="111">
        <v>1</v>
      </c>
      <c r="R8" s="111" t="s">
        <v>250</v>
      </c>
      <c r="S8" s="111"/>
    </row>
    <row r="9" spans="1:19">
      <c r="A9" s="32"/>
      <c r="B9" s="32"/>
      <c r="C9" s="32"/>
      <c r="D9" s="32"/>
      <c r="E9" s="32"/>
      <c r="F9" s="32"/>
      <c r="G9" s="32"/>
      <c r="H9" s="32"/>
      <c r="I9" s="129">
        <f>SUM(I3:I8)</f>
        <v>48</v>
      </c>
      <c r="J9" s="124">
        <f>SUM(J3:J8)</f>
        <v>6.4188599999999996</v>
      </c>
      <c r="K9" s="32"/>
      <c r="L9" s="129">
        <f>SUM(L3:L8)</f>
        <v>48</v>
      </c>
      <c r="M9" s="124">
        <f>SUM(M3:M8)</f>
        <v>6.4188599999999996</v>
      </c>
      <c r="N9" s="131">
        <f>SUM(N3:N8)</f>
        <v>0</v>
      </c>
      <c r="O9" s="132">
        <f>SUM(O3:O8)</f>
        <v>0</v>
      </c>
      <c r="P9" s="32"/>
      <c r="Q9" s="32"/>
      <c r="R9" s="32"/>
      <c r="S9" s="32"/>
    </row>
    <row r="11" spans="1:19" ht="15.6">
      <c r="A11" s="110" t="s">
        <v>248</v>
      </c>
      <c r="B11" s="111" t="s">
        <v>232</v>
      </c>
      <c r="C11" s="112" t="s">
        <v>228</v>
      </c>
      <c r="D11" s="113" t="s">
        <v>89</v>
      </c>
      <c r="E11" s="133" t="s">
        <v>15</v>
      </c>
      <c r="F11" s="133" t="s">
        <v>28</v>
      </c>
      <c r="G11" s="134">
        <v>12.2</v>
      </c>
      <c r="H11" s="135">
        <v>7.5</v>
      </c>
      <c r="I11" s="136">
        <f>27+26+6+20+15+6</f>
        <v>100</v>
      </c>
      <c r="J11" s="137">
        <f t="shared" ref="J11" si="8">(G11*H11*I11/1000)</f>
        <v>9.15</v>
      </c>
      <c r="K11" s="118"/>
      <c r="L11" s="111">
        <v>100</v>
      </c>
      <c r="M11" s="117">
        <f t="shared" ref="M11" si="9">H11*L11*G11/1000</f>
        <v>9.15</v>
      </c>
      <c r="N11" s="119">
        <f t="shared" ref="N11" si="10">I11-L11</f>
        <v>0</v>
      </c>
      <c r="O11" s="120">
        <f t="shared" ref="O11" si="11">H11*N11*G11/1000</f>
        <v>0</v>
      </c>
      <c r="P11" s="111"/>
      <c r="Q11" s="111"/>
      <c r="R11" s="111"/>
      <c r="S11" s="111"/>
    </row>
    <row r="12" spans="1:19" ht="15.6">
      <c r="A12" s="110" t="s">
        <v>248</v>
      </c>
      <c r="B12" s="111" t="s">
        <v>232</v>
      </c>
      <c r="C12" s="112" t="s">
        <v>228</v>
      </c>
      <c r="D12" s="113" t="s">
        <v>89</v>
      </c>
      <c r="E12" s="133" t="s">
        <v>15</v>
      </c>
      <c r="F12" s="133" t="s">
        <v>28</v>
      </c>
      <c r="G12" s="134">
        <v>12.2</v>
      </c>
      <c r="H12" s="135">
        <v>7.6</v>
      </c>
      <c r="I12" s="136">
        <f>23+14+30+17+7</f>
        <v>91</v>
      </c>
      <c r="J12" s="137">
        <f t="shared" ref="J12:J26" si="12">(G12*H12*I12/1000)</f>
        <v>8.4375199999999992</v>
      </c>
      <c r="K12" s="118"/>
      <c r="L12" s="111">
        <v>91</v>
      </c>
      <c r="M12" s="117">
        <f t="shared" ref="M12:M26" si="13">H12*L12*G12/1000</f>
        <v>8.437520000000001</v>
      </c>
      <c r="N12" s="119">
        <f t="shared" ref="N12:N26" si="14">I12-L12</f>
        <v>0</v>
      </c>
      <c r="O12" s="120">
        <f t="shared" ref="O12:O26" si="15">H12*N12*G12/1000</f>
        <v>0</v>
      </c>
      <c r="P12" s="111"/>
      <c r="Q12" s="111"/>
      <c r="R12" s="111"/>
      <c r="S12" s="111"/>
    </row>
    <row r="13" spans="1:19" ht="15.6">
      <c r="A13" s="110" t="s">
        <v>248</v>
      </c>
      <c r="B13" s="111" t="s">
        <v>232</v>
      </c>
      <c r="C13" s="112" t="s">
        <v>228</v>
      </c>
      <c r="D13" s="113" t="s">
        <v>89</v>
      </c>
      <c r="E13" s="133" t="s">
        <v>15</v>
      </c>
      <c r="F13" s="133" t="s">
        <v>28</v>
      </c>
      <c r="G13" s="134">
        <v>12.2</v>
      </c>
      <c r="H13" s="135">
        <v>10.3</v>
      </c>
      <c r="I13" s="136">
        <f>6+16</f>
        <v>22</v>
      </c>
      <c r="J13" s="137">
        <f t="shared" si="12"/>
        <v>2.7645200000000001</v>
      </c>
      <c r="K13" s="118"/>
      <c r="L13" s="111">
        <v>22</v>
      </c>
      <c r="M13" s="117">
        <f t="shared" si="13"/>
        <v>2.7645200000000001</v>
      </c>
      <c r="N13" s="119">
        <f t="shared" si="14"/>
        <v>0</v>
      </c>
      <c r="O13" s="120">
        <f t="shared" si="15"/>
        <v>0</v>
      </c>
      <c r="P13" s="111"/>
      <c r="Q13" s="111"/>
      <c r="R13" s="111"/>
      <c r="S13" s="111"/>
    </row>
    <row r="14" spans="1:19" ht="15.6">
      <c r="A14" s="110" t="s">
        <v>248</v>
      </c>
      <c r="B14" s="111" t="s">
        <v>232</v>
      </c>
      <c r="C14" s="112" t="s">
        <v>228</v>
      </c>
      <c r="D14" s="113" t="s">
        <v>89</v>
      </c>
      <c r="E14" s="133" t="s">
        <v>15</v>
      </c>
      <c r="F14" s="133" t="s">
        <v>28</v>
      </c>
      <c r="G14" s="134">
        <v>12.2</v>
      </c>
      <c r="H14" s="135">
        <v>10.4</v>
      </c>
      <c r="I14" s="136">
        <f>24+19</f>
        <v>43</v>
      </c>
      <c r="J14" s="137">
        <f t="shared" si="12"/>
        <v>5.4558400000000002</v>
      </c>
      <c r="K14" s="118"/>
      <c r="L14" s="111">
        <v>43</v>
      </c>
      <c r="M14" s="117">
        <f t="shared" si="13"/>
        <v>5.4558399999999994</v>
      </c>
      <c r="N14" s="119">
        <f t="shared" si="14"/>
        <v>0</v>
      </c>
      <c r="O14" s="120">
        <f t="shared" si="15"/>
        <v>0</v>
      </c>
      <c r="P14" s="111"/>
      <c r="Q14" s="111"/>
      <c r="R14" s="111"/>
      <c r="S14" s="111"/>
    </row>
    <row r="15" spans="1:19" ht="15.6">
      <c r="A15" s="110" t="s">
        <v>248</v>
      </c>
      <c r="B15" s="111" t="s">
        <v>232</v>
      </c>
      <c r="C15" s="112" t="s">
        <v>228</v>
      </c>
      <c r="D15" s="113" t="s">
        <v>89</v>
      </c>
      <c r="E15" s="133" t="s">
        <v>15</v>
      </c>
      <c r="F15" s="133" t="s">
        <v>28</v>
      </c>
      <c r="G15" s="134">
        <v>12.2</v>
      </c>
      <c r="H15" s="135">
        <v>7.4</v>
      </c>
      <c r="I15" s="136">
        <v>3</v>
      </c>
      <c r="J15" s="137">
        <f t="shared" si="12"/>
        <v>0.27084000000000003</v>
      </c>
      <c r="K15" s="118"/>
      <c r="L15" s="111">
        <v>3</v>
      </c>
      <c r="M15" s="117">
        <f t="shared" si="13"/>
        <v>0.27084000000000003</v>
      </c>
      <c r="N15" s="119">
        <f t="shared" si="14"/>
        <v>0</v>
      </c>
      <c r="O15" s="146">
        <f t="shared" si="15"/>
        <v>0</v>
      </c>
      <c r="P15" s="111" t="s">
        <v>369</v>
      </c>
      <c r="Q15" s="111"/>
      <c r="R15" s="159">
        <v>7</v>
      </c>
      <c r="S15" s="111">
        <v>3</v>
      </c>
    </row>
    <row r="16" spans="1:19" ht="15.6">
      <c r="A16" s="110" t="s">
        <v>248</v>
      </c>
      <c r="B16" s="111" t="s">
        <v>232</v>
      </c>
      <c r="C16" s="112" t="s">
        <v>228</v>
      </c>
      <c r="D16" s="113" t="s">
        <v>89</v>
      </c>
      <c r="E16" s="133" t="s">
        <v>15</v>
      </c>
      <c r="F16" s="133" t="s">
        <v>28</v>
      </c>
      <c r="G16" s="134">
        <v>12.2</v>
      </c>
      <c r="H16" s="135">
        <v>7.2</v>
      </c>
      <c r="I16" s="136">
        <v>1</v>
      </c>
      <c r="J16" s="137">
        <f t="shared" si="12"/>
        <v>8.7840000000000001E-2</v>
      </c>
      <c r="K16" s="118"/>
      <c r="L16" s="111">
        <v>1</v>
      </c>
      <c r="M16" s="117">
        <f t="shared" si="13"/>
        <v>8.7840000000000001E-2</v>
      </c>
      <c r="N16" s="119">
        <f t="shared" si="14"/>
        <v>0</v>
      </c>
      <c r="O16" s="146">
        <f t="shared" si="15"/>
        <v>0</v>
      </c>
      <c r="P16" s="111" t="s">
        <v>369</v>
      </c>
      <c r="Q16" s="111"/>
      <c r="R16" s="159">
        <v>7</v>
      </c>
      <c r="S16" s="111">
        <v>1</v>
      </c>
    </row>
    <row r="17" spans="1:19" ht="15.6">
      <c r="A17" s="110" t="s">
        <v>248</v>
      </c>
      <c r="B17" s="111" t="s">
        <v>232</v>
      </c>
      <c r="C17" s="112" t="s">
        <v>228</v>
      </c>
      <c r="D17" s="113" t="s">
        <v>89</v>
      </c>
      <c r="E17" s="133" t="s">
        <v>15</v>
      </c>
      <c r="F17" s="133" t="s">
        <v>28</v>
      </c>
      <c r="G17" s="134">
        <v>12.2</v>
      </c>
      <c r="H17" s="135">
        <v>12</v>
      </c>
      <c r="I17" s="136">
        <v>3</v>
      </c>
      <c r="J17" s="137">
        <f t="shared" si="12"/>
        <v>0.43919999999999992</v>
      </c>
      <c r="K17" s="118"/>
      <c r="L17" s="111">
        <v>3</v>
      </c>
      <c r="M17" s="117">
        <f t="shared" si="13"/>
        <v>0.43919999999999998</v>
      </c>
      <c r="N17" s="119">
        <f t="shared" si="14"/>
        <v>0</v>
      </c>
      <c r="O17" s="120">
        <f t="shared" si="15"/>
        <v>0</v>
      </c>
      <c r="P17" s="111">
        <v>10.3</v>
      </c>
      <c r="Q17" s="111">
        <v>3</v>
      </c>
      <c r="R17" s="159"/>
      <c r="S17" s="111"/>
    </row>
    <row r="18" spans="1:19" ht="15.6">
      <c r="A18" s="110" t="s">
        <v>248</v>
      </c>
      <c r="B18" s="111" t="s">
        <v>232</v>
      </c>
      <c r="C18" s="112" t="s">
        <v>228</v>
      </c>
      <c r="D18" s="113" t="s">
        <v>89</v>
      </c>
      <c r="E18" s="133" t="s">
        <v>15</v>
      </c>
      <c r="F18" s="133" t="s">
        <v>28</v>
      </c>
      <c r="G18" s="134">
        <v>12.2</v>
      </c>
      <c r="H18" s="135">
        <v>8.5</v>
      </c>
      <c r="I18" s="136">
        <v>1</v>
      </c>
      <c r="J18" s="137">
        <f t="shared" si="12"/>
        <v>0.10369999999999999</v>
      </c>
      <c r="K18" s="118"/>
      <c r="L18" s="111">
        <v>1</v>
      </c>
      <c r="M18" s="117">
        <f t="shared" si="13"/>
        <v>0.10369999999999999</v>
      </c>
      <c r="N18" s="119">
        <f t="shared" si="14"/>
        <v>0</v>
      </c>
      <c r="O18" s="120">
        <f t="shared" si="15"/>
        <v>0</v>
      </c>
      <c r="P18" s="111">
        <v>7.5</v>
      </c>
      <c r="Q18" s="111">
        <v>1</v>
      </c>
      <c r="R18" s="159"/>
      <c r="S18" s="111"/>
    </row>
    <row r="19" spans="1:19" ht="15.6">
      <c r="A19" s="110" t="s">
        <v>248</v>
      </c>
      <c r="B19" s="111" t="s">
        <v>232</v>
      </c>
      <c r="C19" s="112" t="s">
        <v>228</v>
      </c>
      <c r="D19" s="113" t="s">
        <v>89</v>
      </c>
      <c r="E19" s="133" t="s">
        <v>15</v>
      </c>
      <c r="F19" s="133" t="s">
        <v>28</v>
      </c>
      <c r="G19" s="134">
        <v>12.2</v>
      </c>
      <c r="H19" s="135">
        <v>8.6999999999999993</v>
      </c>
      <c r="I19" s="136">
        <v>1</v>
      </c>
      <c r="J19" s="137">
        <f t="shared" si="12"/>
        <v>0.10613999999999998</v>
      </c>
      <c r="K19" s="118"/>
      <c r="L19" s="111">
        <v>1</v>
      </c>
      <c r="M19" s="117">
        <f t="shared" si="13"/>
        <v>0.10613999999999998</v>
      </c>
      <c r="N19" s="119">
        <f t="shared" si="14"/>
        <v>0</v>
      </c>
      <c r="O19" s="120">
        <f t="shared" si="15"/>
        <v>0</v>
      </c>
      <c r="P19" s="111">
        <v>7.5</v>
      </c>
      <c r="Q19" s="111">
        <v>1</v>
      </c>
      <c r="R19" s="159"/>
      <c r="S19" s="111"/>
    </row>
    <row r="20" spans="1:19" ht="15.6">
      <c r="A20" s="110" t="s">
        <v>248</v>
      </c>
      <c r="B20" s="111" t="s">
        <v>232</v>
      </c>
      <c r="C20" s="112" t="s">
        <v>228</v>
      </c>
      <c r="D20" s="113" t="s">
        <v>89</v>
      </c>
      <c r="E20" s="133" t="s">
        <v>15</v>
      </c>
      <c r="F20" s="133" t="s">
        <v>28</v>
      </c>
      <c r="G20" s="134">
        <v>12.2</v>
      </c>
      <c r="H20" s="135">
        <v>11.8</v>
      </c>
      <c r="I20" s="136">
        <v>1</v>
      </c>
      <c r="J20" s="137">
        <f t="shared" si="12"/>
        <v>0.14396</v>
      </c>
      <c r="K20" s="118"/>
      <c r="L20" s="111">
        <v>1</v>
      </c>
      <c r="M20" s="117">
        <f t="shared" si="13"/>
        <v>0.14396</v>
      </c>
      <c r="N20" s="119">
        <f t="shared" si="14"/>
        <v>0</v>
      </c>
      <c r="O20" s="120">
        <f t="shared" si="15"/>
        <v>0</v>
      </c>
      <c r="P20" s="111">
        <v>10.3</v>
      </c>
      <c r="Q20" s="111">
        <v>1</v>
      </c>
      <c r="R20" s="159"/>
      <c r="S20" s="111"/>
    </row>
    <row r="21" spans="1:19" ht="15.6">
      <c r="A21" s="110" t="s">
        <v>248</v>
      </c>
      <c r="B21" s="111" t="s">
        <v>232</v>
      </c>
      <c r="C21" s="112" t="s">
        <v>228</v>
      </c>
      <c r="D21" s="113" t="s">
        <v>89</v>
      </c>
      <c r="E21" s="133" t="s">
        <v>15</v>
      </c>
      <c r="F21" s="133" t="s">
        <v>28</v>
      </c>
      <c r="G21" s="134">
        <v>12.2</v>
      </c>
      <c r="H21" s="135">
        <v>7.5</v>
      </c>
      <c r="I21" s="136">
        <v>5</v>
      </c>
      <c r="J21" s="137">
        <f t="shared" si="12"/>
        <v>0.45750000000000002</v>
      </c>
      <c r="K21" s="118"/>
      <c r="L21" s="111">
        <v>5</v>
      </c>
      <c r="M21" s="117">
        <f t="shared" si="13"/>
        <v>0.45750000000000002</v>
      </c>
      <c r="N21" s="119">
        <f t="shared" si="14"/>
        <v>0</v>
      </c>
      <c r="O21" s="120">
        <f t="shared" si="15"/>
        <v>0</v>
      </c>
      <c r="P21" s="111"/>
      <c r="Q21" s="111"/>
      <c r="R21" s="159"/>
      <c r="S21" s="111"/>
    </row>
    <row r="22" spans="1:19" ht="15.6">
      <c r="A22" s="110" t="s">
        <v>248</v>
      </c>
      <c r="B22" s="111" t="s">
        <v>232</v>
      </c>
      <c r="C22" s="112" t="s">
        <v>228</v>
      </c>
      <c r="D22" s="113" t="s">
        <v>89</v>
      </c>
      <c r="E22" s="133" t="s">
        <v>15</v>
      </c>
      <c r="F22" s="133" t="s">
        <v>28</v>
      </c>
      <c r="G22" s="134">
        <v>12.2</v>
      </c>
      <c r="H22" s="135">
        <v>7.6</v>
      </c>
      <c r="I22" s="136">
        <v>3</v>
      </c>
      <c r="J22" s="137">
        <f t="shared" si="12"/>
        <v>0.27815999999999996</v>
      </c>
      <c r="K22" s="118"/>
      <c r="L22" s="111">
        <f>1+2</f>
        <v>3</v>
      </c>
      <c r="M22" s="117">
        <f t="shared" si="13"/>
        <v>0.27815999999999996</v>
      </c>
      <c r="N22" s="119">
        <f t="shared" si="14"/>
        <v>0</v>
      </c>
      <c r="O22" s="120">
        <f t="shared" si="15"/>
        <v>0</v>
      </c>
      <c r="P22" s="111">
        <v>7.5</v>
      </c>
      <c r="Q22" s="111">
        <v>2</v>
      </c>
      <c r="R22" s="159"/>
      <c r="S22" s="111"/>
    </row>
    <row r="23" spans="1:19" ht="15.6">
      <c r="A23" s="110" t="s">
        <v>248</v>
      </c>
      <c r="B23" s="111" t="s">
        <v>232</v>
      </c>
      <c r="C23" s="112" t="s">
        <v>228</v>
      </c>
      <c r="D23" s="113" t="s">
        <v>89</v>
      </c>
      <c r="E23" s="133" t="s">
        <v>15</v>
      </c>
      <c r="F23" s="133" t="s">
        <v>28</v>
      </c>
      <c r="G23" s="134">
        <v>12.2</v>
      </c>
      <c r="H23" s="135">
        <v>9.6999999999999993</v>
      </c>
      <c r="I23" s="136">
        <v>2</v>
      </c>
      <c r="J23" s="137">
        <f t="shared" si="12"/>
        <v>0.23667999999999997</v>
      </c>
      <c r="K23" s="118"/>
      <c r="L23" s="111">
        <v>2</v>
      </c>
      <c r="M23" s="117">
        <f t="shared" si="13"/>
        <v>0.23667999999999997</v>
      </c>
      <c r="N23" s="119">
        <f t="shared" si="14"/>
        <v>0</v>
      </c>
      <c r="O23" s="120">
        <f t="shared" si="15"/>
        <v>0</v>
      </c>
      <c r="P23" s="111">
        <v>7.5</v>
      </c>
      <c r="Q23" s="111">
        <v>2</v>
      </c>
      <c r="R23" s="159"/>
      <c r="S23" s="111"/>
    </row>
    <row r="24" spans="1:19" ht="15.6">
      <c r="A24" s="110" t="s">
        <v>248</v>
      </c>
      <c r="B24" s="111" t="s">
        <v>232</v>
      </c>
      <c r="C24" s="112" t="s">
        <v>228</v>
      </c>
      <c r="D24" s="113" t="s">
        <v>89</v>
      </c>
      <c r="E24" s="133" t="s">
        <v>15</v>
      </c>
      <c r="F24" s="133" t="s">
        <v>28</v>
      </c>
      <c r="G24" s="134">
        <v>12.2</v>
      </c>
      <c r="H24" s="135">
        <v>10</v>
      </c>
      <c r="I24" s="136">
        <v>4</v>
      </c>
      <c r="J24" s="137">
        <f t="shared" si="12"/>
        <v>0.48799999999999999</v>
      </c>
      <c r="K24" s="118"/>
      <c r="L24" s="111">
        <v>4</v>
      </c>
      <c r="M24" s="117">
        <f t="shared" si="13"/>
        <v>0.48799999999999999</v>
      </c>
      <c r="N24" s="119">
        <f t="shared" si="14"/>
        <v>0</v>
      </c>
      <c r="O24" s="120">
        <f t="shared" si="15"/>
        <v>0</v>
      </c>
      <c r="P24" s="111">
        <v>7.5</v>
      </c>
      <c r="Q24" s="111">
        <v>4</v>
      </c>
      <c r="R24" s="159"/>
      <c r="S24" s="111"/>
    </row>
    <row r="25" spans="1:19" ht="15.6">
      <c r="A25" s="110" t="s">
        <v>248</v>
      </c>
      <c r="B25" s="111" t="s">
        <v>232</v>
      </c>
      <c r="C25" s="112" t="s">
        <v>228</v>
      </c>
      <c r="D25" s="113" t="s">
        <v>89</v>
      </c>
      <c r="E25" s="133" t="s">
        <v>15</v>
      </c>
      <c r="F25" s="133" t="s">
        <v>28</v>
      </c>
      <c r="G25" s="134">
        <v>12.2</v>
      </c>
      <c r="H25" s="135">
        <v>10.4</v>
      </c>
      <c r="I25" s="136">
        <v>9</v>
      </c>
      <c r="J25" s="137">
        <f t="shared" ref="J25" si="16">(G25*H25*I25/1000)</f>
        <v>1.14192</v>
      </c>
      <c r="K25" s="118"/>
      <c r="L25" s="111">
        <v>9</v>
      </c>
      <c r="M25" s="117">
        <f t="shared" ref="M25" si="17">H25*L25*G25/1000</f>
        <v>1.14192</v>
      </c>
      <c r="N25" s="119">
        <f t="shared" ref="N25" si="18">I25-L25</f>
        <v>0</v>
      </c>
      <c r="O25" s="120">
        <f t="shared" ref="O25" si="19">H25*N25*G25/1000</f>
        <v>0</v>
      </c>
      <c r="P25" s="111"/>
      <c r="Q25" s="111"/>
      <c r="R25" s="159"/>
      <c r="S25" s="111"/>
    </row>
    <row r="26" spans="1:19" ht="15.6">
      <c r="A26" s="110" t="s">
        <v>248</v>
      </c>
      <c r="B26" s="111" t="s">
        <v>232</v>
      </c>
      <c r="C26" s="112" t="s">
        <v>228</v>
      </c>
      <c r="D26" s="113" t="s">
        <v>89</v>
      </c>
      <c r="E26" s="133" t="s">
        <v>15</v>
      </c>
      <c r="F26" s="133" t="s">
        <v>28</v>
      </c>
      <c r="G26" s="134">
        <v>12.2</v>
      </c>
      <c r="H26" s="135">
        <v>7.2</v>
      </c>
      <c r="I26" s="136">
        <v>1</v>
      </c>
      <c r="J26" s="137">
        <f t="shared" si="12"/>
        <v>8.7840000000000001E-2</v>
      </c>
      <c r="K26" s="118"/>
      <c r="L26" s="111">
        <v>1</v>
      </c>
      <c r="M26" s="117">
        <f t="shared" si="13"/>
        <v>8.7840000000000001E-2</v>
      </c>
      <c r="N26" s="119">
        <f t="shared" si="14"/>
        <v>0</v>
      </c>
      <c r="O26" s="146">
        <f t="shared" si="15"/>
        <v>0</v>
      </c>
      <c r="P26" s="111" t="s">
        <v>369</v>
      </c>
      <c r="Q26" s="111"/>
      <c r="R26" s="159">
        <v>7</v>
      </c>
      <c r="S26" s="111">
        <v>1</v>
      </c>
    </row>
    <row r="27" spans="1:19">
      <c r="I27" s="6">
        <f>SUM(I11:I26)</f>
        <v>290</v>
      </c>
      <c r="J27" s="5">
        <f>SUM(J11:J26)</f>
        <v>29.649659999999994</v>
      </c>
      <c r="L27" s="6">
        <f>SUM(L11:L26)</f>
        <v>290</v>
      </c>
      <c r="M27" s="5">
        <f>SUM(M11:M26)</f>
        <v>29.649659999999997</v>
      </c>
      <c r="N27" s="78">
        <f>SUM(N11:N26)</f>
        <v>0</v>
      </c>
      <c r="O27" s="5">
        <f>SUM(O11:O26)</f>
        <v>0</v>
      </c>
    </row>
    <row r="29" spans="1:19" ht="15.6">
      <c r="A29" s="110" t="s">
        <v>248</v>
      </c>
      <c r="B29" s="111" t="s">
        <v>232</v>
      </c>
      <c r="C29" s="112" t="s">
        <v>228</v>
      </c>
      <c r="D29" s="113" t="s">
        <v>89</v>
      </c>
      <c r="E29" s="133" t="s">
        <v>15</v>
      </c>
      <c r="F29" s="133" t="s">
        <v>45</v>
      </c>
      <c r="G29" s="134">
        <v>13.6</v>
      </c>
      <c r="H29" s="135">
        <v>7.6</v>
      </c>
      <c r="I29" s="136">
        <v>24</v>
      </c>
      <c r="J29" s="137">
        <f t="shared" ref="J29:J32" si="20">(G29*H29*I29/1000)</f>
        <v>2.4806399999999997</v>
      </c>
      <c r="K29" s="118"/>
      <c r="L29" s="111">
        <v>24</v>
      </c>
      <c r="M29" s="117">
        <f t="shared" ref="M29:M32" si="21">H29*L29*G29/1000</f>
        <v>2.4806399999999993</v>
      </c>
      <c r="N29" s="119">
        <f t="shared" ref="N29:N32" si="22">I29-L29</f>
        <v>0</v>
      </c>
      <c r="O29" s="120">
        <f t="shared" ref="O29:O32" si="23">H29*N29*G29/1000</f>
        <v>0</v>
      </c>
      <c r="P29" s="111"/>
      <c r="Q29" s="111"/>
      <c r="R29" s="111"/>
      <c r="S29" s="111"/>
    </row>
    <row r="30" spans="1:19" ht="15.6">
      <c r="A30" s="110" t="s">
        <v>248</v>
      </c>
      <c r="B30" s="111" t="s">
        <v>232</v>
      </c>
      <c r="C30" s="112" t="s">
        <v>228</v>
      </c>
      <c r="D30" s="113" t="s">
        <v>89</v>
      </c>
      <c r="E30" s="133" t="s">
        <v>15</v>
      </c>
      <c r="F30" s="133" t="s">
        <v>45</v>
      </c>
      <c r="G30" s="134">
        <v>13.6</v>
      </c>
      <c r="H30" s="135">
        <v>6.8</v>
      </c>
      <c r="I30" s="136">
        <v>1</v>
      </c>
      <c r="J30" s="137">
        <f t="shared" si="20"/>
        <v>9.2479999999999993E-2</v>
      </c>
      <c r="K30" s="118"/>
      <c r="L30" s="111">
        <v>1</v>
      </c>
      <c r="M30" s="117">
        <f t="shared" si="21"/>
        <v>9.2479999999999993E-2</v>
      </c>
      <c r="N30" s="119">
        <f t="shared" si="22"/>
        <v>0</v>
      </c>
      <c r="O30" s="120">
        <f t="shared" si="23"/>
        <v>0</v>
      </c>
      <c r="P30" s="111">
        <v>6.6</v>
      </c>
      <c r="Q30" s="45">
        <v>1</v>
      </c>
      <c r="R30" s="111" t="s">
        <v>278</v>
      </c>
      <c r="S30" s="111"/>
    </row>
    <row r="31" spans="1:19" ht="15.6">
      <c r="A31" s="110" t="s">
        <v>248</v>
      </c>
      <c r="B31" s="111" t="s">
        <v>232</v>
      </c>
      <c r="C31" s="112" t="s">
        <v>228</v>
      </c>
      <c r="D31" s="113" t="s">
        <v>89</v>
      </c>
      <c r="E31" s="133" t="s">
        <v>15</v>
      </c>
      <c r="F31" s="133" t="s">
        <v>45</v>
      </c>
      <c r="G31" s="134">
        <v>13.6</v>
      </c>
      <c r="H31" s="135">
        <v>7.1</v>
      </c>
      <c r="I31" s="136">
        <v>3</v>
      </c>
      <c r="J31" s="137">
        <f t="shared" si="20"/>
        <v>0.28967999999999994</v>
      </c>
      <c r="K31" s="118"/>
      <c r="L31" s="111">
        <v>3</v>
      </c>
      <c r="M31" s="117">
        <f t="shared" si="21"/>
        <v>0.28967999999999994</v>
      </c>
      <c r="N31" s="119">
        <f t="shared" si="22"/>
        <v>0</v>
      </c>
      <c r="O31" s="120">
        <f t="shared" si="23"/>
        <v>0</v>
      </c>
      <c r="P31" s="111">
        <v>6.6</v>
      </c>
      <c r="Q31" s="45">
        <v>3</v>
      </c>
      <c r="R31" s="111" t="s">
        <v>278</v>
      </c>
      <c r="S31" s="111"/>
    </row>
    <row r="32" spans="1:19" ht="15.6">
      <c r="A32" s="110" t="s">
        <v>248</v>
      </c>
      <c r="B32" s="111" t="s">
        <v>232</v>
      </c>
      <c r="C32" s="112" t="s">
        <v>228</v>
      </c>
      <c r="D32" s="113" t="s">
        <v>89</v>
      </c>
      <c r="E32" s="133" t="s">
        <v>15</v>
      </c>
      <c r="F32" s="133" t="s">
        <v>45</v>
      </c>
      <c r="G32" s="134">
        <v>13.6</v>
      </c>
      <c r="H32" s="135">
        <v>7.6</v>
      </c>
      <c r="I32" s="136">
        <v>2</v>
      </c>
      <c r="J32" s="137">
        <f t="shared" si="20"/>
        <v>0.20671999999999999</v>
      </c>
      <c r="K32" s="118"/>
      <c r="L32" s="111">
        <v>2</v>
      </c>
      <c r="M32" s="117">
        <f t="shared" si="21"/>
        <v>0.20671999999999999</v>
      </c>
      <c r="N32" s="119">
        <f t="shared" si="22"/>
        <v>0</v>
      </c>
      <c r="O32" s="120">
        <f t="shared" si="23"/>
        <v>0</v>
      </c>
      <c r="P32" s="111">
        <v>6.6</v>
      </c>
      <c r="Q32" s="45">
        <v>2</v>
      </c>
      <c r="R32" s="111" t="s">
        <v>278</v>
      </c>
      <c r="S32" s="111"/>
    </row>
    <row r="33" spans="1:19" ht="15.6">
      <c r="A33" s="110" t="s">
        <v>248</v>
      </c>
      <c r="B33" s="111" t="s">
        <v>232</v>
      </c>
      <c r="C33" s="112" t="s">
        <v>228</v>
      </c>
      <c r="D33" s="113" t="s">
        <v>89</v>
      </c>
      <c r="E33" s="133" t="s">
        <v>15</v>
      </c>
      <c r="F33" s="133" t="s">
        <v>45</v>
      </c>
      <c r="G33" s="134">
        <v>13.6</v>
      </c>
      <c r="H33" s="135">
        <v>7.6</v>
      </c>
      <c r="I33" s="136">
        <v>2</v>
      </c>
      <c r="J33" s="137">
        <f t="shared" ref="J33" si="24">(G33*H33*I33/1000)</f>
        <v>0.20671999999999999</v>
      </c>
      <c r="K33" s="118"/>
      <c r="L33" s="111">
        <v>2</v>
      </c>
      <c r="M33" s="117">
        <f t="shared" ref="M33" si="25">H33*L33*G33/1000</f>
        <v>0.20671999999999999</v>
      </c>
      <c r="N33" s="119">
        <f t="shared" ref="N33" si="26">I33-L33</f>
        <v>0</v>
      </c>
      <c r="O33" s="120">
        <f t="shared" ref="O33" si="27">H33*N33*G33/1000</f>
        <v>0</v>
      </c>
      <c r="P33" s="111">
        <v>6.6</v>
      </c>
      <c r="Q33" s="45">
        <v>2</v>
      </c>
      <c r="R33" s="111" t="s">
        <v>278</v>
      </c>
      <c r="S33" s="111"/>
    </row>
    <row r="34" spans="1:19">
      <c r="A34" s="32"/>
      <c r="B34" s="32"/>
      <c r="C34" s="32"/>
      <c r="D34" s="32"/>
      <c r="E34" s="32"/>
      <c r="F34" s="32"/>
      <c r="G34" s="32"/>
      <c r="H34" s="32"/>
      <c r="I34" s="129">
        <f>SUM(I29:I33)</f>
        <v>32</v>
      </c>
      <c r="J34" s="124">
        <f>SUM(J29:J33)</f>
        <v>3.2762399999999996</v>
      </c>
      <c r="K34" s="32"/>
      <c r="L34" s="129">
        <f>SUM(L29:L33)</f>
        <v>32</v>
      </c>
      <c r="M34" s="124">
        <f>SUM(M29:M33)</f>
        <v>3.2762399999999987</v>
      </c>
      <c r="N34" s="131">
        <f>SUM(N29:N33)</f>
        <v>0</v>
      </c>
      <c r="O34" s="132">
        <f>SUM(O29:O33)</f>
        <v>0</v>
      </c>
      <c r="P34" s="32"/>
      <c r="Q34" s="171">
        <f>SUM(Q29:Q33)</f>
        <v>8</v>
      </c>
      <c r="R34" s="32"/>
      <c r="S34" s="32"/>
    </row>
    <row r="36" spans="1:19" ht="15.6">
      <c r="A36" s="110" t="s">
        <v>248</v>
      </c>
      <c r="B36" s="111" t="s">
        <v>232</v>
      </c>
      <c r="C36" s="112" t="s">
        <v>228</v>
      </c>
      <c r="D36" s="113" t="s">
        <v>89</v>
      </c>
      <c r="E36" s="133" t="s">
        <v>15</v>
      </c>
      <c r="F36" s="133" t="s">
        <v>43</v>
      </c>
      <c r="G36" s="134">
        <v>15</v>
      </c>
      <c r="H36" s="135">
        <v>9.1</v>
      </c>
      <c r="I36" s="136">
        <v>9</v>
      </c>
      <c r="J36" s="137">
        <f t="shared" ref="J36" si="28">(G36*H36*I36/1000)</f>
        <v>1.2284999999999999</v>
      </c>
      <c r="K36" s="118"/>
      <c r="L36" s="111">
        <v>9</v>
      </c>
      <c r="M36" s="117">
        <f t="shared" ref="M36" si="29">H36*L36*G36/1000</f>
        <v>1.2284999999999997</v>
      </c>
      <c r="N36" s="119">
        <f t="shared" ref="N36" si="30">I36-L36</f>
        <v>0</v>
      </c>
      <c r="O36" s="120">
        <f t="shared" ref="O36" si="31">H36*N36*G36/1000</f>
        <v>0</v>
      </c>
      <c r="P36" s="111"/>
      <c r="Q36" s="111"/>
      <c r="R36" s="111"/>
      <c r="S36" s="111"/>
    </row>
    <row r="37" spans="1:19" ht="15.6">
      <c r="A37" s="110" t="s">
        <v>248</v>
      </c>
      <c r="B37" s="111" t="s">
        <v>232</v>
      </c>
      <c r="C37" s="112" t="s">
        <v>228</v>
      </c>
      <c r="D37" s="113" t="s">
        <v>89</v>
      </c>
      <c r="E37" s="133" t="s">
        <v>15</v>
      </c>
      <c r="F37" s="133" t="s">
        <v>43</v>
      </c>
      <c r="G37" s="134">
        <v>15</v>
      </c>
      <c r="H37" s="135">
        <v>10.3</v>
      </c>
      <c r="I37" s="136">
        <f>16+10</f>
        <v>26</v>
      </c>
      <c r="J37" s="137">
        <f t="shared" ref="J37:J43" si="32">(G37*H37*I37/1000)</f>
        <v>4.0170000000000003</v>
      </c>
      <c r="K37" s="118"/>
      <c r="L37" s="111">
        <v>26</v>
      </c>
      <c r="M37" s="117">
        <f t="shared" ref="M37:M43" si="33">H37*L37*G37/1000</f>
        <v>4.0170000000000003</v>
      </c>
      <c r="N37" s="119">
        <f t="shared" ref="N37:N43" si="34">I37-L37</f>
        <v>0</v>
      </c>
      <c r="O37" s="120">
        <f t="shared" ref="O37:O43" si="35">H37*N37*G37/1000</f>
        <v>0</v>
      </c>
      <c r="P37" s="111"/>
      <c r="Q37" s="111"/>
      <c r="R37" s="111"/>
      <c r="S37" s="111"/>
    </row>
    <row r="38" spans="1:19" ht="15.6">
      <c r="A38" s="110" t="s">
        <v>248</v>
      </c>
      <c r="B38" s="111" t="s">
        <v>232</v>
      </c>
      <c r="C38" s="112" t="s">
        <v>228</v>
      </c>
      <c r="D38" s="113" t="s">
        <v>89</v>
      </c>
      <c r="E38" s="133" t="s">
        <v>15</v>
      </c>
      <c r="F38" s="133" t="s">
        <v>43</v>
      </c>
      <c r="G38" s="134">
        <v>15</v>
      </c>
      <c r="H38" s="135">
        <v>10.6</v>
      </c>
      <c r="I38" s="136">
        <v>3</v>
      </c>
      <c r="J38" s="137">
        <f t="shared" si="32"/>
        <v>0.47699999999999998</v>
      </c>
      <c r="K38" s="118"/>
      <c r="L38" s="111">
        <v>3</v>
      </c>
      <c r="M38" s="117">
        <f t="shared" si="33"/>
        <v>0.47699999999999992</v>
      </c>
      <c r="N38" s="119">
        <f t="shared" si="34"/>
        <v>0</v>
      </c>
      <c r="O38" s="120">
        <f t="shared" si="35"/>
        <v>0</v>
      </c>
      <c r="P38" s="111"/>
      <c r="Q38" s="111"/>
      <c r="R38" s="111"/>
      <c r="S38" s="111"/>
    </row>
    <row r="39" spans="1:19" ht="15.6">
      <c r="A39" s="110" t="s">
        <v>248</v>
      </c>
      <c r="B39" s="111" t="s">
        <v>232</v>
      </c>
      <c r="C39" s="112" t="s">
        <v>228</v>
      </c>
      <c r="D39" s="113" t="s">
        <v>89</v>
      </c>
      <c r="E39" s="133" t="s">
        <v>15</v>
      </c>
      <c r="F39" s="133" t="s">
        <v>43</v>
      </c>
      <c r="G39" s="134">
        <v>15</v>
      </c>
      <c r="H39" s="135">
        <v>10</v>
      </c>
      <c r="I39" s="136">
        <v>2</v>
      </c>
      <c r="J39" s="137">
        <f t="shared" si="32"/>
        <v>0.3</v>
      </c>
      <c r="K39" s="118"/>
      <c r="L39" s="111">
        <v>2</v>
      </c>
      <c r="M39" s="117">
        <f t="shared" si="33"/>
        <v>0.3</v>
      </c>
      <c r="N39" s="119">
        <f t="shared" si="34"/>
        <v>0</v>
      </c>
      <c r="O39" s="120">
        <f t="shared" si="35"/>
        <v>0</v>
      </c>
      <c r="P39" s="111" t="s">
        <v>367</v>
      </c>
      <c r="Q39" s="111"/>
      <c r="R39" s="111"/>
      <c r="S39" s="111"/>
    </row>
    <row r="40" spans="1:19" ht="15.6">
      <c r="A40" s="110" t="s">
        <v>248</v>
      </c>
      <c r="B40" s="111" t="s">
        <v>232</v>
      </c>
      <c r="C40" s="112" t="s">
        <v>228</v>
      </c>
      <c r="D40" s="113" t="s">
        <v>89</v>
      </c>
      <c r="E40" s="133" t="s">
        <v>15</v>
      </c>
      <c r="F40" s="133" t="s">
        <v>43</v>
      </c>
      <c r="G40" s="134">
        <v>15</v>
      </c>
      <c r="H40" s="135">
        <v>7.6</v>
      </c>
      <c r="I40" s="136">
        <v>2</v>
      </c>
      <c r="J40" s="137">
        <f t="shared" si="32"/>
        <v>0.22800000000000001</v>
      </c>
      <c r="K40" s="118"/>
      <c r="L40" s="111">
        <v>2</v>
      </c>
      <c r="M40" s="117">
        <f t="shared" si="33"/>
        <v>0.22800000000000001</v>
      </c>
      <c r="N40" s="119">
        <f t="shared" si="34"/>
        <v>0</v>
      </c>
      <c r="O40" s="120">
        <f t="shared" si="35"/>
        <v>0</v>
      </c>
      <c r="P40" s="111" t="s">
        <v>367</v>
      </c>
      <c r="Q40" s="111"/>
      <c r="R40" s="111"/>
      <c r="S40" s="111"/>
    </row>
    <row r="41" spans="1:19" ht="15.6">
      <c r="A41" s="110" t="s">
        <v>248</v>
      </c>
      <c r="B41" s="111" t="s">
        <v>232</v>
      </c>
      <c r="C41" s="112" t="s">
        <v>228</v>
      </c>
      <c r="D41" s="113" t="s">
        <v>89</v>
      </c>
      <c r="E41" s="133" t="s">
        <v>15</v>
      </c>
      <c r="F41" s="133" t="s">
        <v>43</v>
      </c>
      <c r="G41" s="134">
        <v>15</v>
      </c>
      <c r="H41" s="135">
        <v>9.1</v>
      </c>
      <c r="I41" s="136">
        <v>1</v>
      </c>
      <c r="J41" s="137">
        <f t="shared" si="32"/>
        <v>0.13650000000000001</v>
      </c>
      <c r="K41" s="118"/>
      <c r="L41" s="111">
        <v>1</v>
      </c>
      <c r="M41" s="117">
        <f t="shared" si="33"/>
        <v>0.13650000000000001</v>
      </c>
      <c r="N41" s="119">
        <f t="shared" si="34"/>
        <v>0</v>
      </c>
      <c r="O41" s="120">
        <f t="shared" si="35"/>
        <v>0</v>
      </c>
      <c r="P41" s="111" t="s">
        <v>367</v>
      </c>
      <c r="Q41" s="111"/>
      <c r="R41" s="111"/>
      <c r="S41" s="111"/>
    </row>
    <row r="42" spans="1:19" ht="15.6">
      <c r="A42" s="110" t="s">
        <v>248</v>
      </c>
      <c r="B42" s="111" t="s">
        <v>232</v>
      </c>
      <c r="C42" s="112" t="s">
        <v>228</v>
      </c>
      <c r="D42" s="113" t="s">
        <v>89</v>
      </c>
      <c r="E42" s="133" t="s">
        <v>15</v>
      </c>
      <c r="F42" s="133" t="s">
        <v>43</v>
      </c>
      <c r="G42" s="134">
        <v>15</v>
      </c>
      <c r="H42" s="135">
        <v>10</v>
      </c>
      <c r="I42" s="136">
        <v>1</v>
      </c>
      <c r="J42" s="137">
        <f t="shared" si="32"/>
        <v>0.15</v>
      </c>
      <c r="K42" s="118"/>
      <c r="L42" s="111">
        <v>1</v>
      </c>
      <c r="M42" s="117">
        <f t="shared" si="33"/>
        <v>0.15</v>
      </c>
      <c r="N42" s="119">
        <f t="shared" si="34"/>
        <v>0</v>
      </c>
      <c r="O42" s="120">
        <f t="shared" si="35"/>
        <v>0</v>
      </c>
      <c r="P42" s="111" t="s">
        <v>367</v>
      </c>
      <c r="Q42" s="111"/>
      <c r="R42" s="111"/>
      <c r="S42" s="111"/>
    </row>
    <row r="43" spans="1:19" ht="15.6">
      <c r="A43" s="110" t="s">
        <v>248</v>
      </c>
      <c r="B43" s="111" t="s">
        <v>232</v>
      </c>
      <c r="C43" s="112" t="s">
        <v>228</v>
      </c>
      <c r="D43" s="113" t="s">
        <v>89</v>
      </c>
      <c r="E43" s="133" t="s">
        <v>15</v>
      </c>
      <c r="F43" s="133" t="s">
        <v>43</v>
      </c>
      <c r="G43" s="134">
        <v>15</v>
      </c>
      <c r="H43" s="135">
        <v>10.3</v>
      </c>
      <c r="I43" s="136">
        <v>7</v>
      </c>
      <c r="J43" s="137">
        <f t="shared" si="32"/>
        <v>1.0814999999999999</v>
      </c>
      <c r="K43" s="118"/>
      <c r="L43" s="111">
        <v>7</v>
      </c>
      <c r="M43" s="117">
        <f t="shared" si="33"/>
        <v>1.0815000000000001</v>
      </c>
      <c r="N43" s="119">
        <f t="shared" si="34"/>
        <v>0</v>
      </c>
      <c r="O43" s="120">
        <f t="shared" si="35"/>
        <v>0</v>
      </c>
      <c r="P43" s="111"/>
      <c r="Q43" s="111"/>
      <c r="R43" s="111"/>
      <c r="S43" s="111"/>
    </row>
    <row r="44" spans="1:19">
      <c r="I44" s="6">
        <f>SUM(I36:I43)</f>
        <v>51</v>
      </c>
      <c r="J44" s="5">
        <f>SUM(J36:J43)</f>
        <v>7.6185</v>
      </c>
      <c r="L44" s="6">
        <f>SUM(L36:L43)</f>
        <v>51</v>
      </c>
      <c r="M44" s="5">
        <f>SUM(M36:M43)</f>
        <v>7.6185</v>
      </c>
      <c r="N44" s="78">
        <f>SUM(N36:N43)</f>
        <v>0</v>
      </c>
      <c r="O44" s="128">
        <f>SUM(O36:O43)</f>
        <v>0</v>
      </c>
    </row>
    <row r="46" spans="1:19" ht="15.6">
      <c r="A46" s="110" t="s">
        <v>248</v>
      </c>
      <c r="B46" s="111" t="s">
        <v>239</v>
      </c>
      <c r="C46" s="112" t="s">
        <v>228</v>
      </c>
      <c r="D46" s="113" t="s">
        <v>75</v>
      </c>
      <c r="E46" s="133" t="s">
        <v>15</v>
      </c>
      <c r="F46" s="133" t="s">
        <v>30</v>
      </c>
      <c r="G46" s="134">
        <v>9.26</v>
      </c>
      <c r="H46" s="135">
        <v>6.2</v>
      </c>
      <c r="I46" s="136">
        <v>21</v>
      </c>
      <c r="J46" s="137">
        <f t="shared" ref="J46" si="36">(G46*H46*I46/1000)</f>
        <v>1.2056519999999999</v>
      </c>
      <c r="K46" s="118"/>
      <c r="L46" s="111">
        <v>21</v>
      </c>
      <c r="M46" s="117">
        <f t="shared" ref="M46" si="37">H46*L46*G46/1000</f>
        <v>1.2056519999999999</v>
      </c>
      <c r="N46" s="119">
        <f t="shared" ref="N46" si="38">I46-L46</f>
        <v>0</v>
      </c>
      <c r="O46" s="120">
        <f t="shared" ref="O46" si="39">H46*N46*G46/1000</f>
        <v>0</v>
      </c>
      <c r="P46" s="111"/>
      <c r="Q46" s="111"/>
      <c r="R46" s="111"/>
      <c r="S46" s="111"/>
    </row>
    <row r="47" spans="1:19" ht="15.6">
      <c r="A47" s="110" t="s">
        <v>248</v>
      </c>
      <c r="B47" s="111" t="s">
        <v>239</v>
      </c>
      <c r="C47" s="112" t="s">
        <v>228</v>
      </c>
      <c r="D47" s="113" t="s">
        <v>75</v>
      </c>
      <c r="E47" s="133" t="s">
        <v>15</v>
      </c>
      <c r="F47" s="133" t="s">
        <v>30</v>
      </c>
      <c r="G47" s="134">
        <v>9.26</v>
      </c>
      <c r="H47" s="135">
        <v>10</v>
      </c>
      <c r="I47" s="136">
        <v>1</v>
      </c>
      <c r="J47" s="137">
        <f t="shared" ref="J47:J49" si="40">(G47*H47*I47/1000)</f>
        <v>9.2599999999999988E-2</v>
      </c>
      <c r="K47" s="118"/>
      <c r="L47" s="136">
        <v>1</v>
      </c>
      <c r="M47" s="117">
        <f t="shared" ref="M47:M49" si="41">H47*L47*G47/1000</f>
        <v>9.2599999999999988E-2</v>
      </c>
      <c r="N47" s="119">
        <f t="shared" ref="N47:N49" si="42">I47-L47</f>
        <v>0</v>
      </c>
      <c r="O47" s="120">
        <f t="shared" ref="O47:O49" si="43">H47*N47*G47/1000</f>
        <v>0</v>
      </c>
      <c r="P47" s="159">
        <v>6.2</v>
      </c>
      <c r="Q47" s="111">
        <v>1</v>
      </c>
      <c r="R47" s="111"/>
      <c r="S47" s="111"/>
    </row>
    <row r="48" spans="1:19" ht="15.6">
      <c r="A48" s="110" t="s">
        <v>248</v>
      </c>
      <c r="B48" s="111" t="s">
        <v>239</v>
      </c>
      <c r="C48" s="112" t="s">
        <v>228</v>
      </c>
      <c r="D48" s="113" t="s">
        <v>75</v>
      </c>
      <c r="E48" s="133" t="s">
        <v>15</v>
      </c>
      <c r="F48" s="133" t="s">
        <v>30</v>
      </c>
      <c r="G48" s="134">
        <v>9.26</v>
      </c>
      <c r="H48" s="135">
        <v>11</v>
      </c>
      <c r="I48" s="136">
        <v>2</v>
      </c>
      <c r="J48" s="137">
        <f t="shared" si="40"/>
        <v>0.20372000000000001</v>
      </c>
      <c r="K48" s="118"/>
      <c r="L48" s="136">
        <v>2</v>
      </c>
      <c r="M48" s="117">
        <f t="shared" si="41"/>
        <v>0.20372000000000001</v>
      </c>
      <c r="N48" s="119">
        <f t="shared" si="42"/>
        <v>0</v>
      </c>
      <c r="O48" s="120">
        <f t="shared" si="43"/>
        <v>0</v>
      </c>
      <c r="P48" s="159">
        <v>6.2</v>
      </c>
      <c r="Q48" s="111">
        <v>2</v>
      </c>
      <c r="R48" s="111"/>
      <c r="S48" s="111"/>
    </row>
    <row r="49" spans="1:19" ht="15.6">
      <c r="A49" s="110" t="s">
        <v>248</v>
      </c>
      <c r="B49" s="111" t="s">
        <v>239</v>
      </c>
      <c r="C49" s="112" t="s">
        <v>228</v>
      </c>
      <c r="D49" s="113" t="s">
        <v>75</v>
      </c>
      <c r="E49" s="133" t="s">
        <v>15</v>
      </c>
      <c r="F49" s="133" t="s">
        <v>30</v>
      </c>
      <c r="G49" s="134">
        <v>9.26</v>
      </c>
      <c r="H49" s="135">
        <v>12</v>
      </c>
      <c r="I49" s="136">
        <v>4</v>
      </c>
      <c r="J49" s="137">
        <f t="shared" si="40"/>
        <v>0.44448000000000004</v>
      </c>
      <c r="K49" s="118"/>
      <c r="L49" s="136">
        <v>4</v>
      </c>
      <c r="M49" s="117">
        <f t="shared" si="41"/>
        <v>0.44448000000000004</v>
      </c>
      <c r="N49" s="119">
        <f t="shared" si="42"/>
        <v>0</v>
      </c>
      <c r="O49" s="120">
        <f t="shared" si="43"/>
        <v>0</v>
      </c>
      <c r="P49" s="159">
        <v>6.2</v>
      </c>
      <c r="Q49" s="111">
        <v>4</v>
      </c>
      <c r="R49" s="111"/>
      <c r="S49" s="111"/>
    </row>
    <row r="50" spans="1:19">
      <c r="I50" s="6">
        <f>SUM(I46:I49)</f>
        <v>28</v>
      </c>
      <c r="J50" s="5">
        <f>SUM(J46:J49)</f>
        <v>1.9464519999999998</v>
      </c>
      <c r="L50" s="6">
        <f>SUM(L46:L49)</f>
        <v>28</v>
      </c>
      <c r="M50" s="128">
        <f>SUM(M46:M49)</f>
        <v>1.9464519999999998</v>
      </c>
      <c r="N50" s="78">
        <f>SUM(N46:N49)</f>
        <v>0</v>
      </c>
      <c r="O50" s="128">
        <f>SUM(O46:O49)</f>
        <v>0</v>
      </c>
    </row>
    <row r="52" spans="1:19" ht="15.6">
      <c r="A52" s="110" t="s">
        <v>248</v>
      </c>
      <c r="B52" s="111" t="s">
        <v>227</v>
      </c>
      <c r="C52" s="112" t="s">
        <v>228</v>
      </c>
      <c r="D52" s="113" t="s">
        <v>94</v>
      </c>
      <c r="E52" s="133" t="s">
        <v>15</v>
      </c>
      <c r="F52" s="133" t="s">
        <v>30</v>
      </c>
      <c r="G52" s="134">
        <v>9.26</v>
      </c>
      <c r="H52" s="135">
        <v>11</v>
      </c>
      <c r="I52" s="136">
        <v>2</v>
      </c>
      <c r="J52" s="137">
        <f t="shared" ref="J52" si="44">(G52*H52*I52/1000)</f>
        <v>0.20372000000000001</v>
      </c>
      <c r="K52" s="118"/>
      <c r="L52" s="45">
        <v>2</v>
      </c>
      <c r="M52" s="117">
        <f t="shared" ref="M52" si="45">H52*L52*G52/1000</f>
        <v>0.20372000000000001</v>
      </c>
      <c r="N52" s="119">
        <f t="shared" ref="N52" si="46">I52-L52</f>
        <v>0</v>
      </c>
      <c r="O52" s="120">
        <f t="shared" ref="O52" si="47">H52*N52*G52/1000</f>
        <v>0</v>
      </c>
      <c r="P52" s="111"/>
      <c r="Q52" s="111"/>
      <c r="R52" s="111"/>
      <c r="S52" s="111"/>
    </row>
    <row r="53" spans="1:19" ht="15.6">
      <c r="A53" s="110" t="s">
        <v>248</v>
      </c>
      <c r="B53" s="111" t="s">
        <v>227</v>
      </c>
      <c r="C53" s="112" t="s">
        <v>228</v>
      </c>
      <c r="D53" s="113" t="s">
        <v>94</v>
      </c>
      <c r="E53" s="133" t="s">
        <v>15</v>
      </c>
      <c r="F53" s="133" t="s">
        <v>30</v>
      </c>
      <c r="G53" s="134">
        <v>9.26</v>
      </c>
      <c r="H53" s="135">
        <v>10.5</v>
      </c>
      <c r="I53" s="136">
        <v>2</v>
      </c>
      <c r="J53" s="137">
        <f t="shared" ref="J53:J60" si="48">(G53*H53*I53/1000)</f>
        <v>0.19446000000000002</v>
      </c>
      <c r="K53" s="118"/>
      <c r="L53" s="45">
        <v>2</v>
      </c>
      <c r="M53" s="117">
        <f t="shared" ref="M53:M60" si="49">H53*L53*G53/1000</f>
        <v>0.19446000000000002</v>
      </c>
      <c r="N53" s="119">
        <f t="shared" ref="N53:N60" si="50">I53-L53</f>
        <v>0</v>
      </c>
      <c r="O53" s="120">
        <f t="shared" ref="O53:O60" si="51">H53*N53*G53/1000</f>
        <v>0</v>
      </c>
      <c r="P53" s="111"/>
      <c r="Q53" s="111"/>
      <c r="R53" s="111"/>
      <c r="S53" s="111"/>
    </row>
    <row r="54" spans="1:19" ht="15.6">
      <c r="A54" s="110" t="s">
        <v>248</v>
      </c>
      <c r="B54" s="111" t="s">
        <v>227</v>
      </c>
      <c r="C54" s="112" t="s">
        <v>228</v>
      </c>
      <c r="D54" s="113" t="s">
        <v>94</v>
      </c>
      <c r="E54" s="133" t="s">
        <v>15</v>
      </c>
      <c r="F54" s="133" t="s">
        <v>30</v>
      </c>
      <c r="G54" s="134">
        <v>9.26</v>
      </c>
      <c r="H54" s="135">
        <v>10</v>
      </c>
      <c r="I54" s="136">
        <v>8</v>
      </c>
      <c r="J54" s="137">
        <f t="shared" si="48"/>
        <v>0.7407999999999999</v>
      </c>
      <c r="K54" s="118"/>
      <c r="L54" s="111">
        <v>8</v>
      </c>
      <c r="M54" s="117">
        <f t="shared" si="49"/>
        <v>0.7407999999999999</v>
      </c>
      <c r="N54" s="119">
        <f t="shared" si="50"/>
        <v>0</v>
      </c>
      <c r="O54" s="120">
        <f t="shared" si="51"/>
        <v>0</v>
      </c>
      <c r="P54" s="111"/>
      <c r="Q54" s="111"/>
      <c r="R54" s="111"/>
      <c r="S54" s="111"/>
    </row>
    <row r="55" spans="1:19" ht="15.6">
      <c r="A55" s="110" t="s">
        <v>248</v>
      </c>
      <c r="B55" s="111" t="s">
        <v>227</v>
      </c>
      <c r="C55" s="112" t="s">
        <v>228</v>
      </c>
      <c r="D55" s="113" t="s">
        <v>94</v>
      </c>
      <c r="E55" s="133" t="s">
        <v>15</v>
      </c>
      <c r="F55" s="133" t="s">
        <v>30</v>
      </c>
      <c r="G55" s="134">
        <v>9.26</v>
      </c>
      <c r="H55" s="135">
        <v>9.5</v>
      </c>
      <c r="I55" s="136">
        <v>2</v>
      </c>
      <c r="J55" s="137">
        <f t="shared" si="48"/>
        <v>0.17593999999999999</v>
      </c>
      <c r="K55" s="118"/>
      <c r="L55" s="111">
        <v>2</v>
      </c>
      <c r="M55" s="117">
        <f t="shared" si="49"/>
        <v>0.17593999999999999</v>
      </c>
      <c r="N55" s="119">
        <f t="shared" si="50"/>
        <v>0</v>
      </c>
      <c r="O55" s="120">
        <f t="shared" si="51"/>
        <v>0</v>
      </c>
      <c r="P55" s="111"/>
      <c r="Q55" s="111"/>
      <c r="R55" s="111"/>
      <c r="S55" s="111"/>
    </row>
    <row r="56" spans="1:19" ht="15.6">
      <c r="A56" s="110" t="s">
        <v>248</v>
      </c>
      <c r="B56" s="111" t="s">
        <v>227</v>
      </c>
      <c r="C56" s="112" t="s">
        <v>228</v>
      </c>
      <c r="D56" s="113" t="s">
        <v>94</v>
      </c>
      <c r="E56" s="133" t="s">
        <v>15</v>
      </c>
      <c r="F56" s="133" t="s">
        <v>30</v>
      </c>
      <c r="G56" s="134">
        <v>9.26</v>
      </c>
      <c r="H56" s="135">
        <v>8</v>
      </c>
      <c r="I56" s="136">
        <v>6</v>
      </c>
      <c r="J56" s="137">
        <f t="shared" si="48"/>
        <v>0.44448000000000004</v>
      </c>
      <c r="K56" s="118"/>
      <c r="L56" s="111">
        <v>6</v>
      </c>
      <c r="M56" s="117">
        <f t="shared" si="49"/>
        <v>0.44448000000000004</v>
      </c>
      <c r="N56" s="119">
        <f t="shared" si="50"/>
        <v>0</v>
      </c>
      <c r="O56" s="120">
        <f t="shared" si="51"/>
        <v>0</v>
      </c>
      <c r="P56" s="111"/>
      <c r="Q56" s="111"/>
      <c r="R56" s="111"/>
      <c r="S56" s="111"/>
    </row>
    <row r="57" spans="1:19" ht="15.6">
      <c r="A57" s="110" t="s">
        <v>248</v>
      </c>
      <c r="B57" s="111" t="s">
        <v>227</v>
      </c>
      <c r="C57" s="112" t="s">
        <v>228</v>
      </c>
      <c r="D57" s="113" t="s">
        <v>94</v>
      </c>
      <c r="E57" s="133" t="s">
        <v>15</v>
      </c>
      <c r="F57" s="133" t="s">
        <v>30</v>
      </c>
      <c r="G57" s="134">
        <v>9.26</v>
      </c>
      <c r="H57" s="135">
        <v>9</v>
      </c>
      <c r="I57" s="136">
        <v>13</v>
      </c>
      <c r="J57" s="137">
        <f t="shared" si="48"/>
        <v>1.08342</v>
      </c>
      <c r="K57" s="118"/>
      <c r="L57" s="111">
        <v>13</v>
      </c>
      <c r="M57" s="117">
        <f t="shared" si="49"/>
        <v>1.08342</v>
      </c>
      <c r="N57" s="119">
        <f t="shared" si="50"/>
        <v>0</v>
      </c>
      <c r="O57" s="120">
        <f t="shared" si="51"/>
        <v>0</v>
      </c>
      <c r="P57" s="111"/>
      <c r="Q57" s="111"/>
      <c r="R57" s="111"/>
      <c r="S57" s="111"/>
    </row>
    <row r="58" spans="1:19" ht="15.6">
      <c r="A58" s="110" t="s">
        <v>248</v>
      </c>
      <c r="B58" s="111" t="s">
        <v>227</v>
      </c>
      <c r="C58" s="112" t="s">
        <v>228</v>
      </c>
      <c r="D58" s="113" t="s">
        <v>94</v>
      </c>
      <c r="E58" s="133" t="s">
        <v>15</v>
      </c>
      <c r="F58" s="133" t="s">
        <v>30</v>
      </c>
      <c r="G58" s="134">
        <v>9.26</v>
      </c>
      <c r="H58" s="135">
        <v>8</v>
      </c>
      <c r="I58" s="136">
        <v>1</v>
      </c>
      <c r="J58" s="137">
        <f t="shared" si="48"/>
        <v>7.4079999999999993E-2</v>
      </c>
      <c r="K58" s="118"/>
      <c r="L58" s="111">
        <v>1</v>
      </c>
      <c r="M58" s="117">
        <f t="shared" si="49"/>
        <v>7.4079999999999993E-2</v>
      </c>
      <c r="N58" s="145">
        <f t="shared" si="50"/>
        <v>0</v>
      </c>
      <c r="O58" s="120">
        <f t="shared" si="51"/>
        <v>0</v>
      </c>
      <c r="P58" s="111" t="s">
        <v>759</v>
      </c>
      <c r="Q58" s="111">
        <v>1</v>
      </c>
      <c r="R58" s="111" t="s">
        <v>701</v>
      </c>
      <c r="S58" s="111"/>
    </row>
    <row r="59" spans="1:19" ht="15.6">
      <c r="A59" s="110" t="s">
        <v>248</v>
      </c>
      <c r="B59" s="111" t="s">
        <v>227</v>
      </c>
      <c r="C59" s="112" t="s">
        <v>228</v>
      </c>
      <c r="D59" s="113" t="s">
        <v>94</v>
      </c>
      <c r="E59" s="133" t="s">
        <v>15</v>
      </c>
      <c r="F59" s="133" t="s">
        <v>30</v>
      </c>
      <c r="G59" s="134">
        <v>9.26</v>
      </c>
      <c r="H59" s="135">
        <v>6.5</v>
      </c>
      <c r="I59" s="136">
        <v>11</v>
      </c>
      <c r="J59" s="137">
        <f t="shared" si="48"/>
        <v>0.66208999999999996</v>
      </c>
      <c r="K59" s="118"/>
      <c r="L59" s="111">
        <v>11</v>
      </c>
      <c r="M59" s="117">
        <f t="shared" si="49"/>
        <v>0.66209000000000007</v>
      </c>
      <c r="N59" s="145">
        <f t="shared" si="50"/>
        <v>0</v>
      </c>
      <c r="O59" s="120">
        <f t="shared" si="51"/>
        <v>0</v>
      </c>
      <c r="P59" s="111" t="s">
        <v>759</v>
      </c>
      <c r="Q59" s="111">
        <v>11</v>
      </c>
      <c r="R59" s="111" t="s">
        <v>701</v>
      </c>
      <c r="S59" s="111"/>
    </row>
    <row r="60" spans="1:19" ht="15.6">
      <c r="A60" s="110" t="s">
        <v>248</v>
      </c>
      <c r="B60" s="111" t="s">
        <v>227</v>
      </c>
      <c r="C60" s="112" t="s">
        <v>228</v>
      </c>
      <c r="D60" s="113" t="s">
        <v>94</v>
      </c>
      <c r="E60" s="133" t="s">
        <v>15</v>
      </c>
      <c r="F60" s="133" t="s">
        <v>30</v>
      </c>
      <c r="G60" s="134">
        <v>9.26</v>
      </c>
      <c r="H60" s="135">
        <v>10</v>
      </c>
      <c r="I60" s="136">
        <v>19</v>
      </c>
      <c r="J60" s="137">
        <f t="shared" si="48"/>
        <v>1.7593999999999999</v>
      </c>
      <c r="K60" s="118"/>
      <c r="L60" s="111">
        <v>19</v>
      </c>
      <c r="M60" s="117">
        <f t="shared" si="49"/>
        <v>1.7593999999999999</v>
      </c>
      <c r="N60" s="119">
        <f t="shared" si="50"/>
        <v>0</v>
      </c>
      <c r="O60" s="120">
        <f t="shared" si="51"/>
        <v>0</v>
      </c>
      <c r="P60" s="111"/>
      <c r="Q60" s="111"/>
      <c r="R60" s="111"/>
      <c r="S60" s="111"/>
    </row>
    <row r="61" spans="1:19" ht="15.6">
      <c r="A61" s="110" t="s">
        <v>248</v>
      </c>
      <c r="B61" s="111" t="s">
        <v>227</v>
      </c>
      <c r="C61" s="112" t="s">
        <v>228</v>
      </c>
      <c r="D61" s="113" t="s">
        <v>94</v>
      </c>
      <c r="E61" s="133" t="s">
        <v>15</v>
      </c>
      <c r="F61" s="133" t="s">
        <v>30</v>
      </c>
      <c r="G61" s="134">
        <v>9.26</v>
      </c>
      <c r="H61" s="138">
        <v>10.3</v>
      </c>
      <c r="I61" s="136">
        <v>14</v>
      </c>
      <c r="J61" s="137">
        <f t="shared" ref="J61:J70" si="52">(G61*H61*I61/1000)</f>
        <v>1.3352919999999999</v>
      </c>
      <c r="K61" s="118"/>
      <c r="L61" s="111">
        <v>14</v>
      </c>
      <c r="M61" s="117">
        <f t="shared" ref="M61:M70" si="53">H61*L61*G61/1000</f>
        <v>1.3352920000000001</v>
      </c>
      <c r="N61" s="119">
        <f t="shared" ref="N61:N70" si="54">I61-L61</f>
        <v>0</v>
      </c>
      <c r="O61" s="120">
        <f t="shared" ref="O61:O70" si="55">H61*N61*G61/1000</f>
        <v>0</v>
      </c>
      <c r="P61" s="111"/>
      <c r="Q61" s="111"/>
      <c r="R61" s="111"/>
      <c r="S61" s="111"/>
    </row>
    <row r="62" spans="1:19" ht="15.6">
      <c r="A62" s="110" t="s">
        <v>248</v>
      </c>
      <c r="B62" s="111" t="s">
        <v>227</v>
      </c>
      <c r="C62" s="112" t="s">
        <v>228</v>
      </c>
      <c r="D62" s="113" t="s">
        <v>94</v>
      </c>
      <c r="E62" s="133" t="s">
        <v>15</v>
      </c>
      <c r="F62" s="133" t="s">
        <v>30</v>
      </c>
      <c r="G62" s="134">
        <v>9.26</v>
      </c>
      <c r="H62" s="138">
        <v>7</v>
      </c>
      <c r="I62" s="136">
        <v>1</v>
      </c>
      <c r="J62" s="137">
        <f t="shared" si="52"/>
        <v>6.4819999999999989E-2</v>
      </c>
      <c r="K62" s="118"/>
      <c r="L62" s="111">
        <v>1</v>
      </c>
      <c r="M62" s="117">
        <f t="shared" si="53"/>
        <v>6.4819999999999989E-2</v>
      </c>
      <c r="N62" s="145">
        <f t="shared" si="54"/>
        <v>0</v>
      </c>
      <c r="O62" s="120">
        <f t="shared" si="55"/>
        <v>0</v>
      </c>
      <c r="P62" s="111" t="s">
        <v>759</v>
      </c>
      <c r="Q62" s="111">
        <v>1</v>
      </c>
      <c r="R62" s="111" t="s">
        <v>701</v>
      </c>
      <c r="S62" s="111"/>
    </row>
    <row r="63" spans="1:19" ht="15.6">
      <c r="A63" s="110" t="s">
        <v>248</v>
      </c>
      <c r="B63" s="111" t="s">
        <v>227</v>
      </c>
      <c r="C63" s="112" t="s">
        <v>228</v>
      </c>
      <c r="D63" s="113" t="s">
        <v>94</v>
      </c>
      <c r="E63" s="133" t="s">
        <v>15</v>
      </c>
      <c r="F63" s="133" t="s">
        <v>30</v>
      </c>
      <c r="G63" s="134">
        <v>9.26</v>
      </c>
      <c r="H63" s="138">
        <v>7.5</v>
      </c>
      <c r="I63" s="136">
        <v>1</v>
      </c>
      <c r="J63" s="137">
        <f t="shared" si="52"/>
        <v>6.9449999999999998E-2</v>
      </c>
      <c r="K63" s="118"/>
      <c r="L63" s="111">
        <v>1</v>
      </c>
      <c r="M63" s="117">
        <f t="shared" si="53"/>
        <v>6.9449999999999998E-2</v>
      </c>
      <c r="N63" s="145">
        <f t="shared" si="54"/>
        <v>0</v>
      </c>
      <c r="O63" s="120">
        <f t="shared" si="55"/>
        <v>0</v>
      </c>
      <c r="P63" s="111" t="s">
        <v>759</v>
      </c>
      <c r="Q63" s="111">
        <v>1</v>
      </c>
      <c r="R63" s="111" t="s">
        <v>701</v>
      </c>
      <c r="S63" s="111"/>
    </row>
    <row r="64" spans="1:19" ht="15.6">
      <c r="A64" s="110" t="s">
        <v>248</v>
      </c>
      <c r="B64" s="111" t="s">
        <v>227</v>
      </c>
      <c r="C64" s="112" t="s">
        <v>228</v>
      </c>
      <c r="D64" s="113" t="s">
        <v>94</v>
      </c>
      <c r="E64" s="133" t="s">
        <v>15</v>
      </c>
      <c r="F64" s="133" t="s">
        <v>30</v>
      </c>
      <c r="G64" s="134">
        <v>9.26</v>
      </c>
      <c r="H64" s="138">
        <v>9</v>
      </c>
      <c r="I64" s="136">
        <v>2</v>
      </c>
      <c r="J64" s="137">
        <f t="shared" si="52"/>
        <v>0.16667999999999999</v>
      </c>
      <c r="K64" s="118"/>
      <c r="L64" s="111">
        <v>2</v>
      </c>
      <c r="M64" s="117">
        <f t="shared" si="53"/>
        <v>0.16667999999999999</v>
      </c>
      <c r="N64" s="145">
        <f t="shared" si="54"/>
        <v>0</v>
      </c>
      <c r="O64" s="120">
        <f t="shared" si="55"/>
        <v>0</v>
      </c>
      <c r="P64" s="111" t="s">
        <v>759</v>
      </c>
      <c r="Q64" s="111">
        <v>2</v>
      </c>
      <c r="R64" s="111" t="s">
        <v>701</v>
      </c>
      <c r="S64" s="111"/>
    </row>
    <row r="65" spans="1:19" ht="15.6">
      <c r="A65" s="110" t="s">
        <v>248</v>
      </c>
      <c r="B65" s="111" t="s">
        <v>227</v>
      </c>
      <c r="C65" s="112" t="s">
        <v>228</v>
      </c>
      <c r="D65" s="113" t="s">
        <v>94</v>
      </c>
      <c r="E65" s="133" t="s">
        <v>15</v>
      </c>
      <c r="F65" s="133" t="s">
        <v>30</v>
      </c>
      <c r="G65" s="134">
        <v>9.26</v>
      </c>
      <c r="H65" s="138">
        <v>8</v>
      </c>
      <c r="I65" s="136">
        <v>4</v>
      </c>
      <c r="J65" s="137">
        <f t="shared" si="52"/>
        <v>0.29631999999999997</v>
      </c>
      <c r="K65" s="118"/>
      <c r="L65" s="111">
        <v>4</v>
      </c>
      <c r="M65" s="117">
        <f t="shared" si="53"/>
        <v>0.29631999999999997</v>
      </c>
      <c r="N65" s="145">
        <f t="shared" si="54"/>
        <v>0</v>
      </c>
      <c r="O65" s="120">
        <f t="shared" si="55"/>
        <v>0</v>
      </c>
      <c r="P65" s="111" t="s">
        <v>759</v>
      </c>
      <c r="Q65" s="111">
        <v>4</v>
      </c>
      <c r="R65" s="111" t="s">
        <v>701</v>
      </c>
      <c r="S65" s="111"/>
    </row>
    <row r="66" spans="1:19" ht="15.6">
      <c r="A66" s="110" t="s">
        <v>248</v>
      </c>
      <c r="B66" s="111" t="s">
        <v>227</v>
      </c>
      <c r="C66" s="112" t="s">
        <v>228</v>
      </c>
      <c r="D66" s="113" t="s">
        <v>94</v>
      </c>
      <c r="E66" s="133" t="s">
        <v>15</v>
      </c>
      <c r="F66" s="133" t="s">
        <v>30</v>
      </c>
      <c r="G66" s="134">
        <v>9.26</v>
      </c>
      <c r="H66" s="138">
        <v>8.5</v>
      </c>
      <c r="I66" s="136">
        <v>2</v>
      </c>
      <c r="J66" s="137">
        <f t="shared" si="52"/>
        <v>0.15741999999999998</v>
      </c>
      <c r="K66" s="118"/>
      <c r="L66" s="111">
        <v>2</v>
      </c>
      <c r="M66" s="117">
        <f t="shared" si="53"/>
        <v>0.15741999999999998</v>
      </c>
      <c r="N66" s="145">
        <f t="shared" si="54"/>
        <v>0</v>
      </c>
      <c r="O66" s="120">
        <f t="shared" si="55"/>
        <v>0</v>
      </c>
      <c r="P66" s="111" t="s">
        <v>759</v>
      </c>
      <c r="Q66" s="111">
        <v>2</v>
      </c>
      <c r="R66" s="111" t="s">
        <v>701</v>
      </c>
      <c r="S66" s="111"/>
    </row>
    <row r="67" spans="1:19" ht="15.6">
      <c r="A67" s="110" t="s">
        <v>248</v>
      </c>
      <c r="B67" s="111" t="s">
        <v>227</v>
      </c>
      <c r="C67" s="112" t="s">
        <v>228</v>
      </c>
      <c r="D67" s="113" t="s">
        <v>94</v>
      </c>
      <c r="E67" s="133" t="s">
        <v>15</v>
      </c>
      <c r="F67" s="133" t="s">
        <v>30</v>
      </c>
      <c r="G67" s="134">
        <v>9.26</v>
      </c>
      <c r="H67" s="138">
        <v>9.5</v>
      </c>
      <c r="I67" s="136">
        <v>1</v>
      </c>
      <c r="J67" s="137">
        <f t="shared" si="52"/>
        <v>8.7969999999999993E-2</v>
      </c>
      <c r="K67" s="118"/>
      <c r="L67" s="111">
        <v>1</v>
      </c>
      <c r="M67" s="117">
        <f t="shared" si="53"/>
        <v>8.7969999999999993E-2</v>
      </c>
      <c r="N67" s="119">
        <f t="shared" si="54"/>
        <v>0</v>
      </c>
      <c r="O67" s="120">
        <f t="shared" si="55"/>
        <v>0</v>
      </c>
      <c r="P67" s="111"/>
      <c r="Q67" s="111"/>
      <c r="R67" s="111"/>
      <c r="S67" s="111"/>
    </row>
    <row r="68" spans="1:19" ht="15.6">
      <c r="A68" s="110" t="s">
        <v>248</v>
      </c>
      <c r="B68" s="111" t="s">
        <v>227</v>
      </c>
      <c r="C68" s="112" t="s">
        <v>228</v>
      </c>
      <c r="D68" s="113" t="s">
        <v>94</v>
      </c>
      <c r="E68" s="133" t="s">
        <v>15</v>
      </c>
      <c r="F68" s="133" t="s">
        <v>30</v>
      </c>
      <c r="G68" s="134">
        <v>9.26</v>
      </c>
      <c r="H68" s="138">
        <v>11</v>
      </c>
      <c r="I68" s="136">
        <v>3</v>
      </c>
      <c r="J68" s="137">
        <f t="shared" si="52"/>
        <v>0.30557999999999996</v>
      </c>
      <c r="K68" s="118"/>
      <c r="L68" s="45">
        <v>3</v>
      </c>
      <c r="M68" s="117">
        <f t="shared" si="53"/>
        <v>0.30557999999999996</v>
      </c>
      <c r="N68" s="119">
        <f t="shared" si="54"/>
        <v>0</v>
      </c>
      <c r="O68" s="120">
        <f t="shared" si="55"/>
        <v>0</v>
      </c>
      <c r="P68" s="111">
        <v>10.5</v>
      </c>
      <c r="Q68" s="111">
        <v>3</v>
      </c>
      <c r="R68" s="111"/>
      <c r="S68" s="111"/>
    </row>
    <row r="69" spans="1:19" ht="15.6">
      <c r="A69" s="110" t="s">
        <v>248</v>
      </c>
      <c r="B69" s="111" t="s">
        <v>227</v>
      </c>
      <c r="C69" s="112" t="s">
        <v>228</v>
      </c>
      <c r="D69" s="113" t="s">
        <v>94</v>
      </c>
      <c r="E69" s="133" t="s">
        <v>15</v>
      </c>
      <c r="F69" s="133" t="s">
        <v>30</v>
      </c>
      <c r="G69" s="134">
        <v>9.26</v>
      </c>
      <c r="H69" s="138">
        <v>11.5</v>
      </c>
      <c r="I69" s="136">
        <v>1</v>
      </c>
      <c r="J69" s="137">
        <f t="shared" si="52"/>
        <v>0.10649</v>
      </c>
      <c r="K69" s="118"/>
      <c r="L69" s="45">
        <v>1</v>
      </c>
      <c r="M69" s="117">
        <f t="shared" si="53"/>
        <v>0.10649</v>
      </c>
      <c r="N69" s="119">
        <f t="shared" si="54"/>
        <v>0</v>
      </c>
      <c r="O69" s="120">
        <f t="shared" si="55"/>
        <v>0</v>
      </c>
      <c r="P69" s="111">
        <v>10.5</v>
      </c>
      <c r="Q69" s="111">
        <v>1</v>
      </c>
      <c r="R69" s="111"/>
      <c r="S69" s="111"/>
    </row>
    <row r="70" spans="1:19" ht="15.6">
      <c r="A70" s="110" t="s">
        <v>248</v>
      </c>
      <c r="B70" s="111" t="s">
        <v>227</v>
      </c>
      <c r="C70" s="112" t="s">
        <v>228</v>
      </c>
      <c r="D70" s="113" t="s">
        <v>94</v>
      </c>
      <c r="E70" s="133" t="s">
        <v>15</v>
      </c>
      <c r="F70" s="133" t="s">
        <v>30</v>
      </c>
      <c r="G70" s="134">
        <v>9.26</v>
      </c>
      <c r="H70" s="138">
        <v>12</v>
      </c>
      <c r="I70" s="136">
        <v>3</v>
      </c>
      <c r="J70" s="137">
        <f t="shared" si="52"/>
        <v>0.33335999999999999</v>
      </c>
      <c r="K70" s="118"/>
      <c r="L70" s="45">
        <v>3</v>
      </c>
      <c r="M70" s="117">
        <f t="shared" si="53"/>
        <v>0.33335999999999999</v>
      </c>
      <c r="N70" s="119">
        <f t="shared" si="54"/>
        <v>0</v>
      </c>
      <c r="O70" s="120">
        <f t="shared" si="55"/>
        <v>0</v>
      </c>
      <c r="P70" s="111">
        <v>10.5</v>
      </c>
      <c r="Q70" s="111">
        <v>1</v>
      </c>
      <c r="R70" s="111"/>
      <c r="S70" s="111"/>
    </row>
    <row r="71" spans="1:19">
      <c r="I71" s="6">
        <f>SUM(I52:I70)</f>
        <v>96</v>
      </c>
      <c r="J71" s="5">
        <f>SUM(J52:J70)</f>
        <v>8.2617720000000006</v>
      </c>
      <c r="L71" s="6">
        <f>SUM(L52:L70)</f>
        <v>96</v>
      </c>
      <c r="M71" s="5">
        <f>SUM(M52:M70)</f>
        <v>8.2617720000000006</v>
      </c>
      <c r="N71" s="78">
        <f>SUM(N52:N70)</f>
        <v>0</v>
      </c>
      <c r="O71" s="128">
        <f>SUM(O52:O70)</f>
        <v>0</v>
      </c>
    </row>
    <row r="73" spans="1:19" ht="15.6">
      <c r="A73" s="110" t="s">
        <v>248</v>
      </c>
      <c r="B73" s="111" t="s">
        <v>227</v>
      </c>
      <c r="C73" s="112" t="s">
        <v>228</v>
      </c>
      <c r="D73" s="113" t="s">
        <v>94</v>
      </c>
      <c r="E73" s="133" t="s">
        <v>15</v>
      </c>
      <c r="F73" s="133" t="s">
        <v>22</v>
      </c>
      <c r="G73" s="134">
        <v>10.73</v>
      </c>
      <c r="H73" s="138">
        <v>12</v>
      </c>
      <c r="I73" s="136">
        <v>8</v>
      </c>
      <c r="J73" s="137">
        <f t="shared" ref="J73" si="56">(G73*H73*I73/1000)</f>
        <v>1.0300799999999999</v>
      </c>
      <c r="K73" s="118"/>
      <c r="L73" s="111">
        <v>8</v>
      </c>
      <c r="M73" s="117">
        <f t="shared" ref="M73" si="57">H73*L73*G73/1000</f>
        <v>1.0300799999999999</v>
      </c>
      <c r="N73" s="119">
        <f t="shared" ref="N73" si="58">I73-L73</f>
        <v>0</v>
      </c>
      <c r="O73" s="120">
        <f t="shared" ref="O73" si="59">H73*N73*G73/1000</f>
        <v>0</v>
      </c>
      <c r="P73" s="111"/>
      <c r="Q73" s="111"/>
      <c r="R73" s="111"/>
      <c r="S73" s="111"/>
    </row>
    <row r="74" spans="1:19" ht="15.6">
      <c r="A74" s="110" t="s">
        <v>248</v>
      </c>
      <c r="B74" s="111" t="s">
        <v>227</v>
      </c>
      <c r="C74" s="112" t="s">
        <v>228</v>
      </c>
      <c r="D74" s="113" t="s">
        <v>94</v>
      </c>
      <c r="E74" s="133" t="s">
        <v>15</v>
      </c>
      <c r="F74" s="133" t="s">
        <v>22</v>
      </c>
      <c r="G74" s="134">
        <v>10.73</v>
      </c>
      <c r="H74" s="138">
        <v>11.5</v>
      </c>
      <c r="I74" s="136">
        <v>4</v>
      </c>
      <c r="J74" s="137">
        <f t="shared" ref="J74:J86" si="60">(G74*H74*I74/1000)</f>
        <v>0.49358000000000002</v>
      </c>
      <c r="K74" s="118"/>
      <c r="L74" s="111">
        <v>4</v>
      </c>
      <c r="M74" s="117">
        <f t="shared" ref="M74:M86" si="61">H74*L74*G74/1000</f>
        <v>0.49358000000000002</v>
      </c>
      <c r="N74" s="119">
        <f t="shared" ref="N74:N86" si="62">I74-L74</f>
        <v>0</v>
      </c>
      <c r="O74" s="120">
        <f t="shared" ref="O74:O86" si="63">H74*N74*G74/1000</f>
        <v>0</v>
      </c>
      <c r="P74" s="111">
        <v>10.5</v>
      </c>
      <c r="Q74" s="111">
        <v>4</v>
      </c>
      <c r="R74" s="111"/>
      <c r="S74" s="111"/>
    </row>
    <row r="75" spans="1:19" ht="15.6">
      <c r="A75" s="110" t="s">
        <v>248</v>
      </c>
      <c r="B75" s="111" t="s">
        <v>227</v>
      </c>
      <c r="C75" s="112" t="s">
        <v>228</v>
      </c>
      <c r="D75" s="113" t="s">
        <v>94</v>
      </c>
      <c r="E75" s="133" t="s">
        <v>15</v>
      </c>
      <c r="F75" s="133" t="s">
        <v>22</v>
      </c>
      <c r="G75" s="134">
        <v>10.73</v>
      </c>
      <c r="H75" s="138">
        <v>11</v>
      </c>
      <c r="I75" s="136">
        <v>5</v>
      </c>
      <c r="J75" s="137">
        <f t="shared" si="60"/>
        <v>0.59014999999999995</v>
      </c>
      <c r="K75" s="118"/>
      <c r="L75" s="45">
        <v>5</v>
      </c>
      <c r="M75" s="117">
        <f t="shared" si="61"/>
        <v>0.59014999999999995</v>
      </c>
      <c r="N75" s="119">
        <f t="shared" si="62"/>
        <v>0</v>
      </c>
      <c r="O75" s="120">
        <f t="shared" si="63"/>
        <v>0</v>
      </c>
      <c r="P75" s="111">
        <v>10.5</v>
      </c>
      <c r="Q75" s="111">
        <v>5</v>
      </c>
      <c r="R75" s="111"/>
      <c r="S75" s="111"/>
    </row>
    <row r="76" spans="1:19" ht="15.6">
      <c r="A76" s="110" t="s">
        <v>248</v>
      </c>
      <c r="B76" s="111" t="s">
        <v>227</v>
      </c>
      <c r="C76" s="112" t="s">
        <v>228</v>
      </c>
      <c r="D76" s="113" t="s">
        <v>94</v>
      </c>
      <c r="E76" s="133" t="s">
        <v>15</v>
      </c>
      <c r="F76" s="133" t="s">
        <v>22</v>
      </c>
      <c r="G76" s="134">
        <v>10.73</v>
      </c>
      <c r="H76" s="138">
        <v>10.5</v>
      </c>
      <c r="I76" s="136">
        <v>2</v>
      </c>
      <c r="J76" s="137">
        <f t="shared" si="60"/>
        <v>0.22533</v>
      </c>
      <c r="K76" s="118"/>
      <c r="L76" s="111">
        <v>2</v>
      </c>
      <c r="M76" s="117">
        <f t="shared" si="61"/>
        <v>0.22533</v>
      </c>
      <c r="N76" s="119">
        <f t="shared" si="62"/>
        <v>0</v>
      </c>
      <c r="O76" s="120">
        <f t="shared" si="63"/>
        <v>0</v>
      </c>
      <c r="P76" s="111"/>
      <c r="Q76" s="111"/>
      <c r="R76" s="111"/>
      <c r="S76" s="111"/>
    </row>
    <row r="77" spans="1:19" ht="15.6">
      <c r="A77" s="110" t="s">
        <v>248</v>
      </c>
      <c r="B77" s="111" t="s">
        <v>227</v>
      </c>
      <c r="C77" s="112" t="s">
        <v>228</v>
      </c>
      <c r="D77" s="113" t="s">
        <v>94</v>
      </c>
      <c r="E77" s="133" t="s">
        <v>15</v>
      </c>
      <c r="F77" s="133" t="s">
        <v>22</v>
      </c>
      <c r="G77" s="134">
        <v>10.73</v>
      </c>
      <c r="H77" s="138">
        <v>10</v>
      </c>
      <c r="I77" s="136">
        <v>8</v>
      </c>
      <c r="J77" s="137">
        <f t="shared" si="60"/>
        <v>0.85840000000000005</v>
      </c>
      <c r="K77" s="118"/>
      <c r="L77" s="111">
        <v>8</v>
      </c>
      <c r="M77" s="117">
        <f t="shared" si="61"/>
        <v>0.85840000000000005</v>
      </c>
      <c r="N77" s="119">
        <f t="shared" si="62"/>
        <v>0</v>
      </c>
      <c r="O77" s="120">
        <f t="shared" si="63"/>
        <v>0</v>
      </c>
      <c r="P77" s="159">
        <v>9.4</v>
      </c>
      <c r="Q77" s="45">
        <v>8</v>
      </c>
      <c r="R77" s="111" t="s">
        <v>279</v>
      </c>
      <c r="S77" s="111"/>
    </row>
    <row r="78" spans="1:19" ht="15.6">
      <c r="A78" s="110" t="s">
        <v>248</v>
      </c>
      <c r="B78" s="111" t="s">
        <v>227</v>
      </c>
      <c r="C78" s="112" t="s">
        <v>228</v>
      </c>
      <c r="D78" s="113" t="s">
        <v>94</v>
      </c>
      <c r="E78" s="133" t="s">
        <v>15</v>
      </c>
      <c r="F78" s="133" t="s">
        <v>22</v>
      </c>
      <c r="G78" s="134">
        <v>10.73</v>
      </c>
      <c r="H78" s="138">
        <v>9.5</v>
      </c>
      <c r="I78" s="136">
        <v>5</v>
      </c>
      <c r="J78" s="137">
        <f t="shared" si="60"/>
        <v>0.50967499999999999</v>
      </c>
      <c r="K78" s="118"/>
      <c r="L78" s="111">
        <v>5</v>
      </c>
      <c r="M78" s="117">
        <f t="shared" si="61"/>
        <v>0.50967499999999999</v>
      </c>
      <c r="N78" s="119">
        <f t="shared" si="62"/>
        <v>0</v>
      </c>
      <c r="O78" s="120">
        <f t="shared" si="63"/>
        <v>0</v>
      </c>
      <c r="P78" s="159">
        <v>9.4</v>
      </c>
      <c r="Q78" s="45">
        <v>5</v>
      </c>
      <c r="R78" s="111" t="s">
        <v>279</v>
      </c>
      <c r="S78" s="111"/>
    </row>
    <row r="79" spans="1:19" ht="15.6">
      <c r="A79" s="110" t="s">
        <v>248</v>
      </c>
      <c r="B79" s="111" t="s">
        <v>227</v>
      </c>
      <c r="C79" s="112" t="s">
        <v>228</v>
      </c>
      <c r="D79" s="113" t="s">
        <v>94</v>
      </c>
      <c r="E79" s="133" t="s">
        <v>15</v>
      </c>
      <c r="F79" s="133" t="s">
        <v>22</v>
      </c>
      <c r="G79" s="134">
        <v>10.73</v>
      </c>
      <c r="H79" s="138">
        <v>9</v>
      </c>
      <c r="I79" s="136">
        <v>9</v>
      </c>
      <c r="J79" s="137">
        <f t="shared" si="60"/>
        <v>0.86913000000000007</v>
      </c>
      <c r="K79" s="118"/>
      <c r="L79" s="111">
        <v>9</v>
      </c>
      <c r="M79" s="117">
        <f t="shared" si="61"/>
        <v>0.86912999999999996</v>
      </c>
      <c r="N79" s="119">
        <f t="shared" si="62"/>
        <v>0</v>
      </c>
      <c r="O79" s="120">
        <f t="shared" si="63"/>
        <v>0</v>
      </c>
      <c r="P79" s="159">
        <v>7.8</v>
      </c>
      <c r="Q79" s="45">
        <v>9</v>
      </c>
      <c r="R79" s="111" t="s">
        <v>279</v>
      </c>
      <c r="S79" s="111"/>
    </row>
    <row r="80" spans="1:19" ht="15.6">
      <c r="A80" s="110" t="s">
        <v>248</v>
      </c>
      <c r="B80" s="111" t="s">
        <v>227</v>
      </c>
      <c r="C80" s="112" t="s">
        <v>228</v>
      </c>
      <c r="D80" s="113" t="s">
        <v>94</v>
      </c>
      <c r="E80" s="133" t="s">
        <v>15</v>
      </c>
      <c r="F80" s="133" t="s">
        <v>22</v>
      </c>
      <c r="G80" s="134">
        <v>10.73</v>
      </c>
      <c r="H80" s="138">
        <v>8.5</v>
      </c>
      <c r="I80" s="136">
        <v>3</v>
      </c>
      <c r="J80" s="137">
        <f t="shared" si="60"/>
        <v>0.273615</v>
      </c>
      <c r="K80" s="118"/>
      <c r="L80" s="111">
        <v>3</v>
      </c>
      <c r="M80" s="117">
        <f t="shared" si="61"/>
        <v>0.273615</v>
      </c>
      <c r="N80" s="119">
        <f t="shared" si="62"/>
        <v>0</v>
      </c>
      <c r="O80" s="120">
        <f t="shared" si="63"/>
        <v>0</v>
      </c>
      <c r="P80" s="159">
        <v>7.8</v>
      </c>
      <c r="Q80" s="45">
        <v>3</v>
      </c>
      <c r="R80" s="111" t="s">
        <v>279</v>
      </c>
      <c r="S80" s="111"/>
    </row>
    <row r="81" spans="1:19" ht="15.6">
      <c r="A81" s="110" t="s">
        <v>248</v>
      </c>
      <c r="B81" s="111" t="s">
        <v>227</v>
      </c>
      <c r="C81" s="112" t="s">
        <v>228</v>
      </c>
      <c r="D81" s="113" t="s">
        <v>94</v>
      </c>
      <c r="E81" s="133" t="s">
        <v>15</v>
      </c>
      <c r="F81" s="133" t="s">
        <v>22</v>
      </c>
      <c r="G81" s="134">
        <v>10.73</v>
      </c>
      <c r="H81" s="138">
        <v>8</v>
      </c>
      <c r="I81" s="136">
        <v>13</v>
      </c>
      <c r="J81" s="137">
        <f t="shared" si="60"/>
        <v>1.11592</v>
      </c>
      <c r="K81" s="118"/>
      <c r="L81" s="111">
        <v>13</v>
      </c>
      <c r="M81" s="117">
        <f t="shared" si="61"/>
        <v>1.11592</v>
      </c>
      <c r="N81" s="119">
        <f t="shared" si="62"/>
        <v>0</v>
      </c>
      <c r="O81" s="120">
        <f t="shared" si="63"/>
        <v>0</v>
      </c>
      <c r="P81" s="159">
        <v>7.8</v>
      </c>
      <c r="Q81" s="45">
        <v>13</v>
      </c>
      <c r="R81" s="111" t="s">
        <v>279</v>
      </c>
      <c r="S81" s="111"/>
    </row>
    <row r="82" spans="1:19" ht="15.6">
      <c r="A82" s="110" t="s">
        <v>248</v>
      </c>
      <c r="B82" s="111" t="s">
        <v>227</v>
      </c>
      <c r="C82" s="112" t="s">
        <v>228</v>
      </c>
      <c r="D82" s="113" t="s">
        <v>94</v>
      </c>
      <c r="E82" s="133" t="s">
        <v>15</v>
      </c>
      <c r="F82" s="133" t="s">
        <v>22</v>
      </c>
      <c r="G82" s="134">
        <v>10.73</v>
      </c>
      <c r="H82" s="138">
        <v>7.2</v>
      </c>
      <c r="I82" s="136">
        <v>1</v>
      </c>
      <c r="J82" s="137">
        <f t="shared" si="60"/>
        <v>7.7256000000000005E-2</v>
      </c>
      <c r="K82" s="118"/>
      <c r="L82" s="111">
        <v>1</v>
      </c>
      <c r="M82" s="117">
        <f t="shared" si="61"/>
        <v>7.7256000000000005E-2</v>
      </c>
      <c r="N82" s="119">
        <f t="shared" si="62"/>
        <v>0</v>
      </c>
      <c r="O82" s="120">
        <f t="shared" si="63"/>
        <v>0</v>
      </c>
      <c r="P82" s="111">
        <v>6.1</v>
      </c>
      <c r="Q82" s="45">
        <v>1</v>
      </c>
      <c r="R82" s="111" t="s">
        <v>742</v>
      </c>
      <c r="S82" s="111"/>
    </row>
    <row r="83" spans="1:19" ht="15.6">
      <c r="A83" s="110" t="s">
        <v>248</v>
      </c>
      <c r="B83" s="111" t="s">
        <v>227</v>
      </c>
      <c r="C83" s="112" t="s">
        <v>228</v>
      </c>
      <c r="D83" s="113" t="s">
        <v>94</v>
      </c>
      <c r="E83" s="133" t="s">
        <v>15</v>
      </c>
      <c r="F83" s="133" t="s">
        <v>22</v>
      </c>
      <c r="G83" s="134">
        <v>10.73</v>
      </c>
      <c r="H83" s="138">
        <v>6</v>
      </c>
      <c r="I83" s="136">
        <v>3</v>
      </c>
      <c r="J83" s="137">
        <f t="shared" si="60"/>
        <v>0.19313999999999998</v>
      </c>
      <c r="K83" s="118"/>
      <c r="L83" s="111"/>
      <c r="M83" s="117">
        <f t="shared" si="61"/>
        <v>0</v>
      </c>
      <c r="N83" s="119">
        <f t="shared" si="62"/>
        <v>3</v>
      </c>
      <c r="O83" s="120">
        <f t="shared" si="63"/>
        <v>0.19314000000000001</v>
      </c>
      <c r="P83" s="111"/>
      <c r="Q83" s="111"/>
      <c r="R83" s="111"/>
      <c r="S83" s="111"/>
    </row>
    <row r="84" spans="1:19" ht="15.6">
      <c r="A84" s="110" t="s">
        <v>248</v>
      </c>
      <c r="B84" s="111" t="s">
        <v>227</v>
      </c>
      <c r="C84" s="112" t="s">
        <v>228</v>
      </c>
      <c r="D84" s="113" t="s">
        <v>94</v>
      </c>
      <c r="E84" s="133" t="s">
        <v>15</v>
      </c>
      <c r="F84" s="133" t="s">
        <v>22</v>
      </c>
      <c r="G84" s="134">
        <v>10.73</v>
      </c>
      <c r="H84" s="138">
        <v>8</v>
      </c>
      <c r="I84" s="136">
        <v>18</v>
      </c>
      <c r="J84" s="137">
        <f t="shared" si="60"/>
        <v>1.54512</v>
      </c>
      <c r="K84" s="118"/>
      <c r="L84" s="111">
        <v>18</v>
      </c>
      <c r="M84" s="117">
        <f t="shared" si="61"/>
        <v>1.54512</v>
      </c>
      <c r="N84" s="119">
        <f t="shared" si="62"/>
        <v>0</v>
      </c>
      <c r="O84" s="120">
        <f t="shared" si="63"/>
        <v>0</v>
      </c>
      <c r="P84" s="111">
        <v>7.8</v>
      </c>
      <c r="Q84" s="45">
        <v>18</v>
      </c>
      <c r="R84" s="111" t="s">
        <v>279</v>
      </c>
      <c r="S84" s="111"/>
    </row>
    <row r="85" spans="1:19" ht="15.6">
      <c r="A85" s="110" t="s">
        <v>248</v>
      </c>
      <c r="B85" s="111" t="s">
        <v>227</v>
      </c>
      <c r="C85" s="112" t="s">
        <v>228</v>
      </c>
      <c r="D85" s="113" t="s">
        <v>94</v>
      </c>
      <c r="E85" s="133" t="s">
        <v>15</v>
      </c>
      <c r="F85" s="133" t="s">
        <v>22</v>
      </c>
      <c r="G85" s="134">
        <v>10.73</v>
      </c>
      <c r="H85" s="138">
        <v>12</v>
      </c>
      <c r="I85" s="136">
        <v>25</v>
      </c>
      <c r="J85" s="137">
        <f t="shared" si="60"/>
        <v>3.2189999999999999</v>
      </c>
      <c r="K85" s="118"/>
      <c r="L85" s="111">
        <v>25</v>
      </c>
      <c r="M85" s="117">
        <f t="shared" si="61"/>
        <v>3.2189999999999999</v>
      </c>
      <c r="N85" s="119">
        <f t="shared" si="62"/>
        <v>0</v>
      </c>
      <c r="O85" s="120">
        <f t="shared" si="63"/>
        <v>0</v>
      </c>
      <c r="P85" s="111"/>
      <c r="Q85" s="111"/>
      <c r="R85" s="111"/>
      <c r="S85" s="111"/>
    </row>
    <row r="86" spans="1:19" ht="15.6">
      <c r="A86" s="110" t="s">
        <v>248</v>
      </c>
      <c r="B86" s="111" t="s">
        <v>227</v>
      </c>
      <c r="C86" s="112" t="s">
        <v>228</v>
      </c>
      <c r="D86" s="113" t="s">
        <v>94</v>
      </c>
      <c r="E86" s="133" t="s">
        <v>15</v>
      </c>
      <c r="F86" s="133" t="s">
        <v>22</v>
      </c>
      <c r="G86" s="134">
        <v>10.73</v>
      </c>
      <c r="H86" s="138">
        <v>11</v>
      </c>
      <c r="I86" s="136">
        <v>16</v>
      </c>
      <c r="J86" s="137">
        <f t="shared" si="60"/>
        <v>1.8884799999999999</v>
      </c>
      <c r="K86" s="118"/>
      <c r="L86" s="45">
        <v>16</v>
      </c>
      <c r="M86" s="117">
        <f t="shared" si="61"/>
        <v>1.8884799999999999</v>
      </c>
      <c r="N86" s="119">
        <f t="shared" si="62"/>
        <v>0</v>
      </c>
      <c r="O86" s="120">
        <f t="shared" si="63"/>
        <v>0</v>
      </c>
      <c r="P86" s="111">
        <v>10.5</v>
      </c>
      <c r="Q86" s="111">
        <v>16</v>
      </c>
      <c r="R86" s="111"/>
      <c r="S86" s="111"/>
    </row>
    <row r="87" spans="1:19" ht="15.6">
      <c r="A87" s="110" t="s">
        <v>248</v>
      </c>
      <c r="B87" s="111" t="s">
        <v>227</v>
      </c>
      <c r="C87" s="112" t="s">
        <v>228</v>
      </c>
      <c r="D87" s="113" t="s">
        <v>94</v>
      </c>
      <c r="E87" s="133" t="s">
        <v>15</v>
      </c>
      <c r="F87" s="133" t="s">
        <v>22</v>
      </c>
      <c r="G87" s="134">
        <v>10.73</v>
      </c>
      <c r="H87" s="138">
        <v>7.5</v>
      </c>
      <c r="I87" s="136">
        <v>1</v>
      </c>
      <c r="J87" s="137">
        <f t="shared" ref="J87:J93" si="64">(G87*H87*I87/1000)</f>
        <v>8.0475000000000005E-2</v>
      </c>
      <c r="K87" s="118"/>
      <c r="L87" s="111">
        <v>1</v>
      </c>
      <c r="M87" s="117">
        <f t="shared" ref="M87:M93" si="65">H87*L87*G87/1000</f>
        <v>8.0475000000000005E-2</v>
      </c>
      <c r="N87" s="119">
        <f t="shared" ref="N87:N93" si="66">I87-L87</f>
        <v>0</v>
      </c>
      <c r="O87" s="120">
        <f t="shared" ref="O87:O93" si="67">H87*N87*G87/1000</f>
        <v>0</v>
      </c>
      <c r="P87" s="111">
        <v>6.1</v>
      </c>
      <c r="Q87" s="111">
        <v>1</v>
      </c>
      <c r="R87" s="111" t="s">
        <v>742</v>
      </c>
      <c r="S87" s="111"/>
    </row>
    <row r="88" spans="1:19" ht="15.6">
      <c r="A88" s="110" t="s">
        <v>248</v>
      </c>
      <c r="B88" s="111" t="s">
        <v>227</v>
      </c>
      <c r="C88" s="112" t="s">
        <v>228</v>
      </c>
      <c r="D88" s="113" t="s">
        <v>94</v>
      </c>
      <c r="E88" s="133" t="s">
        <v>15</v>
      </c>
      <c r="F88" s="133" t="s">
        <v>22</v>
      </c>
      <c r="G88" s="134">
        <v>10.73</v>
      </c>
      <c r="H88" s="138">
        <v>8.5</v>
      </c>
      <c r="I88" s="136">
        <v>1</v>
      </c>
      <c r="J88" s="137">
        <f t="shared" si="64"/>
        <v>9.1204999999999994E-2</v>
      </c>
      <c r="K88" s="118"/>
      <c r="L88" s="111">
        <v>1</v>
      </c>
      <c r="M88" s="117">
        <f t="shared" si="65"/>
        <v>9.1204999999999994E-2</v>
      </c>
      <c r="N88" s="119">
        <f t="shared" si="66"/>
        <v>0</v>
      </c>
      <c r="O88" s="120">
        <f t="shared" si="67"/>
        <v>0</v>
      </c>
      <c r="P88" s="111">
        <v>7.8</v>
      </c>
      <c r="Q88" s="45">
        <v>1</v>
      </c>
      <c r="R88" s="111" t="s">
        <v>279</v>
      </c>
      <c r="S88" s="111"/>
    </row>
    <row r="89" spans="1:19" ht="15.6">
      <c r="A89" s="110" t="s">
        <v>248</v>
      </c>
      <c r="B89" s="111" t="s">
        <v>227</v>
      </c>
      <c r="C89" s="112" t="s">
        <v>228</v>
      </c>
      <c r="D89" s="113" t="s">
        <v>94</v>
      </c>
      <c r="E89" s="133" t="s">
        <v>15</v>
      </c>
      <c r="F89" s="133" t="s">
        <v>22</v>
      </c>
      <c r="G89" s="134">
        <v>10.73</v>
      </c>
      <c r="H89" s="138">
        <v>11.5</v>
      </c>
      <c r="I89" s="136">
        <v>3</v>
      </c>
      <c r="J89" s="137">
        <f t="shared" si="64"/>
        <v>0.37018500000000004</v>
      </c>
      <c r="K89" s="118"/>
      <c r="L89" s="111">
        <v>3</v>
      </c>
      <c r="M89" s="117">
        <f t="shared" si="65"/>
        <v>0.37018499999999999</v>
      </c>
      <c r="N89" s="119">
        <f t="shared" si="66"/>
        <v>0</v>
      </c>
      <c r="O89" s="120">
        <f t="shared" si="67"/>
        <v>0</v>
      </c>
      <c r="P89" s="111">
        <v>10.5</v>
      </c>
      <c r="Q89" s="111">
        <v>3</v>
      </c>
      <c r="R89" s="111"/>
      <c r="S89" s="111"/>
    </row>
    <row r="90" spans="1:19" ht="15.6">
      <c r="A90" s="110" t="s">
        <v>248</v>
      </c>
      <c r="B90" s="111" t="s">
        <v>227</v>
      </c>
      <c r="C90" s="112" t="s">
        <v>228</v>
      </c>
      <c r="D90" s="113" t="s">
        <v>94</v>
      </c>
      <c r="E90" s="133" t="s">
        <v>15</v>
      </c>
      <c r="F90" s="133" t="s">
        <v>22</v>
      </c>
      <c r="G90" s="134">
        <v>10.73</v>
      </c>
      <c r="H90" s="138">
        <v>9</v>
      </c>
      <c r="I90" s="136">
        <v>3</v>
      </c>
      <c r="J90" s="137">
        <f t="shared" si="64"/>
        <v>0.28971000000000002</v>
      </c>
      <c r="K90" s="118"/>
      <c r="L90" s="111">
        <v>3</v>
      </c>
      <c r="M90" s="117">
        <f t="shared" si="65"/>
        <v>0.28971000000000002</v>
      </c>
      <c r="N90" s="119">
        <f t="shared" si="66"/>
        <v>0</v>
      </c>
      <c r="O90" s="120">
        <f t="shared" si="67"/>
        <v>0</v>
      </c>
      <c r="P90" s="111">
        <v>7.8</v>
      </c>
      <c r="Q90" s="45">
        <v>3</v>
      </c>
      <c r="R90" s="111" t="s">
        <v>279</v>
      </c>
      <c r="S90" s="111"/>
    </row>
    <row r="91" spans="1:19" ht="15.6">
      <c r="A91" s="110" t="s">
        <v>248</v>
      </c>
      <c r="B91" s="111" t="s">
        <v>227</v>
      </c>
      <c r="C91" s="112" t="s">
        <v>228</v>
      </c>
      <c r="D91" s="113" t="s">
        <v>94</v>
      </c>
      <c r="E91" s="133" t="s">
        <v>15</v>
      </c>
      <c r="F91" s="133" t="s">
        <v>22</v>
      </c>
      <c r="G91" s="134">
        <v>10.73</v>
      </c>
      <c r="H91" s="138">
        <v>9.5</v>
      </c>
      <c r="I91" s="136">
        <v>5</v>
      </c>
      <c r="J91" s="137">
        <f t="shared" si="64"/>
        <v>0.50967499999999999</v>
      </c>
      <c r="K91" s="118"/>
      <c r="L91" s="111">
        <v>5</v>
      </c>
      <c r="M91" s="117">
        <f t="shared" si="65"/>
        <v>0.50967499999999999</v>
      </c>
      <c r="N91" s="119">
        <f t="shared" si="66"/>
        <v>0</v>
      </c>
      <c r="O91" s="120">
        <f t="shared" si="67"/>
        <v>0</v>
      </c>
      <c r="P91" s="111">
        <v>9.4</v>
      </c>
      <c r="Q91" s="45">
        <v>5</v>
      </c>
      <c r="R91" s="111" t="s">
        <v>279</v>
      </c>
      <c r="S91" s="111"/>
    </row>
    <row r="92" spans="1:19" ht="15.6">
      <c r="A92" s="110" t="s">
        <v>248</v>
      </c>
      <c r="B92" s="111" t="s">
        <v>227</v>
      </c>
      <c r="C92" s="112" t="s">
        <v>228</v>
      </c>
      <c r="D92" s="113" t="s">
        <v>94</v>
      </c>
      <c r="E92" s="133" t="s">
        <v>15</v>
      </c>
      <c r="F92" s="133" t="s">
        <v>22</v>
      </c>
      <c r="G92" s="134">
        <v>10.73</v>
      </c>
      <c r="H92" s="138">
        <v>10</v>
      </c>
      <c r="I92" s="136">
        <v>3</v>
      </c>
      <c r="J92" s="137">
        <f t="shared" si="64"/>
        <v>0.32190000000000002</v>
      </c>
      <c r="K92" s="118"/>
      <c r="L92" s="111">
        <v>3</v>
      </c>
      <c r="M92" s="117">
        <f t="shared" si="65"/>
        <v>0.32190000000000002</v>
      </c>
      <c r="N92" s="119">
        <f t="shared" si="66"/>
        <v>0</v>
      </c>
      <c r="O92" s="120">
        <f t="shared" si="67"/>
        <v>0</v>
      </c>
      <c r="P92" s="111">
        <v>9.4</v>
      </c>
      <c r="Q92" s="45">
        <v>3</v>
      </c>
      <c r="R92" s="111" t="s">
        <v>279</v>
      </c>
      <c r="S92" s="111"/>
    </row>
    <row r="93" spans="1:19" ht="15.6">
      <c r="A93" s="110" t="s">
        <v>248</v>
      </c>
      <c r="B93" s="111" t="s">
        <v>227</v>
      </c>
      <c r="C93" s="112" t="s">
        <v>228</v>
      </c>
      <c r="D93" s="113" t="s">
        <v>94</v>
      </c>
      <c r="E93" s="133" t="s">
        <v>15</v>
      </c>
      <c r="F93" s="133" t="s">
        <v>22</v>
      </c>
      <c r="G93" s="134">
        <v>10.73</v>
      </c>
      <c r="H93" s="138">
        <v>10.5</v>
      </c>
      <c r="I93" s="136">
        <v>4</v>
      </c>
      <c r="J93" s="137">
        <f t="shared" si="64"/>
        <v>0.45066000000000001</v>
      </c>
      <c r="K93" s="118"/>
      <c r="L93" s="111">
        <v>4</v>
      </c>
      <c r="M93" s="117">
        <f t="shared" si="65"/>
        <v>0.45066000000000001</v>
      </c>
      <c r="N93" s="119">
        <f t="shared" si="66"/>
        <v>0</v>
      </c>
      <c r="O93" s="120">
        <f t="shared" si="67"/>
        <v>0</v>
      </c>
      <c r="P93" s="111"/>
      <c r="Q93" s="111"/>
      <c r="R93" s="111"/>
      <c r="S93" s="111"/>
    </row>
    <row r="94" spans="1:19">
      <c r="I94" s="6">
        <f>SUM(I73:I93)</f>
        <v>140</v>
      </c>
      <c r="J94" s="5">
        <f>SUM(J73:J93)</f>
        <v>15.002685999999997</v>
      </c>
      <c r="L94" s="6">
        <f>SUM(L73:L93)</f>
        <v>137</v>
      </c>
      <c r="M94" s="128">
        <f>SUM(M73:M93)</f>
        <v>14.809545999999997</v>
      </c>
      <c r="N94" s="78">
        <f>SUM(N73:N93)</f>
        <v>3</v>
      </c>
      <c r="O94" s="128">
        <f>SUM(O73:O93)</f>
        <v>0.19314000000000001</v>
      </c>
    </row>
    <row r="97" spans="1:19" ht="15.6">
      <c r="A97" s="110" t="s">
        <v>248</v>
      </c>
      <c r="B97" s="111" t="s">
        <v>232</v>
      </c>
      <c r="C97" s="112" t="s">
        <v>228</v>
      </c>
      <c r="D97" s="113" t="s">
        <v>24</v>
      </c>
      <c r="E97" s="133" t="s">
        <v>14</v>
      </c>
      <c r="F97" s="133" t="s">
        <v>30</v>
      </c>
      <c r="G97" s="134">
        <v>9.26</v>
      </c>
      <c r="H97" s="135">
        <v>6.5</v>
      </c>
      <c r="I97" s="136">
        <f>28+24+2</f>
        <v>54</v>
      </c>
      <c r="J97" s="137">
        <f t="shared" ref="J97" si="68">(G97*H97*I97/1000)</f>
        <v>3.2502599999999999</v>
      </c>
      <c r="K97" s="118"/>
      <c r="L97" s="111">
        <v>54</v>
      </c>
      <c r="M97" s="117">
        <f t="shared" ref="M97" si="69">H97*L97*G97/1000</f>
        <v>3.2502599999999999</v>
      </c>
      <c r="N97" s="145">
        <f t="shared" ref="N97" si="70">I97-L97</f>
        <v>0</v>
      </c>
      <c r="O97" s="146">
        <f t="shared" ref="O97" si="71">H97*N97*G97/1000</f>
        <v>0</v>
      </c>
      <c r="P97" s="111" t="s">
        <v>254</v>
      </c>
      <c r="Q97" s="111"/>
      <c r="R97" s="111"/>
      <c r="S97" s="111"/>
    </row>
    <row r="98" spans="1:19" ht="15.6">
      <c r="A98" s="110" t="s">
        <v>248</v>
      </c>
      <c r="B98" s="111" t="s">
        <v>232</v>
      </c>
      <c r="C98" s="112" t="s">
        <v>228</v>
      </c>
      <c r="D98" s="113" t="s">
        <v>24</v>
      </c>
      <c r="E98" s="133" t="s">
        <v>14</v>
      </c>
      <c r="F98" s="133" t="s">
        <v>30</v>
      </c>
      <c r="G98" s="134">
        <v>9.26</v>
      </c>
      <c r="H98" s="135">
        <v>7.5</v>
      </c>
      <c r="I98" s="136">
        <f>20+25</f>
        <v>45</v>
      </c>
      <c r="J98" s="137">
        <f t="shared" ref="J98:J110" si="72">(G98*H98*I98/1000)</f>
        <v>3.1252499999999999</v>
      </c>
      <c r="K98" s="118"/>
      <c r="L98" s="111">
        <v>45</v>
      </c>
      <c r="M98" s="117">
        <f t="shared" ref="M98:M110" si="73">H98*L98*G98/1000</f>
        <v>3.1252499999999999</v>
      </c>
      <c r="N98" s="119">
        <f t="shared" ref="N98:N110" si="74">I98-L98</f>
        <v>0</v>
      </c>
      <c r="O98" s="120">
        <f t="shared" ref="O98:O110" si="75">H98*N98*G98/1000</f>
        <v>0</v>
      </c>
      <c r="P98" s="111"/>
      <c r="Q98" s="111"/>
      <c r="R98" s="111"/>
      <c r="S98" s="111"/>
    </row>
    <row r="99" spans="1:19" ht="15.6">
      <c r="A99" s="110" t="s">
        <v>248</v>
      </c>
      <c r="B99" s="111" t="s">
        <v>232</v>
      </c>
      <c r="C99" s="112" t="s">
        <v>228</v>
      </c>
      <c r="D99" s="113" t="s">
        <v>24</v>
      </c>
      <c r="E99" s="133" t="s">
        <v>14</v>
      </c>
      <c r="F99" s="133" t="s">
        <v>30</v>
      </c>
      <c r="G99" s="134">
        <v>9.26</v>
      </c>
      <c r="H99" s="135">
        <v>9.5</v>
      </c>
      <c r="I99" s="136">
        <f>5+12+2</f>
        <v>19</v>
      </c>
      <c r="J99" s="137">
        <f t="shared" si="72"/>
        <v>1.67143</v>
      </c>
      <c r="K99" s="118"/>
      <c r="L99" s="111">
        <v>19</v>
      </c>
      <c r="M99" s="117">
        <f t="shared" si="73"/>
        <v>1.67143</v>
      </c>
      <c r="N99" s="119">
        <f t="shared" si="74"/>
        <v>0</v>
      </c>
      <c r="O99" s="120">
        <f t="shared" si="75"/>
        <v>0</v>
      </c>
      <c r="P99" s="111"/>
      <c r="Q99" s="111"/>
      <c r="R99" s="111"/>
      <c r="S99" s="111"/>
    </row>
    <row r="100" spans="1:19" ht="15.6">
      <c r="A100" s="110" t="s">
        <v>248</v>
      </c>
      <c r="B100" s="111" t="s">
        <v>232</v>
      </c>
      <c r="C100" s="112" t="s">
        <v>228</v>
      </c>
      <c r="D100" s="113" t="s">
        <v>24</v>
      </c>
      <c r="E100" s="133" t="s">
        <v>14</v>
      </c>
      <c r="F100" s="133" t="s">
        <v>30</v>
      </c>
      <c r="G100" s="134">
        <v>9.26</v>
      </c>
      <c r="H100" s="135">
        <v>11.5</v>
      </c>
      <c r="I100" s="136">
        <f>12+16</f>
        <v>28</v>
      </c>
      <c r="J100" s="137">
        <f t="shared" si="72"/>
        <v>2.9817199999999997</v>
      </c>
      <c r="K100" s="118"/>
      <c r="L100" s="111">
        <f>28+3+8</f>
        <v>39</v>
      </c>
      <c r="M100" s="117">
        <f t="shared" si="73"/>
        <v>4.1531099999999999</v>
      </c>
      <c r="N100" s="230">
        <f t="shared" si="74"/>
        <v>-11</v>
      </c>
      <c r="O100" s="231">
        <f t="shared" si="75"/>
        <v>-1.1713899999999999</v>
      </c>
      <c r="P100" s="44" t="s">
        <v>253</v>
      </c>
      <c r="Q100" s="111" t="s">
        <v>325</v>
      </c>
      <c r="R100" s="111"/>
      <c r="S100" s="111"/>
    </row>
    <row r="101" spans="1:19" ht="15.6">
      <c r="A101" s="110" t="s">
        <v>248</v>
      </c>
      <c r="B101" s="111" t="s">
        <v>232</v>
      </c>
      <c r="C101" s="112" t="s">
        <v>228</v>
      </c>
      <c r="D101" s="113" t="s">
        <v>24</v>
      </c>
      <c r="E101" s="133" t="s">
        <v>14</v>
      </c>
      <c r="F101" s="133" t="s">
        <v>30</v>
      </c>
      <c r="G101" s="134">
        <v>9.26</v>
      </c>
      <c r="H101" s="135">
        <v>12</v>
      </c>
      <c r="I101" s="136">
        <f>29+16+26+30+1</f>
        <v>102</v>
      </c>
      <c r="J101" s="137">
        <f t="shared" si="72"/>
        <v>11.334239999999999</v>
      </c>
      <c r="K101" s="118"/>
      <c r="L101" s="111">
        <f>102+4</f>
        <v>106</v>
      </c>
      <c r="M101" s="117">
        <f t="shared" si="73"/>
        <v>11.77872</v>
      </c>
      <c r="N101" s="230">
        <f t="shared" si="74"/>
        <v>-4</v>
      </c>
      <c r="O101" s="231">
        <f t="shared" si="75"/>
        <v>-0.44448000000000004</v>
      </c>
      <c r="P101" s="44" t="s">
        <v>253</v>
      </c>
      <c r="Q101" s="111" t="s">
        <v>325</v>
      </c>
      <c r="R101" s="111"/>
      <c r="S101" s="111"/>
    </row>
    <row r="102" spans="1:19" ht="15.6">
      <c r="A102" s="110" t="s">
        <v>248</v>
      </c>
      <c r="B102" s="111" t="s">
        <v>232</v>
      </c>
      <c r="C102" s="112" t="s">
        <v>228</v>
      </c>
      <c r="D102" s="113" t="s">
        <v>24</v>
      </c>
      <c r="E102" s="133" t="s">
        <v>14</v>
      </c>
      <c r="F102" s="133" t="s">
        <v>30</v>
      </c>
      <c r="G102" s="134">
        <v>9.26</v>
      </c>
      <c r="H102" s="135">
        <v>12</v>
      </c>
      <c r="I102" s="136">
        <v>1</v>
      </c>
      <c r="J102" s="137">
        <f t="shared" si="72"/>
        <v>0.11112000000000001</v>
      </c>
      <c r="K102" s="118" t="s">
        <v>233</v>
      </c>
      <c r="L102" s="111">
        <v>1</v>
      </c>
      <c r="M102" s="117">
        <f t="shared" si="73"/>
        <v>0.11112000000000001</v>
      </c>
      <c r="N102" s="119">
        <f t="shared" si="74"/>
        <v>0</v>
      </c>
      <c r="O102" s="120">
        <f t="shared" si="75"/>
        <v>0</v>
      </c>
      <c r="P102" s="111"/>
      <c r="Q102" s="111"/>
      <c r="R102" s="111"/>
      <c r="S102" s="111"/>
    </row>
    <row r="103" spans="1:19" ht="15.6">
      <c r="A103" s="110" t="s">
        <v>248</v>
      </c>
      <c r="B103" s="111" t="s">
        <v>232</v>
      </c>
      <c r="C103" s="112" t="s">
        <v>228</v>
      </c>
      <c r="D103" s="113" t="s">
        <v>24</v>
      </c>
      <c r="E103" s="133" t="s">
        <v>14</v>
      </c>
      <c r="F103" s="133" t="s">
        <v>30</v>
      </c>
      <c r="G103" s="134">
        <v>9.26</v>
      </c>
      <c r="H103" s="135">
        <v>5.5</v>
      </c>
      <c r="I103" s="136">
        <v>1</v>
      </c>
      <c r="J103" s="137">
        <f t="shared" si="72"/>
        <v>5.0930000000000003E-2</v>
      </c>
      <c r="K103" s="118" t="s">
        <v>233</v>
      </c>
      <c r="L103" s="111">
        <v>1</v>
      </c>
      <c r="M103" s="117">
        <f t="shared" si="73"/>
        <v>5.0930000000000003E-2</v>
      </c>
      <c r="N103" s="145">
        <f t="shared" si="74"/>
        <v>0</v>
      </c>
      <c r="O103" s="146">
        <f t="shared" si="75"/>
        <v>0</v>
      </c>
      <c r="P103" s="111" t="s">
        <v>254</v>
      </c>
      <c r="Q103" s="111"/>
      <c r="R103" s="111"/>
      <c r="S103" s="111"/>
    </row>
    <row r="104" spans="1:19" ht="15.6">
      <c r="A104" s="110" t="s">
        <v>248</v>
      </c>
      <c r="B104" s="111" t="s">
        <v>232</v>
      </c>
      <c r="C104" s="112" t="s">
        <v>228</v>
      </c>
      <c r="D104" s="113" t="s">
        <v>24</v>
      </c>
      <c r="E104" s="133" t="s">
        <v>14</v>
      </c>
      <c r="F104" s="133" t="s">
        <v>30</v>
      </c>
      <c r="G104" s="134">
        <v>9.26</v>
      </c>
      <c r="H104" s="135">
        <v>9</v>
      </c>
      <c r="I104" s="136">
        <v>2</v>
      </c>
      <c r="J104" s="137">
        <f t="shared" si="72"/>
        <v>0.16667999999999999</v>
      </c>
      <c r="K104" s="118" t="s">
        <v>233</v>
      </c>
      <c r="L104" s="111">
        <v>2</v>
      </c>
      <c r="M104" s="117">
        <f t="shared" si="73"/>
        <v>0.16667999999999999</v>
      </c>
      <c r="N104" s="119">
        <f t="shared" si="74"/>
        <v>0</v>
      </c>
      <c r="O104" s="120">
        <f t="shared" si="75"/>
        <v>0</v>
      </c>
      <c r="P104" s="111">
        <v>7.5</v>
      </c>
      <c r="Q104" s="111">
        <v>2</v>
      </c>
      <c r="R104" s="111"/>
      <c r="S104" s="111"/>
    </row>
    <row r="105" spans="1:19" ht="15.6">
      <c r="A105" s="110" t="s">
        <v>248</v>
      </c>
      <c r="B105" s="111" t="s">
        <v>232</v>
      </c>
      <c r="C105" s="112" t="s">
        <v>228</v>
      </c>
      <c r="D105" s="113" t="s">
        <v>24</v>
      </c>
      <c r="E105" s="133" t="s">
        <v>14</v>
      </c>
      <c r="F105" s="133" t="s">
        <v>30</v>
      </c>
      <c r="G105" s="134">
        <v>9.26</v>
      </c>
      <c r="H105" s="135">
        <v>10.5</v>
      </c>
      <c r="I105" s="136">
        <v>1</v>
      </c>
      <c r="J105" s="137">
        <f t="shared" si="72"/>
        <v>9.7230000000000011E-2</v>
      </c>
      <c r="K105" s="118" t="s">
        <v>233</v>
      </c>
      <c r="L105" s="111">
        <v>1</v>
      </c>
      <c r="M105" s="117">
        <f t="shared" si="73"/>
        <v>9.7230000000000011E-2</v>
      </c>
      <c r="N105" s="119">
        <f t="shared" si="74"/>
        <v>0</v>
      </c>
      <c r="O105" s="120">
        <f t="shared" si="75"/>
        <v>0</v>
      </c>
      <c r="P105" s="111">
        <v>7.5</v>
      </c>
      <c r="Q105" s="111">
        <v>1</v>
      </c>
      <c r="R105" s="111"/>
      <c r="S105" s="111"/>
    </row>
    <row r="106" spans="1:19" ht="15.6">
      <c r="A106" s="110" t="s">
        <v>248</v>
      </c>
      <c r="B106" s="111" t="s">
        <v>232</v>
      </c>
      <c r="C106" s="112" t="s">
        <v>228</v>
      </c>
      <c r="D106" s="113" t="s">
        <v>24</v>
      </c>
      <c r="E106" s="133" t="s">
        <v>14</v>
      </c>
      <c r="F106" s="133" t="s">
        <v>30</v>
      </c>
      <c r="G106" s="134">
        <v>9.26</v>
      </c>
      <c r="H106" s="135">
        <v>11</v>
      </c>
      <c r="I106" s="136">
        <v>1</v>
      </c>
      <c r="J106" s="137">
        <f t="shared" si="72"/>
        <v>0.10186000000000001</v>
      </c>
      <c r="K106" s="118" t="s">
        <v>233</v>
      </c>
      <c r="L106" s="111">
        <v>1</v>
      </c>
      <c r="M106" s="117">
        <f t="shared" si="73"/>
        <v>0.10186000000000001</v>
      </c>
      <c r="N106" s="119">
        <f t="shared" si="74"/>
        <v>0</v>
      </c>
      <c r="O106" s="120">
        <f t="shared" si="75"/>
        <v>0</v>
      </c>
      <c r="P106" s="111">
        <v>9.5</v>
      </c>
      <c r="Q106" s="111">
        <v>1</v>
      </c>
      <c r="R106" s="111"/>
      <c r="S106" s="111"/>
    </row>
    <row r="107" spans="1:19" ht="15.6">
      <c r="A107" s="110" t="s">
        <v>248</v>
      </c>
      <c r="B107" s="111" t="s">
        <v>232</v>
      </c>
      <c r="C107" s="112" t="s">
        <v>228</v>
      </c>
      <c r="D107" s="113" t="s">
        <v>24</v>
      </c>
      <c r="E107" s="133" t="s">
        <v>14</v>
      </c>
      <c r="F107" s="133" t="s">
        <v>30</v>
      </c>
      <c r="G107" s="134">
        <v>9.26</v>
      </c>
      <c r="H107" s="135">
        <v>11.3</v>
      </c>
      <c r="I107" s="136">
        <v>3</v>
      </c>
      <c r="J107" s="137">
        <f t="shared" si="72"/>
        <v>0.31391399999999997</v>
      </c>
      <c r="K107" s="118" t="s">
        <v>233</v>
      </c>
      <c r="L107" s="111">
        <v>3</v>
      </c>
      <c r="M107" s="117">
        <f t="shared" si="73"/>
        <v>0.31391400000000003</v>
      </c>
      <c r="N107" s="145">
        <f t="shared" si="74"/>
        <v>0</v>
      </c>
      <c r="O107" s="146">
        <f t="shared" si="75"/>
        <v>0</v>
      </c>
      <c r="P107" s="111">
        <v>9.5</v>
      </c>
      <c r="Q107" s="111">
        <v>1</v>
      </c>
      <c r="R107" s="111" t="s">
        <v>254</v>
      </c>
      <c r="S107" s="111"/>
    </row>
    <row r="108" spans="1:19" ht="15.6">
      <c r="A108" s="110" t="s">
        <v>248</v>
      </c>
      <c r="B108" s="111" t="s">
        <v>232</v>
      </c>
      <c r="C108" s="112" t="s">
        <v>228</v>
      </c>
      <c r="D108" s="113" t="s">
        <v>24</v>
      </c>
      <c r="E108" s="133" t="s">
        <v>14</v>
      </c>
      <c r="F108" s="133" t="s">
        <v>30</v>
      </c>
      <c r="G108" s="134">
        <v>9.26</v>
      </c>
      <c r="H108" s="135">
        <v>10.9</v>
      </c>
      <c r="I108" s="136">
        <v>2</v>
      </c>
      <c r="J108" s="137">
        <f t="shared" si="72"/>
        <v>0.20186799999999999</v>
      </c>
      <c r="K108" s="118" t="s">
        <v>233</v>
      </c>
      <c r="L108" s="111">
        <v>2</v>
      </c>
      <c r="M108" s="117">
        <f t="shared" si="73"/>
        <v>0.20186799999999999</v>
      </c>
      <c r="N108" s="119">
        <f t="shared" si="74"/>
        <v>0</v>
      </c>
      <c r="O108" s="120">
        <f t="shared" si="75"/>
        <v>0</v>
      </c>
      <c r="P108" s="111">
        <v>9.5</v>
      </c>
      <c r="Q108" s="111">
        <v>2</v>
      </c>
      <c r="R108" s="111"/>
      <c r="S108" s="111"/>
    </row>
    <row r="109" spans="1:19" ht="15.6">
      <c r="A109" s="110" t="s">
        <v>248</v>
      </c>
      <c r="B109" s="111" t="s">
        <v>232</v>
      </c>
      <c r="C109" s="112" t="s">
        <v>228</v>
      </c>
      <c r="D109" s="113" t="s">
        <v>24</v>
      </c>
      <c r="E109" s="133" t="s">
        <v>14</v>
      </c>
      <c r="F109" s="133" t="s">
        <v>30</v>
      </c>
      <c r="G109" s="134">
        <v>9.26</v>
      </c>
      <c r="H109" s="135">
        <v>9</v>
      </c>
      <c r="I109" s="136">
        <v>3</v>
      </c>
      <c r="J109" s="137">
        <f t="shared" si="72"/>
        <v>0.25002000000000002</v>
      </c>
      <c r="K109" s="118" t="s">
        <v>233</v>
      </c>
      <c r="L109" s="111">
        <v>3</v>
      </c>
      <c r="M109" s="117">
        <f t="shared" si="73"/>
        <v>0.25001999999999996</v>
      </c>
      <c r="N109" s="119">
        <f t="shared" si="74"/>
        <v>0</v>
      </c>
      <c r="O109" s="120">
        <f t="shared" si="75"/>
        <v>0</v>
      </c>
      <c r="P109" s="111">
        <v>7.5</v>
      </c>
      <c r="Q109" s="111">
        <v>3</v>
      </c>
      <c r="R109" s="111"/>
      <c r="S109" s="111"/>
    </row>
    <row r="110" spans="1:19" ht="15.6">
      <c r="A110" s="110" t="s">
        <v>248</v>
      </c>
      <c r="B110" s="111" t="s">
        <v>232</v>
      </c>
      <c r="C110" s="112" t="s">
        <v>228</v>
      </c>
      <c r="D110" s="113" t="s">
        <v>24</v>
      </c>
      <c r="E110" s="133" t="s">
        <v>14</v>
      </c>
      <c r="F110" s="133" t="s">
        <v>30</v>
      </c>
      <c r="G110" s="134">
        <v>9.26</v>
      </c>
      <c r="H110" s="135">
        <v>4.7</v>
      </c>
      <c r="I110" s="136">
        <v>1</v>
      </c>
      <c r="J110" s="137">
        <f t="shared" si="72"/>
        <v>4.3521999999999998E-2</v>
      </c>
      <c r="K110" s="118" t="s">
        <v>233</v>
      </c>
      <c r="L110" s="111"/>
      <c r="M110" s="117">
        <f t="shared" si="73"/>
        <v>0</v>
      </c>
      <c r="N110" s="119">
        <f t="shared" si="74"/>
        <v>1</v>
      </c>
      <c r="O110" s="120">
        <f t="shared" si="75"/>
        <v>4.3521999999999998E-2</v>
      </c>
      <c r="P110" s="111"/>
      <c r="Q110" s="111"/>
      <c r="R110" s="111"/>
      <c r="S110" s="111"/>
    </row>
    <row r="111" spans="1:19" ht="15.6">
      <c r="A111" s="110" t="s">
        <v>248</v>
      </c>
      <c r="B111" s="111" t="s">
        <v>232</v>
      </c>
      <c r="C111" s="112" t="s">
        <v>228</v>
      </c>
      <c r="D111" s="113" t="s">
        <v>24</v>
      </c>
      <c r="E111" s="133" t="s">
        <v>14</v>
      </c>
      <c r="F111" s="133" t="s">
        <v>30</v>
      </c>
      <c r="G111" s="134">
        <v>9.26</v>
      </c>
      <c r="H111" s="138">
        <v>4.4000000000000004</v>
      </c>
      <c r="I111" s="136">
        <v>1</v>
      </c>
      <c r="J111" s="137">
        <f t="shared" ref="J111:J117" si="76">(G111*H111*I111/1000)</f>
        <v>4.0744000000000002E-2</v>
      </c>
      <c r="K111" s="118" t="s">
        <v>233</v>
      </c>
      <c r="L111" s="111"/>
      <c r="M111" s="117">
        <f t="shared" ref="M111:M117" si="77">H111*L111*G111/1000</f>
        <v>0</v>
      </c>
      <c r="N111" s="119">
        <f t="shared" ref="N111:N117" si="78">I111-L111</f>
        <v>1</v>
      </c>
      <c r="O111" s="120">
        <f t="shared" ref="O111:O117" si="79">H111*N111*G111/1000</f>
        <v>4.0744000000000002E-2</v>
      </c>
      <c r="P111" s="111"/>
      <c r="Q111" s="111"/>
      <c r="R111" s="111"/>
      <c r="S111" s="111"/>
    </row>
    <row r="112" spans="1:19" ht="15.6">
      <c r="A112" s="110" t="s">
        <v>248</v>
      </c>
      <c r="B112" s="111" t="s">
        <v>232</v>
      </c>
      <c r="C112" s="112" t="s">
        <v>228</v>
      </c>
      <c r="D112" s="113" t="s">
        <v>24</v>
      </c>
      <c r="E112" s="133" t="s">
        <v>14</v>
      </c>
      <c r="F112" s="133" t="s">
        <v>30</v>
      </c>
      <c r="G112" s="134">
        <v>9.26</v>
      </c>
      <c r="H112" s="138">
        <v>4.3</v>
      </c>
      <c r="I112" s="136">
        <v>1</v>
      </c>
      <c r="J112" s="137">
        <f t="shared" si="76"/>
        <v>3.9817999999999999E-2</v>
      </c>
      <c r="K112" s="118" t="s">
        <v>233</v>
      </c>
      <c r="L112" s="111"/>
      <c r="M112" s="117">
        <f t="shared" si="77"/>
        <v>0</v>
      </c>
      <c r="N112" s="119">
        <f t="shared" si="78"/>
        <v>1</v>
      </c>
      <c r="O112" s="120">
        <f t="shared" si="79"/>
        <v>3.9817999999999999E-2</v>
      </c>
      <c r="P112" s="111"/>
      <c r="Q112" s="111"/>
      <c r="R112" s="111"/>
      <c r="S112" s="111"/>
    </row>
    <row r="113" spans="1:19" ht="15.6">
      <c r="A113" s="110" t="s">
        <v>248</v>
      </c>
      <c r="B113" s="111" t="s">
        <v>232</v>
      </c>
      <c r="C113" s="112" t="s">
        <v>228</v>
      </c>
      <c r="D113" s="113" t="s">
        <v>24</v>
      </c>
      <c r="E113" s="133" t="s">
        <v>14</v>
      </c>
      <c r="F113" s="133" t="s">
        <v>30</v>
      </c>
      <c r="G113" s="134">
        <v>9.26</v>
      </c>
      <c r="H113" s="138">
        <v>4</v>
      </c>
      <c r="I113" s="136">
        <v>1</v>
      </c>
      <c r="J113" s="137">
        <f t="shared" si="76"/>
        <v>3.7039999999999997E-2</v>
      </c>
      <c r="K113" s="118" t="s">
        <v>233</v>
      </c>
      <c r="L113" s="111"/>
      <c r="M113" s="117">
        <f t="shared" si="77"/>
        <v>0</v>
      </c>
      <c r="N113" s="119">
        <f t="shared" si="78"/>
        <v>1</v>
      </c>
      <c r="O113" s="120">
        <f t="shared" si="79"/>
        <v>3.7039999999999997E-2</v>
      </c>
      <c r="P113" s="111"/>
      <c r="Q113" s="111"/>
      <c r="R113" s="111"/>
      <c r="S113" s="111"/>
    </row>
    <row r="114" spans="1:19" ht="15.6">
      <c r="A114" s="110" t="s">
        <v>248</v>
      </c>
      <c r="B114" s="111" t="s">
        <v>232</v>
      </c>
      <c r="C114" s="112" t="s">
        <v>228</v>
      </c>
      <c r="D114" s="113" t="s">
        <v>24</v>
      </c>
      <c r="E114" s="133" t="s">
        <v>14</v>
      </c>
      <c r="F114" s="133" t="s">
        <v>30</v>
      </c>
      <c r="G114" s="134">
        <v>9.26</v>
      </c>
      <c r="H114" s="138">
        <v>12</v>
      </c>
      <c r="I114" s="136">
        <v>1</v>
      </c>
      <c r="J114" s="137">
        <f t="shared" si="76"/>
        <v>0.11112000000000001</v>
      </c>
      <c r="K114" s="118" t="s">
        <v>252</v>
      </c>
      <c r="L114" s="111">
        <v>1</v>
      </c>
      <c r="M114" s="117">
        <f t="shared" si="77"/>
        <v>0.11112000000000001</v>
      </c>
      <c r="N114" s="119">
        <f t="shared" si="78"/>
        <v>0</v>
      </c>
      <c r="O114" s="120">
        <f t="shared" si="79"/>
        <v>0</v>
      </c>
      <c r="P114" s="111"/>
      <c r="Q114" s="111"/>
      <c r="R114" s="111"/>
      <c r="S114" s="111"/>
    </row>
    <row r="115" spans="1:19" ht="15.6">
      <c r="A115" s="110" t="s">
        <v>248</v>
      </c>
      <c r="B115" s="111" t="s">
        <v>232</v>
      </c>
      <c r="C115" s="112" t="s">
        <v>228</v>
      </c>
      <c r="D115" s="113" t="s">
        <v>24</v>
      </c>
      <c r="E115" s="133" t="s">
        <v>14</v>
      </c>
      <c r="F115" s="133" t="s">
        <v>30</v>
      </c>
      <c r="G115" s="134">
        <v>9.26</v>
      </c>
      <c r="H115" s="138">
        <v>11.5</v>
      </c>
      <c r="I115" s="136">
        <v>1</v>
      </c>
      <c r="J115" s="137">
        <f t="shared" si="76"/>
        <v>0.10649</v>
      </c>
      <c r="K115" s="118" t="s">
        <v>252</v>
      </c>
      <c r="L115" s="111">
        <v>1</v>
      </c>
      <c r="M115" s="117">
        <f t="shared" si="77"/>
        <v>0.10649</v>
      </c>
      <c r="N115" s="119">
        <f t="shared" si="78"/>
        <v>0</v>
      </c>
      <c r="O115" s="120">
        <f t="shared" si="79"/>
        <v>0</v>
      </c>
      <c r="P115" s="111"/>
      <c r="Q115" s="111"/>
      <c r="R115" s="111"/>
      <c r="S115" s="111"/>
    </row>
    <row r="116" spans="1:19" ht="15.6">
      <c r="A116" s="110" t="s">
        <v>248</v>
      </c>
      <c r="B116" s="111" t="s">
        <v>232</v>
      </c>
      <c r="C116" s="112" t="s">
        <v>228</v>
      </c>
      <c r="D116" s="113" t="s">
        <v>24</v>
      </c>
      <c r="E116" s="133" t="s">
        <v>14</v>
      </c>
      <c r="F116" s="133" t="s">
        <v>30</v>
      </c>
      <c r="G116" s="134">
        <v>9.26</v>
      </c>
      <c r="H116" s="138">
        <v>9</v>
      </c>
      <c r="I116" s="136">
        <v>1</v>
      </c>
      <c r="J116" s="137">
        <f t="shared" si="76"/>
        <v>8.3339999999999997E-2</v>
      </c>
      <c r="K116" s="118" t="s">
        <v>252</v>
      </c>
      <c r="L116" s="111">
        <v>1</v>
      </c>
      <c r="M116" s="117">
        <f t="shared" si="77"/>
        <v>8.3339999999999997E-2</v>
      </c>
      <c r="N116" s="119">
        <f t="shared" si="78"/>
        <v>0</v>
      </c>
      <c r="O116" s="120">
        <f t="shared" si="79"/>
        <v>0</v>
      </c>
      <c r="P116" s="111">
        <v>7.5</v>
      </c>
      <c r="Q116" s="111">
        <v>1</v>
      </c>
      <c r="R116" s="111"/>
      <c r="S116" s="111"/>
    </row>
    <row r="117" spans="1:19" ht="15.6">
      <c r="A117" s="110" t="s">
        <v>248</v>
      </c>
      <c r="B117" s="111" t="s">
        <v>232</v>
      </c>
      <c r="C117" s="112" t="s">
        <v>228</v>
      </c>
      <c r="D117" s="113" t="s">
        <v>24</v>
      </c>
      <c r="E117" s="133" t="s">
        <v>14</v>
      </c>
      <c r="F117" s="133" t="s">
        <v>30</v>
      </c>
      <c r="G117" s="134">
        <v>9.26</v>
      </c>
      <c r="H117" s="138">
        <v>6.5</v>
      </c>
      <c r="I117" s="136">
        <v>1</v>
      </c>
      <c r="J117" s="137">
        <f t="shared" si="76"/>
        <v>6.019E-2</v>
      </c>
      <c r="K117" s="118" t="s">
        <v>252</v>
      </c>
      <c r="L117" s="111">
        <v>1</v>
      </c>
      <c r="M117" s="117">
        <f t="shared" si="77"/>
        <v>6.019E-2</v>
      </c>
      <c r="N117" s="119">
        <f t="shared" si="78"/>
        <v>0</v>
      </c>
      <c r="O117" s="120">
        <f t="shared" si="79"/>
        <v>0</v>
      </c>
      <c r="P117" s="111"/>
      <c r="Q117" s="111"/>
      <c r="R117" s="111"/>
      <c r="S117" s="111"/>
    </row>
    <row r="118" spans="1:19">
      <c r="I118" s="6">
        <f>SUM(I97:I117)</f>
        <v>270</v>
      </c>
      <c r="J118" s="5">
        <f>SUM(J97:J117)</f>
        <v>24.178785999999995</v>
      </c>
      <c r="L118" s="6">
        <f>SUM(L97:L117)</f>
        <v>281</v>
      </c>
      <c r="M118" s="5">
        <f>SUM(M97:M117)</f>
        <v>25.633531999999995</v>
      </c>
      <c r="N118" s="78">
        <f>SUM(N97:N117)</f>
        <v>-11</v>
      </c>
      <c r="O118" s="128">
        <f>SUM(O97:O117)</f>
        <v>-1.4547459999999999</v>
      </c>
    </row>
    <row r="120" spans="1:19" ht="15.6">
      <c r="A120" s="110" t="s">
        <v>248</v>
      </c>
      <c r="B120" s="111" t="s">
        <v>232</v>
      </c>
      <c r="C120" s="112" t="s">
        <v>228</v>
      </c>
      <c r="D120" s="113" t="s">
        <v>17</v>
      </c>
      <c r="E120" s="133" t="s">
        <v>15</v>
      </c>
      <c r="F120" s="133" t="s">
        <v>30</v>
      </c>
      <c r="G120" s="134">
        <v>9.26</v>
      </c>
      <c r="H120" s="135">
        <v>8.25</v>
      </c>
      <c r="I120" s="136">
        <f>15+19</f>
        <v>34</v>
      </c>
      <c r="J120" s="137">
        <f t="shared" ref="J120" si="80">(G120*H120*I120/1000)</f>
        <v>2.5974299999999997</v>
      </c>
      <c r="K120" s="118"/>
      <c r="L120" s="111">
        <v>34</v>
      </c>
      <c r="M120" s="117">
        <f t="shared" ref="M120" si="81">H120*L120*G120/1000</f>
        <v>2.5974299999999997</v>
      </c>
      <c r="N120" s="119">
        <f t="shared" ref="N120" si="82">I120-L120</f>
        <v>0</v>
      </c>
      <c r="O120" s="120">
        <f t="shared" ref="O120" si="83">H120*N120*G120/1000</f>
        <v>0</v>
      </c>
      <c r="P120" s="111"/>
      <c r="Q120" s="111"/>
      <c r="R120" s="111"/>
      <c r="S120" s="111"/>
    </row>
    <row r="121" spans="1:19" ht="15.6">
      <c r="A121" s="110" t="s">
        <v>248</v>
      </c>
      <c r="B121" s="111" t="s">
        <v>232</v>
      </c>
      <c r="C121" s="112" t="s">
        <v>228</v>
      </c>
      <c r="D121" s="113" t="s">
        <v>17</v>
      </c>
      <c r="E121" s="133" t="s">
        <v>15</v>
      </c>
      <c r="F121" s="133" t="s">
        <v>30</v>
      </c>
      <c r="G121" s="134">
        <v>9.26</v>
      </c>
      <c r="H121" s="135">
        <v>10.5</v>
      </c>
      <c r="I121" s="136">
        <f>22+18</f>
        <v>40</v>
      </c>
      <c r="J121" s="137">
        <f t="shared" ref="J121:J133" si="84">(G121*H121*I121/1000)</f>
        <v>3.8892000000000002</v>
      </c>
      <c r="K121" s="118"/>
      <c r="L121" s="111">
        <v>40</v>
      </c>
      <c r="M121" s="117">
        <f t="shared" ref="M121:M133" si="85">H121*L121*G121/1000</f>
        <v>3.8891999999999998</v>
      </c>
      <c r="N121" s="119">
        <f t="shared" ref="N121:N133" si="86">I121-L121</f>
        <v>0</v>
      </c>
      <c r="O121" s="120">
        <f t="shared" ref="O121:O133" si="87">H121*N121*G121/1000</f>
        <v>0</v>
      </c>
      <c r="P121" s="111"/>
      <c r="Q121" s="111"/>
      <c r="R121" s="111"/>
      <c r="S121" s="111"/>
    </row>
    <row r="122" spans="1:19" ht="15.6">
      <c r="A122" s="110" t="s">
        <v>248</v>
      </c>
      <c r="B122" s="111" t="s">
        <v>232</v>
      </c>
      <c r="C122" s="112" t="s">
        <v>228</v>
      </c>
      <c r="D122" s="113" t="s">
        <v>17</v>
      </c>
      <c r="E122" s="133" t="s">
        <v>15</v>
      </c>
      <c r="F122" s="133" t="s">
        <v>30</v>
      </c>
      <c r="G122" s="134">
        <v>9.26</v>
      </c>
      <c r="H122" s="135">
        <v>11</v>
      </c>
      <c r="I122" s="136">
        <f>16+30</f>
        <v>46</v>
      </c>
      <c r="J122" s="137">
        <f t="shared" si="84"/>
        <v>4.6855600000000006</v>
      </c>
      <c r="K122" s="118"/>
      <c r="L122" s="111">
        <v>46</v>
      </c>
      <c r="M122" s="117">
        <f t="shared" si="85"/>
        <v>4.6855599999999997</v>
      </c>
      <c r="N122" s="119">
        <f t="shared" si="86"/>
        <v>0</v>
      </c>
      <c r="O122" s="120">
        <f t="shared" si="87"/>
        <v>0</v>
      </c>
      <c r="P122" s="111"/>
      <c r="Q122" s="111"/>
      <c r="R122" s="111"/>
      <c r="S122" s="111"/>
    </row>
    <row r="123" spans="1:19" ht="15.6">
      <c r="A123" s="110" t="s">
        <v>248</v>
      </c>
      <c r="B123" s="111" t="s">
        <v>232</v>
      </c>
      <c r="C123" s="112" t="s">
        <v>228</v>
      </c>
      <c r="D123" s="113" t="s">
        <v>17</v>
      </c>
      <c r="E123" s="133" t="s">
        <v>15</v>
      </c>
      <c r="F123" s="133" t="s">
        <v>30</v>
      </c>
      <c r="G123" s="134">
        <v>9.26</v>
      </c>
      <c r="H123" s="135">
        <v>12</v>
      </c>
      <c r="I123" s="136">
        <f>30+28+8+26+31</f>
        <v>123</v>
      </c>
      <c r="J123" s="137">
        <f t="shared" si="84"/>
        <v>13.667759999999999</v>
      </c>
      <c r="K123" s="118"/>
      <c r="L123" s="111">
        <f>123</f>
        <v>123</v>
      </c>
      <c r="M123" s="117">
        <f t="shared" si="85"/>
        <v>13.667759999999999</v>
      </c>
      <c r="N123" s="119">
        <f t="shared" si="86"/>
        <v>0</v>
      </c>
      <c r="O123" s="117">
        <f t="shared" si="87"/>
        <v>0</v>
      </c>
      <c r="P123" s="111"/>
      <c r="Q123" s="111"/>
      <c r="R123" s="111"/>
      <c r="S123" s="111"/>
    </row>
    <row r="124" spans="1:19" ht="15.6">
      <c r="A124" s="110" t="s">
        <v>248</v>
      </c>
      <c r="B124" s="111" t="s">
        <v>232</v>
      </c>
      <c r="C124" s="112" t="s">
        <v>228</v>
      </c>
      <c r="D124" s="113" t="s">
        <v>17</v>
      </c>
      <c r="E124" s="133" t="s">
        <v>15</v>
      </c>
      <c r="F124" s="133" t="s">
        <v>30</v>
      </c>
      <c r="G124" s="134">
        <v>9.26</v>
      </c>
      <c r="H124" s="135">
        <v>7.6</v>
      </c>
      <c r="I124" s="136">
        <v>2</v>
      </c>
      <c r="J124" s="137">
        <f t="shared" si="84"/>
        <v>0.14075199999999999</v>
      </c>
      <c r="K124" s="118"/>
      <c r="L124" s="111"/>
      <c r="M124" s="117">
        <f t="shared" si="85"/>
        <v>0</v>
      </c>
      <c r="N124" s="119">
        <f t="shared" si="86"/>
        <v>2</v>
      </c>
      <c r="O124" s="120">
        <f t="shared" si="87"/>
        <v>0.14075199999999999</v>
      </c>
      <c r="P124" s="111"/>
      <c r="Q124" s="111"/>
      <c r="R124" s="111"/>
      <c r="S124" s="111"/>
    </row>
    <row r="125" spans="1:19" ht="15.6">
      <c r="A125" s="110" t="s">
        <v>248</v>
      </c>
      <c r="B125" s="111" t="s">
        <v>232</v>
      </c>
      <c r="C125" s="112" t="s">
        <v>228</v>
      </c>
      <c r="D125" s="113" t="s">
        <v>17</v>
      </c>
      <c r="E125" s="133" t="s">
        <v>15</v>
      </c>
      <c r="F125" s="133" t="s">
        <v>30</v>
      </c>
      <c r="G125" s="134">
        <v>9.26</v>
      </c>
      <c r="H125" s="135">
        <v>9.5</v>
      </c>
      <c r="I125" s="136">
        <v>1</v>
      </c>
      <c r="J125" s="137">
        <f t="shared" si="84"/>
        <v>8.7969999999999993E-2</v>
      </c>
      <c r="K125" s="118"/>
      <c r="L125" s="111">
        <v>1</v>
      </c>
      <c r="M125" s="117">
        <f t="shared" si="85"/>
        <v>8.7969999999999993E-2</v>
      </c>
      <c r="N125" s="119">
        <f t="shared" si="86"/>
        <v>0</v>
      </c>
      <c r="O125" s="120">
        <f t="shared" si="87"/>
        <v>0</v>
      </c>
      <c r="P125" s="111">
        <v>8.25</v>
      </c>
      <c r="Q125" s="111">
        <v>1</v>
      </c>
      <c r="R125" s="111"/>
      <c r="S125" s="111"/>
    </row>
    <row r="126" spans="1:19" ht="15.6">
      <c r="A126" s="110" t="s">
        <v>248</v>
      </c>
      <c r="B126" s="111" t="s">
        <v>232</v>
      </c>
      <c r="C126" s="112" t="s">
        <v>228</v>
      </c>
      <c r="D126" s="113" t="s">
        <v>17</v>
      </c>
      <c r="E126" s="133" t="s">
        <v>15</v>
      </c>
      <c r="F126" s="133" t="s">
        <v>30</v>
      </c>
      <c r="G126" s="134">
        <v>9.26</v>
      </c>
      <c r="H126" s="135">
        <v>10</v>
      </c>
      <c r="I126" s="136">
        <v>1</v>
      </c>
      <c r="J126" s="137">
        <f t="shared" si="84"/>
        <v>9.2599999999999988E-2</v>
      </c>
      <c r="K126" s="118"/>
      <c r="L126" s="111">
        <v>1</v>
      </c>
      <c r="M126" s="117">
        <f t="shared" si="85"/>
        <v>9.2599999999999988E-2</v>
      </c>
      <c r="N126" s="119">
        <f t="shared" si="86"/>
        <v>0</v>
      </c>
      <c r="O126" s="120">
        <f t="shared" si="87"/>
        <v>0</v>
      </c>
      <c r="P126" s="111">
        <v>8.25</v>
      </c>
      <c r="Q126" s="111">
        <v>1</v>
      </c>
      <c r="R126" s="111"/>
      <c r="S126" s="111"/>
    </row>
    <row r="127" spans="1:19" ht="15.6">
      <c r="A127" s="110" t="s">
        <v>248</v>
      </c>
      <c r="B127" s="111" t="s">
        <v>232</v>
      </c>
      <c r="C127" s="112" t="s">
        <v>228</v>
      </c>
      <c r="D127" s="113" t="s">
        <v>17</v>
      </c>
      <c r="E127" s="133" t="s">
        <v>15</v>
      </c>
      <c r="F127" s="133" t="s">
        <v>30</v>
      </c>
      <c r="G127" s="134">
        <v>9.26</v>
      </c>
      <c r="H127" s="135">
        <v>10.25</v>
      </c>
      <c r="I127" s="136">
        <v>5</v>
      </c>
      <c r="J127" s="137">
        <f t="shared" si="84"/>
        <v>0.47457499999999991</v>
      </c>
      <c r="K127" s="118"/>
      <c r="L127" s="111">
        <v>5</v>
      </c>
      <c r="M127" s="117">
        <f t="shared" si="85"/>
        <v>0.47457499999999997</v>
      </c>
      <c r="N127" s="119">
        <f t="shared" si="86"/>
        <v>0</v>
      </c>
      <c r="O127" s="120">
        <f t="shared" si="87"/>
        <v>0</v>
      </c>
      <c r="P127" s="111"/>
      <c r="Q127" s="222">
        <v>5</v>
      </c>
      <c r="R127" s="222" t="s">
        <v>208</v>
      </c>
      <c r="S127" s="111"/>
    </row>
    <row r="128" spans="1:19" ht="15.6">
      <c r="A128" s="110" t="s">
        <v>248</v>
      </c>
      <c r="B128" s="111" t="s">
        <v>232</v>
      </c>
      <c r="C128" s="112" t="s">
        <v>228</v>
      </c>
      <c r="D128" s="113" t="s">
        <v>17</v>
      </c>
      <c r="E128" s="133" t="s">
        <v>15</v>
      </c>
      <c r="F128" s="133" t="s">
        <v>30</v>
      </c>
      <c r="G128" s="134">
        <v>9.26</v>
      </c>
      <c r="H128" s="135">
        <v>10.4</v>
      </c>
      <c r="I128" s="136">
        <v>2</v>
      </c>
      <c r="J128" s="137">
        <f t="shared" si="84"/>
        <v>0.192608</v>
      </c>
      <c r="K128" s="118"/>
      <c r="L128" s="111">
        <v>2</v>
      </c>
      <c r="M128" s="117">
        <f t="shared" si="85"/>
        <v>0.192608</v>
      </c>
      <c r="N128" s="119">
        <f t="shared" si="86"/>
        <v>0</v>
      </c>
      <c r="O128" s="120">
        <f t="shared" si="87"/>
        <v>0</v>
      </c>
      <c r="P128" s="111"/>
      <c r="Q128" s="222">
        <v>2</v>
      </c>
      <c r="R128" s="222" t="s">
        <v>208</v>
      </c>
      <c r="S128" s="111"/>
    </row>
    <row r="129" spans="1:19" ht="15.6">
      <c r="A129" s="110" t="s">
        <v>248</v>
      </c>
      <c r="B129" s="111" t="s">
        <v>232</v>
      </c>
      <c r="C129" s="112" t="s">
        <v>228</v>
      </c>
      <c r="D129" s="113" t="s">
        <v>17</v>
      </c>
      <c r="E129" s="133" t="s">
        <v>15</v>
      </c>
      <c r="F129" s="133" t="s">
        <v>30</v>
      </c>
      <c r="G129" s="134">
        <v>9.26</v>
      </c>
      <c r="H129" s="135">
        <v>11.5</v>
      </c>
      <c r="I129" s="136">
        <v>2</v>
      </c>
      <c r="J129" s="137">
        <f t="shared" si="84"/>
        <v>0.21298</v>
      </c>
      <c r="K129" s="118"/>
      <c r="L129" s="111">
        <f>1+1</f>
        <v>2</v>
      </c>
      <c r="M129" s="117">
        <f t="shared" si="85"/>
        <v>0.21298</v>
      </c>
      <c r="N129" s="119">
        <f t="shared" si="86"/>
        <v>0</v>
      </c>
      <c r="O129" s="120">
        <f t="shared" si="87"/>
        <v>0</v>
      </c>
      <c r="P129" s="111" t="s">
        <v>260</v>
      </c>
      <c r="Q129" s="111">
        <v>2</v>
      </c>
      <c r="R129" s="111"/>
      <c r="S129" s="111"/>
    </row>
    <row r="130" spans="1:19" ht="15.6">
      <c r="A130" s="110" t="s">
        <v>248</v>
      </c>
      <c r="B130" s="111" t="s">
        <v>232</v>
      </c>
      <c r="C130" s="112" t="s">
        <v>228</v>
      </c>
      <c r="D130" s="113" t="s">
        <v>17</v>
      </c>
      <c r="E130" s="133" t="s">
        <v>15</v>
      </c>
      <c r="F130" s="133" t="s">
        <v>30</v>
      </c>
      <c r="G130" s="134">
        <v>9.26</v>
      </c>
      <c r="H130" s="135">
        <v>11.7</v>
      </c>
      <c r="I130" s="136">
        <v>3</v>
      </c>
      <c r="J130" s="137">
        <f t="shared" si="84"/>
        <v>0.32502599999999993</v>
      </c>
      <c r="K130" s="118"/>
      <c r="L130" s="111">
        <v>3</v>
      </c>
      <c r="M130" s="117">
        <f t="shared" si="85"/>
        <v>0.32502599999999993</v>
      </c>
      <c r="N130" s="119">
        <f t="shared" si="86"/>
        <v>0</v>
      </c>
      <c r="O130" s="120">
        <f t="shared" si="87"/>
        <v>0</v>
      </c>
      <c r="P130" s="111">
        <v>10.5</v>
      </c>
      <c r="Q130" s="111">
        <v>3</v>
      </c>
      <c r="R130" s="111"/>
      <c r="S130" s="111"/>
    </row>
    <row r="131" spans="1:19" ht="15.6">
      <c r="A131" s="110" t="s">
        <v>248</v>
      </c>
      <c r="B131" s="111" t="s">
        <v>232</v>
      </c>
      <c r="C131" s="112" t="s">
        <v>228</v>
      </c>
      <c r="D131" s="113" t="s">
        <v>17</v>
      </c>
      <c r="E131" s="133" t="s">
        <v>15</v>
      </c>
      <c r="F131" s="133" t="s">
        <v>30</v>
      </c>
      <c r="G131" s="134">
        <v>9.26</v>
      </c>
      <c r="H131" s="135">
        <v>7.95</v>
      </c>
      <c r="I131" s="136">
        <v>20</v>
      </c>
      <c r="J131" s="137">
        <f t="shared" si="84"/>
        <v>1.4723400000000002</v>
      </c>
      <c r="K131" s="118"/>
      <c r="L131" s="111">
        <v>20</v>
      </c>
      <c r="M131" s="117">
        <f t="shared" si="85"/>
        <v>1.47234</v>
      </c>
      <c r="N131" s="119">
        <f t="shared" si="86"/>
        <v>0</v>
      </c>
      <c r="O131" s="120">
        <f t="shared" si="87"/>
        <v>0</v>
      </c>
      <c r="P131" s="111"/>
      <c r="Q131" s="111"/>
      <c r="R131" s="111"/>
      <c r="S131" s="111"/>
    </row>
    <row r="132" spans="1:19" ht="15.6">
      <c r="A132" s="110" t="s">
        <v>248</v>
      </c>
      <c r="B132" s="111" t="s">
        <v>232</v>
      </c>
      <c r="C132" s="112" t="s">
        <v>228</v>
      </c>
      <c r="D132" s="113" t="s">
        <v>17</v>
      </c>
      <c r="E132" s="133" t="s">
        <v>15</v>
      </c>
      <c r="F132" s="133" t="s">
        <v>30</v>
      </c>
      <c r="G132" s="134">
        <v>9.26</v>
      </c>
      <c r="H132" s="135">
        <v>11.5</v>
      </c>
      <c r="I132" s="136">
        <v>4</v>
      </c>
      <c r="J132" s="137">
        <f t="shared" si="84"/>
        <v>0.42596000000000001</v>
      </c>
      <c r="K132" s="118"/>
      <c r="L132" s="111">
        <v>4</v>
      </c>
      <c r="M132" s="117">
        <f t="shared" si="85"/>
        <v>0.42596000000000001</v>
      </c>
      <c r="N132" s="119">
        <f t="shared" si="86"/>
        <v>0</v>
      </c>
      <c r="O132" s="120">
        <f t="shared" si="87"/>
        <v>0</v>
      </c>
      <c r="P132" s="111">
        <v>11</v>
      </c>
      <c r="Q132" s="111">
        <v>4</v>
      </c>
      <c r="R132" s="111"/>
      <c r="S132" s="111"/>
    </row>
    <row r="133" spans="1:19" ht="15.6">
      <c r="A133" s="110" t="s">
        <v>248</v>
      </c>
      <c r="B133" s="111" t="s">
        <v>232</v>
      </c>
      <c r="C133" s="112" t="s">
        <v>228</v>
      </c>
      <c r="D133" s="113" t="s">
        <v>17</v>
      </c>
      <c r="E133" s="133" t="s">
        <v>15</v>
      </c>
      <c r="F133" s="133" t="s">
        <v>30</v>
      </c>
      <c r="G133" s="134">
        <v>9.26</v>
      </c>
      <c r="H133" s="135">
        <v>9.8000000000000007</v>
      </c>
      <c r="I133" s="136">
        <v>2</v>
      </c>
      <c r="J133" s="137">
        <f t="shared" si="84"/>
        <v>0.18149600000000002</v>
      </c>
      <c r="K133" s="118"/>
      <c r="L133" s="111">
        <v>2</v>
      </c>
      <c r="M133" s="117">
        <f t="shared" si="85"/>
        <v>0.18149600000000002</v>
      </c>
      <c r="N133" s="119">
        <f t="shared" si="86"/>
        <v>0</v>
      </c>
      <c r="O133" s="120">
        <f t="shared" si="87"/>
        <v>0</v>
      </c>
      <c r="P133" s="111">
        <v>7.95</v>
      </c>
      <c r="Q133" s="111">
        <v>2</v>
      </c>
      <c r="R133" s="111"/>
      <c r="S133" s="111"/>
    </row>
    <row r="134" spans="1:19">
      <c r="I134" s="6">
        <f>SUM(I120:I133)</f>
        <v>285</v>
      </c>
      <c r="J134" s="5">
        <f>SUM(J120:J133)</f>
        <v>28.446257000000003</v>
      </c>
      <c r="L134" s="6">
        <f>SUM(L120:L133)</f>
        <v>283</v>
      </c>
      <c r="M134" s="5">
        <f>SUM(M120:M133)</f>
        <v>28.305505000000004</v>
      </c>
      <c r="N134" s="78">
        <f>SUM(N120:N133)</f>
        <v>2</v>
      </c>
      <c r="O134" s="128">
        <f>SUM(O120:O133)</f>
        <v>0.14075199999999999</v>
      </c>
    </row>
    <row r="136" spans="1:19" ht="15.6">
      <c r="A136" s="110" t="s">
        <v>248</v>
      </c>
      <c r="B136" s="111" t="s">
        <v>232</v>
      </c>
      <c r="C136" s="112" t="s">
        <v>228</v>
      </c>
      <c r="D136" s="113" t="s">
        <v>17</v>
      </c>
      <c r="E136" s="133" t="s">
        <v>15</v>
      </c>
      <c r="F136" s="133" t="s">
        <v>22</v>
      </c>
      <c r="G136" s="134">
        <v>10.73</v>
      </c>
      <c r="H136" s="135">
        <v>6.5</v>
      </c>
      <c r="I136" s="136">
        <f>11+11</f>
        <v>22</v>
      </c>
      <c r="J136" s="137">
        <f t="shared" ref="J136" si="88">(G136*H136*I136/1000)</f>
        <v>1.5343900000000001</v>
      </c>
      <c r="K136" s="118"/>
      <c r="L136" s="111">
        <v>22</v>
      </c>
      <c r="M136" s="117">
        <f t="shared" ref="M136" si="89">H136*L136*G136/1000</f>
        <v>1.5343900000000001</v>
      </c>
      <c r="N136" s="119">
        <f t="shared" ref="N136" si="90">I136-L136</f>
        <v>0</v>
      </c>
      <c r="O136" s="120">
        <f t="shared" ref="O136" si="91">H136*N136*G136/1000</f>
        <v>0</v>
      </c>
      <c r="P136" s="111"/>
      <c r="Q136" s="111"/>
      <c r="R136" s="111"/>
      <c r="S136" s="111"/>
    </row>
    <row r="137" spans="1:19" ht="15.6">
      <c r="A137" s="110" t="s">
        <v>248</v>
      </c>
      <c r="B137" s="111" t="s">
        <v>232</v>
      </c>
      <c r="C137" s="112" t="s">
        <v>228</v>
      </c>
      <c r="D137" s="113" t="s">
        <v>17</v>
      </c>
      <c r="E137" s="133" t="s">
        <v>15</v>
      </c>
      <c r="F137" s="133" t="s">
        <v>22</v>
      </c>
      <c r="G137" s="134">
        <v>10.73</v>
      </c>
      <c r="H137" s="135">
        <v>10</v>
      </c>
      <c r="I137" s="136">
        <f>6+20+26</f>
        <v>52</v>
      </c>
      <c r="J137" s="137">
        <f t="shared" ref="J137:J149" si="92">(G137*H137*I137/1000)</f>
        <v>5.5796000000000001</v>
      </c>
      <c r="K137" s="118"/>
      <c r="L137" s="111">
        <v>52</v>
      </c>
      <c r="M137" s="117">
        <f t="shared" ref="M137:M152" si="93">H137*L137*G137/1000</f>
        <v>5.5796000000000001</v>
      </c>
      <c r="N137" s="119">
        <f t="shared" ref="N137:N152" si="94">I137-L137</f>
        <v>0</v>
      </c>
      <c r="O137" s="120">
        <f t="shared" ref="O137:O152" si="95">H137*N137*G137/1000</f>
        <v>0</v>
      </c>
      <c r="P137" s="111"/>
      <c r="Q137" s="111"/>
      <c r="R137" s="111"/>
      <c r="S137" s="111"/>
    </row>
    <row r="138" spans="1:19" ht="15.6">
      <c r="A138" s="110" t="s">
        <v>248</v>
      </c>
      <c r="B138" s="111" t="s">
        <v>232</v>
      </c>
      <c r="C138" s="112" t="s">
        <v>228</v>
      </c>
      <c r="D138" s="113" t="s">
        <v>17</v>
      </c>
      <c r="E138" s="133" t="s">
        <v>15</v>
      </c>
      <c r="F138" s="133" t="s">
        <v>22</v>
      </c>
      <c r="G138" s="134">
        <v>10.73</v>
      </c>
      <c r="H138" s="135">
        <v>10.5</v>
      </c>
      <c r="I138" s="136">
        <f>15+16</f>
        <v>31</v>
      </c>
      <c r="J138" s="137">
        <f t="shared" si="92"/>
        <v>3.4926150000000002</v>
      </c>
      <c r="K138" s="118"/>
      <c r="L138" s="111">
        <f>30+1</f>
        <v>31</v>
      </c>
      <c r="M138" s="117">
        <f t="shared" si="93"/>
        <v>3.4926150000000002</v>
      </c>
      <c r="N138" s="119">
        <f t="shared" si="94"/>
        <v>0</v>
      </c>
      <c r="O138" s="120">
        <f t="shared" si="95"/>
        <v>0</v>
      </c>
      <c r="P138" s="111">
        <v>10</v>
      </c>
      <c r="Q138" s="111">
        <v>1</v>
      </c>
      <c r="R138" s="111"/>
      <c r="S138" s="111"/>
    </row>
    <row r="139" spans="1:19" ht="15.6">
      <c r="A139" s="110" t="s">
        <v>248</v>
      </c>
      <c r="B139" s="111" t="s">
        <v>232</v>
      </c>
      <c r="C139" s="112" t="s">
        <v>228</v>
      </c>
      <c r="D139" s="113" t="s">
        <v>17</v>
      </c>
      <c r="E139" s="133" t="s">
        <v>15</v>
      </c>
      <c r="F139" s="133" t="s">
        <v>22</v>
      </c>
      <c r="G139" s="134">
        <v>10.73</v>
      </c>
      <c r="H139" s="135">
        <v>12</v>
      </c>
      <c r="I139" s="136">
        <f>10+24</f>
        <v>34</v>
      </c>
      <c r="J139" s="137">
        <f t="shared" si="92"/>
        <v>4.37784</v>
      </c>
      <c r="K139" s="118"/>
      <c r="L139" s="111">
        <v>34</v>
      </c>
      <c r="M139" s="117">
        <f t="shared" si="93"/>
        <v>4.37784</v>
      </c>
      <c r="N139" s="119">
        <f t="shared" si="94"/>
        <v>0</v>
      </c>
      <c r="O139" s="120">
        <f t="shared" si="95"/>
        <v>0</v>
      </c>
      <c r="P139" s="111"/>
      <c r="Q139" s="111"/>
      <c r="R139" s="111"/>
      <c r="S139" s="111"/>
    </row>
    <row r="140" spans="1:19" ht="15.6">
      <c r="A140" s="110" t="s">
        <v>248</v>
      </c>
      <c r="B140" s="111" t="s">
        <v>232</v>
      </c>
      <c r="C140" s="112" t="s">
        <v>228</v>
      </c>
      <c r="D140" s="113" t="s">
        <v>17</v>
      </c>
      <c r="E140" s="133" t="s">
        <v>15</v>
      </c>
      <c r="F140" s="133" t="s">
        <v>22</v>
      </c>
      <c r="G140" s="134">
        <v>10.73</v>
      </c>
      <c r="H140" s="135">
        <v>11.5</v>
      </c>
      <c r="I140" s="136">
        <v>3</v>
      </c>
      <c r="J140" s="137">
        <f t="shared" si="92"/>
        <v>0.37018500000000004</v>
      </c>
      <c r="K140" s="118"/>
      <c r="L140" s="111">
        <v>3</v>
      </c>
      <c r="M140" s="117">
        <f t="shared" si="93"/>
        <v>0.37018499999999999</v>
      </c>
      <c r="N140" s="119">
        <f t="shared" si="94"/>
        <v>0</v>
      </c>
      <c r="O140" s="120">
        <f t="shared" si="95"/>
        <v>0</v>
      </c>
      <c r="P140" s="111">
        <v>10</v>
      </c>
      <c r="Q140" s="111">
        <v>3</v>
      </c>
      <c r="R140" s="111"/>
      <c r="S140" s="111"/>
    </row>
    <row r="141" spans="1:19" ht="15.6">
      <c r="A141" s="110" t="s">
        <v>248</v>
      </c>
      <c r="B141" s="111" t="s">
        <v>232</v>
      </c>
      <c r="C141" s="112" t="s">
        <v>228</v>
      </c>
      <c r="D141" s="113" t="s">
        <v>17</v>
      </c>
      <c r="E141" s="133" t="s">
        <v>15</v>
      </c>
      <c r="F141" s="133" t="s">
        <v>22</v>
      </c>
      <c r="G141" s="134">
        <v>10.73</v>
      </c>
      <c r="H141" s="135">
        <v>11</v>
      </c>
      <c r="I141" s="136">
        <v>1</v>
      </c>
      <c r="J141" s="137">
        <f t="shared" si="92"/>
        <v>0.11803</v>
      </c>
      <c r="K141" s="118"/>
      <c r="L141" s="111">
        <v>1</v>
      </c>
      <c r="M141" s="117">
        <f t="shared" si="93"/>
        <v>0.11803</v>
      </c>
      <c r="N141" s="119">
        <f t="shared" si="94"/>
        <v>0</v>
      </c>
      <c r="O141" s="120">
        <f t="shared" si="95"/>
        <v>0</v>
      </c>
      <c r="P141" s="111">
        <v>10</v>
      </c>
      <c r="Q141" s="111">
        <v>1</v>
      </c>
      <c r="R141" s="111"/>
      <c r="S141" s="111"/>
    </row>
    <row r="142" spans="1:19" ht="15.6">
      <c r="A142" s="110" t="s">
        <v>248</v>
      </c>
      <c r="B142" s="111" t="s">
        <v>232</v>
      </c>
      <c r="C142" s="112" t="s">
        <v>228</v>
      </c>
      <c r="D142" s="113" t="s">
        <v>17</v>
      </c>
      <c r="E142" s="133" t="s">
        <v>15</v>
      </c>
      <c r="F142" s="133" t="s">
        <v>22</v>
      </c>
      <c r="G142" s="134">
        <v>10.73</v>
      </c>
      <c r="H142" s="135">
        <v>6</v>
      </c>
      <c r="I142" s="136">
        <v>1</v>
      </c>
      <c r="J142" s="137">
        <f t="shared" si="92"/>
        <v>6.4379999999999993E-2</v>
      </c>
      <c r="K142" s="118"/>
      <c r="L142" s="111"/>
      <c r="M142" s="117">
        <f t="shared" si="93"/>
        <v>0</v>
      </c>
      <c r="N142" s="119">
        <f t="shared" si="94"/>
        <v>1</v>
      </c>
      <c r="O142" s="120">
        <f t="shared" si="95"/>
        <v>6.4379999999999993E-2</v>
      </c>
      <c r="P142" s="111"/>
      <c r="Q142" s="111"/>
      <c r="R142" s="111"/>
      <c r="S142" s="111"/>
    </row>
    <row r="143" spans="1:19" ht="15.6">
      <c r="A143" s="110" t="s">
        <v>248</v>
      </c>
      <c r="B143" s="111" t="s">
        <v>232</v>
      </c>
      <c r="C143" s="112" t="s">
        <v>228</v>
      </c>
      <c r="D143" s="113" t="s">
        <v>17</v>
      </c>
      <c r="E143" s="133" t="s">
        <v>15</v>
      </c>
      <c r="F143" s="133" t="s">
        <v>22</v>
      </c>
      <c r="G143" s="134">
        <v>10.73</v>
      </c>
      <c r="H143" s="135">
        <v>6.3</v>
      </c>
      <c r="I143" s="136">
        <v>1</v>
      </c>
      <c r="J143" s="137">
        <f t="shared" si="92"/>
        <v>6.7599000000000006E-2</v>
      </c>
      <c r="K143" s="118"/>
      <c r="L143" s="111">
        <v>1</v>
      </c>
      <c r="M143" s="117">
        <f t="shared" si="93"/>
        <v>6.7599000000000006E-2</v>
      </c>
      <c r="N143" s="119">
        <f t="shared" si="94"/>
        <v>0</v>
      </c>
      <c r="O143" s="120">
        <f t="shared" si="95"/>
        <v>0</v>
      </c>
      <c r="P143" s="159">
        <v>6.3</v>
      </c>
      <c r="Q143" s="111">
        <v>1</v>
      </c>
      <c r="R143" s="111" t="s">
        <v>213</v>
      </c>
      <c r="S143" s="111"/>
    </row>
    <row r="144" spans="1:19" ht="15.6">
      <c r="A144" s="110" t="s">
        <v>248</v>
      </c>
      <c r="B144" s="111" t="s">
        <v>232</v>
      </c>
      <c r="C144" s="112" t="s">
        <v>228</v>
      </c>
      <c r="D144" s="113" t="s">
        <v>17</v>
      </c>
      <c r="E144" s="133" t="s">
        <v>15</v>
      </c>
      <c r="F144" s="133" t="s">
        <v>22</v>
      </c>
      <c r="G144" s="134">
        <v>10.73</v>
      </c>
      <c r="H144" s="135">
        <v>8.6999999999999993</v>
      </c>
      <c r="I144" s="136">
        <v>1</v>
      </c>
      <c r="J144" s="137">
        <f t="shared" si="92"/>
        <v>9.3351000000000003E-2</v>
      </c>
      <c r="K144" s="118"/>
      <c r="L144" s="111">
        <v>1</v>
      </c>
      <c r="M144" s="117">
        <f t="shared" si="93"/>
        <v>9.3351000000000003E-2</v>
      </c>
      <c r="N144" s="119">
        <f t="shared" si="94"/>
        <v>0</v>
      </c>
      <c r="O144" s="120">
        <f t="shared" si="95"/>
        <v>0</v>
      </c>
      <c r="P144" s="159">
        <v>8</v>
      </c>
      <c r="Q144" s="111">
        <v>1</v>
      </c>
      <c r="R144" s="111" t="s">
        <v>213</v>
      </c>
      <c r="S144" s="111"/>
    </row>
    <row r="145" spans="1:19" ht="15.6">
      <c r="A145" s="110" t="s">
        <v>248</v>
      </c>
      <c r="B145" s="111" t="s">
        <v>232</v>
      </c>
      <c r="C145" s="112" t="s">
        <v>228</v>
      </c>
      <c r="D145" s="113" t="s">
        <v>17</v>
      </c>
      <c r="E145" s="133" t="s">
        <v>15</v>
      </c>
      <c r="F145" s="133" t="s">
        <v>22</v>
      </c>
      <c r="G145" s="134">
        <v>10.73</v>
      </c>
      <c r="H145" s="135">
        <v>9</v>
      </c>
      <c r="I145" s="136">
        <v>1</v>
      </c>
      <c r="J145" s="137">
        <f t="shared" si="92"/>
        <v>9.6570000000000003E-2</v>
      </c>
      <c r="K145" s="118"/>
      <c r="L145" s="111">
        <v>1</v>
      </c>
      <c r="M145" s="117">
        <f t="shared" si="93"/>
        <v>9.6570000000000003E-2</v>
      </c>
      <c r="N145" s="119">
        <f t="shared" si="94"/>
        <v>0</v>
      </c>
      <c r="O145" s="120">
        <f t="shared" si="95"/>
        <v>0</v>
      </c>
      <c r="P145" s="159">
        <v>8</v>
      </c>
      <c r="Q145" s="111">
        <v>1</v>
      </c>
      <c r="R145" s="111" t="s">
        <v>213</v>
      </c>
      <c r="S145" s="111"/>
    </row>
    <row r="146" spans="1:19" ht="15.6">
      <c r="A146" s="110" t="s">
        <v>248</v>
      </c>
      <c r="B146" s="111" t="s">
        <v>232</v>
      </c>
      <c r="C146" s="112" t="s">
        <v>228</v>
      </c>
      <c r="D146" s="113" t="s">
        <v>17</v>
      </c>
      <c r="E146" s="133" t="s">
        <v>15</v>
      </c>
      <c r="F146" s="133" t="s">
        <v>22</v>
      </c>
      <c r="G146" s="134">
        <v>10.73</v>
      </c>
      <c r="H146" s="135">
        <v>9.5</v>
      </c>
      <c r="I146" s="136">
        <v>3</v>
      </c>
      <c r="J146" s="137">
        <f t="shared" si="92"/>
        <v>0.30580499999999999</v>
      </c>
      <c r="K146" s="118"/>
      <c r="L146" s="111">
        <v>3</v>
      </c>
      <c r="M146" s="117">
        <f t="shared" si="93"/>
        <v>0.30580499999999999</v>
      </c>
      <c r="N146" s="119">
        <f t="shared" si="94"/>
        <v>0</v>
      </c>
      <c r="O146" s="120">
        <f t="shared" si="95"/>
        <v>0</v>
      </c>
      <c r="P146" s="111">
        <v>9.15</v>
      </c>
      <c r="Q146" s="111">
        <v>3</v>
      </c>
      <c r="R146" s="111" t="s">
        <v>213</v>
      </c>
      <c r="S146" s="111"/>
    </row>
    <row r="147" spans="1:19" ht="15.6">
      <c r="A147" s="110" t="s">
        <v>248</v>
      </c>
      <c r="B147" s="111" t="s">
        <v>232</v>
      </c>
      <c r="C147" s="112" t="s">
        <v>228</v>
      </c>
      <c r="D147" s="113" t="s">
        <v>17</v>
      </c>
      <c r="E147" s="133" t="s">
        <v>15</v>
      </c>
      <c r="F147" s="133" t="s">
        <v>22</v>
      </c>
      <c r="G147" s="134">
        <v>10.73</v>
      </c>
      <c r="H147" s="135">
        <v>9.6</v>
      </c>
      <c r="I147" s="136">
        <v>1</v>
      </c>
      <c r="J147" s="137">
        <f t="shared" si="92"/>
        <v>0.103008</v>
      </c>
      <c r="K147" s="118"/>
      <c r="L147" s="111">
        <v>1</v>
      </c>
      <c r="M147" s="117">
        <f t="shared" si="93"/>
        <v>0.103008</v>
      </c>
      <c r="N147" s="119">
        <f t="shared" si="94"/>
        <v>0</v>
      </c>
      <c r="O147" s="120">
        <f t="shared" si="95"/>
        <v>0</v>
      </c>
      <c r="P147" s="111">
        <v>9.15</v>
      </c>
      <c r="Q147" s="111">
        <v>1</v>
      </c>
      <c r="R147" s="111" t="s">
        <v>213</v>
      </c>
      <c r="S147" s="111"/>
    </row>
    <row r="148" spans="1:19" ht="15.6">
      <c r="A148" s="110" t="s">
        <v>248</v>
      </c>
      <c r="B148" s="111" t="s">
        <v>232</v>
      </c>
      <c r="C148" s="112" t="s">
        <v>228</v>
      </c>
      <c r="D148" s="113" t="s">
        <v>17</v>
      </c>
      <c r="E148" s="133" t="s">
        <v>15</v>
      </c>
      <c r="F148" s="133" t="s">
        <v>22</v>
      </c>
      <c r="G148" s="134">
        <v>10.73</v>
      </c>
      <c r="H148" s="135">
        <v>9.6999999999999993</v>
      </c>
      <c r="I148" s="136">
        <v>2</v>
      </c>
      <c r="J148" s="137">
        <f t="shared" si="92"/>
        <v>0.20816200000000001</v>
      </c>
      <c r="K148" s="118"/>
      <c r="L148" s="111">
        <v>2</v>
      </c>
      <c r="M148" s="117">
        <f t="shared" si="93"/>
        <v>0.20816200000000001</v>
      </c>
      <c r="N148" s="119">
        <f t="shared" si="94"/>
        <v>0</v>
      </c>
      <c r="O148" s="120">
        <f t="shared" si="95"/>
        <v>0</v>
      </c>
      <c r="P148" s="111">
        <v>9.15</v>
      </c>
      <c r="Q148" s="111">
        <v>2</v>
      </c>
      <c r="R148" s="111" t="s">
        <v>213</v>
      </c>
      <c r="S148" s="111"/>
    </row>
    <row r="149" spans="1:19" ht="15.6">
      <c r="A149" s="110" t="s">
        <v>248</v>
      </c>
      <c r="B149" s="111" t="s">
        <v>232</v>
      </c>
      <c r="C149" s="112" t="s">
        <v>228</v>
      </c>
      <c r="D149" s="113" t="s">
        <v>17</v>
      </c>
      <c r="E149" s="133" t="s">
        <v>15</v>
      </c>
      <c r="F149" s="133" t="s">
        <v>22</v>
      </c>
      <c r="G149" s="134">
        <v>10.73</v>
      </c>
      <c r="H149" s="135">
        <v>10.199999999999999</v>
      </c>
      <c r="I149" s="136">
        <v>1</v>
      </c>
      <c r="J149" s="137">
        <f t="shared" si="92"/>
        <v>0.109446</v>
      </c>
      <c r="K149" s="118"/>
      <c r="L149" s="111">
        <v>1</v>
      </c>
      <c r="M149" s="117">
        <f t="shared" si="93"/>
        <v>0.109446</v>
      </c>
      <c r="N149" s="119">
        <f t="shared" si="94"/>
        <v>0</v>
      </c>
      <c r="O149" s="120">
        <f t="shared" si="95"/>
        <v>0</v>
      </c>
      <c r="P149" s="111"/>
      <c r="Q149" s="111"/>
      <c r="R149" s="111"/>
      <c r="S149" s="111"/>
    </row>
    <row r="150" spans="1:19" ht="15.6">
      <c r="A150" s="110" t="s">
        <v>248</v>
      </c>
      <c r="B150" s="111" t="s">
        <v>232</v>
      </c>
      <c r="C150" s="112" t="s">
        <v>228</v>
      </c>
      <c r="D150" s="113" t="s">
        <v>17</v>
      </c>
      <c r="E150" s="133" t="s">
        <v>15</v>
      </c>
      <c r="F150" s="133" t="s">
        <v>22</v>
      </c>
      <c r="G150" s="134">
        <v>10.73</v>
      </c>
      <c r="H150" s="135">
        <v>10.3</v>
      </c>
      <c r="I150" s="136">
        <v>1</v>
      </c>
      <c r="J150" s="137">
        <f>(G150*H150*I150/1000)</f>
        <v>0.11051900000000001</v>
      </c>
      <c r="K150" s="118"/>
      <c r="L150" s="111">
        <v>1</v>
      </c>
      <c r="M150" s="117">
        <f t="shared" si="93"/>
        <v>0.11051900000000001</v>
      </c>
      <c r="N150" s="119">
        <f t="shared" si="94"/>
        <v>0</v>
      </c>
      <c r="O150" s="120">
        <f t="shared" si="95"/>
        <v>0</v>
      </c>
      <c r="P150" s="111"/>
      <c r="Q150" s="111"/>
      <c r="R150" s="111"/>
      <c r="S150" s="111"/>
    </row>
    <row r="151" spans="1:19" ht="15.6">
      <c r="A151" s="110" t="s">
        <v>248</v>
      </c>
      <c r="B151" s="111" t="s">
        <v>232</v>
      </c>
      <c r="C151" s="112" t="s">
        <v>228</v>
      </c>
      <c r="D151" s="113" t="s">
        <v>17</v>
      </c>
      <c r="E151" s="133" t="s">
        <v>15</v>
      </c>
      <c r="F151" s="133" t="s">
        <v>22</v>
      </c>
      <c r="G151" s="134">
        <v>10.73</v>
      </c>
      <c r="H151" s="135">
        <v>11.5</v>
      </c>
      <c r="I151" s="136">
        <v>1</v>
      </c>
      <c r="J151" s="137">
        <f>(G151*H151*I151/1000)</f>
        <v>0.123395</v>
      </c>
      <c r="K151" s="118"/>
      <c r="L151" s="111">
        <v>1</v>
      </c>
      <c r="M151" s="117">
        <f t="shared" si="93"/>
        <v>0.123395</v>
      </c>
      <c r="N151" s="119">
        <f t="shared" si="94"/>
        <v>0</v>
      </c>
      <c r="O151" s="120">
        <f t="shared" si="95"/>
        <v>0</v>
      </c>
      <c r="P151" s="111"/>
      <c r="Q151" s="111"/>
      <c r="R151" s="111"/>
      <c r="S151" s="111"/>
    </row>
    <row r="152" spans="1:19" ht="15.6">
      <c r="A152" s="110" t="s">
        <v>248</v>
      </c>
      <c r="B152" s="111" t="s">
        <v>232</v>
      </c>
      <c r="C152" s="112" t="s">
        <v>228</v>
      </c>
      <c r="D152" s="113" t="s">
        <v>17</v>
      </c>
      <c r="E152" s="133" t="s">
        <v>15</v>
      </c>
      <c r="F152" s="133" t="s">
        <v>22</v>
      </c>
      <c r="G152" s="134">
        <v>10.73</v>
      </c>
      <c r="H152" s="135">
        <v>11.9</v>
      </c>
      <c r="I152" s="136">
        <v>1</v>
      </c>
      <c r="J152" s="137">
        <f>(G152*H152*I152/1000)</f>
        <v>0.12768700000000002</v>
      </c>
      <c r="K152" s="118"/>
      <c r="L152" s="111">
        <v>1</v>
      </c>
      <c r="M152" s="117">
        <f t="shared" si="93"/>
        <v>0.12768700000000002</v>
      </c>
      <c r="N152" s="119">
        <f t="shared" si="94"/>
        <v>0</v>
      </c>
      <c r="O152" s="120">
        <f t="shared" si="95"/>
        <v>0</v>
      </c>
      <c r="P152" s="111"/>
      <c r="Q152" s="111"/>
      <c r="R152" s="111"/>
      <c r="S152" s="111"/>
    </row>
    <row r="153" spans="1:19">
      <c r="I153" s="6">
        <f>SUM(I136:I152)</f>
        <v>157</v>
      </c>
      <c r="J153" s="5">
        <f>SUM(J136:J152)</f>
        <v>16.882581999999999</v>
      </c>
      <c r="L153" s="6">
        <f>SUM(L136:L152)</f>
        <v>156</v>
      </c>
      <c r="M153" s="5">
        <f>SUM(M136:M152)</f>
        <v>16.818201999999999</v>
      </c>
      <c r="N153" s="78">
        <f>SUM(N136:N152)</f>
        <v>1</v>
      </c>
      <c r="O153" s="128">
        <f>SUM(O136:O152)</f>
        <v>6.4379999999999993E-2</v>
      </c>
    </row>
    <row r="155" spans="1:19" ht="15.6">
      <c r="A155" s="110" t="s">
        <v>311</v>
      </c>
      <c r="B155" s="111" t="s">
        <v>232</v>
      </c>
      <c r="C155" s="112" t="s">
        <v>228</v>
      </c>
      <c r="D155" s="113" t="s">
        <v>17</v>
      </c>
      <c r="E155" s="216" t="s">
        <v>15</v>
      </c>
      <c r="F155" s="216" t="s">
        <v>28</v>
      </c>
      <c r="G155" s="217">
        <v>12.18</v>
      </c>
      <c r="H155" s="218">
        <v>6.7</v>
      </c>
      <c r="I155" s="219">
        <v>11</v>
      </c>
      <c r="J155" s="220">
        <f t="shared" ref="J155" si="96">(G155*H155*I155/1000)</f>
        <v>0.89766599999999996</v>
      </c>
      <c r="K155" s="118"/>
      <c r="L155" s="111">
        <v>11</v>
      </c>
      <c r="M155" s="117">
        <f t="shared" ref="M155" si="97">H155*L155*G155/1000</f>
        <v>0.89766600000000007</v>
      </c>
      <c r="N155" s="119">
        <f t="shared" ref="N155" si="98">I155-L155</f>
        <v>0</v>
      </c>
      <c r="O155" s="120">
        <f t="shared" ref="O155" si="99">H155*N155*G155/1000</f>
        <v>0</v>
      </c>
      <c r="P155" s="111"/>
      <c r="Q155" s="111"/>
      <c r="R155" s="111"/>
      <c r="S155" s="111"/>
    </row>
    <row r="156" spans="1:19" ht="15.6">
      <c r="A156" s="110" t="s">
        <v>311</v>
      </c>
      <c r="B156" s="111" t="s">
        <v>232</v>
      </c>
      <c r="C156" s="112" t="s">
        <v>228</v>
      </c>
      <c r="D156" s="113" t="s">
        <v>17</v>
      </c>
      <c r="E156" s="216" t="s">
        <v>15</v>
      </c>
      <c r="F156" s="216" t="s">
        <v>28</v>
      </c>
      <c r="G156" s="217">
        <v>12.18</v>
      </c>
      <c r="H156" s="218">
        <v>7</v>
      </c>
      <c r="I156" s="219">
        <v>16</v>
      </c>
      <c r="J156" s="220">
        <f t="shared" ref="J156:J169" si="100">(G156*H156*I156/1000)</f>
        <v>1.3641599999999998</v>
      </c>
      <c r="K156" s="118"/>
      <c r="L156" s="111">
        <v>16</v>
      </c>
      <c r="M156" s="117">
        <f t="shared" ref="M156:M169" si="101">H156*L156*G156/1000</f>
        <v>1.3641599999999998</v>
      </c>
      <c r="N156" s="119">
        <f t="shared" ref="N156:N169" si="102">I156-L156</f>
        <v>0</v>
      </c>
      <c r="O156" s="120">
        <f t="shared" ref="O156:O169" si="103">H156*N156*G156/1000</f>
        <v>0</v>
      </c>
      <c r="P156" s="111"/>
      <c r="Q156" s="111"/>
      <c r="R156" s="111"/>
      <c r="S156" s="111"/>
    </row>
    <row r="157" spans="1:19" ht="15.6">
      <c r="A157" s="110" t="s">
        <v>311</v>
      </c>
      <c r="B157" s="111" t="s">
        <v>232</v>
      </c>
      <c r="C157" s="112" t="s">
        <v>228</v>
      </c>
      <c r="D157" s="113" t="s">
        <v>17</v>
      </c>
      <c r="E157" s="216" t="s">
        <v>15</v>
      </c>
      <c r="F157" s="216" t="s">
        <v>28</v>
      </c>
      <c r="G157" s="217">
        <v>12.18</v>
      </c>
      <c r="H157" s="218">
        <v>8.6999999999999993</v>
      </c>
      <c r="I157" s="219">
        <f>25+29</f>
        <v>54</v>
      </c>
      <c r="J157" s="220">
        <f t="shared" si="100"/>
        <v>5.7221639999999994</v>
      </c>
      <c r="K157" s="118"/>
      <c r="L157" s="111">
        <f>52+1</f>
        <v>53</v>
      </c>
      <c r="M157" s="117">
        <f t="shared" si="101"/>
        <v>5.6161979999999998</v>
      </c>
      <c r="N157" s="119">
        <f t="shared" si="102"/>
        <v>1</v>
      </c>
      <c r="O157" s="120">
        <f t="shared" si="103"/>
        <v>0.10596599999999999</v>
      </c>
      <c r="P157" s="111">
        <v>6.7</v>
      </c>
      <c r="Q157" s="111">
        <v>1</v>
      </c>
      <c r="R157" s="111"/>
      <c r="S157" s="111"/>
    </row>
    <row r="158" spans="1:19" ht="15.6">
      <c r="A158" s="110" t="s">
        <v>311</v>
      </c>
      <c r="B158" s="111" t="s">
        <v>232</v>
      </c>
      <c r="C158" s="112" t="s">
        <v>228</v>
      </c>
      <c r="D158" s="113" t="s">
        <v>17</v>
      </c>
      <c r="E158" s="216" t="s">
        <v>15</v>
      </c>
      <c r="F158" s="216" t="s">
        <v>28</v>
      </c>
      <c r="G158" s="217">
        <v>12.18</v>
      </c>
      <c r="H158" s="218">
        <v>11.3</v>
      </c>
      <c r="I158" s="219"/>
      <c r="J158" s="220">
        <f t="shared" si="100"/>
        <v>0</v>
      </c>
      <c r="K158" s="118"/>
      <c r="L158" s="111"/>
      <c r="M158" s="117">
        <f t="shared" si="101"/>
        <v>0</v>
      </c>
      <c r="N158" s="119">
        <f t="shared" si="102"/>
        <v>0</v>
      </c>
      <c r="O158" s="120">
        <f t="shared" si="103"/>
        <v>0</v>
      </c>
      <c r="P158" s="111"/>
      <c r="Q158" s="111"/>
      <c r="R158" s="111"/>
      <c r="S158" s="111"/>
    </row>
    <row r="159" spans="1:19" ht="15.6">
      <c r="A159" s="110" t="s">
        <v>311</v>
      </c>
      <c r="B159" s="111" t="s">
        <v>232</v>
      </c>
      <c r="C159" s="112" t="s">
        <v>228</v>
      </c>
      <c r="D159" s="113" t="s">
        <v>17</v>
      </c>
      <c r="E159" s="216" t="s">
        <v>15</v>
      </c>
      <c r="F159" s="216" t="s">
        <v>28</v>
      </c>
      <c r="G159" s="217">
        <v>12.18</v>
      </c>
      <c r="H159" s="218">
        <v>7</v>
      </c>
      <c r="I159" s="219">
        <f>20+2</f>
        <v>22</v>
      </c>
      <c r="J159" s="220">
        <f t="shared" si="100"/>
        <v>1.8757199999999998</v>
      </c>
      <c r="K159" s="118"/>
      <c r="L159" s="111">
        <f>12+10</f>
        <v>22</v>
      </c>
      <c r="M159" s="117">
        <f t="shared" si="101"/>
        <v>1.8757200000000001</v>
      </c>
      <c r="N159" s="119">
        <f t="shared" si="102"/>
        <v>0</v>
      </c>
      <c r="O159" s="120">
        <f t="shared" si="103"/>
        <v>0</v>
      </c>
      <c r="P159" s="111"/>
      <c r="Q159" s="111"/>
      <c r="R159" s="111"/>
      <c r="S159" s="111"/>
    </row>
    <row r="160" spans="1:19" ht="15.6">
      <c r="A160" s="110" t="s">
        <v>311</v>
      </c>
      <c r="B160" s="111" t="s">
        <v>232</v>
      </c>
      <c r="C160" s="112" t="s">
        <v>228</v>
      </c>
      <c r="D160" s="113" t="s">
        <v>17</v>
      </c>
      <c r="E160" s="216" t="s">
        <v>15</v>
      </c>
      <c r="F160" s="216" t="s">
        <v>28</v>
      </c>
      <c r="G160" s="217">
        <v>12.18</v>
      </c>
      <c r="H160" s="218">
        <v>10</v>
      </c>
      <c r="I160" s="219">
        <f>7+1</f>
        <v>8</v>
      </c>
      <c r="J160" s="220">
        <f t="shared" si="100"/>
        <v>0.97439999999999993</v>
      </c>
      <c r="K160" s="118"/>
      <c r="L160" s="111">
        <f>6+2</f>
        <v>8</v>
      </c>
      <c r="M160" s="117">
        <f t="shared" si="101"/>
        <v>0.97439999999999993</v>
      </c>
      <c r="N160" s="119">
        <f t="shared" si="102"/>
        <v>0</v>
      </c>
      <c r="O160" s="120">
        <f t="shared" si="103"/>
        <v>0</v>
      </c>
      <c r="P160" s="111"/>
      <c r="Q160" s="111"/>
      <c r="R160" s="111"/>
      <c r="S160" s="111"/>
    </row>
    <row r="161" spans="1:20" s="213" customFormat="1" ht="15.6">
      <c r="A161" s="110" t="s">
        <v>311</v>
      </c>
      <c r="B161" s="111" t="s">
        <v>232</v>
      </c>
      <c r="C161" s="112" t="s">
        <v>228</v>
      </c>
      <c r="D161" s="113" t="s">
        <v>17</v>
      </c>
      <c r="E161" s="216" t="s">
        <v>15</v>
      </c>
      <c r="F161" s="216" t="s">
        <v>28</v>
      </c>
      <c r="G161" s="217">
        <v>12.18</v>
      </c>
      <c r="H161" s="218">
        <v>9</v>
      </c>
      <c r="I161" s="219">
        <v>2</v>
      </c>
      <c r="J161" s="220">
        <f t="shared" ref="J161" si="104">(G161*H161*I161/1000)</f>
        <v>0.21924000000000002</v>
      </c>
      <c r="K161" s="118"/>
      <c r="L161" s="111">
        <v>1</v>
      </c>
      <c r="M161" s="117">
        <f t="shared" ref="M161" si="105">H161*L161*G161/1000</f>
        <v>0.10962000000000001</v>
      </c>
      <c r="N161" s="119">
        <f t="shared" ref="N161" si="106">I161-L161</f>
        <v>1</v>
      </c>
      <c r="O161" s="120">
        <f t="shared" ref="O161" si="107">H161*N161*G161/1000</f>
        <v>0.10962000000000001</v>
      </c>
      <c r="P161" s="111"/>
      <c r="Q161" s="111"/>
      <c r="R161" s="111"/>
      <c r="S161" s="111"/>
    </row>
    <row r="162" spans="1:20" ht="15.6">
      <c r="A162" s="110" t="s">
        <v>311</v>
      </c>
      <c r="B162" s="111" t="s">
        <v>232</v>
      </c>
      <c r="C162" s="112" t="s">
        <v>228</v>
      </c>
      <c r="D162" s="113" t="s">
        <v>17</v>
      </c>
      <c r="E162" s="216" t="s">
        <v>15</v>
      </c>
      <c r="F162" s="216" t="s">
        <v>28</v>
      </c>
      <c r="G162" s="217">
        <v>12.18</v>
      </c>
      <c r="H162" s="218">
        <v>12</v>
      </c>
      <c r="I162" s="219">
        <v>2</v>
      </c>
      <c r="J162" s="220">
        <f t="shared" si="100"/>
        <v>0.29231999999999997</v>
      </c>
      <c r="K162" s="118"/>
      <c r="L162" s="111">
        <v>2</v>
      </c>
      <c r="M162" s="117">
        <f t="shared" si="101"/>
        <v>0.29231999999999997</v>
      </c>
      <c r="N162" s="119">
        <f t="shared" si="102"/>
        <v>0</v>
      </c>
      <c r="O162" s="120">
        <f t="shared" si="103"/>
        <v>0</v>
      </c>
      <c r="P162" s="111"/>
      <c r="Q162" s="111"/>
      <c r="R162" s="111"/>
      <c r="S162" s="111"/>
    </row>
    <row r="163" spans="1:20" ht="15.6">
      <c r="A163" s="110" t="s">
        <v>311</v>
      </c>
      <c r="B163" s="111" t="s">
        <v>232</v>
      </c>
      <c r="C163" s="112" t="s">
        <v>228</v>
      </c>
      <c r="D163" s="113" t="s">
        <v>17</v>
      </c>
      <c r="E163" s="216" t="s">
        <v>15</v>
      </c>
      <c r="F163" s="216" t="s">
        <v>28</v>
      </c>
      <c r="G163" s="217">
        <v>12.18</v>
      </c>
      <c r="H163" s="218">
        <v>10.5</v>
      </c>
      <c r="I163" s="219">
        <v>10</v>
      </c>
      <c r="J163" s="220">
        <f t="shared" si="100"/>
        <v>1.2789000000000001</v>
      </c>
      <c r="K163" s="118"/>
      <c r="L163" s="111">
        <v>10</v>
      </c>
      <c r="M163" s="117">
        <f t="shared" si="101"/>
        <v>1.2788999999999999</v>
      </c>
      <c r="N163" s="119">
        <f t="shared" si="102"/>
        <v>0</v>
      </c>
      <c r="O163" s="120">
        <f t="shared" si="103"/>
        <v>0</v>
      </c>
      <c r="P163" s="111"/>
      <c r="Q163" s="111"/>
      <c r="R163" s="111"/>
      <c r="S163" s="111"/>
    </row>
    <row r="164" spans="1:20" ht="15.6">
      <c r="A164" s="110" t="s">
        <v>311</v>
      </c>
      <c r="B164" s="111" t="s">
        <v>232</v>
      </c>
      <c r="C164" s="112" t="s">
        <v>228</v>
      </c>
      <c r="D164" s="113" t="s">
        <v>17</v>
      </c>
      <c r="E164" s="216" t="s">
        <v>15</v>
      </c>
      <c r="F164" s="216" t="s">
        <v>28</v>
      </c>
      <c r="G164" s="217">
        <v>12.18</v>
      </c>
      <c r="H164" s="218">
        <v>11.5</v>
      </c>
      <c r="I164" s="219">
        <v>6</v>
      </c>
      <c r="J164" s="220">
        <f t="shared" si="100"/>
        <v>0.84041999999999994</v>
      </c>
      <c r="K164" s="118"/>
      <c r="L164" s="111">
        <v>6</v>
      </c>
      <c r="M164" s="117">
        <f t="shared" si="101"/>
        <v>0.84041999999999994</v>
      </c>
      <c r="N164" s="119">
        <f t="shared" si="102"/>
        <v>0</v>
      </c>
      <c r="O164" s="120">
        <f t="shared" si="103"/>
        <v>0</v>
      </c>
      <c r="P164" s="111"/>
      <c r="Q164" s="111"/>
      <c r="R164" s="111"/>
      <c r="S164" s="111"/>
    </row>
    <row r="165" spans="1:20" ht="15.6">
      <c r="A165" s="110" t="s">
        <v>311</v>
      </c>
      <c r="B165" s="111" t="s">
        <v>232</v>
      </c>
      <c r="C165" s="112" t="s">
        <v>228</v>
      </c>
      <c r="D165" s="113" t="s">
        <v>17</v>
      </c>
      <c r="E165" s="216" t="s">
        <v>15</v>
      </c>
      <c r="F165" s="216" t="s">
        <v>28</v>
      </c>
      <c r="G165" s="217">
        <v>12.18</v>
      </c>
      <c r="H165" s="218">
        <v>12</v>
      </c>
      <c r="I165" s="219">
        <v>14</v>
      </c>
      <c r="J165" s="220">
        <f t="shared" si="100"/>
        <v>2.0462400000000001</v>
      </c>
      <c r="K165" s="118"/>
      <c r="L165" s="111">
        <f>12+2</f>
        <v>14</v>
      </c>
      <c r="M165" s="117">
        <f t="shared" si="101"/>
        <v>2.0462400000000001</v>
      </c>
      <c r="N165" s="119">
        <f t="shared" si="102"/>
        <v>0</v>
      </c>
      <c r="O165" s="120">
        <f t="shared" si="103"/>
        <v>0</v>
      </c>
      <c r="P165" s="111" t="s">
        <v>312</v>
      </c>
      <c r="Q165" s="111">
        <v>2</v>
      </c>
      <c r="R165" s="111"/>
      <c r="S165" s="111"/>
    </row>
    <row r="166" spans="1:20" ht="15.6">
      <c r="A166" s="110" t="s">
        <v>311</v>
      </c>
      <c r="B166" s="111" t="s">
        <v>232</v>
      </c>
      <c r="C166" s="112" t="s">
        <v>228</v>
      </c>
      <c r="D166" s="113" t="s">
        <v>17</v>
      </c>
      <c r="E166" s="216" t="s">
        <v>15</v>
      </c>
      <c r="F166" s="216" t="s">
        <v>28</v>
      </c>
      <c r="G166" s="217">
        <v>12.18</v>
      </c>
      <c r="H166" s="218">
        <v>10</v>
      </c>
      <c r="I166" s="219">
        <v>1</v>
      </c>
      <c r="J166" s="220">
        <f t="shared" si="100"/>
        <v>0.12179999999999999</v>
      </c>
      <c r="K166" s="118"/>
      <c r="L166" s="111"/>
      <c r="M166" s="117">
        <f t="shared" si="101"/>
        <v>0</v>
      </c>
      <c r="N166" s="119">
        <f t="shared" si="102"/>
        <v>1</v>
      </c>
      <c r="O166" s="120">
        <f t="shared" si="103"/>
        <v>0.12179999999999999</v>
      </c>
      <c r="P166" s="111"/>
      <c r="Q166" s="111"/>
      <c r="R166" s="111"/>
      <c r="S166" s="111"/>
    </row>
    <row r="167" spans="1:20" ht="15.6">
      <c r="A167" s="110" t="s">
        <v>311</v>
      </c>
      <c r="B167" s="111" t="s">
        <v>232</v>
      </c>
      <c r="C167" s="112" t="s">
        <v>228</v>
      </c>
      <c r="D167" s="113" t="s">
        <v>17</v>
      </c>
      <c r="E167" s="216" t="s">
        <v>15</v>
      </c>
      <c r="F167" s="216" t="s">
        <v>28</v>
      </c>
      <c r="G167" s="217">
        <v>12.18</v>
      </c>
      <c r="H167" s="218">
        <v>7</v>
      </c>
      <c r="I167" s="219">
        <v>16</v>
      </c>
      <c r="J167" s="220">
        <f t="shared" si="100"/>
        <v>1.3641599999999998</v>
      </c>
      <c r="K167" s="118"/>
      <c r="L167" s="111">
        <v>16</v>
      </c>
      <c r="M167" s="117">
        <f t="shared" si="101"/>
        <v>1.3641599999999998</v>
      </c>
      <c r="N167" s="119">
        <f t="shared" si="102"/>
        <v>0</v>
      </c>
      <c r="O167" s="120">
        <f t="shared" si="103"/>
        <v>0</v>
      </c>
      <c r="P167" s="111"/>
      <c r="Q167" s="111"/>
      <c r="R167" s="111"/>
      <c r="S167" s="111"/>
    </row>
    <row r="168" spans="1:20" ht="15.6">
      <c r="A168" s="110" t="s">
        <v>311</v>
      </c>
      <c r="B168" s="111" t="s">
        <v>232</v>
      </c>
      <c r="C168" s="112" t="s">
        <v>228</v>
      </c>
      <c r="D168" s="113" t="s">
        <v>17</v>
      </c>
      <c r="E168" s="216" t="s">
        <v>15</v>
      </c>
      <c r="F168" s="216" t="s">
        <v>28</v>
      </c>
      <c r="G168" s="217">
        <v>12.18</v>
      </c>
      <c r="H168" s="218">
        <v>6.7</v>
      </c>
      <c r="I168" s="219">
        <v>4</v>
      </c>
      <c r="J168" s="220">
        <f t="shared" si="100"/>
        <v>0.32642399999999999</v>
      </c>
      <c r="K168" s="118"/>
      <c r="L168" s="111">
        <v>4</v>
      </c>
      <c r="M168" s="117">
        <f t="shared" si="101"/>
        <v>0.32642399999999999</v>
      </c>
      <c r="N168" s="119">
        <f t="shared" si="102"/>
        <v>0</v>
      </c>
      <c r="O168" s="120">
        <f t="shared" si="103"/>
        <v>0</v>
      </c>
      <c r="P168" s="111"/>
      <c r="Q168" s="111"/>
      <c r="R168" s="111"/>
      <c r="S168" s="111"/>
    </row>
    <row r="169" spans="1:20" ht="15.6">
      <c r="A169" s="110" t="s">
        <v>311</v>
      </c>
      <c r="B169" s="111" t="s">
        <v>232</v>
      </c>
      <c r="C169" s="112" t="s">
        <v>228</v>
      </c>
      <c r="D169" s="113" t="s">
        <v>17</v>
      </c>
      <c r="E169" s="216" t="s">
        <v>15</v>
      </c>
      <c r="F169" s="216" t="s">
        <v>28</v>
      </c>
      <c r="G169" s="217">
        <v>12.18</v>
      </c>
      <c r="H169" s="218">
        <v>6.3</v>
      </c>
      <c r="I169" s="219">
        <v>1</v>
      </c>
      <c r="J169" s="220">
        <f t="shared" si="100"/>
        <v>7.6733999999999997E-2</v>
      </c>
      <c r="K169" s="118"/>
      <c r="L169" s="111"/>
      <c r="M169" s="117">
        <f t="shared" si="101"/>
        <v>0</v>
      </c>
      <c r="N169" s="119">
        <f t="shared" si="102"/>
        <v>1</v>
      </c>
      <c r="O169" s="120">
        <f t="shared" si="103"/>
        <v>7.6733999999999997E-2</v>
      </c>
      <c r="P169" s="111"/>
      <c r="Q169" s="111"/>
      <c r="R169" s="111"/>
      <c r="S169" s="111"/>
    </row>
    <row r="170" spans="1:20" ht="15.6">
      <c r="A170" s="110" t="s">
        <v>311</v>
      </c>
      <c r="B170" s="111" t="s">
        <v>232</v>
      </c>
      <c r="C170" s="112" t="s">
        <v>228</v>
      </c>
      <c r="D170" s="113" t="s">
        <v>17</v>
      </c>
      <c r="E170" s="216" t="s">
        <v>15</v>
      </c>
      <c r="F170" s="216" t="s">
        <v>28</v>
      </c>
      <c r="G170" s="217">
        <v>12.18</v>
      </c>
      <c r="H170" s="221">
        <v>8.3000000000000007</v>
      </c>
      <c r="I170" s="219">
        <v>1</v>
      </c>
      <c r="J170" s="220">
        <f t="shared" ref="J170:J176" si="108">(G170*H170*I170/1000)</f>
        <v>0.101094</v>
      </c>
      <c r="K170" s="118"/>
      <c r="L170" s="111">
        <v>1</v>
      </c>
      <c r="M170" s="117">
        <f t="shared" ref="M170:M176" si="109">H170*L170*G170/1000</f>
        <v>0.101094</v>
      </c>
      <c r="N170" s="119">
        <f t="shared" ref="N170:N176" si="110">I170-L170</f>
        <v>0</v>
      </c>
      <c r="O170" s="120">
        <f t="shared" ref="O170:O176" si="111">H170*N170*G170/1000</f>
        <v>0</v>
      </c>
      <c r="P170" s="111"/>
      <c r="Q170" s="111"/>
      <c r="R170" s="159">
        <v>8.3000000000000007</v>
      </c>
      <c r="S170" s="111">
        <v>1</v>
      </c>
      <c r="T170" s="213" t="s">
        <v>510</v>
      </c>
    </row>
    <row r="171" spans="1:20" ht="15.6">
      <c r="A171" s="110" t="s">
        <v>311</v>
      </c>
      <c r="B171" s="111" t="s">
        <v>232</v>
      </c>
      <c r="C171" s="112" t="s">
        <v>228</v>
      </c>
      <c r="D171" s="113" t="s">
        <v>17</v>
      </c>
      <c r="E171" s="216" t="s">
        <v>15</v>
      </c>
      <c r="F171" s="216" t="s">
        <v>28</v>
      </c>
      <c r="G171" s="217">
        <v>12.18</v>
      </c>
      <c r="H171" s="221">
        <v>12</v>
      </c>
      <c r="I171" s="219">
        <v>8</v>
      </c>
      <c r="J171" s="220">
        <f t="shared" si="108"/>
        <v>1.1692799999999999</v>
      </c>
      <c r="K171" s="118"/>
      <c r="L171" s="111">
        <v>8</v>
      </c>
      <c r="M171" s="117">
        <f t="shared" si="109"/>
        <v>1.1692799999999999</v>
      </c>
      <c r="N171" s="119">
        <f t="shared" si="110"/>
        <v>0</v>
      </c>
      <c r="O171" s="120">
        <f t="shared" si="111"/>
        <v>0</v>
      </c>
      <c r="P171" s="111"/>
      <c r="Q171" s="111"/>
      <c r="R171" s="159">
        <v>12</v>
      </c>
      <c r="S171" s="111">
        <f>1+7</f>
        <v>8</v>
      </c>
      <c r="T171" s="213" t="s">
        <v>511</v>
      </c>
    </row>
    <row r="172" spans="1:20" ht="15.6">
      <c r="A172" s="110" t="s">
        <v>311</v>
      </c>
      <c r="B172" s="111" t="s">
        <v>232</v>
      </c>
      <c r="C172" s="112" t="s">
        <v>228</v>
      </c>
      <c r="D172" s="113" t="s">
        <v>17</v>
      </c>
      <c r="E172" s="216" t="s">
        <v>15</v>
      </c>
      <c r="F172" s="216" t="s">
        <v>28</v>
      </c>
      <c r="G172" s="217">
        <v>12.18</v>
      </c>
      <c r="H172" s="221">
        <v>11.8</v>
      </c>
      <c r="I172" s="219">
        <v>1</v>
      </c>
      <c r="J172" s="220">
        <f t="shared" si="108"/>
        <v>0.14372400000000002</v>
      </c>
      <c r="K172" s="118"/>
      <c r="L172" s="111">
        <v>1</v>
      </c>
      <c r="M172" s="117">
        <f t="shared" si="109"/>
        <v>0.14372400000000002</v>
      </c>
      <c r="N172" s="119">
        <f t="shared" si="110"/>
        <v>0</v>
      </c>
      <c r="O172" s="120">
        <f t="shared" si="111"/>
        <v>0</v>
      </c>
      <c r="P172" s="111">
        <v>10.5</v>
      </c>
      <c r="Q172" s="111">
        <v>1</v>
      </c>
      <c r="R172" s="159"/>
      <c r="S172" s="111"/>
    </row>
    <row r="173" spans="1:20" ht="15.6">
      <c r="A173" s="110" t="s">
        <v>311</v>
      </c>
      <c r="B173" s="111" t="s">
        <v>232</v>
      </c>
      <c r="C173" s="112" t="s">
        <v>228</v>
      </c>
      <c r="D173" s="113" t="s">
        <v>17</v>
      </c>
      <c r="E173" s="216" t="s">
        <v>15</v>
      </c>
      <c r="F173" s="216" t="s">
        <v>28</v>
      </c>
      <c r="G173" s="217">
        <v>12.18</v>
      </c>
      <c r="H173" s="221">
        <v>11.5</v>
      </c>
      <c r="I173" s="219">
        <v>1</v>
      </c>
      <c r="J173" s="220">
        <f t="shared" si="108"/>
        <v>0.14007</v>
      </c>
      <c r="K173" s="118"/>
      <c r="L173" s="111">
        <v>1</v>
      </c>
      <c r="M173" s="117">
        <f t="shared" si="109"/>
        <v>0.14007</v>
      </c>
      <c r="N173" s="119">
        <f t="shared" si="110"/>
        <v>0</v>
      </c>
      <c r="O173" s="120">
        <f t="shared" si="111"/>
        <v>0</v>
      </c>
      <c r="P173" s="111"/>
      <c r="Q173" s="111"/>
      <c r="R173" s="159"/>
      <c r="S173" s="111"/>
    </row>
    <row r="174" spans="1:20" ht="15.6">
      <c r="A174" s="110" t="s">
        <v>311</v>
      </c>
      <c r="B174" s="111" t="s">
        <v>232</v>
      </c>
      <c r="C174" s="112" t="s">
        <v>228</v>
      </c>
      <c r="D174" s="113" t="s">
        <v>17</v>
      </c>
      <c r="E174" s="216" t="s">
        <v>15</v>
      </c>
      <c r="F174" s="216" t="s">
        <v>28</v>
      </c>
      <c r="G174" s="217">
        <v>12.18</v>
      </c>
      <c r="H174" s="221">
        <v>11.3</v>
      </c>
      <c r="I174" s="219">
        <v>1</v>
      </c>
      <c r="J174" s="220">
        <f t="shared" si="108"/>
        <v>0.13763400000000001</v>
      </c>
      <c r="K174" s="118"/>
      <c r="L174" s="111">
        <v>1</v>
      </c>
      <c r="M174" s="117">
        <f t="shared" si="109"/>
        <v>0.13763400000000001</v>
      </c>
      <c r="N174" s="119">
        <f t="shared" si="110"/>
        <v>0</v>
      </c>
      <c r="O174" s="120">
        <f t="shared" si="111"/>
        <v>0</v>
      </c>
      <c r="P174" s="111"/>
      <c r="Q174" s="111"/>
      <c r="R174" s="159"/>
      <c r="S174" s="111"/>
    </row>
    <row r="175" spans="1:20" ht="15.6">
      <c r="A175" s="110" t="s">
        <v>311</v>
      </c>
      <c r="B175" s="111" t="s">
        <v>232</v>
      </c>
      <c r="C175" s="112" t="s">
        <v>228</v>
      </c>
      <c r="D175" s="113" t="s">
        <v>17</v>
      </c>
      <c r="E175" s="216" t="s">
        <v>15</v>
      </c>
      <c r="F175" s="216" t="s">
        <v>28</v>
      </c>
      <c r="G175" s="217">
        <v>12.18</v>
      </c>
      <c r="H175" s="221">
        <v>10.5</v>
      </c>
      <c r="I175" s="219">
        <v>1</v>
      </c>
      <c r="J175" s="220">
        <f t="shared" si="108"/>
        <v>0.12789</v>
      </c>
      <c r="K175" s="118"/>
      <c r="L175" s="111">
        <v>1</v>
      </c>
      <c r="M175" s="117">
        <f t="shared" si="109"/>
        <v>0.12789</v>
      </c>
      <c r="N175" s="119">
        <f t="shared" si="110"/>
        <v>0</v>
      </c>
      <c r="O175" s="120">
        <f t="shared" si="111"/>
        <v>0</v>
      </c>
      <c r="P175" s="111"/>
      <c r="Q175" s="111"/>
      <c r="R175" s="159"/>
      <c r="S175" s="111"/>
    </row>
    <row r="176" spans="1:20" ht="15.6">
      <c r="A176" s="110" t="s">
        <v>311</v>
      </c>
      <c r="B176" s="111" t="s">
        <v>232</v>
      </c>
      <c r="C176" s="112" t="s">
        <v>228</v>
      </c>
      <c r="D176" s="113" t="s">
        <v>17</v>
      </c>
      <c r="E176" s="216" t="s">
        <v>15</v>
      </c>
      <c r="F176" s="216" t="s">
        <v>28</v>
      </c>
      <c r="G176" s="217">
        <v>12.18</v>
      </c>
      <c r="H176" s="221">
        <v>8.6999999999999993</v>
      </c>
      <c r="I176" s="219">
        <v>1</v>
      </c>
      <c r="J176" s="220">
        <f t="shared" si="108"/>
        <v>0.10596599999999999</v>
      </c>
      <c r="K176" s="118"/>
      <c r="L176" s="111">
        <v>1</v>
      </c>
      <c r="M176" s="117">
        <f t="shared" si="109"/>
        <v>0.10596599999999999</v>
      </c>
      <c r="N176" s="119">
        <f t="shared" si="110"/>
        <v>0</v>
      </c>
      <c r="O176" s="120">
        <f t="shared" si="111"/>
        <v>0</v>
      </c>
      <c r="P176" s="111"/>
      <c r="Q176" s="111"/>
      <c r="R176" s="159">
        <v>8.6999999999999993</v>
      </c>
      <c r="S176" s="111">
        <v>1</v>
      </c>
      <c r="T176" s="213" t="s">
        <v>510</v>
      </c>
    </row>
    <row r="177" spans="1:19">
      <c r="I177" s="215">
        <f>SUM(I155:I176)</f>
        <v>181</v>
      </c>
      <c r="J177" s="214">
        <f>SUM(J155:J176)</f>
        <v>19.326005999999992</v>
      </c>
      <c r="L177" s="215">
        <f>SUM(L155:L176)</f>
        <v>177</v>
      </c>
      <c r="M177" s="214">
        <f>SUM(M155:M176)</f>
        <v>18.911885999999996</v>
      </c>
      <c r="N177" s="78">
        <f>SUM(N155:N176)</f>
        <v>4</v>
      </c>
      <c r="O177" s="128">
        <f>SUM(O155:O176)</f>
        <v>0.41411999999999993</v>
      </c>
    </row>
    <row r="179" spans="1:19" ht="15.6">
      <c r="A179" s="110" t="s">
        <v>311</v>
      </c>
      <c r="B179" s="111" t="s">
        <v>232</v>
      </c>
      <c r="C179" s="112" t="s">
        <v>228</v>
      </c>
      <c r="D179" s="113" t="s">
        <v>17</v>
      </c>
      <c r="E179" s="216" t="s">
        <v>15</v>
      </c>
      <c r="F179" s="216" t="s">
        <v>22</v>
      </c>
      <c r="G179" s="217">
        <v>10.73</v>
      </c>
      <c r="H179" s="218">
        <v>6.3</v>
      </c>
      <c r="I179" s="219">
        <f>14+5+9+12</f>
        <v>40</v>
      </c>
      <c r="J179" s="220">
        <f t="shared" ref="J179" si="112">(G179*H179*I179/1000)</f>
        <v>2.7039599999999999</v>
      </c>
      <c r="K179" s="118"/>
      <c r="L179" s="111">
        <v>40</v>
      </c>
      <c r="M179" s="117">
        <f t="shared" ref="M179" si="113">H179*L179*G179/1000</f>
        <v>2.7039599999999999</v>
      </c>
      <c r="N179" s="119">
        <f t="shared" ref="N179" si="114">I179-L179</f>
        <v>0</v>
      </c>
      <c r="O179" s="120">
        <f t="shared" ref="O179" si="115">H179*N179*G179/1000</f>
        <v>0</v>
      </c>
      <c r="P179" s="111"/>
      <c r="Q179" s="111"/>
      <c r="R179" s="111"/>
      <c r="S179" s="111"/>
    </row>
    <row r="180" spans="1:19" ht="15.6">
      <c r="A180" s="110" t="s">
        <v>311</v>
      </c>
      <c r="B180" s="111" t="s">
        <v>232</v>
      </c>
      <c r="C180" s="112" t="s">
        <v>228</v>
      </c>
      <c r="D180" s="113" t="s">
        <v>17</v>
      </c>
      <c r="E180" s="216" t="s">
        <v>15</v>
      </c>
      <c r="F180" s="216" t="s">
        <v>22</v>
      </c>
      <c r="G180" s="217">
        <v>10.73</v>
      </c>
      <c r="H180" s="218">
        <v>6.6</v>
      </c>
      <c r="I180" s="219">
        <f>30+22+22+18+15</f>
        <v>107</v>
      </c>
      <c r="J180" s="220">
        <f t="shared" ref="J180:J201" si="116">(G180*H180*I180/1000)</f>
        <v>7.5775259999999998</v>
      </c>
      <c r="K180" s="118"/>
      <c r="L180" s="111">
        <v>107</v>
      </c>
      <c r="M180" s="117">
        <f t="shared" ref="M180:M201" si="117">H180*L180*G180/1000</f>
        <v>7.5775259999999998</v>
      </c>
      <c r="N180" s="119">
        <f t="shared" ref="N180:N201" si="118">I180-L180</f>
        <v>0</v>
      </c>
      <c r="O180" s="120">
        <f t="shared" ref="O180:O201" si="119">H180*N180*G180/1000</f>
        <v>0</v>
      </c>
      <c r="P180" s="111"/>
      <c r="Q180" s="111"/>
      <c r="R180" s="111"/>
      <c r="S180" s="111"/>
    </row>
    <row r="181" spans="1:19" ht="15.6">
      <c r="A181" s="110" t="s">
        <v>311</v>
      </c>
      <c r="B181" s="111" t="s">
        <v>232</v>
      </c>
      <c r="C181" s="112" t="s">
        <v>228</v>
      </c>
      <c r="D181" s="113" t="s">
        <v>17</v>
      </c>
      <c r="E181" s="216" t="s">
        <v>15</v>
      </c>
      <c r="F181" s="216" t="s">
        <v>22</v>
      </c>
      <c r="G181" s="217">
        <v>10.73</v>
      </c>
      <c r="H181" s="218">
        <v>6.8</v>
      </c>
      <c r="I181" s="219">
        <f>34+9</f>
        <v>43</v>
      </c>
      <c r="J181" s="220">
        <f t="shared" si="116"/>
        <v>3.1374519999999997</v>
      </c>
      <c r="K181" s="118"/>
      <c r="L181" s="111">
        <v>43</v>
      </c>
      <c r="M181" s="117">
        <f t="shared" si="117"/>
        <v>3.1374519999999997</v>
      </c>
      <c r="N181" s="119">
        <f t="shared" si="118"/>
        <v>0</v>
      </c>
      <c r="O181" s="120">
        <f t="shared" si="119"/>
        <v>0</v>
      </c>
      <c r="P181" s="111"/>
      <c r="Q181" s="111"/>
      <c r="R181" s="111"/>
      <c r="S181" s="111"/>
    </row>
    <row r="182" spans="1:19" ht="15.6">
      <c r="A182" s="110" t="s">
        <v>311</v>
      </c>
      <c r="B182" s="111" t="s">
        <v>232</v>
      </c>
      <c r="C182" s="112" t="s">
        <v>228</v>
      </c>
      <c r="D182" s="113" t="s">
        <v>17</v>
      </c>
      <c r="E182" s="216" t="s">
        <v>15</v>
      </c>
      <c r="F182" s="216" t="s">
        <v>22</v>
      </c>
      <c r="G182" s="217">
        <v>10.73</v>
      </c>
      <c r="H182" s="218">
        <v>7.1</v>
      </c>
      <c r="I182" s="219">
        <f>30+30+19+19+31</f>
        <v>129</v>
      </c>
      <c r="J182" s="220">
        <f t="shared" si="116"/>
        <v>9.8276070000000004</v>
      </c>
      <c r="K182" s="118"/>
      <c r="L182" s="111">
        <f>101+19+9</f>
        <v>129</v>
      </c>
      <c r="M182" s="117">
        <f t="shared" si="117"/>
        <v>9.8276070000000004</v>
      </c>
      <c r="N182" s="119">
        <f t="shared" si="118"/>
        <v>0</v>
      </c>
      <c r="O182" s="120">
        <f t="shared" si="119"/>
        <v>0</v>
      </c>
      <c r="P182" s="111"/>
      <c r="Q182" s="111"/>
      <c r="R182" s="111"/>
      <c r="S182" s="111"/>
    </row>
    <row r="183" spans="1:19" ht="15.6">
      <c r="A183" s="110" t="s">
        <v>311</v>
      </c>
      <c r="B183" s="111" t="s">
        <v>232</v>
      </c>
      <c r="C183" s="112" t="s">
        <v>228</v>
      </c>
      <c r="D183" s="113" t="s">
        <v>17</v>
      </c>
      <c r="E183" s="216" t="s">
        <v>15</v>
      </c>
      <c r="F183" s="216" t="s">
        <v>22</v>
      </c>
      <c r="G183" s="217">
        <v>10.73</v>
      </c>
      <c r="H183" s="218">
        <v>7.45</v>
      </c>
      <c r="I183" s="219">
        <f>30+24+10</f>
        <v>64</v>
      </c>
      <c r="J183" s="220">
        <f t="shared" si="116"/>
        <v>5.1160640000000006</v>
      </c>
      <c r="K183" s="118"/>
      <c r="L183" s="111">
        <f>55+9</f>
        <v>64</v>
      </c>
      <c r="M183" s="117">
        <f t="shared" si="117"/>
        <v>5.1160640000000006</v>
      </c>
      <c r="N183" s="119">
        <f t="shared" si="118"/>
        <v>0</v>
      </c>
      <c r="O183" s="120">
        <f t="shared" si="119"/>
        <v>0</v>
      </c>
      <c r="P183" s="111"/>
      <c r="Q183" s="111"/>
      <c r="R183" s="111"/>
      <c r="S183" s="111"/>
    </row>
    <row r="184" spans="1:19" ht="15.6">
      <c r="A184" s="110" t="s">
        <v>311</v>
      </c>
      <c r="B184" s="111" t="s">
        <v>232</v>
      </c>
      <c r="C184" s="112" t="s">
        <v>228</v>
      </c>
      <c r="D184" s="113" t="s">
        <v>17</v>
      </c>
      <c r="E184" s="216" t="s">
        <v>15</v>
      </c>
      <c r="F184" s="216" t="s">
        <v>22</v>
      </c>
      <c r="G184" s="217">
        <v>10.73</v>
      </c>
      <c r="H184" s="218">
        <v>7.7</v>
      </c>
      <c r="I184" s="219">
        <f>30+30+11+29+32+18</f>
        <v>150</v>
      </c>
      <c r="J184" s="220">
        <f t="shared" si="116"/>
        <v>12.393150000000002</v>
      </c>
      <c r="K184" s="118"/>
      <c r="L184" s="111">
        <v>150</v>
      </c>
      <c r="M184" s="117">
        <f t="shared" si="117"/>
        <v>12.39315</v>
      </c>
      <c r="N184" s="119">
        <f t="shared" si="118"/>
        <v>0</v>
      </c>
      <c r="O184" s="120">
        <f t="shared" si="119"/>
        <v>0</v>
      </c>
      <c r="P184" s="111"/>
      <c r="Q184" s="111"/>
      <c r="R184" s="111"/>
      <c r="S184" s="111"/>
    </row>
    <row r="185" spans="1:19" ht="15.6">
      <c r="A185" s="110" t="s">
        <v>311</v>
      </c>
      <c r="B185" s="111" t="s">
        <v>232</v>
      </c>
      <c r="C185" s="112" t="s">
        <v>228</v>
      </c>
      <c r="D185" s="113" t="s">
        <v>17</v>
      </c>
      <c r="E185" s="216" t="s">
        <v>15</v>
      </c>
      <c r="F185" s="216" t="s">
        <v>22</v>
      </c>
      <c r="G185" s="217">
        <v>10.73</v>
      </c>
      <c r="H185" s="218">
        <v>8</v>
      </c>
      <c r="I185" s="219">
        <f>19+24+16+11</f>
        <v>70</v>
      </c>
      <c r="J185" s="220">
        <f t="shared" si="116"/>
        <v>6.0087999999999999</v>
      </c>
      <c r="K185" s="118"/>
      <c r="L185" s="111">
        <v>70</v>
      </c>
      <c r="M185" s="117">
        <f t="shared" si="117"/>
        <v>6.0087999999999999</v>
      </c>
      <c r="N185" s="119">
        <f t="shared" si="118"/>
        <v>0</v>
      </c>
      <c r="O185" s="120">
        <f t="shared" si="119"/>
        <v>0</v>
      </c>
      <c r="P185" s="111"/>
      <c r="Q185" s="111"/>
      <c r="R185" s="111"/>
      <c r="S185" s="111"/>
    </row>
    <row r="186" spans="1:19" ht="15.6">
      <c r="A186" s="110" t="s">
        <v>311</v>
      </c>
      <c r="B186" s="111" t="s">
        <v>232</v>
      </c>
      <c r="C186" s="112" t="s">
        <v>228</v>
      </c>
      <c r="D186" s="113" t="s">
        <v>17</v>
      </c>
      <c r="E186" s="216" t="s">
        <v>15</v>
      </c>
      <c r="F186" s="216" t="s">
        <v>22</v>
      </c>
      <c r="G186" s="217">
        <v>10.73</v>
      </c>
      <c r="H186" s="218">
        <v>9.15</v>
      </c>
      <c r="I186" s="219">
        <f>10+22+22</f>
        <v>54</v>
      </c>
      <c r="J186" s="220">
        <f t="shared" si="116"/>
        <v>5.3016930000000002</v>
      </c>
      <c r="K186" s="118"/>
      <c r="L186" s="111">
        <f>53+1</f>
        <v>54</v>
      </c>
      <c r="M186" s="117">
        <f t="shared" si="117"/>
        <v>5.3016930000000002</v>
      </c>
      <c r="N186" s="119">
        <f t="shared" si="118"/>
        <v>0</v>
      </c>
      <c r="O186" s="120">
        <f t="shared" si="119"/>
        <v>0</v>
      </c>
      <c r="P186" s="111"/>
      <c r="Q186" s="111"/>
      <c r="R186" s="111"/>
      <c r="S186" s="111"/>
    </row>
    <row r="187" spans="1:19" ht="15.6">
      <c r="A187" s="110" t="s">
        <v>311</v>
      </c>
      <c r="B187" s="111" t="s">
        <v>232</v>
      </c>
      <c r="C187" s="112" t="s">
        <v>228</v>
      </c>
      <c r="D187" s="113" t="s">
        <v>17</v>
      </c>
      <c r="E187" s="216" t="s">
        <v>15</v>
      </c>
      <c r="F187" s="216" t="s">
        <v>22</v>
      </c>
      <c r="G187" s="217">
        <v>10.73</v>
      </c>
      <c r="H187" s="218">
        <v>11.4</v>
      </c>
      <c r="I187" s="219">
        <f>26+5+8</f>
        <v>39</v>
      </c>
      <c r="J187" s="220">
        <f t="shared" si="116"/>
        <v>4.7705580000000003</v>
      </c>
      <c r="K187" s="118"/>
      <c r="L187" s="111">
        <v>39</v>
      </c>
      <c r="M187" s="117">
        <f t="shared" si="117"/>
        <v>4.7705580000000003</v>
      </c>
      <c r="N187" s="119">
        <f t="shared" si="118"/>
        <v>0</v>
      </c>
      <c r="O187" s="120">
        <f t="shared" si="119"/>
        <v>0</v>
      </c>
      <c r="P187" s="111"/>
      <c r="Q187" s="111"/>
      <c r="R187" s="111"/>
      <c r="S187" s="111"/>
    </row>
    <row r="188" spans="1:19" ht="15.6">
      <c r="A188" s="110" t="s">
        <v>311</v>
      </c>
      <c r="B188" s="111" t="s">
        <v>232</v>
      </c>
      <c r="C188" s="112" t="s">
        <v>228</v>
      </c>
      <c r="D188" s="113" t="s">
        <v>17</v>
      </c>
      <c r="E188" s="216" t="s">
        <v>15</v>
      </c>
      <c r="F188" s="216" t="s">
        <v>22</v>
      </c>
      <c r="G188" s="217">
        <v>10.73</v>
      </c>
      <c r="H188" s="218">
        <v>10.5</v>
      </c>
      <c r="I188" s="219">
        <f>3+14</f>
        <v>17</v>
      </c>
      <c r="J188" s="220">
        <f t="shared" si="116"/>
        <v>1.915305</v>
      </c>
      <c r="K188" s="118"/>
      <c r="L188" s="111">
        <f>16+1</f>
        <v>17</v>
      </c>
      <c r="M188" s="117">
        <f t="shared" si="117"/>
        <v>1.915305</v>
      </c>
      <c r="N188" s="119">
        <f t="shared" si="118"/>
        <v>0</v>
      </c>
      <c r="O188" s="120">
        <f t="shared" si="119"/>
        <v>0</v>
      </c>
      <c r="P188" s="111"/>
      <c r="Q188" s="111"/>
      <c r="R188" s="111"/>
      <c r="S188" s="111"/>
    </row>
    <row r="189" spans="1:19" ht="15.6">
      <c r="A189" s="110" t="s">
        <v>311</v>
      </c>
      <c r="B189" s="111" t="s">
        <v>232</v>
      </c>
      <c r="C189" s="112" t="s">
        <v>228</v>
      </c>
      <c r="D189" s="113" t="s">
        <v>17</v>
      </c>
      <c r="E189" s="216" t="s">
        <v>15</v>
      </c>
      <c r="F189" s="216" t="s">
        <v>22</v>
      </c>
      <c r="G189" s="217">
        <v>10.73</v>
      </c>
      <c r="H189" s="218">
        <v>11.4</v>
      </c>
      <c r="I189" s="219">
        <f>5+5</f>
        <v>10</v>
      </c>
      <c r="J189" s="220">
        <f t="shared" si="116"/>
        <v>1.22322</v>
      </c>
      <c r="K189" s="118"/>
      <c r="L189" s="111">
        <f>5+1+4</f>
        <v>10</v>
      </c>
      <c r="M189" s="117">
        <f t="shared" si="117"/>
        <v>1.22322</v>
      </c>
      <c r="N189" s="119">
        <f t="shared" si="118"/>
        <v>0</v>
      </c>
      <c r="O189" s="120">
        <f t="shared" si="119"/>
        <v>0</v>
      </c>
      <c r="P189" s="111"/>
      <c r="Q189" s="111"/>
      <c r="R189" s="111"/>
      <c r="S189" s="111"/>
    </row>
    <row r="190" spans="1:19" ht="15.6">
      <c r="A190" s="110" t="s">
        <v>311</v>
      </c>
      <c r="B190" s="111" t="s">
        <v>232</v>
      </c>
      <c r="C190" s="112" t="s">
        <v>228</v>
      </c>
      <c r="D190" s="113" t="s">
        <v>17</v>
      </c>
      <c r="E190" s="216" t="s">
        <v>15</v>
      </c>
      <c r="F190" s="216" t="s">
        <v>22</v>
      </c>
      <c r="G190" s="217">
        <v>10.73</v>
      </c>
      <c r="H190" s="218">
        <v>12</v>
      </c>
      <c r="I190" s="219">
        <f>9+11</f>
        <v>20</v>
      </c>
      <c r="J190" s="220">
        <f t="shared" si="116"/>
        <v>2.5751999999999997</v>
      </c>
      <c r="K190" s="118"/>
      <c r="L190" s="111">
        <f>11+9</f>
        <v>20</v>
      </c>
      <c r="M190" s="117">
        <f t="shared" si="117"/>
        <v>2.5752000000000002</v>
      </c>
      <c r="N190" s="119">
        <f t="shared" si="118"/>
        <v>0</v>
      </c>
      <c r="O190" s="120">
        <f t="shared" si="119"/>
        <v>0</v>
      </c>
      <c r="P190" s="111"/>
      <c r="Q190" s="111"/>
      <c r="R190" s="111"/>
      <c r="S190" s="111"/>
    </row>
    <row r="191" spans="1:19" ht="15.6">
      <c r="A191" s="110" t="s">
        <v>311</v>
      </c>
      <c r="B191" s="111" t="s">
        <v>232</v>
      </c>
      <c r="C191" s="112" t="s">
        <v>228</v>
      </c>
      <c r="D191" s="113" t="s">
        <v>17</v>
      </c>
      <c r="E191" s="216" t="s">
        <v>15</v>
      </c>
      <c r="F191" s="216" t="s">
        <v>22</v>
      </c>
      <c r="G191" s="217">
        <v>10.73</v>
      </c>
      <c r="H191" s="218">
        <v>11.6</v>
      </c>
      <c r="I191" s="219">
        <v>1</v>
      </c>
      <c r="J191" s="220">
        <f t="shared" si="116"/>
        <v>0.12446800000000001</v>
      </c>
      <c r="K191" s="118"/>
      <c r="L191" s="111"/>
      <c r="M191" s="117">
        <f t="shared" si="117"/>
        <v>0</v>
      </c>
      <c r="N191" s="119">
        <f t="shared" si="118"/>
        <v>1</v>
      </c>
      <c r="O191" s="120">
        <f t="shared" si="119"/>
        <v>0.12446800000000001</v>
      </c>
      <c r="P191" s="111"/>
      <c r="Q191" s="111"/>
      <c r="R191" s="111"/>
      <c r="S191" s="111"/>
    </row>
    <row r="192" spans="1:19" ht="15.6">
      <c r="A192" s="110" t="s">
        <v>311</v>
      </c>
      <c r="B192" s="111" t="s">
        <v>232</v>
      </c>
      <c r="C192" s="112" t="s">
        <v>228</v>
      </c>
      <c r="D192" s="113" t="s">
        <v>17</v>
      </c>
      <c r="E192" s="216" t="s">
        <v>15</v>
      </c>
      <c r="F192" s="216" t="s">
        <v>22</v>
      </c>
      <c r="G192" s="217">
        <v>10.73</v>
      </c>
      <c r="H192" s="218">
        <v>11.1</v>
      </c>
      <c r="I192" s="219">
        <v>1</v>
      </c>
      <c r="J192" s="220">
        <f t="shared" si="116"/>
        <v>0.119103</v>
      </c>
      <c r="K192" s="118"/>
      <c r="L192" s="111"/>
      <c r="M192" s="117">
        <f t="shared" si="117"/>
        <v>0</v>
      </c>
      <c r="N192" s="119">
        <f t="shared" si="118"/>
        <v>1</v>
      </c>
      <c r="O192" s="120">
        <f t="shared" si="119"/>
        <v>0.119103</v>
      </c>
      <c r="P192" s="111"/>
      <c r="Q192" s="111"/>
      <c r="R192" s="111"/>
      <c r="S192" s="111"/>
    </row>
    <row r="193" spans="1:19" ht="15.6">
      <c r="A193" s="110" t="s">
        <v>311</v>
      </c>
      <c r="B193" s="111" t="s">
        <v>232</v>
      </c>
      <c r="C193" s="112" t="s">
        <v>228</v>
      </c>
      <c r="D193" s="113" t="s">
        <v>17</v>
      </c>
      <c r="E193" s="216" t="s">
        <v>15</v>
      </c>
      <c r="F193" s="216" t="s">
        <v>22</v>
      </c>
      <c r="G193" s="217">
        <v>10.73</v>
      </c>
      <c r="H193" s="218">
        <v>7.7</v>
      </c>
      <c r="I193" s="219">
        <v>1</v>
      </c>
      <c r="J193" s="220">
        <f t="shared" si="116"/>
        <v>8.2621000000000014E-2</v>
      </c>
      <c r="K193" s="118"/>
      <c r="L193" s="111">
        <v>1</v>
      </c>
      <c r="M193" s="117">
        <f t="shared" si="117"/>
        <v>8.2621000000000014E-2</v>
      </c>
      <c r="N193" s="119">
        <f t="shared" si="118"/>
        <v>0</v>
      </c>
      <c r="O193" s="120">
        <f t="shared" si="119"/>
        <v>0</v>
      </c>
      <c r="P193" s="111"/>
      <c r="Q193" s="111"/>
      <c r="R193" s="111"/>
      <c r="S193" s="111"/>
    </row>
    <row r="194" spans="1:19" ht="15.6">
      <c r="A194" s="110" t="s">
        <v>311</v>
      </c>
      <c r="B194" s="111" t="s">
        <v>232</v>
      </c>
      <c r="C194" s="112" t="s">
        <v>228</v>
      </c>
      <c r="D194" s="113" t="s">
        <v>17</v>
      </c>
      <c r="E194" s="216" t="s">
        <v>15</v>
      </c>
      <c r="F194" s="216" t="s">
        <v>22</v>
      </c>
      <c r="G194" s="217">
        <v>10.73</v>
      </c>
      <c r="H194" s="218">
        <v>6.6</v>
      </c>
      <c r="I194" s="219">
        <v>1</v>
      </c>
      <c r="J194" s="220">
        <f t="shared" si="116"/>
        <v>7.0817999999999992E-2</v>
      </c>
      <c r="K194" s="118"/>
      <c r="L194" s="111">
        <v>1</v>
      </c>
      <c r="M194" s="117">
        <f t="shared" si="117"/>
        <v>7.0817999999999992E-2</v>
      </c>
      <c r="N194" s="119">
        <f t="shared" si="118"/>
        <v>0</v>
      </c>
      <c r="O194" s="120">
        <f t="shared" si="119"/>
        <v>0</v>
      </c>
      <c r="P194" s="111"/>
      <c r="Q194" s="111"/>
      <c r="R194" s="111"/>
      <c r="S194" s="111"/>
    </row>
    <row r="195" spans="1:19" ht="15.6">
      <c r="A195" s="110" t="s">
        <v>311</v>
      </c>
      <c r="B195" s="111" t="s">
        <v>232</v>
      </c>
      <c r="C195" s="112" t="s">
        <v>228</v>
      </c>
      <c r="D195" s="113" t="s">
        <v>17</v>
      </c>
      <c r="E195" s="216" t="s">
        <v>15</v>
      </c>
      <c r="F195" s="216" t="s">
        <v>22</v>
      </c>
      <c r="G195" s="217">
        <v>10.73</v>
      </c>
      <c r="H195" s="218">
        <v>6</v>
      </c>
      <c r="I195" s="219">
        <v>4</v>
      </c>
      <c r="J195" s="220">
        <f t="shared" si="116"/>
        <v>0.25751999999999997</v>
      </c>
      <c r="K195" s="118"/>
      <c r="L195" s="111"/>
      <c r="M195" s="117">
        <f t="shared" si="117"/>
        <v>0</v>
      </c>
      <c r="N195" s="119">
        <f t="shared" si="118"/>
        <v>4</v>
      </c>
      <c r="O195" s="120">
        <f t="shared" si="119"/>
        <v>0.25751999999999997</v>
      </c>
      <c r="P195" s="111"/>
      <c r="Q195" s="111"/>
      <c r="R195" s="111"/>
      <c r="S195" s="111"/>
    </row>
    <row r="196" spans="1:19" ht="15.6">
      <c r="A196" s="110" t="s">
        <v>311</v>
      </c>
      <c r="B196" s="111" t="s">
        <v>232</v>
      </c>
      <c r="C196" s="112" t="s">
        <v>228</v>
      </c>
      <c r="D196" s="113" t="s">
        <v>17</v>
      </c>
      <c r="E196" s="216" t="s">
        <v>15</v>
      </c>
      <c r="F196" s="216" t="s">
        <v>22</v>
      </c>
      <c r="G196" s="217">
        <v>10.73</v>
      </c>
      <c r="H196" s="218">
        <v>12</v>
      </c>
      <c r="I196" s="219">
        <v>1</v>
      </c>
      <c r="J196" s="220">
        <f t="shared" si="116"/>
        <v>0.12875999999999999</v>
      </c>
      <c r="K196" s="118"/>
      <c r="L196" s="111"/>
      <c r="M196" s="117">
        <f t="shared" si="117"/>
        <v>0</v>
      </c>
      <c r="N196" s="119">
        <f t="shared" si="118"/>
        <v>1</v>
      </c>
      <c r="O196" s="120">
        <f t="shared" si="119"/>
        <v>0.12875999999999999</v>
      </c>
      <c r="P196" s="111"/>
      <c r="Q196" s="111"/>
      <c r="R196" s="111"/>
      <c r="S196" s="111"/>
    </row>
    <row r="197" spans="1:19" ht="15.6">
      <c r="A197" s="110" t="s">
        <v>311</v>
      </c>
      <c r="B197" s="111" t="s">
        <v>232</v>
      </c>
      <c r="C197" s="112" t="s">
        <v>228</v>
      </c>
      <c r="D197" s="113" t="s">
        <v>17</v>
      </c>
      <c r="E197" s="216" t="s">
        <v>15</v>
      </c>
      <c r="F197" s="216" t="s">
        <v>22</v>
      </c>
      <c r="G197" s="217">
        <v>10.73</v>
      </c>
      <c r="H197" s="218">
        <v>11.4</v>
      </c>
      <c r="I197" s="219">
        <v>15</v>
      </c>
      <c r="J197" s="220">
        <f t="shared" si="116"/>
        <v>1.83483</v>
      </c>
      <c r="K197" s="118"/>
      <c r="L197" s="111">
        <v>15</v>
      </c>
      <c r="M197" s="117">
        <f t="shared" si="117"/>
        <v>1.8348300000000002</v>
      </c>
      <c r="N197" s="119">
        <f t="shared" si="118"/>
        <v>0</v>
      </c>
      <c r="O197" s="120">
        <f t="shared" si="119"/>
        <v>0</v>
      </c>
      <c r="P197" s="111"/>
      <c r="Q197" s="111"/>
      <c r="R197" s="111"/>
      <c r="S197" s="111"/>
    </row>
    <row r="198" spans="1:19" ht="15.6">
      <c r="A198" s="110" t="s">
        <v>311</v>
      </c>
      <c r="B198" s="111" t="s">
        <v>232</v>
      </c>
      <c r="C198" s="112" t="s">
        <v>228</v>
      </c>
      <c r="D198" s="113" t="s">
        <v>17</v>
      </c>
      <c r="E198" s="216" t="s">
        <v>15</v>
      </c>
      <c r="F198" s="216" t="s">
        <v>22</v>
      </c>
      <c r="G198" s="217">
        <v>10.73</v>
      </c>
      <c r="H198" s="218">
        <v>11.3</v>
      </c>
      <c r="I198" s="219">
        <v>1</v>
      </c>
      <c r="J198" s="220">
        <f t="shared" si="116"/>
        <v>0.12124900000000001</v>
      </c>
      <c r="K198" s="118"/>
      <c r="L198" s="111"/>
      <c r="M198" s="117">
        <f t="shared" si="117"/>
        <v>0</v>
      </c>
      <c r="N198" s="119">
        <f t="shared" si="118"/>
        <v>1</v>
      </c>
      <c r="O198" s="120">
        <f t="shared" si="119"/>
        <v>0.12124900000000001</v>
      </c>
      <c r="P198" s="111"/>
      <c r="Q198" s="111"/>
      <c r="R198" s="111"/>
      <c r="S198" s="111"/>
    </row>
    <row r="199" spans="1:19" ht="15.6">
      <c r="A199" s="110" t="s">
        <v>311</v>
      </c>
      <c r="B199" s="111" t="s">
        <v>232</v>
      </c>
      <c r="C199" s="112" t="s">
        <v>228</v>
      </c>
      <c r="D199" s="113" t="s">
        <v>17</v>
      </c>
      <c r="E199" s="216" t="s">
        <v>15</v>
      </c>
      <c r="F199" s="216" t="s">
        <v>22</v>
      </c>
      <c r="G199" s="217">
        <v>10.73</v>
      </c>
      <c r="H199" s="218">
        <v>7.7</v>
      </c>
      <c r="I199" s="219">
        <v>4</v>
      </c>
      <c r="J199" s="220">
        <f t="shared" si="116"/>
        <v>0.33048400000000006</v>
      </c>
      <c r="K199" s="118"/>
      <c r="L199" s="111">
        <v>4</v>
      </c>
      <c r="M199" s="117">
        <f t="shared" si="117"/>
        <v>0.33048400000000006</v>
      </c>
      <c r="N199" s="119">
        <f t="shared" si="118"/>
        <v>0</v>
      </c>
      <c r="O199" s="120">
        <f t="shared" si="119"/>
        <v>0</v>
      </c>
      <c r="P199" s="111"/>
      <c r="Q199" s="111"/>
      <c r="R199" s="111"/>
      <c r="S199" s="111"/>
    </row>
    <row r="200" spans="1:19" ht="15.6">
      <c r="A200" s="110" t="s">
        <v>311</v>
      </c>
      <c r="B200" s="111" t="s">
        <v>232</v>
      </c>
      <c r="C200" s="112" t="s">
        <v>228</v>
      </c>
      <c r="D200" s="113" t="s">
        <v>17</v>
      </c>
      <c r="E200" s="216" t="s">
        <v>15</v>
      </c>
      <c r="F200" s="216" t="s">
        <v>22</v>
      </c>
      <c r="G200" s="217">
        <v>10.73</v>
      </c>
      <c r="H200" s="218">
        <v>7.1</v>
      </c>
      <c r="I200" s="219">
        <v>1</v>
      </c>
      <c r="J200" s="220">
        <f t="shared" si="116"/>
        <v>7.6182999999999987E-2</v>
      </c>
      <c r="K200" s="118"/>
      <c r="L200" s="111">
        <v>1</v>
      </c>
      <c r="M200" s="117">
        <f t="shared" si="117"/>
        <v>7.6182999999999987E-2</v>
      </c>
      <c r="N200" s="119">
        <f t="shared" si="118"/>
        <v>0</v>
      </c>
      <c r="O200" s="120">
        <f t="shared" si="119"/>
        <v>0</v>
      </c>
      <c r="P200" s="111"/>
      <c r="Q200" s="111"/>
      <c r="R200" s="111"/>
      <c r="S200" s="111"/>
    </row>
    <row r="201" spans="1:19" ht="15.6">
      <c r="A201" s="110" t="s">
        <v>311</v>
      </c>
      <c r="B201" s="111" t="s">
        <v>232</v>
      </c>
      <c r="C201" s="112" t="s">
        <v>228</v>
      </c>
      <c r="D201" s="113" t="s">
        <v>17</v>
      </c>
      <c r="E201" s="216" t="s">
        <v>15</v>
      </c>
      <c r="F201" s="216" t="s">
        <v>22</v>
      </c>
      <c r="G201" s="217">
        <v>10.73</v>
      </c>
      <c r="H201" s="218">
        <v>6.6</v>
      </c>
      <c r="I201" s="219">
        <v>1</v>
      </c>
      <c r="J201" s="220">
        <f t="shared" si="116"/>
        <v>7.0817999999999992E-2</v>
      </c>
      <c r="K201" s="118"/>
      <c r="L201" s="111">
        <v>1</v>
      </c>
      <c r="M201" s="117">
        <f t="shared" si="117"/>
        <v>7.0817999999999992E-2</v>
      </c>
      <c r="N201" s="119">
        <f t="shared" si="118"/>
        <v>0</v>
      </c>
      <c r="O201" s="120">
        <f t="shared" si="119"/>
        <v>0</v>
      </c>
      <c r="P201" s="111"/>
      <c r="Q201" s="111"/>
      <c r="R201" s="111"/>
      <c r="S201" s="111"/>
    </row>
    <row r="202" spans="1:19" ht="15.6">
      <c r="A202" s="110" t="s">
        <v>311</v>
      </c>
      <c r="B202" s="111" t="s">
        <v>232</v>
      </c>
      <c r="C202" s="112" t="s">
        <v>228</v>
      </c>
      <c r="D202" s="113" t="s">
        <v>17</v>
      </c>
      <c r="E202" s="216" t="s">
        <v>15</v>
      </c>
      <c r="F202" s="216" t="s">
        <v>22</v>
      </c>
      <c r="G202" s="217">
        <v>10.73</v>
      </c>
      <c r="H202" s="221">
        <v>12</v>
      </c>
      <c r="I202" s="219">
        <v>4</v>
      </c>
      <c r="J202" s="220">
        <f t="shared" ref="J202:J205" si="120">(G202*H202*I202/1000)</f>
        <v>0.51503999999999994</v>
      </c>
      <c r="K202" s="118"/>
      <c r="L202" s="111">
        <f>2+2</f>
        <v>4</v>
      </c>
      <c r="M202" s="117">
        <f t="shared" ref="M202:M205" si="121">H202*L202*G202/1000</f>
        <v>0.51503999999999994</v>
      </c>
      <c r="N202" s="119">
        <f t="shared" ref="N202:N205" si="122">I202-L202</f>
        <v>0</v>
      </c>
      <c r="O202" s="120">
        <f t="shared" ref="O202:O205" si="123">H202*N202*G202/1000</f>
        <v>0</v>
      </c>
      <c r="P202" s="111"/>
      <c r="Q202" s="111"/>
      <c r="R202" s="111"/>
      <c r="S202" s="111"/>
    </row>
    <row r="203" spans="1:19" ht="15.6">
      <c r="A203" s="110" t="s">
        <v>311</v>
      </c>
      <c r="B203" s="111" t="s">
        <v>232</v>
      </c>
      <c r="C203" s="112" t="s">
        <v>228</v>
      </c>
      <c r="D203" s="113" t="s">
        <v>17</v>
      </c>
      <c r="E203" s="216" t="s">
        <v>15</v>
      </c>
      <c r="F203" s="216" t="s">
        <v>22</v>
      </c>
      <c r="G203" s="217">
        <v>10.73</v>
      </c>
      <c r="H203" s="221">
        <v>10</v>
      </c>
      <c r="I203" s="219">
        <v>1</v>
      </c>
      <c r="J203" s="220">
        <f t="shared" si="120"/>
        <v>0.10730000000000001</v>
      </c>
      <c r="K203" s="118"/>
      <c r="L203" s="111"/>
      <c r="M203" s="117">
        <f t="shared" si="121"/>
        <v>0</v>
      </c>
      <c r="N203" s="119">
        <f t="shared" si="122"/>
        <v>1</v>
      </c>
      <c r="O203" s="120">
        <f t="shared" si="123"/>
        <v>0.10730000000000001</v>
      </c>
      <c r="P203" s="111"/>
      <c r="Q203" s="111"/>
      <c r="R203" s="111"/>
      <c r="S203" s="111"/>
    </row>
    <row r="204" spans="1:19" ht="15.6">
      <c r="A204" s="110" t="s">
        <v>311</v>
      </c>
      <c r="B204" s="111" t="s">
        <v>232</v>
      </c>
      <c r="C204" s="112" t="s">
        <v>228</v>
      </c>
      <c r="D204" s="113" t="s">
        <v>17</v>
      </c>
      <c r="E204" s="216" t="s">
        <v>15</v>
      </c>
      <c r="F204" s="216" t="s">
        <v>22</v>
      </c>
      <c r="G204" s="217">
        <v>10.73</v>
      </c>
      <c r="H204" s="221">
        <v>7.9</v>
      </c>
      <c r="I204" s="219">
        <v>1</v>
      </c>
      <c r="J204" s="220">
        <f t="shared" si="120"/>
        <v>8.4767000000000009E-2</v>
      </c>
      <c r="K204" s="118"/>
      <c r="L204" s="111">
        <v>1</v>
      </c>
      <c r="M204" s="117">
        <f t="shared" si="121"/>
        <v>8.4767000000000009E-2</v>
      </c>
      <c r="N204" s="119">
        <f t="shared" si="122"/>
        <v>0</v>
      </c>
      <c r="O204" s="120">
        <f t="shared" si="123"/>
        <v>0</v>
      </c>
      <c r="P204" s="111">
        <v>7.7</v>
      </c>
      <c r="Q204" s="111">
        <v>1</v>
      </c>
      <c r="R204" s="111"/>
      <c r="S204" s="111"/>
    </row>
    <row r="205" spans="1:19" ht="15.6">
      <c r="A205" s="110" t="s">
        <v>311</v>
      </c>
      <c r="B205" s="111" t="s">
        <v>232</v>
      </c>
      <c r="C205" s="112" t="s">
        <v>228</v>
      </c>
      <c r="D205" s="113" t="s">
        <v>17</v>
      </c>
      <c r="E205" s="216" t="s">
        <v>15</v>
      </c>
      <c r="F205" s="216" t="s">
        <v>22</v>
      </c>
      <c r="G205" s="217">
        <v>10.73</v>
      </c>
      <c r="H205" s="221">
        <v>7.1</v>
      </c>
      <c r="I205" s="219">
        <v>1</v>
      </c>
      <c r="J205" s="220">
        <f t="shared" si="120"/>
        <v>7.6182999999999987E-2</v>
      </c>
      <c r="K205" s="118"/>
      <c r="L205" s="111">
        <v>1</v>
      </c>
      <c r="M205" s="117">
        <f t="shared" si="121"/>
        <v>7.6182999999999987E-2</v>
      </c>
      <c r="N205" s="119">
        <f t="shared" si="122"/>
        <v>0</v>
      </c>
      <c r="O205" s="120">
        <f t="shared" si="123"/>
        <v>0</v>
      </c>
      <c r="P205" s="111"/>
      <c r="Q205" s="111"/>
      <c r="R205" s="111"/>
      <c r="S205" s="111"/>
    </row>
    <row r="206" spans="1:19">
      <c r="I206" s="215">
        <f>SUM(I179:I205)</f>
        <v>781</v>
      </c>
      <c r="J206" s="214">
        <f>SUM(J179:J205)</f>
        <v>66.550679000000017</v>
      </c>
      <c r="L206" s="215">
        <f>SUM(L179:L205)</f>
        <v>772</v>
      </c>
      <c r="M206" s="214">
        <f>SUM(M179:M205)</f>
        <v>65.692279000000013</v>
      </c>
      <c r="N206" s="78">
        <f>SUM(N179:N205)</f>
        <v>9</v>
      </c>
      <c r="O206" s="128">
        <f>SUM(O179:O205)</f>
        <v>0.85840000000000005</v>
      </c>
    </row>
    <row r="208" spans="1:19" ht="15.6">
      <c r="A208" s="110" t="s">
        <v>311</v>
      </c>
      <c r="B208" s="111" t="s">
        <v>232</v>
      </c>
      <c r="C208" s="112" t="s">
        <v>228</v>
      </c>
      <c r="D208" s="113" t="s">
        <v>17</v>
      </c>
      <c r="E208" s="216" t="s">
        <v>15</v>
      </c>
      <c r="F208" s="216" t="s">
        <v>30</v>
      </c>
      <c r="G208" s="217">
        <v>9.26</v>
      </c>
      <c r="H208" s="218">
        <v>11.1</v>
      </c>
      <c r="I208" s="219">
        <v>5</v>
      </c>
      <c r="J208" s="220">
        <f t="shared" ref="J208" si="124">(G208*H208*I208/1000)</f>
        <v>0.51393000000000011</v>
      </c>
      <c r="K208" s="118"/>
      <c r="L208" s="111">
        <f>4+1</f>
        <v>5</v>
      </c>
      <c r="M208" s="117">
        <f t="shared" ref="M208" si="125">H208*L208*G208/1000</f>
        <v>0.51393</v>
      </c>
      <c r="N208" s="119">
        <f t="shared" ref="N208" si="126">I208-L208</f>
        <v>0</v>
      </c>
      <c r="O208" s="120">
        <f t="shared" ref="O208" si="127">H208*N208*G208/1000</f>
        <v>0</v>
      </c>
      <c r="P208" s="111"/>
      <c r="Q208" s="111"/>
      <c r="R208" s="111"/>
      <c r="S208" s="111"/>
    </row>
    <row r="209" spans="1:19" ht="15.6">
      <c r="A209" s="110" t="s">
        <v>311</v>
      </c>
      <c r="B209" s="111" t="s">
        <v>232</v>
      </c>
      <c r="C209" s="112" t="s">
        <v>228</v>
      </c>
      <c r="D209" s="113" t="s">
        <v>17</v>
      </c>
      <c r="E209" s="216" t="s">
        <v>15</v>
      </c>
      <c r="F209" s="216" t="s">
        <v>30</v>
      </c>
      <c r="G209" s="217">
        <v>9.26</v>
      </c>
      <c r="H209" s="218">
        <v>12</v>
      </c>
      <c r="I209" s="219">
        <v>14</v>
      </c>
      <c r="J209" s="220">
        <f t="shared" ref="J209:J225" si="128">(G209*H209*I209/1000)</f>
        <v>1.5556800000000002</v>
      </c>
      <c r="K209" s="118"/>
      <c r="L209" s="111">
        <f>1+1+9+3</f>
        <v>14</v>
      </c>
      <c r="M209" s="117">
        <f t="shared" ref="M209:M225" si="129">H209*L209*G209/1000</f>
        <v>1.5556800000000002</v>
      </c>
      <c r="N209" s="119">
        <f t="shared" ref="N209:N225" si="130">I209-L209</f>
        <v>0</v>
      </c>
      <c r="O209" s="120">
        <f t="shared" ref="O209:O225" si="131">H209*N209*G209/1000</f>
        <v>0</v>
      </c>
      <c r="P209" s="111">
        <v>11.6</v>
      </c>
      <c r="Q209" s="111">
        <v>1</v>
      </c>
      <c r="R209" s="111"/>
      <c r="S209" s="111"/>
    </row>
    <row r="210" spans="1:19" ht="15.6">
      <c r="A210" s="110" t="s">
        <v>311</v>
      </c>
      <c r="B210" s="111" t="s">
        <v>232</v>
      </c>
      <c r="C210" s="112" t="s">
        <v>228</v>
      </c>
      <c r="D210" s="113" t="s">
        <v>17</v>
      </c>
      <c r="E210" s="216" t="s">
        <v>15</v>
      </c>
      <c r="F210" s="216" t="s">
        <v>30</v>
      </c>
      <c r="G210" s="217">
        <v>9.26</v>
      </c>
      <c r="H210" s="218">
        <v>7.25</v>
      </c>
      <c r="I210" s="219">
        <f>28+23</f>
        <v>51</v>
      </c>
      <c r="J210" s="220">
        <f t="shared" si="128"/>
        <v>3.4238850000000003</v>
      </c>
      <c r="K210" s="118"/>
      <c r="L210" s="111">
        <v>51</v>
      </c>
      <c r="M210" s="117">
        <f t="shared" si="129"/>
        <v>3.4238849999999998</v>
      </c>
      <c r="N210" s="119">
        <f t="shared" si="130"/>
        <v>0</v>
      </c>
      <c r="O210" s="120">
        <f t="shared" si="131"/>
        <v>0</v>
      </c>
      <c r="P210" s="111"/>
      <c r="Q210" s="111"/>
      <c r="R210" s="111"/>
      <c r="S210" s="111"/>
    </row>
    <row r="211" spans="1:19" ht="15.6">
      <c r="A211" s="110" t="s">
        <v>311</v>
      </c>
      <c r="B211" s="111" t="s">
        <v>232</v>
      </c>
      <c r="C211" s="112" t="s">
        <v>228</v>
      </c>
      <c r="D211" s="113" t="s">
        <v>17</v>
      </c>
      <c r="E211" s="216" t="s">
        <v>15</v>
      </c>
      <c r="F211" s="216" t="s">
        <v>30</v>
      </c>
      <c r="G211" s="217">
        <v>9.26</v>
      </c>
      <c r="H211" s="218">
        <v>8</v>
      </c>
      <c r="I211" s="219">
        <f>17+28</f>
        <v>45</v>
      </c>
      <c r="J211" s="220">
        <f t="shared" si="128"/>
        <v>3.3336000000000001</v>
      </c>
      <c r="K211" s="118"/>
      <c r="L211" s="111">
        <v>45</v>
      </c>
      <c r="M211" s="117">
        <f t="shared" si="129"/>
        <v>3.3336000000000001</v>
      </c>
      <c r="N211" s="119">
        <f t="shared" si="130"/>
        <v>0</v>
      </c>
      <c r="O211" s="120">
        <f t="shared" si="131"/>
        <v>0</v>
      </c>
      <c r="P211" s="111"/>
      <c r="Q211" s="111"/>
      <c r="R211" s="111"/>
      <c r="S211" s="111"/>
    </row>
    <row r="212" spans="1:19" ht="15.6">
      <c r="A212" s="110" t="s">
        <v>311</v>
      </c>
      <c r="B212" s="111" t="s">
        <v>232</v>
      </c>
      <c r="C212" s="112" t="s">
        <v>228</v>
      </c>
      <c r="D212" s="113" t="s">
        <v>17</v>
      </c>
      <c r="E212" s="216" t="s">
        <v>15</v>
      </c>
      <c r="F212" s="216" t="s">
        <v>30</v>
      </c>
      <c r="G212" s="217">
        <v>9.26</v>
      </c>
      <c r="H212" s="218">
        <v>8.6999999999999993</v>
      </c>
      <c r="I212" s="219">
        <f>39+32+7</f>
        <v>78</v>
      </c>
      <c r="J212" s="220">
        <f t="shared" si="128"/>
        <v>6.283836</v>
      </c>
      <c r="K212" s="118"/>
      <c r="L212" s="111">
        <v>78</v>
      </c>
      <c r="M212" s="117">
        <f t="shared" si="129"/>
        <v>6.2838359999999991</v>
      </c>
      <c r="N212" s="119">
        <f t="shared" si="130"/>
        <v>0</v>
      </c>
      <c r="O212" s="120">
        <f t="shared" si="131"/>
        <v>0</v>
      </c>
      <c r="P212" s="111"/>
      <c r="Q212" s="111"/>
      <c r="R212" s="111"/>
      <c r="S212" s="111"/>
    </row>
    <row r="213" spans="1:19" ht="15.6">
      <c r="A213" s="110" t="s">
        <v>311</v>
      </c>
      <c r="B213" s="111" t="s">
        <v>232</v>
      </c>
      <c r="C213" s="112" t="s">
        <v>228</v>
      </c>
      <c r="D213" s="113" t="s">
        <v>17</v>
      </c>
      <c r="E213" s="216" t="s">
        <v>15</v>
      </c>
      <c r="F213" s="216" t="s">
        <v>30</v>
      </c>
      <c r="G213" s="217">
        <v>9.26</v>
      </c>
      <c r="H213" s="218">
        <v>9</v>
      </c>
      <c r="I213" s="219">
        <f>19+11</f>
        <v>30</v>
      </c>
      <c r="J213" s="220">
        <f t="shared" si="128"/>
        <v>2.5002000000000004</v>
      </c>
      <c r="K213" s="118"/>
      <c r="L213" s="111">
        <f>26+4</f>
        <v>30</v>
      </c>
      <c r="M213" s="117">
        <f t="shared" si="129"/>
        <v>2.5002</v>
      </c>
      <c r="N213" s="119">
        <f t="shared" si="130"/>
        <v>0</v>
      </c>
      <c r="O213" s="120">
        <f t="shared" si="131"/>
        <v>0</v>
      </c>
      <c r="P213" s="159">
        <v>8</v>
      </c>
      <c r="Q213" s="111">
        <v>4</v>
      </c>
      <c r="R213" s="111"/>
      <c r="S213" s="111"/>
    </row>
    <row r="214" spans="1:19" ht="15.6">
      <c r="A214" s="110" t="s">
        <v>311</v>
      </c>
      <c r="B214" s="111" t="s">
        <v>232</v>
      </c>
      <c r="C214" s="112" t="s">
        <v>228</v>
      </c>
      <c r="D214" s="113" t="s">
        <v>17</v>
      </c>
      <c r="E214" s="216" t="s">
        <v>15</v>
      </c>
      <c r="F214" s="216" t="s">
        <v>30</v>
      </c>
      <c r="G214" s="217">
        <v>9.26</v>
      </c>
      <c r="H214" s="218">
        <v>10</v>
      </c>
      <c r="I214" s="219">
        <f>29+2+23</f>
        <v>54</v>
      </c>
      <c r="J214" s="220">
        <f t="shared" si="128"/>
        <v>5.0004</v>
      </c>
      <c r="K214" s="118"/>
      <c r="L214" s="111">
        <f>43+5+6</f>
        <v>54</v>
      </c>
      <c r="M214" s="117">
        <f t="shared" si="129"/>
        <v>5.0004</v>
      </c>
      <c r="N214" s="119">
        <f t="shared" si="130"/>
        <v>0</v>
      </c>
      <c r="O214" s="120">
        <f t="shared" si="131"/>
        <v>0</v>
      </c>
      <c r="P214" s="159">
        <v>8</v>
      </c>
      <c r="Q214" s="111">
        <v>6</v>
      </c>
      <c r="R214" s="111"/>
      <c r="S214" s="111"/>
    </row>
    <row r="215" spans="1:19" ht="15.6">
      <c r="A215" s="110" t="s">
        <v>311</v>
      </c>
      <c r="B215" s="111" t="s">
        <v>232</v>
      </c>
      <c r="C215" s="112" t="s">
        <v>228</v>
      </c>
      <c r="D215" s="113" t="s">
        <v>17</v>
      </c>
      <c r="E215" s="216" t="s">
        <v>15</v>
      </c>
      <c r="F215" s="216" t="s">
        <v>30</v>
      </c>
      <c r="G215" s="217">
        <v>9.26</v>
      </c>
      <c r="H215" s="218">
        <v>10.6</v>
      </c>
      <c r="I215" s="219">
        <f>20+18</f>
        <v>38</v>
      </c>
      <c r="J215" s="220">
        <f t="shared" si="128"/>
        <v>3.7299279999999997</v>
      </c>
      <c r="K215" s="118"/>
      <c r="L215" s="111">
        <f>35+3</f>
        <v>38</v>
      </c>
      <c r="M215" s="117">
        <f t="shared" si="129"/>
        <v>3.7299279999999997</v>
      </c>
      <c r="N215" s="119">
        <f t="shared" si="130"/>
        <v>0</v>
      </c>
      <c r="O215" s="120">
        <f t="shared" si="131"/>
        <v>0</v>
      </c>
      <c r="P215" s="159">
        <v>8</v>
      </c>
      <c r="Q215" s="111">
        <v>3</v>
      </c>
      <c r="R215" s="111"/>
      <c r="S215" s="111"/>
    </row>
    <row r="216" spans="1:19" ht="15.6">
      <c r="A216" s="110" t="s">
        <v>311</v>
      </c>
      <c r="B216" s="111" t="s">
        <v>232</v>
      </c>
      <c r="C216" s="112" t="s">
        <v>228</v>
      </c>
      <c r="D216" s="113" t="s">
        <v>17</v>
      </c>
      <c r="E216" s="216" t="s">
        <v>15</v>
      </c>
      <c r="F216" s="216" t="s">
        <v>30</v>
      </c>
      <c r="G216" s="217">
        <v>9.26</v>
      </c>
      <c r="H216" s="218">
        <v>11.1</v>
      </c>
      <c r="I216" s="219">
        <f>27+15</f>
        <v>42</v>
      </c>
      <c r="J216" s="220">
        <f t="shared" si="128"/>
        <v>4.3170120000000001</v>
      </c>
      <c r="K216" s="118"/>
      <c r="L216" s="111">
        <v>42</v>
      </c>
      <c r="M216" s="117">
        <f t="shared" si="129"/>
        <v>4.3170120000000001</v>
      </c>
      <c r="N216" s="119">
        <f t="shared" si="130"/>
        <v>0</v>
      </c>
      <c r="O216" s="120">
        <f t="shared" si="131"/>
        <v>0</v>
      </c>
      <c r="P216" s="111"/>
      <c r="Q216" s="111"/>
      <c r="R216" s="111"/>
      <c r="S216" s="111"/>
    </row>
    <row r="217" spans="1:19" ht="15.6">
      <c r="A217" s="110" t="s">
        <v>311</v>
      </c>
      <c r="B217" s="111" t="s">
        <v>232</v>
      </c>
      <c r="C217" s="112" t="s">
        <v>228</v>
      </c>
      <c r="D217" s="113" t="s">
        <v>17</v>
      </c>
      <c r="E217" s="216" t="s">
        <v>15</v>
      </c>
      <c r="F217" s="216" t="s">
        <v>30</v>
      </c>
      <c r="G217" s="217">
        <v>9.26</v>
      </c>
      <c r="H217" s="218">
        <v>11.6</v>
      </c>
      <c r="I217" s="219">
        <f>11+8</f>
        <v>19</v>
      </c>
      <c r="J217" s="220">
        <f t="shared" si="128"/>
        <v>2.0409039999999998</v>
      </c>
      <c r="K217" s="118"/>
      <c r="L217" s="111">
        <v>19</v>
      </c>
      <c r="M217" s="117">
        <f t="shared" si="129"/>
        <v>2.0409039999999998</v>
      </c>
      <c r="N217" s="119">
        <f t="shared" si="130"/>
        <v>0</v>
      </c>
      <c r="O217" s="120">
        <f t="shared" si="131"/>
        <v>0</v>
      </c>
      <c r="P217" s="111"/>
      <c r="Q217" s="111"/>
      <c r="R217" s="111"/>
      <c r="S217" s="111"/>
    </row>
    <row r="218" spans="1:19" ht="15.6">
      <c r="A218" s="110" t="s">
        <v>311</v>
      </c>
      <c r="B218" s="111" t="s">
        <v>232</v>
      </c>
      <c r="C218" s="112" t="s">
        <v>228</v>
      </c>
      <c r="D218" s="113" t="s">
        <v>17</v>
      </c>
      <c r="E218" s="216" t="s">
        <v>15</v>
      </c>
      <c r="F218" s="216" t="s">
        <v>30</v>
      </c>
      <c r="G218" s="217">
        <v>9.26</v>
      </c>
      <c r="H218" s="218">
        <v>12</v>
      </c>
      <c r="I218" s="219">
        <f>22+12</f>
        <v>34</v>
      </c>
      <c r="J218" s="220">
        <f t="shared" si="128"/>
        <v>3.7780800000000001</v>
      </c>
      <c r="K218" s="118"/>
      <c r="L218" s="111">
        <v>34</v>
      </c>
      <c r="M218" s="117">
        <f t="shared" si="129"/>
        <v>3.7780800000000001</v>
      </c>
      <c r="N218" s="119">
        <f t="shared" si="130"/>
        <v>0</v>
      </c>
      <c r="O218" s="120">
        <f t="shared" si="131"/>
        <v>0</v>
      </c>
      <c r="P218" s="111"/>
      <c r="Q218" s="111"/>
      <c r="R218" s="111"/>
      <c r="S218" s="111"/>
    </row>
    <row r="219" spans="1:19" ht="15.6">
      <c r="A219" s="110" t="s">
        <v>311</v>
      </c>
      <c r="B219" s="111" t="s">
        <v>232</v>
      </c>
      <c r="C219" s="112" t="s">
        <v>228</v>
      </c>
      <c r="D219" s="113" t="s">
        <v>17</v>
      </c>
      <c r="E219" s="216" t="s">
        <v>15</v>
      </c>
      <c r="F219" s="216" t="s">
        <v>30</v>
      </c>
      <c r="G219" s="217">
        <v>9.26</v>
      </c>
      <c r="H219" s="218">
        <v>6.2</v>
      </c>
      <c r="I219" s="219">
        <v>1</v>
      </c>
      <c r="J219" s="220">
        <f t="shared" si="128"/>
        <v>5.7411999999999998E-2</v>
      </c>
      <c r="K219" s="118"/>
      <c r="L219" s="111"/>
      <c r="M219" s="117">
        <f t="shared" si="129"/>
        <v>0</v>
      </c>
      <c r="N219" s="119">
        <f t="shared" si="130"/>
        <v>1</v>
      </c>
      <c r="O219" s="120">
        <f t="shared" si="131"/>
        <v>5.7411999999999998E-2</v>
      </c>
      <c r="P219" s="111"/>
      <c r="Q219" s="111"/>
      <c r="R219" s="111"/>
      <c r="S219" s="111"/>
    </row>
    <row r="220" spans="1:19" ht="15.6">
      <c r="A220" s="110" t="s">
        <v>311</v>
      </c>
      <c r="B220" s="111" t="s">
        <v>232</v>
      </c>
      <c r="C220" s="112" t="s">
        <v>228</v>
      </c>
      <c r="D220" s="113" t="s">
        <v>17</v>
      </c>
      <c r="E220" s="216" t="s">
        <v>15</v>
      </c>
      <c r="F220" s="216" t="s">
        <v>30</v>
      </c>
      <c r="G220" s="217">
        <v>9.26</v>
      </c>
      <c r="H220" s="218">
        <v>6.6</v>
      </c>
      <c r="I220" s="219">
        <v>1</v>
      </c>
      <c r="J220" s="220">
        <f t="shared" si="128"/>
        <v>6.111599999999999E-2</v>
      </c>
      <c r="K220" s="118"/>
      <c r="L220" s="111"/>
      <c r="M220" s="117">
        <f t="shared" si="129"/>
        <v>0</v>
      </c>
      <c r="N220" s="119">
        <f t="shared" si="130"/>
        <v>1</v>
      </c>
      <c r="O220" s="120">
        <f t="shared" si="131"/>
        <v>6.111599999999999E-2</v>
      </c>
      <c r="P220" s="111"/>
      <c r="Q220" s="111"/>
      <c r="R220" s="111"/>
      <c r="S220" s="111"/>
    </row>
    <row r="221" spans="1:19" ht="15.6">
      <c r="A221" s="110" t="s">
        <v>311</v>
      </c>
      <c r="B221" s="111" t="s">
        <v>232</v>
      </c>
      <c r="C221" s="112" t="s">
        <v>228</v>
      </c>
      <c r="D221" s="113" t="s">
        <v>17</v>
      </c>
      <c r="E221" s="216" t="s">
        <v>15</v>
      </c>
      <c r="F221" s="216" t="s">
        <v>30</v>
      </c>
      <c r="G221" s="217">
        <v>9.26</v>
      </c>
      <c r="H221" s="218">
        <v>8.6999999999999993</v>
      </c>
      <c r="I221" s="219">
        <v>1</v>
      </c>
      <c r="J221" s="220">
        <f t="shared" si="128"/>
        <v>8.0561999999999995E-2</v>
      </c>
      <c r="K221" s="118"/>
      <c r="L221" s="111">
        <v>1</v>
      </c>
      <c r="M221" s="117">
        <f t="shared" si="129"/>
        <v>8.0561999999999995E-2</v>
      </c>
      <c r="N221" s="119">
        <f t="shared" si="130"/>
        <v>0</v>
      </c>
      <c r="O221" s="120">
        <f t="shared" si="131"/>
        <v>0</v>
      </c>
      <c r="P221" s="111"/>
      <c r="Q221" s="111"/>
      <c r="R221" s="111"/>
      <c r="S221" s="111"/>
    </row>
    <row r="222" spans="1:19" ht="15.6">
      <c r="A222" s="110" t="s">
        <v>311</v>
      </c>
      <c r="B222" s="111" t="s">
        <v>232</v>
      </c>
      <c r="C222" s="112" t="s">
        <v>228</v>
      </c>
      <c r="D222" s="113" t="s">
        <v>17</v>
      </c>
      <c r="E222" s="216" t="s">
        <v>15</v>
      </c>
      <c r="F222" s="216" t="s">
        <v>30</v>
      </c>
      <c r="G222" s="217">
        <v>9.26</v>
      </c>
      <c r="H222" s="218">
        <v>11.6</v>
      </c>
      <c r="I222" s="219">
        <v>1</v>
      </c>
      <c r="J222" s="220">
        <f t="shared" si="128"/>
        <v>0.107416</v>
      </c>
      <c r="K222" s="118"/>
      <c r="L222" s="111">
        <v>1</v>
      </c>
      <c r="M222" s="117">
        <f t="shared" si="129"/>
        <v>0.107416</v>
      </c>
      <c r="N222" s="119">
        <f t="shared" si="130"/>
        <v>0</v>
      </c>
      <c r="O222" s="120">
        <f t="shared" si="131"/>
        <v>0</v>
      </c>
      <c r="P222" s="111"/>
      <c r="Q222" s="111"/>
      <c r="R222" s="111"/>
      <c r="S222" s="111"/>
    </row>
    <row r="223" spans="1:19" ht="15.6">
      <c r="A223" s="110" t="s">
        <v>311</v>
      </c>
      <c r="B223" s="111" t="s">
        <v>232</v>
      </c>
      <c r="C223" s="112" t="s">
        <v>228</v>
      </c>
      <c r="D223" s="113" t="s">
        <v>17</v>
      </c>
      <c r="E223" s="216" t="s">
        <v>15</v>
      </c>
      <c r="F223" s="216" t="s">
        <v>30</v>
      </c>
      <c r="G223" s="217">
        <v>9.26</v>
      </c>
      <c r="H223" s="218">
        <v>11.1</v>
      </c>
      <c r="I223" s="219">
        <v>5</v>
      </c>
      <c r="J223" s="220">
        <f t="shared" si="128"/>
        <v>0.51393000000000011</v>
      </c>
      <c r="K223" s="118"/>
      <c r="L223" s="111">
        <v>4</v>
      </c>
      <c r="M223" s="117">
        <f t="shared" si="129"/>
        <v>0.41114400000000001</v>
      </c>
      <c r="N223" s="119">
        <f t="shared" si="130"/>
        <v>1</v>
      </c>
      <c r="O223" s="120">
        <f t="shared" si="131"/>
        <v>0.102786</v>
      </c>
      <c r="P223" s="111">
        <v>8.6999999999999993</v>
      </c>
      <c r="Q223" s="111">
        <v>4</v>
      </c>
      <c r="R223" s="111"/>
      <c r="S223" s="111"/>
    </row>
    <row r="224" spans="1:19" ht="15.6">
      <c r="A224" s="110" t="s">
        <v>311</v>
      </c>
      <c r="B224" s="111" t="s">
        <v>232</v>
      </c>
      <c r="C224" s="112" t="s">
        <v>228</v>
      </c>
      <c r="D224" s="113" t="s">
        <v>17</v>
      </c>
      <c r="E224" s="216" t="s">
        <v>15</v>
      </c>
      <c r="F224" s="216" t="s">
        <v>30</v>
      </c>
      <c r="G224" s="217">
        <v>9.26</v>
      </c>
      <c r="H224" s="218">
        <v>7.25</v>
      </c>
      <c r="I224" s="219">
        <v>9</v>
      </c>
      <c r="J224" s="220">
        <f t="shared" si="128"/>
        <v>0.60421500000000006</v>
      </c>
      <c r="K224" s="118"/>
      <c r="L224" s="111">
        <v>9</v>
      </c>
      <c r="M224" s="117">
        <f t="shared" si="129"/>
        <v>0.60421500000000006</v>
      </c>
      <c r="N224" s="119">
        <f t="shared" si="130"/>
        <v>0</v>
      </c>
      <c r="O224" s="120">
        <f t="shared" si="131"/>
        <v>0</v>
      </c>
      <c r="P224" s="111"/>
      <c r="Q224" s="111"/>
      <c r="R224" s="111"/>
      <c r="S224" s="111"/>
    </row>
    <row r="225" spans="1:21" ht="15.6">
      <c r="A225" s="110" t="s">
        <v>311</v>
      </c>
      <c r="B225" s="111" t="s">
        <v>232</v>
      </c>
      <c r="C225" s="112" t="s">
        <v>228</v>
      </c>
      <c r="D225" s="113" t="s">
        <v>17</v>
      </c>
      <c r="E225" s="216" t="s">
        <v>15</v>
      </c>
      <c r="F225" s="216" t="s">
        <v>30</v>
      </c>
      <c r="G225" s="217">
        <v>9.26</v>
      </c>
      <c r="H225" s="218">
        <v>10.5</v>
      </c>
      <c r="I225" s="219">
        <f>31+4</f>
        <v>35</v>
      </c>
      <c r="J225" s="220">
        <f t="shared" si="128"/>
        <v>3.4030500000000004</v>
      </c>
      <c r="K225" s="118"/>
      <c r="L225" s="111">
        <v>35</v>
      </c>
      <c r="M225" s="117">
        <f t="shared" si="129"/>
        <v>3.4030499999999999</v>
      </c>
      <c r="N225" s="119">
        <f t="shared" si="130"/>
        <v>0</v>
      </c>
      <c r="O225" s="120">
        <f t="shared" si="131"/>
        <v>0</v>
      </c>
      <c r="P225" s="111"/>
      <c r="Q225" s="111"/>
      <c r="R225" s="111"/>
      <c r="S225" s="111"/>
    </row>
    <row r="226" spans="1:21" ht="15.6">
      <c r="A226" s="110" t="s">
        <v>311</v>
      </c>
      <c r="B226" s="111" t="s">
        <v>232</v>
      </c>
      <c r="C226" s="112" t="s">
        <v>228</v>
      </c>
      <c r="D226" s="113" t="s">
        <v>17</v>
      </c>
      <c r="E226" s="216" t="s">
        <v>15</v>
      </c>
      <c r="F226" s="216" t="s">
        <v>30</v>
      </c>
      <c r="G226" s="217">
        <v>9.26</v>
      </c>
      <c r="H226" s="221">
        <v>12</v>
      </c>
      <c r="I226" s="219">
        <v>8</v>
      </c>
      <c r="J226" s="220">
        <f t="shared" ref="J226:J230" si="132">(G226*H226*I226/1000)</f>
        <v>0.88896000000000008</v>
      </c>
      <c r="K226" s="118"/>
      <c r="L226" s="111">
        <v>8</v>
      </c>
      <c r="M226" s="117">
        <f t="shared" ref="M226:M230" si="133">H226*L226*G226/1000</f>
        <v>0.88896000000000008</v>
      </c>
      <c r="N226" s="119">
        <f t="shared" ref="N226:N230" si="134">I226-L226</f>
        <v>0</v>
      </c>
      <c r="O226" s="120">
        <f t="shared" ref="O226:O230" si="135">H226*N226*G226/1000</f>
        <v>0</v>
      </c>
      <c r="P226" s="111"/>
      <c r="Q226" s="111"/>
      <c r="R226" s="111"/>
      <c r="S226" s="111"/>
    </row>
    <row r="227" spans="1:21" ht="15.6">
      <c r="A227" s="110" t="s">
        <v>311</v>
      </c>
      <c r="B227" s="111" t="s">
        <v>232</v>
      </c>
      <c r="C227" s="112" t="s">
        <v>228</v>
      </c>
      <c r="D227" s="113" t="s">
        <v>17</v>
      </c>
      <c r="E227" s="216" t="s">
        <v>15</v>
      </c>
      <c r="F227" s="216" t="s">
        <v>30</v>
      </c>
      <c r="G227" s="217">
        <v>9.26</v>
      </c>
      <c r="H227" s="221">
        <v>7.1</v>
      </c>
      <c r="I227" s="219">
        <f>16+4</f>
        <v>20</v>
      </c>
      <c r="J227" s="220">
        <f t="shared" si="132"/>
        <v>1.3149199999999999</v>
      </c>
      <c r="K227" s="118"/>
      <c r="L227" s="111">
        <v>18</v>
      </c>
      <c r="M227" s="117">
        <f t="shared" si="133"/>
        <v>1.1834279999999999</v>
      </c>
      <c r="N227" s="119">
        <f t="shared" si="134"/>
        <v>2</v>
      </c>
      <c r="O227" s="120">
        <f t="shared" si="135"/>
        <v>0.131492</v>
      </c>
      <c r="P227" s="111"/>
      <c r="Q227" s="111"/>
      <c r="R227" s="111"/>
      <c r="S227" s="111"/>
    </row>
    <row r="228" spans="1:21" ht="15.6">
      <c r="A228" s="110" t="s">
        <v>311</v>
      </c>
      <c r="B228" s="111" t="s">
        <v>232</v>
      </c>
      <c r="C228" s="112" t="s">
        <v>228</v>
      </c>
      <c r="D228" s="113" t="s">
        <v>17</v>
      </c>
      <c r="E228" s="216" t="s">
        <v>15</v>
      </c>
      <c r="F228" s="216" t="s">
        <v>30</v>
      </c>
      <c r="G228" s="217">
        <v>9.26</v>
      </c>
      <c r="H228" s="221">
        <v>7.7</v>
      </c>
      <c r="I228" s="219">
        <f>1+3</f>
        <v>4</v>
      </c>
      <c r="J228" s="220">
        <f t="shared" si="132"/>
        <v>0.28520800000000002</v>
      </c>
      <c r="K228" s="118"/>
      <c r="L228" s="111">
        <v>4</v>
      </c>
      <c r="M228" s="117">
        <f t="shared" si="133"/>
        <v>0.28520800000000002</v>
      </c>
      <c r="N228" s="119">
        <f t="shared" si="134"/>
        <v>0</v>
      </c>
      <c r="O228" s="120">
        <f t="shared" si="135"/>
        <v>0</v>
      </c>
      <c r="P228" s="111"/>
      <c r="Q228" s="111"/>
      <c r="R228" s="111"/>
      <c r="S228" s="111"/>
    </row>
    <row r="229" spans="1:21" ht="15.6">
      <c r="A229" s="110" t="s">
        <v>311</v>
      </c>
      <c r="B229" s="111" t="s">
        <v>232</v>
      </c>
      <c r="C229" s="112" t="s">
        <v>228</v>
      </c>
      <c r="D229" s="113" t="s">
        <v>17</v>
      </c>
      <c r="E229" s="216" t="s">
        <v>15</v>
      </c>
      <c r="F229" s="216" t="s">
        <v>30</v>
      </c>
      <c r="G229" s="217">
        <v>9.26</v>
      </c>
      <c r="H229" s="221">
        <v>6.5</v>
      </c>
      <c r="I229" s="219">
        <v>3</v>
      </c>
      <c r="J229" s="220">
        <f t="shared" si="132"/>
        <v>0.18056999999999998</v>
      </c>
      <c r="K229" s="118"/>
      <c r="L229" s="111"/>
      <c r="M229" s="117">
        <f t="shared" si="133"/>
        <v>0</v>
      </c>
      <c r="N229" s="119">
        <f t="shared" si="134"/>
        <v>3</v>
      </c>
      <c r="O229" s="120">
        <f t="shared" si="135"/>
        <v>0.18056999999999998</v>
      </c>
      <c r="P229" s="111"/>
      <c r="Q229" s="111"/>
      <c r="R229" s="111"/>
      <c r="S229" s="111"/>
    </row>
    <row r="230" spans="1:21" ht="15.6">
      <c r="A230" s="110" t="s">
        <v>311</v>
      </c>
      <c r="B230" s="111" t="s">
        <v>232</v>
      </c>
      <c r="C230" s="112" t="s">
        <v>228</v>
      </c>
      <c r="D230" s="113" t="s">
        <v>17</v>
      </c>
      <c r="E230" s="216" t="s">
        <v>15</v>
      </c>
      <c r="F230" s="216" t="s">
        <v>30</v>
      </c>
      <c r="G230" s="217">
        <v>9.26</v>
      </c>
      <c r="H230" s="221">
        <v>5.8</v>
      </c>
      <c r="I230" s="219">
        <v>1</v>
      </c>
      <c r="J230" s="220">
        <f t="shared" si="132"/>
        <v>5.3707999999999999E-2</v>
      </c>
      <c r="K230" s="118"/>
      <c r="L230" s="111"/>
      <c r="M230" s="117">
        <f t="shared" si="133"/>
        <v>0</v>
      </c>
      <c r="N230" s="119">
        <f t="shared" si="134"/>
        <v>1</v>
      </c>
      <c r="O230" s="120">
        <f t="shared" si="135"/>
        <v>5.3707999999999999E-2</v>
      </c>
      <c r="P230" s="111"/>
      <c r="Q230" s="111"/>
      <c r="R230" s="111"/>
      <c r="S230" s="111"/>
    </row>
    <row r="231" spans="1:21">
      <c r="I231" s="215">
        <f>SUM(I208:I230)</f>
        <v>499</v>
      </c>
      <c r="J231" s="214">
        <f>SUM(J208:J230)</f>
        <v>44.028522000000002</v>
      </c>
      <c r="L231" s="215">
        <f>SUM(L208:L230)</f>
        <v>490</v>
      </c>
      <c r="M231" s="214">
        <f>SUM(M208:M230)</f>
        <v>43.441437999999998</v>
      </c>
      <c r="N231" s="78">
        <f>SUM(N208:N230)</f>
        <v>9</v>
      </c>
      <c r="O231" s="128">
        <f>SUM(O208:O230)</f>
        <v>0.58708399999999994</v>
      </c>
    </row>
    <row r="233" spans="1:21" ht="15.6">
      <c r="A233" s="110" t="s">
        <v>311</v>
      </c>
      <c r="B233" s="111" t="s">
        <v>232</v>
      </c>
      <c r="C233" s="112" t="s">
        <v>228</v>
      </c>
      <c r="D233" s="113" t="s">
        <v>152</v>
      </c>
      <c r="E233" s="216" t="s">
        <v>15</v>
      </c>
      <c r="F233" s="216" t="s">
        <v>30</v>
      </c>
      <c r="G233" s="217">
        <v>9.26</v>
      </c>
      <c r="H233" s="218">
        <v>7.4</v>
      </c>
      <c r="I233" s="219">
        <v>1</v>
      </c>
      <c r="J233" s="220">
        <f t="shared" ref="J233:J234" si="136">(G233*H233*I233/1000)</f>
        <v>6.8524000000000002E-2</v>
      </c>
      <c r="K233" s="118"/>
      <c r="L233" s="111"/>
      <c r="M233" s="117">
        <f t="shared" ref="M233:M234" si="137">H233*L233*G233/1000</f>
        <v>0</v>
      </c>
      <c r="N233" s="119">
        <f t="shared" ref="N233:N234" si="138">I233-L233</f>
        <v>1</v>
      </c>
      <c r="O233" s="120">
        <f t="shared" ref="O233:O234" si="139">H233*N233*G233/1000</f>
        <v>6.8524000000000002E-2</v>
      </c>
      <c r="P233" s="111"/>
      <c r="Q233" s="213"/>
      <c r="R233" s="111"/>
      <c r="S233" s="111"/>
    </row>
    <row r="234" spans="1:21" s="213" customFormat="1" ht="15.6">
      <c r="A234" s="110" t="s">
        <v>311</v>
      </c>
      <c r="B234" s="111" t="s">
        <v>232</v>
      </c>
      <c r="C234" s="112" t="s">
        <v>228</v>
      </c>
      <c r="D234" s="113" t="s">
        <v>152</v>
      </c>
      <c r="E234" s="216" t="s">
        <v>15</v>
      </c>
      <c r="F234" s="216" t="s">
        <v>30</v>
      </c>
      <c r="G234" s="217">
        <v>9.26</v>
      </c>
      <c r="H234" s="218">
        <v>9</v>
      </c>
      <c r="I234" s="219">
        <v>1</v>
      </c>
      <c r="J234" s="220">
        <f t="shared" si="136"/>
        <v>8.3339999999999997E-2</v>
      </c>
      <c r="K234" s="118"/>
      <c r="L234" s="111">
        <v>1</v>
      </c>
      <c r="M234" s="117">
        <f t="shared" si="137"/>
        <v>8.3339999999999997E-2</v>
      </c>
      <c r="N234" s="119">
        <f t="shared" si="138"/>
        <v>0</v>
      </c>
      <c r="O234" s="120">
        <f t="shared" si="139"/>
        <v>0</v>
      </c>
      <c r="P234" s="159">
        <v>9</v>
      </c>
      <c r="Q234" s="512">
        <v>1</v>
      </c>
      <c r="R234" s="111" t="s">
        <v>760</v>
      </c>
      <c r="S234" s="111"/>
    </row>
    <row r="235" spans="1:21" ht="15.6">
      <c r="A235" s="110" t="s">
        <v>311</v>
      </c>
      <c r="B235" s="111" t="s">
        <v>232</v>
      </c>
      <c r="C235" s="112" t="s">
        <v>228</v>
      </c>
      <c r="D235" s="113" t="s">
        <v>152</v>
      </c>
      <c r="E235" s="216" t="s">
        <v>15</v>
      </c>
      <c r="F235" s="216" t="s">
        <v>30</v>
      </c>
      <c r="G235" s="217">
        <v>9.26</v>
      </c>
      <c r="H235" s="218">
        <v>9.3000000000000007</v>
      </c>
      <c r="I235" s="219">
        <v>2</v>
      </c>
      <c r="J235" s="220">
        <f t="shared" ref="J235:J249" si="140">(G235*H235*I235/1000)</f>
        <v>0.17223600000000003</v>
      </c>
      <c r="K235" s="118"/>
      <c r="L235" s="111">
        <v>2</v>
      </c>
      <c r="M235" s="117">
        <f t="shared" ref="M235:M249" si="141">H235*L235*G235/1000</f>
        <v>0.17223600000000003</v>
      </c>
      <c r="N235" s="119">
        <f t="shared" ref="N235:N249" si="142">I235-L235</f>
        <v>0</v>
      </c>
      <c r="O235" s="120">
        <f t="shared" ref="O235:O249" si="143">H235*N235*G235/1000</f>
        <v>0</v>
      </c>
      <c r="P235" s="159">
        <v>9</v>
      </c>
      <c r="Q235" s="512">
        <v>2</v>
      </c>
      <c r="R235" s="111" t="s">
        <v>760</v>
      </c>
      <c r="S235" s="111"/>
    </row>
    <row r="236" spans="1:21" ht="15.6">
      <c r="A236" s="110" t="s">
        <v>311</v>
      </c>
      <c r="B236" s="111" t="s">
        <v>232</v>
      </c>
      <c r="C236" s="112" t="s">
        <v>228</v>
      </c>
      <c r="D236" s="113" t="s">
        <v>152</v>
      </c>
      <c r="E236" s="216" t="s">
        <v>15</v>
      </c>
      <c r="F236" s="216" t="s">
        <v>30</v>
      </c>
      <c r="G236" s="217">
        <v>9.26</v>
      </c>
      <c r="H236" s="218">
        <v>10</v>
      </c>
      <c r="I236" s="219">
        <v>1</v>
      </c>
      <c r="J236" s="220">
        <f t="shared" si="140"/>
        <v>9.2599999999999988E-2</v>
      </c>
      <c r="K236" s="118"/>
      <c r="L236" s="111">
        <v>1</v>
      </c>
      <c r="M236" s="117">
        <f t="shared" si="141"/>
        <v>9.2599999999999988E-2</v>
      </c>
      <c r="N236" s="119">
        <f t="shared" si="142"/>
        <v>0</v>
      </c>
      <c r="O236" s="120">
        <f t="shared" si="143"/>
        <v>0</v>
      </c>
      <c r="P236" s="159">
        <v>9.8000000000000007</v>
      </c>
      <c r="Q236" s="512">
        <v>1</v>
      </c>
      <c r="R236" s="111" t="s">
        <v>760</v>
      </c>
      <c r="S236" s="111"/>
    </row>
    <row r="237" spans="1:21" ht="15.6">
      <c r="A237" s="110" t="s">
        <v>311</v>
      </c>
      <c r="B237" s="111" t="s">
        <v>232</v>
      </c>
      <c r="C237" s="112" t="s">
        <v>228</v>
      </c>
      <c r="D237" s="113" t="s">
        <v>152</v>
      </c>
      <c r="E237" s="216" t="s">
        <v>15</v>
      </c>
      <c r="F237" s="216" t="s">
        <v>30</v>
      </c>
      <c r="G237" s="217">
        <v>9.26</v>
      </c>
      <c r="H237" s="218">
        <v>11</v>
      </c>
      <c r="I237" s="219">
        <v>3</v>
      </c>
      <c r="J237" s="220">
        <f t="shared" si="140"/>
        <v>0.30557999999999996</v>
      </c>
      <c r="K237" s="118"/>
      <c r="L237" s="111">
        <v>3</v>
      </c>
      <c r="M237" s="117">
        <f t="shared" si="141"/>
        <v>0.30557999999999996</v>
      </c>
      <c r="N237" s="119">
        <f t="shared" si="142"/>
        <v>0</v>
      </c>
      <c r="O237" s="120">
        <f t="shared" si="143"/>
        <v>0</v>
      </c>
      <c r="P237" s="111">
        <v>10.3</v>
      </c>
      <c r="Q237" s="76">
        <v>3</v>
      </c>
      <c r="R237" s="111" t="s">
        <v>395</v>
      </c>
      <c r="S237" s="111"/>
    </row>
    <row r="238" spans="1:21" ht="15.6">
      <c r="A238" s="110" t="s">
        <v>311</v>
      </c>
      <c r="B238" s="111" t="s">
        <v>232</v>
      </c>
      <c r="C238" s="112" t="s">
        <v>228</v>
      </c>
      <c r="D238" s="113" t="s">
        <v>152</v>
      </c>
      <c r="E238" s="216" t="s">
        <v>15</v>
      </c>
      <c r="F238" s="216" t="s">
        <v>30</v>
      </c>
      <c r="G238" s="217">
        <v>9.26</v>
      </c>
      <c r="H238" s="218">
        <v>9.5</v>
      </c>
      <c r="I238" s="219">
        <f>36+11+34+35+5</f>
        <v>121</v>
      </c>
      <c r="J238" s="220">
        <f t="shared" si="140"/>
        <v>10.644369999999999</v>
      </c>
      <c r="K238" s="118"/>
      <c r="L238" s="111">
        <v>121</v>
      </c>
      <c r="M238" s="117">
        <f t="shared" si="141"/>
        <v>10.644369999999999</v>
      </c>
      <c r="N238" s="119">
        <f t="shared" si="142"/>
        <v>0</v>
      </c>
      <c r="O238" s="120">
        <f t="shared" si="143"/>
        <v>0</v>
      </c>
      <c r="P238" s="111"/>
      <c r="Q238" s="76"/>
      <c r="R238" s="111"/>
      <c r="S238" s="111"/>
    </row>
    <row r="239" spans="1:21" ht="15.6">
      <c r="A239" s="110" t="s">
        <v>311</v>
      </c>
      <c r="B239" s="111" t="s">
        <v>232</v>
      </c>
      <c r="C239" s="112" t="s">
        <v>228</v>
      </c>
      <c r="D239" s="113" t="s">
        <v>152</v>
      </c>
      <c r="E239" s="216" t="s">
        <v>15</v>
      </c>
      <c r="F239" s="216" t="s">
        <v>30</v>
      </c>
      <c r="G239" s="217">
        <v>9.26</v>
      </c>
      <c r="H239" s="218">
        <v>10.5</v>
      </c>
      <c r="I239" s="219">
        <f>28+5+29+1</f>
        <v>63</v>
      </c>
      <c r="J239" s="220">
        <f t="shared" si="140"/>
        <v>6.125490000000001</v>
      </c>
      <c r="K239" s="118"/>
      <c r="L239" s="111">
        <f>58+2+3</f>
        <v>63</v>
      </c>
      <c r="M239" s="117">
        <f t="shared" si="141"/>
        <v>6.1254900000000001</v>
      </c>
      <c r="N239" s="119">
        <f t="shared" si="142"/>
        <v>0</v>
      </c>
      <c r="O239" s="120">
        <f t="shared" si="143"/>
        <v>0</v>
      </c>
      <c r="P239" s="111">
        <v>10.3</v>
      </c>
      <c r="Q239" s="76">
        <v>3</v>
      </c>
      <c r="R239" s="111" t="s">
        <v>395</v>
      </c>
      <c r="S239" s="111"/>
      <c r="T239" s="111">
        <v>9.5</v>
      </c>
      <c r="U239" s="111">
        <v>2</v>
      </c>
    </row>
    <row r="240" spans="1:21" ht="15.6">
      <c r="A240" s="110" t="s">
        <v>311</v>
      </c>
      <c r="B240" s="111" t="s">
        <v>232</v>
      </c>
      <c r="C240" s="112" t="s">
        <v>228</v>
      </c>
      <c r="D240" s="113" t="s">
        <v>152</v>
      </c>
      <c r="E240" s="216" t="s">
        <v>15</v>
      </c>
      <c r="F240" s="216" t="s">
        <v>30</v>
      </c>
      <c r="G240" s="217">
        <v>9.26</v>
      </c>
      <c r="H240" s="218">
        <v>10.3</v>
      </c>
      <c r="I240" s="219">
        <f>33+19+34+4</f>
        <v>90</v>
      </c>
      <c r="J240" s="220">
        <f t="shared" si="140"/>
        <v>8.5840200000000006</v>
      </c>
      <c r="K240" s="118"/>
      <c r="L240" s="111">
        <f>80+6+4</f>
        <v>90</v>
      </c>
      <c r="M240" s="117">
        <f t="shared" si="141"/>
        <v>8.5840200000000006</v>
      </c>
      <c r="N240" s="119">
        <f t="shared" si="142"/>
        <v>0</v>
      </c>
      <c r="O240" s="120">
        <f t="shared" si="143"/>
        <v>0</v>
      </c>
      <c r="P240" s="111">
        <v>10.3</v>
      </c>
      <c r="Q240" s="76">
        <v>4</v>
      </c>
      <c r="R240" s="111" t="s">
        <v>395</v>
      </c>
      <c r="S240" s="111"/>
    </row>
    <row r="241" spans="1:19" ht="15.6">
      <c r="A241" s="110" t="s">
        <v>311</v>
      </c>
      <c r="B241" s="111" t="s">
        <v>232</v>
      </c>
      <c r="C241" s="112" t="s">
        <v>228</v>
      </c>
      <c r="D241" s="113" t="s">
        <v>152</v>
      </c>
      <c r="E241" s="216" t="s">
        <v>15</v>
      </c>
      <c r="F241" s="216" t="s">
        <v>30</v>
      </c>
      <c r="G241" s="217">
        <v>9.26</v>
      </c>
      <c r="H241" s="218">
        <v>11.3</v>
      </c>
      <c r="I241" s="219">
        <f>23+20</f>
        <v>43</v>
      </c>
      <c r="J241" s="220">
        <f t="shared" si="140"/>
        <v>4.4994339999999999</v>
      </c>
      <c r="K241" s="118"/>
      <c r="L241" s="111">
        <f>11+28+4</f>
        <v>43</v>
      </c>
      <c r="M241" s="117">
        <f t="shared" si="141"/>
        <v>4.4994339999999999</v>
      </c>
      <c r="N241" s="119">
        <f t="shared" si="142"/>
        <v>0</v>
      </c>
      <c r="O241" s="120">
        <f t="shared" si="143"/>
        <v>0</v>
      </c>
      <c r="P241" s="333"/>
      <c r="Q241" s="76"/>
      <c r="R241" s="111"/>
      <c r="S241" s="111"/>
    </row>
    <row r="242" spans="1:19" ht="15.6">
      <c r="A242" s="110" t="s">
        <v>311</v>
      </c>
      <c r="B242" s="111" t="s">
        <v>232</v>
      </c>
      <c r="C242" s="112" t="s">
        <v>228</v>
      </c>
      <c r="D242" s="113" t="s">
        <v>152</v>
      </c>
      <c r="E242" s="216" t="s">
        <v>15</v>
      </c>
      <c r="F242" s="216" t="s">
        <v>30</v>
      </c>
      <c r="G242" s="217">
        <v>9.26</v>
      </c>
      <c r="H242" s="218">
        <v>11.8</v>
      </c>
      <c r="I242" s="219">
        <f>26+28+9+28+30</f>
        <v>121</v>
      </c>
      <c r="J242" s="220">
        <f t="shared" si="140"/>
        <v>13.221428</v>
      </c>
      <c r="K242" s="118"/>
      <c r="L242" s="111">
        <f>121+34</f>
        <v>155</v>
      </c>
      <c r="M242" s="117">
        <f t="shared" si="141"/>
        <v>16.936540000000001</v>
      </c>
      <c r="N242" s="230">
        <f t="shared" si="142"/>
        <v>-34</v>
      </c>
      <c r="O242" s="231">
        <f t="shared" si="143"/>
        <v>-3.7151120000000004</v>
      </c>
      <c r="P242" s="44" t="s">
        <v>362</v>
      </c>
      <c r="Q242" s="111"/>
      <c r="R242" s="111"/>
      <c r="S242" s="111"/>
    </row>
    <row r="243" spans="1:19" ht="15.6">
      <c r="A243" s="110" t="s">
        <v>311</v>
      </c>
      <c r="B243" s="111" t="s">
        <v>232</v>
      </c>
      <c r="C243" s="112" t="s">
        <v>228</v>
      </c>
      <c r="D243" s="113" t="s">
        <v>152</v>
      </c>
      <c r="E243" s="216" t="s">
        <v>15</v>
      </c>
      <c r="F243" s="216" t="s">
        <v>30</v>
      </c>
      <c r="G243" s="217">
        <v>9.26</v>
      </c>
      <c r="H243" s="218">
        <v>8.6999999999999993</v>
      </c>
      <c r="I243" s="219">
        <v>1</v>
      </c>
      <c r="J243" s="220">
        <f t="shared" si="140"/>
        <v>8.0561999999999995E-2</v>
      </c>
      <c r="K243" s="118"/>
      <c r="L243" s="111">
        <v>1</v>
      </c>
      <c r="M243" s="117">
        <f t="shared" si="141"/>
        <v>8.0561999999999995E-2</v>
      </c>
      <c r="N243" s="119">
        <f t="shared" si="142"/>
        <v>0</v>
      </c>
      <c r="O243" s="120">
        <f t="shared" si="143"/>
        <v>0</v>
      </c>
      <c r="P243" s="111">
        <v>8.1</v>
      </c>
      <c r="Q243" s="45">
        <v>1</v>
      </c>
      <c r="R243" s="111" t="s">
        <v>760</v>
      </c>
      <c r="S243" s="111"/>
    </row>
    <row r="244" spans="1:19" ht="15.6">
      <c r="A244" s="110" t="s">
        <v>311</v>
      </c>
      <c r="B244" s="111" t="s">
        <v>232</v>
      </c>
      <c r="C244" s="112" t="s">
        <v>228</v>
      </c>
      <c r="D244" s="113" t="s">
        <v>152</v>
      </c>
      <c r="E244" s="216" t="s">
        <v>15</v>
      </c>
      <c r="F244" s="216" t="s">
        <v>30</v>
      </c>
      <c r="G244" s="217">
        <v>9.26</v>
      </c>
      <c r="H244" s="218">
        <v>9.4</v>
      </c>
      <c r="I244" s="219">
        <v>1</v>
      </c>
      <c r="J244" s="220">
        <f t="shared" si="140"/>
        <v>8.7043999999999996E-2</v>
      </c>
      <c r="K244" s="118"/>
      <c r="L244" s="111">
        <v>1</v>
      </c>
      <c r="M244" s="117">
        <f t="shared" si="141"/>
        <v>8.7043999999999996E-2</v>
      </c>
      <c r="N244" s="119">
        <f t="shared" si="142"/>
        <v>0</v>
      </c>
      <c r="O244" s="120">
        <f t="shared" si="143"/>
        <v>0</v>
      </c>
      <c r="P244" s="111">
        <v>8.1</v>
      </c>
      <c r="Q244" s="45">
        <v>1</v>
      </c>
      <c r="R244" s="111" t="s">
        <v>760</v>
      </c>
      <c r="S244" s="111"/>
    </row>
    <row r="245" spans="1:19" ht="15.6">
      <c r="A245" s="110" t="s">
        <v>311</v>
      </c>
      <c r="B245" s="111" t="s">
        <v>232</v>
      </c>
      <c r="C245" s="112" t="s">
        <v>228</v>
      </c>
      <c r="D245" s="113" t="s">
        <v>152</v>
      </c>
      <c r="E245" s="216" t="s">
        <v>15</v>
      </c>
      <c r="F245" s="216" t="s">
        <v>30</v>
      </c>
      <c r="G245" s="217">
        <v>9.26</v>
      </c>
      <c r="H245" s="218">
        <v>11</v>
      </c>
      <c r="I245" s="219">
        <v>1</v>
      </c>
      <c r="J245" s="220">
        <f t="shared" si="140"/>
        <v>0.10186000000000001</v>
      </c>
      <c r="K245" s="118"/>
      <c r="L245" s="45">
        <v>1</v>
      </c>
      <c r="M245" s="117">
        <f t="shared" si="141"/>
        <v>0.10186000000000001</v>
      </c>
      <c r="N245" s="119">
        <f t="shared" si="142"/>
        <v>0</v>
      </c>
      <c r="O245" s="120">
        <f t="shared" si="143"/>
        <v>0</v>
      </c>
      <c r="P245" s="111"/>
      <c r="Q245" s="111"/>
      <c r="R245" s="111"/>
      <c r="S245" s="111"/>
    </row>
    <row r="246" spans="1:19" ht="15.6">
      <c r="A246" s="110" t="s">
        <v>311</v>
      </c>
      <c r="B246" s="111" t="s">
        <v>232</v>
      </c>
      <c r="C246" s="112" t="s">
        <v>228</v>
      </c>
      <c r="D246" s="113" t="s">
        <v>152</v>
      </c>
      <c r="E246" s="216" t="s">
        <v>15</v>
      </c>
      <c r="F246" s="216" t="s">
        <v>30</v>
      </c>
      <c r="G246" s="217">
        <v>9.26</v>
      </c>
      <c r="H246" s="218">
        <v>10.6</v>
      </c>
      <c r="I246" s="219">
        <v>1</v>
      </c>
      <c r="J246" s="220">
        <f t="shared" si="140"/>
        <v>9.8155999999999993E-2</v>
      </c>
      <c r="K246" s="118"/>
      <c r="L246" s="45">
        <v>1</v>
      </c>
      <c r="M246" s="117">
        <f t="shared" si="141"/>
        <v>9.8155999999999993E-2</v>
      </c>
      <c r="N246" s="119">
        <f t="shared" si="142"/>
        <v>0</v>
      </c>
      <c r="O246" s="120">
        <f t="shared" si="143"/>
        <v>0</v>
      </c>
      <c r="P246" s="111"/>
      <c r="Q246" s="111"/>
      <c r="R246" s="111"/>
      <c r="S246" s="111"/>
    </row>
    <row r="247" spans="1:19" ht="15.6">
      <c r="A247" s="110" t="s">
        <v>311</v>
      </c>
      <c r="B247" s="111" t="s">
        <v>232</v>
      </c>
      <c r="C247" s="112" t="s">
        <v>228</v>
      </c>
      <c r="D247" s="113" t="s">
        <v>152</v>
      </c>
      <c r="E247" s="216" t="s">
        <v>15</v>
      </c>
      <c r="F247" s="216" t="s">
        <v>30</v>
      </c>
      <c r="G247" s="217">
        <v>9.26</v>
      </c>
      <c r="H247" s="218">
        <v>11.2</v>
      </c>
      <c r="I247" s="219">
        <v>3</v>
      </c>
      <c r="J247" s="220">
        <f t="shared" si="140"/>
        <v>0.31113599999999997</v>
      </c>
      <c r="K247" s="118"/>
      <c r="L247" s="45">
        <v>3</v>
      </c>
      <c r="M247" s="117">
        <f t="shared" si="141"/>
        <v>0.31113599999999997</v>
      </c>
      <c r="N247" s="119">
        <f t="shared" si="142"/>
        <v>0</v>
      </c>
      <c r="O247" s="120">
        <f t="shared" si="143"/>
        <v>0</v>
      </c>
      <c r="P247" s="111"/>
      <c r="Q247" s="111"/>
      <c r="R247" s="111"/>
      <c r="S247" s="111"/>
    </row>
    <row r="248" spans="1:19" ht="15.6">
      <c r="A248" s="110" t="s">
        <v>311</v>
      </c>
      <c r="B248" s="111" t="s">
        <v>232</v>
      </c>
      <c r="C248" s="112" t="s">
        <v>228</v>
      </c>
      <c r="D248" s="113" t="s">
        <v>152</v>
      </c>
      <c r="E248" s="216" t="s">
        <v>15</v>
      </c>
      <c r="F248" s="216" t="s">
        <v>30</v>
      </c>
      <c r="G248" s="217">
        <v>9.26</v>
      </c>
      <c r="H248" s="218">
        <v>11.8</v>
      </c>
      <c r="I248" s="219">
        <v>5</v>
      </c>
      <c r="J248" s="220">
        <f t="shared" si="140"/>
        <v>0.54634000000000005</v>
      </c>
      <c r="K248" s="118"/>
      <c r="L248" s="111">
        <v>5</v>
      </c>
      <c r="M248" s="117">
        <f t="shared" si="141"/>
        <v>0.54634000000000005</v>
      </c>
      <c r="N248" s="119">
        <f t="shared" si="142"/>
        <v>0</v>
      </c>
      <c r="O248" s="120">
        <f t="shared" si="143"/>
        <v>0</v>
      </c>
      <c r="P248" s="111"/>
      <c r="Q248" s="111"/>
      <c r="R248" s="111"/>
      <c r="S248" s="111"/>
    </row>
    <row r="249" spans="1:19" ht="15.6">
      <c r="A249" s="110" t="s">
        <v>311</v>
      </c>
      <c r="B249" s="111" t="s">
        <v>232</v>
      </c>
      <c r="C249" s="112" t="s">
        <v>228</v>
      </c>
      <c r="D249" s="113" t="s">
        <v>152</v>
      </c>
      <c r="E249" s="216" t="s">
        <v>15</v>
      </c>
      <c r="F249" s="216" t="s">
        <v>30</v>
      </c>
      <c r="G249" s="217">
        <v>9.26</v>
      </c>
      <c r="H249" s="218">
        <v>11.3</v>
      </c>
      <c r="I249" s="219">
        <v>2</v>
      </c>
      <c r="J249" s="220">
        <f t="shared" si="140"/>
        <v>0.20927600000000002</v>
      </c>
      <c r="K249" s="118"/>
      <c r="L249" s="111">
        <v>2</v>
      </c>
      <c r="M249" s="117">
        <f t="shared" si="141"/>
        <v>0.20927600000000002</v>
      </c>
      <c r="N249" s="119">
        <f t="shared" si="142"/>
        <v>0</v>
      </c>
      <c r="O249" s="120">
        <f t="shared" si="143"/>
        <v>0</v>
      </c>
      <c r="P249" s="111">
        <v>11.3</v>
      </c>
      <c r="Q249" s="45">
        <v>2</v>
      </c>
      <c r="R249" s="111" t="s">
        <v>395</v>
      </c>
      <c r="S249" s="111"/>
    </row>
    <row r="250" spans="1:19">
      <c r="I250" s="215">
        <f>SUM(I233:I249)</f>
        <v>460</v>
      </c>
      <c r="J250" s="214">
        <f>SUM(J233:J249)</f>
        <v>45.231396000000004</v>
      </c>
      <c r="L250" s="215">
        <f>SUM(L233:L249)</f>
        <v>493</v>
      </c>
      <c r="M250" s="214">
        <f>SUM(M233:M249)</f>
        <v>48.877984000000005</v>
      </c>
      <c r="N250" s="78">
        <f>SUM(N233:N249)</f>
        <v>-33</v>
      </c>
      <c r="O250" s="128">
        <f>SUM(O233:O249)</f>
        <v>-3.6465880000000004</v>
      </c>
    </row>
    <row r="252" spans="1:19" ht="15.6">
      <c r="A252" s="110" t="s">
        <v>311</v>
      </c>
      <c r="B252" s="111" t="s">
        <v>232</v>
      </c>
      <c r="C252" s="112" t="s">
        <v>228</v>
      </c>
      <c r="D252" s="113" t="s">
        <v>152</v>
      </c>
      <c r="E252" s="216" t="s">
        <v>15</v>
      </c>
      <c r="F252" s="216" t="s">
        <v>22</v>
      </c>
      <c r="G252" s="217">
        <v>10.73</v>
      </c>
      <c r="H252" s="218">
        <v>7.8</v>
      </c>
      <c r="I252" s="219">
        <f>36+36+39+35+35+31+21+18+31+32+32+29+30+32+32+29+33+31+13</f>
        <v>575</v>
      </c>
      <c r="J252" s="220">
        <f t="shared" ref="J252" si="144">(G252*H252*I252/1000)</f>
        <v>48.124050000000004</v>
      </c>
      <c r="K252" s="118"/>
      <c r="L252" s="111">
        <v>575</v>
      </c>
      <c r="M252" s="117">
        <f t="shared" ref="M252" si="145">H252*L252*G252/1000</f>
        <v>48.124050000000004</v>
      </c>
      <c r="N252" s="119">
        <f t="shared" ref="N252" si="146">I252-L252</f>
        <v>0</v>
      </c>
      <c r="O252" s="120">
        <f t="shared" ref="O252" si="147">H252*N252*G252/1000</f>
        <v>0</v>
      </c>
      <c r="P252" s="111"/>
      <c r="Q252" s="111"/>
      <c r="R252" s="111"/>
      <c r="S252" s="111"/>
    </row>
    <row r="253" spans="1:19" ht="15.6">
      <c r="A253" s="110" t="s">
        <v>311</v>
      </c>
      <c r="B253" s="111" t="s">
        <v>232</v>
      </c>
      <c r="C253" s="112" t="s">
        <v>228</v>
      </c>
      <c r="D253" s="113" t="s">
        <v>152</v>
      </c>
      <c r="E253" s="216" t="s">
        <v>15</v>
      </c>
      <c r="F253" s="216" t="s">
        <v>22</v>
      </c>
      <c r="G253" s="217">
        <v>10.73</v>
      </c>
      <c r="H253" s="218">
        <v>9.4</v>
      </c>
      <c r="I253" s="219">
        <f>28+33+32+27+26+29+3</f>
        <v>178</v>
      </c>
      <c r="J253" s="220">
        <f t="shared" ref="J253:J264" si="148">(G253*H253*I253/1000)</f>
        <v>17.953436</v>
      </c>
      <c r="K253" s="118"/>
      <c r="L253" s="111">
        <v>178</v>
      </c>
      <c r="M253" s="117">
        <f t="shared" ref="M253:M264" si="149">H253*L253*G253/1000</f>
        <v>17.953436</v>
      </c>
      <c r="N253" s="119">
        <f t="shared" ref="N253:N264" si="150">I253-L253</f>
        <v>0</v>
      </c>
      <c r="O253" s="120">
        <f t="shared" ref="O253:O264" si="151">H253*N253*G253/1000</f>
        <v>0</v>
      </c>
      <c r="P253" s="111"/>
      <c r="Q253" s="111"/>
      <c r="R253" s="111"/>
      <c r="S253" s="111"/>
    </row>
    <row r="254" spans="1:19" ht="15.6">
      <c r="A254" s="110" t="s">
        <v>311</v>
      </c>
      <c r="B254" s="111" t="s">
        <v>232</v>
      </c>
      <c r="C254" s="112" t="s">
        <v>228</v>
      </c>
      <c r="D254" s="113" t="s">
        <v>152</v>
      </c>
      <c r="E254" s="216" t="s">
        <v>15</v>
      </c>
      <c r="F254" s="216" t="s">
        <v>22</v>
      </c>
      <c r="G254" s="217">
        <v>10.73</v>
      </c>
      <c r="H254" s="218">
        <v>10.4</v>
      </c>
      <c r="I254" s="219">
        <f>31+30+3+25+26+16+1+2</f>
        <v>134</v>
      </c>
      <c r="J254" s="220">
        <f t="shared" si="148"/>
        <v>14.953328000000001</v>
      </c>
      <c r="K254" s="118"/>
      <c r="L254" s="111">
        <f>113+12+9</f>
        <v>134</v>
      </c>
      <c r="M254" s="117">
        <f t="shared" si="149"/>
        <v>14.953328000000001</v>
      </c>
      <c r="N254" s="119">
        <f t="shared" si="150"/>
        <v>0</v>
      </c>
      <c r="O254" s="120">
        <f t="shared" si="151"/>
        <v>0</v>
      </c>
      <c r="P254" s="111">
        <v>9.4</v>
      </c>
      <c r="Q254" s="111">
        <v>12</v>
      </c>
      <c r="R254" s="159">
        <v>10.4</v>
      </c>
      <c r="S254" s="111">
        <v>9</v>
      </c>
    </row>
    <row r="255" spans="1:19" ht="15.6">
      <c r="A255" s="110" t="s">
        <v>311</v>
      </c>
      <c r="B255" s="111" t="s">
        <v>232</v>
      </c>
      <c r="C255" s="112" t="s">
        <v>228</v>
      </c>
      <c r="D255" s="113" t="s">
        <v>152</v>
      </c>
      <c r="E255" s="216" t="s">
        <v>15</v>
      </c>
      <c r="F255" s="216" t="s">
        <v>22</v>
      </c>
      <c r="G255" s="217">
        <v>10.73</v>
      </c>
      <c r="H255" s="218">
        <v>11.6</v>
      </c>
      <c r="I255" s="219">
        <f>25+25+25+24+15+27+25+25+27+4+8+19</f>
        <v>249</v>
      </c>
      <c r="J255" s="220">
        <f t="shared" si="148"/>
        <v>30.992532000000001</v>
      </c>
      <c r="K255" s="118"/>
      <c r="L255" s="111">
        <v>249</v>
      </c>
      <c r="M255" s="117">
        <f t="shared" si="149"/>
        <v>30.992532000000004</v>
      </c>
      <c r="N255" s="119">
        <f t="shared" si="150"/>
        <v>0</v>
      </c>
      <c r="O255" s="120">
        <f t="shared" si="151"/>
        <v>0</v>
      </c>
      <c r="P255" s="111"/>
      <c r="Q255" s="111"/>
      <c r="R255" s="159"/>
      <c r="S255" s="111"/>
    </row>
    <row r="256" spans="1:19" ht="15.6">
      <c r="A256" s="110" t="s">
        <v>311</v>
      </c>
      <c r="B256" s="111" t="s">
        <v>232</v>
      </c>
      <c r="C256" s="112" t="s">
        <v>228</v>
      </c>
      <c r="D256" s="113" t="s">
        <v>152</v>
      </c>
      <c r="E256" s="216" t="s">
        <v>15</v>
      </c>
      <c r="F256" s="216" t="s">
        <v>22</v>
      </c>
      <c r="G256" s="217">
        <v>10.73</v>
      </c>
      <c r="H256" s="218">
        <v>12</v>
      </c>
      <c r="I256" s="219">
        <f>24+18+19+20+25+24+22+9</f>
        <v>161</v>
      </c>
      <c r="J256" s="220">
        <f t="shared" si="148"/>
        <v>20.730359999999997</v>
      </c>
      <c r="K256" s="118"/>
      <c r="L256" s="111">
        <f>160+1</f>
        <v>161</v>
      </c>
      <c r="M256" s="117">
        <f t="shared" si="149"/>
        <v>20.730360000000001</v>
      </c>
      <c r="N256" s="119">
        <f t="shared" si="150"/>
        <v>0</v>
      </c>
      <c r="O256" s="120">
        <f t="shared" si="151"/>
        <v>0</v>
      </c>
      <c r="P256" s="111"/>
      <c r="Q256" s="111"/>
      <c r="R256" s="159"/>
      <c r="S256" s="111"/>
    </row>
    <row r="257" spans="1:20" ht="15.6">
      <c r="A257" s="110" t="s">
        <v>311</v>
      </c>
      <c r="B257" s="111" t="s">
        <v>232</v>
      </c>
      <c r="C257" s="112" t="s">
        <v>228</v>
      </c>
      <c r="D257" s="113" t="s">
        <v>152</v>
      </c>
      <c r="E257" s="216" t="s">
        <v>15</v>
      </c>
      <c r="F257" s="216" t="s">
        <v>22</v>
      </c>
      <c r="G257" s="217">
        <v>10.73</v>
      </c>
      <c r="H257" s="218">
        <v>11.4</v>
      </c>
      <c r="I257" s="219">
        <v>1</v>
      </c>
      <c r="J257" s="220">
        <f t="shared" si="148"/>
        <v>0.122322</v>
      </c>
      <c r="K257" s="118"/>
      <c r="L257" s="111">
        <v>1</v>
      </c>
      <c r="M257" s="117">
        <f t="shared" si="149"/>
        <v>0.122322</v>
      </c>
      <c r="N257" s="119">
        <f t="shared" si="150"/>
        <v>0</v>
      </c>
      <c r="O257" s="120">
        <f t="shared" si="151"/>
        <v>0</v>
      </c>
      <c r="P257" s="111"/>
      <c r="Q257" s="111"/>
      <c r="R257" s="159">
        <v>10.4</v>
      </c>
      <c r="S257" s="111">
        <v>1</v>
      </c>
    </row>
    <row r="258" spans="1:20" ht="15.6">
      <c r="A258" s="110" t="s">
        <v>311</v>
      </c>
      <c r="B258" s="111" t="s">
        <v>232</v>
      </c>
      <c r="C258" s="112" t="s">
        <v>228</v>
      </c>
      <c r="D258" s="113" t="s">
        <v>152</v>
      </c>
      <c r="E258" s="216" t="s">
        <v>15</v>
      </c>
      <c r="F258" s="216" t="s">
        <v>22</v>
      </c>
      <c r="G258" s="217">
        <v>10.73</v>
      </c>
      <c r="H258" s="218">
        <v>11.2</v>
      </c>
      <c r="I258" s="219">
        <v>1</v>
      </c>
      <c r="J258" s="220">
        <f t="shared" si="148"/>
        <v>0.12017600000000001</v>
      </c>
      <c r="K258" s="118"/>
      <c r="L258" s="111">
        <v>1</v>
      </c>
      <c r="M258" s="117">
        <f t="shared" si="149"/>
        <v>0.12017600000000001</v>
      </c>
      <c r="N258" s="119">
        <f t="shared" si="150"/>
        <v>0</v>
      </c>
      <c r="O258" s="120">
        <f t="shared" si="151"/>
        <v>0</v>
      </c>
      <c r="P258" s="111"/>
      <c r="Q258" s="111"/>
      <c r="R258" s="159">
        <v>10.4</v>
      </c>
      <c r="S258" s="111">
        <v>1</v>
      </c>
    </row>
    <row r="259" spans="1:20" ht="15.6">
      <c r="A259" s="110" t="s">
        <v>311</v>
      </c>
      <c r="B259" s="111" t="s">
        <v>232</v>
      </c>
      <c r="C259" s="112" t="s">
        <v>228</v>
      </c>
      <c r="D259" s="113" t="s">
        <v>152</v>
      </c>
      <c r="E259" s="216" t="s">
        <v>15</v>
      </c>
      <c r="F259" s="216" t="s">
        <v>22</v>
      </c>
      <c r="G259" s="217">
        <v>10.73</v>
      </c>
      <c r="H259" s="218">
        <v>7.5</v>
      </c>
      <c r="I259" s="219">
        <v>2</v>
      </c>
      <c r="J259" s="220">
        <f t="shared" si="148"/>
        <v>0.16095000000000001</v>
      </c>
      <c r="K259" s="118"/>
      <c r="L259" s="111">
        <v>2</v>
      </c>
      <c r="M259" s="117">
        <f t="shared" si="149"/>
        <v>0.16095000000000001</v>
      </c>
      <c r="N259" s="119">
        <f t="shared" si="150"/>
        <v>0</v>
      </c>
      <c r="O259" s="120">
        <f t="shared" si="151"/>
        <v>0</v>
      </c>
      <c r="P259" s="159">
        <v>6.1</v>
      </c>
      <c r="Q259" s="45">
        <v>2</v>
      </c>
      <c r="R259" s="159" t="s">
        <v>739</v>
      </c>
      <c r="S259" s="111"/>
    </row>
    <row r="260" spans="1:20" ht="15.6">
      <c r="A260" s="110" t="s">
        <v>311</v>
      </c>
      <c r="B260" s="111" t="s">
        <v>232</v>
      </c>
      <c r="C260" s="112" t="s">
        <v>228</v>
      </c>
      <c r="D260" s="113" t="s">
        <v>152</v>
      </c>
      <c r="E260" s="216" t="s">
        <v>15</v>
      </c>
      <c r="F260" s="216" t="s">
        <v>22</v>
      </c>
      <c r="G260" s="217">
        <v>10.73</v>
      </c>
      <c r="H260" s="218">
        <v>7.3</v>
      </c>
      <c r="I260" s="219">
        <v>3</v>
      </c>
      <c r="J260" s="220">
        <f t="shared" si="148"/>
        <v>0.23498700000000003</v>
      </c>
      <c r="K260" s="118"/>
      <c r="L260" s="111">
        <v>3</v>
      </c>
      <c r="M260" s="117">
        <f t="shared" si="149"/>
        <v>0.234987</v>
      </c>
      <c r="N260" s="119">
        <f t="shared" si="150"/>
        <v>0</v>
      </c>
      <c r="O260" s="120">
        <f t="shared" si="151"/>
        <v>0</v>
      </c>
      <c r="P260" s="159">
        <v>6.1</v>
      </c>
      <c r="Q260" s="45">
        <v>3</v>
      </c>
      <c r="R260" s="159" t="s">
        <v>739</v>
      </c>
      <c r="S260" s="111"/>
    </row>
    <row r="261" spans="1:20" ht="15.6">
      <c r="A261" s="110" t="s">
        <v>311</v>
      </c>
      <c r="B261" s="111" t="s">
        <v>232</v>
      </c>
      <c r="C261" s="112" t="s">
        <v>228</v>
      </c>
      <c r="D261" s="113" t="s">
        <v>152</v>
      </c>
      <c r="E261" s="216" t="s">
        <v>15</v>
      </c>
      <c r="F261" s="216" t="s">
        <v>22</v>
      </c>
      <c r="G261" s="217">
        <v>10.73</v>
      </c>
      <c r="H261" s="218">
        <v>6.9</v>
      </c>
      <c r="I261" s="219">
        <v>1</v>
      </c>
      <c r="J261" s="220">
        <f t="shared" si="148"/>
        <v>7.4037000000000006E-2</v>
      </c>
      <c r="K261" s="118"/>
      <c r="L261" s="111">
        <v>1</v>
      </c>
      <c r="M261" s="117">
        <f t="shared" si="149"/>
        <v>7.4037000000000006E-2</v>
      </c>
      <c r="N261" s="119">
        <f t="shared" si="150"/>
        <v>0</v>
      </c>
      <c r="O261" s="120">
        <f t="shared" si="151"/>
        <v>0</v>
      </c>
      <c r="P261" s="159"/>
      <c r="Q261" s="111"/>
      <c r="R261" s="159">
        <v>6</v>
      </c>
      <c r="S261" s="111">
        <v>1</v>
      </c>
    </row>
    <row r="262" spans="1:20" ht="15.6">
      <c r="A262" s="110" t="s">
        <v>311</v>
      </c>
      <c r="B262" s="111" t="s">
        <v>232</v>
      </c>
      <c r="C262" s="112" t="s">
        <v>228</v>
      </c>
      <c r="D262" s="113" t="s">
        <v>152</v>
      </c>
      <c r="E262" s="216" t="s">
        <v>15</v>
      </c>
      <c r="F262" s="216" t="s">
        <v>22</v>
      </c>
      <c r="G262" s="217">
        <v>10.73</v>
      </c>
      <c r="H262" s="218">
        <v>7.1</v>
      </c>
      <c r="I262" s="219">
        <v>1</v>
      </c>
      <c r="J262" s="220">
        <f t="shared" si="148"/>
        <v>7.6182999999999987E-2</v>
      </c>
      <c r="K262" s="118"/>
      <c r="L262" s="111">
        <v>1</v>
      </c>
      <c r="M262" s="117">
        <f t="shared" si="149"/>
        <v>7.6182999999999987E-2</v>
      </c>
      <c r="N262" s="119">
        <f t="shared" si="150"/>
        <v>0</v>
      </c>
      <c r="O262" s="120">
        <f t="shared" si="151"/>
        <v>0</v>
      </c>
      <c r="P262" s="159">
        <v>6.1</v>
      </c>
      <c r="Q262" s="45">
        <v>1</v>
      </c>
      <c r="R262" s="159" t="s">
        <v>739</v>
      </c>
      <c r="S262" s="111"/>
    </row>
    <row r="263" spans="1:20" ht="15.6">
      <c r="A263" s="110" t="s">
        <v>311</v>
      </c>
      <c r="B263" s="111" t="s">
        <v>232</v>
      </c>
      <c r="C263" s="112" t="s">
        <v>228</v>
      </c>
      <c r="D263" s="113" t="s">
        <v>152</v>
      </c>
      <c r="E263" s="216" t="s">
        <v>15</v>
      </c>
      <c r="F263" s="216" t="s">
        <v>22</v>
      </c>
      <c r="G263" s="217">
        <v>10.73</v>
      </c>
      <c r="H263" s="218">
        <v>7.3</v>
      </c>
      <c r="I263" s="219">
        <v>3</v>
      </c>
      <c r="J263" s="220">
        <f t="shared" si="148"/>
        <v>0.23498700000000003</v>
      </c>
      <c r="K263" s="118"/>
      <c r="L263" s="111">
        <v>3</v>
      </c>
      <c r="M263" s="117">
        <f t="shared" si="149"/>
        <v>0.234987</v>
      </c>
      <c r="N263" s="119">
        <f t="shared" si="150"/>
        <v>0</v>
      </c>
      <c r="O263" s="120">
        <f t="shared" si="151"/>
        <v>0</v>
      </c>
      <c r="P263" s="159"/>
      <c r="Q263" s="45">
        <v>3</v>
      </c>
      <c r="R263" s="111" t="s">
        <v>757</v>
      </c>
      <c r="S263" s="111"/>
    </row>
    <row r="264" spans="1:20" ht="15.6">
      <c r="A264" s="110" t="s">
        <v>311</v>
      </c>
      <c r="B264" s="111" t="s">
        <v>232</v>
      </c>
      <c r="C264" s="112" t="s">
        <v>228</v>
      </c>
      <c r="D264" s="113" t="s">
        <v>152</v>
      </c>
      <c r="E264" s="216" t="s">
        <v>15</v>
      </c>
      <c r="F264" s="216" t="s">
        <v>22</v>
      </c>
      <c r="G264" s="217">
        <v>10.73</v>
      </c>
      <c r="H264" s="218">
        <v>8.6</v>
      </c>
      <c r="I264" s="219">
        <v>3</v>
      </c>
      <c r="J264" s="220">
        <f t="shared" si="148"/>
        <v>0.27683400000000002</v>
      </c>
      <c r="K264" s="118"/>
      <c r="L264" s="111">
        <f>1+2</f>
        <v>3</v>
      </c>
      <c r="M264" s="117">
        <f t="shared" si="149"/>
        <v>0.27683400000000002</v>
      </c>
      <c r="N264" s="119">
        <f t="shared" si="150"/>
        <v>0</v>
      </c>
      <c r="O264" s="120">
        <f t="shared" si="151"/>
        <v>0</v>
      </c>
      <c r="P264" s="159">
        <v>7.8</v>
      </c>
      <c r="Q264" s="45">
        <v>2</v>
      </c>
      <c r="R264" s="111" t="s">
        <v>756</v>
      </c>
      <c r="S264" s="111">
        <v>7.8</v>
      </c>
      <c r="T264" s="111">
        <v>1</v>
      </c>
    </row>
    <row r="265" spans="1:20" ht="15.6">
      <c r="A265" s="110" t="s">
        <v>311</v>
      </c>
      <c r="B265" s="111" t="s">
        <v>232</v>
      </c>
      <c r="C265" s="112" t="s">
        <v>228</v>
      </c>
      <c r="D265" s="113" t="s">
        <v>152</v>
      </c>
      <c r="E265" s="216" t="s">
        <v>15</v>
      </c>
      <c r="F265" s="216" t="s">
        <v>22</v>
      </c>
      <c r="G265" s="217">
        <v>10.73</v>
      </c>
      <c r="H265" s="221">
        <v>9</v>
      </c>
      <c r="I265" s="219">
        <v>3</v>
      </c>
      <c r="J265" s="220">
        <f t="shared" ref="J265:J306" si="152">(G265*H265*I265/1000)</f>
        <v>0.28971000000000002</v>
      </c>
      <c r="K265" s="118"/>
      <c r="L265" s="111">
        <v>3</v>
      </c>
      <c r="M265" s="117">
        <f t="shared" ref="M265:M306" si="153">H265*L265*G265/1000</f>
        <v>0.28971000000000002</v>
      </c>
      <c r="N265" s="119">
        <f t="shared" ref="N265:N306" si="154">I265-L265</f>
        <v>0</v>
      </c>
      <c r="O265" s="120">
        <f t="shared" ref="O265:O306" si="155">H265*N265*G265/1000</f>
        <v>0</v>
      </c>
      <c r="P265" s="159">
        <v>7.8</v>
      </c>
      <c r="Q265" s="45">
        <v>3</v>
      </c>
      <c r="R265" s="111" t="s">
        <v>756</v>
      </c>
      <c r="S265" s="111"/>
    </row>
    <row r="266" spans="1:20" ht="15.6">
      <c r="A266" s="110" t="s">
        <v>311</v>
      </c>
      <c r="B266" s="111" t="s">
        <v>232</v>
      </c>
      <c r="C266" s="112" t="s">
        <v>228</v>
      </c>
      <c r="D266" s="113" t="s">
        <v>152</v>
      </c>
      <c r="E266" s="216" t="s">
        <v>15</v>
      </c>
      <c r="F266" s="216" t="s">
        <v>22</v>
      </c>
      <c r="G266" s="217">
        <v>10.73</v>
      </c>
      <c r="H266" s="221">
        <v>7.5</v>
      </c>
      <c r="I266" s="219">
        <v>14</v>
      </c>
      <c r="J266" s="220">
        <f t="shared" si="152"/>
        <v>1.1266500000000002</v>
      </c>
      <c r="K266" s="118"/>
      <c r="L266" s="111">
        <v>14</v>
      </c>
      <c r="M266" s="117">
        <f t="shared" si="153"/>
        <v>1.1266500000000002</v>
      </c>
      <c r="N266" s="119">
        <f t="shared" si="154"/>
        <v>0</v>
      </c>
      <c r="O266" s="120">
        <f t="shared" si="155"/>
        <v>0</v>
      </c>
      <c r="P266" s="111"/>
      <c r="Q266" s="45">
        <v>14</v>
      </c>
      <c r="R266" s="111" t="s">
        <v>757</v>
      </c>
      <c r="S266" s="111"/>
    </row>
    <row r="267" spans="1:20" ht="15.6">
      <c r="A267" s="110" t="s">
        <v>311</v>
      </c>
      <c r="B267" s="111" t="s">
        <v>232</v>
      </c>
      <c r="C267" s="112" t="s">
        <v>228</v>
      </c>
      <c r="D267" s="113" t="s">
        <v>152</v>
      </c>
      <c r="E267" s="216" t="s">
        <v>15</v>
      </c>
      <c r="F267" s="216" t="s">
        <v>22</v>
      </c>
      <c r="G267" s="217">
        <v>10.73</v>
      </c>
      <c r="H267" s="221">
        <v>11.4</v>
      </c>
      <c r="I267" s="219">
        <v>4</v>
      </c>
      <c r="J267" s="220">
        <f t="shared" si="152"/>
        <v>0.489288</v>
      </c>
      <c r="K267" s="118"/>
      <c r="L267" s="111">
        <v>4</v>
      </c>
      <c r="M267" s="117">
        <f t="shared" si="153"/>
        <v>0.489288</v>
      </c>
      <c r="N267" s="119">
        <f t="shared" si="154"/>
        <v>0</v>
      </c>
      <c r="O267" s="120">
        <f t="shared" si="155"/>
        <v>0</v>
      </c>
      <c r="P267" s="111"/>
      <c r="Q267" s="111"/>
      <c r="R267" s="159">
        <v>10.4</v>
      </c>
      <c r="S267" s="111">
        <v>4</v>
      </c>
    </row>
    <row r="268" spans="1:20" ht="15.6">
      <c r="A268" s="110" t="s">
        <v>311</v>
      </c>
      <c r="B268" s="111" t="s">
        <v>232</v>
      </c>
      <c r="C268" s="112" t="s">
        <v>228</v>
      </c>
      <c r="D268" s="113" t="s">
        <v>152</v>
      </c>
      <c r="E268" s="216" t="s">
        <v>15</v>
      </c>
      <c r="F268" s="216" t="s">
        <v>22</v>
      </c>
      <c r="G268" s="217">
        <v>10.73</v>
      </c>
      <c r="H268" s="221">
        <v>11.2</v>
      </c>
      <c r="I268" s="219">
        <v>1</v>
      </c>
      <c r="J268" s="220">
        <f t="shared" si="152"/>
        <v>0.12017600000000001</v>
      </c>
      <c r="K268" s="118"/>
      <c r="L268" s="111">
        <v>1</v>
      </c>
      <c r="M268" s="117">
        <f t="shared" si="153"/>
        <v>0.12017600000000001</v>
      </c>
      <c r="N268" s="119">
        <f t="shared" si="154"/>
        <v>0</v>
      </c>
      <c r="O268" s="120">
        <f t="shared" si="155"/>
        <v>0</v>
      </c>
      <c r="P268" s="111"/>
      <c r="Q268" s="111"/>
      <c r="R268" s="159">
        <v>10.4</v>
      </c>
      <c r="S268" s="111">
        <v>1</v>
      </c>
    </row>
    <row r="269" spans="1:20" ht="15.6">
      <c r="A269" s="110" t="s">
        <v>311</v>
      </c>
      <c r="B269" s="111" t="s">
        <v>232</v>
      </c>
      <c r="C269" s="112" t="s">
        <v>228</v>
      </c>
      <c r="D269" s="113" t="s">
        <v>152</v>
      </c>
      <c r="E269" s="216" t="s">
        <v>15</v>
      </c>
      <c r="F269" s="216" t="s">
        <v>22</v>
      </c>
      <c r="G269" s="217">
        <v>10.73</v>
      </c>
      <c r="H269" s="221">
        <v>12</v>
      </c>
      <c r="I269" s="219">
        <v>1</v>
      </c>
      <c r="J269" s="220">
        <f t="shared" si="152"/>
        <v>0.12875999999999999</v>
      </c>
      <c r="K269" s="118"/>
      <c r="L269" s="111">
        <v>1</v>
      </c>
      <c r="M269" s="117">
        <f t="shared" si="153"/>
        <v>0.12875999999999999</v>
      </c>
      <c r="N269" s="119">
        <f t="shared" si="154"/>
        <v>0</v>
      </c>
      <c r="O269" s="120">
        <f t="shared" si="155"/>
        <v>0</v>
      </c>
      <c r="P269" s="111"/>
      <c r="Q269" s="111"/>
      <c r="R269" s="111"/>
      <c r="S269" s="111"/>
    </row>
    <row r="270" spans="1:20" ht="15.6">
      <c r="A270" s="110" t="s">
        <v>311</v>
      </c>
      <c r="B270" s="111" t="s">
        <v>232</v>
      </c>
      <c r="C270" s="112" t="s">
        <v>228</v>
      </c>
      <c r="D270" s="113" t="s">
        <v>152</v>
      </c>
      <c r="E270" s="216" t="s">
        <v>15</v>
      </c>
      <c r="F270" s="216" t="s">
        <v>22</v>
      </c>
      <c r="G270" s="217">
        <v>10.73</v>
      </c>
      <c r="H270" s="221">
        <v>11.4</v>
      </c>
      <c r="I270" s="219">
        <v>1</v>
      </c>
      <c r="J270" s="220">
        <f t="shared" si="152"/>
        <v>0.122322</v>
      </c>
      <c r="K270" s="118"/>
      <c r="L270" s="111">
        <v>1</v>
      </c>
      <c r="M270" s="117">
        <f t="shared" si="153"/>
        <v>0.122322</v>
      </c>
      <c r="N270" s="119">
        <f t="shared" si="154"/>
        <v>0</v>
      </c>
      <c r="O270" s="120">
        <f t="shared" si="155"/>
        <v>0</v>
      </c>
      <c r="P270" s="111"/>
      <c r="Q270" s="111"/>
      <c r="R270" s="111">
        <v>10.4</v>
      </c>
      <c r="S270" s="111">
        <v>1</v>
      </c>
    </row>
    <row r="271" spans="1:20" ht="15.6">
      <c r="A271" s="110" t="s">
        <v>311</v>
      </c>
      <c r="B271" s="111" t="s">
        <v>232</v>
      </c>
      <c r="C271" s="112" t="s">
        <v>228</v>
      </c>
      <c r="D271" s="113" t="s">
        <v>152</v>
      </c>
      <c r="E271" s="216" t="s">
        <v>15</v>
      </c>
      <c r="F271" s="216" t="s">
        <v>22</v>
      </c>
      <c r="G271" s="217">
        <v>10.73</v>
      </c>
      <c r="H271" s="221">
        <v>10.4</v>
      </c>
      <c r="I271" s="219">
        <v>2</v>
      </c>
      <c r="J271" s="220">
        <f t="shared" si="152"/>
        <v>0.22318400000000002</v>
      </c>
      <c r="K271" s="118"/>
      <c r="L271" s="111">
        <v>2</v>
      </c>
      <c r="M271" s="117">
        <f t="shared" si="153"/>
        <v>0.22318400000000002</v>
      </c>
      <c r="N271" s="119">
        <f t="shared" si="154"/>
        <v>0</v>
      </c>
      <c r="O271" s="120">
        <f t="shared" si="155"/>
        <v>0</v>
      </c>
      <c r="P271" s="111"/>
      <c r="Q271" s="111"/>
      <c r="R271" s="111">
        <v>10.4</v>
      </c>
      <c r="S271" s="111">
        <v>2</v>
      </c>
    </row>
    <row r="272" spans="1:20" ht="15.6">
      <c r="A272" s="110" t="s">
        <v>311</v>
      </c>
      <c r="B272" s="111" t="s">
        <v>232</v>
      </c>
      <c r="C272" s="112" t="s">
        <v>228</v>
      </c>
      <c r="D272" s="113" t="s">
        <v>152</v>
      </c>
      <c r="E272" s="216" t="s">
        <v>15</v>
      </c>
      <c r="F272" s="216" t="s">
        <v>22</v>
      </c>
      <c r="G272" s="217">
        <v>10.73</v>
      </c>
      <c r="H272" s="221">
        <v>9.5</v>
      </c>
      <c r="I272" s="219">
        <v>1</v>
      </c>
      <c r="J272" s="220">
        <f t="shared" si="152"/>
        <v>0.101935</v>
      </c>
      <c r="K272" s="118"/>
      <c r="L272" s="111">
        <v>1</v>
      </c>
      <c r="M272" s="117">
        <f t="shared" si="153"/>
        <v>0.101935</v>
      </c>
      <c r="N272" s="119">
        <f t="shared" si="154"/>
        <v>0</v>
      </c>
      <c r="O272" s="120">
        <f t="shared" si="155"/>
        <v>0</v>
      </c>
      <c r="P272" s="159">
        <v>7.8</v>
      </c>
      <c r="Q272" s="45">
        <v>1</v>
      </c>
      <c r="R272" s="111" t="s">
        <v>756</v>
      </c>
      <c r="S272" s="111"/>
    </row>
    <row r="273" spans="1:19" ht="15.6">
      <c r="A273" s="110" t="s">
        <v>311</v>
      </c>
      <c r="B273" s="111" t="s">
        <v>232</v>
      </c>
      <c r="C273" s="112" t="s">
        <v>228</v>
      </c>
      <c r="D273" s="113" t="s">
        <v>152</v>
      </c>
      <c r="E273" s="216" t="s">
        <v>15</v>
      </c>
      <c r="F273" s="216" t="s">
        <v>22</v>
      </c>
      <c r="G273" s="217">
        <v>10.73</v>
      </c>
      <c r="H273" s="221">
        <v>9.4</v>
      </c>
      <c r="I273" s="219">
        <v>3</v>
      </c>
      <c r="J273" s="220">
        <f t="shared" si="152"/>
        <v>0.30258600000000002</v>
      </c>
      <c r="K273" s="118"/>
      <c r="L273" s="111">
        <v>3</v>
      </c>
      <c r="M273" s="117">
        <f t="shared" si="153"/>
        <v>0.30258600000000008</v>
      </c>
      <c r="N273" s="119">
        <f t="shared" si="154"/>
        <v>0</v>
      </c>
      <c r="O273" s="120">
        <f t="shared" si="155"/>
        <v>0</v>
      </c>
      <c r="P273" s="111"/>
      <c r="Q273" s="111"/>
      <c r="R273" s="111"/>
      <c r="S273" s="111"/>
    </row>
    <row r="274" spans="1:19" ht="15.6">
      <c r="A274" s="110" t="s">
        <v>311</v>
      </c>
      <c r="B274" s="111" t="s">
        <v>232</v>
      </c>
      <c r="C274" s="112" t="s">
        <v>228</v>
      </c>
      <c r="D274" s="113" t="s">
        <v>152</v>
      </c>
      <c r="E274" s="216" t="s">
        <v>15</v>
      </c>
      <c r="F274" s="216" t="s">
        <v>22</v>
      </c>
      <c r="G274" s="217">
        <v>10.73</v>
      </c>
      <c r="H274" s="221">
        <v>9</v>
      </c>
      <c r="I274" s="219">
        <v>1</v>
      </c>
      <c r="J274" s="220">
        <f t="shared" si="152"/>
        <v>9.6570000000000003E-2</v>
      </c>
      <c r="K274" s="118"/>
      <c r="L274" s="111">
        <v>1</v>
      </c>
      <c r="M274" s="117">
        <f t="shared" si="153"/>
        <v>9.6570000000000003E-2</v>
      </c>
      <c r="N274" s="119">
        <f t="shared" si="154"/>
        <v>0</v>
      </c>
      <c r="O274" s="120">
        <f t="shared" si="155"/>
        <v>0</v>
      </c>
      <c r="P274" s="159">
        <v>7.8</v>
      </c>
      <c r="Q274" s="45">
        <v>1</v>
      </c>
      <c r="R274" s="111" t="s">
        <v>756</v>
      </c>
      <c r="S274" s="111"/>
    </row>
    <row r="275" spans="1:19" ht="15.6">
      <c r="A275" s="110" t="s">
        <v>311</v>
      </c>
      <c r="B275" s="111" t="s">
        <v>232</v>
      </c>
      <c r="C275" s="112" t="s">
        <v>228</v>
      </c>
      <c r="D275" s="113" t="s">
        <v>152</v>
      </c>
      <c r="E275" s="216" t="s">
        <v>15</v>
      </c>
      <c r="F275" s="216" t="s">
        <v>22</v>
      </c>
      <c r="G275" s="217">
        <v>10.73</v>
      </c>
      <c r="H275" s="221">
        <v>9.4</v>
      </c>
      <c r="I275" s="219">
        <v>1</v>
      </c>
      <c r="J275" s="220">
        <f t="shared" si="152"/>
        <v>0.10086200000000001</v>
      </c>
      <c r="K275" s="118"/>
      <c r="L275" s="111">
        <v>1</v>
      </c>
      <c r="M275" s="117">
        <f t="shared" si="153"/>
        <v>0.10086200000000001</v>
      </c>
      <c r="N275" s="119">
        <f t="shared" si="154"/>
        <v>0</v>
      </c>
      <c r="O275" s="120">
        <f t="shared" si="155"/>
        <v>0</v>
      </c>
      <c r="P275" s="111"/>
      <c r="Q275" s="111"/>
      <c r="R275" s="111"/>
      <c r="S275" s="111"/>
    </row>
    <row r="276" spans="1:19" ht="15.6">
      <c r="A276" s="110" t="s">
        <v>311</v>
      </c>
      <c r="B276" s="111" t="s">
        <v>232</v>
      </c>
      <c r="C276" s="112" t="s">
        <v>228</v>
      </c>
      <c r="D276" s="113" t="s">
        <v>152</v>
      </c>
      <c r="E276" s="216" t="s">
        <v>15</v>
      </c>
      <c r="F276" s="216" t="s">
        <v>22</v>
      </c>
      <c r="G276" s="217">
        <v>10.73</v>
      </c>
      <c r="H276" s="221">
        <v>11.6</v>
      </c>
      <c r="I276" s="219">
        <v>3</v>
      </c>
      <c r="J276" s="220">
        <f t="shared" si="152"/>
        <v>0.37340400000000001</v>
      </c>
      <c r="K276" s="118"/>
      <c r="L276" s="111">
        <v>3</v>
      </c>
      <c r="M276" s="117">
        <f t="shared" si="153"/>
        <v>0.37340400000000001</v>
      </c>
      <c r="N276" s="119">
        <f t="shared" si="154"/>
        <v>0</v>
      </c>
      <c r="O276" s="120">
        <f t="shared" si="155"/>
        <v>0</v>
      </c>
      <c r="P276" s="111"/>
      <c r="Q276" s="111"/>
      <c r="R276" s="111"/>
      <c r="S276" s="111"/>
    </row>
    <row r="277" spans="1:19" ht="15.6">
      <c r="A277" s="110" t="s">
        <v>311</v>
      </c>
      <c r="B277" s="111" t="s">
        <v>232</v>
      </c>
      <c r="C277" s="112" t="s">
        <v>228</v>
      </c>
      <c r="D277" s="113" t="s">
        <v>152</v>
      </c>
      <c r="E277" s="216" t="s">
        <v>15</v>
      </c>
      <c r="F277" s="216" t="s">
        <v>22</v>
      </c>
      <c r="G277" s="217">
        <v>10.73</v>
      </c>
      <c r="H277" s="221">
        <v>12</v>
      </c>
      <c r="I277" s="219">
        <v>2</v>
      </c>
      <c r="J277" s="220">
        <f t="shared" si="152"/>
        <v>0.25751999999999997</v>
      </c>
      <c r="K277" s="118"/>
      <c r="L277" s="111">
        <v>2</v>
      </c>
      <c r="M277" s="117">
        <f t="shared" si="153"/>
        <v>0.25751999999999997</v>
      </c>
      <c r="N277" s="119">
        <f t="shared" si="154"/>
        <v>0</v>
      </c>
      <c r="O277" s="120">
        <f t="shared" si="155"/>
        <v>0</v>
      </c>
      <c r="P277" s="111"/>
      <c r="Q277" s="111"/>
      <c r="R277" s="111"/>
      <c r="S277" s="111"/>
    </row>
    <row r="278" spans="1:19" ht="15.6">
      <c r="A278" s="110" t="s">
        <v>311</v>
      </c>
      <c r="B278" s="111" t="s">
        <v>232</v>
      </c>
      <c r="C278" s="112" t="s">
        <v>228</v>
      </c>
      <c r="D278" s="113" t="s">
        <v>152</v>
      </c>
      <c r="E278" s="216" t="s">
        <v>15</v>
      </c>
      <c r="F278" s="216" t="s">
        <v>22</v>
      </c>
      <c r="G278" s="217">
        <v>10.73</v>
      </c>
      <c r="H278" s="221">
        <v>12</v>
      </c>
      <c r="I278" s="219">
        <v>1</v>
      </c>
      <c r="J278" s="220">
        <f t="shared" si="152"/>
        <v>0.12875999999999999</v>
      </c>
      <c r="K278" s="118"/>
      <c r="L278" s="111">
        <v>1</v>
      </c>
      <c r="M278" s="117">
        <f t="shared" si="153"/>
        <v>0.12875999999999999</v>
      </c>
      <c r="N278" s="119">
        <f t="shared" si="154"/>
        <v>0</v>
      </c>
      <c r="O278" s="120">
        <f t="shared" si="155"/>
        <v>0</v>
      </c>
      <c r="P278" s="111"/>
      <c r="Q278" s="111"/>
      <c r="R278" s="111"/>
      <c r="S278" s="111"/>
    </row>
    <row r="279" spans="1:19" ht="15.6">
      <c r="A279" s="110" t="s">
        <v>311</v>
      </c>
      <c r="B279" s="111" t="s">
        <v>232</v>
      </c>
      <c r="C279" s="112" t="s">
        <v>228</v>
      </c>
      <c r="D279" s="113" t="s">
        <v>152</v>
      </c>
      <c r="E279" s="216" t="s">
        <v>15</v>
      </c>
      <c r="F279" s="216" t="s">
        <v>22</v>
      </c>
      <c r="G279" s="217">
        <v>10.73</v>
      </c>
      <c r="H279" s="221">
        <v>11.9</v>
      </c>
      <c r="I279" s="219">
        <v>1</v>
      </c>
      <c r="J279" s="220">
        <f t="shared" si="152"/>
        <v>0.12768700000000002</v>
      </c>
      <c r="K279" s="118"/>
      <c r="L279" s="111">
        <v>1</v>
      </c>
      <c r="M279" s="117">
        <f t="shared" si="153"/>
        <v>0.12768700000000002</v>
      </c>
      <c r="N279" s="119">
        <f t="shared" si="154"/>
        <v>0</v>
      </c>
      <c r="O279" s="120">
        <f t="shared" si="155"/>
        <v>0</v>
      </c>
      <c r="P279" s="111">
        <v>11.6</v>
      </c>
      <c r="Q279" s="111">
        <v>1</v>
      </c>
      <c r="R279" s="111"/>
      <c r="S279" s="111"/>
    </row>
    <row r="280" spans="1:19" ht="15.6">
      <c r="A280" s="110" t="s">
        <v>311</v>
      </c>
      <c r="B280" s="111" t="s">
        <v>232</v>
      </c>
      <c r="C280" s="112" t="s">
        <v>228</v>
      </c>
      <c r="D280" s="113" t="s">
        <v>152</v>
      </c>
      <c r="E280" s="216" t="s">
        <v>15</v>
      </c>
      <c r="F280" s="216" t="s">
        <v>22</v>
      </c>
      <c r="G280" s="217">
        <v>10.73</v>
      </c>
      <c r="H280" s="221">
        <v>11.5</v>
      </c>
      <c r="I280" s="219">
        <v>1</v>
      </c>
      <c r="J280" s="220">
        <f t="shared" si="152"/>
        <v>0.123395</v>
      </c>
      <c r="K280" s="118"/>
      <c r="L280" s="111">
        <v>1</v>
      </c>
      <c r="M280" s="117">
        <f t="shared" si="153"/>
        <v>0.123395</v>
      </c>
      <c r="N280" s="119">
        <f t="shared" si="154"/>
        <v>0</v>
      </c>
      <c r="O280" s="120">
        <f t="shared" si="155"/>
        <v>0</v>
      </c>
      <c r="P280" s="111"/>
      <c r="Q280" s="111"/>
      <c r="R280" s="111">
        <v>10.4</v>
      </c>
      <c r="S280" s="111">
        <v>1</v>
      </c>
    </row>
    <row r="281" spans="1:19" ht="15.6">
      <c r="A281" s="110" t="s">
        <v>311</v>
      </c>
      <c r="B281" s="111" t="s">
        <v>232</v>
      </c>
      <c r="C281" s="112" t="s">
        <v>228</v>
      </c>
      <c r="D281" s="113" t="s">
        <v>152</v>
      </c>
      <c r="E281" s="216" t="s">
        <v>15</v>
      </c>
      <c r="F281" s="216" t="s">
        <v>22</v>
      </c>
      <c r="G281" s="217">
        <v>10.73</v>
      </c>
      <c r="H281" s="221">
        <v>10.5</v>
      </c>
      <c r="I281" s="219">
        <v>1</v>
      </c>
      <c r="J281" s="220">
        <f t="shared" si="152"/>
        <v>0.112665</v>
      </c>
      <c r="K281" s="118"/>
      <c r="L281" s="111">
        <v>1</v>
      </c>
      <c r="M281" s="117">
        <f t="shared" si="153"/>
        <v>0.112665</v>
      </c>
      <c r="N281" s="119">
        <f t="shared" si="154"/>
        <v>0</v>
      </c>
      <c r="O281" s="120">
        <f t="shared" si="155"/>
        <v>0</v>
      </c>
      <c r="P281" s="111"/>
      <c r="Q281" s="111"/>
      <c r="R281" s="111">
        <v>10.4</v>
      </c>
      <c r="S281" s="111">
        <v>1</v>
      </c>
    </row>
    <row r="282" spans="1:19" ht="15.6">
      <c r="A282" s="110" t="s">
        <v>311</v>
      </c>
      <c r="B282" s="111" t="s">
        <v>232</v>
      </c>
      <c r="C282" s="112" t="s">
        <v>228</v>
      </c>
      <c r="D282" s="113" t="s">
        <v>152</v>
      </c>
      <c r="E282" s="216" t="s">
        <v>15</v>
      </c>
      <c r="F282" s="216" t="s">
        <v>22</v>
      </c>
      <c r="G282" s="217">
        <v>10.73</v>
      </c>
      <c r="H282" s="221">
        <v>7.8</v>
      </c>
      <c r="I282" s="219">
        <v>2</v>
      </c>
      <c r="J282" s="220">
        <f t="shared" si="152"/>
        <v>0.16738800000000001</v>
      </c>
      <c r="K282" s="118"/>
      <c r="L282" s="111">
        <v>2</v>
      </c>
      <c r="M282" s="117">
        <f t="shared" si="153"/>
        <v>0.16738800000000001</v>
      </c>
      <c r="N282" s="119">
        <f t="shared" si="154"/>
        <v>0</v>
      </c>
      <c r="O282" s="120">
        <f t="shared" si="155"/>
        <v>0</v>
      </c>
      <c r="P282" s="111"/>
      <c r="Q282" s="111"/>
      <c r="R282" s="111"/>
      <c r="S282" s="111"/>
    </row>
    <row r="283" spans="1:19" ht="15.6">
      <c r="A283" s="110" t="s">
        <v>311</v>
      </c>
      <c r="B283" s="111" t="s">
        <v>232</v>
      </c>
      <c r="C283" s="112" t="s">
        <v>228</v>
      </c>
      <c r="D283" s="113" t="s">
        <v>152</v>
      </c>
      <c r="E283" s="216" t="s">
        <v>15</v>
      </c>
      <c r="F283" s="216" t="s">
        <v>22</v>
      </c>
      <c r="G283" s="217">
        <v>10.73</v>
      </c>
      <c r="H283" s="221">
        <v>9</v>
      </c>
      <c r="I283" s="219">
        <v>1</v>
      </c>
      <c r="J283" s="220">
        <f t="shared" si="152"/>
        <v>9.6570000000000003E-2</v>
      </c>
      <c r="K283" s="118"/>
      <c r="L283" s="111">
        <v>1</v>
      </c>
      <c r="M283" s="117">
        <f t="shared" si="153"/>
        <v>9.6570000000000003E-2</v>
      </c>
      <c r="N283" s="119">
        <f t="shared" si="154"/>
        <v>0</v>
      </c>
      <c r="O283" s="120">
        <f t="shared" si="155"/>
        <v>0</v>
      </c>
      <c r="P283" s="159">
        <v>7.8</v>
      </c>
      <c r="Q283" s="45">
        <v>1</v>
      </c>
      <c r="R283" s="111" t="s">
        <v>756</v>
      </c>
      <c r="S283" s="111"/>
    </row>
    <row r="284" spans="1:19" ht="15.6">
      <c r="A284" s="110" t="s">
        <v>311</v>
      </c>
      <c r="B284" s="111" t="s">
        <v>232</v>
      </c>
      <c r="C284" s="112" t="s">
        <v>228</v>
      </c>
      <c r="D284" s="113" t="s">
        <v>152</v>
      </c>
      <c r="E284" s="216" t="s">
        <v>15</v>
      </c>
      <c r="F284" s="216" t="s">
        <v>22</v>
      </c>
      <c r="G284" s="217">
        <v>10.73</v>
      </c>
      <c r="H284" s="221">
        <v>10.4</v>
      </c>
      <c r="I284" s="219">
        <v>1</v>
      </c>
      <c r="J284" s="220">
        <f t="shared" si="152"/>
        <v>0.11159200000000001</v>
      </c>
      <c r="K284" s="118"/>
      <c r="L284" s="111">
        <v>1</v>
      </c>
      <c r="M284" s="117">
        <f t="shared" si="153"/>
        <v>0.11159200000000001</v>
      </c>
      <c r="N284" s="119">
        <f t="shared" si="154"/>
        <v>0</v>
      </c>
      <c r="O284" s="120">
        <f t="shared" si="155"/>
        <v>0</v>
      </c>
      <c r="P284" s="111"/>
      <c r="Q284" s="111"/>
      <c r="R284" s="111">
        <v>10.4</v>
      </c>
      <c r="S284" s="111">
        <v>1</v>
      </c>
    </row>
    <row r="285" spans="1:19" ht="15.6">
      <c r="A285" s="110" t="s">
        <v>311</v>
      </c>
      <c r="B285" s="111" t="s">
        <v>232</v>
      </c>
      <c r="C285" s="112" t="s">
        <v>228</v>
      </c>
      <c r="D285" s="113" t="s">
        <v>152</v>
      </c>
      <c r="E285" s="216" t="s">
        <v>15</v>
      </c>
      <c r="F285" s="216" t="s">
        <v>22</v>
      </c>
      <c r="G285" s="217">
        <v>10.73</v>
      </c>
      <c r="H285" s="221">
        <v>11</v>
      </c>
      <c r="I285" s="219">
        <v>1</v>
      </c>
      <c r="J285" s="220">
        <f t="shared" si="152"/>
        <v>0.11803</v>
      </c>
      <c r="K285" s="118"/>
      <c r="L285" s="111">
        <v>1</v>
      </c>
      <c r="M285" s="117">
        <f t="shared" si="153"/>
        <v>0.11803</v>
      </c>
      <c r="N285" s="119">
        <f t="shared" si="154"/>
        <v>0</v>
      </c>
      <c r="O285" s="120">
        <f t="shared" si="155"/>
        <v>0</v>
      </c>
      <c r="P285" s="111"/>
      <c r="Q285" s="111"/>
      <c r="R285" s="111">
        <v>10.4</v>
      </c>
      <c r="S285" s="111">
        <v>1</v>
      </c>
    </row>
    <row r="286" spans="1:19" ht="15.6">
      <c r="A286" s="110" t="s">
        <v>311</v>
      </c>
      <c r="B286" s="111" t="s">
        <v>232</v>
      </c>
      <c r="C286" s="112" t="s">
        <v>228</v>
      </c>
      <c r="D286" s="113" t="s">
        <v>152</v>
      </c>
      <c r="E286" s="216" t="s">
        <v>15</v>
      </c>
      <c r="F286" s="216" t="s">
        <v>22</v>
      </c>
      <c r="G286" s="217">
        <v>10.73</v>
      </c>
      <c r="H286" s="221">
        <v>11.6</v>
      </c>
      <c r="I286" s="219">
        <v>5</v>
      </c>
      <c r="J286" s="220">
        <f t="shared" si="152"/>
        <v>0.62234</v>
      </c>
      <c r="K286" s="118"/>
      <c r="L286" s="111">
        <v>5</v>
      </c>
      <c r="M286" s="117">
        <f t="shared" si="153"/>
        <v>0.62234</v>
      </c>
      <c r="N286" s="119">
        <f t="shared" si="154"/>
        <v>0</v>
      </c>
      <c r="O286" s="120">
        <f t="shared" si="155"/>
        <v>0</v>
      </c>
      <c r="P286" s="111"/>
      <c r="Q286" s="111"/>
      <c r="R286" s="111"/>
      <c r="S286" s="111"/>
    </row>
    <row r="287" spans="1:19" ht="15.6">
      <c r="A287" s="110" t="s">
        <v>311</v>
      </c>
      <c r="B287" s="111" t="s">
        <v>232</v>
      </c>
      <c r="C287" s="112" t="s">
        <v>228</v>
      </c>
      <c r="D287" s="113" t="s">
        <v>152</v>
      </c>
      <c r="E287" s="216" t="s">
        <v>15</v>
      </c>
      <c r="F287" s="216" t="s">
        <v>22</v>
      </c>
      <c r="G287" s="217">
        <v>10.73</v>
      </c>
      <c r="H287" s="221">
        <v>6.8</v>
      </c>
      <c r="I287" s="219">
        <v>1</v>
      </c>
      <c r="J287" s="220">
        <f t="shared" si="152"/>
        <v>7.2964000000000001E-2</v>
      </c>
      <c r="K287" s="118"/>
      <c r="L287" s="111">
        <v>1</v>
      </c>
      <c r="M287" s="117">
        <f t="shared" si="153"/>
        <v>7.2964000000000001E-2</v>
      </c>
      <c r="N287" s="119">
        <f t="shared" si="154"/>
        <v>0</v>
      </c>
      <c r="O287" s="120">
        <f t="shared" si="155"/>
        <v>0</v>
      </c>
      <c r="P287" s="111">
        <v>6</v>
      </c>
      <c r="Q287" s="45">
        <v>1</v>
      </c>
      <c r="R287" s="111" t="s">
        <v>735</v>
      </c>
      <c r="S287" s="111"/>
    </row>
    <row r="288" spans="1:19" ht="15.6">
      <c r="A288" s="110" t="s">
        <v>311</v>
      </c>
      <c r="B288" s="111" t="s">
        <v>232</v>
      </c>
      <c r="C288" s="112" t="s">
        <v>228</v>
      </c>
      <c r="D288" s="113" t="s">
        <v>152</v>
      </c>
      <c r="E288" s="216" t="s">
        <v>15</v>
      </c>
      <c r="F288" s="216" t="s">
        <v>22</v>
      </c>
      <c r="G288" s="217">
        <v>10.73</v>
      </c>
      <c r="H288" s="221">
        <v>6.9</v>
      </c>
      <c r="I288" s="219">
        <v>1</v>
      </c>
      <c r="J288" s="220">
        <f t="shared" si="152"/>
        <v>7.4037000000000006E-2</v>
      </c>
      <c r="K288" s="118"/>
      <c r="L288" s="111">
        <v>1</v>
      </c>
      <c r="M288" s="117">
        <f t="shared" si="153"/>
        <v>7.4037000000000006E-2</v>
      </c>
      <c r="N288" s="119">
        <f t="shared" si="154"/>
        <v>0</v>
      </c>
      <c r="O288" s="120">
        <f t="shared" si="155"/>
        <v>0</v>
      </c>
      <c r="P288" s="111">
        <v>6.1</v>
      </c>
      <c r="Q288" s="45">
        <v>1</v>
      </c>
      <c r="R288" s="111" t="s">
        <v>607</v>
      </c>
      <c r="S288" s="111"/>
    </row>
    <row r="289" spans="1:19" ht="15.6">
      <c r="A289" s="110" t="s">
        <v>311</v>
      </c>
      <c r="B289" s="111" t="s">
        <v>232</v>
      </c>
      <c r="C289" s="112" t="s">
        <v>228</v>
      </c>
      <c r="D289" s="113" t="s">
        <v>152</v>
      </c>
      <c r="E289" s="216" t="s">
        <v>15</v>
      </c>
      <c r="F289" s="216" t="s">
        <v>22</v>
      </c>
      <c r="G289" s="217">
        <v>10.73</v>
      </c>
      <c r="H289" s="221">
        <v>11</v>
      </c>
      <c r="I289" s="219">
        <v>3</v>
      </c>
      <c r="J289" s="220">
        <f t="shared" si="152"/>
        <v>0.35409000000000002</v>
      </c>
      <c r="K289" s="118"/>
      <c r="L289" s="111">
        <v>3</v>
      </c>
      <c r="M289" s="117">
        <f t="shared" si="153"/>
        <v>0.35409000000000002</v>
      </c>
      <c r="N289" s="119">
        <f t="shared" si="154"/>
        <v>0</v>
      </c>
      <c r="O289" s="120">
        <f t="shared" si="155"/>
        <v>0</v>
      </c>
      <c r="P289" s="111"/>
      <c r="Q289" s="111"/>
      <c r="R289" s="111">
        <v>10.4</v>
      </c>
      <c r="S289" s="111">
        <v>3</v>
      </c>
    </row>
    <row r="290" spans="1:19" ht="15.6">
      <c r="A290" s="110" t="s">
        <v>311</v>
      </c>
      <c r="B290" s="111" t="s">
        <v>232</v>
      </c>
      <c r="C290" s="112" t="s">
        <v>228</v>
      </c>
      <c r="D290" s="113" t="s">
        <v>152</v>
      </c>
      <c r="E290" s="216" t="s">
        <v>15</v>
      </c>
      <c r="F290" s="216" t="s">
        <v>22</v>
      </c>
      <c r="G290" s="217">
        <v>10.73</v>
      </c>
      <c r="H290" s="221">
        <v>11.3</v>
      </c>
      <c r="I290" s="219">
        <v>1</v>
      </c>
      <c r="J290" s="220">
        <f t="shared" si="152"/>
        <v>0.12124900000000001</v>
      </c>
      <c r="K290" s="118"/>
      <c r="L290" s="111">
        <v>1</v>
      </c>
      <c r="M290" s="117">
        <f t="shared" si="153"/>
        <v>0.12124900000000001</v>
      </c>
      <c r="N290" s="119">
        <f t="shared" si="154"/>
        <v>0</v>
      </c>
      <c r="O290" s="120">
        <f t="shared" si="155"/>
        <v>0</v>
      </c>
      <c r="P290" s="111"/>
      <c r="Q290" s="111"/>
      <c r="R290" s="111">
        <v>10.4</v>
      </c>
      <c r="S290" s="111">
        <v>1</v>
      </c>
    </row>
    <row r="291" spans="1:19" ht="15.6">
      <c r="A291" s="110" t="s">
        <v>311</v>
      </c>
      <c r="B291" s="111" t="s">
        <v>232</v>
      </c>
      <c r="C291" s="112" t="s">
        <v>228</v>
      </c>
      <c r="D291" s="113" t="s">
        <v>152</v>
      </c>
      <c r="E291" s="216" t="s">
        <v>15</v>
      </c>
      <c r="F291" s="216" t="s">
        <v>22</v>
      </c>
      <c r="G291" s="217">
        <v>10.73</v>
      </c>
      <c r="H291" s="221">
        <v>7.2</v>
      </c>
      <c r="I291" s="219">
        <v>1</v>
      </c>
      <c r="J291" s="220">
        <f t="shared" si="152"/>
        <v>7.7256000000000005E-2</v>
      </c>
      <c r="K291" s="118"/>
      <c r="L291" s="111">
        <v>1</v>
      </c>
      <c r="M291" s="117">
        <f t="shared" si="153"/>
        <v>7.7256000000000005E-2</v>
      </c>
      <c r="N291" s="119">
        <f t="shared" si="154"/>
        <v>0</v>
      </c>
      <c r="O291" s="120">
        <f t="shared" si="155"/>
        <v>0</v>
      </c>
      <c r="P291" s="111"/>
      <c r="Q291" s="45">
        <v>1</v>
      </c>
      <c r="R291" s="111" t="s">
        <v>757</v>
      </c>
      <c r="S291" s="111"/>
    </row>
    <row r="292" spans="1:19" ht="15.6">
      <c r="A292" s="110" t="s">
        <v>311</v>
      </c>
      <c r="B292" s="111" t="s">
        <v>232</v>
      </c>
      <c r="C292" s="112" t="s">
        <v>228</v>
      </c>
      <c r="D292" s="113" t="s">
        <v>152</v>
      </c>
      <c r="E292" s="216" t="s">
        <v>15</v>
      </c>
      <c r="F292" s="216" t="s">
        <v>22</v>
      </c>
      <c r="G292" s="217">
        <v>10.73</v>
      </c>
      <c r="H292" s="221">
        <v>7.4</v>
      </c>
      <c r="I292" s="219">
        <v>1</v>
      </c>
      <c r="J292" s="220">
        <f t="shared" si="152"/>
        <v>7.9402E-2</v>
      </c>
      <c r="K292" s="118"/>
      <c r="L292" s="111">
        <v>1</v>
      </c>
      <c r="M292" s="117">
        <f t="shared" si="153"/>
        <v>7.9402E-2</v>
      </c>
      <c r="N292" s="119">
        <f t="shared" si="154"/>
        <v>0</v>
      </c>
      <c r="O292" s="120">
        <f t="shared" si="155"/>
        <v>0</v>
      </c>
      <c r="P292" s="111"/>
      <c r="Q292" s="45">
        <v>1</v>
      </c>
      <c r="R292" s="111" t="s">
        <v>757</v>
      </c>
      <c r="S292" s="111"/>
    </row>
    <row r="293" spans="1:19" ht="15.6">
      <c r="A293" s="110" t="s">
        <v>311</v>
      </c>
      <c r="B293" s="111" t="s">
        <v>232</v>
      </c>
      <c r="C293" s="112" t="s">
        <v>228</v>
      </c>
      <c r="D293" s="113" t="s">
        <v>152</v>
      </c>
      <c r="E293" s="216" t="s">
        <v>15</v>
      </c>
      <c r="F293" s="216" t="s">
        <v>22</v>
      </c>
      <c r="G293" s="217">
        <v>10.73</v>
      </c>
      <c r="H293" s="221">
        <v>7.5</v>
      </c>
      <c r="I293" s="219">
        <v>4</v>
      </c>
      <c r="J293" s="220">
        <f t="shared" si="152"/>
        <v>0.32190000000000002</v>
      </c>
      <c r="K293" s="118"/>
      <c r="L293" s="111">
        <v>4</v>
      </c>
      <c r="M293" s="117">
        <f t="shared" si="153"/>
        <v>0.32190000000000002</v>
      </c>
      <c r="N293" s="119">
        <f t="shared" si="154"/>
        <v>0</v>
      </c>
      <c r="O293" s="120">
        <f t="shared" si="155"/>
        <v>0</v>
      </c>
      <c r="P293" s="111"/>
      <c r="Q293" s="45">
        <v>4</v>
      </c>
      <c r="R293" s="111" t="s">
        <v>734</v>
      </c>
      <c r="S293" s="111"/>
    </row>
    <row r="294" spans="1:19" ht="15.6">
      <c r="A294" s="110" t="s">
        <v>311</v>
      </c>
      <c r="B294" s="111" t="s">
        <v>232</v>
      </c>
      <c r="C294" s="112" t="s">
        <v>228</v>
      </c>
      <c r="D294" s="113" t="s">
        <v>152</v>
      </c>
      <c r="E294" s="216" t="s">
        <v>15</v>
      </c>
      <c r="F294" s="216" t="s">
        <v>22</v>
      </c>
      <c r="G294" s="217">
        <v>10.73</v>
      </c>
      <c r="H294" s="221">
        <v>7.6</v>
      </c>
      <c r="I294" s="219">
        <v>14</v>
      </c>
      <c r="J294" s="220">
        <f t="shared" si="152"/>
        <v>1.141672</v>
      </c>
      <c r="K294" s="118"/>
      <c r="L294" s="111">
        <v>14</v>
      </c>
      <c r="M294" s="117">
        <f t="shared" si="153"/>
        <v>1.141672</v>
      </c>
      <c r="N294" s="119">
        <f t="shared" si="154"/>
        <v>0</v>
      </c>
      <c r="O294" s="120">
        <f t="shared" si="155"/>
        <v>0</v>
      </c>
      <c r="P294" s="111"/>
      <c r="Q294" s="45">
        <v>14</v>
      </c>
      <c r="R294" s="111" t="s">
        <v>734</v>
      </c>
      <c r="S294" s="111"/>
    </row>
    <row r="295" spans="1:19" ht="15.6">
      <c r="A295" s="110" t="s">
        <v>311</v>
      </c>
      <c r="B295" s="111" t="s">
        <v>232</v>
      </c>
      <c r="C295" s="112" t="s">
        <v>228</v>
      </c>
      <c r="D295" s="113" t="s">
        <v>152</v>
      </c>
      <c r="E295" s="216" t="s">
        <v>15</v>
      </c>
      <c r="F295" s="216" t="s">
        <v>22</v>
      </c>
      <c r="G295" s="217">
        <v>10.73</v>
      </c>
      <c r="H295" s="221">
        <v>9</v>
      </c>
      <c r="I295" s="219">
        <v>3</v>
      </c>
      <c r="J295" s="220">
        <f t="shared" si="152"/>
        <v>0.28971000000000002</v>
      </c>
      <c r="K295" s="118"/>
      <c r="L295" s="111">
        <v>3</v>
      </c>
      <c r="M295" s="117">
        <f t="shared" si="153"/>
        <v>0.28971000000000002</v>
      </c>
      <c r="N295" s="119">
        <f t="shared" si="154"/>
        <v>0</v>
      </c>
      <c r="O295" s="120">
        <f t="shared" si="155"/>
        <v>0</v>
      </c>
      <c r="P295" s="111">
        <v>7.8</v>
      </c>
      <c r="Q295" s="45">
        <v>3</v>
      </c>
      <c r="R295" s="111" t="s">
        <v>756</v>
      </c>
      <c r="S295" s="111"/>
    </row>
    <row r="296" spans="1:19" ht="15.6">
      <c r="A296" s="110" t="s">
        <v>311</v>
      </c>
      <c r="B296" s="111" t="s">
        <v>232</v>
      </c>
      <c r="C296" s="112" t="s">
        <v>228</v>
      </c>
      <c r="D296" s="113" t="s">
        <v>152</v>
      </c>
      <c r="E296" s="216" t="s">
        <v>15</v>
      </c>
      <c r="F296" s="216" t="s">
        <v>22</v>
      </c>
      <c r="G296" s="217">
        <v>10.73</v>
      </c>
      <c r="H296" s="221">
        <v>11</v>
      </c>
      <c r="I296" s="219">
        <v>16</v>
      </c>
      <c r="J296" s="220">
        <f t="shared" si="152"/>
        <v>1.8884799999999999</v>
      </c>
      <c r="K296" s="118"/>
      <c r="L296" s="111">
        <v>16</v>
      </c>
      <c r="M296" s="117">
        <f t="shared" si="153"/>
        <v>1.8884799999999999</v>
      </c>
      <c r="N296" s="119">
        <f t="shared" si="154"/>
        <v>0</v>
      </c>
      <c r="O296" s="120">
        <f t="shared" si="155"/>
        <v>0</v>
      </c>
      <c r="P296" s="111"/>
      <c r="Q296" s="111"/>
      <c r="R296" s="111">
        <v>10.4</v>
      </c>
      <c r="S296" s="111">
        <v>16</v>
      </c>
    </row>
    <row r="297" spans="1:19" ht="15.6">
      <c r="A297" s="110" t="s">
        <v>311</v>
      </c>
      <c r="B297" s="111" t="s">
        <v>232</v>
      </c>
      <c r="C297" s="112" t="s">
        <v>228</v>
      </c>
      <c r="D297" s="113" t="s">
        <v>152</v>
      </c>
      <c r="E297" s="216" t="s">
        <v>15</v>
      </c>
      <c r="F297" s="216" t="s">
        <v>22</v>
      </c>
      <c r="G297" s="217">
        <v>10.73</v>
      </c>
      <c r="H297" s="221">
        <v>11.4</v>
      </c>
      <c r="I297" s="219">
        <v>5</v>
      </c>
      <c r="J297" s="220">
        <f t="shared" si="152"/>
        <v>0.61160999999999999</v>
      </c>
      <c r="K297" s="118"/>
      <c r="L297" s="111">
        <v>5</v>
      </c>
      <c r="M297" s="117">
        <f t="shared" si="153"/>
        <v>0.61160999999999999</v>
      </c>
      <c r="N297" s="119">
        <f t="shared" si="154"/>
        <v>0</v>
      </c>
      <c r="O297" s="120">
        <f t="shared" si="155"/>
        <v>0</v>
      </c>
      <c r="P297" s="111"/>
      <c r="Q297" s="111"/>
      <c r="R297" s="111">
        <v>10.4</v>
      </c>
      <c r="S297" s="111">
        <v>5</v>
      </c>
    </row>
    <row r="298" spans="1:19" ht="15.6">
      <c r="A298" s="110" t="s">
        <v>311</v>
      </c>
      <c r="B298" s="111" t="s">
        <v>232</v>
      </c>
      <c r="C298" s="112" t="s">
        <v>228</v>
      </c>
      <c r="D298" s="113" t="s">
        <v>152</v>
      </c>
      <c r="E298" s="216" t="s">
        <v>15</v>
      </c>
      <c r="F298" s="216" t="s">
        <v>22</v>
      </c>
      <c r="G298" s="217">
        <v>10.73</v>
      </c>
      <c r="H298" s="221">
        <v>9.4</v>
      </c>
      <c r="I298" s="219">
        <v>8</v>
      </c>
      <c r="J298" s="220">
        <f t="shared" si="152"/>
        <v>0.80689600000000006</v>
      </c>
      <c r="K298" s="118"/>
      <c r="L298" s="111">
        <v>8</v>
      </c>
      <c r="M298" s="117">
        <f t="shared" si="153"/>
        <v>0.80689600000000006</v>
      </c>
      <c r="N298" s="119">
        <f t="shared" si="154"/>
        <v>0</v>
      </c>
      <c r="O298" s="120">
        <f t="shared" si="155"/>
        <v>0</v>
      </c>
      <c r="P298" s="111"/>
      <c r="Q298" s="111"/>
      <c r="R298" s="111"/>
      <c r="S298" s="111"/>
    </row>
    <row r="299" spans="1:19" ht="15.6">
      <c r="A299" s="110" t="s">
        <v>311</v>
      </c>
      <c r="B299" s="111" t="s">
        <v>232</v>
      </c>
      <c r="C299" s="112" t="s">
        <v>228</v>
      </c>
      <c r="D299" s="113" t="s">
        <v>152</v>
      </c>
      <c r="E299" s="216" t="s">
        <v>15</v>
      </c>
      <c r="F299" s="216" t="s">
        <v>22</v>
      </c>
      <c r="G299" s="217">
        <v>10.73</v>
      </c>
      <c r="H299" s="221">
        <v>10.4</v>
      </c>
      <c r="I299" s="219">
        <v>7</v>
      </c>
      <c r="J299" s="220">
        <f t="shared" si="152"/>
        <v>0.78114400000000017</v>
      </c>
      <c r="K299" s="118"/>
      <c r="L299" s="111">
        <v>7</v>
      </c>
      <c r="M299" s="117">
        <f t="shared" si="153"/>
        <v>0.78114400000000006</v>
      </c>
      <c r="N299" s="119">
        <f t="shared" si="154"/>
        <v>0</v>
      </c>
      <c r="O299" s="120">
        <f t="shared" si="155"/>
        <v>0</v>
      </c>
      <c r="P299" s="111"/>
      <c r="Q299" s="111"/>
      <c r="R299" s="111">
        <v>10.4</v>
      </c>
      <c r="S299" s="111">
        <v>7</v>
      </c>
    </row>
    <row r="300" spans="1:19" ht="15.6">
      <c r="A300" s="110" t="s">
        <v>311</v>
      </c>
      <c r="B300" s="111" t="s">
        <v>232</v>
      </c>
      <c r="C300" s="112" t="s">
        <v>228</v>
      </c>
      <c r="D300" s="113" t="s">
        <v>152</v>
      </c>
      <c r="E300" s="216" t="s">
        <v>15</v>
      </c>
      <c r="F300" s="216" t="s">
        <v>22</v>
      </c>
      <c r="G300" s="217">
        <v>10.73</v>
      </c>
      <c r="H300" s="221">
        <v>12</v>
      </c>
      <c r="I300" s="219">
        <v>9</v>
      </c>
      <c r="J300" s="220">
        <f t="shared" si="152"/>
        <v>1.1588399999999999</v>
      </c>
      <c r="K300" s="118"/>
      <c r="L300" s="111">
        <v>9</v>
      </c>
      <c r="M300" s="117">
        <f t="shared" si="153"/>
        <v>1.1588400000000001</v>
      </c>
      <c r="N300" s="119">
        <f t="shared" si="154"/>
        <v>0</v>
      </c>
      <c r="O300" s="120">
        <f t="shared" si="155"/>
        <v>0</v>
      </c>
      <c r="P300" s="111"/>
      <c r="Q300" s="111"/>
      <c r="R300" s="111"/>
      <c r="S300" s="111"/>
    </row>
    <row r="301" spans="1:19" ht="15.6">
      <c r="A301" s="110" t="s">
        <v>311</v>
      </c>
      <c r="B301" s="111" t="s">
        <v>232</v>
      </c>
      <c r="C301" s="112" t="s">
        <v>228</v>
      </c>
      <c r="D301" s="113" t="s">
        <v>152</v>
      </c>
      <c r="E301" s="216" t="s">
        <v>15</v>
      </c>
      <c r="F301" s="216" t="s">
        <v>22</v>
      </c>
      <c r="G301" s="217">
        <v>10.73</v>
      </c>
      <c r="H301" s="221">
        <v>7.6</v>
      </c>
      <c r="I301" s="219">
        <v>2</v>
      </c>
      <c r="J301" s="220">
        <f t="shared" si="152"/>
        <v>0.16309599999999999</v>
      </c>
      <c r="K301" s="118"/>
      <c r="L301" s="111">
        <v>2</v>
      </c>
      <c r="M301" s="117">
        <f t="shared" si="153"/>
        <v>0.16309599999999999</v>
      </c>
      <c r="N301" s="119">
        <f t="shared" si="154"/>
        <v>0</v>
      </c>
      <c r="O301" s="120">
        <f t="shared" si="155"/>
        <v>0</v>
      </c>
      <c r="P301" s="111"/>
      <c r="Q301" s="45">
        <v>2</v>
      </c>
      <c r="R301" s="111" t="s">
        <v>757</v>
      </c>
      <c r="S301" s="111"/>
    </row>
    <row r="302" spans="1:19" ht="15.6">
      <c r="A302" s="110" t="s">
        <v>311</v>
      </c>
      <c r="B302" s="111" t="s">
        <v>232</v>
      </c>
      <c r="C302" s="112" t="s">
        <v>228</v>
      </c>
      <c r="D302" s="113" t="s">
        <v>152</v>
      </c>
      <c r="E302" s="216" t="s">
        <v>15</v>
      </c>
      <c r="F302" s="216" t="s">
        <v>22</v>
      </c>
      <c r="G302" s="217">
        <v>10.73</v>
      </c>
      <c r="H302" s="221">
        <v>7.8</v>
      </c>
      <c r="I302" s="219">
        <v>8</v>
      </c>
      <c r="J302" s="220">
        <f t="shared" si="152"/>
        <v>0.66955200000000004</v>
      </c>
      <c r="K302" s="118"/>
      <c r="L302" s="111">
        <v>8</v>
      </c>
      <c r="M302" s="117">
        <f t="shared" si="153"/>
        <v>0.66955200000000004</v>
      </c>
      <c r="N302" s="119">
        <f t="shared" si="154"/>
        <v>0</v>
      </c>
      <c r="O302" s="120">
        <f t="shared" si="155"/>
        <v>0</v>
      </c>
      <c r="P302" s="111"/>
      <c r="Q302" s="111"/>
      <c r="R302" s="111"/>
      <c r="S302" s="111"/>
    </row>
    <row r="303" spans="1:19" ht="15.6">
      <c r="A303" s="110" t="s">
        <v>311</v>
      </c>
      <c r="B303" s="111" t="s">
        <v>232</v>
      </c>
      <c r="C303" s="112" t="s">
        <v>228</v>
      </c>
      <c r="D303" s="113" t="s">
        <v>152</v>
      </c>
      <c r="E303" s="216" t="s">
        <v>15</v>
      </c>
      <c r="F303" s="216" t="s">
        <v>22</v>
      </c>
      <c r="G303" s="217">
        <v>10.73</v>
      </c>
      <c r="H303" s="221">
        <v>9.4</v>
      </c>
      <c r="I303" s="219">
        <v>7</v>
      </c>
      <c r="J303" s="220">
        <f t="shared" si="152"/>
        <v>0.70603400000000005</v>
      </c>
      <c r="K303" s="118"/>
      <c r="L303" s="111">
        <v>7</v>
      </c>
      <c r="M303" s="117">
        <f t="shared" si="153"/>
        <v>0.70603399999999994</v>
      </c>
      <c r="N303" s="119">
        <f t="shared" si="154"/>
        <v>0</v>
      </c>
      <c r="O303" s="120">
        <f t="shared" si="155"/>
        <v>0</v>
      </c>
      <c r="P303" s="111"/>
      <c r="Q303" s="111"/>
      <c r="R303" s="111"/>
      <c r="S303" s="111"/>
    </row>
    <row r="304" spans="1:19" ht="15.6">
      <c r="A304" s="110" t="s">
        <v>311</v>
      </c>
      <c r="B304" s="111" t="s">
        <v>232</v>
      </c>
      <c r="C304" s="112" t="s">
        <v>228</v>
      </c>
      <c r="D304" s="113" t="s">
        <v>152</v>
      </c>
      <c r="E304" s="216" t="s">
        <v>15</v>
      </c>
      <c r="F304" s="216" t="s">
        <v>22</v>
      </c>
      <c r="G304" s="217">
        <v>10.73</v>
      </c>
      <c r="H304" s="221">
        <v>10.4</v>
      </c>
      <c r="I304" s="219">
        <v>3</v>
      </c>
      <c r="J304" s="220">
        <f t="shared" si="152"/>
        <v>0.33477600000000007</v>
      </c>
      <c r="K304" s="118"/>
      <c r="L304" s="111">
        <v>3</v>
      </c>
      <c r="M304" s="117">
        <f t="shared" si="153"/>
        <v>0.33477600000000007</v>
      </c>
      <c r="N304" s="119">
        <f t="shared" si="154"/>
        <v>0</v>
      </c>
      <c r="O304" s="120">
        <f t="shared" si="155"/>
        <v>0</v>
      </c>
      <c r="P304" s="111"/>
      <c r="Q304" s="111"/>
      <c r="R304" s="111">
        <v>10.4</v>
      </c>
      <c r="S304" s="111">
        <v>3</v>
      </c>
    </row>
    <row r="305" spans="1:20" ht="15.6">
      <c r="A305" s="110" t="s">
        <v>311</v>
      </c>
      <c r="B305" s="111" t="s">
        <v>232</v>
      </c>
      <c r="C305" s="112" t="s">
        <v>228</v>
      </c>
      <c r="D305" s="113" t="s">
        <v>152</v>
      </c>
      <c r="E305" s="216" t="s">
        <v>15</v>
      </c>
      <c r="F305" s="216" t="s">
        <v>22</v>
      </c>
      <c r="G305" s="217">
        <v>10.73</v>
      </c>
      <c r="H305" s="221">
        <v>11.6</v>
      </c>
      <c r="I305" s="219">
        <v>1</v>
      </c>
      <c r="J305" s="220">
        <f t="shared" si="152"/>
        <v>0.12446800000000001</v>
      </c>
      <c r="K305" s="118"/>
      <c r="L305" s="111">
        <v>1</v>
      </c>
      <c r="M305" s="117">
        <f t="shared" si="153"/>
        <v>0.12446800000000001</v>
      </c>
      <c r="N305" s="119">
        <f t="shared" si="154"/>
        <v>0</v>
      </c>
      <c r="O305" s="120">
        <f t="shared" si="155"/>
        <v>0</v>
      </c>
      <c r="P305" s="111"/>
      <c r="Q305" s="111"/>
      <c r="R305" s="111"/>
      <c r="S305" s="111"/>
    </row>
    <row r="306" spans="1:20" ht="15.6">
      <c r="A306" s="110" t="s">
        <v>311</v>
      </c>
      <c r="B306" s="111" t="s">
        <v>232</v>
      </c>
      <c r="C306" s="112" t="s">
        <v>228</v>
      </c>
      <c r="D306" s="113" t="s">
        <v>152</v>
      </c>
      <c r="E306" s="216" t="s">
        <v>15</v>
      </c>
      <c r="F306" s="216" t="s">
        <v>22</v>
      </c>
      <c r="G306" s="217">
        <v>10.73</v>
      </c>
      <c r="H306" s="221">
        <v>12</v>
      </c>
      <c r="I306" s="219">
        <v>7</v>
      </c>
      <c r="J306" s="220">
        <f t="shared" si="152"/>
        <v>0.9013199999999999</v>
      </c>
      <c r="K306" s="118"/>
      <c r="L306" s="111">
        <v>7</v>
      </c>
      <c r="M306" s="117">
        <f t="shared" si="153"/>
        <v>0.90132000000000001</v>
      </c>
      <c r="N306" s="119">
        <f t="shared" si="154"/>
        <v>0</v>
      </c>
      <c r="O306" s="120">
        <f t="shared" si="155"/>
        <v>0</v>
      </c>
      <c r="P306" s="111"/>
      <c r="Q306" s="111"/>
      <c r="R306" s="111"/>
      <c r="S306" s="111"/>
    </row>
    <row r="307" spans="1:20" s="213" customFormat="1" ht="15.6">
      <c r="A307" s="232"/>
      <c r="B307" s="233"/>
      <c r="C307" s="234"/>
      <c r="D307" s="235"/>
      <c r="E307" s="236"/>
      <c r="F307" s="236"/>
      <c r="G307" s="237"/>
      <c r="H307" s="238"/>
      <c r="I307" s="239"/>
      <c r="J307" s="240"/>
      <c r="K307" s="241"/>
      <c r="L307" s="233"/>
      <c r="M307" s="242"/>
      <c r="N307" s="243"/>
      <c r="O307" s="244"/>
      <c r="P307" s="233"/>
      <c r="Q307" s="233"/>
      <c r="R307" s="233"/>
      <c r="S307" s="233"/>
    </row>
    <row r="308" spans="1:20" s="213" customFormat="1" ht="15.6">
      <c r="A308" s="110" t="s">
        <v>311</v>
      </c>
      <c r="B308" s="111" t="s">
        <v>232</v>
      </c>
      <c r="C308" s="112" t="s">
        <v>228</v>
      </c>
      <c r="D308" s="113" t="s">
        <v>152</v>
      </c>
      <c r="E308" s="216" t="s">
        <v>15</v>
      </c>
      <c r="F308" s="216" t="s">
        <v>22</v>
      </c>
      <c r="G308" s="217">
        <v>10.73</v>
      </c>
      <c r="H308" s="221">
        <v>7.8</v>
      </c>
      <c r="I308" s="219">
        <f>25+26+25</f>
        <v>76</v>
      </c>
      <c r="J308" s="220">
        <f t="shared" ref="J308:J310" si="156">(G308*H308*I308/1000)</f>
        <v>6.3607440000000004</v>
      </c>
      <c r="K308" s="118"/>
      <c r="L308" s="111">
        <v>76</v>
      </c>
      <c r="M308" s="117">
        <f t="shared" ref="M308:M310" si="157">H308*L308*G308/1000</f>
        <v>6.3607439999999995</v>
      </c>
      <c r="N308" s="119">
        <f t="shared" ref="N308:N310" si="158">I308-L308</f>
        <v>0</v>
      </c>
      <c r="O308" s="120">
        <f t="shared" ref="O308:O310" si="159">H308*N308*G308/1000</f>
        <v>0</v>
      </c>
      <c r="P308" s="111"/>
      <c r="Q308" s="111"/>
      <c r="R308" s="111"/>
      <c r="S308" s="111"/>
    </row>
    <row r="309" spans="1:20" s="213" customFormat="1" ht="15.6">
      <c r="A309" s="110" t="s">
        <v>311</v>
      </c>
      <c r="B309" s="111" t="s">
        <v>232</v>
      </c>
      <c r="C309" s="112" t="s">
        <v>228</v>
      </c>
      <c r="D309" s="113" t="s">
        <v>152</v>
      </c>
      <c r="E309" s="216" t="s">
        <v>15</v>
      </c>
      <c r="F309" s="216" t="s">
        <v>22</v>
      </c>
      <c r="G309" s="217">
        <v>10.73</v>
      </c>
      <c r="H309" s="221">
        <v>11.6</v>
      </c>
      <c r="I309" s="219">
        <v>12</v>
      </c>
      <c r="J309" s="220">
        <f t="shared" si="156"/>
        <v>1.4936160000000001</v>
      </c>
      <c r="K309" s="118"/>
      <c r="L309" s="111">
        <v>12</v>
      </c>
      <c r="M309" s="117">
        <f t="shared" si="157"/>
        <v>1.4936160000000001</v>
      </c>
      <c r="N309" s="119">
        <f t="shared" si="158"/>
        <v>0</v>
      </c>
      <c r="O309" s="120">
        <f t="shared" si="159"/>
        <v>0</v>
      </c>
      <c r="P309" s="111"/>
      <c r="Q309" s="111"/>
      <c r="R309" s="111"/>
      <c r="S309" s="111"/>
    </row>
    <row r="310" spans="1:20" s="213" customFormat="1" ht="15.6">
      <c r="A310" s="110" t="s">
        <v>311</v>
      </c>
      <c r="B310" s="111" t="s">
        <v>232</v>
      </c>
      <c r="C310" s="112" t="s">
        <v>228</v>
      </c>
      <c r="D310" s="113" t="s">
        <v>152</v>
      </c>
      <c r="E310" s="216" t="s">
        <v>15</v>
      </c>
      <c r="F310" s="216" t="s">
        <v>22</v>
      </c>
      <c r="G310" s="217">
        <v>10.73</v>
      </c>
      <c r="H310" s="221">
        <v>12</v>
      </c>
      <c r="I310" s="219">
        <v>1</v>
      </c>
      <c r="J310" s="220">
        <f t="shared" si="156"/>
        <v>0.12875999999999999</v>
      </c>
      <c r="K310" s="118"/>
      <c r="L310" s="111">
        <v>1</v>
      </c>
      <c r="M310" s="117">
        <f t="shared" si="157"/>
        <v>0.12875999999999999</v>
      </c>
      <c r="N310" s="119">
        <f t="shared" si="158"/>
        <v>0</v>
      </c>
      <c r="O310" s="120">
        <f t="shared" si="159"/>
        <v>0</v>
      </c>
      <c r="P310" s="111">
        <v>12</v>
      </c>
      <c r="Q310" s="45">
        <v>1</v>
      </c>
      <c r="R310" s="159" t="s">
        <v>739</v>
      </c>
      <c r="S310" s="111"/>
    </row>
    <row r="311" spans="1:20">
      <c r="I311" s="215">
        <f>SUM(I252:I310)</f>
        <v>1554</v>
      </c>
      <c r="J311" s="214">
        <f>SUM(J252:J310)</f>
        <v>158.05719200000004</v>
      </c>
      <c r="L311" s="215">
        <f>SUM(L252:L310)</f>
        <v>1554</v>
      </c>
      <c r="M311" s="214">
        <f>SUM(M252:M310)</f>
        <v>158.05719200000004</v>
      </c>
      <c r="N311" s="78">
        <f>SUM(N252:N310)</f>
        <v>0</v>
      </c>
      <c r="O311" s="128">
        <f>SUM(O252:O310)</f>
        <v>0</v>
      </c>
      <c r="S311" s="215">
        <f>SUM(S252:S310)</f>
        <v>66.8</v>
      </c>
      <c r="T311" s="214">
        <f>SUM(T252:T310)</f>
        <v>1</v>
      </c>
    </row>
    <row r="313" spans="1:20" ht="15.6">
      <c r="A313" s="110" t="s">
        <v>324</v>
      </c>
      <c r="B313" s="111" t="s">
        <v>232</v>
      </c>
      <c r="C313" s="112" t="s">
        <v>228</v>
      </c>
      <c r="D313" s="113" t="s">
        <v>24</v>
      </c>
      <c r="E313" s="216" t="s">
        <v>14</v>
      </c>
      <c r="F313" s="216" t="s">
        <v>30</v>
      </c>
      <c r="G313" s="217">
        <v>9.26</v>
      </c>
      <c r="H313" s="218">
        <v>12</v>
      </c>
      <c r="I313" s="219">
        <v>13</v>
      </c>
      <c r="J313" s="220">
        <f t="shared" ref="J313" si="160">(G313*H313*I313/1000)</f>
        <v>1.4445599999999998</v>
      </c>
      <c r="K313" s="118"/>
      <c r="L313" s="111">
        <v>13</v>
      </c>
      <c r="M313" s="117">
        <f t="shared" ref="M313" si="161">H313*L313*G313/1000</f>
        <v>1.4445599999999998</v>
      </c>
      <c r="N313" s="119">
        <f t="shared" ref="N313" si="162">I313-L313</f>
        <v>0</v>
      </c>
      <c r="O313" s="120">
        <f t="shared" ref="O313" si="163">H313*N313*G313/1000</f>
        <v>0</v>
      </c>
      <c r="P313" s="111"/>
      <c r="Q313" s="111"/>
      <c r="R313" s="111"/>
      <c r="S313" s="111"/>
    </row>
    <row r="314" spans="1:20" ht="15.6">
      <c r="A314" s="110" t="s">
        <v>324</v>
      </c>
      <c r="B314" s="111" t="s">
        <v>232</v>
      </c>
      <c r="C314" s="112" t="s">
        <v>228</v>
      </c>
      <c r="D314" s="113" t="s">
        <v>24</v>
      </c>
      <c r="E314" s="216" t="s">
        <v>14</v>
      </c>
      <c r="F314" s="216" t="s">
        <v>30</v>
      </c>
      <c r="G314" s="217">
        <v>9.26</v>
      </c>
      <c r="H314" s="218">
        <v>7.75</v>
      </c>
      <c r="I314" s="219">
        <v>5</v>
      </c>
      <c r="J314" s="220">
        <f t="shared" ref="J314:J326" si="164">(G314*H314*I314/1000)</f>
        <v>0.35882500000000001</v>
      </c>
      <c r="K314" s="118"/>
      <c r="L314" s="111">
        <f>4</f>
        <v>4</v>
      </c>
      <c r="M314" s="117">
        <f t="shared" ref="M314:M326" si="165">H314*L314*G314/1000</f>
        <v>0.28705999999999998</v>
      </c>
      <c r="N314" s="119">
        <f t="shared" ref="N314:N326" si="166">I314-L314</f>
        <v>1</v>
      </c>
      <c r="O314" s="120">
        <f t="shared" ref="O314:O326" si="167">H314*N314*G314/1000</f>
        <v>7.1764999999999995E-2</v>
      </c>
      <c r="P314" s="111"/>
      <c r="Q314" s="111"/>
      <c r="R314" s="111"/>
      <c r="S314" s="111"/>
    </row>
    <row r="315" spans="1:20" ht="15.6">
      <c r="A315" s="110" t="s">
        <v>324</v>
      </c>
      <c r="B315" s="111" t="s">
        <v>232</v>
      </c>
      <c r="C315" s="112" t="s">
        <v>228</v>
      </c>
      <c r="D315" s="113" t="s">
        <v>24</v>
      </c>
      <c r="E315" s="216" t="s">
        <v>14</v>
      </c>
      <c r="F315" s="216" t="s">
        <v>30</v>
      </c>
      <c r="G315" s="217">
        <v>9.26</v>
      </c>
      <c r="H315" s="218">
        <v>11</v>
      </c>
      <c r="I315" s="219">
        <f>12+2</f>
        <v>14</v>
      </c>
      <c r="J315" s="220">
        <f t="shared" si="164"/>
        <v>1.42604</v>
      </c>
      <c r="K315" s="118"/>
      <c r="L315" s="111">
        <v>14</v>
      </c>
      <c r="M315" s="117">
        <f t="shared" si="165"/>
        <v>1.42604</v>
      </c>
      <c r="N315" s="119">
        <f t="shared" si="166"/>
        <v>0</v>
      </c>
      <c r="O315" s="120">
        <f t="shared" si="167"/>
        <v>0</v>
      </c>
      <c r="P315" s="111"/>
      <c r="Q315" s="111"/>
      <c r="R315" s="111"/>
      <c r="S315" s="111"/>
    </row>
    <row r="316" spans="1:20" ht="15.6">
      <c r="A316" s="110" t="s">
        <v>324</v>
      </c>
      <c r="B316" s="111" t="s">
        <v>232</v>
      </c>
      <c r="C316" s="112" t="s">
        <v>228</v>
      </c>
      <c r="D316" s="113" t="s">
        <v>24</v>
      </c>
      <c r="E316" s="216" t="s">
        <v>14</v>
      </c>
      <c r="F316" s="216" t="s">
        <v>30</v>
      </c>
      <c r="G316" s="217">
        <v>9.26</v>
      </c>
      <c r="H316" s="218">
        <v>7.75</v>
      </c>
      <c r="I316" s="219">
        <v>3</v>
      </c>
      <c r="J316" s="220">
        <f t="shared" si="164"/>
        <v>0.21529500000000001</v>
      </c>
      <c r="K316" s="118"/>
      <c r="L316" s="111">
        <v>3</v>
      </c>
      <c r="M316" s="117">
        <f t="shared" si="165"/>
        <v>0.21529499999999999</v>
      </c>
      <c r="N316" s="119">
        <f t="shared" si="166"/>
        <v>0</v>
      </c>
      <c r="O316" s="120">
        <f t="shared" si="167"/>
        <v>0</v>
      </c>
      <c r="P316" s="111"/>
      <c r="Q316" s="111"/>
      <c r="R316" s="111"/>
      <c r="S316" s="111"/>
    </row>
    <row r="317" spans="1:20" ht="15.6">
      <c r="A317" s="110" t="s">
        <v>324</v>
      </c>
      <c r="B317" s="111" t="s">
        <v>232</v>
      </c>
      <c r="C317" s="112" t="s">
        <v>228</v>
      </c>
      <c r="D317" s="113" t="s">
        <v>24</v>
      </c>
      <c r="E317" s="216" t="s">
        <v>14</v>
      </c>
      <c r="F317" s="216" t="s">
        <v>30</v>
      </c>
      <c r="G317" s="217">
        <v>9.26</v>
      </c>
      <c r="H317" s="218">
        <v>9.5</v>
      </c>
      <c r="I317" s="219">
        <f>10+10</f>
        <v>20</v>
      </c>
      <c r="J317" s="220">
        <f t="shared" si="164"/>
        <v>1.7594000000000001</v>
      </c>
      <c r="K317" s="118"/>
      <c r="L317" s="111">
        <v>20</v>
      </c>
      <c r="M317" s="117">
        <f t="shared" si="165"/>
        <v>1.7593999999999999</v>
      </c>
      <c r="N317" s="119">
        <f t="shared" si="166"/>
        <v>0</v>
      </c>
      <c r="O317" s="120">
        <f t="shared" si="167"/>
        <v>0</v>
      </c>
      <c r="P317" s="111"/>
      <c r="Q317" s="111"/>
      <c r="R317" s="111"/>
      <c r="S317" s="111"/>
    </row>
    <row r="318" spans="1:20" ht="15.6">
      <c r="A318" s="110" t="s">
        <v>324</v>
      </c>
      <c r="B318" s="111" t="s">
        <v>232</v>
      </c>
      <c r="C318" s="112" t="s">
        <v>228</v>
      </c>
      <c r="D318" s="113" t="s">
        <v>24</v>
      </c>
      <c r="E318" s="216" t="s">
        <v>14</v>
      </c>
      <c r="F318" s="216" t="s">
        <v>30</v>
      </c>
      <c r="G318" s="217">
        <v>9.26</v>
      </c>
      <c r="H318" s="218">
        <v>10</v>
      </c>
      <c r="I318" s="219">
        <v>11</v>
      </c>
      <c r="J318" s="220">
        <f t="shared" si="164"/>
        <v>1.0185999999999999</v>
      </c>
      <c r="K318" s="118"/>
      <c r="L318" s="111">
        <v>11</v>
      </c>
      <c r="M318" s="117">
        <f t="shared" si="165"/>
        <v>1.0185999999999999</v>
      </c>
      <c r="N318" s="119">
        <f t="shared" si="166"/>
        <v>0</v>
      </c>
      <c r="O318" s="120">
        <f t="shared" si="167"/>
        <v>0</v>
      </c>
      <c r="P318" s="111"/>
      <c r="Q318" s="111"/>
      <c r="R318" s="111"/>
      <c r="S318" s="111"/>
    </row>
    <row r="319" spans="1:20" ht="15.6">
      <c r="A319" s="110" t="s">
        <v>324</v>
      </c>
      <c r="B319" s="111" t="s">
        <v>232</v>
      </c>
      <c r="C319" s="112" t="s">
        <v>228</v>
      </c>
      <c r="D319" s="113" t="s">
        <v>24</v>
      </c>
      <c r="E319" s="216" t="s">
        <v>14</v>
      </c>
      <c r="F319" s="216" t="s">
        <v>30</v>
      </c>
      <c r="G319" s="217">
        <v>9.26</v>
      </c>
      <c r="H319" s="218">
        <v>12</v>
      </c>
      <c r="I319" s="219">
        <v>5</v>
      </c>
      <c r="J319" s="220">
        <f t="shared" si="164"/>
        <v>0.55559999999999998</v>
      </c>
      <c r="K319" s="118"/>
      <c r="L319" s="111">
        <v>5</v>
      </c>
      <c r="M319" s="117">
        <f t="shared" si="165"/>
        <v>0.55559999999999998</v>
      </c>
      <c r="N319" s="119">
        <f t="shared" si="166"/>
        <v>0</v>
      </c>
      <c r="O319" s="120">
        <f t="shared" si="167"/>
        <v>0</v>
      </c>
      <c r="P319" s="111"/>
      <c r="Q319" s="111"/>
      <c r="R319" s="111"/>
      <c r="S319" s="111"/>
    </row>
    <row r="320" spans="1:20" ht="15.6">
      <c r="A320" s="110" t="s">
        <v>324</v>
      </c>
      <c r="B320" s="111" t="s">
        <v>232</v>
      </c>
      <c r="C320" s="112" t="s">
        <v>228</v>
      </c>
      <c r="D320" s="113" t="s">
        <v>24</v>
      </c>
      <c r="E320" s="216" t="s">
        <v>14</v>
      </c>
      <c r="F320" s="216" t="s">
        <v>30</v>
      </c>
      <c r="G320" s="217">
        <v>9.26</v>
      </c>
      <c r="H320" s="218">
        <v>11.5</v>
      </c>
      <c r="I320" s="219">
        <v>11</v>
      </c>
      <c r="J320" s="220">
        <f t="shared" si="164"/>
        <v>1.1713899999999999</v>
      </c>
      <c r="K320" s="118"/>
      <c r="L320" s="111">
        <v>11</v>
      </c>
      <c r="M320" s="117">
        <f t="shared" si="165"/>
        <v>1.1713899999999999</v>
      </c>
      <c r="N320" s="119">
        <f t="shared" si="166"/>
        <v>0</v>
      </c>
      <c r="O320" s="120">
        <f t="shared" si="167"/>
        <v>0</v>
      </c>
      <c r="P320" s="111"/>
      <c r="Q320" s="111"/>
      <c r="R320" s="111"/>
      <c r="S320" s="111"/>
    </row>
    <row r="321" spans="1:19" ht="15.6">
      <c r="A321" s="110" t="s">
        <v>324</v>
      </c>
      <c r="B321" s="111" t="s">
        <v>232</v>
      </c>
      <c r="C321" s="112" t="s">
        <v>228</v>
      </c>
      <c r="D321" s="113" t="s">
        <v>24</v>
      </c>
      <c r="E321" s="216" t="s">
        <v>14</v>
      </c>
      <c r="F321" s="216" t="s">
        <v>30</v>
      </c>
      <c r="G321" s="217">
        <v>9.26</v>
      </c>
      <c r="H321" s="218">
        <v>12</v>
      </c>
      <c r="I321" s="219">
        <v>10</v>
      </c>
      <c r="J321" s="220">
        <f t="shared" si="164"/>
        <v>1.1112</v>
      </c>
      <c r="K321" s="118"/>
      <c r="L321" s="111">
        <f>4+6</f>
        <v>10</v>
      </c>
      <c r="M321" s="117">
        <f t="shared" si="165"/>
        <v>1.1112</v>
      </c>
      <c r="N321" s="119">
        <f t="shared" si="166"/>
        <v>0</v>
      </c>
      <c r="O321" s="120">
        <f t="shared" si="167"/>
        <v>0</v>
      </c>
      <c r="P321" s="111"/>
      <c r="Q321" s="111"/>
      <c r="R321" s="111"/>
      <c r="S321" s="111"/>
    </row>
    <row r="322" spans="1:19" ht="15.6">
      <c r="A322" s="110" t="s">
        <v>324</v>
      </c>
      <c r="B322" s="111" t="s">
        <v>232</v>
      </c>
      <c r="C322" s="112" t="s">
        <v>228</v>
      </c>
      <c r="D322" s="113" t="s">
        <v>24</v>
      </c>
      <c r="E322" s="216" t="s">
        <v>14</v>
      </c>
      <c r="F322" s="216" t="s">
        <v>30</v>
      </c>
      <c r="G322" s="217">
        <v>9.26</v>
      </c>
      <c r="H322" s="218">
        <v>12</v>
      </c>
      <c r="I322" s="219">
        <v>2</v>
      </c>
      <c r="J322" s="220">
        <f t="shared" si="164"/>
        <v>0.22224000000000002</v>
      </c>
      <c r="K322" s="118"/>
      <c r="L322" s="111">
        <v>2</v>
      </c>
      <c r="M322" s="117">
        <f t="shared" si="165"/>
        <v>0.22224000000000002</v>
      </c>
      <c r="N322" s="119">
        <f t="shared" si="166"/>
        <v>0</v>
      </c>
      <c r="O322" s="120">
        <f t="shared" si="167"/>
        <v>0</v>
      </c>
      <c r="P322" s="111"/>
      <c r="Q322" s="111"/>
      <c r="R322" s="111"/>
      <c r="S322" s="111"/>
    </row>
    <row r="323" spans="1:19" ht="15.6">
      <c r="A323" s="110" t="s">
        <v>324</v>
      </c>
      <c r="B323" s="111" t="s">
        <v>232</v>
      </c>
      <c r="C323" s="112" t="s">
        <v>228</v>
      </c>
      <c r="D323" s="113" t="s">
        <v>24</v>
      </c>
      <c r="E323" s="216" t="s">
        <v>14</v>
      </c>
      <c r="F323" s="216" t="s">
        <v>30</v>
      </c>
      <c r="G323" s="217">
        <v>9.26</v>
      </c>
      <c r="H323" s="218">
        <v>7.5</v>
      </c>
      <c r="I323" s="219">
        <v>2</v>
      </c>
      <c r="J323" s="220">
        <f t="shared" si="164"/>
        <v>0.1389</v>
      </c>
      <c r="K323" s="118"/>
      <c r="L323" s="111"/>
      <c r="M323" s="117">
        <f t="shared" si="165"/>
        <v>0</v>
      </c>
      <c r="N323" s="119">
        <f t="shared" si="166"/>
        <v>2</v>
      </c>
      <c r="O323" s="120">
        <f t="shared" si="167"/>
        <v>0.1389</v>
      </c>
      <c r="P323" s="111"/>
      <c r="Q323" s="111"/>
      <c r="R323" s="111"/>
      <c r="S323" s="111"/>
    </row>
    <row r="324" spans="1:19" ht="15.6">
      <c r="A324" s="110" t="s">
        <v>324</v>
      </c>
      <c r="B324" s="111" t="s">
        <v>232</v>
      </c>
      <c r="C324" s="112" t="s">
        <v>228</v>
      </c>
      <c r="D324" s="113" t="s">
        <v>24</v>
      </c>
      <c r="E324" s="216" t="s">
        <v>14</v>
      </c>
      <c r="F324" s="216" t="s">
        <v>30</v>
      </c>
      <c r="G324" s="217">
        <v>9.26</v>
      </c>
      <c r="H324" s="218">
        <v>6.6</v>
      </c>
      <c r="I324" s="219">
        <v>1</v>
      </c>
      <c r="J324" s="220">
        <f t="shared" si="164"/>
        <v>6.111599999999999E-2</v>
      </c>
      <c r="K324" s="118"/>
      <c r="L324" s="111"/>
      <c r="M324" s="117">
        <f t="shared" si="165"/>
        <v>0</v>
      </c>
      <c r="N324" s="119">
        <f t="shared" si="166"/>
        <v>1</v>
      </c>
      <c r="O324" s="120">
        <f t="shared" si="167"/>
        <v>6.111599999999999E-2</v>
      </c>
      <c r="P324" s="111"/>
      <c r="Q324" s="111"/>
      <c r="R324" s="111"/>
      <c r="S324" s="111"/>
    </row>
    <row r="325" spans="1:19" ht="15.6">
      <c r="A325" s="110" t="s">
        <v>324</v>
      </c>
      <c r="B325" s="111" t="s">
        <v>232</v>
      </c>
      <c r="C325" s="112" t="s">
        <v>228</v>
      </c>
      <c r="D325" s="113" t="s">
        <v>24</v>
      </c>
      <c r="E325" s="216" t="s">
        <v>14</v>
      </c>
      <c r="F325" s="216" t="s">
        <v>30</v>
      </c>
      <c r="G325" s="217">
        <v>9.26</v>
      </c>
      <c r="H325" s="218">
        <v>6.8</v>
      </c>
      <c r="I325" s="219">
        <v>1</v>
      </c>
      <c r="J325" s="220">
        <f t="shared" si="164"/>
        <v>6.2967999999999996E-2</v>
      </c>
      <c r="K325" s="118"/>
      <c r="L325" s="111"/>
      <c r="M325" s="117">
        <f t="shared" si="165"/>
        <v>0</v>
      </c>
      <c r="N325" s="119">
        <f t="shared" si="166"/>
        <v>1</v>
      </c>
      <c r="O325" s="120">
        <f t="shared" si="167"/>
        <v>6.2967999999999996E-2</v>
      </c>
      <c r="P325" s="111"/>
      <c r="Q325" s="111"/>
      <c r="R325" s="111"/>
      <c r="S325" s="111"/>
    </row>
    <row r="326" spans="1:19" ht="15.6">
      <c r="A326" s="110" t="s">
        <v>324</v>
      </c>
      <c r="B326" s="111" t="s">
        <v>232</v>
      </c>
      <c r="C326" s="112" t="s">
        <v>228</v>
      </c>
      <c r="D326" s="113" t="s">
        <v>24</v>
      </c>
      <c r="E326" s="216" t="s">
        <v>14</v>
      </c>
      <c r="F326" s="216" t="s">
        <v>30</v>
      </c>
      <c r="G326" s="217">
        <v>9.26</v>
      </c>
      <c r="H326" s="218">
        <v>10</v>
      </c>
      <c r="I326" s="219">
        <v>2</v>
      </c>
      <c r="J326" s="220">
        <f t="shared" si="164"/>
        <v>0.18519999999999998</v>
      </c>
      <c r="K326" s="118"/>
      <c r="L326" s="111">
        <v>2</v>
      </c>
      <c r="M326" s="117">
        <f t="shared" si="165"/>
        <v>0.18519999999999998</v>
      </c>
      <c r="N326" s="119">
        <f t="shared" si="166"/>
        <v>0</v>
      </c>
      <c r="O326" s="120">
        <f t="shared" si="167"/>
        <v>0</v>
      </c>
      <c r="P326" s="111"/>
      <c r="Q326" s="111"/>
      <c r="R326" s="111"/>
      <c r="S326" s="111"/>
    </row>
    <row r="327" spans="1:19">
      <c r="I327" s="215">
        <f>SUM(I313:I326)</f>
        <v>100</v>
      </c>
      <c r="J327" s="214">
        <f>SUM(J313:J326)</f>
        <v>9.7313339999999986</v>
      </c>
      <c r="L327" s="215">
        <f>SUM(L313:L326)</f>
        <v>95</v>
      </c>
      <c r="M327" s="128">
        <f>SUM(M313:M326)</f>
        <v>9.3965849999999982</v>
      </c>
      <c r="N327" s="78">
        <f>SUM(N313:N326)</f>
        <v>5</v>
      </c>
      <c r="O327" s="128">
        <f>SUM(O313:O326)</f>
        <v>0.33474899999999996</v>
      </c>
    </row>
    <row r="329" spans="1:19" ht="15.6">
      <c r="A329" s="110" t="s">
        <v>324</v>
      </c>
      <c r="B329" s="111" t="s">
        <v>232</v>
      </c>
      <c r="C329" s="112" t="s">
        <v>228</v>
      </c>
      <c r="D329" s="113" t="s">
        <v>24</v>
      </c>
      <c r="E329" s="216" t="s">
        <v>14</v>
      </c>
      <c r="F329" s="216" t="s">
        <v>22</v>
      </c>
      <c r="G329" s="217">
        <v>10.73</v>
      </c>
      <c r="H329" s="218">
        <v>11.5</v>
      </c>
      <c r="I329" s="219">
        <f>6+2</f>
        <v>8</v>
      </c>
      <c r="J329" s="220">
        <f t="shared" ref="J329:J331" si="168">(G329*H329*I329/1000)</f>
        <v>0.98716000000000004</v>
      </c>
      <c r="K329" s="118"/>
      <c r="L329" s="111">
        <v>8</v>
      </c>
      <c r="M329" s="117">
        <f t="shared" ref="M329:M331" si="169">H329*L329*G329/1000</f>
        <v>0.98716000000000004</v>
      </c>
      <c r="N329" s="119">
        <f t="shared" ref="N329:N331" si="170">I329-L329</f>
        <v>0</v>
      </c>
      <c r="O329" s="120">
        <f t="shared" ref="O329:O331" si="171">H329*N329*G329/1000</f>
        <v>0</v>
      </c>
      <c r="P329" s="111"/>
      <c r="Q329" s="111"/>
      <c r="R329" s="111"/>
      <c r="S329" s="111"/>
    </row>
    <row r="330" spans="1:19" ht="15.6">
      <c r="A330" s="110" t="s">
        <v>324</v>
      </c>
      <c r="B330" s="111" t="s">
        <v>232</v>
      </c>
      <c r="C330" s="112" t="s">
        <v>228</v>
      </c>
      <c r="D330" s="113" t="s">
        <v>24</v>
      </c>
      <c r="E330" s="216" t="s">
        <v>14</v>
      </c>
      <c r="F330" s="216" t="s">
        <v>22</v>
      </c>
      <c r="G330" s="217">
        <v>10.73</v>
      </c>
      <c r="H330" s="218">
        <v>5</v>
      </c>
      <c r="I330" s="219">
        <v>1</v>
      </c>
      <c r="J330" s="220">
        <f t="shared" si="168"/>
        <v>5.3650000000000003E-2</v>
      </c>
      <c r="K330" s="118"/>
      <c r="L330" s="111"/>
      <c r="M330" s="117">
        <f t="shared" si="169"/>
        <v>0</v>
      </c>
      <c r="N330" s="119">
        <f t="shared" si="170"/>
        <v>1</v>
      </c>
      <c r="O330" s="120">
        <f t="shared" si="171"/>
        <v>5.3650000000000003E-2</v>
      </c>
      <c r="P330" s="111"/>
      <c r="Q330" s="111"/>
      <c r="R330" s="111"/>
      <c r="S330" s="111"/>
    </row>
    <row r="331" spans="1:19" ht="15.6">
      <c r="A331" s="110" t="s">
        <v>324</v>
      </c>
      <c r="B331" s="111" t="s">
        <v>232</v>
      </c>
      <c r="C331" s="112" t="s">
        <v>228</v>
      </c>
      <c r="D331" s="113" t="s">
        <v>24</v>
      </c>
      <c r="E331" s="216" t="s">
        <v>14</v>
      </c>
      <c r="F331" s="216" t="s">
        <v>22</v>
      </c>
      <c r="G331" s="217">
        <v>10.73</v>
      </c>
      <c r="H331" s="218">
        <v>8</v>
      </c>
      <c r="I331" s="219">
        <v>6</v>
      </c>
      <c r="J331" s="220">
        <f t="shared" si="168"/>
        <v>0.51503999999999994</v>
      </c>
      <c r="K331" s="118"/>
      <c r="L331" s="111">
        <v>6</v>
      </c>
      <c r="M331" s="117">
        <f t="shared" si="169"/>
        <v>0.51503999999999994</v>
      </c>
      <c r="N331" s="119">
        <f t="shared" si="170"/>
        <v>0</v>
      </c>
      <c r="O331" s="120">
        <f t="shared" si="171"/>
        <v>0</v>
      </c>
      <c r="P331" s="111"/>
      <c r="Q331" s="111"/>
      <c r="R331" s="111"/>
      <c r="S331" s="111"/>
    </row>
    <row r="332" spans="1:19" ht="15.6">
      <c r="A332" s="110" t="s">
        <v>324</v>
      </c>
      <c r="B332" s="111" t="s">
        <v>232</v>
      </c>
      <c r="C332" s="112" t="s">
        <v>228</v>
      </c>
      <c r="D332" s="113" t="s">
        <v>24</v>
      </c>
      <c r="E332" s="216" t="s">
        <v>14</v>
      </c>
      <c r="F332" s="216" t="s">
        <v>22</v>
      </c>
      <c r="G332" s="217">
        <v>10.73</v>
      </c>
      <c r="H332" s="218">
        <v>9</v>
      </c>
      <c r="I332" s="219">
        <v>4</v>
      </c>
      <c r="J332" s="220">
        <f t="shared" ref="J332:J335" si="172">(G332*H332*I332/1000)</f>
        <v>0.38628000000000001</v>
      </c>
      <c r="K332" s="118"/>
      <c r="L332" s="111">
        <v>4</v>
      </c>
      <c r="M332" s="117">
        <f t="shared" ref="M332:M335" si="173">H332*L332*G332/1000</f>
        <v>0.38628000000000001</v>
      </c>
      <c r="N332" s="119">
        <f t="shared" ref="N332:N335" si="174">I332-L332</f>
        <v>0</v>
      </c>
      <c r="O332" s="120">
        <f t="shared" ref="O332:O335" si="175">H332*N332*G332/1000</f>
        <v>0</v>
      </c>
      <c r="P332" s="111"/>
      <c r="Q332" s="111"/>
      <c r="R332" s="111"/>
      <c r="S332" s="111"/>
    </row>
    <row r="333" spans="1:19" ht="15.6">
      <c r="A333" s="110" t="s">
        <v>324</v>
      </c>
      <c r="B333" s="111" t="s">
        <v>232</v>
      </c>
      <c r="C333" s="112" t="s">
        <v>228</v>
      </c>
      <c r="D333" s="113" t="s">
        <v>24</v>
      </c>
      <c r="E333" s="216" t="s">
        <v>14</v>
      </c>
      <c r="F333" s="216" t="s">
        <v>22</v>
      </c>
      <c r="G333" s="217">
        <v>10.73</v>
      </c>
      <c r="H333" s="218">
        <v>10.5</v>
      </c>
      <c r="I333" s="219">
        <v>4</v>
      </c>
      <c r="J333" s="220">
        <f t="shared" si="172"/>
        <v>0.45066000000000001</v>
      </c>
      <c r="K333" s="118"/>
      <c r="L333" s="111">
        <v>4</v>
      </c>
      <c r="M333" s="117">
        <f t="shared" si="173"/>
        <v>0.45066000000000001</v>
      </c>
      <c r="N333" s="119">
        <f t="shared" si="174"/>
        <v>0</v>
      </c>
      <c r="O333" s="120">
        <f t="shared" si="175"/>
        <v>0</v>
      </c>
      <c r="P333" s="111"/>
      <c r="Q333" s="111"/>
      <c r="R333" s="111"/>
      <c r="S333" s="111"/>
    </row>
    <row r="334" spans="1:19" ht="15.6">
      <c r="A334" s="110" t="s">
        <v>324</v>
      </c>
      <c r="B334" s="111" t="s">
        <v>232</v>
      </c>
      <c r="C334" s="112" t="s">
        <v>228</v>
      </c>
      <c r="D334" s="113" t="s">
        <v>24</v>
      </c>
      <c r="E334" s="216" t="s">
        <v>14</v>
      </c>
      <c r="F334" s="216" t="s">
        <v>22</v>
      </c>
      <c r="G334" s="217">
        <v>10.73</v>
      </c>
      <c r="H334" s="218">
        <v>9</v>
      </c>
      <c r="I334" s="219">
        <v>21</v>
      </c>
      <c r="J334" s="220">
        <f t="shared" si="172"/>
        <v>2.0279700000000003</v>
      </c>
      <c r="K334" s="118"/>
      <c r="L334" s="111">
        <v>21</v>
      </c>
      <c r="M334" s="117">
        <f t="shared" si="173"/>
        <v>2.0279699999999998</v>
      </c>
      <c r="N334" s="119">
        <f t="shared" si="174"/>
        <v>0</v>
      </c>
      <c r="O334" s="120">
        <f t="shared" si="175"/>
        <v>0</v>
      </c>
      <c r="P334" s="111"/>
      <c r="Q334" s="111"/>
      <c r="R334" s="111"/>
      <c r="S334" s="111"/>
    </row>
    <row r="335" spans="1:19" ht="15.6">
      <c r="A335" s="110" t="s">
        <v>324</v>
      </c>
      <c r="B335" s="111" t="s">
        <v>232</v>
      </c>
      <c r="C335" s="112" t="s">
        <v>228</v>
      </c>
      <c r="D335" s="113" t="s">
        <v>24</v>
      </c>
      <c r="E335" s="216" t="s">
        <v>14</v>
      </c>
      <c r="F335" s="216" t="s">
        <v>22</v>
      </c>
      <c r="G335" s="217">
        <v>10.73</v>
      </c>
      <c r="H335" s="218">
        <v>9.75</v>
      </c>
      <c r="I335" s="219">
        <v>20</v>
      </c>
      <c r="J335" s="220">
        <f t="shared" si="172"/>
        <v>2.0923500000000002</v>
      </c>
      <c r="K335" s="118"/>
      <c r="L335" s="111">
        <v>20</v>
      </c>
      <c r="M335" s="117">
        <f t="shared" si="173"/>
        <v>2.0923499999999997</v>
      </c>
      <c r="N335" s="119">
        <f t="shared" si="174"/>
        <v>0</v>
      </c>
      <c r="O335" s="120">
        <f t="shared" si="175"/>
        <v>0</v>
      </c>
      <c r="P335" s="111"/>
      <c r="Q335" s="111"/>
      <c r="R335" s="111"/>
      <c r="S335" s="111"/>
    </row>
    <row r="336" spans="1:19">
      <c r="I336" s="215">
        <f>SUM(I329:I335)</f>
        <v>64</v>
      </c>
      <c r="J336" s="214">
        <f>SUM(J329:J335)</f>
        <v>6.5131099999999993</v>
      </c>
      <c r="L336" s="215">
        <f>SUM(L329:L335)</f>
        <v>63</v>
      </c>
      <c r="M336" s="128">
        <f>SUM(M329:M335)</f>
        <v>6.45946</v>
      </c>
      <c r="N336" s="78">
        <f>SUM(N329:N335)</f>
        <v>1</v>
      </c>
      <c r="O336" s="128">
        <f>SUM(O329:O335)</f>
        <v>5.3650000000000003E-2</v>
      </c>
    </row>
    <row r="338" spans="1:22" ht="15.6">
      <c r="A338" s="110" t="s">
        <v>324</v>
      </c>
      <c r="B338" s="111" t="s">
        <v>232</v>
      </c>
      <c r="C338" s="112" t="s">
        <v>228</v>
      </c>
      <c r="D338" s="113" t="s">
        <v>326</v>
      </c>
      <c r="E338" s="216" t="s">
        <v>14</v>
      </c>
      <c r="F338" s="216" t="s">
        <v>22</v>
      </c>
      <c r="G338" s="217">
        <v>10.7</v>
      </c>
      <c r="H338" s="218">
        <v>6.5</v>
      </c>
      <c r="I338" s="219">
        <f>29+31+18+33+32+6</f>
        <v>149</v>
      </c>
      <c r="J338" s="220">
        <f t="shared" ref="J338" si="176">(G338*H338*I338/1000)</f>
        <v>10.36295</v>
      </c>
      <c r="K338" s="118"/>
      <c r="L338" s="111">
        <v>149</v>
      </c>
      <c r="M338" s="117">
        <f t="shared" ref="M338" si="177">H338*L338*G338/1000</f>
        <v>10.36295</v>
      </c>
      <c r="N338" s="119">
        <f t="shared" ref="N338" si="178">I338-L338</f>
        <v>0</v>
      </c>
      <c r="O338" s="120">
        <f t="shared" ref="O338" si="179">H338*N338*G338/1000</f>
        <v>0</v>
      </c>
      <c r="P338" s="111"/>
      <c r="Q338" s="111"/>
      <c r="R338" s="111"/>
      <c r="S338" s="111"/>
    </row>
    <row r="339" spans="1:22" ht="15.6">
      <c r="A339" s="110" t="s">
        <v>324</v>
      </c>
      <c r="B339" s="111" t="s">
        <v>232</v>
      </c>
      <c r="C339" s="112" t="s">
        <v>228</v>
      </c>
      <c r="D339" s="113" t="s">
        <v>326</v>
      </c>
      <c r="E339" s="216" t="s">
        <v>14</v>
      </c>
      <c r="F339" s="216" t="s">
        <v>22</v>
      </c>
      <c r="G339" s="217">
        <v>10.7</v>
      </c>
      <c r="H339" s="218">
        <v>6.3</v>
      </c>
      <c r="I339" s="219">
        <v>2</v>
      </c>
      <c r="J339" s="220">
        <f t="shared" ref="J339:J340" si="180">(G339*H339*I339/1000)</f>
        <v>0.13482</v>
      </c>
      <c r="K339" s="118"/>
      <c r="L339" s="111"/>
      <c r="M339" s="117">
        <f t="shared" ref="M339:M340" si="181">H339*L339*G339/1000</f>
        <v>0</v>
      </c>
      <c r="N339" s="119">
        <f t="shared" ref="N339:N340" si="182">I339-L339</f>
        <v>2</v>
      </c>
      <c r="O339" s="120">
        <f t="shared" ref="O339:O340" si="183">H339*N339*G339/1000</f>
        <v>0.13482</v>
      </c>
      <c r="P339" s="111"/>
      <c r="Q339" s="111"/>
      <c r="R339" s="111"/>
      <c r="S339" s="111"/>
    </row>
    <row r="340" spans="1:22" ht="15.6">
      <c r="A340" s="110" t="s">
        <v>324</v>
      </c>
      <c r="B340" s="111" t="s">
        <v>232</v>
      </c>
      <c r="C340" s="112" t="s">
        <v>228</v>
      </c>
      <c r="D340" s="113" t="s">
        <v>326</v>
      </c>
      <c r="E340" s="216" t="s">
        <v>14</v>
      </c>
      <c r="F340" s="216" t="s">
        <v>22</v>
      </c>
      <c r="G340" s="217">
        <v>10.7</v>
      </c>
      <c r="H340" s="218">
        <v>6.1</v>
      </c>
      <c r="I340" s="219">
        <v>3</v>
      </c>
      <c r="J340" s="220">
        <f t="shared" si="180"/>
        <v>0.19581000000000001</v>
      </c>
      <c r="K340" s="118"/>
      <c r="L340" s="111"/>
      <c r="M340" s="117">
        <f t="shared" si="181"/>
        <v>0</v>
      </c>
      <c r="N340" s="119">
        <f t="shared" si="182"/>
        <v>3</v>
      </c>
      <c r="O340" s="120">
        <f t="shared" si="183"/>
        <v>0.19580999999999996</v>
      </c>
      <c r="P340" s="111"/>
      <c r="Q340" s="111"/>
      <c r="R340" s="111"/>
      <c r="S340" s="111"/>
    </row>
    <row r="341" spans="1:22">
      <c r="I341" s="215">
        <f>SUM(I338:I340)</f>
        <v>154</v>
      </c>
      <c r="J341" s="214">
        <f>SUM(J338:J340)</f>
        <v>10.693579999999999</v>
      </c>
      <c r="L341" s="215">
        <f>SUM(L338:L340)</f>
        <v>149</v>
      </c>
      <c r="M341" s="214">
        <f>SUM(M338:M340)</f>
        <v>10.36295</v>
      </c>
      <c r="N341" s="215">
        <f>SUM(N338:N340)</f>
        <v>5</v>
      </c>
      <c r="O341" s="214">
        <f>SUM(O338:O340)</f>
        <v>0.33062999999999998</v>
      </c>
    </row>
    <row r="343" spans="1:22" ht="15.6">
      <c r="A343" s="110" t="s">
        <v>324</v>
      </c>
      <c r="B343" s="111" t="s">
        <v>232</v>
      </c>
      <c r="C343" s="112" t="s">
        <v>228</v>
      </c>
      <c r="D343" s="113" t="s">
        <v>24</v>
      </c>
      <c r="E343" s="216" t="s">
        <v>14</v>
      </c>
      <c r="F343" s="216" t="s">
        <v>28</v>
      </c>
      <c r="G343" s="217">
        <v>12.18</v>
      </c>
      <c r="H343" s="218">
        <v>8</v>
      </c>
      <c r="I343" s="219">
        <v>18</v>
      </c>
      <c r="J343" s="220">
        <f t="shared" ref="J343" si="184">(G343*H343*I343/1000)</f>
        <v>1.7539200000000001</v>
      </c>
      <c r="K343" s="118"/>
      <c r="L343" s="111">
        <v>18</v>
      </c>
      <c r="M343" s="117">
        <f t="shared" ref="M343" si="185">H343*L343*G343/1000</f>
        <v>1.7539200000000001</v>
      </c>
      <c r="N343" s="119">
        <f t="shared" ref="N343" si="186">I343-L343</f>
        <v>0</v>
      </c>
      <c r="O343" s="120">
        <f t="shared" ref="O343" si="187">H343*N343*G343/1000</f>
        <v>0</v>
      </c>
      <c r="P343" s="111"/>
      <c r="Q343" s="111"/>
      <c r="R343" s="111"/>
      <c r="S343" s="111"/>
    </row>
    <row r="344" spans="1:22" ht="15.6">
      <c r="A344" s="110" t="s">
        <v>324</v>
      </c>
      <c r="B344" s="111" t="s">
        <v>232</v>
      </c>
      <c r="C344" s="112" t="s">
        <v>228</v>
      </c>
      <c r="D344" s="113" t="s">
        <v>24</v>
      </c>
      <c r="E344" s="216" t="s">
        <v>14</v>
      </c>
      <c r="F344" s="216" t="s">
        <v>28</v>
      </c>
      <c r="G344" s="217">
        <v>12.18</v>
      </c>
      <c r="H344" s="218">
        <v>9.5</v>
      </c>
      <c r="I344" s="219">
        <v>8</v>
      </c>
      <c r="J344" s="220">
        <f t="shared" ref="J344:J348" si="188">(G344*H344*I344/1000)</f>
        <v>0.92567999999999995</v>
      </c>
      <c r="K344" s="118"/>
      <c r="L344" s="111">
        <v>8</v>
      </c>
      <c r="M344" s="117">
        <f t="shared" ref="M344:M348" si="189">H344*L344*G344/1000</f>
        <v>0.92567999999999995</v>
      </c>
      <c r="N344" s="119">
        <f t="shared" ref="N344:N348" si="190">I344-L344</f>
        <v>0</v>
      </c>
      <c r="O344" s="120">
        <f t="shared" ref="O344:O348" si="191">H344*N344*G344/1000</f>
        <v>0</v>
      </c>
      <c r="P344" s="111"/>
      <c r="Q344" s="111"/>
      <c r="R344" s="111"/>
      <c r="S344" s="111"/>
    </row>
    <row r="345" spans="1:22" ht="15.6">
      <c r="A345" s="110" t="s">
        <v>324</v>
      </c>
      <c r="B345" s="111" t="s">
        <v>232</v>
      </c>
      <c r="C345" s="112" t="s">
        <v>228</v>
      </c>
      <c r="D345" s="113" t="s">
        <v>24</v>
      </c>
      <c r="E345" s="216" t="s">
        <v>14</v>
      </c>
      <c r="F345" s="216" t="s">
        <v>28</v>
      </c>
      <c r="G345" s="217">
        <v>12.18</v>
      </c>
      <c r="H345" s="218">
        <v>10.75</v>
      </c>
      <c r="I345" s="219">
        <v>4</v>
      </c>
      <c r="J345" s="220">
        <f t="shared" si="188"/>
        <v>0.52373999999999998</v>
      </c>
      <c r="K345" s="118"/>
      <c r="L345" s="111">
        <v>4</v>
      </c>
      <c r="M345" s="117">
        <f t="shared" si="189"/>
        <v>0.52373999999999998</v>
      </c>
      <c r="N345" s="119">
        <f t="shared" si="190"/>
        <v>0</v>
      </c>
      <c r="O345" s="120">
        <f t="shared" si="191"/>
        <v>0</v>
      </c>
      <c r="P345" s="111"/>
      <c r="Q345" s="111"/>
      <c r="R345" s="111"/>
      <c r="S345" s="111"/>
    </row>
    <row r="346" spans="1:22" ht="15.6">
      <c r="A346" s="110" t="s">
        <v>324</v>
      </c>
      <c r="B346" s="111" t="s">
        <v>232</v>
      </c>
      <c r="C346" s="112" t="s">
        <v>228</v>
      </c>
      <c r="D346" s="113" t="s">
        <v>24</v>
      </c>
      <c r="E346" s="216" t="s">
        <v>14</v>
      </c>
      <c r="F346" s="216" t="s">
        <v>28</v>
      </c>
      <c r="G346" s="217">
        <v>12.18</v>
      </c>
      <c r="H346" s="218">
        <v>11.5</v>
      </c>
      <c r="I346" s="219">
        <v>4</v>
      </c>
      <c r="J346" s="220">
        <f t="shared" si="188"/>
        <v>0.56028</v>
      </c>
      <c r="K346" s="118"/>
      <c r="L346" s="111">
        <v>4</v>
      </c>
      <c r="M346" s="117">
        <f t="shared" si="189"/>
        <v>0.56028</v>
      </c>
      <c r="N346" s="119">
        <f t="shared" si="190"/>
        <v>0</v>
      </c>
      <c r="O346" s="120">
        <f t="shared" si="191"/>
        <v>0</v>
      </c>
      <c r="P346" s="111"/>
      <c r="Q346" s="111"/>
      <c r="R346" s="111"/>
      <c r="S346" s="111"/>
    </row>
    <row r="347" spans="1:22" ht="15.6">
      <c r="A347" s="110" t="s">
        <v>324</v>
      </c>
      <c r="B347" s="111" t="s">
        <v>232</v>
      </c>
      <c r="C347" s="112" t="s">
        <v>228</v>
      </c>
      <c r="D347" s="113" t="s">
        <v>24</v>
      </c>
      <c r="E347" s="216" t="s">
        <v>14</v>
      </c>
      <c r="F347" s="216" t="s">
        <v>28</v>
      </c>
      <c r="G347" s="217">
        <v>12.18</v>
      </c>
      <c r="H347" s="218">
        <v>8</v>
      </c>
      <c r="I347" s="219">
        <v>2</v>
      </c>
      <c r="J347" s="220">
        <f t="shared" si="188"/>
        <v>0.19488</v>
      </c>
      <c r="K347" s="118"/>
      <c r="L347" s="111">
        <f>1</f>
        <v>1</v>
      </c>
      <c r="M347" s="117">
        <f>H347*L347*G347/1000</f>
        <v>9.7439999999999999E-2</v>
      </c>
      <c r="N347" s="119">
        <f t="shared" si="190"/>
        <v>1</v>
      </c>
      <c r="O347" s="120">
        <f t="shared" si="191"/>
        <v>9.7439999999999999E-2</v>
      </c>
      <c r="P347" s="111"/>
      <c r="Q347" s="111"/>
      <c r="R347" s="111"/>
      <c r="S347" s="111"/>
    </row>
    <row r="348" spans="1:22" ht="15.6">
      <c r="A348" s="110" t="s">
        <v>324</v>
      </c>
      <c r="B348" s="111" t="s">
        <v>232</v>
      </c>
      <c r="C348" s="112" t="s">
        <v>228</v>
      </c>
      <c r="D348" s="113" t="s">
        <v>24</v>
      </c>
      <c r="E348" s="216" t="s">
        <v>14</v>
      </c>
      <c r="F348" s="216" t="s">
        <v>28</v>
      </c>
      <c r="G348" s="217">
        <v>12.18</v>
      </c>
      <c r="H348" s="218">
        <v>12</v>
      </c>
      <c r="I348" s="219">
        <v>12</v>
      </c>
      <c r="J348" s="220">
        <f t="shared" si="188"/>
        <v>1.7539200000000001</v>
      </c>
      <c r="K348" s="118"/>
      <c r="L348" s="111">
        <f>1+8+3</f>
        <v>12</v>
      </c>
      <c r="M348" s="117">
        <f t="shared" si="189"/>
        <v>1.7539200000000001</v>
      </c>
      <c r="N348" s="119">
        <f t="shared" si="190"/>
        <v>0</v>
      </c>
      <c r="O348" s="120">
        <f t="shared" si="191"/>
        <v>0</v>
      </c>
      <c r="P348" s="111"/>
      <c r="Q348" s="91">
        <v>3</v>
      </c>
      <c r="R348" s="91" t="s">
        <v>543</v>
      </c>
      <c r="S348" s="111">
        <v>11.9</v>
      </c>
      <c r="T348" s="111">
        <v>8</v>
      </c>
      <c r="U348" s="111" t="s">
        <v>451</v>
      </c>
      <c r="V348" s="111"/>
    </row>
    <row r="349" spans="1:22">
      <c r="I349" s="215">
        <f>SUM(I343:I348)</f>
        <v>48</v>
      </c>
      <c r="J349" s="214">
        <f>SUM(J343:J348)</f>
        <v>5.7124200000000007</v>
      </c>
      <c r="L349" s="215">
        <f>SUM(L343:L348)</f>
        <v>47</v>
      </c>
      <c r="M349" s="214">
        <f>SUM(M343:M348)</f>
        <v>5.614980000000001</v>
      </c>
      <c r="N349" s="215">
        <f>SUM(N343:N348)</f>
        <v>1</v>
      </c>
      <c r="O349" s="128">
        <f>SUM(O343:O348)</f>
        <v>9.7439999999999999E-2</v>
      </c>
      <c r="Q349" s="215">
        <f>SUM(Q343:Q348)</f>
        <v>3</v>
      </c>
    </row>
    <row r="351" spans="1:22" ht="15.6">
      <c r="A351" s="110" t="s">
        <v>324</v>
      </c>
      <c r="B351" s="111" t="s">
        <v>232</v>
      </c>
      <c r="C351" s="112" t="s">
        <v>228</v>
      </c>
      <c r="D351" s="113" t="s">
        <v>326</v>
      </c>
      <c r="E351" s="216" t="s">
        <v>14</v>
      </c>
      <c r="F351" s="216" t="s">
        <v>30</v>
      </c>
      <c r="G351" s="217">
        <v>9.26</v>
      </c>
      <c r="H351" s="218">
        <v>9.15</v>
      </c>
      <c r="I351" s="219">
        <f>39+33+12+29+30+14+32+17+32+34+34+11</f>
        <v>317</v>
      </c>
      <c r="J351" s="220">
        <f t="shared" ref="J351" si="192">(G351*H351*I351/1000)</f>
        <v>26.859093000000001</v>
      </c>
      <c r="K351" s="118"/>
      <c r="L351" s="111">
        <v>317</v>
      </c>
      <c r="M351" s="117">
        <f t="shared" ref="M351" si="193">H351*L351*G351/1000</f>
        <v>26.859093000000001</v>
      </c>
      <c r="N351" s="119">
        <f t="shared" ref="N351" si="194">I351-L351</f>
        <v>0</v>
      </c>
      <c r="O351" s="120">
        <f t="shared" ref="O351" si="195">H351*N351*G351/1000</f>
        <v>0</v>
      </c>
      <c r="P351" s="111"/>
      <c r="Q351" s="111"/>
      <c r="R351" s="111"/>
      <c r="S351" s="111"/>
    </row>
    <row r="352" spans="1:22" ht="15.6">
      <c r="A352" s="110" t="s">
        <v>324</v>
      </c>
      <c r="B352" s="111" t="s">
        <v>232</v>
      </c>
      <c r="C352" s="112" t="s">
        <v>228</v>
      </c>
      <c r="D352" s="113" t="s">
        <v>326</v>
      </c>
      <c r="E352" s="216" t="s">
        <v>14</v>
      </c>
      <c r="F352" s="216" t="s">
        <v>30</v>
      </c>
      <c r="G352" s="217">
        <v>9.26</v>
      </c>
      <c r="H352" s="218">
        <v>6.35</v>
      </c>
      <c r="I352" s="219">
        <f>21+39+40+33+28</f>
        <v>161</v>
      </c>
      <c r="J352" s="220">
        <f t="shared" ref="J352:J364" si="196">(G352*H352*I352/1000)</f>
        <v>9.4669609999999995</v>
      </c>
      <c r="K352" s="118"/>
      <c r="L352" s="111">
        <f>160+1</f>
        <v>161</v>
      </c>
      <c r="M352" s="117">
        <f t="shared" ref="M352:M365" si="197">H352*L352*G352/1000</f>
        <v>9.4669609999999995</v>
      </c>
      <c r="N352" s="119">
        <f t="shared" ref="N352:N365" si="198">I352-L352</f>
        <v>0</v>
      </c>
      <c r="O352" s="120">
        <f t="shared" ref="O352:O365" si="199">H352*N352*G352/1000</f>
        <v>0</v>
      </c>
      <c r="P352" s="111"/>
      <c r="Q352" s="111"/>
      <c r="R352" s="111"/>
      <c r="S352" s="111"/>
    </row>
    <row r="353" spans="1:19" ht="15.6">
      <c r="A353" s="110" t="s">
        <v>324</v>
      </c>
      <c r="B353" s="111" t="s">
        <v>232</v>
      </c>
      <c r="C353" s="112" t="s">
        <v>228</v>
      </c>
      <c r="D353" s="113" t="s">
        <v>326</v>
      </c>
      <c r="E353" s="216" t="s">
        <v>14</v>
      </c>
      <c r="F353" s="216" t="s">
        <v>30</v>
      </c>
      <c r="G353" s="217">
        <v>9.26</v>
      </c>
      <c r="H353" s="218">
        <v>6.5</v>
      </c>
      <c r="I353" s="219">
        <f>32+32+32+37+37+37+37+30+31+3+6</f>
        <v>314</v>
      </c>
      <c r="J353" s="220">
        <f t="shared" si="196"/>
        <v>18.899660000000001</v>
      </c>
      <c r="K353" s="118"/>
      <c r="L353" s="111">
        <v>314</v>
      </c>
      <c r="M353" s="117">
        <f t="shared" si="197"/>
        <v>18.899660000000001</v>
      </c>
      <c r="N353" s="119">
        <f t="shared" si="198"/>
        <v>0</v>
      </c>
      <c r="O353" s="120">
        <f t="shared" si="199"/>
        <v>0</v>
      </c>
      <c r="P353" s="111"/>
      <c r="Q353" s="111"/>
      <c r="R353" s="111"/>
      <c r="S353" s="111"/>
    </row>
    <row r="354" spans="1:19" ht="15.6">
      <c r="A354" s="110" t="s">
        <v>324</v>
      </c>
      <c r="B354" s="111" t="s">
        <v>232</v>
      </c>
      <c r="C354" s="112" t="s">
        <v>228</v>
      </c>
      <c r="D354" s="113" t="s">
        <v>326</v>
      </c>
      <c r="E354" s="216" t="s">
        <v>14</v>
      </c>
      <c r="F354" s="216" t="s">
        <v>30</v>
      </c>
      <c r="G354" s="217">
        <v>9.26</v>
      </c>
      <c r="H354" s="218">
        <v>6.2</v>
      </c>
      <c r="I354" s="219">
        <v>1</v>
      </c>
      <c r="J354" s="220">
        <f t="shared" si="196"/>
        <v>5.7411999999999998E-2</v>
      </c>
      <c r="K354" s="118"/>
      <c r="L354" s="111"/>
      <c r="M354" s="117">
        <f t="shared" si="197"/>
        <v>0</v>
      </c>
      <c r="N354" s="119">
        <f t="shared" si="198"/>
        <v>1</v>
      </c>
      <c r="O354" s="120">
        <f t="shared" si="199"/>
        <v>5.7411999999999998E-2</v>
      </c>
      <c r="P354" s="111"/>
      <c r="Q354" s="111"/>
      <c r="R354" s="111"/>
      <c r="S354" s="111"/>
    </row>
    <row r="355" spans="1:19" ht="15.6">
      <c r="A355" s="110" t="s">
        <v>324</v>
      </c>
      <c r="B355" s="111" t="s">
        <v>232</v>
      </c>
      <c r="C355" s="112" t="s">
        <v>228</v>
      </c>
      <c r="D355" s="113" t="s">
        <v>326</v>
      </c>
      <c r="E355" s="216" t="s">
        <v>14</v>
      </c>
      <c r="F355" s="216" t="s">
        <v>30</v>
      </c>
      <c r="G355" s="217">
        <v>9.26</v>
      </c>
      <c r="H355" s="218">
        <v>7.4</v>
      </c>
      <c r="I355" s="219">
        <v>3</v>
      </c>
      <c r="J355" s="220">
        <f t="shared" si="196"/>
        <v>0.205572</v>
      </c>
      <c r="K355" s="118"/>
      <c r="L355" s="111">
        <v>3</v>
      </c>
      <c r="M355" s="117">
        <f t="shared" si="197"/>
        <v>0.20557200000000003</v>
      </c>
      <c r="N355" s="119">
        <f t="shared" si="198"/>
        <v>0</v>
      </c>
      <c r="O355" s="120">
        <f t="shared" si="199"/>
        <v>0</v>
      </c>
      <c r="P355" s="130">
        <v>6.35</v>
      </c>
      <c r="Q355" s="111">
        <v>3</v>
      </c>
      <c r="R355" s="111"/>
      <c r="S355" s="111"/>
    </row>
    <row r="356" spans="1:19" ht="15.6">
      <c r="A356" s="110" t="s">
        <v>324</v>
      </c>
      <c r="B356" s="111" t="s">
        <v>232</v>
      </c>
      <c r="C356" s="112" t="s">
        <v>228</v>
      </c>
      <c r="D356" s="113" t="s">
        <v>326</v>
      </c>
      <c r="E356" s="216" t="s">
        <v>14</v>
      </c>
      <c r="F356" s="216" t="s">
        <v>30</v>
      </c>
      <c r="G356" s="217">
        <v>9.26</v>
      </c>
      <c r="H356" s="218">
        <v>7.6</v>
      </c>
      <c r="I356" s="219">
        <v>1</v>
      </c>
      <c r="J356" s="220">
        <f t="shared" si="196"/>
        <v>7.0375999999999994E-2</v>
      </c>
      <c r="K356" s="118"/>
      <c r="L356" s="111">
        <v>1</v>
      </c>
      <c r="M356" s="117">
        <f t="shared" si="197"/>
        <v>7.0375999999999994E-2</v>
      </c>
      <c r="N356" s="119">
        <f t="shared" si="198"/>
        <v>0</v>
      </c>
      <c r="O356" s="120">
        <f t="shared" si="199"/>
        <v>0</v>
      </c>
      <c r="P356" s="130"/>
      <c r="Q356" s="111"/>
      <c r="R356" s="111"/>
      <c r="S356" s="111"/>
    </row>
    <row r="357" spans="1:19" ht="15.6">
      <c r="A357" s="110" t="s">
        <v>324</v>
      </c>
      <c r="B357" s="111" t="s">
        <v>232</v>
      </c>
      <c r="C357" s="112" t="s">
        <v>228</v>
      </c>
      <c r="D357" s="113" t="s">
        <v>326</v>
      </c>
      <c r="E357" s="216" t="s">
        <v>14</v>
      </c>
      <c r="F357" s="216" t="s">
        <v>30</v>
      </c>
      <c r="G357" s="217">
        <v>9.26</v>
      </c>
      <c r="H357" s="218">
        <v>8</v>
      </c>
      <c r="I357" s="219">
        <v>1</v>
      </c>
      <c r="J357" s="220">
        <f t="shared" si="196"/>
        <v>7.4079999999999993E-2</v>
      </c>
      <c r="K357" s="118"/>
      <c r="L357" s="111">
        <v>1</v>
      </c>
      <c r="M357" s="117">
        <f t="shared" si="197"/>
        <v>7.4079999999999993E-2</v>
      </c>
      <c r="N357" s="119">
        <f t="shared" si="198"/>
        <v>0</v>
      </c>
      <c r="O357" s="120">
        <f t="shared" si="199"/>
        <v>0</v>
      </c>
      <c r="P357" s="130">
        <v>7.6</v>
      </c>
      <c r="Q357" s="111">
        <v>1</v>
      </c>
      <c r="R357" s="111"/>
      <c r="S357" s="111"/>
    </row>
    <row r="358" spans="1:19" ht="15.6">
      <c r="A358" s="110" t="s">
        <v>324</v>
      </c>
      <c r="B358" s="111" t="s">
        <v>232</v>
      </c>
      <c r="C358" s="112" t="s">
        <v>228</v>
      </c>
      <c r="D358" s="113" t="s">
        <v>326</v>
      </c>
      <c r="E358" s="216" t="s">
        <v>14</v>
      </c>
      <c r="F358" s="216" t="s">
        <v>30</v>
      </c>
      <c r="G358" s="217">
        <v>9.26</v>
      </c>
      <c r="H358" s="218">
        <v>8.5</v>
      </c>
      <c r="I358" s="219">
        <v>1</v>
      </c>
      <c r="J358" s="220">
        <f t="shared" si="196"/>
        <v>7.8709999999999988E-2</v>
      </c>
      <c r="K358" s="118"/>
      <c r="L358" s="111">
        <v>1</v>
      </c>
      <c r="M358" s="117">
        <f t="shared" si="197"/>
        <v>7.8709999999999988E-2</v>
      </c>
      <c r="N358" s="119">
        <f t="shared" si="198"/>
        <v>0</v>
      </c>
      <c r="O358" s="120">
        <f t="shared" si="199"/>
        <v>0</v>
      </c>
      <c r="P358" s="130">
        <v>7.6</v>
      </c>
      <c r="Q358" s="111">
        <v>1</v>
      </c>
      <c r="R358" s="111"/>
      <c r="S358" s="111"/>
    </row>
    <row r="359" spans="1:19" ht="15.6">
      <c r="A359" s="110" t="s">
        <v>324</v>
      </c>
      <c r="B359" s="111" t="s">
        <v>232</v>
      </c>
      <c r="C359" s="112" t="s">
        <v>228</v>
      </c>
      <c r="D359" s="113" t="s">
        <v>326</v>
      </c>
      <c r="E359" s="216" t="s">
        <v>14</v>
      </c>
      <c r="F359" s="216" t="s">
        <v>30</v>
      </c>
      <c r="G359" s="217">
        <v>9.26</v>
      </c>
      <c r="H359" s="218">
        <v>5.9</v>
      </c>
      <c r="I359" s="219">
        <v>1</v>
      </c>
      <c r="J359" s="220">
        <f t="shared" si="196"/>
        <v>5.4634000000000002E-2</v>
      </c>
      <c r="K359" s="118"/>
      <c r="L359" s="111"/>
      <c r="M359" s="117">
        <f t="shared" si="197"/>
        <v>0</v>
      </c>
      <c r="N359" s="119">
        <f t="shared" si="198"/>
        <v>1</v>
      </c>
      <c r="O359" s="120">
        <f t="shared" si="199"/>
        <v>5.4634000000000002E-2</v>
      </c>
      <c r="P359" s="130"/>
      <c r="Q359" s="111"/>
      <c r="R359" s="111"/>
      <c r="S359" s="111"/>
    </row>
    <row r="360" spans="1:19" ht="15.6">
      <c r="A360" s="110" t="s">
        <v>324</v>
      </c>
      <c r="B360" s="111" t="s">
        <v>232</v>
      </c>
      <c r="C360" s="112" t="s">
        <v>228</v>
      </c>
      <c r="D360" s="113" t="s">
        <v>326</v>
      </c>
      <c r="E360" s="216" t="s">
        <v>14</v>
      </c>
      <c r="F360" s="216" t="s">
        <v>30</v>
      </c>
      <c r="G360" s="217">
        <v>9.26</v>
      </c>
      <c r="H360" s="218">
        <v>6</v>
      </c>
      <c r="I360" s="219">
        <v>1</v>
      </c>
      <c r="J360" s="220">
        <f t="shared" si="196"/>
        <v>5.5560000000000005E-2</v>
      </c>
      <c r="K360" s="118"/>
      <c r="L360" s="111"/>
      <c r="M360" s="117">
        <f t="shared" si="197"/>
        <v>0</v>
      </c>
      <c r="N360" s="119">
        <f t="shared" si="198"/>
        <v>1</v>
      </c>
      <c r="O360" s="120">
        <f t="shared" si="199"/>
        <v>5.5560000000000005E-2</v>
      </c>
      <c r="P360" s="130"/>
      <c r="Q360" s="111"/>
      <c r="R360" s="111"/>
      <c r="S360" s="111"/>
    </row>
    <row r="361" spans="1:19" ht="15.6">
      <c r="A361" s="110" t="s">
        <v>324</v>
      </c>
      <c r="B361" s="111" t="s">
        <v>232</v>
      </c>
      <c r="C361" s="112" t="s">
        <v>228</v>
      </c>
      <c r="D361" s="113" t="s">
        <v>326</v>
      </c>
      <c r="E361" s="216" t="s">
        <v>14</v>
      </c>
      <c r="F361" s="216" t="s">
        <v>30</v>
      </c>
      <c r="G361" s="217">
        <v>9.26</v>
      </c>
      <c r="H361" s="218">
        <v>6.1</v>
      </c>
      <c r="I361" s="219">
        <v>3</v>
      </c>
      <c r="J361" s="220">
        <f t="shared" si="196"/>
        <v>0.169458</v>
      </c>
      <c r="K361" s="118"/>
      <c r="L361" s="111"/>
      <c r="M361" s="117">
        <f t="shared" si="197"/>
        <v>0</v>
      </c>
      <c r="N361" s="119">
        <f t="shared" si="198"/>
        <v>3</v>
      </c>
      <c r="O361" s="120">
        <f t="shared" si="199"/>
        <v>0.16945799999999997</v>
      </c>
      <c r="P361" s="130"/>
      <c r="Q361" s="111"/>
      <c r="R361" s="111"/>
      <c r="S361" s="111"/>
    </row>
    <row r="362" spans="1:19" ht="15.6">
      <c r="A362" s="110" t="s">
        <v>324</v>
      </c>
      <c r="B362" s="111" t="s">
        <v>232</v>
      </c>
      <c r="C362" s="112" t="s">
        <v>228</v>
      </c>
      <c r="D362" s="113" t="s">
        <v>326</v>
      </c>
      <c r="E362" s="216" t="s">
        <v>14</v>
      </c>
      <c r="F362" s="216" t="s">
        <v>30</v>
      </c>
      <c r="G362" s="217">
        <v>9.26</v>
      </c>
      <c r="H362" s="218">
        <v>7</v>
      </c>
      <c r="I362" s="219">
        <v>1</v>
      </c>
      <c r="J362" s="220">
        <f t="shared" si="196"/>
        <v>6.4819999999999989E-2</v>
      </c>
      <c r="K362" s="118"/>
      <c r="L362" s="111">
        <v>1</v>
      </c>
      <c r="M362" s="117">
        <f t="shared" si="197"/>
        <v>6.4819999999999989E-2</v>
      </c>
      <c r="N362" s="119">
        <f t="shared" si="198"/>
        <v>0</v>
      </c>
      <c r="O362" s="120">
        <f t="shared" si="199"/>
        <v>0</v>
      </c>
      <c r="P362" s="130">
        <v>6.35</v>
      </c>
      <c r="Q362" s="111">
        <v>1</v>
      </c>
      <c r="R362" s="111"/>
      <c r="S362" s="111"/>
    </row>
    <row r="363" spans="1:19" ht="15.6">
      <c r="A363" s="110" t="s">
        <v>324</v>
      </c>
      <c r="B363" s="111" t="s">
        <v>232</v>
      </c>
      <c r="C363" s="112" t="s">
        <v>228</v>
      </c>
      <c r="D363" s="113" t="s">
        <v>326</v>
      </c>
      <c r="E363" s="216" t="s">
        <v>14</v>
      </c>
      <c r="F363" s="216" t="s">
        <v>30</v>
      </c>
      <c r="G363" s="217">
        <v>9.26</v>
      </c>
      <c r="H363" s="218">
        <v>8.6</v>
      </c>
      <c r="I363" s="219">
        <v>1</v>
      </c>
      <c r="J363" s="220">
        <f t="shared" si="196"/>
        <v>7.9635999999999998E-2</v>
      </c>
      <c r="K363" s="118"/>
      <c r="L363" s="111">
        <v>1</v>
      </c>
      <c r="M363" s="117">
        <f t="shared" si="197"/>
        <v>7.9635999999999998E-2</v>
      </c>
      <c r="N363" s="119">
        <f t="shared" si="198"/>
        <v>0</v>
      </c>
      <c r="O363" s="120">
        <f t="shared" si="199"/>
        <v>0</v>
      </c>
      <c r="P363" s="130">
        <v>7.6</v>
      </c>
      <c r="Q363" s="111">
        <v>1</v>
      </c>
      <c r="R363" s="111"/>
      <c r="S363" s="111"/>
    </row>
    <row r="364" spans="1:19" ht="15.6">
      <c r="A364" s="110" t="s">
        <v>324</v>
      </c>
      <c r="B364" s="111" t="s">
        <v>232</v>
      </c>
      <c r="C364" s="112" t="s">
        <v>228</v>
      </c>
      <c r="D364" s="113" t="s">
        <v>326</v>
      </c>
      <c r="E364" s="216" t="s">
        <v>14</v>
      </c>
      <c r="F364" s="216" t="s">
        <v>30</v>
      </c>
      <c r="G364" s="217">
        <v>9.26</v>
      </c>
      <c r="H364" s="218">
        <v>8.8000000000000007</v>
      </c>
      <c r="I364" s="219">
        <v>1</v>
      </c>
      <c r="J364" s="220">
        <f t="shared" si="196"/>
        <v>8.1488000000000005E-2</v>
      </c>
      <c r="K364" s="118"/>
      <c r="L364" s="111">
        <v>1</v>
      </c>
      <c r="M364" s="117">
        <f t="shared" si="197"/>
        <v>8.1488000000000005E-2</v>
      </c>
      <c r="N364" s="119">
        <f t="shared" si="198"/>
        <v>0</v>
      </c>
      <c r="O364" s="120">
        <f t="shared" si="199"/>
        <v>0</v>
      </c>
      <c r="P364" s="130">
        <v>7.6</v>
      </c>
      <c r="Q364" s="111">
        <v>1</v>
      </c>
      <c r="R364" s="111"/>
      <c r="S364" s="111"/>
    </row>
    <row r="365" spans="1:19" ht="15.6">
      <c r="A365" s="110" t="s">
        <v>324</v>
      </c>
      <c r="B365" s="111" t="s">
        <v>232</v>
      </c>
      <c r="C365" s="112" t="s">
        <v>228</v>
      </c>
      <c r="D365" s="113" t="s">
        <v>326</v>
      </c>
      <c r="E365" s="216" t="s">
        <v>14</v>
      </c>
      <c r="F365" s="216" t="s">
        <v>30</v>
      </c>
      <c r="G365" s="217">
        <v>9.26</v>
      </c>
      <c r="H365" s="218">
        <v>12</v>
      </c>
      <c r="I365" s="219">
        <v>1</v>
      </c>
      <c r="J365" s="220">
        <f>(G365*H365*I365/1000)</f>
        <v>0.11112000000000001</v>
      </c>
      <c r="K365" s="118"/>
      <c r="L365" s="111">
        <v>1</v>
      </c>
      <c r="M365" s="117">
        <f t="shared" si="197"/>
        <v>0.11112000000000001</v>
      </c>
      <c r="N365" s="119">
        <f t="shared" si="198"/>
        <v>0</v>
      </c>
      <c r="O365" s="120">
        <f t="shared" si="199"/>
        <v>0</v>
      </c>
      <c r="P365" s="130">
        <v>9.15</v>
      </c>
      <c r="Q365" s="111">
        <v>1</v>
      </c>
      <c r="R365" s="111"/>
      <c r="S365" s="111"/>
    </row>
    <row r="366" spans="1:19" s="213" customFormat="1" ht="15.6">
      <c r="A366" s="110" t="s">
        <v>324</v>
      </c>
      <c r="B366" s="111" t="s">
        <v>232</v>
      </c>
      <c r="C366" s="112" t="s">
        <v>228</v>
      </c>
      <c r="D366" s="113" t="s">
        <v>326</v>
      </c>
      <c r="E366" s="216" t="s">
        <v>14</v>
      </c>
      <c r="F366" s="216" t="s">
        <v>30</v>
      </c>
      <c r="G366" s="217">
        <v>9.26</v>
      </c>
      <c r="H366" s="218">
        <v>7.6</v>
      </c>
      <c r="I366" s="219">
        <f>34+22+30+30+21</f>
        <v>137</v>
      </c>
      <c r="J366" s="220">
        <f t="shared" ref="J366:J369" si="200">(G366*H366*I366/1000)</f>
        <v>9.6415119999999987</v>
      </c>
      <c r="K366" s="118"/>
      <c r="L366" s="111">
        <v>137</v>
      </c>
      <c r="M366" s="117">
        <f t="shared" ref="M366:M369" si="201">H366*L366*G366/1000</f>
        <v>9.6415120000000005</v>
      </c>
      <c r="N366" s="119">
        <f t="shared" ref="N366:N369" si="202">I366-L366</f>
        <v>0</v>
      </c>
      <c r="O366" s="120">
        <f t="shared" ref="O366:O369" si="203">H366*N366*G366/1000</f>
        <v>0</v>
      </c>
      <c r="P366" s="130"/>
      <c r="Q366" s="111"/>
      <c r="R366" s="111"/>
      <c r="S366" s="233"/>
    </row>
    <row r="367" spans="1:19" s="213" customFormat="1" ht="15.6">
      <c r="A367" s="110" t="s">
        <v>324</v>
      </c>
      <c r="B367" s="111" t="s">
        <v>232</v>
      </c>
      <c r="C367" s="112" t="s">
        <v>228</v>
      </c>
      <c r="D367" s="113" t="s">
        <v>326</v>
      </c>
      <c r="E367" s="216" t="s">
        <v>14</v>
      </c>
      <c r="F367" s="216" t="s">
        <v>30</v>
      </c>
      <c r="G367" s="217">
        <v>9.26</v>
      </c>
      <c r="H367" s="218">
        <v>10.5</v>
      </c>
      <c r="I367" s="219">
        <f>11+10</f>
        <v>21</v>
      </c>
      <c r="J367" s="220">
        <f t="shared" si="200"/>
        <v>2.04183</v>
      </c>
      <c r="K367" s="118"/>
      <c r="L367" s="111">
        <f>17+4</f>
        <v>21</v>
      </c>
      <c r="M367" s="117">
        <f t="shared" si="201"/>
        <v>2.04183</v>
      </c>
      <c r="N367" s="119">
        <f t="shared" si="202"/>
        <v>0</v>
      </c>
      <c r="O367" s="120">
        <f t="shared" si="203"/>
        <v>0</v>
      </c>
      <c r="P367" s="130">
        <v>7.6</v>
      </c>
      <c r="Q367" s="111">
        <v>4</v>
      </c>
      <c r="R367" s="111"/>
      <c r="S367" s="233"/>
    </row>
    <row r="368" spans="1:19" s="213" customFormat="1" ht="15.6">
      <c r="A368" s="110" t="s">
        <v>324</v>
      </c>
      <c r="B368" s="111" t="s">
        <v>232</v>
      </c>
      <c r="C368" s="112" t="s">
        <v>228</v>
      </c>
      <c r="D368" s="113" t="s">
        <v>326</v>
      </c>
      <c r="E368" s="216" t="s">
        <v>14</v>
      </c>
      <c r="F368" s="216" t="s">
        <v>30</v>
      </c>
      <c r="G368" s="217">
        <v>9.26</v>
      </c>
      <c r="H368" s="218">
        <v>11</v>
      </c>
      <c r="I368" s="219">
        <f>14+23+22+17</f>
        <v>76</v>
      </c>
      <c r="J368" s="220">
        <f t="shared" si="200"/>
        <v>7.7413599999999994</v>
      </c>
      <c r="K368" s="118"/>
      <c r="L368" s="111">
        <v>76</v>
      </c>
      <c r="M368" s="117">
        <f t="shared" si="201"/>
        <v>7.7413599999999994</v>
      </c>
      <c r="N368" s="119">
        <f t="shared" si="202"/>
        <v>0</v>
      </c>
      <c r="O368" s="120">
        <f t="shared" si="203"/>
        <v>0</v>
      </c>
      <c r="P368" s="111"/>
      <c r="Q368" s="111"/>
      <c r="R368" s="111"/>
      <c r="S368" s="233"/>
    </row>
    <row r="369" spans="1:19" s="213" customFormat="1" ht="15.6">
      <c r="A369" s="110" t="s">
        <v>324</v>
      </c>
      <c r="B369" s="111" t="s">
        <v>232</v>
      </c>
      <c r="C369" s="112" t="s">
        <v>228</v>
      </c>
      <c r="D369" s="113" t="s">
        <v>326</v>
      </c>
      <c r="E369" s="216" t="s">
        <v>14</v>
      </c>
      <c r="F369" s="216" t="s">
        <v>30</v>
      </c>
      <c r="G369" s="217">
        <v>9.26</v>
      </c>
      <c r="H369" s="218">
        <v>9.1999999999999993</v>
      </c>
      <c r="I369" s="219">
        <v>21</v>
      </c>
      <c r="J369" s="220">
        <f t="shared" si="200"/>
        <v>1.789032</v>
      </c>
      <c r="K369" s="118"/>
      <c r="L369" s="111">
        <v>21</v>
      </c>
      <c r="M369" s="117">
        <f t="shared" si="201"/>
        <v>1.789032</v>
      </c>
      <c r="N369" s="119">
        <f t="shared" si="202"/>
        <v>0</v>
      </c>
      <c r="O369" s="120">
        <f t="shared" si="203"/>
        <v>0</v>
      </c>
      <c r="P369" s="111"/>
      <c r="Q369" s="111"/>
      <c r="R369" s="111"/>
      <c r="S369" s="233"/>
    </row>
    <row r="370" spans="1:19">
      <c r="I370" s="215">
        <f>SUM(I351:I369)</f>
        <v>1063</v>
      </c>
      <c r="J370" s="214">
        <f>SUM(J351:J369)</f>
        <v>77.542314000000005</v>
      </c>
      <c r="L370" s="215">
        <f>SUM(L351:L369)</f>
        <v>1057</v>
      </c>
      <c r="M370" s="214">
        <f>SUM(M351:M369)</f>
        <v>77.205250000000007</v>
      </c>
      <c r="N370" s="78">
        <f>SUM(N351:N369)</f>
        <v>6</v>
      </c>
      <c r="O370" s="128">
        <f>SUM(O351:O369)</f>
        <v>0.33706399999999997</v>
      </c>
    </row>
    <row r="372" spans="1:19" ht="15.6">
      <c r="A372" s="110" t="s">
        <v>311</v>
      </c>
      <c r="B372" s="111" t="s">
        <v>232</v>
      </c>
      <c r="C372" s="112" t="s">
        <v>228</v>
      </c>
      <c r="D372" s="113" t="s">
        <v>152</v>
      </c>
      <c r="E372" s="216" t="s">
        <v>15</v>
      </c>
      <c r="F372" s="216" t="s">
        <v>28</v>
      </c>
      <c r="G372" s="217">
        <v>12.2</v>
      </c>
      <c r="H372" s="221">
        <v>10.5</v>
      </c>
      <c r="I372" s="219">
        <f>23+24+25+17+25+20+24+24+23+24+23+23+13+24+25+24+24+24+11+24</f>
        <v>444</v>
      </c>
      <c r="J372" s="220">
        <f t="shared" ref="J372" si="204">(G372*H372*I372/1000)</f>
        <v>56.876399999999997</v>
      </c>
      <c r="K372" s="118"/>
      <c r="L372" s="111">
        <f>444+19</f>
        <v>463</v>
      </c>
      <c r="M372" s="117">
        <f t="shared" ref="M372" si="205">H372*L372*G372/1000</f>
        <v>59.310299999999998</v>
      </c>
      <c r="N372" s="228">
        <f t="shared" ref="N372" si="206">I372-L372</f>
        <v>-19</v>
      </c>
      <c r="O372" s="229">
        <f t="shared" ref="O372" si="207">H372*N372*G372/1000</f>
        <v>-2.4338999999999995</v>
      </c>
      <c r="P372" s="44" t="s">
        <v>394</v>
      </c>
      <c r="Q372" s="111"/>
      <c r="R372" s="111"/>
      <c r="S372" s="111"/>
    </row>
    <row r="373" spans="1:19" ht="15.6">
      <c r="A373" s="110" t="s">
        <v>311</v>
      </c>
      <c r="B373" s="111" t="s">
        <v>232</v>
      </c>
      <c r="C373" s="112" t="s">
        <v>228</v>
      </c>
      <c r="D373" s="113" t="s">
        <v>152</v>
      </c>
      <c r="E373" s="216" t="s">
        <v>15</v>
      </c>
      <c r="F373" s="216" t="s">
        <v>28</v>
      </c>
      <c r="G373" s="217">
        <v>12.2</v>
      </c>
      <c r="H373" s="221">
        <v>11.5</v>
      </c>
      <c r="I373" s="219">
        <f>22+23+21+20+3+20+20+22+20+17+7</f>
        <v>195</v>
      </c>
      <c r="J373" s="220">
        <f t="shared" ref="J373:J384" si="208">(G373*H373*I373/1000)</f>
        <v>27.358499999999996</v>
      </c>
      <c r="K373" s="118"/>
      <c r="L373" s="111">
        <f>192+3</f>
        <v>195</v>
      </c>
      <c r="M373" s="117">
        <f t="shared" ref="M373:M384" si="209">H373*L373*G373/1000</f>
        <v>27.358499999999999</v>
      </c>
      <c r="N373" s="119">
        <f t="shared" ref="N373:N384" si="210">I373-L373</f>
        <v>0</v>
      </c>
      <c r="O373" s="120">
        <f t="shared" ref="O373:O384" si="211">H373*N373*G373/1000</f>
        <v>0</v>
      </c>
      <c r="P373" s="111">
        <v>10.5</v>
      </c>
      <c r="Q373" s="111">
        <v>3</v>
      </c>
      <c r="R373" s="111"/>
      <c r="S373" s="111"/>
    </row>
    <row r="374" spans="1:19" ht="15.6">
      <c r="A374" s="110" t="s">
        <v>311</v>
      </c>
      <c r="B374" s="111" t="s">
        <v>232</v>
      </c>
      <c r="C374" s="112" t="s">
        <v>228</v>
      </c>
      <c r="D374" s="113" t="s">
        <v>152</v>
      </c>
      <c r="E374" s="216" t="s">
        <v>15</v>
      </c>
      <c r="F374" s="216" t="s">
        <v>28</v>
      </c>
      <c r="G374" s="217">
        <v>12.2</v>
      </c>
      <c r="H374" s="221">
        <v>11.25</v>
      </c>
      <c r="I374" s="219">
        <f>24+23+23+24+16+19+21+21+22+21+23+8+7</f>
        <v>252</v>
      </c>
      <c r="J374" s="220">
        <f t="shared" si="208"/>
        <v>34.587000000000003</v>
      </c>
      <c r="K374" s="118"/>
      <c r="L374" s="111">
        <f>242+10</f>
        <v>252</v>
      </c>
      <c r="M374" s="117">
        <f t="shared" si="209"/>
        <v>34.587000000000003</v>
      </c>
      <c r="N374" s="119">
        <f t="shared" si="210"/>
        <v>0</v>
      </c>
      <c r="O374" s="120">
        <f t="shared" si="211"/>
        <v>0</v>
      </c>
      <c r="P374" s="111">
        <v>10.5</v>
      </c>
      <c r="Q374" s="111">
        <v>10</v>
      </c>
      <c r="R374" s="111"/>
      <c r="S374" s="111"/>
    </row>
    <row r="375" spans="1:19" ht="15.6">
      <c r="A375" s="110" t="s">
        <v>311</v>
      </c>
      <c r="B375" s="111" t="s">
        <v>232</v>
      </c>
      <c r="C375" s="112" t="s">
        <v>228</v>
      </c>
      <c r="D375" s="113" t="s">
        <v>152</v>
      </c>
      <c r="E375" s="216" t="s">
        <v>15</v>
      </c>
      <c r="F375" s="216" t="s">
        <v>28</v>
      </c>
      <c r="G375" s="217">
        <v>12.2</v>
      </c>
      <c r="H375" s="221">
        <v>10.3</v>
      </c>
      <c r="I375" s="219">
        <v>2</v>
      </c>
      <c r="J375" s="220">
        <f t="shared" si="208"/>
        <v>0.25131999999999999</v>
      </c>
      <c r="K375" s="118"/>
      <c r="L375" s="111">
        <v>2</v>
      </c>
      <c r="M375" s="117">
        <f t="shared" si="209"/>
        <v>0.25131999999999999</v>
      </c>
      <c r="N375" s="119">
        <f t="shared" si="210"/>
        <v>0</v>
      </c>
      <c r="O375" s="120">
        <f t="shared" si="211"/>
        <v>0</v>
      </c>
      <c r="P375" s="111" t="s">
        <v>360</v>
      </c>
      <c r="Q375" s="111"/>
      <c r="R375" s="111"/>
      <c r="S375" s="111"/>
    </row>
    <row r="376" spans="1:19" ht="15.6">
      <c r="A376" s="110" t="s">
        <v>311</v>
      </c>
      <c r="B376" s="111" t="s">
        <v>232</v>
      </c>
      <c r="C376" s="112" t="s">
        <v>228</v>
      </c>
      <c r="D376" s="113" t="s">
        <v>152</v>
      </c>
      <c r="E376" s="216" t="s">
        <v>15</v>
      </c>
      <c r="F376" s="216" t="s">
        <v>28</v>
      </c>
      <c r="G376" s="217">
        <v>12.2</v>
      </c>
      <c r="H376" s="221">
        <v>10.1</v>
      </c>
      <c r="I376" s="219">
        <v>1</v>
      </c>
      <c r="J376" s="220">
        <f t="shared" si="208"/>
        <v>0.12321999999999998</v>
      </c>
      <c r="K376" s="118"/>
      <c r="L376" s="111">
        <v>1</v>
      </c>
      <c r="M376" s="117">
        <f t="shared" si="209"/>
        <v>0.12321999999999998</v>
      </c>
      <c r="N376" s="119">
        <f t="shared" si="210"/>
        <v>0</v>
      </c>
      <c r="O376" s="120">
        <f t="shared" si="211"/>
        <v>0</v>
      </c>
      <c r="P376" s="111" t="s">
        <v>360</v>
      </c>
      <c r="Q376" s="111"/>
      <c r="R376" s="111"/>
      <c r="S376" s="111"/>
    </row>
    <row r="377" spans="1:19" ht="15.6">
      <c r="A377" s="110" t="s">
        <v>311</v>
      </c>
      <c r="B377" s="111" t="s">
        <v>232</v>
      </c>
      <c r="C377" s="112" t="s">
        <v>228</v>
      </c>
      <c r="D377" s="113" t="s">
        <v>152</v>
      </c>
      <c r="E377" s="216" t="s">
        <v>15</v>
      </c>
      <c r="F377" s="216" t="s">
        <v>28</v>
      </c>
      <c r="G377" s="217">
        <v>12.2</v>
      </c>
      <c r="H377" s="221">
        <v>10</v>
      </c>
      <c r="I377" s="219">
        <v>3</v>
      </c>
      <c r="J377" s="220">
        <f t="shared" si="208"/>
        <v>0.36599999999999999</v>
      </c>
      <c r="K377" s="118"/>
      <c r="L377" s="111">
        <v>3</v>
      </c>
      <c r="M377" s="117">
        <f t="shared" si="209"/>
        <v>0.36599999999999999</v>
      </c>
      <c r="N377" s="119">
        <f t="shared" si="210"/>
        <v>0</v>
      </c>
      <c r="O377" s="120">
        <f t="shared" si="211"/>
        <v>0</v>
      </c>
      <c r="P377" s="111" t="s">
        <v>360</v>
      </c>
      <c r="Q377" s="111"/>
      <c r="R377" s="111"/>
      <c r="S377" s="111"/>
    </row>
    <row r="378" spans="1:19" ht="15.6">
      <c r="A378" s="110" t="s">
        <v>311</v>
      </c>
      <c r="B378" s="111" t="s">
        <v>232</v>
      </c>
      <c r="C378" s="112" t="s">
        <v>228</v>
      </c>
      <c r="D378" s="113" t="s">
        <v>152</v>
      </c>
      <c r="E378" s="216" t="s">
        <v>15</v>
      </c>
      <c r="F378" s="216" t="s">
        <v>28</v>
      </c>
      <c r="G378" s="217">
        <v>12.2</v>
      </c>
      <c r="H378" s="221">
        <v>9.5</v>
      </c>
      <c r="I378" s="219">
        <v>1</v>
      </c>
      <c r="J378" s="220">
        <f t="shared" si="208"/>
        <v>0.11589999999999999</v>
      </c>
      <c r="K378" s="118"/>
      <c r="L378" s="111">
        <v>1</v>
      </c>
      <c r="M378" s="117">
        <f t="shared" si="209"/>
        <v>0.11589999999999999</v>
      </c>
      <c r="N378" s="119">
        <f t="shared" si="210"/>
        <v>0</v>
      </c>
      <c r="O378" s="120">
        <f t="shared" si="211"/>
        <v>0</v>
      </c>
      <c r="P378" s="111"/>
      <c r="Q378" s="111"/>
      <c r="R378" s="111"/>
      <c r="S378" s="111"/>
    </row>
    <row r="379" spans="1:19" ht="15.6">
      <c r="A379" s="110" t="s">
        <v>311</v>
      </c>
      <c r="B379" s="111" t="s">
        <v>232</v>
      </c>
      <c r="C379" s="112" t="s">
        <v>228</v>
      </c>
      <c r="D379" s="113" t="s">
        <v>152</v>
      </c>
      <c r="E379" s="216" t="s">
        <v>15</v>
      </c>
      <c r="F379" s="216" t="s">
        <v>28</v>
      </c>
      <c r="G379" s="217">
        <v>12.2</v>
      </c>
      <c r="H379" s="221">
        <v>9.4</v>
      </c>
      <c r="I379" s="219">
        <v>1</v>
      </c>
      <c r="J379" s="220">
        <f t="shared" si="208"/>
        <v>0.11467999999999999</v>
      </c>
      <c r="K379" s="118"/>
      <c r="L379" s="111">
        <v>1</v>
      </c>
      <c r="M379" s="117">
        <f t="shared" si="209"/>
        <v>0.11467999999999999</v>
      </c>
      <c r="N379" s="119">
        <f t="shared" si="210"/>
        <v>0</v>
      </c>
      <c r="O379" s="120">
        <f t="shared" si="211"/>
        <v>0</v>
      </c>
      <c r="P379" s="111"/>
      <c r="Q379" s="111"/>
      <c r="R379" s="111"/>
      <c r="S379" s="111"/>
    </row>
    <row r="380" spans="1:19" ht="15.6">
      <c r="A380" s="110" t="s">
        <v>311</v>
      </c>
      <c r="B380" s="111" t="s">
        <v>232</v>
      </c>
      <c r="C380" s="112" t="s">
        <v>228</v>
      </c>
      <c r="D380" s="113" t="s">
        <v>152</v>
      </c>
      <c r="E380" s="216" t="s">
        <v>15</v>
      </c>
      <c r="F380" s="216" t="s">
        <v>28</v>
      </c>
      <c r="G380" s="217">
        <v>12.2</v>
      </c>
      <c r="H380" s="221">
        <v>11.5</v>
      </c>
      <c r="I380" s="219">
        <v>1</v>
      </c>
      <c r="J380" s="220">
        <f t="shared" si="208"/>
        <v>0.14029999999999998</v>
      </c>
      <c r="K380" s="118"/>
      <c r="L380" s="111">
        <v>1</v>
      </c>
      <c r="M380" s="117">
        <f t="shared" si="209"/>
        <v>0.14029999999999998</v>
      </c>
      <c r="N380" s="119">
        <f t="shared" si="210"/>
        <v>0</v>
      </c>
      <c r="O380" s="120">
        <f t="shared" si="211"/>
        <v>0</v>
      </c>
      <c r="P380" s="111">
        <v>10.5</v>
      </c>
      <c r="Q380" s="111">
        <v>1</v>
      </c>
      <c r="R380" s="111"/>
      <c r="S380" s="111"/>
    </row>
    <row r="381" spans="1:19" ht="15.6">
      <c r="A381" s="110" t="s">
        <v>311</v>
      </c>
      <c r="B381" s="111" t="s">
        <v>232</v>
      </c>
      <c r="C381" s="112" t="s">
        <v>228</v>
      </c>
      <c r="D381" s="113" t="s">
        <v>152</v>
      </c>
      <c r="E381" s="216" t="s">
        <v>15</v>
      </c>
      <c r="F381" s="216" t="s">
        <v>28</v>
      </c>
      <c r="G381" s="217">
        <v>12.2</v>
      </c>
      <c r="H381" s="221">
        <v>10.5</v>
      </c>
      <c r="I381" s="219">
        <v>2</v>
      </c>
      <c r="J381" s="220">
        <f t="shared" si="208"/>
        <v>0.25619999999999998</v>
      </c>
      <c r="K381" s="118"/>
      <c r="L381" s="111">
        <v>2</v>
      </c>
      <c r="M381" s="117">
        <f t="shared" si="209"/>
        <v>0.25619999999999998</v>
      </c>
      <c r="N381" s="119">
        <f t="shared" si="210"/>
        <v>0</v>
      </c>
      <c r="O381" s="120">
        <f t="shared" si="211"/>
        <v>0</v>
      </c>
      <c r="P381" s="111"/>
      <c r="Q381" s="111"/>
      <c r="R381" s="111"/>
      <c r="S381" s="111"/>
    </row>
    <row r="382" spans="1:19" ht="15.6">
      <c r="A382" s="110" t="s">
        <v>311</v>
      </c>
      <c r="B382" s="111" t="s">
        <v>232</v>
      </c>
      <c r="C382" s="112" t="s">
        <v>228</v>
      </c>
      <c r="D382" s="113" t="s">
        <v>152</v>
      </c>
      <c r="E382" s="216" t="s">
        <v>15</v>
      </c>
      <c r="F382" s="216" t="s">
        <v>28</v>
      </c>
      <c r="G382" s="217">
        <v>12.2</v>
      </c>
      <c r="H382" s="221">
        <v>8.4</v>
      </c>
      <c r="I382" s="219">
        <v>1</v>
      </c>
      <c r="J382" s="220">
        <f t="shared" si="208"/>
        <v>0.10248</v>
      </c>
      <c r="K382" s="118"/>
      <c r="L382" s="111">
        <v>1</v>
      </c>
      <c r="M382" s="117">
        <f t="shared" si="209"/>
        <v>0.10248</v>
      </c>
      <c r="N382" s="119">
        <f t="shared" si="210"/>
        <v>0</v>
      </c>
      <c r="O382" s="120">
        <f t="shared" si="211"/>
        <v>0</v>
      </c>
      <c r="P382" s="111"/>
      <c r="Q382" s="111"/>
      <c r="R382" s="111"/>
      <c r="S382" s="111"/>
    </row>
    <row r="383" spans="1:19" ht="15.6">
      <c r="A383" s="110" t="s">
        <v>311</v>
      </c>
      <c r="B383" s="111" t="s">
        <v>232</v>
      </c>
      <c r="C383" s="112" t="s">
        <v>228</v>
      </c>
      <c r="D383" s="113" t="s">
        <v>152</v>
      </c>
      <c r="E383" s="216" t="s">
        <v>15</v>
      </c>
      <c r="F383" s="216" t="s">
        <v>28</v>
      </c>
      <c r="G383" s="217">
        <v>12.2</v>
      </c>
      <c r="H383" s="221">
        <v>8.5</v>
      </c>
      <c r="I383" s="219">
        <v>1</v>
      </c>
      <c r="J383" s="220">
        <f t="shared" si="208"/>
        <v>0.10369999999999999</v>
      </c>
      <c r="K383" s="118"/>
      <c r="L383" s="111">
        <v>1</v>
      </c>
      <c r="M383" s="117">
        <f t="shared" si="209"/>
        <v>0.10369999999999999</v>
      </c>
      <c r="N383" s="119">
        <f t="shared" si="210"/>
        <v>0</v>
      </c>
      <c r="O383" s="120">
        <f t="shared" si="211"/>
        <v>0</v>
      </c>
      <c r="P383" s="111"/>
      <c r="Q383" s="111"/>
      <c r="R383" s="111"/>
      <c r="S383" s="111"/>
    </row>
    <row r="384" spans="1:19" ht="15.6">
      <c r="A384" s="110" t="s">
        <v>311</v>
      </c>
      <c r="B384" s="111" t="s">
        <v>232</v>
      </c>
      <c r="C384" s="112" t="s">
        <v>228</v>
      </c>
      <c r="D384" s="113" t="s">
        <v>152</v>
      </c>
      <c r="E384" s="216" t="s">
        <v>15</v>
      </c>
      <c r="F384" s="216" t="s">
        <v>28</v>
      </c>
      <c r="G384" s="217">
        <v>12.2</v>
      </c>
      <c r="H384" s="221">
        <v>8.9</v>
      </c>
      <c r="I384" s="219">
        <v>1</v>
      </c>
      <c r="J384" s="220">
        <f t="shared" si="208"/>
        <v>0.10858</v>
      </c>
      <c r="K384" s="118"/>
      <c r="L384" s="111">
        <v>1</v>
      </c>
      <c r="M384" s="117">
        <f t="shared" si="209"/>
        <v>0.10858</v>
      </c>
      <c r="N384" s="119">
        <f t="shared" si="210"/>
        <v>0</v>
      </c>
      <c r="O384" s="120">
        <f t="shared" si="211"/>
        <v>0</v>
      </c>
      <c r="P384" s="111"/>
      <c r="Q384" s="111"/>
      <c r="R384" s="111"/>
      <c r="S384" s="111"/>
    </row>
    <row r="385" spans="1:19" ht="15.6">
      <c r="A385" s="110" t="s">
        <v>311</v>
      </c>
      <c r="B385" s="111" t="s">
        <v>232</v>
      </c>
      <c r="C385" s="112" t="s">
        <v>228</v>
      </c>
      <c r="D385" s="113" t="s">
        <v>152</v>
      </c>
      <c r="E385" s="216" t="s">
        <v>15</v>
      </c>
      <c r="F385" s="216" t="s">
        <v>28</v>
      </c>
      <c r="G385" s="217">
        <v>12.2</v>
      </c>
      <c r="H385" s="221">
        <v>9.3000000000000007</v>
      </c>
      <c r="I385" s="219">
        <v>1</v>
      </c>
      <c r="J385" s="220">
        <f t="shared" ref="J385:J390" si="212">(G385*H385*I385/1000)</f>
        <v>0.11346000000000001</v>
      </c>
      <c r="K385" s="118"/>
      <c r="L385" s="111">
        <v>1</v>
      </c>
      <c r="M385" s="117">
        <f t="shared" ref="M385:M390" si="213">H385*L385*G385/1000</f>
        <v>0.11346000000000001</v>
      </c>
      <c r="N385" s="119">
        <f t="shared" ref="N385:N390" si="214">I385-L385</f>
        <v>0</v>
      </c>
      <c r="O385" s="120">
        <f t="shared" ref="O385:O390" si="215">H385*N385*G385/1000</f>
        <v>0</v>
      </c>
      <c r="P385" s="111"/>
      <c r="Q385" s="111"/>
      <c r="R385" s="111"/>
      <c r="S385" s="111"/>
    </row>
    <row r="386" spans="1:19" ht="15.6">
      <c r="A386" s="110" t="s">
        <v>311</v>
      </c>
      <c r="B386" s="111" t="s">
        <v>232</v>
      </c>
      <c r="C386" s="112" t="s">
        <v>228</v>
      </c>
      <c r="D386" s="113" t="s">
        <v>152</v>
      </c>
      <c r="E386" s="216" t="s">
        <v>15</v>
      </c>
      <c r="F386" s="216" t="s">
        <v>28</v>
      </c>
      <c r="G386" s="217">
        <v>12.2</v>
      </c>
      <c r="H386" s="221">
        <v>9.5</v>
      </c>
      <c r="I386" s="219">
        <v>3</v>
      </c>
      <c r="J386" s="220">
        <f t="shared" si="212"/>
        <v>0.34770000000000001</v>
      </c>
      <c r="K386" s="118"/>
      <c r="L386" s="111">
        <v>3</v>
      </c>
      <c r="M386" s="117">
        <f t="shared" si="213"/>
        <v>0.34770000000000001</v>
      </c>
      <c r="N386" s="119">
        <f t="shared" si="214"/>
        <v>0</v>
      </c>
      <c r="O386" s="120">
        <f t="shared" si="215"/>
        <v>0</v>
      </c>
      <c r="P386" s="111" t="s">
        <v>360</v>
      </c>
      <c r="Q386" s="111"/>
      <c r="R386" s="111"/>
      <c r="S386" s="111"/>
    </row>
    <row r="387" spans="1:19" ht="15.6">
      <c r="A387" s="110" t="s">
        <v>311</v>
      </c>
      <c r="B387" s="111" t="s">
        <v>232</v>
      </c>
      <c r="C387" s="112" t="s">
        <v>228</v>
      </c>
      <c r="D387" s="113" t="s">
        <v>152</v>
      </c>
      <c r="E387" s="216" t="s">
        <v>15</v>
      </c>
      <c r="F387" s="216" t="s">
        <v>28</v>
      </c>
      <c r="G387" s="217">
        <v>12.2</v>
      </c>
      <c r="H387" s="221">
        <v>10</v>
      </c>
      <c r="I387" s="219">
        <v>2</v>
      </c>
      <c r="J387" s="220">
        <f t="shared" si="212"/>
        <v>0.24399999999999999</v>
      </c>
      <c r="K387" s="118"/>
      <c r="L387" s="111">
        <v>2</v>
      </c>
      <c r="M387" s="117">
        <f t="shared" si="213"/>
        <v>0.24399999999999999</v>
      </c>
      <c r="N387" s="119">
        <f t="shared" si="214"/>
        <v>0</v>
      </c>
      <c r="O387" s="120">
        <f t="shared" si="215"/>
        <v>0</v>
      </c>
      <c r="P387" s="111" t="s">
        <v>360</v>
      </c>
      <c r="Q387" s="111"/>
      <c r="R387" s="111"/>
      <c r="S387" s="111"/>
    </row>
    <row r="388" spans="1:19" ht="15.6">
      <c r="A388" s="110" t="s">
        <v>311</v>
      </c>
      <c r="B388" s="111" t="s">
        <v>232</v>
      </c>
      <c r="C388" s="112" t="s">
        <v>228</v>
      </c>
      <c r="D388" s="113" t="s">
        <v>152</v>
      </c>
      <c r="E388" s="216" t="s">
        <v>15</v>
      </c>
      <c r="F388" s="216" t="s">
        <v>28</v>
      </c>
      <c r="G388" s="217">
        <v>12.2</v>
      </c>
      <c r="H388" s="221">
        <v>10.199999999999999</v>
      </c>
      <c r="I388" s="219">
        <v>6</v>
      </c>
      <c r="J388" s="220">
        <f t="shared" si="212"/>
        <v>0.74663999999999986</v>
      </c>
      <c r="K388" s="118"/>
      <c r="L388" s="111">
        <v>6</v>
      </c>
      <c r="M388" s="117">
        <f t="shared" si="213"/>
        <v>0.74663999999999986</v>
      </c>
      <c r="N388" s="119">
        <f t="shared" si="214"/>
        <v>0</v>
      </c>
      <c r="O388" s="120">
        <f t="shared" si="215"/>
        <v>0</v>
      </c>
      <c r="P388" s="111" t="s">
        <v>360</v>
      </c>
      <c r="Q388" s="111"/>
      <c r="R388" s="111"/>
      <c r="S388" s="111"/>
    </row>
    <row r="389" spans="1:19" ht="15.6">
      <c r="A389" s="110" t="s">
        <v>311</v>
      </c>
      <c r="B389" s="111" t="s">
        <v>232</v>
      </c>
      <c r="C389" s="112" t="s">
        <v>228</v>
      </c>
      <c r="D389" s="113" t="s">
        <v>152</v>
      </c>
      <c r="E389" s="216" t="s">
        <v>15</v>
      </c>
      <c r="F389" s="216" t="s">
        <v>28</v>
      </c>
      <c r="G389" s="217">
        <v>12.2</v>
      </c>
      <c r="H389" s="221">
        <v>10.4</v>
      </c>
      <c r="I389" s="219">
        <v>1</v>
      </c>
      <c r="J389" s="220">
        <f t="shared" si="212"/>
        <v>0.12687999999999999</v>
      </c>
      <c r="K389" s="118"/>
      <c r="L389" s="111">
        <v>1</v>
      </c>
      <c r="M389" s="117">
        <f t="shared" si="213"/>
        <v>0.12687999999999999</v>
      </c>
      <c r="N389" s="119">
        <f t="shared" si="214"/>
        <v>0</v>
      </c>
      <c r="O389" s="120">
        <f t="shared" si="215"/>
        <v>0</v>
      </c>
      <c r="P389" s="111" t="s">
        <v>360</v>
      </c>
      <c r="Q389" s="111"/>
      <c r="R389" s="111"/>
      <c r="S389" s="111"/>
    </row>
    <row r="390" spans="1:19" ht="15.6">
      <c r="A390" s="110" t="s">
        <v>311</v>
      </c>
      <c r="B390" s="111" t="s">
        <v>232</v>
      </c>
      <c r="C390" s="112" t="s">
        <v>228</v>
      </c>
      <c r="D390" s="113" t="s">
        <v>152</v>
      </c>
      <c r="E390" s="216" t="s">
        <v>15</v>
      </c>
      <c r="F390" s="216" t="s">
        <v>28</v>
      </c>
      <c r="G390" s="217">
        <v>12.2</v>
      </c>
      <c r="H390" s="221">
        <v>11.5</v>
      </c>
      <c r="I390" s="219">
        <v>3</v>
      </c>
      <c r="J390" s="220">
        <f t="shared" si="212"/>
        <v>0.4209</v>
      </c>
      <c r="K390" s="118"/>
      <c r="L390" s="111">
        <v>3</v>
      </c>
      <c r="M390" s="117">
        <f t="shared" si="213"/>
        <v>0.4209</v>
      </c>
      <c r="N390" s="119">
        <f t="shared" si="214"/>
        <v>0</v>
      </c>
      <c r="O390" s="120">
        <f t="shared" si="215"/>
        <v>0</v>
      </c>
      <c r="P390" s="111" t="s">
        <v>360</v>
      </c>
      <c r="Q390" s="111"/>
      <c r="R390" s="111"/>
      <c r="S390" s="111"/>
    </row>
    <row r="391" spans="1:19" ht="15.6">
      <c r="B391" s="111" t="s">
        <v>232</v>
      </c>
      <c r="C391" s="112" t="s">
        <v>228</v>
      </c>
      <c r="D391" s="113" t="s">
        <v>152</v>
      </c>
      <c r="E391" s="216" t="s">
        <v>15</v>
      </c>
      <c r="F391" s="216" t="s">
        <v>28</v>
      </c>
      <c r="G391" s="217">
        <v>12.2</v>
      </c>
      <c r="H391" s="221">
        <v>10.5</v>
      </c>
      <c r="I391" s="219">
        <v>6</v>
      </c>
      <c r="J391" s="220">
        <f t="shared" ref="J391" si="216">(G391*H391*I391/1000)</f>
        <v>0.76859999999999995</v>
      </c>
      <c r="K391" s="183" t="s">
        <v>26</v>
      </c>
      <c r="L391" s="111">
        <v>6</v>
      </c>
      <c r="M391" s="117">
        <f t="shared" ref="M391" si="217">H391*L391*G391/1000</f>
        <v>0.76859999999999995</v>
      </c>
      <c r="N391" s="119">
        <f t="shared" ref="N391" si="218">I391-L391</f>
        <v>0</v>
      </c>
      <c r="O391" s="120">
        <f t="shared" ref="O391" si="219">H391*N391*G391/1000</f>
        <v>0</v>
      </c>
      <c r="P391" s="111" t="s">
        <v>360</v>
      </c>
      <c r="Q391" s="111"/>
      <c r="R391" s="111"/>
      <c r="S391" s="111"/>
    </row>
    <row r="392" spans="1:19">
      <c r="I392" s="215">
        <f>SUM(I372:I391)</f>
        <v>927</v>
      </c>
      <c r="J392" s="214">
        <f>SUM(J372:J391)</f>
        <v>123.27246000000004</v>
      </c>
      <c r="L392" s="215">
        <f>SUM(L372:L391)</f>
        <v>946</v>
      </c>
      <c r="M392" s="214">
        <f>SUM(M372:M391)</f>
        <v>125.70636000000005</v>
      </c>
      <c r="N392" s="78">
        <f>SUM(N372:N391)</f>
        <v>-19</v>
      </c>
      <c r="O392" s="128">
        <f>SUM(O372:O391)</f>
        <v>-2.4338999999999995</v>
      </c>
    </row>
    <row r="394" spans="1:19" ht="15.6">
      <c r="A394" s="110" t="s">
        <v>327</v>
      </c>
      <c r="B394" s="111" t="s">
        <v>232</v>
      </c>
      <c r="C394" s="112" t="s">
        <v>228</v>
      </c>
      <c r="D394" s="113" t="s">
        <v>152</v>
      </c>
      <c r="E394" s="216" t="s">
        <v>15</v>
      </c>
      <c r="F394" s="216" t="s">
        <v>45</v>
      </c>
      <c r="G394" s="217">
        <v>13.6</v>
      </c>
      <c r="H394" s="218">
        <v>6.6</v>
      </c>
      <c r="I394" s="219">
        <f>26+26+28+24</f>
        <v>104</v>
      </c>
      <c r="J394" s="220">
        <f t="shared" ref="J394:J395" si="220">(G394*H394*I394/1000)</f>
        <v>9.3350399999999993</v>
      </c>
      <c r="K394" s="118"/>
      <c r="L394" s="111">
        <f>102+2</f>
        <v>104</v>
      </c>
      <c r="M394" s="117">
        <f t="shared" ref="M394:M395" si="221">H394*L394*G394/1000</f>
        <v>9.3350399999999993</v>
      </c>
      <c r="N394" s="119">
        <f t="shared" ref="N394:N395" si="222">I394-L394</f>
        <v>0</v>
      </c>
      <c r="O394" s="120">
        <f t="shared" ref="O394:O395" si="223">H394*N394*G394/1000</f>
        <v>0</v>
      </c>
      <c r="P394" s="111">
        <v>6.55</v>
      </c>
      <c r="Q394" s="45">
        <v>2</v>
      </c>
      <c r="R394" s="111" t="s">
        <v>740</v>
      </c>
    </row>
    <row r="395" spans="1:19" ht="15.6">
      <c r="A395" s="110" t="s">
        <v>327</v>
      </c>
      <c r="B395" s="111" t="s">
        <v>232</v>
      </c>
      <c r="C395" s="112" t="s">
        <v>228</v>
      </c>
      <c r="D395" s="113" t="s">
        <v>152</v>
      </c>
      <c r="E395" s="216" t="s">
        <v>15</v>
      </c>
      <c r="F395" s="216" t="s">
        <v>45</v>
      </c>
      <c r="G395" s="217">
        <v>13.6</v>
      </c>
      <c r="H395" s="218">
        <v>6.1</v>
      </c>
      <c r="I395" s="219">
        <v>1</v>
      </c>
      <c r="J395" s="220">
        <f t="shared" si="220"/>
        <v>8.2959999999999992E-2</v>
      </c>
      <c r="K395" s="118"/>
      <c r="L395" s="111"/>
      <c r="M395" s="117">
        <f t="shared" si="221"/>
        <v>0</v>
      </c>
      <c r="N395" s="119">
        <f t="shared" si="222"/>
        <v>1</v>
      </c>
      <c r="O395" s="120">
        <f t="shared" si="223"/>
        <v>8.2959999999999992E-2</v>
      </c>
      <c r="P395" s="111"/>
      <c r="Q395" s="111"/>
      <c r="R395" s="111"/>
    </row>
    <row r="396" spans="1:19">
      <c r="A396" s="32"/>
      <c r="B396" s="32"/>
      <c r="C396" s="32"/>
      <c r="D396" s="32"/>
      <c r="E396" s="32"/>
      <c r="F396" s="32"/>
      <c r="G396" s="32"/>
      <c r="H396" s="32"/>
      <c r="I396" s="129">
        <f>SUM(I394:I395)</f>
        <v>105</v>
      </c>
      <c r="J396" s="124">
        <f>SUM(J394:J395)</f>
        <v>9.4179999999999993</v>
      </c>
      <c r="K396" s="32"/>
      <c r="L396" s="129">
        <f>SUM(L394:L395)</f>
        <v>104</v>
      </c>
      <c r="M396" s="132">
        <f>SUM(M394:M395)</f>
        <v>9.3350399999999993</v>
      </c>
      <c r="N396" s="131">
        <f>SUM(N394:N395)</f>
        <v>1</v>
      </c>
      <c r="O396" s="132">
        <f>SUM(O394:O395)</f>
        <v>8.2959999999999992E-2</v>
      </c>
      <c r="P396" s="32"/>
      <c r="Q396" s="32"/>
      <c r="R396" s="32"/>
    </row>
    <row r="399" spans="1:19" ht="15.6">
      <c r="A399" s="110" t="s">
        <v>324</v>
      </c>
      <c r="B399" s="111" t="s">
        <v>232</v>
      </c>
      <c r="C399" s="112" t="s">
        <v>228</v>
      </c>
      <c r="D399" s="113" t="s">
        <v>326</v>
      </c>
      <c r="E399" s="216" t="s">
        <v>14</v>
      </c>
      <c r="F399" s="216" t="s">
        <v>28</v>
      </c>
      <c r="G399" s="217">
        <v>12.2</v>
      </c>
      <c r="H399" s="218">
        <v>11.9</v>
      </c>
      <c r="I399" s="219">
        <f>19+16</f>
        <v>35</v>
      </c>
      <c r="J399" s="220">
        <f t="shared" ref="J399:J403" si="224">(G399*H399*I399/1000)</f>
        <v>5.0813000000000006</v>
      </c>
      <c r="K399" s="118"/>
      <c r="L399" s="111">
        <v>35</v>
      </c>
      <c r="M399" s="117">
        <f t="shared" ref="M399:M403" si="225">H399*L399*G399/1000</f>
        <v>5.0812999999999997</v>
      </c>
      <c r="N399" s="119">
        <f t="shared" ref="N399:N403" si="226">I399-L399</f>
        <v>0</v>
      </c>
      <c r="O399" s="120">
        <f t="shared" ref="O399:O403" si="227">H399*N399*G399/1000</f>
        <v>0</v>
      </c>
      <c r="P399" s="111"/>
      <c r="Q399" s="111"/>
      <c r="R399" s="111"/>
      <c r="S399" s="111"/>
    </row>
    <row r="400" spans="1:19" ht="15.6">
      <c r="A400" s="110" t="s">
        <v>324</v>
      </c>
      <c r="B400" s="111" t="s">
        <v>232</v>
      </c>
      <c r="C400" s="112" t="s">
        <v>228</v>
      </c>
      <c r="D400" s="113" t="s">
        <v>326</v>
      </c>
      <c r="E400" s="216" t="s">
        <v>14</v>
      </c>
      <c r="F400" s="216" t="s">
        <v>28</v>
      </c>
      <c r="G400" s="217">
        <v>12.2</v>
      </c>
      <c r="H400" s="218">
        <v>8</v>
      </c>
      <c r="I400" s="219">
        <v>14</v>
      </c>
      <c r="J400" s="220">
        <f t="shared" si="224"/>
        <v>1.3663999999999998</v>
      </c>
      <c r="K400" s="118"/>
      <c r="L400" s="111">
        <f>13</f>
        <v>13</v>
      </c>
      <c r="M400" s="117">
        <f t="shared" si="225"/>
        <v>1.2687999999999999</v>
      </c>
      <c r="N400" s="119">
        <f t="shared" si="226"/>
        <v>1</v>
      </c>
      <c r="O400" s="120">
        <f t="shared" si="227"/>
        <v>9.7599999999999992E-2</v>
      </c>
      <c r="P400" s="111"/>
      <c r="Q400" s="111"/>
      <c r="R400" s="111"/>
      <c r="S400" s="111"/>
    </row>
    <row r="401" spans="1:21" ht="15.6">
      <c r="A401" s="110" t="s">
        <v>324</v>
      </c>
      <c r="B401" s="111" t="s">
        <v>232</v>
      </c>
      <c r="C401" s="112" t="s">
        <v>228</v>
      </c>
      <c r="D401" s="113" t="s">
        <v>326</v>
      </c>
      <c r="E401" s="216" t="s">
        <v>14</v>
      </c>
      <c r="F401" s="216" t="s">
        <v>28</v>
      </c>
      <c r="G401" s="217">
        <v>12.2</v>
      </c>
      <c r="H401" s="218">
        <v>10.5</v>
      </c>
      <c r="I401" s="219">
        <v>1</v>
      </c>
      <c r="J401" s="220">
        <f t="shared" si="224"/>
        <v>0.12809999999999999</v>
      </c>
      <c r="K401" s="118"/>
      <c r="L401" s="111">
        <v>1</v>
      </c>
      <c r="M401" s="117">
        <f t="shared" si="225"/>
        <v>0.12809999999999999</v>
      </c>
      <c r="N401" s="119">
        <f t="shared" si="226"/>
        <v>0</v>
      </c>
      <c r="O401" s="120">
        <f t="shared" si="227"/>
        <v>0</v>
      </c>
      <c r="P401" s="111"/>
      <c r="Q401" s="45">
        <v>1</v>
      </c>
      <c r="R401" s="45" t="s">
        <v>540</v>
      </c>
      <c r="S401" s="111"/>
    </row>
    <row r="402" spans="1:21" ht="15.6">
      <c r="A402" s="110" t="s">
        <v>324</v>
      </c>
      <c r="B402" s="111" t="s">
        <v>232</v>
      </c>
      <c r="C402" s="112" t="s">
        <v>228</v>
      </c>
      <c r="D402" s="113" t="s">
        <v>326</v>
      </c>
      <c r="E402" s="216" t="s">
        <v>14</v>
      </c>
      <c r="F402" s="216" t="s">
        <v>28</v>
      </c>
      <c r="G402" s="217">
        <v>12.2</v>
      </c>
      <c r="H402" s="218">
        <v>11.5</v>
      </c>
      <c r="I402" s="219">
        <v>1</v>
      </c>
      <c r="J402" s="220">
        <f t="shared" si="224"/>
        <v>0.14029999999999998</v>
      </c>
      <c r="K402" s="118"/>
      <c r="L402" s="111">
        <v>1</v>
      </c>
      <c r="M402" s="117">
        <f t="shared" si="225"/>
        <v>0.14029999999999998</v>
      </c>
      <c r="N402" s="119">
        <f t="shared" si="226"/>
        <v>0</v>
      </c>
      <c r="O402" s="120">
        <f t="shared" si="227"/>
        <v>0</v>
      </c>
      <c r="P402" s="111"/>
      <c r="Q402" s="45">
        <v>1</v>
      </c>
      <c r="R402" s="45" t="s">
        <v>540</v>
      </c>
      <c r="S402" s="111"/>
    </row>
    <row r="403" spans="1:21" ht="15.6">
      <c r="A403" s="110" t="s">
        <v>324</v>
      </c>
      <c r="B403" s="111" t="s">
        <v>232</v>
      </c>
      <c r="C403" s="112" t="s">
        <v>228</v>
      </c>
      <c r="D403" s="113" t="s">
        <v>326</v>
      </c>
      <c r="E403" s="216" t="s">
        <v>14</v>
      </c>
      <c r="F403" s="216" t="s">
        <v>28</v>
      </c>
      <c r="G403" s="217">
        <v>12.2</v>
      </c>
      <c r="H403" s="218">
        <v>8</v>
      </c>
      <c r="I403" s="219">
        <v>2</v>
      </c>
      <c r="J403" s="220">
        <f t="shared" si="224"/>
        <v>0.19519999999999998</v>
      </c>
      <c r="K403" s="118"/>
      <c r="L403" s="111">
        <v>2</v>
      </c>
      <c r="M403" s="117">
        <f t="shared" si="225"/>
        <v>0.19519999999999998</v>
      </c>
      <c r="N403" s="119">
        <f t="shared" si="226"/>
        <v>0</v>
      </c>
      <c r="O403" s="120">
        <f t="shared" si="227"/>
        <v>0</v>
      </c>
      <c r="P403" s="111"/>
      <c r="Q403" s="111"/>
      <c r="R403" s="111"/>
      <c r="S403" s="111"/>
    </row>
    <row r="404" spans="1:21" ht="15.6">
      <c r="A404" s="110" t="s">
        <v>324</v>
      </c>
      <c r="B404" s="111" t="s">
        <v>232</v>
      </c>
      <c r="C404" s="112" t="s">
        <v>228</v>
      </c>
      <c r="D404" s="113" t="s">
        <v>326</v>
      </c>
      <c r="E404" s="216" t="s">
        <v>14</v>
      </c>
      <c r="F404" s="216" t="s">
        <v>28</v>
      </c>
      <c r="G404" s="217">
        <v>12.2</v>
      </c>
      <c r="H404" s="218">
        <v>12</v>
      </c>
      <c r="I404" s="219">
        <v>4</v>
      </c>
      <c r="J404" s="220">
        <f t="shared" ref="J404" si="228">(G404*H404*I404/1000)</f>
        <v>0.5855999999999999</v>
      </c>
      <c r="K404" s="118"/>
      <c r="L404" s="111">
        <v>4</v>
      </c>
      <c r="M404" s="117">
        <f t="shared" ref="M404" si="229">H404*L404*G404/1000</f>
        <v>0.5855999999999999</v>
      </c>
      <c r="N404" s="119">
        <f t="shared" ref="N404" si="230">I404-L404</f>
        <v>0</v>
      </c>
      <c r="O404" s="120">
        <f t="shared" ref="O404" si="231">H404*N404*G404/1000</f>
        <v>0</v>
      </c>
      <c r="P404" s="159"/>
      <c r="Q404" s="111"/>
      <c r="R404" s="111"/>
      <c r="S404" s="159">
        <v>11.9</v>
      </c>
      <c r="T404" s="111">
        <v>4</v>
      </c>
    </row>
    <row r="405" spans="1:21">
      <c r="I405" s="215">
        <f>SUM(I399:I404)</f>
        <v>57</v>
      </c>
      <c r="J405" s="214">
        <f>SUM(J399:J404)</f>
        <v>7.4969000000000001</v>
      </c>
      <c r="L405" s="215">
        <f>SUM(L399:L404)</f>
        <v>56</v>
      </c>
      <c r="M405" s="128">
        <f>SUM(M399:M404)</f>
        <v>7.3992999999999984</v>
      </c>
      <c r="N405" s="78">
        <f>SUM(N399:N404)</f>
        <v>1</v>
      </c>
      <c r="O405" s="128">
        <f>SUM(O399:O404)</f>
        <v>9.7599999999999992E-2</v>
      </c>
      <c r="Q405" s="78">
        <f>SUM(Q399:Q404)</f>
        <v>2</v>
      </c>
    </row>
    <row r="407" spans="1:21" ht="15.6">
      <c r="A407" s="110" t="s">
        <v>324</v>
      </c>
      <c r="B407" s="111" t="s">
        <v>232</v>
      </c>
      <c r="C407" s="112" t="s">
        <v>228</v>
      </c>
      <c r="D407" s="113" t="s">
        <v>24</v>
      </c>
      <c r="E407" s="216" t="s">
        <v>14</v>
      </c>
      <c r="F407" s="216" t="s">
        <v>43</v>
      </c>
      <c r="G407" s="217">
        <v>15.04</v>
      </c>
      <c r="H407" s="218">
        <v>11</v>
      </c>
      <c r="I407" s="219">
        <v>2</v>
      </c>
      <c r="J407" s="220">
        <f t="shared" ref="J407:J409" si="232">(G407*H407*I407/1000)</f>
        <v>0.33088000000000001</v>
      </c>
      <c r="K407" s="118"/>
      <c r="L407" s="111">
        <v>2</v>
      </c>
      <c r="M407" s="117">
        <f t="shared" ref="M407:M409" si="233">H407*L407*G407/1000</f>
        <v>0.33088000000000001</v>
      </c>
      <c r="N407" s="119">
        <f t="shared" ref="N407:N409" si="234">I407-L407</f>
        <v>0</v>
      </c>
      <c r="O407" s="120">
        <f t="shared" ref="O407:O409" si="235">H407*N407*G407/1000</f>
        <v>0</v>
      </c>
      <c r="P407" s="111"/>
      <c r="Q407" s="111"/>
      <c r="R407" s="111"/>
    </row>
    <row r="408" spans="1:21" ht="15.6">
      <c r="A408" s="110" t="s">
        <v>324</v>
      </c>
      <c r="B408" s="111" t="s">
        <v>232</v>
      </c>
      <c r="C408" s="112" t="s">
        <v>228</v>
      </c>
      <c r="D408" s="113" t="s">
        <v>24</v>
      </c>
      <c r="E408" s="216" t="s">
        <v>14</v>
      </c>
      <c r="F408" s="216" t="s">
        <v>43</v>
      </c>
      <c r="G408" s="217">
        <v>15.04</v>
      </c>
      <c r="H408" s="218">
        <v>12</v>
      </c>
      <c r="I408" s="219">
        <v>15</v>
      </c>
      <c r="J408" s="220">
        <f t="shared" si="232"/>
        <v>2.7071999999999998</v>
      </c>
      <c r="K408" s="118"/>
      <c r="L408" s="111">
        <f>7+8</f>
        <v>15</v>
      </c>
      <c r="M408" s="117">
        <f t="shared" si="233"/>
        <v>2.7071999999999998</v>
      </c>
      <c r="N408" s="119">
        <f t="shared" si="234"/>
        <v>0</v>
      </c>
      <c r="O408" s="120">
        <f t="shared" si="235"/>
        <v>0</v>
      </c>
      <c r="P408" s="111">
        <v>12</v>
      </c>
      <c r="Q408" s="45">
        <v>7</v>
      </c>
      <c r="R408" s="111" t="s">
        <v>722</v>
      </c>
      <c r="S408" s="158">
        <v>12</v>
      </c>
      <c r="T408" s="354">
        <v>8</v>
      </c>
      <c r="U408" s="213" t="s">
        <v>736</v>
      </c>
    </row>
    <row r="409" spans="1:21" ht="15.6">
      <c r="A409" s="110" t="s">
        <v>324</v>
      </c>
      <c r="B409" s="111" t="s">
        <v>232</v>
      </c>
      <c r="C409" s="112" t="s">
        <v>228</v>
      </c>
      <c r="D409" s="113" t="s">
        <v>24</v>
      </c>
      <c r="E409" s="216" t="s">
        <v>14</v>
      </c>
      <c r="F409" s="216" t="s">
        <v>43</v>
      </c>
      <c r="G409" s="217">
        <v>15.04</v>
      </c>
      <c r="H409" s="218">
        <v>11</v>
      </c>
      <c r="I409" s="219">
        <v>1</v>
      </c>
      <c r="J409" s="220">
        <f t="shared" si="232"/>
        <v>0.16544</v>
      </c>
      <c r="K409" s="118"/>
      <c r="L409" s="111">
        <v>1</v>
      </c>
      <c r="M409" s="117">
        <f t="shared" si="233"/>
        <v>0.16544</v>
      </c>
      <c r="N409" s="119">
        <f t="shared" si="234"/>
        <v>0</v>
      </c>
      <c r="O409" s="120">
        <f t="shared" si="235"/>
        <v>0</v>
      </c>
      <c r="P409" s="111"/>
      <c r="Q409" s="111"/>
      <c r="R409" s="111"/>
      <c r="S409" s="158">
        <v>6</v>
      </c>
      <c r="T409" s="354">
        <v>1</v>
      </c>
      <c r="U409" s="213" t="s">
        <v>737</v>
      </c>
    </row>
    <row r="410" spans="1:21">
      <c r="I410" s="215">
        <f>SUM(I407:I409)</f>
        <v>18</v>
      </c>
      <c r="J410" s="214">
        <f>SUM(J407:J409)</f>
        <v>3.2035199999999997</v>
      </c>
      <c r="L410" s="215">
        <f>SUM(L407:L409)</f>
        <v>18</v>
      </c>
      <c r="M410" s="128">
        <f>SUM(M407:M409)</f>
        <v>3.2035199999999997</v>
      </c>
      <c r="N410" s="78">
        <f>SUM(N407:N409)</f>
        <v>0</v>
      </c>
      <c r="O410" s="128">
        <f>SUM(O407:O409)</f>
        <v>0</v>
      </c>
    </row>
    <row r="412" spans="1:21" ht="15.6">
      <c r="A412" s="110" t="s">
        <v>425</v>
      </c>
      <c r="B412" s="111" t="s">
        <v>232</v>
      </c>
      <c r="C412" s="112" t="s">
        <v>228</v>
      </c>
      <c r="D412" s="113" t="s">
        <v>152</v>
      </c>
      <c r="E412" s="216" t="s">
        <v>15</v>
      </c>
      <c r="F412" s="216" t="s">
        <v>28</v>
      </c>
      <c r="G412" s="217">
        <v>12.2</v>
      </c>
      <c r="H412" s="221">
        <v>10.5</v>
      </c>
      <c r="I412" s="219">
        <f>24+25+23+23+23+23+23+23+20+27+23+23+23+23+23+23+23+23+23+23+23+23+10</f>
        <v>520</v>
      </c>
      <c r="J412" s="220">
        <f t="shared" ref="J412" si="236">(G412*H412*I412/1000)</f>
        <v>66.611999999999995</v>
      </c>
      <c r="K412" s="118"/>
      <c r="L412" s="111">
        <f>520+50</f>
        <v>570</v>
      </c>
      <c r="M412" s="117">
        <f t="shared" ref="M412" si="237">H412*L412*G412/1000</f>
        <v>73.016999999999996</v>
      </c>
      <c r="N412" s="230">
        <f t="shared" ref="N412" si="238">I412-L412</f>
        <v>-50</v>
      </c>
      <c r="O412" s="231">
        <f t="shared" ref="O412" si="239">H412*N412*G412/1000</f>
        <v>-6.4050000000000002</v>
      </c>
      <c r="P412" s="44" t="s">
        <v>599</v>
      </c>
      <c r="Q412" s="44"/>
      <c r="R412" s="111"/>
      <c r="S412" s="111"/>
    </row>
    <row r="413" spans="1:21" ht="15.6">
      <c r="A413" s="110" t="s">
        <v>425</v>
      </c>
      <c r="B413" s="111" t="s">
        <v>232</v>
      </c>
      <c r="C413" s="112" t="s">
        <v>228</v>
      </c>
      <c r="D413" s="113" t="s">
        <v>152</v>
      </c>
      <c r="E413" s="216" t="s">
        <v>15</v>
      </c>
      <c r="F413" s="216" t="s">
        <v>28</v>
      </c>
      <c r="G413" s="217">
        <v>12.2</v>
      </c>
      <c r="H413" s="221">
        <v>11.25</v>
      </c>
      <c r="I413" s="219">
        <f>22+23+23+23+23+22+21+23+24+22+20</f>
        <v>246</v>
      </c>
      <c r="J413" s="220">
        <f t="shared" ref="J413:J433" si="240">(G413*H413*I413/1000)</f>
        <v>33.763500000000001</v>
      </c>
      <c r="K413" s="118"/>
      <c r="L413" s="111">
        <v>246</v>
      </c>
      <c r="M413" s="117">
        <f t="shared" ref="M413:M433" si="241">H413*L413*G413/1000</f>
        <v>33.763500000000001</v>
      </c>
      <c r="N413" s="119">
        <f t="shared" ref="N413:N433" si="242">I413-L413</f>
        <v>0</v>
      </c>
      <c r="O413" s="120">
        <f t="shared" ref="O413:O433" si="243">H413*N413*G413/1000</f>
        <v>0</v>
      </c>
      <c r="P413" s="111"/>
      <c r="Q413" s="111"/>
      <c r="R413" s="111"/>
      <c r="S413" s="111"/>
    </row>
    <row r="414" spans="1:21" ht="15.6">
      <c r="A414" s="110" t="s">
        <v>425</v>
      </c>
      <c r="B414" s="111" t="s">
        <v>232</v>
      </c>
      <c r="C414" s="112" t="s">
        <v>228</v>
      </c>
      <c r="D414" s="113" t="s">
        <v>152</v>
      </c>
      <c r="E414" s="216" t="s">
        <v>15</v>
      </c>
      <c r="F414" s="216" t="s">
        <v>28</v>
      </c>
      <c r="G414" s="217">
        <v>12.2</v>
      </c>
      <c r="H414" s="221">
        <v>11.5</v>
      </c>
      <c r="I414" s="219">
        <f>22+22+22+22+22+22+20+21+28</f>
        <v>201</v>
      </c>
      <c r="J414" s="220">
        <f t="shared" si="240"/>
        <v>28.200299999999995</v>
      </c>
      <c r="K414" s="118"/>
      <c r="L414" s="219">
        <f>200+1</f>
        <v>201</v>
      </c>
      <c r="M414" s="117">
        <f t="shared" si="241"/>
        <v>28.200299999999999</v>
      </c>
      <c r="N414" s="119">
        <f t="shared" si="242"/>
        <v>0</v>
      </c>
      <c r="O414" s="120">
        <f t="shared" si="243"/>
        <v>0</v>
      </c>
      <c r="P414" s="111">
        <v>11.25</v>
      </c>
      <c r="Q414" s="111">
        <v>1</v>
      </c>
      <c r="R414" s="111"/>
      <c r="S414" s="111"/>
    </row>
    <row r="415" spans="1:21" ht="15.6">
      <c r="A415" s="110" t="s">
        <v>425</v>
      </c>
      <c r="B415" s="111" t="s">
        <v>232</v>
      </c>
      <c r="C415" s="112" t="s">
        <v>228</v>
      </c>
      <c r="D415" s="113" t="s">
        <v>152</v>
      </c>
      <c r="E415" s="216" t="s">
        <v>15</v>
      </c>
      <c r="F415" s="216" t="s">
        <v>28</v>
      </c>
      <c r="G415" s="217">
        <v>12.2</v>
      </c>
      <c r="H415" s="221">
        <v>12</v>
      </c>
      <c r="I415" s="219">
        <v>7</v>
      </c>
      <c r="J415" s="220">
        <f t="shared" si="240"/>
        <v>1.0247999999999997</v>
      </c>
      <c r="K415" s="118"/>
      <c r="L415" s="111">
        <v>7</v>
      </c>
      <c r="M415" s="117">
        <f t="shared" si="241"/>
        <v>1.0247999999999999</v>
      </c>
      <c r="N415" s="119">
        <f t="shared" si="242"/>
        <v>0</v>
      </c>
      <c r="O415" s="120">
        <f t="shared" si="243"/>
        <v>0</v>
      </c>
      <c r="P415" s="111">
        <v>11.25</v>
      </c>
      <c r="Q415" s="111">
        <v>7</v>
      </c>
      <c r="R415" s="111"/>
      <c r="S415" s="111"/>
    </row>
    <row r="416" spans="1:21" ht="15.6">
      <c r="A416" s="110" t="s">
        <v>425</v>
      </c>
      <c r="B416" s="111" t="s">
        <v>232</v>
      </c>
      <c r="C416" s="112" t="s">
        <v>228</v>
      </c>
      <c r="D416" s="113" t="s">
        <v>152</v>
      </c>
      <c r="E416" s="216" t="s">
        <v>15</v>
      </c>
      <c r="F416" s="216" t="s">
        <v>28</v>
      </c>
      <c r="G416" s="217">
        <v>12.2</v>
      </c>
      <c r="H416" s="221">
        <v>10.3</v>
      </c>
      <c r="I416" s="219">
        <v>8</v>
      </c>
      <c r="J416" s="220">
        <f t="shared" si="240"/>
        <v>1.00528</v>
      </c>
      <c r="K416" s="118"/>
      <c r="L416" s="111">
        <v>8</v>
      </c>
      <c r="M416" s="117">
        <f t="shared" si="241"/>
        <v>1.00528</v>
      </c>
      <c r="N416" s="145">
        <f t="shared" si="242"/>
        <v>0</v>
      </c>
      <c r="O416" s="120">
        <f t="shared" si="243"/>
        <v>0</v>
      </c>
      <c r="P416" s="130">
        <v>7.13</v>
      </c>
      <c r="Q416" s="111">
        <v>8</v>
      </c>
      <c r="R416" s="2" t="s">
        <v>467</v>
      </c>
      <c r="S416" s="111"/>
    </row>
    <row r="417" spans="1:19" ht="15.6">
      <c r="A417" s="110" t="s">
        <v>425</v>
      </c>
      <c r="B417" s="111" t="s">
        <v>232</v>
      </c>
      <c r="C417" s="112" t="s">
        <v>228</v>
      </c>
      <c r="D417" s="113" t="s">
        <v>152</v>
      </c>
      <c r="E417" s="216" t="s">
        <v>15</v>
      </c>
      <c r="F417" s="216" t="s">
        <v>28</v>
      </c>
      <c r="G417" s="217">
        <v>12.2</v>
      </c>
      <c r="H417" s="221">
        <v>10.199999999999999</v>
      </c>
      <c r="I417" s="219">
        <v>2</v>
      </c>
      <c r="J417" s="220">
        <f t="shared" si="240"/>
        <v>0.24887999999999996</v>
      </c>
      <c r="K417" s="118"/>
      <c r="L417" s="111">
        <v>2</v>
      </c>
      <c r="M417" s="117">
        <f t="shared" si="241"/>
        <v>0.24887999999999996</v>
      </c>
      <c r="N417" s="145">
        <f t="shared" si="242"/>
        <v>0</v>
      </c>
      <c r="O417" s="120">
        <f t="shared" si="243"/>
        <v>0</v>
      </c>
      <c r="P417" s="130">
        <v>7.13</v>
      </c>
      <c r="Q417" s="111">
        <v>2</v>
      </c>
      <c r="R417" s="2" t="s">
        <v>467</v>
      </c>
      <c r="S417" s="111"/>
    </row>
    <row r="418" spans="1:19" ht="15.6">
      <c r="A418" s="110" t="s">
        <v>425</v>
      </c>
      <c r="B418" s="111" t="s">
        <v>232</v>
      </c>
      <c r="C418" s="112" t="s">
        <v>228</v>
      </c>
      <c r="D418" s="113" t="s">
        <v>152</v>
      </c>
      <c r="E418" s="216" t="s">
        <v>15</v>
      </c>
      <c r="F418" s="216" t="s">
        <v>28</v>
      </c>
      <c r="G418" s="217">
        <v>12.2</v>
      </c>
      <c r="H418" s="221">
        <v>10.1</v>
      </c>
      <c r="I418" s="219">
        <v>5</v>
      </c>
      <c r="J418" s="220">
        <f t="shared" si="240"/>
        <v>0.61609999999999987</v>
      </c>
      <c r="K418" s="118"/>
      <c r="L418" s="111">
        <v>5</v>
      </c>
      <c r="M418" s="117">
        <f t="shared" si="241"/>
        <v>0.61609999999999987</v>
      </c>
      <c r="N418" s="145">
        <f t="shared" si="242"/>
        <v>0</v>
      </c>
      <c r="O418" s="120">
        <f t="shared" si="243"/>
        <v>0</v>
      </c>
      <c r="P418" s="130">
        <v>7.13</v>
      </c>
      <c r="Q418" s="111">
        <v>5</v>
      </c>
      <c r="R418" s="2" t="s">
        <v>467</v>
      </c>
      <c r="S418" s="111"/>
    </row>
    <row r="419" spans="1:19" ht="15.6">
      <c r="A419" s="110" t="s">
        <v>425</v>
      </c>
      <c r="B419" s="111" t="s">
        <v>232</v>
      </c>
      <c r="C419" s="112" t="s">
        <v>228</v>
      </c>
      <c r="D419" s="113" t="s">
        <v>152</v>
      </c>
      <c r="E419" s="216" t="s">
        <v>15</v>
      </c>
      <c r="F419" s="216" t="s">
        <v>28</v>
      </c>
      <c r="G419" s="217">
        <v>12.2</v>
      </c>
      <c r="H419" s="221">
        <v>10</v>
      </c>
      <c r="I419" s="219">
        <v>3</v>
      </c>
      <c r="J419" s="220">
        <f t="shared" si="240"/>
        <v>0.36599999999999999</v>
      </c>
      <c r="K419" s="118"/>
      <c r="L419" s="111">
        <v>3</v>
      </c>
      <c r="M419" s="117">
        <f t="shared" si="241"/>
        <v>0.36599999999999999</v>
      </c>
      <c r="N419" s="145">
        <f t="shared" si="242"/>
        <v>0</v>
      </c>
      <c r="O419" s="120">
        <f t="shared" si="243"/>
        <v>0</v>
      </c>
      <c r="P419" s="130">
        <v>7.13</v>
      </c>
      <c r="Q419" s="111">
        <v>3</v>
      </c>
      <c r="R419" s="2" t="s">
        <v>467</v>
      </c>
      <c r="S419" s="111"/>
    </row>
    <row r="420" spans="1:19" ht="15.6">
      <c r="A420" s="110" t="s">
        <v>425</v>
      </c>
      <c r="B420" s="111" t="s">
        <v>232</v>
      </c>
      <c r="C420" s="112" t="s">
        <v>228</v>
      </c>
      <c r="D420" s="113" t="s">
        <v>152</v>
      </c>
      <c r="E420" s="216" t="s">
        <v>15</v>
      </c>
      <c r="F420" s="216" t="s">
        <v>28</v>
      </c>
      <c r="G420" s="217">
        <v>12.2</v>
      </c>
      <c r="H420" s="221">
        <v>9.9</v>
      </c>
      <c r="I420" s="219">
        <v>1</v>
      </c>
      <c r="J420" s="220">
        <f t="shared" si="240"/>
        <v>0.12078</v>
      </c>
      <c r="K420" s="118"/>
      <c r="L420" s="111">
        <v>1</v>
      </c>
      <c r="M420" s="117">
        <f t="shared" si="241"/>
        <v>0.12078</v>
      </c>
      <c r="N420" s="145">
        <f t="shared" si="242"/>
        <v>0</v>
      </c>
      <c r="O420" s="120">
        <f t="shared" si="243"/>
        <v>0</v>
      </c>
      <c r="P420" s="130">
        <v>7.13</v>
      </c>
      <c r="Q420" s="111">
        <v>1</v>
      </c>
      <c r="R420" s="2" t="s">
        <v>467</v>
      </c>
      <c r="S420" s="111"/>
    </row>
    <row r="421" spans="1:19" ht="15.6">
      <c r="A421" s="110" t="s">
        <v>425</v>
      </c>
      <c r="B421" s="111" t="s">
        <v>232</v>
      </c>
      <c r="C421" s="112" t="s">
        <v>228</v>
      </c>
      <c r="D421" s="113" t="s">
        <v>152</v>
      </c>
      <c r="E421" s="216" t="s">
        <v>15</v>
      </c>
      <c r="F421" s="216" t="s">
        <v>28</v>
      </c>
      <c r="G421" s="217">
        <v>12.2</v>
      </c>
      <c r="H421" s="221">
        <v>9.6</v>
      </c>
      <c r="I421" s="219">
        <v>3</v>
      </c>
      <c r="J421" s="220">
        <f t="shared" si="240"/>
        <v>0.35135999999999995</v>
      </c>
      <c r="K421" s="118"/>
      <c r="L421" s="111">
        <v>3</v>
      </c>
      <c r="M421" s="117">
        <f t="shared" si="241"/>
        <v>0.35135999999999995</v>
      </c>
      <c r="N421" s="145">
        <f t="shared" si="242"/>
        <v>0</v>
      </c>
      <c r="O421" s="120">
        <f t="shared" si="243"/>
        <v>0</v>
      </c>
      <c r="P421" s="130">
        <v>7.13</v>
      </c>
      <c r="Q421" s="111">
        <v>3</v>
      </c>
      <c r="R421" s="2" t="s">
        <v>467</v>
      </c>
      <c r="S421" s="111"/>
    </row>
    <row r="422" spans="1:19" ht="15.6">
      <c r="A422" s="110" t="s">
        <v>425</v>
      </c>
      <c r="B422" s="111" t="s">
        <v>232</v>
      </c>
      <c r="C422" s="112" t="s">
        <v>228</v>
      </c>
      <c r="D422" s="113" t="s">
        <v>152</v>
      </c>
      <c r="E422" s="216" t="s">
        <v>15</v>
      </c>
      <c r="F422" s="216" t="s">
        <v>28</v>
      </c>
      <c r="G422" s="217">
        <v>12.2</v>
      </c>
      <c r="H422" s="221">
        <v>9.5</v>
      </c>
      <c r="I422" s="219">
        <v>1</v>
      </c>
      <c r="J422" s="220">
        <f t="shared" si="240"/>
        <v>0.11589999999999999</v>
      </c>
      <c r="K422" s="118"/>
      <c r="L422" s="111">
        <v>1</v>
      </c>
      <c r="M422" s="117">
        <f t="shared" si="241"/>
        <v>0.11589999999999999</v>
      </c>
      <c r="N422" s="145">
        <f t="shared" si="242"/>
        <v>0</v>
      </c>
      <c r="O422" s="120">
        <f t="shared" si="243"/>
        <v>0</v>
      </c>
      <c r="P422" s="130">
        <v>7.13</v>
      </c>
      <c r="Q422" s="111">
        <v>1</v>
      </c>
      <c r="R422" s="2" t="s">
        <v>467</v>
      </c>
      <c r="S422" s="111"/>
    </row>
    <row r="423" spans="1:19" ht="15.6">
      <c r="A423" s="110" t="s">
        <v>425</v>
      </c>
      <c r="B423" s="111" t="s">
        <v>232</v>
      </c>
      <c r="C423" s="112" t="s">
        <v>228</v>
      </c>
      <c r="D423" s="113" t="s">
        <v>152</v>
      </c>
      <c r="E423" s="216" t="s">
        <v>15</v>
      </c>
      <c r="F423" s="216" t="s">
        <v>28</v>
      </c>
      <c r="G423" s="217">
        <v>12.2</v>
      </c>
      <c r="H423" s="221">
        <v>9</v>
      </c>
      <c r="I423" s="219">
        <v>1</v>
      </c>
      <c r="J423" s="220">
        <f t="shared" si="240"/>
        <v>0.10979999999999999</v>
      </c>
      <c r="K423" s="118"/>
      <c r="L423" s="111">
        <v>1</v>
      </c>
      <c r="M423" s="117">
        <f t="shared" si="241"/>
        <v>0.10979999999999999</v>
      </c>
      <c r="N423" s="145">
        <f t="shared" si="242"/>
        <v>0</v>
      </c>
      <c r="O423" s="120">
        <f t="shared" si="243"/>
        <v>0</v>
      </c>
      <c r="P423" s="130">
        <v>7.13</v>
      </c>
      <c r="Q423" s="111">
        <v>1</v>
      </c>
      <c r="R423" s="2" t="s">
        <v>467</v>
      </c>
      <c r="S423" s="111"/>
    </row>
    <row r="424" spans="1:19" ht="15.6">
      <c r="A424" s="110" t="s">
        <v>425</v>
      </c>
      <c r="B424" s="111" t="s">
        <v>232</v>
      </c>
      <c r="C424" s="112" t="s">
        <v>228</v>
      </c>
      <c r="D424" s="113" t="s">
        <v>152</v>
      </c>
      <c r="E424" s="216" t="s">
        <v>15</v>
      </c>
      <c r="F424" s="216" t="s">
        <v>28</v>
      </c>
      <c r="G424" s="217">
        <v>12.2</v>
      </c>
      <c r="H424" s="221">
        <v>11.5</v>
      </c>
      <c r="I424" s="219">
        <v>23</v>
      </c>
      <c r="J424" s="220">
        <f t="shared" si="240"/>
        <v>3.2268999999999997</v>
      </c>
      <c r="K424" s="118" t="s">
        <v>252</v>
      </c>
      <c r="L424" s="111">
        <v>23</v>
      </c>
      <c r="M424" s="117">
        <f t="shared" si="241"/>
        <v>3.2268999999999997</v>
      </c>
      <c r="N424" s="119">
        <f t="shared" si="242"/>
        <v>0</v>
      </c>
      <c r="O424" s="120">
        <f t="shared" si="243"/>
        <v>0</v>
      </c>
      <c r="P424" s="111"/>
      <c r="Q424" s="111"/>
      <c r="R424" s="111"/>
      <c r="S424" s="111"/>
    </row>
    <row r="425" spans="1:19" ht="15.6">
      <c r="A425" s="110" t="s">
        <v>425</v>
      </c>
      <c r="B425" s="111" t="s">
        <v>232</v>
      </c>
      <c r="C425" s="112" t="s">
        <v>228</v>
      </c>
      <c r="D425" s="113" t="s">
        <v>152</v>
      </c>
      <c r="E425" s="216" t="s">
        <v>15</v>
      </c>
      <c r="F425" s="216" t="s">
        <v>28</v>
      </c>
      <c r="G425" s="217">
        <v>12.2</v>
      </c>
      <c r="H425" s="221">
        <v>11.25</v>
      </c>
      <c r="I425" s="219">
        <v>1</v>
      </c>
      <c r="J425" s="220">
        <f t="shared" si="240"/>
        <v>0.13725000000000001</v>
      </c>
      <c r="K425" s="118" t="s">
        <v>252</v>
      </c>
      <c r="L425" s="111">
        <v>1</v>
      </c>
      <c r="M425" s="117">
        <f t="shared" si="241"/>
        <v>0.13725000000000001</v>
      </c>
      <c r="N425" s="119">
        <f t="shared" si="242"/>
        <v>0</v>
      </c>
      <c r="O425" s="120">
        <f t="shared" si="243"/>
        <v>0</v>
      </c>
      <c r="P425" s="111"/>
      <c r="Q425" s="111"/>
      <c r="R425" s="111"/>
      <c r="S425" s="111"/>
    </row>
    <row r="426" spans="1:19" ht="15.6">
      <c r="A426" s="110" t="s">
        <v>425</v>
      </c>
      <c r="B426" s="111" t="s">
        <v>232</v>
      </c>
      <c r="C426" s="112" t="s">
        <v>228</v>
      </c>
      <c r="D426" s="113" t="s">
        <v>152</v>
      </c>
      <c r="E426" s="216" t="s">
        <v>15</v>
      </c>
      <c r="F426" s="216" t="s">
        <v>28</v>
      </c>
      <c r="G426" s="217">
        <v>12.2</v>
      </c>
      <c r="H426" s="221">
        <v>10.5</v>
      </c>
      <c r="I426" s="219">
        <f>24+13</f>
        <v>37</v>
      </c>
      <c r="J426" s="220">
        <f t="shared" si="240"/>
        <v>4.7397</v>
      </c>
      <c r="K426" s="118" t="s">
        <v>252</v>
      </c>
      <c r="L426" s="111">
        <v>37</v>
      </c>
      <c r="M426" s="117">
        <f t="shared" si="241"/>
        <v>4.7397</v>
      </c>
      <c r="N426" s="119">
        <f t="shared" si="242"/>
        <v>0</v>
      </c>
      <c r="O426" s="120">
        <f t="shared" si="243"/>
        <v>0</v>
      </c>
      <c r="P426" s="111"/>
      <c r="Q426" s="111"/>
      <c r="R426" s="111"/>
      <c r="S426" s="111"/>
    </row>
    <row r="427" spans="1:19" ht="15.6">
      <c r="A427" s="110" t="s">
        <v>425</v>
      </c>
      <c r="B427" s="111" t="s">
        <v>232</v>
      </c>
      <c r="C427" s="112" t="s">
        <v>228</v>
      </c>
      <c r="D427" s="113" t="s">
        <v>152</v>
      </c>
      <c r="E427" s="216" t="s">
        <v>15</v>
      </c>
      <c r="F427" s="216" t="s">
        <v>28</v>
      </c>
      <c r="G427" s="217">
        <v>12.2</v>
      </c>
      <c r="H427" s="221">
        <v>12</v>
      </c>
      <c r="I427" s="219">
        <v>3</v>
      </c>
      <c r="J427" s="220">
        <f t="shared" si="240"/>
        <v>0.43919999999999992</v>
      </c>
      <c r="K427" s="118" t="s">
        <v>252</v>
      </c>
      <c r="L427" s="111">
        <v>3</v>
      </c>
      <c r="M427" s="117">
        <f t="shared" si="241"/>
        <v>0.43919999999999998</v>
      </c>
      <c r="N427" s="119">
        <f t="shared" si="242"/>
        <v>0</v>
      </c>
      <c r="O427" s="120">
        <f t="shared" si="243"/>
        <v>0</v>
      </c>
      <c r="P427" s="111">
        <v>11.25</v>
      </c>
      <c r="Q427" s="111">
        <v>3</v>
      </c>
      <c r="R427" s="111"/>
      <c r="S427" s="111"/>
    </row>
    <row r="428" spans="1:19" ht="15.6">
      <c r="A428" s="110" t="s">
        <v>425</v>
      </c>
      <c r="B428" s="111" t="s">
        <v>232</v>
      </c>
      <c r="C428" s="112" t="s">
        <v>228</v>
      </c>
      <c r="D428" s="113" t="s">
        <v>152</v>
      </c>
      <c r="E428" s="216" t="s">
        <v>15</v>
      </c>
      <c r="F428" s="216" t="s">
        <v>28</v>
      </c>
      <c r="G428" s="217">
        <v>12.2</v>
      </c>
      <c r="H428" s="221">
        <v>11.25</v>
      </c>
      <c r="I428" s="219">
        <v>3</v>
      </c>
      <c r="J428" s="220">
        <f t="shared" si="240"/>
        <v>0.41175</v>
      </c>
      <c r="K428" s="118" t="s">
        <v>252</v>
      </c>
      <c r="L428" s="111">
        <v>3</v>
      </c>
      <c r="M428" s="117">
        <f t="shared" si="241"/>
        <v>0.41175</v>
      </c>
      <c r="N428" s="119">
        <f t="shared" si="242"/>
        <v>0</v>
      </c>
      <c r="O428" s="120">
        <f t="shared" si="243"/>
        <v>0</v>
      </c>
      <c r="P428" s="111"/>
      <c r="Q428" s="111"/>
      <c r="R428" s="111"/>
      <c r="S428" s="111"/>
    </row>
    <row r="429" spans="1:19" ht="15.6">
      <c r="A429" s="110" t="s">
        <v>425</v>
      </c>
      <c r="B429" s="111" t="s">
        <v>232</v>
      </c>
      <c r="C429" s="112" t="s">
        <v>228</v>
      </c>
      <c r="D429" s="113" t="s">
        <v>152</v>
      </c>
      <c r="E429" s="216" t="s">
        <v>15</v>
      </c>
      <c r="F429" s="216" t="s">
        <v>28</v>
      </c>
      <c r="G429" s="217">
        <v>12.2</v>
      </c>
      <c r="H429" s="221">
        <v>10.1</v>
      </c>
      <c r="I429" s="219">
        <v>1</v>
      </c>
      <c r="J429" s="220">
        <f t="shared" si="240"/>
        <v>0.12321999999999998</v>
      </c>
      <c r="K429" s="118" t="s">
        <v>252</v>
      </c>
      <c r="L429" s="111">
        <v>1</v>
      </c>
      <c r="M429" s="117">
        <f t="shared" si="241"/>
        <v>0.12321999999999998</v>
      </c>
      <c r="N429" s="145">
        <f t="shared" si="242"/>
        <v>0</v>
      </c>
      <c r="O429" s="120">
        <f t="shared" si="243"/>
        <v>0</v>
      </c>
      <c r="P429" s="111">
        <v>7.13</v>
      </c>
      <c r="Q429" s="111">
        <v>1</v>
      </c>
      <c r="R429" s="2" t="s">
        <v>467</v>
      </c>
      <c r="S429" s="111"/>
    </row>
    <row r="430" spans="1:19" ht="15.6">
      <c r="A430" s="110" t="s">
        <v>425</v>
      </c>
      <c r="B430" s="111" t="s">
        <v>232</v>
      </c>
      <c r="C430" s="112" t="s">
        <v>228</v>
      </c>
      <c r="D430" s="113" t="s">
        <v>152</v>
      </c>
      <c r="E430" s="216" t="s">
        <v>15</v>
      </c>
      <c r="F430" s="216" t="s">
        <v>28</v>
      </c>
      <c r="G430" s="217">
        <v>12.2</v>
      </c>
      <c r="H430" s="221">
        <v>10.5</v>
      </c>
      <c r="I430" s="219">
        <f>23+23+23+23+23+23+23+24+24+24+23+21+23+23+23+23+23+23+23+23+13+23</f>
        <v>497</v>
      </c>
      <c r="J430" s="220">
        <f t="shared" si="240"/>
        <v>63.665699999999994</v>
      </c>
      <c r="K430" s="118"/>
      <c r="L430" s="111">
        <v>497</v>
      </c>
      <c r="M430" s="117">
        <f t="shared" si="241"/>
        <v>63.665699999999994</v>
      </c>
      <c r="N430" s="119">
        <f t="shared" si="242"/>
        <v>0</v>
      </c>
      <c r="O430" s="120">
        <f t="shared" si="243"/>
        <v>0</v>
      </c>
      <c r="P430" s="111"/>
      <c r="Q430" s="111"/>
      <c r="R430" s="111"/>
      <c r="S430" s="111"/>
    </row>
    <row r="431" spans="1:19" ht="15.6">
      <c r="A431" s="110" t="s">
        <v>425</v>
      </c>
      <c r="B431" s="111" t="s">
        <v>232</v>
      </c>
      <c r="C431" s="112" t="s">
        <v>228</v>
      </c>
      <c r="D431" s="113" t="s">
        <v>152</v>
      </c>
      <c r="E431" s="216" t="s">
        <v>15</v>
      </c>
      <c r="F431" s="216" t="s">
        <v>28</v>
      </c>
      <c r="G431" s="217">
        <v>12.2</v>
      </c>
      <c r="H431" s="221">
        <v>11.25</v>
      </c>
      <c r="I431" s="219">
        <f>21+24+24+27+25+24+24+23+23+23+23+22</f>
        <v>283</v>
      </c>
      <c r="J431" s="220">
        <f t="shared" si="240"/>
        <v>38.841749999999998</v>
      </c>
      <c r="K431" s="118"/>
      <c r="L431" s="111">
        <v>283</v>
      </c>
      <c r="M431" s="117">
        <f t="shared" si="241"/>
        <v>38.841749999999998</v>
      </c>
      <c r="N431" s="119">
        <f t="shared" si="242"/>
        <v>0</v>
      </c>
      <c r="O431" s="120">
        <f t="shared" si="243"/>
        <v>0</v>
      </c>
      <c r="P431" s="111"/>
      <c r="Q431" s="111"/>
      <c r="R431" s="111"/>
      <c r="S431" s="111"/>
    </row>
    <row r="432" spans="1:19" ht="15.6">
      <c r="A432" s="110" t="s">
        <v>425</v>
      </c>
      <c r="B432" s="111" t="s">
        <v>232</v>
      </c>
      <c r="C432" s="112" t="s">
        <v>228</v>
      </c>
      <c r="D432" s="113" t="s">
        <v>152</v>
      </c>
      <c r="E432" s="216" t="s">
        <v>15</v>
      </c>
      <c r="F432" s="216" t="s">
        <v>28</v>
      </c>
      <c r="G432" s="217">
        <v>12.2</v>
      </c>
      <c r="H432" s="221">
        <v>11.5</v>
      </c>
      <c r="I432" s="219">
        <f>23+23+24+23+23+23+23+23+23+21+18+18+1</f>
        <v>266</v>
      </c>
      <c r="J432" s="220">
        <f t="shared" si="240"/>
        <v>37.319799999999994</v>
      </c>
      <c r="K432" s="118"/>
      <c r="L432" s="111">
        <v>266</v>
      </c>
      <c r="M432" s="117">
        <f t="shared" si="241"/>
        <v>37.319799999999994</v>
      </c>
      <c r="N432" s="119">
        <f t="shared" si="242"/>
        <v>0</v>
      </c>
      <c r="O432" s="120">
        <f t="shared" si="243"/>
        <v>0</v>
      </c>
      <c r="P432" s="111"/>
      <c r="Q432" s="111"/>
      <c r="R432" s="111"/>
      <c r="S432" s="111"/>
    </row>
    <row r="433" spans="1:19" ht="15.6">
      <c r="A433" s="110" t="s">
        <v>425</v>
      </c>
      <c r="B433" s="111" t="s">
        <v>232</v>
      </c>
      <c r="C433" s="112" t="s">
        <v>228</v>
      </c>
      <c r="D433" s="113" t="s">
        <v>152</v>
      </c>
      <c r="E433" s="216" t="s">
        <v>15</v>
      </c>
      <c r="F433" s="216" t="s">
        <v>28</v>
      </c>
      <c r="G433" s="217">
        <v>12.2</v>
      </c>
      <c r="H433" s="221">
        <v>12</v>
      </c>
      <c r="I433" s="219">
        <f>15+11</f>
        <v>26</v>
      </c>
      <c r="J433" s="220">
        <f t="shared" si="240"/>
        <v>3.8063999999999996</v>
      </c>
      <c r="K433" s="118"/>
      <c r="L433" s="111">
        <f>15+11</f>
        <v>26</v>
      </c>
      <c r="M433" s="117">
        <f t="shared" si="241"/>
        <v>3.8063999999999996</v>
      </c>
      <c r="N433" s="119">
        <f t="shared" si="242"/>
        <v>0</v>
      </c>
      <c r="O433" s="120">
        <f t="shared" si="243"/>
        <v>0</v>
      </c>
      <c r="P433" s="111"/>
      <c r="Q433" s="111"/>
      <c r="R433" s="111"/>
      <c r="S433" s="111"/>
    </row>
    <row r="434" spans="1:19" ht="15.6">
      <c r="A434" s="110" t="s">
        <v>425</v>
      </c>
      <c r="B434" s="111" t="s">
        <v>232</v>
      </c>
      <c r="C434" s="112" t="s">
        <v>228</v>
      </c>
      <c r="D434" s="113" t="s">
        <v>152</v>
      </c>
      <c r="E434" s="216" t="s">
        <v>15</v>
      </c>
      <c r="F434" s="216" t="s">
        <v>28</v>
      </c>
      <c r="G434" s="217">
        <v>12.2</v>
      </c>
      <c r="H434" s="221">
        <v>10.5</v>
      </c>
      <c r="I434" s="219">
        <v>24</v>
      </c>
      <c r="J434" s="220">
        <f t="shared" ref="J434:J446" si="244">(G434*H434*I434/1000)</f>
        <v>3.0743999999999998</v>
      </c>
      <c r="K434" s="118" t="s">
        <v>252</v>
      </c>
      <c r="L434" s="111">
        <v>24</v>
      </c>
      <c r="M434" s="117">
        <f t="shared" ref="M434:M446" si="245">H434*L434*G434/1000</f>
        <v>3.0743999999999998</v>
      </c>
      <c r="N434" s="119">
        <f t="shared" ref="N434:N446" si="246">I434-L434</f>
        <v>0</v>
      </c>
      <c r="O434" s="120">
        <f t="shared" ref="O434:O441" si="247">H434*N434*G434/1000</f>
        <v>0</v>
      </c>
      <c r="P434" s="111"/>
      <c r="Q434" s="111"/>
      <c r="R434" s="111"/>
      <c r="S434" s="111"/>
    </row>
    <row r="435" spans="1:19" ht="15.6">
      <c r="A435" s="110" t="s">
        <v>425</v>
      </c>
      <c r="B435" s="111" t="s">
        <v>232</v>
      </c>
      <c r="C435" s="112" t="s">
        <v>228</v>
      </c>
      <c r="D435" s="113" t="s">
        <v>152</v>
      </c>
      <c r="E435" s="216" t="s">
        <v>15</v>
      </c>
      <c r="F435" s="216" t="s">
        <v>28</v>
      </c>
      <c r="G435" s="217">
        <v>12.2</v>
      </c>
      <c r="H435" s="221">
        <v>11.25</v>
      </c>
      <c r="I435" s="219">
        <v>2</v>
      </c>
      <c r="J435" s="220">
        <f t="shared" si="244"/>
        <v>0.27450000000000002</v>
      </c>
      <c r="K435" s="118" t="s">
        <v>252</v>
      </c>
      <c r="L435" s="111">
        <v>2</v>
      </c>
      <c r="M435" s="117">
        <f t="shared" si="245"/>
        <v>0.27450000000000002</v>
      </c>
      <c r="N435" s="119">
        <f t="shared" si="246"/>
        <v>0</v>
      </c>
      <c r="O435" s="120">
        <f t="shared" si="247"/>
        <v>0</v>
      </c>
      <c r="P435" s="111"/>
      <c r="Q435" s="111"/>
      <c r="R435" s="111"/>
      <c r="S435" s="111"/>
    </row>
    <row r="436" spans="1:19" ht="15.6">
      <c r="A436" s="110" t="s">
        <v>425</v>
      </c>
      <c r="B436" s="111" t="s">
        <v>232</v>
      </c>
      <c r="C436" s="112" t="s">
        <v>228</v>
      </c>
      <c r="D436" s="113" t="s">
        <v>152</v>
      </c>
      <c r="E436" s="216" t="s">
        <v>15</v>
      </c>
      <c r="F436" s="216" t="s">
        <v>28</v>
      </c>
      <c r="G436" s="217">
        <v>12.2</v>
      </c>
      <c r="H436" s="221">
        <v>12</v>
      </c>
      <c r="I436" s="219">
        <v>2</v>
      </c>
      <c r="J436" s="220">
        <f t="shared" si="244"/>
        <v>0.29279999999999995</v>
      </c>
      <c r="K436" s="118" t="s">
        <v>252</v>
      </c>
      <c r="L436" s="111">
        <v>2</v>
      </c>
      <c r="M436" s="117">
        <f t="shared" si="245"/>
        <v>0.29279999999999995</v>
      </c>
      <c r="N436" s="119">
        <f t="shared" si="246"/>
        <v>0</v>
      </c>
      <c r="O436" s="120">
        <f t="shared" si="247"/>
        <v>0</v>
      </c>
      <c r="P436" s="111"/>
      <c r="Q436" s="111"/>
      <c r="R436" s="111"/>
      <c r="S436" s="111"/>
    </row>
    <row r="437" spans="1:19" ht="15.6">
      <c r="A437" s="110" t="s">
        <v>425</v>
      </c>
      <c r="B437" s="111" t="s">
        <v>232</v>
      </c>
      <c r="C437" s="112" t="s">
        <v>228</v>
      </c>
      <c r="D437" s="113" t="s">
        <v>152</v>
      </c>
      <c r="E437" s="216" t="s">
        <v>15</v>
      </c>
      <c r="F437" s="216" t="s">
        <v>28</v>
      </c>
      <c r="G437" s="217">
        <v>12.2</v>
      </c>
      <c r="H437" s="221">
        <v>10.5</v>
      </c>
      <c r="I437" s="219">
        <v>24</v>
      </c>
      <c r="J437" s="220">
        <f t="shared" si="244"/>
        <v>3.0743999999999998</v>
      </c>
      <c r="K437" s="118" t="s">
        <v>252</v>
      </c>
      <c r="L437" s="111">
        <v>24</v>
      </c>
      <c r="M437" s="117">
        <f t="shared" si="245"/>
        <v>3.0743999999999998</v>
      </c>
      <c r="N437" s="119">
        <f t="shared" si="246"/>
        <v>0</v>
      </c>
      <c r="O437" s="120">
        <f t="shared" si="247"/>
        <v>0</v>
      </c>
      <c r="P437" s="111"/>
      <c r="Q437" s="111"/>
      <c r="R437" s="111"/>
      <c r="S437" s="111"/>
    </row>
    <row r="438" spans="1:19" ht="15.6">
      <c r="A438" s="110" t="s">
        <v>425</v>
      </c>
      <c r="B438" s="111" t="s">
        <v>232</v>
      </c>
      <c r="C438" s="112" t="s">
        <v>228</v>
      </c>
      <c r="D438" s="113" t="s">
        <v>152</v>
      </c>
      <c r="E438" s="216" t="s">
        <v>15</v>
      </c>
      <c r="F438" s="216" t="s">
        <v>28</v>
      </c>
      <c r="G438" s="217">
        <v>12.2</v>
      </c>
      <c r="H438" s="221">
        <v>11.25</v>
      </c>
      <c r="I438" s="219">
        <v>4</v>
      </c>
      <c r="J438" s="220">
        <f t="shared" si="244"/>
        <v>0.54900000000000004</v>
      </c>
      <c r="K438" s="118" t="s">
        <v>252</v>
      </c>
      <c r="L438" s="111">
        <v>4</v>
      </c>
      <c r="M438" s="117">
        <f t="shared" si="245"/>
        <v>0.54900000000000004</v>
      </c>
      <c r="N438" s="119">
        <f t="shared" si="246"/>
        <v>0</v>
      </c>
      <c r="O438" s="120">
        <f t="shared" si="247"/>
        <v>0</v>
      </c>
      <c r="P438" s="111"/>
      <c r="Q438" s="111"/>
      <c r="R438" s="111"/>
      <c r="S438" s="111"/>
    </row>
    <row r="439" spans="1:19" ht="15.6">
      <c r="A439" s="110" t="s">
        <v>425</v>
      </c>
      <c r="B439" s="111" t="s">
        <v>232</v>
      </c>
      <c r="C439" s="112" t="s">
        <v>228</v>
      </c>
      <c r="D439" s="113" t="s">
        <v>152</v>
      </c>
      <c r="E439" s="216" t="s">
        <v>15</v>
      </c>
      <c r="F439" s="216" t="s">
        <v>28</v>
      </c>
      <c r="G439" s="217">
        <v>12.2</v>
      </c>
      <c r="H439" s="221">
        <v>10.5</v>
      </c>
      <c r="I439" s="219">
        <v>14</v>
      </c>
      <c r="J439" s="220">
        <f t="shared" si="244"/>
        <v>1.7933999999999999</v>
      </c>
      <c r="K439" s="118" t="s">
        <v>252</v>
      </c>
      <c r="L439" s="111">
        <v>14</v>
      </c>
      <c r="M439" s="117">
        <f t="shared" si="245"/>
        <v>1.7933999999999999</v>
      </c>
      <c r="N439" s="119">
        <f t="shared" si="246"/>
        <v>0</v>
      </c>
      <c r="O439" s="120">
        <f t="shared" si="247"/>
        <v>0</v>
      </c>
      <c r="P439" s="111"/>
      <c r="Q439" s="111"/>
      <c r="R439" s="111"/>
      <c r="S439" s="111"/>
    </row>
    <row r="440" spans="1:19" ht="15.6">
      <c r="A440" s="110" t="s">
        <v>425</v>
      </c>
      <c r="B440" s="111" t="s">
        <v>232</v>
      </c>
      <c r="C440" s="112" t="s">
        <v>228</v>
      </c>
      <c r="D440" s="113" t="s">
        <v>152</v>
      </c>
      <c r="E440" s="216" t="s">
        <v>15</v>
      </c>
      <c r="F440" s="216" t="s">
        <v>28</v>
      </c>
      <c r="G440" s="217">
        <v>12.2</v>
      </c>
      <c r="H440" s="221">
        <v>12</v>
      </c>
      <c r="I440" s="219">
        <v>4</v>
      </c>
      <c r="J440" s="220">
        <f t="shared" si="244"/>
        <v>0.5855999999999999</v>
      </c>
      <c r="K440" s="118" t="s">
        <v>252</v>
      </c>
      <c r="L440" s="111">
        <v>4</v>
      </c>
      <c r="M440" s="117">
        <f t="shared" si="245"/>
        <v>0.5855999999999999</v>
      </c>
      <c r="N440" s="119">
        <f t="shared" si="246"/>
        <v>0</v>
      </c>
      <c r="O440" s="120">
        <f t="shared" si="247"/>
        <v>0</v>
      </c>
      <c r="P440" s="111"/>
      <c r="Q440" s="111"/>
      <c r="R440" s="111"/>
      <c r="S440" s="111"/>
    </row>
    <row r="441" spans="1:19" ht="15.6">
      <c r="A441" s="110" t="s">
        <v>425</v>
      </c>
      <c r="B441" s="111" t="s">
        <v>232</v>
      </c>
      <c r="C441" s="112" t="s">
        <v>228</v>
      </c>
      <c r="D441" s="113" t="s">
        <v>152</v>
      </c>
      <c r="E441" s="216" t="s">
        <v>15</v>
      </c>
      <c r="F441" s="216" t="s">
        <v>28</v>
      </c>
      <c r="G441" s="217">
        <v>12.2</v>
      </c>
      <c r="H441" s="221">
        <v>10.4</v>
      </c>
      <c r="I441" s="219">
        <v>5</v>
      </c>
      <c r="J441" s="220">
        <f t="shared" si="244"/>
        <v>0.63439999999999996</v>
      </c>
      <c r="K441" s="118"/>
      <c r="L441" s="111">
        <v>5</v>
      </c>
      <c r="M441" s="117">
        <f t="shared" si="245"/>
        <v>0.63439999999999996</v>
      </c>
      <c r="N441" s="145">
        <f t="shared" si="246"/>
        <v>0</v>
      </c>
      <c r="O441" s="120">
        <f t="shared" si="247"/>
        <v>0</v>
      </c>
      <c r="P441" s="366">
        <v>10.25</v>
      </c>
      <c r="Q441" s="45">
        <v>5</v>
      </c>
      <c r="R441" s="111" t="s">
        <v>467</v>
      </c>
      <c r="S441" s="111"/>
    </row>
    <row r="442" spans="1:19" ht="15.6">
      <c r="A442" s="110" t="s">
        <v>425</v>
      </c>
      <c r="B442" s="111" t="s">
        <v>232</v>
      </c>
      <c r="C442" s="112" t="s">
        <v>228</v>
      </c>
      <c r="D442" s="113" t="s">
        <v>152</v>
      </c>
      <c r="E442" s="216" t="s">
        <v>15</v>
      </c>
      <c r="F442" s="216" t="s">
        <v>28</v>
      </c>
      <c r="G442" s="217">
        <v>12.2</v>
      </c>
      <c r="H442" s="221">
        <v>10.199999999999999</v>
      </c>
      <c r="I442" s="219">
        <v>11</v>
      </c>
      <c r="J442" s="220">
        <f t="shared" si="244"/>
        <v>1.3688399999999998</v>
      </c>
      <c r="K442" s="118"/>
      <c r="L442" s="111">
        <v>11</v>
      </c>
      <c r="M442" s="117">
        <f t="shared" si="245"/>
        <v>1.3688399999999996</v>
      </c>
      <c r="N442" s="145">
        <f t="shared" si="246"/>
        <v>0</v>
      </c>
      <c r="O442" s="120">
        <f>H442*N442*G442/1000</f>
        <v>0</v>
      </c>
      <c r="P442" s="366">
        <v>10.25</v>
      </c>
      <c r="Q442" s="45">
        <v>11</v>
      </c>
      <c r="R442" s="111" t="s">
        <v>467</v>
      </c>
      <c r="S442" s="111"/>
    </row>
    <row r="443" spans="1:19" ht="15.6">
      <c r="A443" s="110" t="s">
        <v>425</v>
      </c>
      <c r="B443" s="111" t="s">
        <v>232</v>
      </c>
      <c r="C443" s="112" t="s">
        <v>228</v>
      </c>
      <c r="D443" s="113" t="s">
        <v>152</v>
      </c>
      <c r="E443" s="216" t="s">
        <v>15</v>
      </c>
      <c r="F443" s="216" t="s">
        <v>28</v>
      </c>
      <c r="G443" s="217">
        <v>12.2</v>
      </c>
      <c r="H443" s="221">
        <v>10</v>
      </c>
      <c r="I443" s="219">
        <v>4</v>
      </c>
      <c r="J443" s="220">
        <f t="shared" si="244"/>
        <v>0.48799999999999999</v>
      </c>
      <c r="K443" s="118"/>
      <c r="L443" s="111">
        <v>4</v>
      </c>
      <c r="M443" s="117">
        <f t="shared" si="245"/>
        <v>0.48799999999999999</v>
      </c>
      <c r="N443" s="145">
        <f t="shared" si="246"/>
        <v>0</v>
      </c>
      <c r="O443" s="120">
        <f>H443*N443*G443/1000</f>
        <v>0</v>
      </c>
      <c r="P443" s="111">
        <v>7.13</v>
      </c>
      <c r="Q443" s="111">
        <v>4</v>
      </c>
      <c r="R443" s="111" t="s">
        <v>467</v>
      </c>
      <c r="S443" s="111"/>
    </row>
    <row r="444" spans="1:19" ht="15.6">
      <c r="A444" s="110" t="s">
        <v>425</v>
      </c>
      <c r="B444" s="111" t="s">
        <v>232</v>
      </c>
      <c r="C444" s="112" t="s">
        <v>228</v>
      </c>
      <c r="D444" s="113" t="s">
        <v>152</v>
      </c>
      <c r="E444" s="216" t="s">
        <v>15</v>
      </c>
      <c r="F444" s="216" t="s">
        <v>28</v>
      </c>
      <c r="G444" s="217">
        <v>12.2</v>
      </c>
      <c r="H444" s="221">
        <v>9.3000000000000007</v>
      </c>
      <c r="I444" s="219">
        <v>1</v>
      </c>
      <c r="J444" s="220">
        <f t="shared" si="244"/>
        <v>0.11346000000000001</v>
      </c>
      <c r="K444" s="118"/>
      <c r="L444" s="111">
        <v>1</v>
      </c>
      <c r="M444" s="117">
        <f t="shared" si="245"/>
        <v>0.11346000000000001</v>
      </c>
      <c r="N444" s="145">
        <f t="shared" si="246"/>
        <v>0</v>
      </c>
      <c r="O444" s="120">
        <f>H444*N444*G444/1000</f>
        <v>0</v>
      </c>
      <c r="P444" s="111">
        <v>7.13</v>
      </c>
      <c r="Q444" s="111">
        <v>1</v>
      </c>
      <c r="R444" s="111" t="s">
        <v>467</v>
      </c>
      <c r="S444" s="111"/>
    </row>
    <row r="445" spans="1:19" ht="15.6">
      <c r="A445" s="110" t="s">
        <v>425</v>
      </c>
      <c r="B445" s="111" t="s">
        <v>232</v>
      </c>
      <c r="C445" s="112" t="s">
        <v>228</v>
      </c>
      <c r="D445" s="113" t="s">
        <v>152</v>
      </c>
      <c r="E445" s="216" t="s">
        <v>15</v>
      </c>
      <c r="F445" s="216" t="s">
        <v>28</v>
      </c>
      <c r="G445" s="217">
        <v>12.2</v>
      </c>
      <c r="H445" s="221">
        <v>7.2</v>
      </c>
      <c r="I445" s="219">
        <v>1</v>
      </c>
      <c r="J445" s="220">
        <f t="shared" si="244"/>
        <v>8.7840000000000001E-2</v>
      </c>
      <c r="K445" s="118"/>
      <c r="L445" s="111">
        <v>1</v>
      </c>
      <c r="M445" s="117">
        <f t="shared" si="245"/>
        <v>8.7840000000000001E-2</v>
      </c>
      <c r="N445" s="145">
        <f t="shared" si="246"/>
        <v>0</v>
      </c>
      <c r="O445" s="120">
        <f>H445*N445*G445/1000</f>
        <v>0</v>
      </c>
      <c r="P445" s="111">
        <v>7.13</v>
      </c>
      <c r="Q445" s="111">
        <v>1</v>
      </c>
      <c r="R445" s="111" t="s">
        <v>467</v>
      </c>
      <c r="S445" s="111"/>
    </row>
    <row r="446" spans="1:19" ht="15.6">
      <c r="A446" s="110" t="s">
        <v>425</v>
      </c>
      <c r="B446" s="111" t="s">
        <v>232</v>
      </c>
      <c r="C446" s="112" t="s">
        <v>228</v>
      </c>
      <c r="D446" s="113" t="s">
        <v>152</v>
      </c>
      <c r="E446" s="216" t="s">
        <v>15</v>
      </c>
      <c r="F446" s="216" t="s">
        <v>28</v>
      </c>
      <c r="G446" s="217">
        <v>12.2</v>
      </c>
      <c r="H446" s="221">
        <v>4.5</v>
      </c>
      <c r="I446" s="219">
        <v>1</v>
      </c>
      <c r="J446" s="220">
        <f t="shared" si="244"/>
        <v>5.4899999999999997E-2</v>
      </c>
      <c r="K446" s="118"/>
      <c r="L446" s="111"/>
      <c r="M446" s="117">
        <f t="shared" si="245"/>
        <v>0</v>
      </c>
      <c r="N446" s="119">
        <f t="shared" si="246"/>
        <v>1</v>
      </c>
      <c r="O446" s="120">
        <f>H446*N446*G446/1000</f>
        <v>5.4899999999999997E-2</v>
      </c>
      <c r="P446" s="111"/>
      <c r="Q446" s="111"/>
      <c r="R446" s="111"/>
      <c r="S446" s="111"/>
    </row>
    <row r="447" spans="1:19">
      <c r="I447" s="215">
        <f>SUM(I412:I446)</f>
        <v>2235</v>
      </c>
      <c r="J447" s="214">
        <f>SUM(J412:J446)</f>
        <v>297.63791000000003</v>
      </c>
      <c r="L447" s="215">
        <f>SUM(L412:L446)</f>
        <v>2284</v>
      </c>
      <c r="M447" s="214">
        <f>SUM(M412:M446)</f>
        <v>303.98801000000003</v>
      </c>
      <c r="N447" s="78">
        <f>SUM(N412:N446)</f>
        <v>-49</v>
      </c>
      <c r="O447" s="214">
        <f>SUM(O412:O446)</f>
        <v>-6.3501000000000003</v>
      </c>
    </row>
    <row r="450" spans="1:19" ht="15.6">
      <c r="A450" s="110" t="s">
        <v>432</v>
      </c>
      <c r="B450" s="111" t="s">
        <v>232</v>
      </c>
      <c r="C450" s="112" t="s">
        <v>80</v>
      </c>
      <c r="D450" s="113" t="s">
        <v>152</v>
      </c>
      <c r="E450" s="216" t="s">
        <v>15</v>
      </c>
      <c r="F450" s="216" t="s">
        <v>22</v>
      </c>
      <c r="G450" s="217">
        <v>10.7</v>
      </c>
      <c r="H450" s="218">
        <v>10.4</v>
      </c>
      <c r="I450" s="219">
        <f>26+26+26+26+18</f>
        <v>122</v>
      </c>
      <c r="J450" s="220">
        <f t="shared" ref="J450" si="248">(G450*H450*I450/1000)</f>
        <v>13.57616</v>
      </c>
      <c r="K450" s="118"/>
      <c r="L450" s="219">
        <f>26+26+26+26+18</f>
        <v>122</v>
      </c>
      <c r="M450" s="117">
        <f t="shared" ref="M450" si="249">H450*L450*G450/1000</f>
        <v>13.576159999999998</v>
      </c>
      <c r="N450" s="119">
        <f t="shared" ref="N450" si="250">I450-L450</f>
        <v>0</v>
      </c>
      <c r="O450" s="120">
        <f t="shared" ref="O450" si="251">H450*N450*G450/1000</f>
        <v>0</v>
      </c>
      <c r="P450" s="111"/>
      <c r="Q450" s="111"/>
      <c r="R450" s="111"/>
      <c r="S450" s="111"/>
    </row>
    <row r="451" spans="1:19" ht="15.6">
      <c r="A451" s="110" t="s">
        <v>432</v>
      </c>
      <c r="B451" s="111" t="s">
        <v>232</v>
      </c>
      <c r="C451" s="112" t="s">
        <v>80</v>
      </c>
      <c r="D451" s="113" t="s">
        <v>152</v>
      </c>
      <c r="E451" s="216" t="s">
        <v>15</v>
      </c>
      <c r="F451" s="216" t="s">
        <v>22</v>
      </c>
      <c r="G451" s="217">
        <v>10.7</v>
      </c>
      <c r="H451" s="218">
        <v>11.6</v>
      </c>
      <c r="I451" s="219">
        <f>24+23+23+23+19+26+26+26+26+26+26+26+17</f>
        <v>311</v>
      </c>
      <c r="J451" s="220">
        <f t="shared" ref="J451:J466" si="252">(G451*H451*I451/1000)</f>
        <v>38.601320000000001</v>
      </c>
      <c r="K451" s="118"/>
      <c r="L451" s="219">
        <f>24+23+23+23+19+26+26+26+26+26+26+26+17+32</f>
        <v>343</v>
      </c>
      <c r="M451" s="117">
        <f t="shared" ref="M451:M466" si="253">H451*L451*G451/1000</f>
        <v>42.573159999999994</v>
      </c>
      <c r="N451" s="228">
        <f t="shared" ref="N451:N466" si="254">I451-L451</f>
        <v>-32</v>
      </c>
      <c r="O451" s="229">
        <f t="shared" ref="O451:O466" si="255">H451*N451*G451/1000</f>
        <v>-3.9718399999999998</v>
      </c>
      <c r="P451" s="44" t="s">
        <v>435</v>
      </c>
      <c r="Q451" s="111"/>
      <c r="R451" s="111"/>
      <c r="S451" s="111"/>
    </row>
    <row r="452" spans="1:19" ht="15.6">
      <c r="A452" s="110" t="s">
        <v>432</v>
      </c>
      <c r="B452" s="111" t="s">
        <v>232</v>
      </c>
      <c r="C452" s="112" t="s">
        <v>80</v>
      </c>
      <c r="D452" s="113" t="s">
        <v>152</v>
      </c>
      <c r="E452" s="216" t="s">
        <v>15</v>
      </c>
      <c r="F452" s="216" t="s">
        <v>22</v>
      </c>
      <c r="G452" s="217">
        <v>10.7</v>
      </c>
      <c r="H452" s="218">
        <v>12</v>
      </c>
      <c r="I452" s="219">
        <f>21+23+23+25+23+23+23+26+18+26+17</f>
        <v>248</v>
      </c>
      <c r="J452" s="220">
        <f t="shared" si="252"/>
        <v>31.843199999999992</v>
      </c>
      <c r="K452" s="118"/>
      <c r="L452" s="219">
        <f>21+23+23+25+23+23+23+26+18+26+17</f>
        <v>248</v>
      </c>
      <c r="M452" s="117">
        <f t="shared" si="253"/>
        <v>31.843199999999996</v>
      </c>
      <c r="N452" s="119">
        <f t="shared" si="254"/>
        <v>0</v>
      </c>
      <c r="O452" s="120">
        <f t="shared" si="255"/>
        <v>0</v>
      </c>
      <c r="P452" s="111"/>
      <c r="Q452" s="111"/>
      <c r="R452" s="111"/>
      <c r="S452" s="111"/>
    </row>
    <row r="453" spans="1:19" ht="15.6">
      <c r="A453" s="110" t="s">
        <v>432</v>
      </c>
      <c r="B453" s="111" t="s">
        <v>232</v>
      </c>
      <c r="C453" s="112" t="s">
        <v>80</v>
      </c>
      <c r="D453" s="113" t="s">
        <v>152</v>
      </c>
      <c r="E453" s="216" t="s">
        <v>15</v>
      </c>
      <c r="F453" s="216" t="s">
        <v>22</v>
      </c>
      <c r="G453" s="217">
        <v>10.7</v>
      </c>
      <c r="H453" s="218">
        <v>12</v>
      </c>
      <c r="I453" s="219">
        <v>8</v>
      </c>
      <c r="J453" s="220">
        <f t="shared" si="252"/>
        <v>1.0271999999999999</v>
      </c>
      <c r="K453" s="118"/>
      <c r="L453" s="219">
        <v>8</v>
      </c>
      <c r="M453" s="117">
        <f t="shared" si="253"/>
        <v>1.0271999999999999</v>
      </c>
      <c r="N453" s="119">
        <f t="shared" si="254"/>
        <v>0</v>
      </c>
      <c r="O453" s="120">
        <f t="shared" si="255"/>
        <v>0</v>
      </c>
      <c r="P453" s="111"/>
      <c r="Q453" s="111"/>
      <c r="R453" s="111"/>
      <c r="S453" s="111"/>
    </row>
    <row r="454" spans="1:19" ht="15.6">
      <c r="A454" s="110" t="s">
        <v>432</v>
      </c>
      <c r="B454" s="111" t="s">
        <v>232</v>
      </c>
      <c r="C454" s="112" t="s">
        <v>80</v>
      </c>
      <c r="D454" s="113" t="s">
        <v>152</v>
      </c>
      <c r="E454" s="216" t="s">
        <v>15</v>
      </c>
      <c r="F454" s="216" t="s">
        <v>22</v>
      </c>
      <c r="G454" s="217">
        <v>10.7</v>
      </c>
      <c r="H454" s="218">
        <v>10</v>
      </c>
      <c r="I454" s="219">
        <v>11</v>
      </c>
      <c r="J454" s="220">
        <f t="shared" si="252"/>
        <v>1.177</v>
      </c>
      <c r="K454" s="118"/>
      <c r="L454" s="111">
        <v>11</v>
      </c>
      <c r="M454" s="117">
        <f t="shared" si="253"/>
        <v>1.177</v>
      </c>
      <c r="N454" s="119">
        <f t="shared" si="254"/>
        <v>0</v>
      </c>
      <c r="O454" s="120">
        <f t="shared" si="255"/>
        <v>0</v>
      </c>
      <c r="P454" s="111"/>
      <c r="Q454" s="111"/>
      <c r="R454" s="111"/>
      <c r="S454" s="111"/>
    </row>
    <row r="455" spans="1:19" ht="15.6">
      <c r="A455" s="110" t="s">
        <v>432</v>
      </c>
      <c r="B455" s="111" t="s">
        <v>232</v>
      </c>
      <c r="C455" s="112" t="s">
        <v>80</v>
      </c>
      <c r="D455" s="113" t="s">
        <v>152</v>
      </c>
      <c r="E455" s="216" t="s">
        <v>15</v>
      </c>
      <c r="F455" s="216" t="s">
        <v>22</v>
      </c>
      <c r="G455" s="217">
        <v>10.7</v>
      </c>
      <c r="H455" s="218">
        <v>11.25</v>
      </c>
      <c r="I455" s="219">
        <v>10</v>
      </c>
      <c r="J455" s="220">
        <f t="shared" si="252"/>
        <v>1.2037499999999999</v>
      </c>
      <c r="K455" s="118" t="s">
        <v>233</v>
      </c>
      <c r="L455" s="111">
        <v>10</v>
      </c>
      <c r="M455" s="117">
        <f t="shared" si="253"/>
        <v>1.2037500000000001</v>
      </c>
      <c r="N455" s="119">
        <f t="shared" si="254"/>
        <v>0</v>
      </c>
      <c r="O455" s="120">
        <f t="shared" si="255"/>
        <v>0</v>
      </c>
      <c r="P455" s="111">
        <v>11.25</v>
      </c>
      <c r="Q455" s="111">
        <v>10</v>
      </c>
      <c r="R455" s="111" t="s">
        <v>434</v>
      </c>
      <c r="S455" s="111"/>
    </row>
    <row r="456" spans="1:19" ht="15.6">
      <c r="A456" s="110" t="s">
        <v>432</v>
      </c>
      <c r="B456" s="111" t="s">
        <v>232</v>
      </c>
      <c r="C456" s="112" t="s">
        <v>80</v>
      </c>
      <c r="D456" s="113" t="s">
        <v>152</v>
      </c>
      <c r="E456" s="216" t="s">
        <v>15</v>
      </c>
      <c r="F456" s="216" t="s">
        <v>22</v>
      </c>
      <c r="G456" s="217">
        <v>10.7</v>
      </c>
      <c r="H456" s="218">
        <v>11</v>
      </c>
      <c r="I456" s="219">
        <v>2</v>
      </c>
      <c r="J456" s="220">
        <f t="shared" si="252"/>
        <v>0.23539999999999997</v>
      </c>
      <c r="K456" s="118" t="s">
        <v>233</v>
      </c>
      <c r="L456" s="111">
        <v>2</v>
      </c>
      <c r="M456" s="117">
        <f t="shared" si="253"/>
        <v>0.23539999999999997</v>
      </c>
      <c r="N456" s="145">
        <f t="shared" si="254"/>
        <v>0</v>
      </c>
      <c r="O456" s="120">
        <f t="shared" si="255"/>
        <v>0</v>
      </c>
      <c r="P456" s="111"/>
      <c r="Q456" s="91">
        <v>2</v>
      </c>
      <c r="R456" s="91" t="s">
        <v>512</v>
      </c>
      <c r="S456" s="111"/>
    </row>
    <row r="457" spans="1:19" ht="15.6">
      <c r="A457" s="110" t="s">
        <v>432</v>
      </c>
      <c r="B457" s="111" t="s">
        <v>232</v>
      </c>
      <c r="C457" s="112" t="s">
        <v>80</v>
      </c>
      <c r="D457" s="113" t="s">
        <v>152</v>
      </c>
      <c r="E457" s="216" t="s">
        <v>15</v>
      </c>
      <c r="F457" s="216" t="s">
        <v>22</v>
      </c>
      <c r="G457" s="217">
        <v>10.7</v>
      </c>
      <c r="H457" s="218">
        <v>10.9</v>
      </c>
      <c r="I457" s="219">
        <v>1</v>
      </c>
      <c r="J457" s="220">
        <f t="shared" si="252"/>
        <v>0.11663</v>
      </c>
      <c r="K457" s="118" t="s">
        <v>233</v>
      </c>
      <c r="L457" s="111">
        <v>1</v>
      </c>
      <c r="M457" s="117">
        <f t="shared" si="253"/>
        <v>0.11663</v>
      </c>
      <c r="N457" s="145">
        <f t="shared" si="254"/>
        <v>0</v>
      </c>
      <c r="O457" s="120">
        <f t="shared" si="255"/>
        <v>0</v>
      </c>
      <c r="P457" s="111"/>
      <c r="Q457" s="91">
        <v>1</v>
      </c>
      <c r="R457" s="91" t="s">
        <v>512</v>
      </c>
      <c r="S457" s="111"/>
    </row>
    <row r="458" spans="1:19" ht="15.6">
      <c r="A458" s="110" t="s">
        <v>432</v>
      </c>
      <c r="B458" s="111" t="s">
        <v>232</v>
      </c>
      <c r="C458" s="112" t="s">
        <v>80</v>
      </c>
      <c r="D458" s="113" t="s">
        <v>152</v>
      </c>
      <c r="E458" s="216" t="s">
        <v>15</v>
      </c>
      <c r="F458" s="216" t="s">
        <v>22</v>
      </c>
      <c r="G458" s="217">
        <v>10.7</v>
      </c>
      <c r="H458" s="218">
        <v>9.9</v>
      </c>
      <c r="I458" s="219">
        <v>2</v>
      </c>
      <c r="J458" s="220">
        <f t="shared" si="252"/>
        <v>0.21185999999999999</v>
      </c>
      <c r="K458" s="118" t="s">
        <v>233</v>
      </c>
      <c r="L458" s="111">
        <v>2</v>
      </c>
      <c r="M458" s="117">
        <f t="shared" si="253"/>
        <v>0.21185999999999999</v>
      </c>
      <c r="N458" s="145">
        <f t="shared" si="254"/>
        <v>0</v>
      </c>
      <c r="O458" s="120">
        <f t="shared" si="255"/>
        <v>0</v>
      </c>
      <c r="P458" s="111"/>
      <c r="Q458" s="91">
        <v>2</v>
      </c>
      <c r="R458" s="91" t="s">
        <v>512</v>
      </c>
      <c r="S458" s="111"/>
    </row>
    <row r="459" spans="1:19" ht="15.6">
      <c r="A459" s="110" t="s">
        <v>432</v>
      </c>
      <c r="B459" s="111" t="s">
        <v>232</v>
      </c>
      <c r="C459" s="112" t="s">
        <v>80</v>
      </c>
      <c r="D459" s="113" t="s">
        <v>152</v>
      </c>
      <c r="E459" s="216" t="s">
        <v>15</v>
      </c>
      <c r="F459" s="216" t="s">
        <v>22</v>
      </c>
      <c r="G459" s="217">
        <v>10.7</v>
      </c>
      <c r="H459" s="218">
        <v>9.6999999999999993</v>
      </c>
      <c r="I459" s="219">
        <v>2</v>
      </c>
      <c r="J459" s="220">
        <f t="shared" si="252"/>
        <v>0.20757999999999999</v>
      </c>
      <c r="K459" s="118" t="s">
        <v>233</v>
      </c>
      <c r="L459" s="111">
        <v>2</v>
      </c>
      <c r="M459" s="117">
        <f t="shared" si="253"/>
        <v>0.20757999999999999</v>
      </c>
      <c r="N459" s="145">
        <f t="shared" si="254"/>
        <v>0</v>
      </c>
      <c r="O459" s="120">
        <f t="shared" si="255"/>
        <v>0</v>
      </c>
      <c r="P459" s="111"/>
      <c r="Q459" s="91">
        <v>2</v>
      </c>
      <c r="R459" s="91" t="s">
        <v>512</v>
      </c>
      <c r="S459" s="111"/>
    </row>
    <row r="460" spans="1:19" ht="15.6">
      <c r="A460" s="110" t="s">
        <v>432</v>
      </c>
      <c r="B460" s="111" t="s">
        <v>232</v>
      </c>
      <c r="C460" s="112" t="s">
        <v>80</v>
      </c>
      <c r="D460" s="113" t="s">
        <v>152</v>
      </c>
      <c r="E460" s="216" t="s">
        <v>15</v>
      </c>
      <c r="F460" s="216" t="s">
        <v>22</v>
      </c>
      <c r="G460" s="217">
        <v>10.7</v>
      </c>
      <c r="H460" s="218">
        <v>9</v>
      </c>
      <c r="I460" s="219">
        <v>1</v>
      </c>
      <c r="J460" s="220">
        <f t="shared" si="252"/>
        <v>9.6299999999999997E-2</v>
      </c>
      <c r="K460" s="118" t="s">
        <v>233</v>
      </c>
      <c r="L460" s="111">
        <v>1</v>
      </c>
      <c r="M460" s="117">
        <f t="shared" si="253"/>
        <v>9.6299999999999997E-2</v>
      </c>
      <c r="N460" s="145">
        <f t="shared" si="254"/>
        <v>0</v>
      </c>
      <c r="O460" s="120">
        <f t="shared" si="255"/>
        <v>0</v>
      </c>
      <c r="P460" s="111"/>
      <c r="Q460" s="91">
        <v>1</v>
      </c>
      <c r="R460" s="91" t="s">
        <v>512</v>
      </c>
      <c r="S460" s="111"/>
    </row>
    <row r="461" spans="1:19" ht="15.6">
      <c r="A461" s="110" t="s">
        <v>432</v>
      </c>
      <c r="B461" s="111" t="s">
        <v>232</v>
      </c>
      <c r="C461" s="112" t="s">
        <v>80</v>
      </c>
      <c r="D461" s="113" t="s">
        <v>152</v>
      </c>
      <c r="E461" s="216" t="s">
        <v>15</v>
      </c>
      <c r="F461" s="216" t="s">
        <v>22</v>
      </c>
      <c r="G461" s="217">
        <v>10.7</v>
      </c>
      <c r="H461" s="218">
        <v>8.1</v>
      </c>
      <c r="I461" s="219">
        <v>1</v>
      </c>
      <c r="J461" s="220">
        <f t="shared" si="252"/>
        <v>8.6669999999999983E-2</v>
      </c>
      <c r="K461" s="118" t="s">
        <v>233</v>
      </c>
      <c r="L461" s="111">
        <v>1</v>
      </c>
      <c r="M461" s="117">
        <f t="shared" si="253"/>
        <v>8.6669999999999983E-2</v>
      </c>
      <c r="N461" s="145">
        <f t="shared" si="254"/>
        <v>0</v>
      </c>
      <c r="O461" s="120">
        <f t="shared" si="255"/>
        <v>0</v>
      </c>
      <c r="P461" s="111"/>
      <c r="Q461" s="91">
        <v>1</v>
      </c>
      <c r="R461" s="91" t="s">
        <v>512</v>
      </c>
      <c r="S461" s="111"/>
    </row>
    <row r="462" spans="1:19" ht="15.6">
      <c r="A462" s="110" t="s">
        <v>432</v>
      </c>
      <c r="B462" s="111" t="s">
        <v>232</v>
      </c>
      <c r="C462" s="112" t="s">
        <v>80</v>
      </c>
      <c r="D462" s="113" t="s">
        <v>152</v>
      </c>
      <c r="E462" s="216" t="s">
        <v>15</v>
      </c>
      <c r="F462" s="216" t="s">
        <v>22</v>
      </c>
      <c r="G462" s="217">
        <v>10.7</v>
      </c>
      <c r="H462" s="218">
        <v>8</v>
      </c>
      <c r="I462" s="219">
        <v>1</v>
      </c>
      <c r="J462" s="220">
        <f t="shared" si="252"/>
        <v>8.5599999999999996E-2</v>
      </c>
      <c r="K462" s="118" t="s">
        <v>233</v>
      </c>
      <c r="L462" s="111">
        <v>1</v>
      </c>
      <c r="M462" s="117">
        <f t="shared" si="253"/>
        <v>8.5599999999999996E-2</v>
      </c>
      <c r="N462" s="145">
        <f t="shared" si="254"/>
        <v>0</v>
      </c>
      <c r="O462" s="120">
        <f t="shared" si="255"/>
        <v>0</v>
      </c>
      <c r="P462" s="111"/>
      <c r="Q462" s="91">
        <v>1</v>
      </c>
      <c r="R462" s="91" t="s">
        <v>512</v>
      </c>
      <c r="S462" s="111"/>
    </row>
    <row r="463" spans="1:19" ht="15.6">
      <c r="A463" s="110" t="s">
        <v>432</v>
      </c>
      <c r="B463" s="111" t="s">
        <v>232</v>
      </c>
      <c r="C463" s="112" t="s">
        <v>433</v>
      </c>
      <c r="D463" s="113" t="s">
        <v>152</v>
      </c>
      <c r="E463" s="216" t="s">
        <v>15</v>
      </c>
      <c r="F463" s="216" t="s">
        <v>22</v>
      </c>
      <c r="G463" s="217">
        <v>10.7</v>
      </c>
      <c r="H463" s="218">
        <v>10.4</v>
      </c>
      <c r="I463" s="219">
        <f>26+26+26+22+8</f>
        <v>108</v>
      </c>
      <c r="J463" s="220">
        <f t="shared" si="252"/>
        <v>12.01824</v>
      </c>
      <c r="K463" s="118"/>
      <c r="L463" s="219">
        <f>26+26+26+22+8</f>
        <v>108</v>
      </c>
      <c r="M463" s="117">
        <f t="shared" si="253"/>
        <v>12.01824</v>
      </c>
      <c r="N463" s="119">
        <f t="shared" si="254"/>
        <v>0</v>
      </c>
      <c r="O463" s="120">
        <f t="shared" si="255"/>
        <v>0</v>
      </c>
      <c r="P463" s="111"/>
      <c r="Q463" s="111"/>
      <c r="R463" s="111"/>
      <c r="S463" s="111"/>
    </row>
    <row r="464" spans="1:19" ht="15.6">
      <c r="A464" s="110" t="s">
        <v>432</v>
      </c>
      <c r="B464" s="111" t="s">
        <v>232</v>
      </c>
      <c r="C464" s="112" t="s">
        <v>433</v>
      </c>
      <c r="D464" s="113" t="s">
        <v>152</v>
      </c>
      <c r="E464" s="216" t="s">
        <v>15</v>
      </c>
      <c r="F464" s="216" t="s">
        <v>22</v>
      </c>
      <c r="G464" s="217">
        <v>10.7</v>
      </c>
      <c r="H464" s="218">
        <v>11.6</v>
      </c>
      <c r="I464" s="219">
        <f>22+25+26+19+24+24+24+24+24+24+24+24+14</f>
        <v>298</v>
      </c>
      <c r="J464" s="220">
        <f t="shared" si="252"/>
        <v>36.987759999999994</v>
      </c>
      <c r="K464" s="118"/>
      <c r="L464" s="219">
        <f>22+25+26+19+24+24+24+24+24+24+24+24+14</f>
        <v>298</v>
      </c>
      <c r="M464" s="117">
        <f t="shared" si="253"/>
        <v>36.987759999999994</v>
      </c>
      <c r="N464" s="119">
        <f t="shared" si="254"/>
        <v>0</v>
      </c>
      <c r="O464" s="120">
        <f t="shared" si="255"/>
        <v>0</v>
      </c>
      <c r="P464" s="111"/>
      <c r="Q464" s="111"/>
      <c r="R464" s="111"/>
      <c r="S464" s="111"/>
    </row>
    <row r="465" spans="1:19" ht="15.6">
      <c r="A465" s="110" t="s">
        <v>432</v>
      </c>
      <c r="B465" s="111" t="s">
        <v>232</v>
      </c>
      <c r="C465" s="112" t="s">
        <v>433</v>
      </c>
      <c r="D465" s="113" t="s">
        <v>152</v>
      </c>
      <c r="E465" s="216" t="s">
        <v>15</v>
      </c>
      <c r="F465" s="216" t="s">
        <v>22</v>
      </c>
      <c r="G465" s="217">
        <v>10.7</v>
      </c>
      <c r="H465" s="218">
        <v>12</v>
      </c>
      <c r="I465" s="219">
        <f>18+26+24+26+20+26+24+24+3</f>
        <v>191</v>
      </c>
      <c r="J465" s="220">
        <f t="shared" si="252"/>
        <v>24.524399999999993</v>
      </c>
      <c r="K465" s="118"/>
      <c r="L465" s="219">
        <f>18+26+24+26+20+26+24+24+3</f>
        <v>191</v>
      </c>
      <c r="M465" s="117">
        <f t="shared" si="253"/>
        <v>24.524399999999996</v>
      </c>
      <c r="N465" s="119">
        <f t="shared" si="254"/>
        <v>0</v>
      </c>
      <c r="O465" s="120">
        <f t="shared" si="255"/>
        <v>0</v>
      </c>
      <c r="P465" s="130">
        <v>11.6</v>
      </c>
      <c r="Q465" s="111">
        <v>59</v>
      </c>
      <c r="R465" s="111"/>
      <c r="S465" s="111"/>
    </row>
    <row r="466" spans="1:19" ht="15.6">
      <c r="A466" s="110" t="s">
        <v>432</v>
      </c>
      <c r="B466" s="111" t="s">
        <v>232</v>
      </c>
      <c r="C466" s="112" t="s">
        <v>433</v>
      </c>
      <c r="D466" s="113" t="s">
        <v>152</v>
      </c>
      <c r="E466" s="216" t="s">
        <v>15</v>
      </c>
      <c r="F466" s="216" t="s">
        <v>22</v>
      </c>
      <c r="G466" s="217">
        <v>10.7</v>
      </c>
      <c r="H466" s="218">
        <v>10</v>
      </c>
      <c r="I466" s="219">
        <v>10</v>
      </c>
      <c r="J466" s="220">
        <f t="shared" si="252"/>
        <v>1.07</v>
      </c>
      <c r="K466" s="118"/>
      <c r="L466" s="111">
        <v>10</v>
      </c>
      <c r="M466" s="117">
        <f t="shared" si="253"/>
        <v>1.07</v>
      </c>
      <c r="N466" s="119">
        <f t="shared" si="254"/>
        <v>0</v>
      </c>
      <c r="O466" s="120">
        <f t="shared" si="255"/>
        <v>0</v>
      </c>
      <c r="P466" s="130"/>
      <c r="Q466" s="111"/>
      <c r="R466" s="111"/>
      <c r="S466" s="111"/>
    </row>
    <row r="467" spans="1:19" ht="15.6">
      <c r="A467" s="110" t="s">
        <v>432</v>
      </c>
      <c r="B467" s="111" t="s">
        <v>232</v>
      </c>
      <c r="C467" s="112" t="s">
        <v>433</v>
      </c>
      <c r="D467" s="113" t="s">
        <v>152</v>
      </c>
      <c r="E467" s="216" t="s">
        <v>15</v>
      </c>
      <c r="F467" s="216" t="s">
        <v>22</v>
      </c>
      <c r="G467" s="217">
        <v>10.7</v>
      </c>
      <c r="H467" s="218">
        <v>11.3</v>
      </c>
      <c r="I467" s="219">
        <v>10</v>
      </c>
      <c r="J467" s="220">
        <f t="shared" ref="J467" si="256">(G467*H467*I467/1000)</f>
        <v>1.2090999999999998</v>
      </c>
      <c r="K467" s="118"/>
      <c r="L467" s="111">
        <v>10</v>
      </c>
      <c r="M467" s="117">
        <f t="shared" ref="M467:M474" si="257">H467*L467*G467/1000</f>
        <v>1.2090999999999998</v>
      </c>
      <c r="N467" s="119">
        <f t="shared" ref="N467:N474" si="258">I467-L467</f>
        <v>0</v>
      </c>
      <c r="O467" s="120">
        <f t="shared" ref="O467:O472" si="259">H467*N467*G467/1000</f>
        <v>0</v>
      </c>
      <c r="P467" s="130">
        <v>11.25</v>
      </c>
      <c r="Q467" s="111">
        <v>10</v>
      </c>
      <c r="R467" s="111"/>
      <c r="S467" s="111"/>
    </row>
    <row r="468" spans="1:19" ht="15.6">
      <c r="A468" s="110" t="s">
        <v>432</v>
      </c>
      <c r="B468" s="111" t="s">
        <v>232</v>
      </c>
      <c r="C468" s="112" t="s">
        <v>433</v>
      </c>
      <c r="D468" s="113" t="s">
        <v>152</v>
      </c>
      <c r="E468" s="216" t="s">
        <v>15</v>
      </c>
      <c r="F468" s="216" t="s">
        <v>22</v>
      </c>
      <c r="G468" s="217">
        <v>10.7</v>
      </c>
      <c r="H468" s="218">
        <v>10.5</v>
      </c>
      <c r="I468" s="219">
        <v>12</v>
      </c>
      <c r="J468" s="220">
        <f t="shared" ref="J468:J474" si="260">(G468*H468*I468/1000)</f>
        <v>1.3481999999999998</v>
      </c>
      <c r="K468" s="118" t="s">
        <v>233</v>
      </c>
      <c r="L468" s="111">
        <f>7+5</f>
        <v>12</v>
      </c>
      <c r="M468" s="117">
        <f t="shared" si="257"/>
        <v>1.3481999999999998</v>
      </c>
      <c r="N468" s="119">
        <f t="shared" si="258"/>
        <v>0</v>
      </c>
      <c r="O468" s="120">
        <f t="shared" si="259"/>
        <v>0</v>
      </c>
      <c r="P468" s="130">
        <v>10.4</v>
      </c>
      <c r="Q468" s="111">
        <v>7</v>
      </c>
      <c r="R468" s="111"/>
      <c r="S468" s="111"/>
    </row>
    <row r="469" spans="1:19" ht="15.6">
      <c r="A469" s="110" t="s">
        <v>432</v>
      </c>
      <c r="B469" s="111" t="s">
        <v>232</v>
      </c>
      <c r="C469" s="112" t="s">
        <v>433</v>
      </c>
      <c r="D469" s="113" t="s">
        <v>152</v>
      </c>
      <c r="E469" s="216" t="s">
        <v>15</v>
      </c>
      <c r="F469" s="216" t="s">
        <v>22</v>
      </c>
      <c r="G469" s="217">
        <v>10.7</v>
      </c>
      <c r="H469" s="218">
        <v>10</v>
      </c>
      <c r="I469" s="219">
        <v>1</v>
      </c>
      <c r="J469" s="220">
        <f t="shared" si="260"/>
        <v>0.107</v>
      </c>
      <c r="K469" s="118" t="s">
        <v>233</v>
      </c>
      <c r="L469" s="111">
        <v>1</v>
      </c>
      <c r="M469" s="117">
        <f t="shared" si="257"/>
        <v>0.107</v>
      </c>
      <c r="N469" s="119">
        <f t="shared" si="258"/>
        <v>0</v>
      </c>
      <c r="O469" s="120">
        <f t="shared" si="259"/>
        <v>0</v>
      </c>
      <c r="P469" s="130">
        <v>7.8</v>
      </c>
      <c r="Q469" s="45">
        <v>1</v>
      </c>
      <c r="R469" s="111" t="s">
        <v>701</v>
      </c>
      <c r="S469" s="111"/>
    </row>
    <row r="470" spans="1:19" ht="15.6">
      <c r="A470" s="110" t="s">
        <v>432</v>
      </c>
      <c r="B470" s="111" t="s">
        <v>232</v>
      </c>
      <c r="C470" s="112" t="s">
        <v>433</v>
      </c>
      <c r="D470" s="113" t="s">
        <v>152</v>
      </c>
      <c r="E470" s="216" t="s">
        <v>15</v>
      </c>
      <c r="F470" s="216" t="s">
        <v>22</v>
      </c>
      <c r="G470" s="217">
        <v>10.7</v>
      </c>
      <c r="H470" s="218">
        <v>9.5</v>
      </c>
      <c r="I470" s="219">
        <v>1</v>
      </c>
      <c r="J470" s="220">
        <f t="shared" si="260"/>
        <v>0.10164999999999999</v>
      </c>
      <c r="K470" s="118" t="s">
        <v>233</v>
      </c>
      <c r="L470" s="111">
        <v>1</v>
      </c>
      <c r="M470" s="117">
        <f t="shared" si="257"/>
        <v>0.10164999999999999</v>
      </c>
      <c r="N470" s="119">
        <f t="shared" si="258"/>
        <v>0</v>
      </c>
      <c r="O470" s="120">
        <f t="shared" si="259"/>
        <v>0</v>
      </c>
      <c r="P470" s="130">
        <v>7.8</v>
      </c>
      <c r="Q470" s="45">
        <v>1</v>
      </c>
      <c r="R470" s="111" t="s">
        <v>701</v>
      </c>
      <c r="S470" s="111"/>
    </row>
    <row r="471" spans="1:19" ht="15.6">
      <c r="A471" s="110" t="s">
        <v>432</v>
      </c>
      <c r="B471" s="111" t="s">
        <v>232</v>
      </c>
      <c r="C471" s="112" t="s">
        <v>433</v>
      </c>
      <c r="D471" s="113" t="s">
        <v>152</v>
      </c>
      <c r="E471" s="216" t="s">
        <v>15</v>
      </c>
      <c r="F471" s="216" t="s">
        <v>22</v>
      </c>
      <c r="G471" s="217">
        <v>10.7</v>
      </c>
      <c r="H471" s="218">
        <v>9.1999999999999993</v>
      </c>
      <c r="I471" s="219">
        <v>1</v>
      </c>
      <c r="J471" s="220">
        <f t="shared" si="260"/>
        <v>9.8439999999999986E-2</v>
      </c>
      <c r="K471" s="118" t="s">
        <v>233</v>
      </c>
      <c r="L471" s="111">
        <v>1</v>
      </c>
      <c r="M471" s="117">
        <f t="shared" si="257"/>
        <v>9.8439999999999986E-2</v>
      </c>
      <c r="N471" s="119">
        <f t="shared" si="258"/>
        <v>0</v>
      </c>
      <c r="O471" s="120">
        <f t="shared" si="259"/>
        <v>0</v>
      </c>
      <c r="P471" s="130">
        <v>7.8</v>
      </c>
      <c r="Q471" s="45">
        <v>1</v>
      </c>
      <c r="R471" s="111" t="s">
        <v>701</v>
      </c>
      <c r="S471" s="111"/>
    </row>
    <row r="472" spans="1:19" ht="15.6">
      <c r="A472" s="110" t="s">
        <v>432</v>
      </c>
      <c r="B472" s="111" t="s">
        <v>232</v>
      </c>
      <c r="C472" s="112" t="s">
        <v>433</v>
      </c>
      <c r="D472" s="113" t="s">
        <v>152</v>
      </c>
      <c r="E472" s="216" t="s">
        <v>15</v>
      </c>
      <c r="F472" s="216" t="s">
        <v>22</v>
      </c>
      <c r="G472" s="217">
        <v>10.7</v>
      </c>
      <c r="H472" s="218">
        <v>10.4</v>
      </c>
      <c r="I472" s="219">
        <v>1</v>
      </c>
      <c r="J472" s="220">
        <f t="shared" si="260"/>
        <v>0.11128</v>
      </c>
      <c r="K472" s="118" t="s">
        <v>235</v>
      </c>
      <c r="L472" s="219">
        <v>1</v>
      </c>
      <c r="M472" s="117">
        <f t="shared" si="257"/>
        <v>0.11128</v>
      </c>
      <c r="N472" s="119">
        <f t="shared" si="258"/>
        <v>0</v>
      </c>
      <c r="O472" s="120">
        <f t="shared" si="259"/>
        <v>0</v>
      </c>
      <c r="P472" s="111"/>
      <c r="Q472" s="111"/>
      <c r="R472" s="111"/>
      <c r="S472" s="111"/>
    </row>
    <row r="473" spans="1:19" ht="15.6">
      <c r="A473" s="110" t="s">
        <v>432</v>
      </c>
      <c r="B473" s="111" t="s">
        <v>232</v>
      </c>
      <c r="C473" s="112" t="s">
        <v>433</v>
      </c>
      <c r="D473" s="113" t="s">
        <v>152</v>
      </c>
      <c r="E473" s="216" t="s">
        <v>15</v>
      </c>
      <c r="F473" s="216" t="s">
        <v>22</v>
      </c>
      <c r="G473" s="217">
        <v>10.7</v>
      </c>
      <c r="H473" s="218">
        <v>10.5</v>
      </c>
      <c r="I473" s="219">
        <v>1</v>
      </c>
      <c r="J473" s="220">
        <f t="shared" si="260"/>
        <v>0.11234999999999999</v>
      </c>
      <c r="K473" s="118" t="s">
        <v>235</v>
      </c>
      <c r="L473" s="111">
        <v>1</v>
      </c>
      <c r="M473" s="117">
        <f t="shared" si="257"/>
        <v>0.11234999999999999</v>
      </c>
      <c r="N473" s="119">
        <f t="shared" si="258"/>
        <v>0</v>
      </c>
      <c r="O473" s="120">
        <f>H473*N473*G473/1000</f>
        <v>0</v>
      </c>
      <c r="P473" s="111"/>
      <c r="Q473" s="111"/>
      <c r="R473" s="111"/>
      <c r="S473" s="111"/>
    </row>
    <row r="474" spans="1:19" ht="15.6">
      <c r="A474" s="110" t="s">
        <v>432</v>
      </c>
      <c r="B474" s="111" t="s">
        <v>232</v>
      </c>
      <c r="C474" s="112" t="s">
        <v>433</v>
      </c>
      <c r="D474" s="113" t="s">
        <v>152</v>
      </c>
      <c r="E474" s="216" t="s">
        <v>15</v>
      </c>
      <c r="F474" s="216" t="s">
        <v>22</v>
      </c>
      <c r="G474" s="217">
        <v>10.7</v>
      </c>
      <c r="H474" s="218">
        <v>11.6</v>
      </c>
      <c r="I474" s="219">
        <v>1</v>
      </c>
      <c r="J474" s="220">
        <f t="shared" si="260"/>
        <v>0.12411999999999999</v>
      </c>
      <c r="K474" s="118" t="s">
        <v>235</v>
      </c>
      <c r="L474" s="111">
        <v>1</v>
      </c>
      <c r="M474" s="117">
        <f t="shared" si="257"/>
        <v>0.12411999999999999</v>
      </c>
      <c r="N474" s="119">
        <f t="shared" si="258"/>
        <v>0</v>
      </c>
      <c r="O474" s="120">
        <f>H474*N474*G474/1000</f>
        <v>0</v>
      </c>
      <c r="P474" s="111"/>
      <c r="Q474" s="111"/>
      <c r="R474" s="111"/>
      <c r="S474" s="111"/>
    </row>
    <row r="475" spans="1:19">
      <c r="I475" s="215">
        <f>SUM(I450:I474)</f>
        <v>1355</v>
      </c>
      <c r="J475" s="214">
        <f>SUM(J450:J474)</f>
        <v>166.28120999999999</v>
      </c>
      <c r="L475" s="215">
        <f>SUM(L450:L474)</f>
        <v>1387</v>
      </c>
      <c r="M475" s="214">
        <f>SUM(M450:M474)</f>
        <v>170.25304999999997</v>
      </c>
      <c r="N475" s="78">
        <f>SUM(N450:N474)</f>
        <v>-32</v>
      </c>
      <c r="O475" s="214">
        <f>SUM(O450:O474)</f>
        <v>-3.9718399999999998</v>
      </c>
      <c r="Q475" s="215">
        <f>SUM(Q450:Q474)</f>
        <v>99</v>
      </c>
    </row>
    <row r="477" spans="1:19" ht="15.6">
      <c r="A477" s="110" t="s">
        <v>436</v>
      </c>
      <c r="B477" s="111" t="s">
        <v>232</v>
      </c>
      <c r="C477" s="112" t="s">
        <v>228</v>
      </c>
      <c r="D477" s="113" t="s">
        <v>152</v>
      </c>
      <c r="E477" s="216" t="s">
        <v>15</v>
      </c>
      <c r="F477" s="216" t="s">
        <v>30</v>
      </c>
      <c r="G477" s="217">
        <v>9.26</v>
      </c>
      <c r="H477" s="218">
        <v>10.3</v>
      </c>
      <c r="I477" s="219">
        <f>32+14+31+26+30+30+19</f>
        <v>182</v>
      </c>
      <c r="J477" s="220">
        <f t="shared" ref="J477:J481" si="261">(G477*H477*I477/1000)</f>
        <v>17.358795999999998</v>
      </c>
      <c r="K477" s="118"/>
      <c r="L477" s="111">
        <v>182</v>
      </c>
      <c r="M477" s="117">
        <f t="shared" ref="M477:M481" si="262">H477*L477*G477/1000</f>
        <v>17.358796000000002</v>
      </c>
      <c r="N477" s="119">
        <f t="shared" ref="N477:N481" si="263">I477-L477</f>
        <v>0</v>
      </c>
      <c r="O477" s="120">
        <f t="shared" ref="O477:O481" si="264">H477*N477*G477/1000</f>
        <v>0</v>
      </c>
      <c r="P477" s="111"/>
      <c r="Q477" s="111"/>
      <c r="R477" s="111"/>
      <c r="S477" s="111"/>
    </row>
    <row r="478" spans="1:19" ht="15.6">
      <c r="A478" s="110" t="s">
        <v>436</v>
      </c>
      <c r="B478" s="111" t="s">
        <v>232</v>
      </c>
      <c r="C478" s="112" t="s">
        <v>228</v>
      </c>
      <c r="D478" s="113" t="s">
        <v>152</v>
      </c>
      <c r="E478" s="216" t="s">
        <v>15</v>
      </c>
      <c r="F478" s="216" t="s">
        <v>30</v>
      </c>
      <c r="G478" s="217">
        <v>9.26</v>
      </c>
      <c r="H478" s="218">
        <v>11.3</v>
      </c>
      <c r="I478" s="219">
        <f>15+31</f>
        <v>46</v>
      </c>
      <c r="J478" s="220">
        <f t="shared" si="261"/>
        <v>4.8133479999999995</v>
      </c>
      <c r="K478" s="118"/>
      <c r="L478" s="111">
        <f>39+7</f>
        <v>46</v>
      </c>
      <c r="M478" s="117">
        <f t="shared" si="262"/>
        <v>4.8133480000000013</v>
      </c>
      <c r="N478" s="119">
        <f t="shared" si="263"/>
        <v>0</v>
      </c>
      <c r="O478" s="120">
        <f t="shared" si="264"/>
        <v>0</v>
      </c>
      <c r="P478" s="111"/>
      <c r="Q478" s="111"/>
      <c r="R478" s="111"/>
      <c r="S478" s="111"/>
    </row>
    <row r="479" spans="1:19" ht="15.6">
      <c r="A479" s="110" t="s">
        <v>436</v>
      </c>
      <c r="B479" s="111" t="s">
        <v>232</v>
      </c>
      <c r="C479" s="112" t="s">
        <v>228</v>
      </c>
      <c r="D479" s="113" t="s">
        <v>152</v>
      </c>
      <c r="E479" s="216" t="s">
        <v>15</v>
      </c>
      <c r="F479" s="216" t="s">
        <v>30</v>
      </c>
      <c r="G479" s="217">
        <v>9.26</v>
      </c>
      <c r="H479" s="218">
        <v>11.8</v>
      </c>
      <c r="I479" s="219">
        <f>27+32+32+33+26+26+26+26+28+29+29+29+27</f>
        <v>370</v>
      </c>
      <c r="J479" s="220">
        <f t="shared" si="261"/>
        <v>40.429160000000003</v>
      </c>
      <c r="K479" s="118"/>
      <c r="L479" s="111">
        <v>370</v>
      </c>
      <c r="M479" s="117">
        <f t="shared" si="262"/>
        <v>40.429159999999996</v>
      </c>
      <c r="N479" s="119">
        <f t="shared" si="263"/>
        <v>0</v>
      </c>
      <c r="O479" s="120">
        <f t="shared" si="264"/>
        <v>0</v>
      </c>
      <c r="P479" s="111"/>
      <c r="Q479" s="111"/>
      <c r="R479" s="111"/>
      <c r="S479" s="111"/>
    </row>
    <row r="480" spans="1:19" ht="15.6">
      <c r="A480" s="110" t="s">
        <v>436</v>
      </c>
      <c r="B480" s="111" t="s">
        <v>232</v>
      </c>
      <c r="C480" s="112" t="s">
        <v>228</v>
      </c>
      <c r="D480" s="113" t="s">
        <v>152</v>
      </c>
      <c r="E480" s="216" t="s">
        <v>15</v>
      </c>
      <c r="F480" s="216" t="s">
        <v>30</v>
      </c>
      <c r="G480" s="217">
        <v>9.26</v>
      </c>
      <c r="H480" s="218">
        <v>12</v>
      </c>
      <c r="I480" s="219">
        <f>5+17</f>
        <v>22</v>
      </c>
      <c r="J480" s="220">
        <f t="shared" si="261"/>
        <v>2.4446400000000001</v>
      </c>
      <c r="K480" s="118"/>
      <c r="L480" s="111">
        <f>19+3</f>
        <v>22</v>
      </c>
      <c r="M480" s="117">
        <f t="shared" si="262"/>
        <v>2.4446399999999997</v>
      </c>
      <c r="N480" s="119">
        <f t="shared" si="263"/>
        <v>0</v>
      </c>
      <c r="O480" s="120">
        <f t="shared" si="264"/>
        <v>0</v>
      </c>
      <c r="P480" s="111"/>
      <c r="Q480" s="111"/>
      <c r="R480" s="111"/>
      <c r="S480" s="111"/>
    </row>
    <row r="481" spans="1:21" ht="15.6">
      <c r="A481" s="110" t="s">
        <v>436</v>
      </c>
      <c r="B481" s="111" t="s">
        <v>232</v>
      </c>
      <c r="C481" s="112" t="s">
        <v>228</v>
      </c>
      <c r="D481" s="113" t="s">
        <v>152</v>
      </c>
      <c r="E481" s="216" t="s">
        <v>15</v>
      </c>
      <c r="F481" s="216" t="s">
        <v>30</v>
      </c>
      <c r="G481" s="217">
        <v>9.26</v>
      </c>
      <c r="H481" s="218">
        <v>9</v>
      </c>
      <c r="I481" s="219">
        <v>1</v>
      </c>
      <c r="J481" s="220">
        <f t="shared" si="261"/>
        <v>8.3339999999999997E-2</v>
      </c>
      <c r="K481" s="118"/>
      <c r="L481" s="111">
        <v>1</v>
      </c>
      <c r="M481" s="117">
        <f t="shared" si="262"/>
        <v>8.3339999999999997E-2</v>
      </c>
      <c r="N481" s="119">
        <f t="shared" si="263"/>
        <v>0</v>
      </c>
      <c r="O481" s="120">
        <f t="shared" si="264"/>
        <v>0</v>
      </c>
      <c r="P481" s="159">
        <v>9</v>
      </c>
      <c r="Q481" s="45">
        <v>1</v>
      </c>
      <c r="R481" s="111" t="s">
        <v>762</v>
      </c>
      <c r="S481" s="111"/>
    </row>
    <row r="482" spans="1:21" ht="15.6">
      <c r="A482" s="110" t="s">
        <v>436</v>
      </c>
      <c r="B482" s="111" t="s">
        <v>232</v>
      </c>
      <c r="C482" s="112" t="s">
        <v>228</v>
      </c>
      <c r="D482" s="113" t="s">
        <v>152</v>
      </c>
      <c r="E482" s="216" t="s">
        <v>15</v>
      </c>
      <c r="F482" s="216" t="s">
        <v>30</v>
      </c>
      <c r="G482" s="217">
        <v>9.26</v>
      </c>
      <c r="H482" s="218">
        <v>10</v>
      </c>
      <c r="I482" s="219">
        <v>1</v>
      </c>
      <c r="J482" s="220">
        <f t="shared" ref="J482" si="265">(G482*H482*I482/1000)</f>
        <v>9.2599999999999988E-2</v>
      </c>
      <c r="K482" s="118"/>
      <c r="L482" s="111">
        <v>1</v>
      </c>
      <c r="M482" s="117">
        <f t="shared" ref="M482" si="266">H482*L482*G482/1000</f>
        <v>9.2599999999999988E-2</v>
      </c>
      <c r="N482" s="119">
        <f t="shared" ref="N482" si="267">I482-L482</f>
        <v>0</v>
      </c>
      <c r="O482" s="120">
        <f t="shared" ref="O482" si="268">H482*N482*G482/1000</f>
        <v>0</v>
      </c>
      <c r="P482" s="159">
        <v>9</v>
      </c>
      <c r="Q482" s="45">
        <v>1</v>
      </c>
      <c r="R482" s="111" t="s">
        <v>762</v>
      </c>
      <c r="S482" s="111"/>
    </row>
    <row r="483" spans="1:21" ht="15.6">
      <c r="A483" s="110" t="s">
        <v>436</v>
      </c>
      <c r="B483" s="111" t="s">
        <v>232</v>
      </c>
      <c r="C483" s="112" t="s">
        <v>228</v>
      </c>
      <c r="D483" s="113" t="s">
        <v>152</v>
      </c>
      <c r="E483" s="216" t="s">
        <v>15</v>
      </c>
      <c r="F483" s="216" t="s">
        <v>30</v>
      </c>
      <c r="G483" s="217">
        <v>9.26</v>
      </c>
      <c r="H483" s="221">
        <v>10</v>
      </c>
      <c r="I483" s="219">
        <v>5</v>
      </c>
      <c r="J483" s="220">
        <f t="shared" ref="J483:J485" si="269">(G483*H483*I483/1000)</f>
        <v>0.46300000000000002</v>
      </c>
      <c r="K483" s="118"/>
      <c r="L483" s="111">
        <v>4</v>
      </c>
      <c r="M483" s="117">
        <f t="shared" ref="M483:M485" si="270">H483*L483*G483/1000</f>
        <v>0.37039999999999995</v>
      </c>
      <c r="N483" s="119">
        <f t="shared" ref="N483:N485" si="271">I483-L483</f>
        <v>1</v>
      </c>
      <c r="O483" s="120">
        <f t="shared" ref="O483:O485" si="272">H483*N483*G483/1000</f>
        <v>9.2599999999999988E-2</v>
      </c>
      <c r="P483" s="159" t="s">
        <v>761</v>
      </c>
      <c r="Q483" s="45">
        <v>5</v>
      </c>
      <c r="R483" s="111" t="s">
        <v>763</v>
      </c>
      <c r="S483" s="111"/>
    </row>
    <row r="484" spans="1:21" ht="15.6">
      <c r="A484" s="110" t="s">
        <v>436</v>
      </c>
      <c r="B484" s="111" t="s">
        <v>232</v>
      </c>
      <c r="C484" s="112" t="s">
        <v>228</v>
      </c>
      <c r="D484" s="113" t="s">
        <v>152</v>
      </c>
      <c r="E484" s="216" t="s">
        <v>15</v>
      </c>
      <c r="F484" s="216" t="s">
        <v>30</v>
      </c>
      <c r="G484" s="217">
        <v>9.26</v>
      </c>
      <c r="H484" s="221">
        <v>9.8000000000000007</v>
      </c>
      <c r="I484" s="219">
        <v>4</v>
      </c>
      <c r="J484" s="220">
        <f t="shared" si="269"/>
        <v>0.36299200000000004</v>
      </c>
      <c r="K484" s="118"/>
      <c r="L484" s="111">
        <f>3+1</f>
        <v>4</v>
      </c>
      <c r="M484" s="117">
        <f t="shared" si="270"/>
        <v>0.36299200000000004</v>
      </c>
      <c r="N484" s="119">
        <f t="shared" si="271"/>
        <v>0</v>
      </c>
      <c r="O484" s="120">
        <f t="shared" si="272"/>
        <v>0</v>
      </c>
      <c r="P484" s="159">
        <v>9</v>
      </c>
      <c r="Q484" s="45">
        <v>1</v>
      </c>
      <c r="R484" s="111" t="s">
        <v>762</v>
      </c>
      <c r="S484" s="91">
        <v>9.8000000000000007</v>
      </c>
      <c r="T484" s="91">
        <v>3</v>
      </c>
      <c r="U484" s="91" t="s">
        <v>513</v>
      </c>
    </row>
    <row r="485" spans="1:21" ht="15.6">
      <c r="A485" s="110" t="s">
        <v>436</v>
      </c>
      <c r="B485" s="111" t="s">
        <v>232</v>
      </c>
      <c r="C485" s="112" t="s">
        <v>228</v>
      </c>
      <c r="D485" s="113" t="s">
        <v>152</v>
      </c>
      <c r="E485" s="216" t="s">
        <v>15</v>
      </c>
      <c r="F485" s="216" t="s">
        <v>30</v>
      </c>
      <c r="G485" s="217">
        <v>9.26</v>
      </c>
      <c r="H485" s="221">
        <v>9</v>
      </c>
      <c r="I485" s="219">
        <v>1</v>
      </c>
      <c r="J485" s="220">
        <f t="shared" si="269"/>
        <v>8.3339999999999997E-2</v>
      </c>
      <c r="K485" s="118"/>
      <c r="L485" s="111">
        <v>1</v>
      </c>
      <c r="M485" s="117">
        <f t="shared" si="270"/>
        <v>8.3339999999999997E-2</v>
      </c>
      <c r="N485" s="119">
        <f t="shared" si="271"/>
        <v>0</v>
      </c>
      <c r="O485" s="120">
        <f t="shared" si="272"/>
        <v>0</v>
      </c>
      <c r="P485" s="159">
        <v>9</v>
      </c>
      <c r="Q485" s="45">
        <v>1</v>
      </c>
      <c r="R485" s="111" t="s">
        <v>762</v>
      </c>
      <c r="S485" s="111"/>
    </row>
    <row r="486" spans="1:21">
      <c r="I486" s="215">
        <f>SUM(I477:I485)</f>
        <v>632</v>
      </c>
      <c r="J486" s="214">
        <f>SUM(J477:J485)</f>
        <v>66.131216000000023</v>
      </c>
      <c r="L486" s="215">
        <f>SUM(L477:L485)</f>
        <v>631</v>
      </c>
      <c r="M486" s="214">
        <f>SUM(M477:M485)</f>
        <v>66.038616000000019</v>
      </c>
      <c r="N486" s="215">
        <f>SUM(N477:N485)</f>
        <v>1</v>
      </c>
      <c r="O486" s="214">
        <f>SUM(O477:O485)</f>
        <v>9.2599999999999988E-2</v>
      </c>
      <c r="Q486" s="215">
        <f>SUM(Q477:Q485)</f>
        <v>9</v>
      </c>
    </row>
    <row r="489" spans="1:21" ht="15.6">
      <c r="A489" s="110" t="s">
        <v>448</v>
      </c>
      <c r="B489" s="111" t="s">
        <v>232</v>
      </c>
      <c r="C489" s="112" t="s">
        <v>449</v>
      </c>
      <c r="D489" s="113" t="s">
        <v>326</v>
      </c>
      <c r="E489" s="216" t="s">
        <v>14</v>
      </c>
      <c r="F489" s="216" t="s">
        <v>22</v>
      </c>
      <c r="G489" s="217">
        <v>10.7</v>
      </c>
      <c r="H489" s="218">
        <v>6.5</v>
      </c>
      <c r="I489" s="219">
        <v>36</v>
      </c>
      <c r="J489" s="220">
        <f t="shared" ref="J489" si="273">(G489*H489*I489/1000)</f>
        <v>2.5037999999999996</v>
      </c>
      <c r="K489" s="118"/>
      <c r="L489" s="219">
        <v>36</v>
      </c>
      <c r="M489" s="117">
        <f t="shared" ref="M489" si="274">H489*L489*G489/1000</f>
        <v>2.5037999999999996</v>
      </c>
      <c r="N489" s="119">
        <f t="shared" ref="N489" si="275">I489-L489</f>
        <v>0</v>
      </c>
      <c r="O489" s="120">
        <f t="shared" ref="O489" si="276">H489*N489*G489/1000</f>
        <v>0</v>
      </c>
      <c r="P489" s="111"/>
      <c r="Q489" s="111"/>
      <c r="R489" s="111"/>
      <c r="S489" s="111"/>
    </row>
    <row r="490" spans="1:21" ht="15.6">
      <c r="A490" s="110" t="s">
        <v>448</v>
      </c>
      <c r="B490" s="111" t="s">
        <v>232</v>
      </c>
      <c r="C490" s="112" t="s">
        <v>449</v>
      </c>
      <c r="D490" s="113" t="s">
        <v>326</v>
      </c>
      <c r="E490" s="216" t="s">
        <v>14</v>
      </c>
      <c r="F490" s="216" t="s">
        <v>22</v>
      </c>
      <c r="G490" s="217">
        <v>10.7</v>
      </c>
      <c r="H490" s="218">
        <v>6.5</v>
      </c>
      <c r="I490" s="219">
        <v>36</v>
      </c>
      <c r="J490" s="220">
        <f t="shared" ref="J490:J505" si="277">(G490*H490*I490/1000)</f>
        <v>2.5037999999999996</v>
      </c>
      <c r="K490" s="118"/>
      <c r="L490" s="219">
        <v>36</v>
      </c>
      <c r="M490" s="117">
        <f t="shared" ref="M490:M505" si="278">H490*L490*G490/1000</f>
        <v>2.5037999999999996</v>
      </c>
      <c r="N490" s="119">
        <f t="shared" ref="N490:N505" si="279">I490-L490</f>
        <v>0</v>
      </c>
      <c r="O490" s="120">
        <f t="shared" ref="O490:O505" si="280">H490*N490*G490/1000</f>
        <v>0</v>
      </c>
      <c r="P490" s="111"/>
      <c r="Q490" s="111"/>
      <c r="R490" s="111"/>
      <c r="S490" s="111"/>
    </row>
    <row r="491" spans="1:21" ht="15.6">
      <c r="A491" s="110" t="s">
        <v>448</v>
      </c>
      <c r="B491" s="111" t="s">
        <v>232</v>
      </c>
      <c r="C491" s="112" t="s">
        <v>449</v>
      </c>
      <c r="D491" s="113" t="s">
        <v>326</v>
      </c>
      <c r="E491" s="216" t="s">
        <v>14</v>
      </c>
      <c r="F491" s="216" t="s">
        <v>22</v>
      </c>
      <c r="G491" s="217">
        <v>10.7</v>
      </c>
      <c r="H491" s="218">
        <v>6.5</v>
      </c>
      <c r="I491" s="219">
        <v>36</v>
      </c>
      <c r="J491" s="220">
        <f t="shared" si="277"/>
        <v>2.5037999999999996</v>
      </c>
      <c r="K491" s="118"/>
      <c r="L491" s="219">
        <v>36</v>
      </c>
      <c r="M491" s="117">
        <f t="shared" si="278"/>
        <v>2.5037999999999996</v>
      </c>
      <c r="N491" s="119">
        <f t="shared" si="279"/>
        <v>0</v>
      </c>
      <c r="O491" s="120">
        <f t="shared" si="280"/>
        <v>0</v>
      </c>
      <c r="P491" s="111"/>
      <c r="Q491" s="111"/>
      <c r="R491" s="111"/>
      <c r="S491" s="111"/>
    </row>
    <row r="492" spans="1:21" ht="15.6">
      <c r="A492" s="110" t="s">
        <v>448</v>
      </c>
      <c r="B492" s="111" t="s">
        <v>232</v>
      </c>
      <c r="C492" s="112" t="s">
        <v>449</v>
      </c>
      <c r="D492" s="113" t="s">
        <v>326</v>
      </c>
      <c r="E492" s="216" t="s">
        <v>14</v>
      </c>
      <c r="F492" s="216" t="s">
        <v>22</v>
      </c>
      <c r="G492" s="217">
        <v>10.7</v>
      </c>
      <c r="H492" s="218">
        <v>6.5</v>
      </c>
      <c r="I492" s="219">
        <v>36</v>
      </c>
      <c r="J492" s="220">
        <f t="shared" si="277"/>
        <v>2.5037999999999996</v>
      </c>
      <c r="K492" s="118"/>
      <c r="L492" s="219">
        <v>36</v>
      </c>
      <c r="M492" s="117">
        <f t="shared" si="278"/>
        <v>2.5037999999999996</v>
      </c>
      <c r="N492" s="119">
        <f t="shared" si="279"/>
        <v>0</v>
      </c>
      <c r="O492" s="120">
        <f t="shared" si="280"/>
        <v>0</v>
      </c>
      <c r="P492" s="111"/>
      <c r="Q492" s="111"/>
      <c r="R492" s="111"/>
      <c r="S492" s="111"/>
    </row>
    <row r="493" spans="1:21" ht="15.6">
      <c r="A493" s="110" t="s">
        <v>448</v>
      </c>
      <c r="B493" s="111" t="s">
        <v>232</v>
      </c>
      <c r="C493" s="112" t="s">
        <v>449</v>
      </c>
      <c r="D493" s="113" t="s">
        <v>326</v>
      </c>
      <c r="E493" s="216" t="s">
        <v>14</v>
      </c>
      <c r="F493" s="216" t="s">
        <v>22</v>
      </c>
      <c r="G493" s="217">
        <v>10.7</v>
      </c>
      <c r="H493" s="218">
        <v>6.5</v>
      </c>
      <c r="I493" s="219">
        <v>36</v>
      </c>
      <c r="J493" s="220">
        <f t="shared" si="277"/>
        <v>2.5037999999999996</v>
      </c>
      <c r="K493" s="118"/>
      <c r="L493" s="219">
        <v>36</v>
      </c>
      <c r="M493" s="117">
        <f t="shared" si="278"/>
        <v>2.5037999999999996</v>
      </c>
      <c r="N493" s="119">
        <f t="shared" si="279"/>
        <v>0</v>
      </c>
      <c r="O493" s="120">
        <f t="shared" si="280"/>
        <v>0</v>
      </c>
      <c r="P493" s="111"/>
      <c r="Q493" s="111"/>
      <c r="R493" s="111"/>
      <c r="S493" s="111"/>
    </row>
    <row r="494" spans="1:21" ht="15.6">
      <c r="A494" s="110" t="s">
        <v>448</v>
      </c>
      <c r="B494" s="111" t="s">
        <v>232</v>
      </c>
      <c r="C494" s="112" t="s">
        <v>449</v>
      </c>
      <c r="D494" s="113" t="s">
        <v>326</v>
      </c>
      <c r="E494" s="216" t="s">
        <v>14</v>
      </c>
      <c r="F494" s="216" t="s">
        <v>22</v>
      </c>
      <c r="G494" s="217">
        <v>10.7</v>
      </c>
      <c r="H494" s="218">
        <v>8.75</v>
      </c>
      <c r="I494" s="219">
        <v>36</v>
      </c>
      <c r="J494" s="220">
        <f t="shared" si="277"/>
        <v>3.3704999999999998</v>
      </c>
      <c r="K494" s="118"/>
      <c r="L494" s="219">
        <v>36</v>
      </c>
      <c r="M494" s="117">
        <f t="shared" si="278"/>
        <v>3.3704999999999998</v>
      </c>
      <c r="N494" s="119">
        <f t="shared" si="279"/>
        <v>0</v>
      </c>
      <c r="O494" s="120">
        <f t="shared" si="280"/>
        <v>0</v>
      </c>
      <c r="P494" s="111"/>
      <c r="Q494" s="111"/>
      <c r="R494" s="111"/>
      <c r="S494" s="111"/>
    </row>
    <row r="495" spans="1:21" ht="15.6">
      <c r="A495" s="110" t="s">
        <v>448</v>
      </c>
      <c r="B495" s="111" t="s">
        <v>232</v>
      </c>
      <c r="C495" s="112" t="s">
        <v>449</v>
      </c>
      <c r="D495" s="113" t="s">
        <v>326</v>
      </c>
      <c r="E495" s="216" t="s">
        <v>14</v>
      </c>
      <c r="F495" s="216" t="s">
        <v>22</v>
      </c>
      <c r="G495" s="217">
        <v>10.7</v>
      </c>
      <c r="H495" s="218">
        <v>8.75</v>
      </c>
      <c r="I495" s="219">
        <v>36</v>
      </c>
      <c r="J495" s="220">
        <f t="shared" si="277"/>
        <v>3.3704999999999998</v>
      </c>
      <c r="K495" s="118"/>
      <c r="L495" s="219">
        <v>36</v>
      </c>
      <c r="M495" s="117">
        <f t="shared" si="278"/>
        <v>3.3704999999999998</v>
      </c>
      <c r="N495" s="119">
        <f t="shared" si="279"/>
        <v>0</v>
      </c>
      <c r="O495" s="120">
        <f t="shared" si="280"/>
        <v>0</v>
      </c>
      <c r="P495" s="111"/>
      <c r="Q495" s="111"/>
      <c r="R495" s="111"/>
      <c r="S495" s="111"/>
    </row>
    <row r="496" spans="1:21" ht="15.6">
      <c r="A496" s="110" t="s">
        <v>448</v>
      </c>
      <c r="B496" s="111" t="s">
        <v>232</v>
      </c>
      <c r="C496" s="112" t="s">
        <v>449</v>
      </c>
      <c r="D496" s="113" t="s">
        <v>326</v>
      </c>
      <c r="E496" s="216" t="s">
        <v>14</v>
      </c>
      <c r="F496" s="216" t="s">
        <v>22</v>
      </c>
      <c r="G496" s="217">
        <v>10.7</v>
      </c>
      <c r="H496" s="218">
        <v>8.75</v>
      </c>
      <c r="I496" s="219">
        <v>36</v>
      </c>
      <c r="J496" s="220">
        <f t="shared" si="277"/>
        <v>3.3704999999999998</v>
      </c>
      <c r="K496" s="118"/>
      <c r="L496" s="219">
        <v>36</v>
      </c>
      <c r="M496" s="117">
        <f t="shared" si="278"/>
        <v>3.3704999999999998</v>
      </c>
      <c r="N496" s="119">
        <f t="shared" si="279"/>
        <v>0</v>
      </c>
      <c r="O496" s="120">
        <f t="shared" si="280"/>
        <v>0</v>
      </c>
      <c r="P496" s="111"/>
      <c r="Q496" s="111"/>
      <c r="R496" s="111"/>
      <c r="S496" s="111"/>
    </row>
    <row r="497" spans="1:19" ht="15.6">
      <c r="A497" s="110" t="s">
        <v>448</v>
      </c>
      <c r="B497" s="111" t="s">
        <v>232</v>
      </c>
      <c r="C497" s="112" t="s">
        <v>449</v>
      </c>
      <c r="D497" s="113" t="s">
        <v>326</v>
      </c>
      <c r="E497" s="216" t="s">
        <v>14</v>
      </c>
      <c r="F497" s="216" t="s">
        <v>22</v>
      </c>
      <c r="G497" s="217">
        <v>10.7</v>
      </c>
      <c r="H497" s="218">
        <v>6.5</v>
      </c>
      <c r="I497" s="219">
        <v>35</v>
      </c>
      <c r="J497" s="220">
        <f t="shared" si="277"/>
        <v>2.43425</v>
      </c>
      <c r="K497" s="118"/>
      <c r="L497" s="219">
        <v>35</v>
      </c>
      <c r="M497" s="117">
        <f t="shared" si="278"/>
        <v>2.43425</v>
      </c>
      <c r="N497" s="119">
        <f t="shared" si="279"/>
        <v>0</v>
      </c>
      <c r="O497" s="120">
        <f t="shared" si="280"/>
        <v>0</v>
      </c>
      <c r="P497" s="111"/>
      <c r="Q497" s="111"/>
      <c r="R497" s="111"/>
      <c r="S497" s="111"/>
    </row>
    <row r="498" spans="1:19" ht="15.6">
      <c r="A498" s="110" t="s">
        <v>448</v>
      </c>
      <c r="B498" s="111" t="s">
        <v>232</v>
      </c>
      <c r="C498" s="112" t="s">
        <v>449</v>
      </c>
      <c r="D498" s="113" t="s">
        <v>326</v>
      </c>
      <c r="E498" s="216" t="s">
        <v>14</v>
      </c>
      <c r="F498" s="216" t="s">
        <v>22</v>
      </c>
      <c r="G498" s="217">
        <v>10.7</v>
      </c>
      <c r="H498" s="218">
        <v>8.75</v>
      </c>
      <c r="I498" s="219">
        <v>21</v>
      </c>
      <c r="J498" s="220">
        <f t="shared" si="277"/>
        <v>1.9661249999999999</v>
      </c>
      <c r="K498" s="118"/>
      <c r="L498" s="219">
        <f>21+20</f>
        <v>41</v>
      </c>
      <c r="M498" s="117">
        <f t="shared" si="278"/>
        <v>3.8386249999999995</v>
      </c>
      <c r="N498" s="228">
        <f t="shared" si="279"/>
        <v>-20</v>
      </c>
      <c r="O498" s="229">
        <f t="shared" si="280"/>
        <v>-1.8724999999999998</v>
      </c>
      <c r="P498" s="44" t="s">
        <v>669</v>
      </c>
      <c r="Q498" s="111"/>
      <c r="R498" s="111"/>
      <c r="S498" s="111"/>
    </row>
    <row r="499" spans="1:19" ht="15.6">
      <c r="A499" s="110" t="s">
        <v>448</v>
      </c>
      <c r="B499" s="111" t="s">
        <v>232</v>
      </c>
      <c r="C499" s="112" t="s">
        <v>449</v>
      </c>
      <c r="D499" s="113" t="s">
        <v>326</v>
      </c>
      <c r="E499" s="216" t="s">
        <v>14</v>
      </c>
      <c r="F499" s="216" t="s">
        <v>22</v>
      </c>
      <c r="G499" s="217">
        <v>10.7</v>
      </c>
      <c r="H499" s="218">
        <v>5.7</v>
      </c>
      <c r="I499" s="219">
        <v>1</v>
      </c>
      <c r="J499" s="220">
        <f t="shared" si="277"/>
        <v>6.0989999999999996E-2</v>
      </c>
      <c r="K499" s="118"/>
      <c r="L499" s="111"/>
      <c r="M499" s="117">
        <f t="shared" si="278"/>
        <v>0</v>
      </c>
      <c r="N499" s="119">
        <f t="shared" si="279"/>
        <v>1</v>
      </c>
      <c r="O499" s="120">
        <f t="shared" si="280"/>
        <v>6.0989999999999996E-2</v>
      </c>
      <c r="P499" s="111"/>
      <c r="Q499" s="111"/>
      <c r="R499" s="111"/>
      <c r="S499" s="111"/>
    </row>
    <row r="500" spans="1:19" ht="15.6">
      <c r="A500" s="110" t="s">
        <v>448</v>
      </c>
      <c r="B500" s="111" t="s">
        <v>232</v>
      </c>
      <c r="C500" s="112" t="s">
        <v>449</v>
      </c>
      <c r="D500" s="113" t="s">
        <v>326</v>
      </c>
      <c r="E500" s="216" t="s">
        <v>14</v>
      </c>
      <c r="F500" s="216" t="s">
        <v>22</v>
      </c>
      <c r="G500" s="217">
        <v>10.7</v>
      </c>
      <c r="H500" s="218">
        <v>6</v>
      </c>
      <c r="I500" s="219">
        <v>4</v>
      </c>
      <c r="J500" s="220">
        <f t="shared" si="277"/>
        <v>0.25679999999999997</v>
      </c>
      <c r="K500" s="118"/>
      <c r="L500" s="111"/>
      <c r="M500" s="117">
        <f t="shared" si="278"/>
        <v>0</v>
      </c>
      <c r="N500" s="119">
        <f t="shared" si="279"/>
        <v>4</v>
      </c>
      <c r="O500" s="120">
        <f t="shared" si="280"/>
        <v>0.25679999999999997</v>
      </c>
      <c r="P500" s="111"/>
      <c r="Q500" s="111"/>
      <c r="R500" s="111"/>
      <c r="S500" s="111"/>
    </row>
    <row r="501" spans="1:19" ht="15.6">
      <c r="A501" s="110" t="s">
        <v>448</v>
      </c>
      <c r="B501" s="111" t="s">
        <v>232</v>
      </c>
      <c r="C501" s="112" t="s">
        <v>449</v>
      </c>
      <c r="D501" s="113" t="s">
        <v>326</v>
      </c>
      <c r="E501" s="216" t="s">
        <v>14</v>
      </c>
      <c r="F501" s="216" t="s">
        <v>22</v>
      </c>
      <c r="G501" s="217">
        <v>10.7</v>
      </c>
      <c r="H501" s="218">
        <v>6.25</v>
      </c>
      <c r="I501" s="219">
        <v>1</v>
      </c>
      <c r="J501" s="220">
        <f t="shared" si="277"/>
        <v>6.6875000000000004E-2</v>
      </c>
      <c r="K501" s="118"/>
      <c r="L501" s="111"/>
      <c r="M501" s="117">
        <f t="shared" si="278"/>
        <v>0</v>
      </c>
      <c r="N501" s="119">
        <f t="shared" si="279"/>
        <v>1</v>
      </c>
      <c r="O501" s="120">
        <f t="shared" si="280"/>
        <v>6.6875000000000004E-2</v>
      </c>
      <c r="P501" s="111"/>
      <c r="Q501" s="111"/>
      <c r="R501" s="111"/>
      <c r="S501" s="111"/>
    </row>
    <row r="502" spans="1:19" ht="15.6">
      <c r="A502" s="110" t="s">
        <v>448</v>
      </c>
      <c r="B502" s="111" t="s">
        <v>232</v>
      </c>
      <c r="C502" s="112" t="s">
        <v>449</v>
      </c>
      <c r="D502" s="113" t="s">
        <v>326</v>
      </c>
      <c r="E502" s="216" t="s">
        <v>14</v>
      </c>
      <c r="F502" s="216" t="s">
        <v>22</v>
      </c>
      <c r="G502" s="217">
        <v>10.7</v>
      </c>
      <c r="H502" s="218">
        <v>8</v>
      </c>
      <c r="I502" s="219">
        <v>1</v>
      </c>
      <c r="J502" s="220">
        <f t="shared" si="277"/>
        <v>8.5599999999999996E-2</v>
      </c>
      <c r="K502" s="118"/>
      <c r="L502" s="111">
        <v>1</v>
      </c>
      <c r="M502" s="117">
        <f t="shared" si="278"/>
        <v>8.5599999999999996E-2</v>
      </c>
      <c r="N502" s="119">
        <f t="shared" si="279"/>
        <v>0</v>
      </c>
      <c r="O502" s="120">
        <f t="shared" si="280"/>
        <v>0</v>
      </c>
      <c r="P502" s="111">
        <v>6.5</v>
      </c>
      <c r="Q502" s="111">
        <v>1</v>
      </c>
      <c r="R502" s="111"/>
      <c r="S502" s="111"/>
    </row>
    <row r="503" spans="1:19" ht="15.6">
      <c r="A503" s="110" t="s">
        <v>448</v>
      </c>
      <c r="B503" s="111" t="s">
        <v>232</v>
      </c>
      <c r="C503" s="112" t="s">
        <v>449</v>
      </c>
      <c r="D503" s="113" t="s">
        <v>326</v>
      </c>
      <c r="E503" s="216" t="s">
        <v>14</v>
      </c>
      <c r="F503" s="216" t="s">
        <v>22</v>
      </c>
      <c r="G503" s="217">
        <v>10.7</v>
      </c>
      <c r="H503" s="218">
        <v>8.25</v>
      </c>
      <c r="I503" s="219">
        <v>1</v>
      </c>
      <c r="J503" s="220">
        <f t="shared" si="277"/>
        <v>8.8274999999999992E-2</v>
      </c>
      <c r="K503" s="118"/>
      <c r="L503" s="111">
        <v>1</v>
      </c>
      <c r="M503" s="117">
        <f t="shared" si="278"/>
        <v>8.8274999999999992E-2</v>
      </c>
      <c r="N503" s="119">
        <f t="shared" si="279"/>
        <v>0</v>
      </c>
      <c r="O503" s="120">
        <f t="shared" si="280"/>
        <v>0</v>
      </c>
      <c r="P503" s="111">
        <v>6.5</v>
      </c>
      <c r="Q503" s="111">
        <v>1</v>
      </c>
      <c r="R503" s="111"/>
      <c r="S503" s="111"/>
    </row>
    <row r="504" spans="1:19" ht="15.6">
      <c r="A504" s="110" t="s">
        <v>448</v>
      </c>
      <c r="B504" s="111" t="s">
        <v>232</v>
      </c>
      <c r="C504" s="112" t="s">
        <v>449</v>
      </c>
      <c r="D504" s="113" t="s">
        <v>326</v>
      </c>
      <c r="E504" s="216" t="s">
        <v>14</v>
      </c>
      <c r="F504" s="216" t="s">
        <v>22</v>
      </c>
      <c r="G504" s="217">
        <v>10.7</v>
      </c>
      <c r="H504" s="218">
        <v>6.5</v>
      </c>
      <c r="I504" s="219">
        <v>35</v>
      </c>
      <c r="J504" s="220">
        <f t="shared" si="277"/>
        <v>2.43425</v>
      </c>
      <c r="K504" s="118"/>
      <c r="L504" s="219">
        <v>35</v>
      </c>
      <c r="M504" s="117">
        <f t="shared" si="278"/>
        <v>2.43425</v>
      </c>
      <c r="N504" s="119">
        <f t="shared" si="279"/>
        <v>0</v>
      </c>
      <c r="O504" s="120">
        <f t="shared" si="280"/>
        <v>0</v>
      </c>
      <c r="P504" s="111"/>
      <c r="Q504" s="111"/>
      <c r="R504" s="111"/>
      <c r="S504" s="111"/>
    </row>
    <row r="505" spans="1:19" ht="15.6">
      <c r="A505" s="110" t="s">
        <v>448</v>
      </c>
      <c r="B505" s="111" t="s">
        <v>232</v>
      </c>
      <c r="C505" s="112" t="s">
        <v>449</v>
      </c>
      <c r="D505" s="113" t="s">
        <v>326</v>
      </c>
      <c r="E505" s="216" t="s">
        <v>14</v>
      </c>
      <c r="F505" s="216" t="s">
        <v>22</v>
      </c>
      <c r="G505" s="217">
        <v>10.7</v>
      </c>
      <c r="H505" s="218">
        <v>6.5</v>
      </c>
      <c r="I505" s="219">
        <v>35</v>
      </c>
      <c r="J505" s="220">
        <f t="shared" si="277"/>
        <v>2.43425</v>
      </c>
      <c r="K505" s="118"/>
      <c r="L505" s="219">
        <v>35</v>
      </c>
      <c r="M505" s="117">
        <f t="shared" si="278"/>
        <v>2.43425</v>
      </c>
      <c r="N505" s="119">
        <f t="shared" si="279"/>
        <v>0</v>
      </c>
      <c r="O505" s="120">
        <f t="shared" si="280"/>
        <v>0</v>
      </c>
      <c r="P505" s="111"/>
      <c r="Q505" s="111"/>
      <c r="R505" s="111"/>
      <c r="S505" s="111"/>
    </row>
    <row r="506" spans="1:19" ht="15.6">
      <c r="A506" s="110" t="s">
        <v>448</v>
      </c>
      <c r="B506" s="111" t="s">
        <v>232</v>
      </c>
      <c r="C506" s="112" t="s">
        <v>449</v>
      </c>
      <c r="D506" s="113" t="s">
        <v>326</v>
      </c>
      <c r="E506" s="216" t="s">
        <v>14</v>
      </c>
      <c r="F506" s="216" t="s">
        <v>22</v>
      </c>
      <c r="G506" s="217">
        <v>10.7</v>
      </c>
      <c r="H506" s="218">
        <v>6.5</v>
      </c>
      <c r="I506" s="219">
        <v>35</v>
      </c>
      <c r="J506" s="220">
        <f t="shared" ref="J506:J515" si="281">(G506*H506*I506/1000)</f>
        <v>2.43425</v>
      </c>
      <c r="K506" s="118"/>
      <c r="L506" s="219">
        <v>35</v>
      </c>
      <c r="M506" s="117">
        <f t="shared" ref="M506:M515" si="282">H506*L506*G506/1000</f>
        <v>2.43425</v>
      </c>
      <c r="N506" s="119">
        <f t="shared" ref="N506:N515" si="283">I506-L506</f>
        <v>0</v>
      </c>
      <c r="O506" s="120">
        <f t="shared" ref="O506:O515" si="284">H506*N506*G506/1000</f>
        <v>0</v>
      </c>
      <c r="P506" s="111"/>
      <c r="Q506" s="111"/>
      <c r="R506" s="111"/>
      <c r="S506" s="111"/>
    </row>
    <row r="507" spans="1:19" ht="15.6">
      <c r="A507" s="110" t="s">
        <v>448</v>
      </c>
      <c r="B507" s="111" t="s">
        <v>232</v>
      </c>
      <c r="C507" s="112" t="s">
        <v>449</v>
      </c>
      <c r="D507" s="113" t="s">
        <v>326</v>
      </c>
      <c r="E507" s="216" t="s">
        <v>14</v>
      </c>
      <c r="F507" s="216" t="s">
        <v>22</v>
      </c>
      <c r="G507" s="217">
        <v>10.7</v>
      </c>
      <c r="H507" s="218">
        <v>6.5</v>
      </c>
      <c r="I507" s="219">
        <v>35</v>
      </c>
      <c r="J507" s="220">
        <f t="shared" si="281"/>
        <v>2.43425</v>
      </c>
      <c r="K507" s="118"/>
      <c r="L507" s="219">
        <v>35</v>
      </c>
      <c r="M507" s="117">
        <f t="shared" si="282"/>
        <v>2.43425</v>
      </c>
      <c r="N507" s="119">
        <f t="shared" si="283"/>
        <v>0</v>
      </c>
      <c r="O507" s="120">
        <f t="shared" si="284"/>
        <v>0</v>
      </c>
      <c r="P507" s="111"/>
      <c r="Q507" s="111"/>
      <c r="R507" s="111"/>
      <c r="S507" s="111"/>
    </row>
    <row r="508" spans="1:19" ht="15.6">
      <c r="A508" s="110" t="s">
        <v>448</v>
      </c>
      <c r="B508" s="111" t="s">
        <v>232</v>
      </c>
      <c r="C508" s="112" t="s">
        <v>449</v>
      </c>
      <c r="D508" s="113" t="s">
        <v>326</v>
      </c>
      <c r="E508" s="216" t="s">
        <v>14</v>
      </c>
      <c r="F508" s="216" t="s">
        <v>22</v>
      </c>
      <c r="G508" s="217">
        <v>10.7</v>
      </c>
      <c r="H508" s="218">
        <v>6.5</v>
      </c>
      <c r="I508" s="219">
        <v>7</v>
      </c>
      <c r="J508" s="220">
        <f t="shared" si="281"/>
        <v>0.48684999999999995</v>
      </c>
      <c r="K508" s="118"/>
      <c r="L508" s="219">
        <v>7</v>
      </c>
      <c r="M508" s="117">
        <f t="shared" si="282"/>
        <v>0.48684999999999995</v>
      </c>
      <c r="N508" s="119">
        <f t="shared" si="283"/>
        <v>0</v>
      </c>
      <c r="O508" s="120">
        <f t="shared" si="284"/>
        <v>0</v>
      </c>
      <c r="P508" s="111"/>
      <c r="Q508" s="111"/>
      <c r="R508" s="111"/>
      <c r="S508" s="111"/>
    </row>
    <row r="509" spans="1:19" ht="15.6">
      <c r="A509" s="110" t="s">
        <v>448</v>
      </c>
      <c r="B509" s="111" t="s">
        <v>232</v>
      </c>
      <c r="C509" s="112" t="s">
        <v>449</v>
      </c>
      <c r="D509" s="113" t="s">
        <v>326</v>
      </c>
      <c r="E509" s="216" t="s">
        <v>14</v>
      </c>
      <c r="F509" s="216" t="s">
        <v>22</v>
      </c>
      <c r="G509" s="217">
        <v>10.7</v>
      </c>
      <c r="H509" s="218">
        <v>8.75</v>
      </c>
      <c r="I509" s="219">
        <v>35</v>
      </c>
      <c r="J509" s="220">
        <f t="shared" si="281"/>
        <v>3.276875</v>
      </c>
      <c r="K509" s="118"/>
      <c r="L509" s="219">
        <v>35</v>
      </c>
      <c r="M509" s="117">
        <f t="shared" si="282"/>
        <v>3.276875</v>
      </c>
      <c r="N509" s="119">
        <f t="shared" si="283"/>
        <v>0</v>
      </c>
      <c r="O509" s="120">
        <f t="shared" si="284"/>
        <v>0</v>
      </c>
      <c r="P509" s="111"/>
      <c r="Q509" s="111"/>
      <c r="R509" s="111"/>
      <c r="S509" s="111"/>
    </row>
    <row r="510" spans="1:19" ht="15.6">
      <c r="A510" s="110" t="s">
        <v>448</v>
      </c>
      <c r="B510" s="111" t="s">
        <v>232</v>
      </c>
      <c r="C510" s="112" t="s">
        <v>449</v>
      </c>
      <c r="D510" s="113" t="s">
        <v>326</v>
      </c>
      <c r="E510" s="216" t="s">
        <v>14</v>
      </c>
      <c r="F510" s="216" t="s">
        <v>22</v>
      </c>
      <c r="G510" s="217">
        <v>10.7</v>
      </c>
      <c r="H510" s="218">
        <v>8.75</v>
      </c>
      <c r="I510" s="219">
        <v>30</v>
      </c>
      <c r="J510" s="220">
        <f t="shared" si="281"/>
        <v>2.8087499999999999</v>
      </c>
      <c r="K510" s="118"/>
      <c r="L510" s="219">
        <v>30</v>
      </c>
      <c r="M510" s="117">
        <f t="shared" si="282"/>
        <v>2.8087499999999999</v>
      </c>
      <c r="N510" s="119">
        <f t="shared" si="283"/>
        <v>0</v>
      </c>
      <c r="O510" s="120">
        <f t="shared" si="284"/>
        <v>0</v>
      </c>
      <c r="P510" s="111"/>
      <c r="Q510" s="111"/>
      <c r="R510" s="111"/>
      <c r="S510" s="111"/>
    </row>
    <row r="511" spans="1:19" ht="15.6">
      <c r="A511" s="110" t="s">
        <v>448</v>
      </c>
      <c r="B511" s="111" t="s">
        <v>232</v>
      </c>
      <c r="C511" s="112" t="s">
        <v>449</v>
      </c>
      <c r="D511" s="113" t="s">
        <v>326</v>
      </c>
      <c r="E511" s="216" t="s">
        <v>14</v>
      </c>
      <c r="F511" s="216" t="s">
        <v>22</v>
      </c>
      <c r="G511" s="217">
        <v>10.7</v>
      </c>
      <c r="H511" s="218">
        <v>8.4</v>
      </c>
      <c r="I511" s="219">
        <v>1</v>
      </c>
      <c r="J511" s="220">
        <f t="shared" si="281"/>
        <v>8.9880000000000002E-2</v>
      </c>
      <c r="K511" s="118"/>
      <c r="L511" s="111">
        <v>1</v>
      </c>
      <c r="M511" s="117">
        <f t="shared" si="282"/>
        <v>8.9880000000000002E-2</v>
      </c>
      <c r="N511" s="119">
        <f t="shared" si="283"/>
        <v>0</v>
      </c>
      <c r="O511" s="120">
        <f t="shared" si="284"/>
        <v>0</v>
      </c>
      <c r="P511" s="111">
        <v>6.5</v>
      </c>
      <c r="Q511" s="111"/>
      <c r="R511" s="111"/>
      <c r="S511" s="111"/>
    </row>
    <row r="512" spans="1:19" ht="15.6">
      <c r="A512" s="110" t="s">
        <v>448</v>
      </c>
      <c r="B512" s="111" t="s">
        <v>232</v>
      </c>
      <c r="C512" s="112" t="s">
        <v>449</v>
      </c>
      <c r="D512" s="113" t="s">
        <v>326</v>
      </c>
      <c r="E512" s="216" t="s">
        <v>14</v>
      </c>
      <c r="F512" s="216" t="s">
        <v>22</v>
      </c>
      <c r="G512" s="217">
        <v>10.7</v>
      </c>
      <c r="H512" s="218">
        <v>8.5</v>
      </c>
      <c r="I512" s="219">
        <v>2</v>
      </c>
      <c r="J512" s="220">
        <f t="shared" si="281"/>
        <v>0.18189999999999998</v>
      </c>
      <c r="K512" s="118"/>
      <c r="L512" s="111">
        <v>2</v>
      </c>
      <c r="M512" s="117">
        <f t="shared" si="282"/>
        <v>0.18189999999999998</v>
      </c>
      <c r="N512" s="119">
        <f t="shared" si="283"/>
        <v>0</v>
      </c>
      <c r="O512" s="120">
        <f t="shared" si="284"/>
        <v>0</v>
      </c>
      <c r="P512" s="111">
        <v>6.5</v>
      </c>
      <c r="Q512" s="111"/>
      <c r="R512" s="111"/>
      <c r="S512" s="111"/>
    </row>
    <row r="513" spans="1:20" ht="15.6">
      <c r="A513" s="110" t="s">
        <v>448</v>
      </c>
      <c r="B513" s="111" t="s">
        <v>232</v>
      </c>
      <c r="C513" s="112" t="s">
        <v>449</v>
      </c>
      <c r="D513" s="113" t="s">
        <v>326</v>
      </c>
      <c r="E513" s="216" t="s">
        <v>14</v>
      </c>
      <c r="F513" s="216" t="s">
        <v>22</v>
      </c>
      <c r="G513" s="217">
        <v>10.7</v>
      </c>
      <c r="H513" s="218">
        <v>8.3000000000000007</v>
      </c>
      <c r="I513" s="219">
        <v>1</v>
      </c>
      <c r="J513" s="220">
        <f t="shared" si="281"/>
        <v>8.881E-2</v>
      </c>
      <c r="K513" s="118"/>
      <c r="L513" s="111">
        <v>1</v>
      </c>
      <c r="M513" s="117">
        <f t="shared" si="282"/>
        <v>8.881E-2</v>
      </c>
      <c r="N513" s="119">
        <f t="shared" si="283"/>
        <v>0</v>
      </c>
      <c r="O513" s="120">
        <f t="shared" si="284"/>
        <v>0</v>
      </c>
      <c r="P513" s="111">
        <v>6.5</v>
      </c>
      <c r="Q513" s="111"/>
      <c r="R513" s="111"/>
      <c r="S513" s="111"/>
    </row>
    <row r="514" spans="1:20" ht="15.6">
      <c r="A514" s="110" t="s">
        <v>448</v>
      </c>
      <c r="B514" s="111" t="s">
        <v>232</v>
      </c>
      <c r="C514" s="112" t="s">
        <v>449</v>
      </c>
      <c r="D514" s="113" t="s">
        <v>326</v>
      </c>
      <c r="E514" s="216" t="s">
        <v>14</v>
      </c>
      <c r="F514" s="216" t="s">
        <v>22</v>
      </c>
      <c r="G514" s="217">
        <v>10.7</v>
      </c>
      <c r="H514" s="218">
        <v>6.1</v>
      </c>
      <c r="I514" s="219">
        <v>1</v>
      </c>
      <c r="J514" s="220">
        <f t="shared" si="281"/>
        <v>6.5269999999999995E-2</v>
      </c>
      <c r="K514" s="118"/>
      <c r="L514" s="111"/>
      <c r="M514" s="117">
        <f t="shared" si="282"/>
        <v>0</v>
      </c>
      <c r="N514" s="119">
        <f t="shared" si="283"/>
        <v>1</v>
      </c>
      <c r="O514" s="120">
        <f t="shared" si="284"/>
        <v>6.5269999999999995E-2</v>
      </c>
      <c r="P514" s="111"/>
      <c r="Q514" s="111"/>
      <c r="R514" s="111"/>
      <c r="S514" s="111"/>
    </row>
    <row r="515" spans="1:20" ht="15.6">
      <c r="A515" s="110" t="s">
        <v>448</v>
      </c>
      <c r="B515" s="111" t="s">
        <v>232</v>
      </c>
      <c r="C515" s="112" t="s">
        <v>449</v>
      </c>
      <c r="D515" s="113" t="s">
        <v>326</v>
      </c>
      <c r="E515" s="216" t="s">
        <v>14</v>
      </c>
      <c r="F515" s="216" t="s">
        <v>22</v>
      </c>
      <c r="G515" s="217">
        <v>10.7</v>
      </c>
      <c r="H515" s="218">
        <v>5.8</v>
      </c>
      <c r="I515" s="219">
        <v>1</v>
      </c>
      <c r="J515" s="220">
        <f t="shared" si="281"/>
        <v>6.2059999999999997E-2</v>
      </c>
      <c r="K515" s="118"/>
      <c r="L515" s="111"/>
      <c r="M515" s="117">
        <f t="shared" si="282"/>
        <v>0</v>
      </c>
      <c r="N515" s="119">
        <f t="shared" si="283"/>
        <v>1</v>
      </c>
      <c r="O515" s="120">
        <f t="shared" si="284"/>
        <v>6.2059999999999997E-2</v>
      </c>
      <c r="P515" s="111"/>
      <c r="Q515" s="111"/>
      <c r="R515" s="111"/>
      <c r="S515" s="111"/>
    </row>
    <row r="516" spans="1:20">
      <c r="A516" s="32"/>
      <c r="B516" s="32"/>
      <c r="C516" s="32"/>
      <c r="D516" s="32"/>
      <c r="E516" s="32"/>
      <c r="F516" s="32"/>
      <c r="G516" s="32"/>
      <c r="H516" s="32"/>
      <c r="I516" s="129">
        <f>SUM(I489:I515)</f>
        <v>570</v>
      </c>
      <c r="J516" s="124">
        <f>SUM(J489:J515)</f>
        <v>44.386809999999983</v>
      </c>
      <c r="K516" s="32"/>
      <c r="L516" s="129">
        <f>SUM(L489:L515)</f>
        <v>582</v>
      </c>
      <c r="M516" s="124">
        <f>SUM(M489:M515)</f>
        <v>45.747314999999986</v>
      </c>
      <c r="N516" s="129">
        <f>SUM(N489:N515)</f>
        <v>-12</v>
      </c>
      <c r="O516" s="124">
        <f>SUM(O489:O515)</f>
        <v>-1.3605049999999999</v>
      </c>
      <c r="P516" s="32"/>
      <c r="Q516" s="32"/>
      <c r="R516" s="32"/>
      <c r="S516" s="32"/>
    </row>
    <row r="518" spans="1:20" s="213" customFormat="1" ht="15.6">
      <c r="A518" s="110" t="s">
        <v>448</v>
      </c>
      <c r="B518" s="111" t="s">
        <v>232</v>
      </c>
      <c r="C518" s="112" t="s">
        <v>468</v>
      </c>
      <c r="D518" s="113" t="s">
        <v>326</v>
      </c>
      <c r="E518" s="216" t="s">
        <v>14</v>
      </c>
      <c r="F518" s="216" t="s">
        <v>30</v>
      </c>
      <c r="G518" s="217">
        <v>9.26</v>
      </c>
      <c r="H518" s="218">
        <v>6.35</v>
      </c>
      <c r="I518" s="219">
        <f>36+38+38+36+37+26</f>
        <v>211</v>
      </c>
      <c r="J518" s="220">
        <f t="shared" ref="J518" si="285">(G518*H518*I518/1000)</f>
        <v>12.407010999999999</v>
      </c>
      <c r="K518" s="118"/>
      <c r="L518" s="219">
        <v>211</v>
      </c>
      <c r="M518" s="117">
        <f t="shared" ref="M518" si="286">H518*L518*G518/1000</f>
        <v>12.407010999999999</v>
      </c>
      <c r="N518" s="119">
        <f t="shared" ref="N518" si="287">I518-L518</f>
        <v>0</v>
      </c>
      <c r="O518" s="120">
        <f t="shared" ref="O518:O534" si="288">H518*N518*G518/1000</f>
        <v>0</v>
      </c>
      <c r="P518" s="111"/>
      <c r="Q518" s="111"/>
      <c r="R518" s="111"/>
    </row>
    <row r="519" spans="1:20" s="213" customFormat="1" ht="15.6">
      <c r="A519" s="110" t="s">
        <v>448</v>
      </c>
      <c r="B519" s="111" t="s">
        <v>232</v>
      </c>
      <c r="C519" s="112" t="s">
        <v>468</v>
      </c>
      <c r="D519" s="113" t="s">
        <v>326</v>
      </c>
      <c r="E519" s="216" t="s">
        <v>14</v>
      </c>
      <c r="F519" s="216" t="s">
        <v>30</v>
      </c>
      <c r="G519" s="217">
        <v>9.26</v>
      </c>
      <c r="H519" s="218">
        <v>6.5</v>
      </c>
      <c r="I519" s="219">
        <f>34+35+30+36+36+35+36+36+38+35+36+12+36</f>
        <v>435</v>
      </c>
      <c r="J519" s="220">
        <f t="shared" ref="J519:J530" si="289">(G519*H519*I519/1000)</f>
        <v>26.182649999999999</v>
      </c>
      <c r="K519" s="118"/>
      <c r="L519" s="219">
        <f>34+35+30+36+36+35+36+36+38+35+36+12+36</f>
        <v>435</v>
      </c>
      <c r="M519" s="117">
        <f t="shared" ref="M519:M530" si="290">H519*L519*G519/1000</f>
        <v>26.182649999999999</v>
      </c>
      <c r="N519" s="119">
        <f t="shared" ref="N519:N530" si="291">I519-L519</f>
        <v>0</v>
      </c>
      <c r="O519" s="120">
        <f t="shared" si="288"/>
        <v>0</v>
      </c>
      <c r="P519" s="111"/>
      <c r="Q519" s="111"/>
      <c r="R519" s="111"/>
    </row>
    <row r="520" spans="1:20" s="213" customFormat="1" ht="15.6">
      <c r="A520" s="110" t="s">
        <v>448</v>
      </c>
      <c r="B520" s="111" t="s">
        <v>232</v>
      </c>
      <c r="C520" s="112" t="s">
        <v>468</v>
      </c>
      <c r="D520" s="113" t="s">
        <v>326</v>
      </c>
      <c r="E520" s="216" t="s">
        <v>14</v>
      </c>
      <c r="F520" s="216" t="s">
        <v>30</v>
      </c>
      <c r="G520" s="217">
        <v>9.26</v>
      </c>
      <c r="H520" s="218">
        <v>9.15</v>
      </c>
      <c r="I520" s="219">
        <f>35+22+35+36+36+36+36+34+35+34+31+36+37</f>
        <v>443</v>
      </c>
      <c r="J520" s="220">
        <f t="shared" si="289"/>
        <v>37.534947000000003</v>
      </c>
      <c r="K520" s="118"/>
      <c r="L520" s="219">
        <f>35+22+35+36+36+36+36+34+35+34+31+36+37</f>
        <v>443</v>
      </c>
      <c r="M520" s="117">
        <f t="shared" si="290"/>
        <v>37.534947000000003</v>
      </c>
      <c r="N520" s="119">
        <f t="shared" si="291"/>
        <v>0</v>
      </c>
      <c r="O520" s="120">
        <f t="shared" si="288"/>
        <v>0</v>
      </c>
      <c r="P520" s="111"/>
      <c r="Q520" s="111"/>
      <c r="R520" s="111"/>
    </row>
    <row r="521" spans="1:20" s="213" customFormat="1" ht="15.6">
      <c r="A521" s="110" t="s">
        <v>448</v>
      </c>
      <c r="B521" s="111" t="s">
        <v>232</v>
      </c>
      <c r="C521" s="112" t="s">
        <v>468</v>
      </c>
      <c r="D521" s="113" t="s">
        <v>326</v>
      </c>
      <c r="E521" s="216" t="s">
        <v>14</v>
      </c>
      <c r="F521" s="216" t="s">
        <v>30</v>
      </c>
      <c r="G521" s="217">
        <v>9.26</v>
      </c>
      <c r="H521" s="218">
        <v>9.15</v>
      </c>
      <c r="I521" s="219">
        <v>2</v>
      </c>
      <c r="J521" s="220">
        <f t="shared" si="289"/>
        <v>0.169458</v>
      </c>
      <c r="K521" s="118"/>
      <c r="L521" s="219">
        <v>2</v>
      </c>
      <c r="M521" s="117">
        <f t="shared" si="290"/>
        <v>0.169458</v>
      </c>
      <c r="N521" s="119">
        <f t="shared" si="291"/>
        <v>0</v>
      </c>
      <c r="O521" s="120">
        <f t="shared" si="288"/>
        <v>0</v>
      </c>
      <c r="P521" s="111"/>
      <c r="Q521" s="111"/>
      <c r="R521" s="111"/>
    </row>
    <row r="522" spans="1:20" s="213" customFormat="1" ht="15.6">
      <c r="A522" s="110" t="s">
        <v>448</v>
      </c>
      <c r="B522" s="111" t="s">
        <v>232</v>
      </c>
      <c r="C522" s="112" t="s">
        <v>468</v>
      </c>
      <c r="D522" s="113" t="s">
        <v>326</v>
      </c>
      <c r="E522" s="216" t="s">
        <v>14</v>
      </c>
      <c r="F522" s="216" t="s">
        <v>30</v>
      </c>
      <c r="G522" s="217">
        <v>9.26</v>
      </c>
      <c r="H522" s="218">
        <v>6</v>
      </c>
      <c r="I522" s="219">
        <v>6</v>
      </c>
      <c r="J522" s="220">
        <f t="shared" si="289"/>
        <v>0.33335999999999999</v>
      </c>
      <c r="K522" s="118"/>
      <c r="L522" s="219"/>
      <c r="M522" s="117">
        <f t="shared" si="290"/>
        <v>0</v>
      </c>
      <c r="N522" s="119">
        <f t="shared" si="291"/>
        <v>6</v>
      </c>
      <c r="O522" s="120">
        <f t="shared" si="288"/>
        <v>0.33335999999999999</v>
      </c>
      <c r="P522" s="111"/>
      <c r="Q522" s="111"/>
      <c r="R522" s="111"/>
    </row>
    <row r="523" spans="1:20" s="213" customFormat="1" ht="15.6">
      <c r="A523" s="110" t="s">
        <v>448</v>
      </c>
      <c r="B523" s="111" t="s">
        <v>232</v>
      </c>
      <c r="C523" s="112" t="s">
        <v>468</v>
      </c>
      <c r="D523" s="113" t="s">
        <v>326</v>
      </c>
      <c r="E523" s="216" t="s">
        <v>14</v>
      </c>
      <c r="F523" s="216" t="s">
        <v>30</v>
      </c>
      <c r="G523" s="217">
        <v>9.26</v>
      </c>
      <c r="H523" s="218">
        <v>6.1</v>
      </c>
      <c r="I523" s="219">
        <v>4</v>
      </c>
      <c r="J523" s="220">
        <f t="shared" si="289"/>
        <v>0.22594399999999998</v>
      </c>
      <c r="K523" s="118"/>
      <c r="L523" s="219"/>
      <c r="M523" s="117">
        <f t="shared" si="290"/>
        <v>0</v>
      </c>
      <c r="N523" s="119">
        <f t="shared" si="291"/>
        <v>4</v>
      </c>
      <c r="O523" s="120">
        <f t="shared" si="288"/>
        <v>0.22594399999999998</v>
      </c>
      <c r="P523" s="111"/>
      <c r="Q523" s="111"/>
      <c r="R523" s="111"/>
    </row>
    <row r="524" spans="1:20" s="213" customFormat="1" ht="15.6">
      <c r="A524" s="110" t="s">
        <v>448</v>
      </c>
      <c r="B524" s="111" t="s">
        <v>232</v>
      </c>
      <c r="C524" s="112" t="s">
        <v>468</v>
      </c>
      <c r="D524" s="113" t="s">
        <v>326</v>
      </c>
      <c r="E524" s="216" t="s">
        <v>14</v>
      </c>
      <c r="F524" s="216" t="s">
        <v>30</v>
      </c>
      <c r="G524" s="217">
        <v>9.26</v>
      </c>
      <c r="H524" s="218">
        <v>6.3</v>
      </c>
      <c r="I524" s="219">
        <v>1</v>
      </c>
      <c r="J524" s="220">
        <f t="shared" si="289"/>
        <v>5.8337999999999994E-2</v>
      </c>
      <c r="K524" s="118"/>
      <c r="L524" s="219">
        <v>1</v>
      </c>
      <c r="M524" s="117">
        <f t="shared" si="290"/>
        <v>5.8337999999999994E-2</v>
      </c>
      <c r="N524" s="119">
        <f t="shared" si="291"/>
        <v>0</v>
      </c>
      <c r="O524" s="120">
        <f t="shared" si="288"/>
        <v>0</v>
      </c>
      <c r="P524" s="111"/>
      <c r="Q524" s="111"/>
      <c r="R524" s="111"/>
    </row>
    <row r="525" spans="1:20" s="213" customFormat="1" ht="15.6">
      <c r="A525" s="110" t="s">
        <v>448</v>
      </c>
      <c r="B525" s="111" t="s">
        <v>232</v>
      </c>
      <c r="C525" s="112" t="s">
        <v>468</v>
      </c>
      <c r="D525" s="113" t="s">
        <v>326</v>
      </c>
      <c r="E525" s="216" t="s">
        <v>14</v>
      </c>
      <c r="F525" s="216" t="s">
        <v>30</v>
      </c>
      <c r="G525" s="217">
        <v>9.26</v>
      </c>
      <c r="H525" s="218">
        <v>8</v>
      </c>
      <c r="I525" s="219">
        <v>2</v>
      </c>
      <c r="J525" s="220">
        <f t="shared" si="289"/>
        <v>0.14815999999999999</v>
      </c>
      <c r="K525" s="118"/>
      <c r="L525" s="219">
        <v>2</v>
      </c>
      <c r="M525" s="117">
        <f t="shared" si="290"/>
        <v>0.14815999999999999</v>
      </c>
      <c r="N525" s="119">
        <f t="shared" si="291"/>
        <v>0</v>
      </c>
      <c r="O525" s="120">
        <f t="shared" si="288"/>
        <v>0</v>
      </c>
      <c r="P525" s="130">
        <v>6.5</v>
      </c>
      <c r="Q525" s="111">
        <v>2</v>
      </c>
      <c r="R525" s="111"/>
    </row>
    <row r="526" spans="1:20" s="213" customFormat="1" ht="15.6">
      <c r="A526" s="110" t="s">
        <v>448</v>
      </c>
      <c r="B526" s="111" t="s">
        <v>232</v>
      </c>
      <c r="C526" s="112" t="s">
        <v>468</v>
      </c>
      <c r="D526" s="113" t="s">
        <v>326</v>
      </c>
      <c r="E526" s="216" t="s">
        <v>14</v>
      </c>
      <c r="F526" s="216" t="s">
        <v>30</v>
      </c>
      <c r="G526" s="217">
        <v>9.26</v>
      </c>
      <c r="H526" s="218">
        <v>8.5</v>
      </c>
      <c r="I526" s="219">
        <v>3</v>
      </c>
      <c r="J526" s="220">
        <f t="shared" si="289"/>
        <v>0.23613000000000001</v>
      </c>
      <c r="K526" s="118"/>
      <c r="L526" s="219">
        <v>3</v>
      </c>
      <c r="M526" s="117">
        <f t="shared" si="290"/>
        <v>0.23613000000000001</v>
      </c>
      <c r="N526" s="119">
        <f t="shared" si="291"/>
        <v>0</v>
      </c>
      <c r="O526" s="120">
        <f t="shared" si="288"/>
        <v>0</v>
      </c>
      <c r="P526" s="130">
        <v>6.5</v>
      </c>
      <c r="Q526" s="111">
        <v>3</v>
      </c>
      <c r="R526" s="111"/>
    </row>
    <row r="527" spans="1:20" s="213" customFormat="1" ht="15.6">
      <c r="A527" s="110" t="s">
        <v>448</v>
      </c>
      <c r="B527" s="111" t="s">
        <v>232</v>
      </c>
      <c r="C527" s="112" t="s">
        <v>468</v>
      </c>
      <c r="D527" s="113" t="s">
        <v>326</v>
      </c>
      <c r="E527" s="216" t="s">
        <v>14</v>
      </c>
      <c r="F527" s="216" t="s">
        <v>30</v>
      </c>
      <c r="G527" s="217">
        <v>9.26</v>
      </c>
      <c r="H527" s="218">
        <v>8.6</v>
      </c>
      <c r="I527" s="219">
        <v>1</v>
      </c>
      <c r="J527" s="220">
        <f t="shared" si="289"/>
        <v>7.9635999999999998E-2</v>
      </c>
      <c r="K527" s="118"/>
      <c r="L527" s="219">
        <v>1</v>
      </c>
      <c r="M527" s="117">
        <f t="shared" si="290"/>
        <v>7.9635999999999998E-2</v>
      </c>
      <c r="N527" s="119">
        <f t="shared" si="291"/>
        <v>0</v>
      </c>
      <c r="O527" s="120">
        <f t="shared" si="288"/>
        <v>0</v>
      </c>
      <c r="P527" s="130"/>
      <c r="Q527" s="111"/>
      <c r="R527" s="111">
        <v>6.5</v>
      </c>
      <c r="S527" s="354">
        <v>1</v>
      </c>
      <c r="T527" s="213" t="s">
        <v>701</v>
      </c>
    </row>
    <row r="528" spans="1:20" s="213" customFormat="1" ht="15.6">
      <c r="A528" s="110" t="s">
        <v>448</v>
      </c>
      <c r="B528" s="111" t="s">
        <v>232</v>
      </c>
      <c r="C528" s="112" t="s">
        <v>468</v>
      </c>
      <c r="D528" s="113" t="s">
        <v>326</v>
      </c>
      <c r="E528" s="216" t="s">
        <v>14</v>
      </c>
      <c r="F528" s="216" t="s">
        <v>30</v>
      </c>
      <c r="G528" s="217">
        <v>9.26</v>
      </c>
      <c r="H528" s="218">
        <v>8</v>
      </c>
      <c r="I528" s="219">
        <v>1</v>
      </c>
      <c r="J528" s="220">
        <f t="shared" si="289"/>
        <v>7.4079999999999993E-2</v>
      </c>
      <c r="K528" s="118"/>
      <c r="L528" s="219">
        <v>1</v>
      </c>
      <c r="M528" s="117">
        <f t="shared" si="290"/>
        <v>7.4079999999999993E-2</v>
      </c>
      <c r="N528" s="119">
        <f t="shared" si="291"/>
        <v>0</v>
      </c>
      <c r="O528" s="120">
        <f t="shared" si="288"/>
        <v>0</v>
      </c>
      <c r="P528" s="130">
        <v>6.5</v>
      </c>
      <c r="Q528" s="111">
        <v>1</v>
      </c>
      <c r="R528" s="111"/>
    </row>
    <row r="529" spans="1:20" s="213" customFormat="1" ht="15.6">
      <c r="A529" s="110" t="s">
        <v>448</v>
      </c>
      <c r="B529" s="111" t="s">
        <v>232</v>
      </c>
      <c r="C529" s="112" t="s">
        <v>468</v>
      </c>
      <c r="D529" s="113" t="s">
        <v>326</v>
      </c>
      <c r="E529" s="216" t="s">
        <v>14</v>
      </c>
      <c r="F529" s="216" t="s">
        <v>30</v>
      </c>
      <c r="G529" s="217">
        <v>9.26</v>
      </c>
      <c r="H529" s="218">
        <v>8.4</v>
      </c>
      <c r="I529" s="219">
        <v>2</v>
      </c>
      <c r="J529" s="220">
        <f t="shared" si="289"/>
        <v>0.15556800000000001</v>
      </c>
      <c r="K529" s="118"/>
      <c r="L529" s="219">
        <v>2</v>
      </c>
      <c r="M529" s="117">
        <f t="shared" si="290"/>
        <v>0.15556800000000001</v>
      </c>
      <c r="N529" s="119">
        <f t="shared" si="291"/>
        <v>0</v>
      </c>
      <c r="O529" s="120">
        <f t="shared" si="288"/>
        <v>0</v>
      </c>
      <c r="P529" s="130">
        <v>6.5</v>
      </c>
      <c r="Q529" s="111">
        <v>2</v>
      </c>
      <c r="R529" s="111"/>
    </row>
    <row r="530" spans="1:20" s="213" customFormat="1" ht="15.6">
      <c r="A530" s="110" t="s">
        <v>448</v>
      </c>
      <c r="B530" s="111" t="s">
        <v>232</v>
      </c>
      <c r="C530" s="112" t="s">
        <v>468</v>
      </c>
      <c r="D530" s="113" t="s">
        <v>326</v>
      </c>
      <c r="E530" s="216" t="s">
        <v>14</v>
      </c>
      <c r="F530" s="216" t="s">
        <v>30</v>
      </c>
      <c r="G530" s="217">
        <v>9.26</v>
      </c>
      <c r="H530" s="218">
        <v>8.5</v>
      </c>
      <c r="I530" s="219">
        <v>6</v>
      </c>
      <c r="J530" s="220">
        <f t="shared" si="289"/>
        <v>0.47226000000000001</v>
      </c>
      <c r="K530" s="118"/>
      <c r="L530" s="219">
        <f>4+2</f>
        <v>6</v>
      </c>
      <c r="M530" s="117">
        <f t="shared" si="290"/>
        <v>0.47226000000000001</v>
      </c>
      <c r="N530" s="119">
        <f t="shared" si="291"/>
        <v>0</v>
      </c>
      <c r="O530" s="120">
        <f t="shared" si="288"/>
        <v>0</v>
      </c>
      <c r="P530" s="130">
        <v>6.35</v>
      </c>
      <c r="Q530" s="111">
        <v>4</v>
      </c>
      <c r="R530" s="111">
        <v>6.5</v>
      </c>
      <c r="S530" s="354">
        <v>2</v>
      </c>
      <c r="T530" s="213" t="s">
        <v>701</v>
      </c>
    </row>
    <row r="531" spans="1:20" s="213" customFormat="1" ht="15.6">
      <c r="A531" s="110" t="s">
        <v>448</v>
      </c>
      <c r="B531" s="111" t="s">
        <v>232</v>
      </c>
      <c r="C531" s="112" t="s">
        <v>468</v>
      </c>
      <c r="D531" s="113" t="s">
        <v>326</v>
      </c>
      <c r="E531" s="216" t="s">
        <v>14</v>
      </c>
      <c r="F531" s="216" t="s">
        <v>30</v>
      </c>
      <c r="G531" s="217">
        <v>9.26</v>
      </c>
      <c r="H531" s="218">
        <v>8.9</v>
      </c>
      <c r="I531" s="219">
        <v>4</v>
      </c>
      <c r="J531" s="220">
        <f t="shared" ref="J531:J533" si="292">(G531*H531*I531/1000)</f>
        <v>0.329656</v>
      </c>
      <c r="K531" s="118"/>
      <c r="L531" s="219">
        <v>4</v>
      </c>
      <c r="M531" s="117">
        <f t="shared" ref="M531:M542" si="293">H531*L531*G531/1000</f>
        <v>0.329656</v>
      </c>
      <c r="N531" s="119">
        <f t="shared" ref="N531:N541" si="294">I531-L531</f>
        <v>0</v>
      </c>
      <c r="O531" s="120">
        <f t="shared" si="288"/>
        <v>0</v>
      </c>
      <c r="P531" s="130"/>
      <c r="Q531" s="111"/>
      <c r="R531" s="111">
        <v>6.5</v>
      </c>
      <c r="S531" s="354">
        <v>4</v>
      </c>
      <c r="T531" s="213" t="s">
        <v>701</v>
      </c>
    </row>
    <row r="532" spans="1:20" s="213" customFormat="1" ht="15.6">
      <c r="A532" s="110" t="s">
        <v>448</v>
      </c>
      <c r="B532" s="111" t="s">
        <v>232</v>
      </c>
      <c r="C532" s="112" t="s">
        <v>468</v>
      </c>
      <c r="D532" s="113" t="s">
        <v>326</v>
      </c>
      <c r="E532" s="216" t="s">
        <v>14</v>
      </c>
      <c r="F532" s="216" t="s">
        <v>30</v>
      </c>
      <c r="G532" s="217">
        <v>9.26</v>
      </c>
      <c r="H532" s="218">
        <v>9</v>
      </c>
      <c r="I532" s="219">
        <v>1</v>
      </c>
      <c r="J532" s="220">
        <f t="shared" si="292"/>
        <v>8.3339999999999997E-2</v>
      </c>
      <c r="K532" s="118"/>
      <c r="L532" s="219">
        <v>1</v>
      </c>
      <c r="M532" s="117">
        <f t="shared" si="293"/>
        <v>8.3339999999999997E-2</v>
      </c>
      <c r="N532" s="119">
        <f t="shared" si="294"/>
        <v>0</v>
      </c>
      <c r="O532" s="120">
        <f t="shared" si="288"/>
        <v>0</v>
      </c>
      <c r="P532" s="130">
        <v>9.15</v>
      </c>
      <c r="Q532" s="111">
        <v>1</v>
      </c>
      <c r="R532" s="111"/>
    </row>
    <row r="533" spans="1:20" s="213" customFormat="1" ht="15.6">
      <c r="A533" s="110" t="s">
        <v>448</v>
      </c>
      <c r="B533" s="111" t="s">
        <v>232</v>
      </c>
      <c r="C533" s="112" t="s">
        <v>468</v>
      </c>
      <c r="D533" s="113" t="s">
        <v>326</v>
      </c>
      <c r="E533" s="216" t="s">
        <v>14</v>
      </c>
      <c r="F533" s="216" t="s">
        <v>30</v>
      </c>
      <c r="G533" s="217">
        <v>9.26</v>
      </c>
      <c r="H533" s="218">
        <v>9.6999999999999993</v>
      </c>
      <c r="I533" s="219">
        <f>24+14+22+10</f>
        <v>70</v>
      </c>
      <c r="J533" s="220">
        <f t="shared" si="292"/>
        <v>6.287539999999999</v>
      </c>
      <c r="K533" s="118"/>
      <c r="L533" s="219">
        <v>70</v>
      </c>
      <c r="M533" s="117">
        <f t="shared" si="293"/>
        <v>6.2875399999999999</v>
      </c>
      <c r="N533" s="119">
        <f t="shared" si="294"/>
        <v>0</v>
      </c>
      <c r="O533" s="120">
        <f t="shared" si="288"/>
        <v>0</v>
      </c>
      <c r="P533" s="130">
        <v>9.15</v>
      </c>
      <c r="Q533" s="111">
        <v>21</v>
      </c>
      <c r="R533" s="111"/>
    </row>
    <row r="534" spans="1:20" s="213" customFormat="1" ht="15.6">
      <c r="A534" s="110" t="s">
        <v>448</v>
      </c>
      <c r="B534" s="111" t="s">
        <v>232</v>
      </c>
      <c r="C534" s="112" t="s">
        <v>468</v>
      </c>
      <c r="D534" s="113" t="s">
        <v>326</v>
      </c>
      <c r="E534" s="216" t="s">
        <v>14</v>
      </c>
      <c r="F534" s="216" t="s">
        <v>30</v>
      </c>
      <c r="G534" s="217">
        <v>9.26</v>
      </c>
      <c r="H534" s="218">
        <v>10.5</v>
      </c>
      <c r="I534" s="219">
        <f>32+29+21+22</f>
        <v>104</v>
      </c>
      <c r="J534" s="220">
        <f t="shared" ref="J534:J542" si="295">(G534*H534*I534/1000)</f>
        <v>10.11192</v>
      </c>
      <c r="K534" s="118"/>
      <c r="L534" s="219">
        <v>104</v>
      </c>
      <c r="M534" s="117">
        <f t="shared" si="293"/>
        <v>10.11192</v>
      </c>
      <c r="N534" s="119">
        <f t="shared" si="294"/>
        <v>0</v>
      </c>
      <c r="O534" s="120">
        <f t="shared" si="288"/>
        <v>0</v>
      </c>
      <c r="P534" s="130">
        <v>9.15</v>
      </c>
      <c r="Q534" s="111">
        <v>4</v>
      </c>
      <c r="R534" s="111"/>
    </row>
    <row r="535" spans="1:20" s="213" customFormat="1" ht="15.6">
      <c r="A535" s="110" t="s">
        <v>448</v>
      </c>
      <c r="B535" s="111" t="s">
        <v>232</v>
      </c>
      <c r="C535" s="112" t="s">
        <v>468</v>
      </c>
      <c r="D535" s="113" t="s">
        <v>326</v>
      </c>
      <c r="E535" s="216" t="s">
        <v>14</v>
      </c>
      <c r="F535" s="216" t="s">
        <v>30</v>
      </c>
      <c r="G535" s="217">
        <v>9.26</v>
      </c>
      <c r="H535" s="218">
        <v>11.6</v>
      </c>
      <c r="I535" s="219">
        <f>29+29+26+17</f>
        <v>101</v>
      </c>
      <c r="J535" s="220">
        <f t="shared" si="295"/>
        <v>10.849015999999999</v>
      </c>
      <c r="K535" s="118"/>
      <c r="L535" s="219">
        <v>101</v>
      </c>
      <c r="M535" s="117">
        <f t="shared" si="293"/>
        <v>10.849015999999999</v>
      </c>
      <c r="N535" s="119">
        <f t="shared" si="294"/>
        <v>0</v>
      </c>
      <c r="O535" s="120">
        <f t="shared" ref="O535:O540" si="296">H535*N535*G535/1000</f>
        <v>0</v>
      </c>
      <c r="P535" s="130"/>
      <c r="Q535" s="111"/>
      <c r="R535" s="111"/>
    </row>
    <row r="536" spans="1:20" s="213" customFormat="1" ht="15.6">
      <c r="A536" s="110" t="s">
        <v>448</v>
      </c>
      <c r="B536" s="111" t="s">
        <v>232</v>
      </c>
      <c r="C536" s="112" t="s">
        <v>468</v>
      </c>
      <c r="D536" s="113" t="s">
        <v>326</v>
      </c>
      <c r="E536" s="216" t="s">
        <v>14</v>
      </c>
      <c r="F536" s="216" t="s">
        <v>30</v>
      </c>
      <c r="G536" s="217">
        <v>9.26</v>
      </c>
      <c r="H536" s="218">
        <v>9</v>
      </c>
      <c r="I536" s="219">
        <v>4</v>
      </c>
      <c r="J536" s="220">
        <f t="shared" si="295"/>
        <v>0.33335999999999999</v>
      </c>
      <c r="K536" s="118"/>
      <c r="L536" s="219">
        <v>4</v>
      </c>
      <c r="M536" s="117">
        <f t="shared" si="293"/>
        <v>0.33335999999999999</v>
      </c>
      <c r="N536" s="119">
        <f t="shared" si="294"/>
        <v>0</v>
      </c>
      <c r="O536" s="120">
        <f t="shared" si="296"/>
        <v>0</v>
      </c>
      <c r="P536" s="130"/>
      <c r="Q536" s="111"/>
      <c r="R536" s="111">
        <v>6.5</v>
      </c>
      <c r="S536" s="354">
        <v>4</v>
      </c>
      <c r="T536" s="213" t="s">
        <v>701</v>
      </c>
    </row>
    <row r="537" spans="1:20" s="213" customFormat="1" ht="15.6">
      <c r="A537" s="110" t="s">
        <v>448</v>
      </c>
      <c r="B537" s="111" t="s">
        <v>232</v>
      </c>
      <c r="C537" s="112" t="s">
        <v>468</v>
      </c>
      <c r="D537" s="113" t="s">
        <v>326</v>
      </c>
      <c r="E537" s="216" t="s">
        <v>14</v>
      </c>
      <c r="F537" s="216" t="s">
        <v>30</v>
      </c>
      <c r="G537" s="217">
        <v>9.26</v>
      </c>
      <c r="H537" s="218">
        <v>8.8000000000000007</v>
      </c>
      <c r="I537" s="219">
        <v>2</v>
      </c>
      <c r="J537" s="220">
        <f t="shared" si="295"/>
        <v>0.16297600000000001</v>
      </c>
      <c r="K537" s="118"/>
      <c r="L537" s="219">
        <v>2</v>
      </c>
      <c r="M537" s="117">
        <f t="shared" si="293"/>
        <v>0.16297600000000001</v>
      </c>
      <c r="N537" s="119">
        <f t="shared" si="294"/>
        <v>0</v>
      </c>
      <c r="O537" s="120">
        <f t="shared" si="296"/>
        <v>0</v>
      </c>
      <c r="P537" s="130"/>
      <c r="Q537" s="111"/>
      <c r="R537" s="111">
        <v>6.5</v>
      </c>
      <c r="S537" s="354">
        <v>2</v>
      </c>
      <c r="T537" s="213" t="s">
        <v>701</v>
      </c>
    </row>
    <row r="538" spans="1:20" s="213" customFormat="1" ht="15.6">
      <c r="A538" s="110" t="s">
        <v>448</v>
      </c>
      <c r="B538" s="111" t="s">
        <v>232</v>
      </c>
      <c r="C538" s="112" t="s">
        <v>468</v>
      </c>
      <c r="D538" s="113" t="s">
        <v>326</v>
      </c>
      <c r="E538" s="216" t="s">
        <v>14</v>
      </c>
      <c r="F538" s="216" t="s">
        <v>30</v>
      </c>
      <c r="G538" s="217">
        <v>9.26</v>
      </c>
      <c r="H538" s="218">
        <v>8</v>
      </c>
      <c r="I538" s="219">
        <v>2</v>
      </c>
      <c r="J538" s="220">
        <f t="shared" si="295"/>
        <v>0.14815999999999999</v>
      </c>
      <c r="K538" s="118"/>
      <c r="L538" s="219">
        <v>2</v>
      </c>
      <c r="M538" s="117">
        <f t="shared" si="293"/>
        <v>0.14815999999999999</v>
      </c>
      <c r="N538" s="119">
        <f t="shared" si="294"/>
        <v>0</v>
      </c>
      <c r="O538" s="120">
        <f t="shared" si="296"/>
        <v>0</v>
      </c>
      <c r="P538" s="130">
        <v>6.5</v>
      </c>
      <c r="Q538" s="111">
        <v>2</v>
      </c>
      <c r="R538" s="111"/>
    </row>
    <row r="539" spans="1:20" s="213" customFormat="1" ht="15.6">
      <c r="A539" s="110" t="s">
        <v>448</v>
      </c>
      <c r="B539" s="111" t="s">
        <v>232</v>
      </c>
      <c r="C539" s="112" t="s">
        <v>468</v>
      </c>
      <c r="D539" s="113" t="s">
        <v>326</v>
      </c>
      <c r="E539" s="216" t="s">
        <v>14</v>
      </c>
      <c r="F539" s="216" t="s">
        <v>30</v>
      </c>
      <c r="G539" s="217">
        <v>9.26</v>
      </c>
      <c r="H539" s="218">
        <v>7.4</v>
      </c>
      <c r="I539" s="219">
        <v>1</v>
      </c>
      <c r="J539" s="220">
        <f t="shared" si="295"/>
        <v>6.8524000000000002E-2</v>
      </c>
      <c r="K539" s="118"/>
      <c r="L539" s="219">
        <v>1</v>
      </c>
      <c r="M539" s="117">
        <f t="shared" si="293"/>
        <v>6.8524000000000002E-2</v>
      </c>
      <c r="N539" s="119">
        <f t="shared" si="294"/>
        <v>0</v>
      </c>
      <c r="O539" s="120">
        <f t="shared" si="296"/>
        <v>0</v>
      </c>
      <c r="P539" s="130">
        <v>6.5</v>
      </c>
      <c r="Q539" s="111">
        <v>1</v>
      </c>
      <c r="R539" s="111"/>
    </row>
    <row r="540" spans="1:20" s="213" customFormat="1" ht="15.6">
      <c r="A540" s="110" t="s">
        <v>448</v>
      </c>
      <c r="B540" s="111" t="s">
        <v>232</v>
      </c>
      <c r="C540" s="112" t="s">
        <v>468</v>
      </c>
      <c r="D540" s="113" t="s">
        <v>326</v>
      </c>
      <c r="E540" s="216" t="s">
        <v>14</v>
      </c>
      <c r="F540" s="216" t="s">
        <v>30</v>
      </c>
      <c r="G540" s="217">
        <v>9.26</v>
      </c>
      <c r="H540" s="218">
        <v>8.1999999999999993</v>
      </c>
      <c r="I540" s="219">
        <v>1</v>
      </c>
      <c r="J540" s="220">
        <f t="shared" si="295"/>
        <v>7.5931999999999986E-2</v>
      </c>
      <c r="K540" s="118"/>
      <c r="L540" s="219">
        <v>1</v>
      </c>
      <c r="M540" s="117">
        <f t="shared" si="293"/>
        <v>7.5931999999999986E-2</v>
      </c>
      <c r="N540" s="119">
        <f t="shared" si="294"/>
        <v>0</v>
      </c>
      <c r="O540" s="120">
        <f t="shared" si="296"/>
        <v>0</v>
      </c>
      <c r="P540" s="130">
        <v>6.5</v>
      </c>
      <c r="Q540" s="111">
        <v>1</v>
      </c>
      <c r="R540" s="111"/>
    </row>
    <row r="541" spans="1:20" s="213" customFormat="1" ht="15.6">
      <c r="A541" s="110" t="s">
        <v>448</v>
      </c>
      <c r="B541" s="111" t="s">
        <v>232</v>
      </c>
      <c r="C541" s="112" t="s">
        <v>468</v>
      </c>
      <c r="D541" s="113" t="s">
        <v>326</v>
      </c>
      <c r="E541" s="216" t="s">
        <v>14</v>
      </c>
      <c r="F541" s="216" t="s">
        <v>30</v>
      </c>
      <c r="G541" s="217">
        <v>9.26</v>
      </c>
      <c r="H541" s="218">
        <v>6.5</v>
      </c>
      <c r="I541" s="219">
        <v>1</v>
      </c>
      <c r="J541" s="220">
        <f t="shared" si="295"/>
        <v>6.019E-2</v>
      </c>
      <c r="K541" s="118"/>
      <c r="L541" s="219">
        <v>1</v>
      </c>
      <c r="M541" s="117">
        <f t="shared" si="293"/>
        <v>6.019E-2</v>
      </c>
      <c r="N541" s="119">
        <f t="shared" si="294"/>
        <v>0</v>
      </c>
      <c r="O541" s="120">
        <f>H541*N541*G541/1000</f>
        <v>0</v>
      </c>
      <c r="P541" s="111"/>
      <c r="Q541" s="111"/>
      <c r="R541" s="111"/>
    </row>
    <row r="542" spans="1:20" s="213" customFormat="1" ht="15.6">
      <c r="A542" s="110" t="s">
        <v>448</v>
      </c>
      <c r="B542" s="111" t="s">
        <v>232</v>
      </c>
      <c r="C542" s="112" t="s">
        <v>468</v>
      </c>
      <c r="D542" s="113" t="s">
        <v>326</v>
      </c>
      <c r="E542" s="216" t="s">
        <v>14</v>
      </c>
      <c r="F542" s="216" t="s">
        <v>30</v>
      </c>
      <c r="G542" s="217">
        <v>9.26</v>
      </c>
      <c r="H542" s="218">
        <v>6.35</v>
      </c>
      <c r="I542" s="219">
        <v>2</v>
      </c>
      <c r="J542" s="220">
        <f t="shared" si="295"/>
        <v>0.11760199999999998</v>
      </c>
      <c r="K542" s="118"/>
      <c r="L542" s="219">
        <v>2</v>
      </c>
      <c r="M542" s="117">
        <f t="shared" si="293"/>
        <v>0.11760199999999998</v>
      </c>
      <c r="N542" s="119">
        <f>I542-L542</f>
        <v>0</v>
      </c>
      <c r="O542" s="120">
        <f>H542*N542*G542/1000</f>
        <v>0</v>
      </c>
      <c r="P542" s="111"/>
      <c r="Q542" s="111"/>
      <c r="R542" s="111"/>
    </row>
    <row r="543" spans="1:20" s="213" customFormat="1" ht="15.6">
      <c r="A543" s="110" t="s">
        <v>448</v>
      </c>
      <c r="B543" s="111" t="s">
        <v>232</v>
      </c>
      <c r="C543" s="112" t="s">
        <v>468</v>
      </c>
      <c r="D543" s="113" t="s">
        <v>326</v>
      </c>
      <c r="E543" s="216" t="s">
        <v>14</v>
      </c>
      <c r="F543" s="216" t="s">
        <v>30</v>
      </c>
      <c r="G543" s="217">
        <v>9.26</v>
      </c>
      <c r="H543" s="218">
        <v>6.35</v>
      </c>
      <c r="I543" s="219">
        <f>29+41+41+37+22</f>
        <v>170</v>
      </c>
      <c r="J543" s="220">
        <f t="shared" ref="J543:J545" si="297">(G543*H543*I543/1000)</f>
        <v>9.9961699999999976</v>
      </c>
      <c r="K543" s="118"/>
      <c r="L543" s="219">
        <v>170</v>
      </c>
      <c r="M543" s="117">
        <f t="shared" ref="M543:M545" si="298">H543*L543*G543/1000</f>
        <v>9.9961699999999993</v>
      </c>
      <c r="N543" s="119">
        <f t="shared" ref="N543:N545" si="299">I543-L543</f>
        <v>0</v>
      </c>
      <c r="O543" s="120">
        <f t="shared" ref="O543:O545" si="300">H543*N543*G543/1000</f>
        <v>0</v>
      </c>
      <c r="P543" s="111"/>
      <c r="Q543" s="111"/>
      <c r="R543" s="111"/>
    </row>
    <row r="544" spans="1:20" s="213" customFormat="1" ht="15.6">
      <c r="A544" s="110" t="s">
        <v>448</v>
      </c>
      <c r="B544" s="111" t="s">
        <v>232</v>
      </c>
      <c r="C544" s="112" t="s">
        <v>468</v>
      </c>
      <c r="D544" s="113" t="s">
        <v>326</v>
      </c>
      <c r="E544" s="216" t="s">
        <v>14</v>
      </c>
      <c r="F544" s="216" t="s">
        <v>30</v>
      </c>
      <c r="G544" s="217">
        <v>9.26</v>
      </c>
      <c r="H544" s="218">
        <v>6.5</v>
      </c>
      <c r="I544" s="219">
        <f>39+43+35+37+35+35+35+38+31</f>
        <v>328</v>
      </c>
      <c r="J544" s="220">
        <f t="shared" si="297"/>
        <v>19.742319999999999</v>
      </c>
      <c r="K544" s="118"/>
      <c r="L544" s="219">
        <f>39+43+35+37+35+35+35+38+31</f>
        <v>328</v>
      </c>
      <c r="M544" s="117">
        <f t="shared" si="298"/>
        <v>19.742319999999999</v>
      </c>
      <c r="N544" s="119">
        <f t="shared" si="299"/>
        <v>0</v>
      </c>
      <c r="O544" s="120">
        <f t="shared" si="300"/>
        <v>0</v>
      </c>
      <c r="P544" s="111"/>
      <c r="Q544" s="111"/>
      <c r="R544" s="111"/>
    </row>
    <row r="545" spans="1:20" s="213" customFormat="1" ht="15.6">
      <c r="A545" s="110" t="s">
        <v>448</v>
      </c>
      <c r="B545" s="111" t="s">
        <v>232</v>
      </c>
      <c r="C545" s="112" t="s">
        <v>468</v>
      </c>
      <c r="D545" s="113" t="s">
        <v>326</v>
      </c>
      <c r="E545" s="216" t="s">
        <v>14</v>
      </c>
      <c r="F545" s="216" t="s">
        <v>30</v>
      </c>
      <c r="G545" s="217">
        <v>9.26</v>
      </c>
      <c r="H545" s="218">
        <v>9.15</v>
      </c>
      <c r="I545" s="219">
        <f>33+32+34+32+32+35+35+40</f>
        <v>273</v>
      </c>
      <c r="J545" s="220">
        <f t="shared" si="297"/>
        <v>23.131017</v>
      </c>
      <c r="K545" s="118"/>
      <c r="L545" s="219">
        <f>33+32+34+32+32+35+35+40</f>
        <v>273</v>
      </c>
      <c r="M545" s="117">
        <f t="shared" si="298"/>
        <v>23.131017000000003</v>
      </c>
      <c r="N545" s="119">
        <f t="shared" si="299"/>
        <v>0</v>
      </c>
      <c r="O545" s="120">
        <f t="shared" si="300"/>
        <v>0</v>
      </c>
      <c r="P545" s="111"/>
      <c r="Q545" s="111"/>
      <c r="R545" s="111"/>
    </row>
    <row r="546" spans="1:20" s="213" customFormat="1" ht="15.6">
      <c r="A546" s="110"/>
      <c r="B546" s="111"/>
      <c r="C546" s="112"/>
      <c r="D546" s="113"/>
      <c r="E546" s="216"/>
      <c r="F546" s="216"/>
      <c r="G546" s="217"/>
      <c r="H546" s="218"/>
      <c r="I546" s="368">
        <f>SUM(I518:I545)</f>
        <v>2181</v>
      </c>
      <c r="J546" s="367">
        <f>SUM(J518:J545)</f>
        <v>159.575265</v>
      </c>
      <c r="K546" s="118"/>
      <c r="L546" s="368">
        <f>SUM(L518:L545)</f>
        <v>2171</v>
      </c>
      <c r="M546" s="367">
        <f>SUM(M518:M545)</f>
        <v>159.01596100000006</v>
      </c>
      <c r="N546" s="368">
        <f>SUM(N518:N545)</f>
        <v>10</v>
      </c>
      <c r="O546" s="367">
        <f>SUM(O518:O545)</f>
        <v>0.55930400000000002</v>
      </c>
      <c r="P546" s="111"/>
      <c r="Q546" s="111"/>
      <c r="R546" s="111"/>
    </row>
    <row r="547" spans="1:20" s="213" customFormat="1" ht="15.6">
      <c r="A547" s="110"/>
      <c r="B547" s="111"/>
      <c r="C547" s="112"/>
      <c r="D547" s="113"/>
      <c r="E547" s="216"/>
      <c r="F547" s="216"/>
      <c r="G547" s="217"/>
      <c r="H547" s="218"/>
      <c r="I547" s="219"/>
      <c r="J547" s="220"/>
      <c r="K547" s="118"/>
      <c r="L547" s="219"/>
      <c r="M547" s="117"/>
      <c r="N547" s="119"/>
      <c r="O547" s="120"/>
      <c r="P547" s="111"/>
      <c r="Q547" s="111"/>
      <c r="R547" s="111"/>
    </row>
    <row r="548" spans="1:20" ht="15.6">
      <c r="A548" s="110" t="s">
        <v>448</v>
      </c>
      <c r="B548" s="111" t="s">
        <v>232</v>
      </c>
      <c r="C548" s="112" t="s">
        <v>449</v>
      </c>
      <c r="D548" s="113" t="s">
        <v>326</v>
      </c>
      <c r="E548" s="216" t="s">
        <v>14</v>
      </c>
      <c r="F548" s="216" t="s">
        <v>28</v>
      </c>
      <c r="G548" s="217">
        <v>12.2</v>
      </c>
      <c r="H548" s="218">
        <v>11.9</v>
      </c>
      <c r="I548" s="219">
        <v>20</v>
      </c>
      <c r="J548" s="220">
        <f t="shared" ref="J548:J550" si="301">(G548*H548*I548/1000)</f>
        <v>2.9036000000000004</v>
      </c>
      <c r="K548" s="118"/>
      <c r="L548" s="219">
        <v>20</v>
      </c>
      <c r="M548" s="117">
        <f t="shared" ref="M548:M550" si="302">H548*L548*G548/1000</f>
        <v>2.9036</v>
      </c>
      <c r="N548" s="119">
        <f t="shared" ref="N548:N550" si="303">I548-L548</f>
        <v>0</v>
      </c>
      <c r="O548" s="120">
        <f t="shared" ref="O548:O550" si="304">H548*N548*G548/1000</f>
        <v>0</v>
      </c>
      <c r="P548" s="111"/>
      <c r="Q548" s="111"/>
      <c r="R548" s="111"/>
    </row>
    <row r="549" spans="1:20" ht="15.6">
      <c r="A549" s="110" t="s">
        <v>448</v>
      </c>
      <c r="B549" s="111" t="s">
        <v>232</v>
      </c>
      <c r="C549" s="112" t="s">
        <v>449</v>
      </c>
      <c r="D549" s="113" t="s">
        <v>326</v>
      </c>
      <c r="E549" s="216" t="s">
        <v>14</v>
      </c>
      <c r="F549" s="216" t="s">
        <v>28</v>
      </c>
      <c r="G549" s="217">
        <v>12.2</v>
      </c>
      <c r="H549" s="218">
        <v>8</v>
      </c>
      <c r="I549" s="219">
        <v>26</v>
      </c>
      <c r="J549" s="220">
        <f t="shared" si="301"/>
        <v>2.5375999999999999</v>
      </c>
      <c r="K549" s="118"/>
      <c r="L549" s="219">
        <v>26</v>
      </c>
      <c r="M549" s="117">
        <f t="shared" si="302"/>
        <v>2.5375999999999999</v>
      </c>
      <c r="N549" s="119">
        <f t="shared" si="303"/>
        <v>0</v>
      </c>
      <c r="O549" s="120">
        <f t="shared" si="304"/>
        <v>0</v>
      </c>
      <c r="P549" s="111"/>
      <c r="Q549" s="111"/>
      <c r="R549" s="111"/>
    </row>
    <row r="550" spans="1:20" ht="15.6">
      <c r="A550" s="110" t="s">
        <v>448</v>
      </c>
      <c r="B550" s="111" t="s">
        <v>232</v>
      </c>
      <c r="C550" s="112" t="s">
        <v>449</v>
      </c>
      <c r="D550" s="113" t="s">
        <v>326</v>
      </c>
      <c r="E550" s="216" t="s">
        <v>14</v>
      </c>
      <c r="F550" s="216" t="s">
        <v>28</v>
      </c>
      <c r="G550" s="217">
        <v>12.2</v>
      </c>
      <c r="H550" s="218">
        <v>8</v>
      </c>
      <c r="I550" s="219">
        <v>23</v>
      </c>
      <c r="J550" s="220">
        <f t="shared" si="301"/>
        <v>2.2447999999999997</v>
      </c>
      <c r="K550" s="118"/>
      <c r="L550" s="219">
        <v>23</v>
      </c>
      <c r="M550" s="117">
        <f t="shared" si="302"/>
        <v>2.2447999999999997</v>
      </c>
      <c r="N550" s="119">
        <f t="shared" si="303"/>
        <v>0</v>
      </c>
      <c r="O550" s="120">
        <f t="shared" si="304"/>
        <v>0</v>
      </c>
      <c r="P550" s="111"/>
      <c r="Q550" s="111"/>
      <c r="R550" s="111"/>
    </row>
    <row r="551" spans="1:20" ht="15.6">
      <c r="A551" s="110" t="s">
        <v>448</v>
      </c>
      <c r="B551" s="111" t="s">
        <v>232</v>
      </c>
      <c r="C551" s="112" t="s">
        <v>449</v>
      </c>
      <c r="D551" s="113" t="s">
        <v>326</v>
      </c>
      <c r="E551" s="216" t="s">
        <v>14</v>
      </c>
      <c r="F551" s="216" t="s">
        <v>28</v>
      </c>
      <c r="G551" s="217">
        <v>12.2</v>
      </c>
      <c r="H551" s="218">
        <v>11.9</v>
      </c>
      <c r="I551" s="219">
        <v>21</v>
      </c>
      <c r="J551" s="220">
        <f t="shared" ref="J551:J559" si="305">(G551*H551*I551/1000)</f>
        <v>3.0487800000000003</v>
      </c>
      <c r="K551" s="118"/>
      <c r="L551" s="219">
        <v>21</v>
      </c>
      <c r="M551" s="117">
        <f t="shared" ref="M551:M559" si="306">H551*L551*G551/1000</f>
        <v>3.0487799999999998</v>
      </c>
      <c r="N551" s="119">
        <f t="shared" ref="N551:N557" si="307">I551-L551</f>
        <v>0</v>
      </c>
      <c r="O551" s="120">
        <f t="shared" ref="O551:O557" si="308">H551*N551*G551/1000</f>
        <v>0</v>
      </c>
      <c r="P551" s="111"/>
      <c r="Q551" s="111"/>
      <c r="R551" s="111"/>
    </row>
    <row r="552" spans="1:20" ht="15.6">
      <c r="A552" s="110" t="s">
        <v>448</v>
      </c>
      <c r="B552" s="111" t="s">
        <v>232</v>
      </c>
      <c r="C552" s="112" t="s">
        <v>449</v>
      </c>
      <c r="D552" s="113" t="s">
        <v>326</v>
      </c>
      <c r="E552" s="216" t="s">
        <v>14</v>
      </c>
      <c r="F552" s="216" t="s">
        <v>28</v>
      </c>
      <c r="G552" s="217">
        <v>12.2</v>
      </c>
      <c r="H552" s="218">
        <v>7.5</v>
      </c>
      <c r="I552" s="219">
        <v>2</v>
      </c>
      <c r="J552" s="220">
        <f t="shared" si="305"/>
        <v>0.183</v>
      </c>
      <c r="K552" s="118"/>
      <c r="L552" s="219">
        <v>2</v>
      </c>
      <c r="M552" s="117">
        <f t="shared" si="306"/>
        <v>0.183</v>
      </c>
      <c r="N552" s="119">
        <f t="shared" si="307"/>
        <v>0</v>
      </c>
      <c r="O552" s="120">
        <f t="shared" si="308"/>
        <v>0</v>
      </c>
      <c r="P552" s="111">
        <v>7.95</v>
      </c>
      <c r="Q552" s="45">
        <v>2</v>
      </c>
      <c r="R552" s="111" t="s">
        <v>770</v>
      </c>
    </row>
    <row r="553" spans="1:20" ht="15.6">
      <c r="A553" s="110" t="s">
        <v>448</v>
      </c>
      <c r="B553" s="111" t="s">
        <v>232</v>
      </c>
      <c r="C553" s="112" t="s">
        <v>449</v>
      </c>
      <c r="D553" s="113" t="s">
        <v>326</v>
      </c>
      <c r="E553" s="216" t="s">
        <v>14</v>
      </c>
      <c r="F553" s="216" t="s">
        <v>28</v>
      </c>
      <c r="G553" s="217">
        <v>12.2</v>
      </c>
      <c r="H553" s="218">
        <v>8.75</v>
      </c>
      <c r="I553" s="219">
        <v>3</v>
      </c>
      <c r="J553" s="220">
        <f t="shared" si="305"/>
        <v>0.32024999999999998</v>
      </c>
      <c r="K553" s="118"/>
      <c r="L553" s="219">
        <f>2+1</f>
        <v>3</v>
      </c>
      <c r="M553" s="117">
        <f t="shared" si="306"/>
        <v>0.32024999999999998</v>
      </c>
      <c r="N553" s="119">
        <f t="shared" si="307"/>
        <v>0</v>
      </c>
      <c r="O553" s="120">
        <f t="shared" si="308"/>
        <v>0</v>
      </c>
      <c r="P553" s="111">
        <v>7.95</v>
      </c>
      <c r="Q553" s="45">
        <v>1</v>
      </c>
      <c r="R553" s="111" t="s">
        <v>769</v>
      </c>
      <c r="S553" s="111">
        <v>8</v>
      </c>
      <c r="T553" s="111">
        <v>2</v>
      </c>
    </row>
    <row r="554" spans="1:20" ht="15.6">
      <c r="A554" s="110" t="s">
        <v>448</v>
      </c>
      <c r="B554" s="111" t="s">
        <v>232</v>
      </c>
      <c r="C554" s="112" t="s">
        <v>449</v>
      </c>
      <c r="D554" s="113" t="s">
        <v>326</v>
      </c>
      <c r="E554" s="216" t="s">
        <v>14</v>
      </c>
      <c r="F554" s="216" t="s">
        <v>28</v>
      </c>
      <c r="G554" s="217">
        <v>12.2</v>
      </c>
      <c r="H554" s="218">
        <v>11.5</v>
      </c>
      <c r="I554" s="219">
        <v>1</v>
      </c>
      <c r="J554" s="220">
        <f t="shared" si="305"/>
        <v>0.14029999999999998</v>
      </c>
      <c r="K554" s="118"/>
      <c r="L554" s="219">
        <v>1</v>
      </c>
      <c r="M554" s="117">
        <f t="shared" si="306"/>
        <v>0.14029999999999998</v>
      </c>
      <c r="N554" s="119">
        <f t="shared" si="307"/>
        <v>0</v>
      </c>
      <c r="O554" s="120">
        <f t="shared" si="308"/>
        <v>0</v>
      </c>
      <c r="P554" s="111"/>
      <c r="Q554" s="91">
        <v>1</v>
      </c>
      <c r="R554" s="91" t="s">
        <v>542</v>
      </c>
    </row>
    <row r="555" spans="1:20" ht="15.6">
      <c r="A555" s="110" t="s">
        <v>448</v>
      </c>
      <c r="B555" s="111" t="s">
        <v>232</v>
      </c>
      <c r="C555" s="112" t="s">
        <v>449</v>
      </c>
      <c r="D555" s="113" t="s">
        <v>326</v>
      </c>
      <c r="E555" s="216" t="s">
        <v>14</v>
      </c>
      <c r="F555" s="216" t="s">
        <v>28</v>
      </c>
      <c r="G555" s="217">
        <v>12.2</v>
      </c>
      <c r="H555" s="218">
        <v>8</v>
      </c>
      <c r="I555" s="219">
        <v>23</v>
      </c>
      <c r="J555" s="220">
        <f t="shared" si="305"/>
        <v>2.2447999999999997</v>
      </c>
      <c r="K555" s="118"/>
      <c r="L555" s="219">
        <v>23</v>
      </c>
      <c r="M555" s="117">
        <f t="shared" si="306"/>
        <v>2.2447999999999997</v>
      </c>
      <c r="N555" s="119">
        <f t="shared" si="307"/>
        <v>0</v>
      </c>
      <c r="O555" s="120">
        <f t="shared" si="308"/>
        <v>0</v>
      </c>
      <c r="P555" s="111"/>
      <c r="Q555" s="111"/>
      <c r="R555" s="111"/>
    </row>
    <row r="556" spans="1:20" ht="15.6">
      <c r="A556" s="110" t="s">
        <v>448</v>
      </c>
      <c r="B556" s="111" t="s">
        <v>232</v>
      </c>
      <c r="C556" s="112" t="s">
        <v>449</v>
      </c>
      <c r="D556" s="113" t="s">
        <v>326</v>
      </c>
      <c r="E556" s="216" t="s">
        <v>14</v>
      </c>
      <c r="F556" s="216" t="s">
        <v>28</v>
      </c>
      <c r="G556" s="217">
        <v>12.2</v>
      </c>
      <c r="H556" s="218">
        <v>11.9</v>
      </c>
      <c r="I556" s="219">
        <v>6</v>
      </c>
      <c r="J556" s="220">
        <f t="shared" si="305"/>
        <v>0.87108000000000008</v>
      </c>
      <c r="K556" s="118"/>
      <c r="L556" s="219">
        <v>6</v>
      </c>
      <c r="M556" s="117">
        <f t="shared" si="306"/>
        <v>0.87108000000000008</v>
      </c>
      <c r="N556" s="119">
        <f t="shared" si="307"/>
        <v>0</v>
      </c>
      <c r="O556" s="120">
        <f t="shared" si="308"/>
        <v>0</v>
      </c>
      <c r="P556" s="111"/>
      <c r="Q556" s="111"/>
      <c r="R556" s="111"/>
    </row>
    <row r="557" spans="1:20" ht="15.6">
      <c r="A557" s="110" t="s">
        <v>448</v>
      </c>
      <c r="B557" s="111" t="s">
        <v>232</v>
      </c>
      <c r="C557" s="112" t="s">
        <v>449</v>
      </c>
      <c r="D557" s="113" t="s">
        <v>326</v>
      </c>
      <c r="E557" s="216" t="s">
        <v>14</v>
      </c>
      <c r="F557" s="216" t="s">
        <v>28</v>
      </c>
      <c r="G557" s="217">
        <v>12.2</v>
      </c>
      <c r="H557" s="218">
        <v>11.9</v>
      </c>
      <c r="I557" s="219">
        <v>25</v>
      </c>
      <c r="J557" s="220">
        <f t="shared" si="305"/>
        <v>3.6295000000000002</v>
      </c>
      <c r="K557" s="118"/>
      <c r="L557" s="219">
        <v>25</v>
      </c>
      <c r="M557" s="117">
        <f t="shared" si="306"/>
        <v>3.6295000000000002</v>
      </c>
      <c r="N557" s="119">
        <f t="shared" si="307"/>
        <v>0</v>
      </c>
      <c r="O557" s="120">
        <f t="shared" si="308"/>
        <v>0</v>
      </c>
      <c r="P557" s="111"/>
      <c r="Q557" s="111"/>
      <c r="R557" s="111"/>
    </row>
    <row r="558" spans="1:20" ht="15.6">
      <c r="A558" s="110" t="s">
        <v>448</v>
      </c>
      <c r="B558" s="111" t="s">
        <v>232</v>
      </c>
      <c r="C558" s="112" t="s">
        <v>449</v>
      </c>
      <c r="D558" s="113" t="s">
        <v>326</v>
      </c>
      <c r="E558" s="216" t="s">
        <v>14</v>
      </c>
      <c r="F558" s="216" t="s">
        <v>28</v>
      </c>
      <c r="G558" s="217">
        <v>12.2</v>
      </c>
      <c r="H558" s="218">
        <v>8</v>
      </c>
      <c r="I558" s="219">
        <v>9</v>
      </c>
      <c r="J558" s="220">
        <f t="shared" si="305"/>
        <v>0.87839999999999996</v>
      </c>
      <c r="K558" s="118"/>
      <c r="L558" s="219">
        <v>9</v>
      </c>
      <c r="M558" s="117">
        <f t="shared" si="306"/>
        <v>0.87839999999999996</v>
      </c>
      <c r="N558" s="119">
        <f>I558-L558</f>
        <v>0</v>
      </c>
      <c r="O558" s="120">
        <f>H558*N558*G558/1000</f>
        <v>0</v>
      </c>
      <c r="P558" s="111"/>
      <c r="Q558" s="111"/>
      <c r="R558" s="111"/>
    </row>
    <row r="559" spans="1:20" ht="15.6">
      <c r="A559" s="110" t="s">
        <v>448</v>
      </c>
      <c r="B559" s="111" t="s">
        <v>232</v>
      </c>
      <c r="C559" s="112" t="s">
        <v>449</v>
      </c>
      <c r="D559" s="113" t="s">
        <v>326</v>
      </c>
      <c r="E559" s="216" t="s">
        <v>14</v>
      </c>
      <c r="F559" s="216" t="s">
        <v>28</v>
      </c>
      <c r="G559" s="217">
        <v>12.2</v>
      </c>
      <c r="H559" s="218">
        <v>11.7</v>
      </c>
      <c r="I559" s="219">
        <v>1</v>
      </c>
      <c r="J559" s="220">
        <f t="shared" si="305"/>
        <v>0.14273999999999998</v>
      </c>
      <c r="K559" s="118"/>
      <c r="L559" s="219">
        <v>1</v>
      </c>
      <c r="M559" s="117">
        <f t="shared" si="306"/>
        <v>0.14273999999999998</v>
      </c>
      <c r="N559" s="119">
        <f>I559-L559</f>
        <v>0</v>
      </c>
      <c r="O559" s="120">
        <f>H559*N559*G559/1000</f>
        <v>0</v>
      </c>
      <c r="P559" s="111"/>
      <c r="Q559" s="91">
        <v>1</v>
      </c>
      <c r="R559" s="91" t="s">
        <v>542</v>
      </c>
    </row>
    <row r="560" spans="1:20">
      <c r="I560" s="215">
        <f>SUM(I548:I559)</f>
        <v>160</v>
      </c>
      <c r="J560" s="214">
        <f>SUM(J548:J559)</f>
        <v>19.144849999999998</v>
      </c>
      <c r="L560" s="215">
        <f>SUM(L548:L559)</f>
        <v>160</v>
      </c>
      <c r="M560" s="214">
        <f>SUM(M548:M559)</f>
        <v>19.144849999999998</v>
      </c>
      <c r="N560" s="78">
        <f>SUM(N548:N559)</f>
        <v>0</v>
      </c>
      <c r="O560" s="128">
        <f>SUM(O548:O559)</f>
        <v>0</v>
      </c>
      <c r="Q560" s="80">
        <f>SUM(Q548:Q559)</f>
        <v>5</v>
      </c>
    </row>
    <row r="562" spans="1:18" ht="15.6">
      <c r="A562" s="110" t="s">
        <v>554</v>
      </c>
      <c r="B562" s="111" t="s">
        <v>232</v>
      </c>
      <c r="C562" s="112" t="s">
        <v>449</v>
      </c>
      <c r="D562" s="113" t="s">
        <v>326</v>
      </c>
      <c r="E562" s="216" t="s">
        <v>14</v>
      </c>
      <c r="F562" s="216" t="s">
        <v>30</v>
      </c>
      <c r="G562" s="217">
        <v>9.26</v>
      </c>
      <c r="H562" s="218">
        <v>11</v>
      </c>
      <c r="I562" s="219">
        <v>30</v>
      </c>
      <c r="J562" s="220">
        <f t="shared" ref="J562" si="309">(G562*H562*I562/1000)</f>
        <v>3.0558000000000001</v>
      </c>
      <c r="K562" s="118"/>
      <c r="L562" s="219">
        <v>30</v>
      </c>
      <c r="M562" s="117">
        <f t="shared" ref="M562" si="310">H562*L562*G562/1000</f>
        <v>3.0557999999999996</v>
      </c>
      <c r="N562" s="119">
        <f t="shared" ref="N562" si="311">I562-L562</f>
        <v>0</v>
      </c>
      <c r="O562" s="120">
        <f t="shared" ref="O562" si="312">H562*N562*G562/1000</f>
        <v>0</v>
      </c>
      <c r="P562" s="130"/>
      <c r="Q562" s="111"/>
      <c r="R562" s="111"/>
    </row>
    <row r="563" spans="1:18" ht="15.6">
      <c r="A563" s="110" t="s">
        <v>554</v>
      </c>
      <c r="B563" s="111" t="s">
        <v>232</v>
      </c>
      <c r="C563" s="112" t="s">
        <v>449</v>
      </c>
      <c r="D563" s="113" t="s">
        <v>326</v>
      </c>
      <c r="E563" s="216" t="s">
        <v>14</v>
      </c>
      <c r="F563" s="216" t="s">
        <v>30</v>
      </c>
      <c r="G563" s="217">
        <v>9.26</v>
      </c>
      <c r="H563" s="218">
        <v>7.14</v>
      </c>
      <c r="I563" s="219">
        <v>33</v>
      </c>
      <c r="J563" s="220">
        <f t="shared" ref="J563:J577" si="313">(G563*H563*I563/1000)</f>
        <v>2.1818412</v>
      </c>
      <c r="K563" s="118"/>
      <c r="L563" s="219">
        <v>33</v>
      </c>
      <c r="M563" s="117">
        <f t="shared" ref="M563:M577" si="314">H563*L563*G563/1000</f>
        <v>2.1818412</v>
      </c>
      <c r="N563" s="119">
        <f t="shared" ref="N563:N577" si="315">I563-L563</f>
        <v>0</v>
      </c>
      <c r="O563" s="120">
        <f t="shared" ref="O563:O577" si="316">H563*N563*G563/1000</f>
        <v>0</v>
      </c>
      <c r="P563" s="130"/>
      <c r="Q563" s="111"/>
      <c r="R563" s="111"/>
    </row>
    <row r="564" spans="1:18" ht="15.6">
      <c r="A564" s="110" t="s">
        <v>554</v>
      </c>
      <c r="B564" s="111" t="s">
        <v>232</v>
      </c>
      <c r="C564" s="112" t="s">
        <v>449</v>
      </c>
      <c r="D564" s="113" t="s">
        <v>326</v>
      </c>
      <c r="E564" s="216" t="s">
        <v>14</v>
      </c>
      <c r="F564" s="216" t="s">
        <v>30</v>
      </c>
      <c r="G564" s="217">
        <v>9.26</v>
      </c>
      <c r="H564" s="218">
        <v>7.14</v>
      </c>
      <c r="I564" s="219">
        <v>35</v>
      </c>
      <c r="J564" s="220">
        <f t="shared" si="313"/>
        <v>2.3140740000000002</v>
      </c>
      <c r="K564" s="118"/>
      <c r="L564" s="219">
        <v>35</v>
      </c>
      <c r="M564" s="117">
        <f t="shared" si="314"/>
        <v>2.3140739999999997</v>
      </c>
      <c r="N564" s="119">
        <f t="shared" si="315"/>
        <v>0</v>
      </c>
      <c r="O564" s="120">
        <f t="shared" si="316"/>
        <v>0</v>
      </c>
      <c r="P564" s="130"/>
      <c r="Q564" s="111"/>
      <c r="R564" s="111"/>
    </row>
    <row r="565" spans="1:18" ht="15.6">
      <c r="A565" s="110" t="s">
        <v>554</v>
      </c>
      <c r="B565" s="111" t="s">
        <v>232</v>
      </c>
      <c r="C565" s="112" t="s">
        <v>449</v>
      </c>
      <c r="D565" s="113" t="s">
        <v>326</v>
      </c>
      <c r="E565" s="216" t="s">
        <v>14</v>
      </c>
      <c r="F565" s="216" t="s">
        <v>30</v>
      </c>
      <c r="G565" s="217">
        <v>9.26</v>
      </c>
      <c r="H565" s="218">
        <v>11</v>
      </c>
      <c r="I565" s="219">
        <v>30</v>
      </c>
      <c r="J565" s="220">
        <f t="shared" si="313"/>
        <v>3.0558000000000001</v>
      </c>
      <c r="K565" s="118"/>
      <c r="L565" s="219">
        <v>30</v>
      </c>
      <c r="M565" s="117">
        <f t="shared" si="314"/>
        <v>3.0557999999999996</v>
      </c>
      <c r="N565" s="119">
        <f t="shared" si="315"/>
        <v>0</v>
      </c>
      <c r="O565" s="120">
        <f t="shared" si="316"/>
        <v>0</v>
      </c>
      <c r="P565" s="130"/>
      <c r="Q565" s="111"/>
      <c r="R565" s="111"/>
    </row>
    <row r="566" spans="1:18" ht="15.6">
      <c r="A566" s="110" t="s">
        <v>554</v>
      </c>
      <c r="B566" s="111" t="s">
        <v>232</v>
      </c>
      <c r="C566" s="112" t="s">
        <v>449</v>
      </c>
      <c r="D566" s="113" t="s">
        <v>326</v>
      </c>
      <c r="E566" s="216" t="s">
        <v>14</v>
      </c>
      <c r="F566" s="216" t="s">
        <v>30</v>
      </c>
      <c r="G566" s="217">
        <v>9.26</v>
      </c>
      <c r="H566" s="218">
        <v>11.6</v>
      </c>
      <c r="I566" s="219">
        <v>30</v>
      </c>
      <c r="J566" s="220">
        <f t="shared" si="313"/>
        <v>3.22248</v>
      </c>
      <c r="K566" s="118"/>
      <c r="L566" s="219">
        <v>30</v>
      </c>
      <c r="M566" s="117">
        <f t="shared" si="314"/>
        <v>3.22248</v>
      </c>
      <c r="N566" s="119">
        <f t="shared" si="315"/>
        <v>0</v>
      </c>
      <c r="O566" s="120">
        <f t="shared" si="316"/>
        <v>0</v>
      </c>
      <c r="P566" s="130"/>
      <c r="Q566" s="111"/>
      <c r="R566" s="111"/>
    </row>
    <row r="567" spans="1:18" ht="15.6">
      <c r="A567" s="110" t="s">
        <v>554</v>
      </c>
      <c r="B567" s="111" t="s">
        <v>232</v>
      </c>
      <c r="C567" s="112" t="s">
        <v>449</v>
      </c>
      <c r="D567" s="113" t="s">
        <v>326</v>
      </c>
      <c r="E567" s="216" t="s">
        <v>14</v>
      </c>
      <c r="F567" s="216" t="s">
        <v>30</v>
      </c>
      <c r="G567" s="217">
        <v>9.26</v>
      </c>
      <c r="H567" s="218">
        <v>11</v>
      </c>
      <c r="I567" s="219">
        <v>30</v>
      </c>
      <c r="J567" s="220">
        <f t="shared" si="313"/>
        <v>3.0558000000000001</v>
      </c>
      <c r="K567" s="118"/>
      <c r="L567" s="219">
        <v>30</v>
      </c>
      <c r="M567" s="117">
        <f t="shared" si="314"/>
        <v>3.0557999999999996</v>
      </c>
      <c r="N567" s="119">
        <f t="shared" si="315"/>
        <v>0</v>
      </c>
      <c r="O567" s="120">
        <f t="shared" si="316"/>
        <v>0</v>
      </c>
      <c r="P567" s="130"/>
      <c r="Q567" s="111"/>
      <c r="R567" s="111"/>
    </row>
    <row r="568" spans="1:18" ht="15.6">
      <c r="A568" s="110" t="s">
        <v>554</v>
      </c>
      <c r="B568" s="111" t="s">
        <v>232</v>
      </c>
      <c r="C568" s="112" t="s">
        <v>449</v>
      </c>
      <c r="D568" s="113" t="s">
        <v>326</v>
      </c>
      <c r="E568" s="216" t="s">
        <v>14</v>
      </c>
      <c r="F568" s="216" t="s">
        <v>30</v>
      </c>
      <c r="G568" s="217">
        <v>9.26</v>
      </c>
      <c r="H568" s="218">
        <v>9.6</v>
      </c>
      <c r="I568" s="219">
        <v>30</v>
      </c>
      <c r="J568" s="220">
        <f t="shared" si="313"/>
        <v>2.6668799999999999</v>
      </c>
      <c r="K568" s="118"/>
      <c r="L568" s="219">
        <v>30</v>
      </c>
      <c r="M568" s="117">
        <f t="shared" si="314"/>
        <v>2.6668799999999999</v>
      </c>
      <c r="N568" s="119">
        <f t="shared" si="315"/>
        <v>0</v>
      </c>
      <c r="O568" s="120">
        <f t="shared" si="316"/>
        <v>0</v>
      </c>
      <c r="P568" s="130"/>
      <c r="Q568" s="111"/>
      <c r="R568" s="111"/>
    </row>
    <row r="569" spans="1:18" ht="15.6">
      <c r="A569" s="110" t="s">
        <v>554</v>
      </c>
      <c r="B569" s="111" t="s">
        <v>232</v>
      </c>
      <c r="C569" s="112" t="s">
        <v>449</v>
      </c>
      <c r="D569" s="113" t="s">
        <v>326</v>
      </c>
      <c r="E569" s="216" t="s">
        <v>14</v>
      </c>
      <c r="F569" s="216" t="s">
        <v>30</v>
      </c>
      <c r="G569" s="217">
        <v>9.26</v>
      </c>
      <c r="H569" s="218">
        <v>11</v>
      </c>
      <c r="I569" s="219">
        <v>30</v>
      </c>
      <c r="J569" s="220">
        <f t="shared" si="313"/>
        <v>3.0558000000000001</v>
      </c>
      <c r="K569" s="118"/>
      <c r="L569" s="219">
        <v>30</v>
      </c>
      <c r="M569" s="117">
        <f t="shared" si="314"/>
        <v>3.0557999999999996</v>
      </c>
      <c r="N569" s="119">
        <f t="shared" si="315"/>
        <v>0</v>
      </c>
      <c r="O569" s="120">
        <f t="shared" si="316"/>
        <v>0</v>
      </c>
      <c r="P569" s="130"/>
      <c r="Q569" s="111"/>
      <c r="R569" s="111"/>
    </row>
    <row r="570" spans="1:18" ht="15.6">
      <c r="A570" s="110" t="s">
        <v>554</v>
      </c>
      <c r="B570" s="111" t="s">
        <v>232</v>
      </c>
      <c r="C570" s="112" t="s">
        <v>449</v>
      </c>
      <c r="D570" s="113" t="s">
        <v>326</v>
      </c>
      <c r="E570" s="216" t="s">
        <v>14</v>
      </c>
      <c r="F570" s="216" t="s">
        <v>30</v>
      </c>
      <c r="G570" s="217">
        <v>9.26</v>
      </c>
      <c r="H570" s="218">
        <v>11</v>
      </c>
      <c r="I570" s="219">
        <v>30</v>
      </c>
      <c r="J570" s="220">
        <f t="shared" si="313"/>
        <v>3.0558000000000001</v>
      </c>
      <c r="K570" s="118"/>
      <c r="L570" s="219">
        <v>30</v>
      </c>
      <c r="M570" s="117">
        <f t="shared" si="314"/>
        <v>3.0557999999999996</v>
      </c>
      <c r="N570" s="119">
        <f t="shared" si="315"/>
        <v>0</v>
      </c>
      <c r="O570" s="120">
        <f t="shared" si="316"/>
        <v>0</v>
      </c>
      <c r="P570" s="130"/>
      <c r="Q570" s="111"/>
      <c r="R570" s="111"/>
    </row>
    <row r="571" spans="1:18" ht="15.6">
      <c r="A571" s="110" t="s">
        <v>554</v>
      </c>
      <c r="B571" s="111" t="s">
        <v>232</v>
      </c>
      <c r="C571" s="112" t="s">
        <v>449</v>
      </c>
      <c r="D571" s="113" t="s">
        <v>326</v>
      </c>
      <c r="E571" s="216" t="s">
        <v>14</v>
      </c>
      <c r="F571" s="216" t="s">
        <v>30</v>
      </c>
      <c r="G571" s="217">
        <v>9.26</v>
      </c>
      <c r="H571" s="218">
        <v>11.6</v>
      </c>
      <c r="I571" s="219">
        <v>4</v>
      </c>
      <c r="J571" s="220">
        <f t="shared" si="313"/>
        <v>0.42966399999999999</v>
      </c>
      <c r="K571" s="118"/>
      <c r="L571" s="219">
        <f>1+3</f>
        <v>4</v>
      </c>
      <c r="M571" s="117">
        <f t="shared" si="314"/>
        <v>0.42966399999999999</v>
      </c>
      <c r="N571" s="119">
        <f t="shared" si="315"/>
        <v>0</v>
      </c>
      <c r="O571" s="120">
        <f t="shared" si="316"/>
        <v>0</v>
      </c>
      <c r="P571" s="130">
        <v>11</v>
      </c>
      <c r="Q571" s="111">
        <v>3</v>
      </c>
      <c r="R571" s="111"/>
    </row>
    <row r="572" spans="1:18" ht="15.6">
      <c r="A572" s="110" t="s">
        <v>554</v>
      </c>
      <c r="B572" s="111" t="s">
        <v>232</v>
      </c>
      <c r="C572" s="112" t="s">
        <v>449</v>
      </c>
      <c r="D572" s="113" t="s">
        <v>326</v>
      </c>
      <c r="E572" s="216" t="s">
        <v>14</v>
      </c>
      <c r="F572" s="216" t="s">
        <v>30</v>
      </c>
      <c r="G572" s="217">
        <v>9.26</v>
      </c>
      <c r="H572" s="218">
        <v>10.5</v>
      </c>
      <c r="I572" s="219">
        <v>20</v>
      </c>
      <c r="J572" s="220">
        <f t="shared" si="313"/>
        <v>1.9446000000000001</v>
      </c>
      <c r="K572" s="118"/>
      <c r="L572" s="219">
        <v>20</v>
      </c>
      <c r="M572" s="117">
        <f t="shared" si="314"/>
        <v>1.9445999999999999</v>
      </c>
      <c r="N572" s="119">
        <f t="shared" si="315"/>
        <v>0</v>
      </c>
      <c r="O572" s="120">
        <f t="shared" si="316"/>
        <v>0</v>
      </c>
      <c r="P572" s="130"/>
      <c r="Q572" s="111"/>
      <c r="R572" s="111"/>
    </row>
    <row r="573" spans="1:18" ht="15.6">
      <c r="A573" s="110" t="s">
        <v>554</v>
      </c>
      <c r="B573" s="111" t="s">
        <v>232</v>
      </c>
      <c r="C573" s="112" t="s">
        <v>449</v>
      </c>
      <c r="D573" s="113" t="s">
        <v>326</v>
      </c>
      <c r="E573" s="216" t="s">
        <v>14</v>
      </c>
      <c r="F573" s="216" t="s">
        <v>30</v>
      </c>
      <c r="G573" s="217">
        <v>9.26</v>
      </c>
      <c r="H573" s="218">
        <v>7.14</v>
      </c>
      <c r="I573" s="219">
        <v>15</v>
      </c>
      <c r="J573" s="220">
        <f t="shared" si="313"/>
        <v>0.99174600000000002</v>
      </c>
      <c r="K573" s="118"/>
      <c r="L573" s="219">
        <v>15</v>
      </c>
      <c r="M573" s="117">
        <f t="shared" si="314"/>
        <v>0.99174600000000002</v>
      </c>
      <c r="N573" s="119">
        <f t="shared" si="315"/>
        <v>0</v>
      </c>
      <c r="O573" s="120">
        <f t="shared" si="316"/>
        <v>0</v>
      </c>
      <c r="P573" s="130"/>
      <c r="Q573" s="111"/>
      <c r="R573" s="111"/>
    </row>
    <row r="574" spans="1:18" ht="15.6">
      <c r="A574" s="110" t="s">
        <v>554</v>
      </c>
      <c r="B574" s="111" t="s">
        <v>232</v>
      </c>
      <c r="C574" s="112" t="s">
        <v>449</v>
      </c>
      <c r="D574" s="113" t="s">
        <v>326</v>
      </c>
      <c r="E574" s="216" t="s">
        <v>14</v>
      </c>
      <c r="F574" s="216" t="s">
        <v>30</v>
      </c>
      <c r="G574" s="217">
        <v>9.26</v>
      </c>
      <c r="H574" s="218">
        <v>9.6</v>
      </c>
      <c r="I574" s="219">
        <v>2</v>
      </c>
      <c r="J574" s="220">
        <f t="shared" si="313"/>
        <v>0.17779200000000001</v>
      </c>
      <c r="K574" s="118"/>
      <c r="L574" s="219">
        <v>2</v>
      </c>
      <c r="M574" s="117">
        <f t="shared" si="314"/>
        <v>0.17779200000000001</v>
      </c>
      <c r="N574" s="119">
        <f t="shared" si="315"/>
        <v>0</v>
      </c>
      <c r="O574" s="120">
        <f t="shared" si="316"/>
        <v>0</v>
      </c>
      <c r="P574" s="130"/>
      <c r="Q574" s="111"/>
      <c r="R574" s="111"/>
    </row>
    <row r="575" spans="1:18" ht="15.6">
      <c r="A575" s="110" t="s">
        <v>554</v>
      </c>
      <c r="B575" s="111" t="s">
        <v>232</v>
      </c>
      <c r="C575" s="112" t="s">
        <v>449</v>
      </c>
      <c r="D575" s="113" t="s">
        <v>326</v>
      </c>
      <c r="E575" s="216" t="s">
        <v>14</v>
      </c>
      <c r="F575" s="216" t="s">
        <v>30</v>
      </c>
      <c r="G575" s="217">
        <v>9.26</v>
      </c>
      <c r="H575" s="218">
        <v>9</v>
      </c>
      <c r="I575" s="219">
        <v>35</v>
      </c>
      <c r="J575" s="220">
        <f t="shared" si="313"/>
        <v>2.9169</v>
      </c>
      <c r="K575" s="118"/>
      <c r="L575" s="219">
        <v>35</v>
      </c>
      <c r="M575" s="117">
        <f t="shared" si="314"/>
        <v>2.9169</v>
      </c>
      <c r="N575" s="119">
        <f t="shared" si="315"/>
        <v>0</v>
      </c>
      <c r="O575" s="120">
        <f t="shared" si="316"/>
        <v>0</v>
      </c>
      <c r="P575" s="130"/>
      <c r="Q575" s="111"/>
      <c r="R575" s="111"/>
    </row>
    <row r="576" spans="1:18" ht="15.6">
      <c r="A576" s="110" t="s">
        <v>554</v>
      </c>
      <c r="B576" s="111" t="s">
        <v>232</v>
      </c>
      <c r="C576" s="112" t="s">
        <v>449</v>
      </c>
      <c r="D576" s="113" t="s">
        <v>326</v>
      </c>
      <c r="E576" s="216" t="s">
        <v>14</v>
      </c>
      <c r="F576" s="216" t="s">
        <v>30</v>
      </c>
      <c r="G576" s="217">
        <v>9.26</v>
      </c>
      <c r="H576" s="218">
        <v>9</v>
      </c>
      <c r="I576" s="219">
        <v>21</v>
      </c>
      <c r="J576" s="220">
        <f t="shared" si="313"/>
        <v>1.75014</v>
      </c>
      <c r="K576" s="118"/>
      <c r="L576" s="219">
        <v>21</v>
      </c>
      <c r="M576" s="117">
        <f t="shared" si="314"/>
        <v>1.7501399999999998</v>
      </c>
      <c r="N576" s="119">
        <f t="shared" si="315"/>
        <v>0</v>
      </c>
      <c r="O576" s="120">
        <f t="shared" si="316"/>
        <v>0</v>
      </c>
      <c r="P576" s="130"/>
      <c r="Q576" s="111"/>
      <c r="R576" s="111"/>
    </row>
    <row r="577" spans="1:18" ht="15.6">
      <c r="A577" s="110" t="s">
        <v>554</v>
      </c>
      <c r="B577" s="111" t="s">
        <v>232</v>
      </c>
      <c r="C577" s="112" t="s">
        <v>449</v>
      </c>
      <c r="D577" s="113" t="s">
        <v>326</v>
      </c>
      <c r="E577" s="216" t="s">
        <v>14</v>
      </c>
      <c r="F577" s="216" t="s">
        <v>30</v>
      </c>
      <c r="G577" s="217">
        <v>9.26</v>
      </c>
      <c r="H577" s="218">
        <v>6</v>
      </c>
      <c r="I577" s="219">
        <v>2</v>
      </c>
      <c r="J577" s="220">
        <f t="shared" si="313"/>
        <v>0.11112000000000001</v>
      </c>
      <c r="K577" s="118"/>
      <c r="L577" s="219">
        <v>2</v>
      </c>
      <c r="M577" s="117">
        <f t="shared" si="314"/>
        <v>0.11112000000000001</v>
      </c>
      <c r="N577" s="119">
        <f t="shared" si="315"/>
        <v>0</v>
      </c>
      <c r="O577" s="120">
        <f t="shared" si="316"/>
        <v>0</v>
      </c>
      <c r="P577" s="130"/>
      <c r="Q577" s="111"/>
      <c r="R577" s="111"/>
    </row>
    <row r="578" spans="1:18" ht="15.6">
      <c r="A578" s="110" t="s">
        <v>554</v>
      </c>
      <c r="B578" s="111" t="s">
        <v>232</v>
      </c>
      <c r="C578" s="112" t="s">
        <v>449</v>
      </c>
      <c r="D578" s="113" t="s">
        <v>326</v>
      </c>
      <c r="E578" s="216" t="s">
        <v>14</v>
      </c>
      <c r="F578" s="216" t="s">
        <v>30</v>
      </c>
      <c r="G578" s="217">
        <v>9.26</v>
      </c>
      <c r="H578" s="218">
        <v>7.1</v>
      </c>
      <c r="I578" s="219">
        <v>1</v>
      </c>
      <c r="J578" s="220">
        <f t="shared" ref="J578:J581" si="317">(G578*H578*I578/1000)</f>
        <v>6.5745999999999999E-2</v>
      </c>
      <c r="K578" s="118"/>
      <c r="L578" s="219">
        <v>1</v>
      </c>
      <c r="M578" s="117">
        <f t="shared" ref="M578:M581" si="318">H578*L578*G578/1000</f>
        <v>6.5745999999999999E-2</v>
      </c>
      <c r="N578" s="119">
        <f t="shared" ref="N578:N581" si="319">I578-L578</f>
        <v>0</v>
      </c>
      <c r="O578" s="120">
        <f t="shared" ref="O578:O581" si="320">H578*N578*G578/1000</f>
        <v>0</v>
      </c>
      <c r="P578" s="130"/>
      <c r="Q578" s="111"/>
      <c r="R578" s="111"/>
    </row>
    <row r="579" spans="1:18" ht="15.6">
      <c r="A579" s="110" t="s">
        <v>554</v>
      </c>
      <c r="B579" s="111" t="s">
        <v>232</v>
      </c>
      <c r="C579" s="112" t="s">
        <v>449</v>
      </c>
      <c r="D579" s="113" t="s">
        <v>326</v>
      </c>
      <c r="E579" s="216" t="s">
        <v>14</v>
      </c>
      <c r="F579" s="216" t="s">
        <v>30</v>
      </c>
      <c r="G579" s="217">
        <v>9.26</v>
      </c>
      <c r="H579" s="218">
        <v>10</v>
      </c>
      <c r="I579" s="219">
        <v>2</v>
      </c>
      <c r="J579" s="220">
        <f t="shared" si="317"/>
        <v>0.18519999999999998</v>
      </c>
      <c r="K579" s="118"/>
      <c r="L579" s="219">
        <v>2</v>
      </c>
      <c r="M579" s="117">
        <f t="shared" si="318"/>
        <v>0.18519999999999998</v>
      </c>
      <c r="N579" s="119">
        <f t="shared" si="319"/>
        <v>0</v>
      </c>
      <c r="O579" s="120">
        <f t="shared" si="320"/>
        <v>0</v>
      </c>
      <c r="P579" s="130">
        <v>9.15</v>
      </c>
      <c r="Q579" s="45">
        <v>2</v>
      </c>
      <c r="R579" s="111" t="s">
        <v>701</v>
      </c>
    </row>
    <row r="580" spans="1:18" ht="15.6">
      <c r="A580" s="110" t="s">
        <v>554</v>
      </c>
      <c r="B580" s="111" t="s">
        <v>232</v>
      </c>
      <c r="C580" s="112" t="s">
        <v>449</v>
      </c>
      <c r="D580" s="113" t="s">
        <v>326</v>
      </c>
      <c r="E580" s="216" t="s">
        <v>14</v>
      </c>
      <c r="F580" s="216" t="s">
        <v>30</v>
      </c>
      <c r="G580" s="217">
        <v>9.26</v>
      </c>
      <c r="H580" s="218">
        <v>8.6999999999999993</v>
      </c>
      <c r="I580" s="219">
        <v>1</v>
      </c>
      <c r="J580" s="220">
        <f t="shared" si="317"/>
        <v>8.0561999999999995E-2</v>
      </c>
      <c r="K580" s="118"/>
      <c r="L580" s="219">
        <v>1</v>
      </c>
      <c r="M580" s="117">
        <f t="shared" si="318"/>
        <v>8.0561999999999995E-2</v>
      </c>
      <c r="N580" s="119">
        <f t="shared" si="319"/>
        <v>0</v>
      </c>
      <c r="O580" s="120">
        <f t="shared" si="320"/>
        <v>0</v>
      </c>
      <c r="P580" s="130">
        <v>6.5</v>
      </c>
      <c r="Q580" s="45">
        <v>1</v>
      </c>
      <c r="R580" s="111" t="s">
        <v>701</v>
      </c>
    </row>
    <row r="581" spans="1:18" ht="15.6">
      <c r="A581" s="110" t="s">
        <v>554</v>
      </c>
      <c r="B581" s="111" t="s">
        <v>232</v>
      </c>
      <c r="C581" s="112" t="s">
        <v>449</v>
      </c>
      <c r="D581" s="113" t="s">
        <v>326</v>
      </c>
      <c r="E581" s="216" t="s">
        <v>14</v>
      </c>
      <c r="F581" s="216" t="s">
        <v>30</v>
      </c>
      <c r="G581" s="217">
        <v>9.26</v>
      </c>
      <c r="H581" s="218">
        <v>11</v>
      </c>
      <c r="I581" s="219">
        <v>1</v>
      </c>
      <c r="J581" s="220">
        <f t="shared" si="317"/>
        <v>0.10186000000000001</v>
      </c>
      <c r="K581" s="118"/>
      <c r="L581" s="219">
        <v>1</v>
      </c>
      <c r="M581" s="117">
        <f t="shared" si="318"/>
        <v>0.10186000000000001</v>
      </c>
      <c r="N581" s="119">
        <f t="shared" si="319"/>
        <v>0</v>
      </c>
      <c r="O581" s="120">
        <f t="shared" si="320"/>
        <v>0</v>
      </c>
      <c r="P581" s="130"/>
      <c r="Q581" s="111"/>
      <c r="R581" s="111"/>
    </row>
    <row r="582" spans="1:18" ht="15.6">
      <c r="A582" s="110" t="s">
        <v>554</v>
      </c>
      <c r="B582" s="111" t="s">
        <v>232</v>
      </c>
      <c r="C582" s="112" t="s">
        <v>449</v>
      </c>
      <c r="D582" s="113" t="s">
        <v>326</v>
      </c>
      <c r="E582" s="216" t="s">
        <v>14</v>
      </c>
      <c r="F582" s="216" t="s">
        <v>30</v>
      </c>
      <c r="G582" s="217">
        <v>9.26</v>
      </c>
      <c r="H582" s="218">
        <v>11</v>
      </c>
      <c r="I582" s="219">
        <v>30</v>
      </c>
      <c r="J582" s="220">
        <f t="shared" ref="J582:J602" si="321">(G582*H582*I582/1000)</f>
        <v>3.0558000000000001</v>
      </c>
      <c r="K582" s="118"/>
      <c r="L582" s="219">
        <v>30</v>
      </c>
      <c r="M582" s="117">
        <f t="shared" ref="M582:M602" si="322">H582*L582*G582/1000</f>
        <v>3.0557999999999996</v>
      </c>
      <c r="N582" s="119">
        <f t="shared" ref="N582:N602" si="323">I582-L582</f>
        <v>0</v>
      </c>
      <c r="O582" s="120">
        <f t="shared" ref="O582:O602" si="324">H582*N582*G582/1000</f>
        <v>0</v>
      </c>
      <c r="P582" s="130"/>
      <c r="Q582" s="111"/>
      <c r="R582" s="111"/>
    </row>
    <row r="583" spans="1:18" ht="15.6">
      <c r="A583" s="110" t="s">
        <v>554</v>
      </c>
      <c r="B583" s="111" t="s">
        <v>232</v>
      </c>
      <c r="C583" s="112" t="s">
        <v>449</v>
      </c>
      <c r="D583" s="113" t="s">
        <v>326</v>
      </c>
      <c r="E583" s="216" t="s">
        <v>14</v>
      </c>
      <c r="F583" s="216" t="s">
        <v>30</v>
      </c>
      <c r="G583" s="217">
        <v>9.26</v>
      </c>
      <c r="H583" s="218">
        <v>11</v>
      </c>
      <c r="I583" s="219">
        <v>30</v>
      </c>
      <c r="J583" s="220">
        <f t="shared" si="321"/>
        <v>3.0558000000000001</v>
      </c>
      <c r="K583" s="118"/>
      <c r="L583" s="219">
        <v>30</v>
      </c>
      <c r="M583" s="117">
        <f t="shared" si="322"/>
        <v>3.0557999999999996</v>
      </c>
      <c r="N583" s="119">
        <f t="shared" si="323"/>
        <v>0</v>
      </c>
      <c r="O583" s="120">
        <f t="shared" si="324"/>
        <v>0</v>
      </c>
      <c r="P583" s="130"/>
      <c r="Q583" s="111"/>
      <c r="R583" s="111"/>
    </row>
    <row r="584" spans="1:18" ht="15.6">
      <c r="A584" s="110" t="s">
        <v>554</v>
      </c>
      <c r="B584" s="111" t="s">
        <v>232</v>
      </c>
      <c r="C584" s="112" t="s">
        <v>449</v>
      </c>
      <c r="D584" s="113" t="s">
        <v>326</v>
      </c>
      <c r="E584" s="216" t="s">
        <v>14</v>
      </c>
      <c r="F584" s="216" t="s">
        <v>30</v>
      </c>
      <c r="G584" s="217">
        <v>9.26</v>
      </c>
      <c r="H584" s="218">
        <v>11.6</v>
      </c>
      <c r="I584" s="219">
        <v>30</v>
      </c>
      <c r="J584" s="220">
        <f t="shared" si="321"/>
        <v>3.22248</v>
      </c>
      <c r="K584" s="118"/>
      <c r="L584" s="219">
        <v>30</v>
      </c>
      <c r="M584" s="117">
        <f t="shared" si="322"/>
        <v>3.22248</v>
      </c>
      <c r="N584" s="119">
        <f t="shared" si="323"/>
        <v>0</v>
      </c>
      <c r="O584" s="120">
        <f t="shared" si="324"/>
        <v>0</v>
      </c>
      <c r="P584" s="130"/>
      <c r="Q584" s="111"/>
      <c r="R584" s="111"/>
    </row>
    <row r="585" spans="1:18" ht="15.6">
      <c r="A585" s="110" t="s">
        <v>554</v>
      </c>
      <c r="B585" s="111" t="s">
        <v>232</v>
      </c>
      <c r="C585" s="112" t="s">
        <v>449</v>
      </c>
      <c r="D585" s="113" t="s">
        <v>326</v>
      </c>
      <c r="E585" s="216" t="s">
        <v>14</v>
      </c>
      <c r="F585" s="216" t="s">
        <v>30</v>
      </c>
      <c r="G585" s="217">
        <v>9.26</v>
      </c>
      <c r="H585" s="218">
        <v>7.14</v>
      </c>
      <c r="I585" s="219">
        <v>30</v>
      </c>
      <c r="J585" s="220">
        <f t="shared" si="321"/>
        <v>1.983492</v>
      </c>
      <c r="K585" s="118"/>
      <c r="L585" s="219">
        <v>30</v>
      </c>
      <c r="M585" s="117">
        <f t="shared" si="322"/>
        <v>1.983492</v>
      </c>
      <c r="N585" s="119">
        <f t="shared" si="323"/>
        <v>0</v>
      </c>
      <c r="O585" s="120">
        <f t="shared" si="324"/>
        <v>0</v>
      </c>
      <c r="P585" s="130"/>
      <c r="Q585" s="111"/>
      <c r="R585" s="111"/>
    </row>
    <row r="586" spans="1:18" ht="15.6">
      <c r="A586" s="110" t="s">
        <v>554</v>
      </c>
      <c r="B586" s="111" t="s">
        <v>232</v>
      </c>
      <c r="C586" s="112" t="s">
        <v>449</v>
      </c>
      <c r="D586" s="113" t="s">
        <v>326</v>
      </c>
      <c r="E586" s="216" t="s">
        <v>14</v>
      </c>
      <c r="F586" s="216" t="s">
        <v>30</v>
      </c>
      <c r="G586" s="217">
        <v>9.26</v>
      </c>
      <c r="H586" s="218">
        <v>11</v>
      </c>
      <c r="I586" s="219">
        <v>30</v>
      </c>
      <c r="J586" s="220">
        <f t="shared" si="321"/>
        <v>3.0558000000000001</v>
      </c>
      <c r="K586" s="118"/>
      <c r="L586" s="219">
        <v>30</v>
      </c>
      <c r="M586" s="117">
        <f t="shared" si="322"/>
        <v>3.0557999999999996</v>
      </c>
      <c r="N586" s="119">
        <f t="shared" si="323"/>
        <v>0</v>
      </c>
      <c r="O586" s="120">
        <f t="shared" si="324"/>
        <v>0</v>
      </c>
      <c r="P586" s="130"/>
      <c r="Q586" s="111"/>
      <c r="R586" s="111"/>
    </row>
    <row r="587" spans="1:18" ht="15.6">
      <c r="A587" s="110" t="s">
        <v>554</v>
      </c>
      <c r="B587" s="111" t="s">
        <v>232</v>
      </c>
      <c r="C587" s="112" t="s">
        <v>449</v>
      </c>
      <c r="D587" s="113" t="s">
        <v>326</v>
      </c>
      <c r="E587" s="216" t="s">
        <v>14</v>
      </c>
      <c r="F587" s="216" t="s">
        <v>30</v>
      </c>
      <c r="G587" s="217">
        <v>9.26</v>
      </c>
      <c r="H587" s="218">
        <v>7.14</v>
      </c>
      <c r="I587" s="219">
        <v>30</v>
      </c>
      <c r="J587" s="220">
        <f t="shared" si="321"/>
        <v>1.983492</v>
      </c>
      <c r="K587" s="118"/>
      <c r="L587" s="219">
        <f>27+3</f>
        <v>30</v>
      </c>
      <c r="M587" s="117">
        <f t="shared" si="322"/>
        <v>1.983492</v>
      </c>
      <c r="N587" s="119">
        <f t="shared" si="323"/>
        <v>0</v>
      </c>
      <c r="O587" s="120">
        <f t="shared" si="324"/>
        <v>0</v>
      </c>
      <c r="P587" s="130">
        <v>6.5</v>
      </c>
      <c r="Q587" s="45">
        <v>3</v>
      </c>
      <c r="R587" s="111" t="s">
        <v>701</v>
      </c>
    </row>
    <row r="588" spans="1:18" ht="15.6">
      <c r="A588" s="110" t="s">
        <v>554</v>
      </c>
      <c r="B588" s="111" t="s">
        <v>232</v>
      </c>
      <c r="C588" s="112" t="s">
        <v>449</v>
      </c>
      <c r="D588" s="113" t="s">
        <v>326</v>
      </c>
      <c r="E588" s="216" t="s">
        <v>14</v>
      </c>
      <c r="F588" s="216" t="s">
        <v>30</v>
      </c>
      <c r="G588" s="217">
        <v>9.26</v>
      </c>
      <c r="H588" s="218">
        <v>11</v>
      </c>
      <c r="I588" s="219">
        <v>30</v>
      </c>
      <c r="J588" s="220">
        <f t="shared" si="321"/>
        <v>3.0558000000000001</v>
      </c>
      <c r="K588" s="118"/>
      <c r="L588" s="219">
        <v>30</v>
      </c>
      <c r="M588" s="117">
        <f t="shared" si="322"/>
        <v>3.0557999999999996</v>
      </c>
      <c r="N588" s="119">
        <f t="shared" si="323"/>
        <v>0</v>
      </c>
      <c r="O588" s="120">
        <f t="shared" si="324"/>
        <v>0</v>
      </c>
      <c r="P588" s="130"/>
      <c r="Q588" s="111"/>
      <c r="R588" s="111"/>
    </row>
    <row r="589" spans="1:18" ht="15.6">
      <c r="A589" s="110" t="s">
        <v>554</v>
      </c>
      <c r="B589" s="111" t="s">
        <v>232</v>
      </c>
      <c r="C589" s="112" t="s">
        <v>449</v>
      </c>
      <c r="D589" s="113" t="s">
        <v>326</v>
      </c>
      <c r="E589" s="216" t="s">
        <v>14</v>
      </c>
      <c r="F589" s="216" t="s">
        <v>30</v>
      </c>
      <c r="G589" s="217">
        <v>9.26</v>
      </c>
      <c r="H589" s="218">
        <v>11</v>
      </c>
      <c r="I589" s="219">
        <v>30</v>
      </c>
      <c r="J589" s="220">
        <f t="shared" si="321"/>
        <v>3.0558000000000001</v>
      </c>
      <c r="K589" s="118"/>
      <c r="L589" s="219">
        <v>30</v>
      </c>
      <c r="M589" s="117">
        <f t="shared" si="322"/>
        <v>3.0557999999999996</v>
      </c>
      <c r="N589" s="119">
        <f t="shared" si="323"/>
        <v>0</v>
      </c>
      <c r="O589" s="120">
        <f t="shared" si="324"/>
        <v>0</v>
      </c>
      <c r="P589" s="130"/>
      <c r="Q589" s="111"/>
      <c r="R589" s="111"/>
    </row>
    <row r="590" spans="1:18" ht="15.6">
      <c r="A590" s="110" t="s">
        <v>554</v>
      </c>
      <c r="B590" s="111" t="s">
        <v>232</v>
      </c>
      <c r="C590" s="112" t="s">
        <v>449</v>
      </c>
      <c r="D590" s="113" t="s">
        <v>326</v>
      </c>
      <c r="E590" s="216" t="s">
        <v>14</v>
      </c>
      <c r="F590" s="216" t="s">
        <v>30</v>
      </c>
      <c r="G590" s="217">
        <v>9.26</v>
      </c>
      <c r="H590" s="218">
        <v>11</v>
      </c>
      <c r="I590" s="219">
        <v>30</v>
      </c>
      <c r="J590" s="220">
        <f t="shared" si="321"/>
        <v>3.0558000000000001</v>
      </c>
      <c r="K590" s="118"/>
      <c r="L590" s="219">
        <v>30</v>
      </c>
      <c r="M590" s="117">
        <f t="shared" si="322"/>
        <v>3.0557999999999996</v>
      </c>
      <c r="N590" s="119">
        <f t="shared" si="323"/>
        <v>0</v>
      </c>
      <c r="O590" s="120">
        <f t="shared" si="324"/>
        <v>0</v>
      </c>
      <c r="P590" s="130"/>
      <c r="Q590" s="111"/>
      <c r="R590" s="111"/>
    </row>
    <row r="591" spans="1:18" ht="15.6">
      <c r="A591" s="110" t="s">
        <v>554</v>
      </c>
      <c r="B591" s="111" t="s">
        <v>232</v>
      </c>
      <c r="C591" s="112" t="s">
        <v>449</v>
      </c>
      <c r="D591" s="113" t="s">
        <v>326</v>
      </c>
      <c r="E591" s="216" t="s">
        <v>14</v>
      </c>
      <c r="F591" s="216" t="s">
        <v>30</v>
      </c>
      <c r="G591" s="217">
        <v>9.26</v>
      </c>
      <c r="H591" s="218">
        <v>11</v>
      </c>
      <c r="I591" s="219">
        <v>30</v>
      </c>
      <c r="J591" s="220">
        <f t="shared" si="321"/>
        <v>3.0558000000000001</v>
      </c>
      <c r="K591" s="118"/>
      <c r="L591" s="219">
        <v>30</v>
      </c>
      <c r="M591" s="117">
        <f t="shared" si="322"/>
        <v>3.0557999999999996</v>
      </c>
      <c r="N591" s="119">
        <f t="shared" si="323"/>
        <v>0</v>
      </c>
      <c r="O591" s="120">
        <f t="shared" si="324"/>
        <v>0</v>
      </c>
      <c r="P591" s="130"/>
      <c r="Q591" s="111"/>
      <c r="R591" s="111"/>
    </row>
    <row r="592" spans="1:18" ht="15.6">
      <c r="A592" s="110" t="s">
        <v>554</v>
      </c>
      <c r="B592" s="111" t="s">
        <v>232</v>
      </c>
      <c r="C592" s="112" t="s">
        <v>449</v>
      </c>
      <c r="D592" s="113" t="s">
        <v>326</v>
      </c>
      <c r="E592" s="216" t="s">
        <v>14</v>
      </c>
      <c r="F592" s="216" t="s">
        <v>30</v>
      </c>
      <c r="G592" s="217">
        <v>9.26</v>
      </c>
      <c r="H592" s="218">
        <v>11.6</v>
      </c>
      <c r="I592" s="219">
        <v>16</v>
      </c>
      <c r="J592" s="220">
        <f t="shared" si="321"/>
        <v>1.718656</v>
      </c>
      <c r="K592" s="118"/>
      <c r="L592" s="219">
        <f>5+8+3</f>
        <v>16</v>
      </c>
      <c r="M592" s="117">
        <f t="shared" si="322"/>
        <v>1.718656</v>
      </c>
      <c r="N592" s="119">
        <f t="shared" si="323"/>
        <v>0</v>
      </c>
      <c r="O592" s="120">
        <f t="shared" si="324"/>
        <v>0</v>
      </c>
      <c r="P592" s="130">
        <v>9.15</v>
      </c>
      <c r="Q592" s="45">
        <v>3</v>
      </c>
      <c r="R592" s="111" t="s">
        <v>701</v>
      </c>
    </row>
    <row r="593" spans="1:18" ht="15.6">
      <c r="A593" s="110" t="s">
        <v>554</v>
      </c>
      <c r="B593" s="111" t="s">
        <v>232</v>
      </c>
      <c r="C593" s="112" t="s">
        <v>449</v>
      </c>
      <c r="D593" s="113" t="s">
        <v>326</v>
      </c>
      <c r="E593" s="216" t="s">
        <v>14</v>
      </c>
      <c r="F593" s="216" t="s">
        <v>30</v>
      </c>
      <c r="G593" s="217">
        <v>9.26</v>
      </c>
      <c r="H593" s="218">
        <v>11</v>
      </c>
      <c r="I593" s="219">
        <v>26</v>
      </c>
      <c r="J593" s="220">
        <f t="shared" si="321"/>
        <v>2.6483600000000003</v>
      </c>
      <c r="K593" s="118"/>
      <c r="L593" s="219">
        <v>26</v>
      </c>
      <c r="M593" s="117">
        <f t="shared" si="322"/>
        <v>2.6483600000000003</v>
      </c>
      <c r="N593" s="119">
        <f t="shared" si="323"/>
        <v>0</v>
      </c>
      <c r="O593" s="120">
        <f t="shared" si="324"/>
        <v>0</v>
      </c>
      <c r="P593" s="130"/>
      <c r="Q593" s="111"/>
      <c r="R593" s="111"/>
    </row>
    <row r="594" spans="1:18" ht="15.6">
      <c r="A594" s="110" t="s">
        <v>554</v>
      </c>
      <c r="B594" s="111" t="s">
        <v>232</v>
      </c>
      <c r="C594" s="112" t="s">
        <v>449</v>
      </c>
      <c r="D594" s="113" t="s">
        <v>326</v>
      </c>
      <c r="E594" s="216" t="s">
        <v>14</v>
      </c>
      <c r="F594" s="216" t="s">
        <v>30</v>
      </c>
      <c r="G594" s="217">
        <v>9.26</v>
      </c>
      <c r="H594" s="218">
        <v>10.5</v>
      </c>
      <c r="I594" s="219">
        <v>18</v>
      </c>
      <c r="J594" s="220">
        <f t="shared" si="321"/>
        <v>1.75014</v>
      </c>
      <c r="K594" s="118"/>
      <c r="L594" s="219">
        <f>12+6</f>
        <v>18</v>
      </c>
      <c r="M594" s="117">
        <f t="shared" si="322"/>
        <v>1.7501399999999998</v>
      </c>
      <c r="N594" s="119">
        <f t="shared" si="323"/>
        <v>0</v>
      </c>
      <c r="O594" s="120">
        <f t="shared" si="324"/>
        <v>0</v>
      </c>
      <c r="P594" s="130">
        <v>9.15</v>
      </c>
      <c r="Q594" s="45">
        <v>6</v>
      </c>
      <c r="R594" s="111" t="s">
        <v>701</v>
      </c>
    </row>
    <row r="595" spans="1:18" ht="15.6">
      <c r="A595" s="110" t="s">
        <v>554</v>
      </c>
      <c r="B595" s="111" t="s">
        <v>232</v>
      </c>
      <c r="C595" s="112" t="s">
        <v>449</v>
      </c>
      <c r="D595" s="113" t="s">
        <v>326</v>
      </c>
      <c r="E595" s="216" t="s">
        <v>14</v>
      </c>
      <c r="F595" s="216" t="s">
        <v>30</v>
      </c>
      <c r="G595" s="217">
        <v>9.26</v>
      </c>
      <c r="H595" s="218">
        <v>7.14</v>
      </c>
      <c r="I595" s="219">
        <v>1</v>
      </c>
      <c r="J595" s="220">
        <f t="shared" si="321"/>
        <v>6.6116399999999992E-2</v>
      </c>
      <c r="K595" s="118"/>
      <c r="L595" s="219">
        <v>1</v>
      </c>
      <c r="M595" s="117">
        <f t="shared" si="322"/>
        <v>6.6116399999999992E-2</v>
      </c>
      <c r="N595" s="119">
        <f t="shared" si="323"/>
        <v>0</v>
      </c>
      <c r="O595" s="120">
        <f t="shared" si="324"/>
        <v>0</v>
      </c>
      <c r="P595" s="130">
        <v>6.5</v>
      </c>
      <c r="Q595" s="45">
        <v>1</v>
      </c>
      <c r="R595" s="111" t="s">
        <v>701</v>
      </c>
    </row>
    <row r="596" spans="1:18" ht="15.6">
      <c r="A596" s="110" t="s">
        <v>554</v>
      </c>
      <c r="B596" s="111" t="s">
        <v>232</v>
      </c>
      <c r="C596" s="112" t="s">
        <v>449</v>
      </c>
      <c r="D596" s="113" t="s">
        <v>326</v>
      </c>
      <c r="E596" s="216" t="s">
        <v>14</v>
      </c>
      <c r="F596" s="216" t="s">
        <v>30</v>
      </c>
      <c r="G596" s="217">
        <v>9.26</v>
      </c>
      <c r="H596" s="218">
        <v>9.6</v>
      </c>
      <c r="I596" s="219">
        <v>23</v>
      </c>
      <c r="J596" s="220">
        <f t="shared" si="321"/>
        <v>2.0446079999999998</v>
      </c>
      <c r="K596" s="118"/>
      <c r="L596" s="219">
        <v>23</v>
      </c>
      <c r="M596" s="117">
        <f t="shared" si="322"/>
        <v>2.0446079999999998</v>
      </c>
      <c r="N596" s="119">
        <f t="shared" si="323"/>
        <v>0</v>
      </c>
      <c r="O596" s="120">
        <f t="shared" si="324"/>
        <v>0</v>
      </c>
      <c r="P596" s="130"/>
      <c r="Q596" s="111"/>
      <c r="R596" s="111"/>
    </row>
    <row r="597" spans="1:18" ht="15.6">
      <c r="A597" s="110" t="s">
        <v>554</v>
      </c>
      <c r="B597" s="111" t="s">
        <v>232</v>
      </c>
      <c r="C597" s="112" t="s">
        <v>449</v>
      </c>
      <c r="D597" s="113" t="s">
        <v>326</v>
      </c>
      <c r="E597" s="216" t="s">
        <v>14</v>
      </c>
      <c r="F597" s="216" t="s">
        <v>30</v>
      </c>
      <c r="G597" s="217">
        <v>9.26</v>
      </c>
      <c r="H597" s="218">
        <v>9</v>
      </c>
      <c r="I597" s="219">
        <v>21</v>
      </c>
      <c r="J597" s="220">
        <f t="shared" si="321"/>
        <v>1.75014</v>
      </c>
      <c r="K597" s="118"/>
      <c r="L597" s="219">
        <f>14+7</f>
        <v>21</v>
      </c>
      <c r="M597" s="117">
        <f t="shared" si="322"/>
        <v>1.7501399999999998</v>
      </c>
      <c r="N597" s="119">
        <f t="shared" si="323"/>
        <v>0</v>
      </c>
      <c r="O597" s="120">
        <f t="shared" si="324"/>
        <v>0</v>
      </c>
      <c r="P597" s="130">
        <v>6.5</v>
      </c>
      <c r="Q597" s="45">
        <v>7</v>
      </c>
      <c r="R597" s="111" t="s">
        <v>701</v>
      </c>
    </row>
    <row r="598" spans="1:18" ht="15.6">
      <c r="A598" s="110" t="s">
        <v>554</v>
      </c>
      <c r="B598" s="111" t="s">
        <v>232</v>
      </c>
      <c r="C598" s="112" t="s">
        <v>449</v>
      </c>
      <c r="D598" s="113" t="s">
        <v>326</v>
      </c>
      <c r="E598" s="216" t="s">
        <v>14</v>
      </c>
      <c r="F598" s="216" t="s">
        <v>30</v>
      </c>
      <c r="G598" s="217">
        <v>9.26</v>
      </c>
      <c r="H598" s="218">
        <v>6.75</v>
      </c>
      <c r="I598" s="219">
        <v>1</v>
      </c>
      <c r="J598" s="220">
        <f t="shared" si="321"/>
        <v>6.2504999999999991E-2</v>
      </c>
      <c r="K598" s="118"/>
      <c r="L598" s="219">
        <v>1</v>
      </c>
      <c r="M598" s="117">
        <f t="shared" si="322"/>
        <v>6.2504999999999991E-2</v>
      </c>
      <c r="N598" s="119">
        <f t="shared" si="323"/>
        <v>0</v>
      </c>
      <c r="O598" s="120">
        <f t="shared" si="324"/>
        <v>0</v>
      </c>
      <c r="P598" s="130">
        <v>6</v>
      </c>
      <c r="Q598" s="111">
        <v>1</v>
      </c>
      <c r="R598" s="111"/>
    </row>
    <row r="599" spans="1:18" ht="15.6">
      <c r="A599" s="110" t="s">
        <v>554</v>
      </c>
      <c r="B599" s="111" t="s">
        <v>232</v>
      </c>
      <c r="C599" s="112" t="s">
        <v>449</v>
      </c>
      <c r="D599" s="113" t="s">
        <v>326</v>
      </c>
      <c r="E599" s="216" t="s">
        <v>14</v>
      </c>
      <c r="F599" s="216" t="s">
        <v>30</v>
      </c>
      <c r="G599" s="217">
        <v>9.26</v>
      </c>
      <c r="H599" s="218">
        <v>7.1</v>
      </c>
      <c r="I599" s="219">
        <v>1</v>
      </c>
      <c r="J599" s="220">
        <f t="shared" si="321"/>
        <v>6.5745999999999999E-2</v>
      </c>
      <c r="K599" s="118"/>
      <c r="L599" s="219">
        <v>1</v>
      </c>
      <c r="M599" s="117">
        <f t="shared" si="322"/>
        <v>6.5745999999999999E-2</v>
      </c>
      <c r="N599" s="119">
        <f t="shared" si="323"/>
        <v>0</v>
      </c>
      <c r="O599" s="120">
        <f t="shared" si="324"/>
        <v>0</v>
      </c>
      <c r="P599" s="130">
        <v>6</v>
      </c>
      <c r="Q599" s="111">
        <v>1</v>
      </c>
      <c r="R599" s="111"/>
    </row>
    <row r="600" spans="1:18" ht="15.6">
      <c r="A600" s="110" t="s">
        <v>554</v>
      </c>
      <c r="B600" s="111" t="s">
        <v>232</v>
      </c>
      <c r="C600" s="112" t="s">
        <v>449</v>
      </c>
      <c r="D600" s="113" t="s">
        <v>326</v>
      </c>
      <c r="E600" s="216" t="s">
        <v>14</v>
      </c>
      <c r="F600" s="216" t="s">
        <v>30</v>
      </c>
      <c r="G600" s="217">
        <v>9.26</v>
      </c>
      <c r="H600" s="218">
        <v>8.1</v>
      </c>
      <c r="I600" s="219">
        <v>1</v>
      </c>
      <c r="J600" s="220">
        <f t="shared" si="321"/>
        <v>7.5006000000000003E-2</v>
      </c>
      <c r="K600" s="118"/>
      <c r="L600" s="219">
        <v>1</v>
      </c>
      <c r="M600" s="117">
        <f t="shared" si="322"/>
        <v>7.5006000000000003E-2</v>
      </c>
      <c r="N600" s="119">
        <f t="shared" si="323"/>
        <v>0</v>
      </c>
      <c r="O600" s="120">
        <f t="shared" si="324"/>
        <v>0</v>
      </c>
      <c r="P600" s="130">
        <v>6.5</v>
      </c>
      <c r="Q600" s="111">
        <v>1</v>
      </c>
      <c r="R600" s="111" t="s">
        <v>701</v>
      </c>
    </row>
    <row r="601" spans="1:18" ht="15.6">
      <c r="A601" s="110" t="s">
        <v>554</v>
      </c>
      <c r="B601" s="111" t="s">
        <v>232</v>
      </c>
      <c r="C601" s="112" t="s">
        <v>449</v>
      </c>
      <c r="D601" s="113" t="s">
        <v>326</v>
      </c>
      <c r="E601" s="216" t="s">
        <v>14</v>
      </c>
      <c r="F601" s="216" t="s">
        <v>30</v>
      </c>
      <c r="G601" s="217">
        <v>9.26</v>
      </c>
      <c r="H601" s="218">
        <v>8.75</v>
      </c>
      <c r="I601" s="219">
        <v>1</v>
      </c>
      <c r="J601" s="220">
        <f t="shared" si="321"/>
        <v>8.1024999999999986E-2</v>
      </c>
      <c r="K601" s="118"/>
      <c r="L601" s="219">
        <v>1</v>
      </c>
      <c r="M601" s="117">
        <f t="shared" si="322"/>
        <v>8.1024999999999986E-2</v>
      </c>
      <c r="N601" s="119">
        <f t="shared" si="323"/>
        <v>0</v>
      </c>
      <c r="O601" s="120">
        <f t="shared" si="324"/>
        <v>0</v>
      </c>
      <c r="P601" s="130">
        <v>6.5</v>
      </c>
      <c r="Q601" s="111">
        <v>1</v>
      </c>
      <c r="R601" s="111" t="s">
        <v>701</v>
      </c>
    </row>
    <row r="602" spans="1:18" ht="15.6">
      <c r="A602" s="110" t="s">
        <v>554</v>
      </c>
      <c r="B602" s="111" t="s">
        <v>232</v>
      </c>
      <c r="C602" s="112" t="s">
        <v>449</v>
      </c>
      <c r="D602" s="113" t="s">
        <v>326</v>
      </c>
      <c r="E602" s="216" t="s">
        <v>14</v>
      </c>
      <c r="F602" s="216" t="s">
        <v>30</v>
      </c>
      <c r="G602" s="217">
        <v>9.26</v>
      </c>
      <c r="H602" s="418">
        <v>11</v>
      </c>
      <c r="I602" s="419">
        <v>1</v>
      </c>
      <c r="J602" s="420">
        <f t="shared" si="321"/>
        <v>0.10186000000000001</v>
      </c>
      <c r="K602" s="183" t="s">
        <v>26</v>
      </c>
      <c r="L602" s="419"/>
      <c r="M602" s="193">
        <f t="shared" si="322"/>
        <v>0</v>
      </c>
      <c r="N602" s="141">
        <f t="shared" si="323"/>
        <v>1</v>
      </c>
      <c r="O602" s="142">
        <f t="shared" si="324"/>
        <v>0.10186000000000001</v>
      </c>
      <c r="P602" s="130"/>
      <c r="Q602" s="111"/>
      <c r="R602" s="111"/>
    </row>
    <row r="603" spans="1:18">
      <c r="A603" s="32"/>
      <c r="B603" s="32"/>
      <c r="C603" s="32"/>
      <c r="D603" s="32"/>
      <c r="E603" s="32"/>
      <c r="F603" s="32"/>
      <c r="G603" s="32"/>
      <c r="H603" s="32"/>
      <c r="I603" s="129">
        <f>SUM(I562:I602)</f>
        <v>792</v>
      </c>
      <c r="J603" s="124">
        <f>SUM(J562:J602)</f>
        <v>73.363831599999983</v>
      </c>
      <c r="K603" s="32"/>
      <c r="L603" s="129">
        <f>SUM(L562:L602)</f>
        <v>791</v>
      </c>
      <c r="M603" s="124">
        <f>SUM(M562:M602)</f>
        <v>73.261971599999967</v>
      </c>
      <c r="N603" s="129">
        <f>SUM(N562:N602)</f>
        <v>1</v>
      </c>
      <c r="O603" s="124">
        <f>SUM(O562:O602)</f>
        <v>0.10186000000000001</v>
      </c>
      <c r="P603" s="32"/>
      <c r="Q603" s="32"/>
      <c r="R603" s="32"/>
    </row>
    <row r="605" spans="1:18" ht="15.6">
      <c r="A605" s="110" t="s">
        <v>554</v>
      </c>
      <c r="B605" s="111" t="s">
        <v>232</v>
      </c>
      <c r="C605" s="112" t="s">
        <v>449</v>
      </c>
      <c r="D605" s="113" t="s">
        <v>24</v>
      </c>
      <c r="E605" s="216" t="s">
        <v>14</v>
      </c>
      <c r="F605" s="216" t="s">
        <v>30</v>
      </c>
      <c r="G605" s="217">
        <v>9.26</v>
      </c>
      <c r="H605" s="218">
        <v>12</v>
      </c>
      <c r="I605" s="219">
        <v>30</v>
      </c>
      <c r="J605" s="220">
        <f t="shared" ref="J605" si="325">(G605*H605*I605/1000)</f>
        <v>3.3336000000000006</v>
      </c>
      <c r="K605" s="118"/>
      <c r="L605" s="219">
        <f>10+20</f>
        <v>30</v>
      </c>
      <c r="M605" s="117">
        <f t="shared" ref="M605" si="326">H605*L605*G605/1000</f>
        <v>3.3336000000000001</v>
      </c>
      <c r="N605" s="119">
        <f t="shared" ref="N605" si="327">I605-L605</f>
        <v>0</v>
      </c>
      <c r="O605" s="120">
        <f t="shared" ref="O605" si="328">H605*N605*G605/1000</f>
        <v>0</v>
      </c>
      <c r="P605" s="130"/>
      <c r="Q605" s="111"/>
      <c r="R605" s="111"/>
    </row>
    <row r="606" spans="1:18" ht="15.6">
      <c r="A606" s="110" t="s">
        <v>554</v>
      </c>
      <c r="B606" s="111" t="s">
        <v>232</v>
      </c>
      <c r="C606" s="112" t="s">
        <v>449</v>
      </c>
      <c r="D606" s="113" t="s">
        <v>24</v>
      </c>
      <c r="E606" s="216" t="s">
        <v>14</v>
      </c>
      <c r="F606" s="216" t="s">
        <v>30</v>
      </c>
      <c r="G606" s="217">
        <v>9.26</v>
      </c>
      <c r="H606" s="218">
        <v>10.050000000000001</v>
      </c>
      <c r="I606" s="219">
        <v>17</v>
      </c>
      <c r="J606" s="220">
        <f t="shared" ref="J606:J623" si="329">(G606*H606*I606/1000)</f>
        <v>1.5820710000000002</v>
      </c>
      <c r="K606" s="118"/>
      <c r="L606" s="219">
        <f>12+5</f>
        <v>17</v>
      </c>
      <c r="M606" s="117">
        <f t="shared" ref="M606:M623" si="330">H606*L606*G606/1000</f>
        <v>1.5820710000000002</v>
      </c>
      <c r="N606" s="119">
        <f t="shared" ref="N606:N623" si="331">I606-L606</f>
        <v>0</v>
      </c>
      <c r="O606" s="120">
        <f t="shared" ref="O606:O623" si="332">H606*N606*G606/1000</f>
        <v>0</v>
      </c>
      <c r="P606" s="130"/>
      <c r="Q606" s="111"/>
      <c r="R606" s="111"/>
    </row>
    <row r="607" spans="1:18" ht="15.6">
      <c r="A607" s="110" t="s">
        <v>554</v>
      </c>
      <c r="B607" s="111" t="s">
        <v>232</v>
      </c>
      <c r="C607" s="112" t="s">
        <v>449</v>
      </c>
      <c r="D607" s="113" t="s">
        <v>24</v>
      </c>
      <c r="E607" s="216" t="s">
        <v>14</v>
      </c>
      <c r="F607" s="216" t="s">
        <v>30</v>
      </c>
      <c r="G607" s="217">
        <v>9.26</v>
      </c>
      <c r="H607" s="218">
        <v>11</v>
      </c>
      <c r="I607" s="219">
        <v>20</v>
      </c>
      <c r="J607" s="220">
        <f t="shared" si="329"/>
        <v>2.0371999999999999</v>
      </c>
      <c r="K607" s="118"/>
      <c r="L607" s="219">
        <v>20</v>
      </c>
      <c r="M607" s="117">
        <f t="shared" si="330"/>
        <v>2.0371999999999999</v>
      </c>
      <c r="N607" s="119">
        <f t="shared" si="331"/>
        <v>0</v>
      </c>
      <c r="O607" s="120">
        <f t="shared" si="332"/>
        <v>0</v>
      </c>
      <c r="P607" s="130"/>
      <c r="Q607" s="111"/>
      <c r="R607" s="111"/>
    </row>
    <row r="608" spans="1:18" ht="15.6">
      <c r="A608" s="110" t="s">
        <v>554</v>
      </c>
      <c r="B608" s="111" t="s">
        <v>232</v>
      </c>
      <c r="C608" s="112" t="s">
        <v>449</v>
      </c>
      <c r="D608" s="113" t="s">
        <v>24</v>
      </c>
      <c r="E608" s="216" t="s">
        <v>14</v>
      </c>
      <c r="F608" s="216" t="s">
        <v>30</v>
      </c>
      <c r="G608" s="217">
        <v>9.26</v>
      </c>
      <c r="H608" s="421">
        <v>8.1999999999999993</v>
      </c>
      <c r="I608" s="422">
        <f>20+11</f>
        <v>31</v>
      </c>
      <c r="J608" s="220">
        <f t="shared" si="329"/>
        <v>2.3538919999999997</v>
      </c>
      <c r="K608" s="118"/>
      <c r="L608" s="219">
        <f>20+4</f>
        <v>24</v>
      </c>
      <c r="M608" s="117">
        <f t="shared" si="330"/>
        <v>1.8223679999999998</v>
      </c>
      <c r="N608" s="119">
        <f t="shared" si="331"/>
        <v>7</v>
      </c>
      <c r="O608" s="120">
        <f t="shared" si="332"/>
        <v>0.53152399999999989</v>
      </c>
      <c r="P608" s="423" t="s">
        <v>555</v>
      </c>
      <c r="Q608" s="192"/>
      <c r="R608" s="111"/>
    </row>
    <row r="609" spans="1:18" ht="15.6">
      <c r="A609" s="110" t="s">
        <v>554</v>
      </c>
      <c r="B609" s="111" t="s">
        <v>232</v>
      </c>
      <c r="C609" s="112" t="s">
        <v>449</v>
      </c>
      <c r="D609" s="113" t="s">
        <v>24</v>
      </c>
      <c r="E609" s="216" t="s">
        <v>14</v>
      </c>
      <c r="F609" s="216" t="s">
        <v>30</v>
      </c>
      <c r="G609" s="217">
        <v>9.26</v>
      </c>
      <c r="H609" s="218">
        <v>10.199999999999999</v>
      </c>
      <c r="I609" s="219">
        <v>7</v>
      </c>
      <c r="J609" s="220">
        <f t="shared" si="329"/>
        <v>0.66116399999999997</v>
      </c>
      <c r="K609" s="118"/>
      <c r="L609" s="219">
        <v>7</v>
      </c>
      <c r="M609" s="117">
        <f t="shared" si="330"/>
        <v>0.66116399999999986</v>
      </c>
      <c r="N609" s="119">
        <f t="shared" si="331"/>
        <v>0</v>
      </c>
      <c r="O609" s="120">
        <f t="shared" si="332"/>
        <v>0</v>
      </c>
      <c r="P609" s="130"/>
      <c r="Q609" s="111"/>
      <c r="R609" s="111"/>
    </row>
    <row r="610" spans="1:18" ht="15.6">
      <c r="A610" s="110" t="s">
        <v>554</v>
      </c>
      <c r="B610" s="111" t="s">
        <v>232</v>
      </c>
      <c r="C610" s="112" t="s">
        <v>449</v>
      </c>
      <c r="D610" s="113" t="s">
        <v>24</v>
      </c>
      <c r="E610" s="216" t="s">
        <v>14</v>
      </c>
      <c r="F610" s="216" t="s">
        <v>30</v>
      </c>
      <c r="G610" s="217">
        <v>9.26</v>
      </c>
      <c r="H610" s="218">
        <v>10.5</v>
      </c>
      <c r="I610" s="219">
        <v>11</v>
      </c>
      <c r="J610" s="220">
        <f t="shared" si="329"/>
        <v>1.0695299999999999</v>
      </c>
      <c r="K610" s="118"/>
      <c r="L610" s="219">
        <v>11</v>
      </c>
      <c r="M610" s="117">
        <f t="shared" si="330"/>
        <v>1.0695299999999999</v>
      </c>
      <c r="N610" s="119">
        <f t="shared" si="331"/>
        <v>0</v>
      </c>
      <c r="O610" s="120">
        <f t="shared" si="332"/>
        <v>0</v>
      </c>
      <c r="P610" s="130">
        <v>10.050000000000001</v>
      </c>
      <c r="Q610" s="111">
        <v>11</v>
      </c>
      <c r="R610" s="111"/>
    </row>
    <row r="611" spans="1:18" ht="15.6">
      <c r="A611" s="110" t="s">
        <v>554</v>
      </c>
      <c r="B611" s="111" t="s">
        <v>232</v>
      </c>
      <c r="C611" s="112" t="s">
        <v>449</v>
      </c>
      <c r="D611" s="113" t="s">
        <v>24</v>
      </c>
      <c r="E611" s="216" t="s">
        <v>14</v>
      </c>
      <c r="F611" s="216" t="s">
        <v>30</v>
      </c>
      <c r="G611" s="217">
        <v>9.26</v>
      </c>
      <c r="H611" s="218">
        <v>9</v>
      </c>
      <c r="I611" s="219">
        <v>2</v>
      </c>
      <c r="J611" s="220">
        <f t="shared" si="329"/>
        <v>0.16667999999999999</v>
      </c>
      <c r="K611" s="118"/>
      <c r="L611" s="219">
        <v>2</v>
      </c>
      <c r="M611" s="117">
        <f t="shared" si="330"/>
        <v>0.16667999999999999</v>
      </c>
      <c r="N611" s="119">
        <f t="shared" si="331"/>
        <v>0</v>
      </c>
      <c r="O611" s="120">
        <f t="shared" si="332"/>
        <v>0</v>
      </c>
      <c r="P611" s="130"/>
      <c r="Q611" s="111"/>
      <c r="R611" s="111"/>
    </row>
    <row r="612" spans="1:18" ht="15.6">
      <c r="A612" s="110" t="s">
        <v>554</v>
      </c>
      <c r="B612" s="111" t="s">
        <v>232</v>
      </c>
      <c r="C612" s="112" t="s">
        <v>449</v>
      </c>
      <c r="D612" s="113" t="s">
        <v>24</v>
      </c>
      <c r="E612" s="216" t="s">
        <v>14</v>
      </c>
      <c r="F612" s="216" t="s">
        <v>30</v>
      </c>
      <c r="G612" s="217">
        <v>9.26</v>
      </c>
      <c r="H612" s="218">
        <v>12</v>
      </c>
      <c r="I612" s="219">
        <v>7</v>
      </c>
      <c r="J612" s="220">
        <f t="shared" si="329"/>
        <v>0.77784000000000009</v>
      </c>
      <c r="K612" s="118"/>
      <c r="L612" s="219">
        <f>2+3+2</f>
        <v>7</v>
      </c>
      <c r="M612" s="117">
        <f t="shared" si="330"/>
        <v>0.77784000000000009</v>
      </c>
      <c r="N612" s="119">
        <f t="shared" si="331"/>
        <v>0</v>
      </c>
      <c r="O612" s="120">
        <f t="shared" si="332"/>
        <v>0</v>
      </c>
      <c r="P612" s="130" t="s">
        <v>556</v>
      </c>
      <c r="Q612" s="111">
        <v>5</v>
      </c>
      <c r="R612" s="111"/>
    </row>
    <row r="613" spans="1:18" ht="15.6">
      <c r="A613" s="110" t="s">
        <v>554</v>
      </c>
      <c r="B613" s="111" t="s">
        <v>232</v>
      </c>
      <c r="C613" s="112" t="s">
        <v>449</v>
      </c>
      <c r="D613" s="113" t="s">
        <v>24</v>
      </c>
      <c r="E613" s="216" t="s">
        <v>14</v>
      </c>
      <c r="F613" s="216" t="s">
        <v>30</v>
      </c>
      <c r="G613" s="217">
        <v>9.26</v>
      </c>
      <c r="H613" s="218">
        <v>9</v>
      </c>
      <c r="I613" s="219">
        <v>1</v>
      </c>
      <c r="J613" s="220">
        <f t="shared" si="329"/>
        <v>8.3339999999999997E-2</v>
      </c>
      <c r="K613" s="118"/>
      <c r="L613" s="219"/>
      <c r="M613" s="117">
        <f t="shared" si="330"/>
        <v>0</v>
      </c>
      <c r="N613" s="119">
        <f t="shared" si="331"/>
        <v>1</v>
      </c>
      <c r="O613" s="120">
        <f t="shared" si="332"/>
        <v>8.3339999999999997E-2</v>
      </c>
      <c r="P613" s="130"/>
      <c r="Q613" s="111"/>
      <c r="R613" s="111"/>
    </row>
    <row r="614" spans="1:18" ht="15.6">
      <c r="A614" s="110" t="s">
        <v>554</v>
      </c>
      <c r="B614" s="111" t="s">
        <v>232</v>
      </c>
      <c r="C614" s="112" t="s">
        <v>449</v>
      </c>
      <c r="D614" s="113" t="s">
        <v>24</v>
      </c>
      <c r="E614" s="216" t="s">
        <v>14</v>
      </c>
      <c r="F614" s="216" t="s">
        <v>30</v>
      </c>
      <c r="G614" s="217">
        <v>9.26</v>
      </c>
      <c r="H614" s="218">
        <v>9.5</v>
      </c>
      <c r="I614" s="219">
        <v>2</v>
      </c>
      <c r="J614" s="220">
        <f t="shared" si="329"/>
        <v>0.17593999999999999</v>
      </c>
      <c r="K614" s="118"/>
      <c r="L614" s="219"/>
      <c r="M614" s="117">
        <f t="shared" si="330"/>
        <v>0</v>
      </c>
      <c r="N614" s="119">
        <f t="shared" si="331"/>
        <v>2</v>
      </c>
      <c r="O614" s="120">
        <f t="shared" si="332"/>
        <v>0.17593999999999999</v>
      </c>
      <c r="P614" s="130"/>
      <c r="Q614" s="111"/>
      <c r="R614" s="111"/>
    </row>
    <row r="615" spans="1:18" ht="15.6">
      <c r="A615" s="110" t="s">
        <v>554</v>
      </c>
      <c r="B615" s="111" t="s">
        <v>232</v>
      </c>
      <c r="C615" s="112" t="s">
        <v>449</v>
      </c>
      <c r="D615" s="113" t="s">
        <v>24</v>
      </c>
      <c r="E615" s="216" t="s">
        <v>14</v>
      </c>
      <c r="F615" s="216" t="s">
        <v>30</v>
      </c>
      <c r="G615" s="217">
        <v>9.26</v>
      </c>
      <c r="H615" s="218">
        <v>9.8000000000000007</v>
      </c>
      <c r="I615" s="219">
        <v>4</v>
      </c>
      <c r="J615" s="220">
        <f t="shared" si="329"/>
        <v>0.36299200000000004</v>
      </c>
      <c r="K615" s="118"/>
      <c r="L615" s="219"/>
      <c r="M615" s="117">
        <f t="shared" si="330"/>
        <v>0</v>
      </c>
      <c r="N615" s="119">
        <f t="shared" si="331"/>
        <v>4</v>
      </c>
      <c r="O615" s="120">
        <f t="shared" si="332"/>
        <v>0.36299200000000004</v>
      </c>
      <c r="P615" s="130"/>
      <c r="Q615" s="111"/>
      <c r="R615" s="111"/>
    </row>
    <row r="616" spans="1:18" ht="15.6">
      <c r="A616" s="110" t="s">
        <v>554</v>
      </c>
      <c r="B616" s="111" t="s">
        <v>232</v>
      </c>
      <c r="C616" s="112" t="s">
        <v>449</v>
      </c>
      <c r="D616" s="113" t="s">
        <v>24</v>
      </c>
      <c r="E616" s="216" t="s">
        <v>14</v>
      </c>
      <c r="F616" s="216" t="s">
        <v>30</v>
      </c>
      <c r="G616" s="217">
        <v>9.26</v>
      </c>
      <c r="H616" s="218">
        <v>10.050000000000001</v>
      </c>
      <c r="I616" s="219">
        <v>32</v>
      </c>
      <c r="J616" s="220">
        <f t="shared" si="329"/>
        <v>2.9780160000000002</v>
      </c>
      <c r="K616" s="118"/>
      <c r="L616" s="219">
        <v>32</v>
      </c>
      <c r="M616" s="117">
        <f t="shared" si="330"/>
        <v>2.9780160000000002</v>
      </c>
      <c r="N616" s="119">
        <f t="shared" si="331"/>
        <v>0</v>
      </c>
      <c r="O616" s="120">
        <f t="shared" si="332"/>
        <v>0</v>
      </c>
      <c r="P616" s="130"/>
      <c r="Q616" s="111"/>
      <c r="R616" s="111"/>
    </row>
    <row r="617" spans="1:18" ht="15.6">
      <c r="A617" s="110" t="s">
        <v>554</v>
      </c>
      <c r="B617" s="111" t="s">
        <v>232</v>
      </c>
      <c r="C617" s="112" t="s">
        <v>449</v>
      </c>
      <c r="D617" s="113" t="s">
        <v>24</v>
      </c>
      <c r="E617" s="216" t="s">
        <v>14</v>
      </c>
      <c r="F617" s="216" t="s">
        <v>30</v>
      </c>
      <c r="G617" s="217">
        <v>9.26</v>
      </c>
      <c r="H617" s="218">
        <v>10.050000000000001</v>
      </c>
      <c r="I617" s="219">
        <v>29</v>
      </c>
      <c r="J617" s="220">
        <f t="shared" si="329"/>
        <v>2.6988270000000001</v>
      </c>
      <c r="K617" s="118"/>
      <c r="L617" s="219">
        <v>29</v>
      </c>
      <c r="M617" s="117">
        <f t="shared" si="330"/>
        <v>2.6988270000000001</v>
      </c>
      <c r="N617" s="119">
        <f t="shared" si="331"/>
        <v>0</v>
      </c>
      <c r="O617" s="120">
        <f t="shared" si="332"/>
        <v>0</v>
      </c>
      <c r="P617" s="130"/>
      <c r="Q617" s="111"/>
      <c r="R617" s="111"/>
    </row>
    <row r="618" spans="1:18" ht="15.6">
      <c r="A618" s="110" t="s">
        <v>554</v>
      </c>
      <c r="B618" s="111" t="s">
        <v>232</v>
      </c>
      <c r="C618" s="112" t="s">
        <v>449</v>
      </c>
      <c r="D618" s="113" t="s">
        <v>24</v>
      </c>
      <c r="E618" s="216" t="s">
        <v>14</v>
      </c>
      <c r="F618" s="216" t="s">
        <v>30</v>
      </c>
      <c r="G618" s="217">
        <v>9.26</v>
      </c>
      <c r="H618" s="218">
        <v>10.050000000000001</v>
      </c>
      <c r="I618" s="219">
        <v>19</v>
      </c>
      <c r="J618" s="220">
        <f t="shared" si="329"/>
        <v>1.768197</v>
      </c>
      <c r="K618" s="118"/>
      <c r="L618" s="219">
        <v>19</v>
      </c>
      <c r="M618" s="117">
        <f t="shared" si="330"/>
        <v>1.768197</v>
      </c>
      <c r="N618" s="119">
        <f t="shared" si="331"/>
        <v>0</v>
      </c>
      <c r="O618" s="120">
        <f t="shared" si="332"/>
        <v>0</v>
      </c>
      <c r="P618" s="130"/>
      <c r="Q618" s="111"/>
      <c r="R618" s="111"/>
    </row>
    <row r="619" spans="1:18" ht="15.6">
      <c r="A619" s="110" t="s">
        <v>554</v>
      </c>
      <c r="B619" s="111" t="s">
        <v>232</v>
      </c>
      <c r="C619" s="112" t="s">
        <v>449</v>
      </c>
      <c r="D619" s="113" t="s">
        <v>24</v>
      </c>
      <c r="E619" s="216" t="s">
        <v>14</v>
      </c>
      <c r="F619" s="216" t="s">
        <v>30</v>
      </c>
      <c r="G619" s="217">
        <v>9.26</v>
      </c>
      <c r="H619" s="218">
        <v>10.5</v>
      </c>
      <c r="I619" s="219">
        <v>29</v>
      </c>
      <c r="J619" s="220">
        <f t="shared" si="329"/>
        <v>2.8196699999999999</v>
      </c>
      <c r="K619" s="118"/>
      <c r="L619" s="219">
        <f>24+5</f>
        <v>29</v>
      </c>
      <c r="M619" s="117">
        <f t="shared" si="330"/>
        <v>2.8196699999999999</v>
      </c>
      <c r="N619" s="119">
        <f t="shared" si="331"/>
        <v>0</v>
      </c>
      <c r="O619" s="120">
        <f t="shared" si="332"/>
        <v>0</v>
      </c>
      <c r="P619" s="130">
        <v>10.050000000000001</v>
      </c>
      <c r="Q619" s="111">
        <v>5</v>
      </c>
      <c r="R619" s="111"/>
    </row>
    <row r="620" spans="1:18" ht="15.6">
      <c r="A620" s="110" t="s">
        <v>554</v>
      </c>
      <c r="B620" s="111" t="s">
        <v>232</v>
      </c>
      <c r="C620" s="112" t="s">
        <v>449</v>
      </c>
      <c r="D620" s="113" t="s">
        <v>24</v>
      </c>
      <c r="E620" s="216" t="s">
        <v>14</v>
      </c>
      <c r="F620" s="216" t="s">
        <v>30</v>
      </c>
      <c r="G620" s="217">
        <v>9.26</v>
      </c>
      <c r="H620" s="218">
        <v>10.5</v>
      </c>
      <c r="I620" s="219">
        <v>7</v>
      </c>
      <c r="J620" s="220">
        <f t="shared" si="329"/>
        <v>0.68061000000000005</v>
      </c>
      <c r="K620" s="118"/>
      <c r="L620" s="219">
        <v>7</v>
      </c>
      <c r="M620" s="117">
        <f t="shared" si="330"/>
        <v>0.68061000000000005</v>
      </c>
      <c r="N620" s="119">
        <f t="shared" si="331"/>
        <v>0</v>
      </c>
      <c r="O620" s="120">
        <f t="shared" si="332"/>
        <v>0</v>
      </c>
      <c r="P620" s="130"/>
      <c r="Q620" s="111"/>
      <c r="R620" s="111"/>
    </row>
    <row r="621" spans="1:18" ht="15.6">
      <c r="A621" s="110" t="s">
        <v>554</v>
      </c>
      <c r="B621" s="111" t="s">
        <v>232</v>
      </c>
      <c r="C621" s="112" t="s">
        <v>449</v>
      </c>
      <c r="D621" s="113" t="s">
        <v>24</v>
      </c>
      <c r="E621" s="216" t="s">
        <v>14</v>
      </c>
      <c r="F621" s="216" t="s">
        <v>30</v>
      </c>
      <c r="G621" s="217">
        <v>9.26</v>
      </c>
      <c r="H621" s="218">
        <v>11</v>
      </c>
      <c r="I621" s="219">
        <v>10</v>
      </c>
      <c r="J621" s="220">
        <f t="shared" si="329"/>
        <v>1.0185999999999999</v>
      </c>
      <c r="K621" s="118"/>
      <c r="L621" s="219">
        <v>10</v>
      </c>
      <c r="M621" s="117">
        <f t="shared" si="330"/>
        <v>1.0185999999999999</v>
      </c>
      <c r="N621" s="119">
        <f t="shared" si="331"/>
        <v>0</v>
      </c>
      <c r="O621" s="120">
        <f t="shared" si="332"/>
        <v>0</v>
      </c>
      <c r="P621" s="130"/>
      <c r="Q621" s="111"/>
      <c r="R621" s="111"/>
    </row>
    <row r="622" spans="1:18" ht="15.6">
      <c r="A622" s="110" t="s">
        <v>554</v>
      </c>
      <c r="B622" s="111" t="s">
        <v>232</v>
      </c>
      <c r="C622" s="112" t="s">
        <v>449</v>
      </c>
      <c r="D622" s="113" t="s">
        <v>24</v>
      </c>
      <c r="E622" s="216" t="s">
        <v>14</v>
      </c>
      <c r="F622" s="216" t="s">
        <v>30</v>
      </c>
      <c r="G622" s="217">
        <v>9.26</v>
      </c>
      <c r="H622" s="218">
        <v>10.199999999999999</v>
      </c>
      <c r="I622" s="219">
        <v>5</v>
      </c>
      <c r="J622" s="220">
        <f t="shared" si="329"/>
        <v>0.47226000000000001</v>
      </c>
      <c r="K622" s="118"/>
      <c r="L622" s="219">
        <v>5</v>
      </c>
      <c r="M622" s="117">
        <f t="shared" si="330"/>
        <v>0.47226000000000001</v>
      </c>
      <c r="N622" s="119">
        <f t="shared" si="331"/>
        <v>0</v>
      </c>
      <c r="O622" s="120">
        <f t="shared" si="332"/>
        <v>0</v>
      </c>
      <c r="P622" s="130"/>
      <c r="Q622" s="111"/>
      <c r="R622" s="111"/>
    </row>
    <row r="623" spans="1:18" ht="15.6">
      <c r="A623" s="110" t="s">
        <v>554</v>
      </c>
      <c r="B623" s="111" t="s">
        <v>232</v>
      </c>
      <c r="C623" s="112" t="s">
        <v>449</v>
      </c>
      <c r="D623" s="113" t="s">
        <v>24</v>
      </c>
      <c r="E623" s="216" t="s">
        <v>14</v>
      </c>
      <c r="F623" s="216" t="s">
        <v>30</v>
      </c>
      <c r="G623" s="217">
        <v>9.26</v>
      </c>
      <c r="H623" s="218">
        <v>9</v>
      </c>
      <c r="I623" s="219">
        <v>2</v>
      </c>
      <c r="J623" s="220">
        <f t="shared" si="329"/>
        <v>0.16667999999999999</v>
      </c>
      <c r="K623" s="118"/>
      <c r="L623" s="219"/>
      <c r="M623" s="117">
        <f t="shared" si="330"/>
        <v>0</v>
      </c>
      <c r="N623" s="119">
        <f t="shared" si="331"/>
        <v>2</v>
      </c>
      <c r="O623" s="120">
        <f t="shared" si="332"/>
        <v>0.16667999999999999</v>
      </c>
      <c r="P623" s="130"/>
      <c r="Q623" s="111"/>
      <c r="R623" s="111"/>
    </row>
    <row r="624" spans="1:18" ht="15.6">
      <c r="A624" s="110" t="s">
        <v>554</v>
      </c>
      <c r="B624" s="111" t="s">
        <v>232</v>
      </c>
      <c r="C624" s="112" t="s">
        <v>449</v>
      </c>
      <c r="D624" s="113" t="s">
        <v>24</v>
      </c>
      <c r="E624" s="216" t="s">
        <v>14</v>
      </c>
      <c r="F624" s="216" t="s">
        <v>30</v>
      </c>
      <c r="G624" s="217">
        <v>9.26</v>
      </c>
      <c r="H624" s="218">
        <v>12</v>
      </c>
      <c r="I624" s="219">
        <v>20</v>
      </c>
      <c r="J624" s="220">
        <f t="shared" ref="J624:J626" si="333">(G624*H624*I624/1000)</f>
        <v>2.2223999999999999</v>
      </c>
      <c r="K624" s="118"/>
      <c r="L624" s="219">
        <v>1</v>
      </c>
      <c r="M624" s="117">
        <f t="shared" ref="M624:M626" si="334">H624*L624*G624/1000</f>
        <v>0.11112000000000001</v>
      </c>
      <c r="N624" s="119">
        <f t="shared" ref="N624:N626" si="335">I624-L624</f>
        <v>19</v>
      </c>
      <c r="O624" s="120">
        <f t="shared" ref="O624:O626" si="336">H624*N624*G624/1000</f>
        <v>2.1112799999999998</v>
      </c>
      <c r="P624" s="130">
        <v>11</v>
      </c>
      <c r="Q624" s="111">
        <v>1</v>
      </c>
      <c r="R624" s="111"/>
    </row>
    <row r="625" spans="1:18" ht="15.6">
      <c r="A625" s="110" t="s">
        <v>554</v>
      </c>
      <c r="B625" s="111" t="s">
        <v>232</v>
      </c>
      <c r="C625" s="112" t="s">
        <v>449</v>
      </c>
      <c r="D625" s="113" t="s">
        <v>24</v>
      </c>
      <c r="E625" s="216" t="s">
        <v>14</v>
      </c>
      <c r="F625" s="216" t="s">
        <v>30</v>
      </c>
      <c r="G625" s="217">
        <v>9.26</v>
      </c>
      <c r="H625" s="218">
        <v>9.9</v>
      </c>
      <c r="I625" s="219">
        <v>6</v>
      </c>
      <c r="J625" s="220">
        <f t="shared" si="333"/>
        <v>0.55004400000000009</v>
      </c>
      <c r="K625" s="118"/>
      <c r="L625" s="219"/>
      <c r="M625" s="117">
        <f t="shared" si="334"/>
        <v>0</v>
      </c>
      <c r="N625" s="119">
        <f t="shared" si="335"/>
        <v>6</v>
      </c>
      <c r="O625" s="120">
        <f t="shared" si="336"/>
        <v>0.55004400000000009</v>
      </c>
      <c r="P625" s="130"/>
      <c r="Q625" s="111"/>
      <c r="R625" s="111"/>
    </row>
    <row r="626" spans="1:18" ht="15.6">
      <c r="A626" s="110" t="s">
        <v>554</v>
      </c>
      <c r="B626" s="111" t="s">
        <v>232</v>
      </c>
      <c r="C626" s="112" t="s">
        <v>449</v>
      </c>
      <c r="D626" s="113" t="s">
        <v>24</v>
      </c>
      <c r="E626" s="216" t="s">
        <v>14</v>
      </c>
      <c r="F626" s="216" t="s">
        <v>30</v>
      </c>
      <c r="G626" s="217">
        <v>9.26</v>
      </c>
      <c r="H626" s="218">
        <v>7.1</v>
      </c>
      <c r="I626" s="219">
        <v>1</v>
      </c>
      <c r="J626" s="220">
        <f t="shared" si="333"/>
        <v>6.5745999999999999E-2</v>
      </c>
      <c r="K626" s="118"/>
      <c r="L626" s="219"/>
      <c r="M626" s="117">
        <f t="shared" si="334"/>
        <v>0</v>
      </c>
      <c r="N626" s="119">
        <f t="shared" si="335"/>
        <v>1</v>
      </c>
      <c r="O626" s="120">
        <f t="shared" si="336"/>
        <v>6.5745999999999999E-2</v>
      </c>
      <c r="P626" s="130"/>
      <c r="Q626" s="111"/>
      <c r="R626" s="111"/>
    </row>
    <row r="627" spans="1:18" ht="15.6">
      <c r="A627" s="110" t="s">
        <v>554</v>
      </c>
      <c r="B627" s="111" t="s">
        <v>232</v>
      </c>
      <c r="C627" s="112" t="s">
        <v>449</v>
      </c>
      <c r="D627" s="113" t="s">
        <v>24</v>
      </c>
      <c r="E627" s="216" t="s">
        <v>14</v>
      </c>
      <c r="F627" s="216" t="s">
        <v>30</v>
      </c>
      <c r="G627" s="217">
        <v>9.26</v>
      </c>
      <c r="H627" s="218">
        <v>10.050000000000001</v>
      </c>
      <c r="I627" s="219">
        <v>35</v>
      </c>
      <c r="J627" s="220">
        <f t="shared" ref="J627:J632" si="337">(G627*H627*I627/1000)</f>
        <v>3.2572049999999999</v>
      </c>
      <c r="K627" s="118"/>
      <c r="L627" s="219">
        <v>35</v>
      </c>
      <c r="M627" s="117">
        <f t="shared" ref="M627:M632" si="338">H627*L627*G627/1000</f>
        <v>3.2572049999999999</v>
      </c>
      <c r="N627" s="119">
        <f t="shared" ref="N627:N632" si="339">I627-L627</f>
        <v>0</v>
      </c>
      <c r="O627" s="120">
        <f t="shared" ref="O627:O632" si="340">H627*N627*G627/1000</f>
        <v>0</v>
      </c>
      <c r="P627" s="130"/>
      <c r="Q627" s="111"/>
      <c r="R627" s="111"/>
    </row>
    <row r="628" spans="1:18" ht="15.6">
      <c r="A628" s="110" t="s">
        <v>554</v>
      </c>
      <c r="B628" s="111" t="s">
        <v>232</v>
      </c>
      <c r="C628" s="112" t="s">
        <v>449</v>
      </c>
      <c r="D628" s="113" t="s">
        <v>24</v>
      </c>
      <c r="E628" s="216" t="s">
        <v>14</v>
      </c>
      <c r="F628" s="216" t="s">
        <v>30</v>
      </c>
      <c r="G628" s="217">
        <v>9.26</v>
      </c>
      <c r="H628" s="218">
        <v>10.050000000000001</v>
      </c>
      <c r="I628" s="219">
        <v>35</v>
      </c>
      <c r="J628" s="220">
        <f t="shared" si="337"/>
        <v>3.2572049999999999</v>
      </c>
      <c r="K628" s="118"/>
      <c r="L628" s="219">
        <v>35</v>
      </c>
      <c r="M628" s="117">
        <f t="shared" si="338"/>
        <v>3.2572049999999999</v>
      </c>
      <c r="N628" s="119">
        <f t="shared" si="339"/>
        <v>0</v>
      </c>
      <c r="O628" s="120">
        <f t="shared" si="340"/>
        <v>0</v>
      </c>
      <c r="P628" s="130"/>
      <c r="Q628" s="111"/>
      <c r="R628" s="111"/>
    </row>
    <row r="629" spans="1:18" ht="15.6">
      <c r="A629" s="110" t="s">
        <v>554</v>
      </c>
      <c r="B629" s="111" t="s">
        <v>232</v>
      </c>
      <c r="C629" s="112" t="s">
        <v>449</v>
      </c>
      <c r="D629" s="113" t="s">
        <v>24</v>
      </c>
      <c r="E629" s="216" t="s">
        <v>14</v>
      </c>
      <c r="F629" s="216" t="s">
        <v>30</v>
      </c>
      <c r="G629" s="217">
        <v>9.26</v>
      </c>
      <c r="H629" s="218">
        <v>10.050000000000001</v>
      </c>
      <c r="I629" s="219">
        <v>35</v>
      </c>
      <c r="J629" s="220">
        <f t="shared" si="337"/>
        <v>3.2572049999999999</v>
      </c>
      <c r="K629" s="118"/>
      <c r="L629" s="219">
        <v>35</v>
      </c>
      <c r="M629" s="117">
        <f t="shared" si="338"/>
        <v>3.2572049999999999</v>
      </c>
      <c r="N629" s="119">
        <f t="shared" si="339"/>
        <v>0</v>
      </c>
      <c r="O629" s="120">
        <f t="shared" si="340"/>
        <v>0</v>
      </c>
      <c r="P629" s="130"/>
      <c r="Q629" s="111"/>
      <c r="R629" s="111"/>
    </row>
    <row r="630" spans="1:18" ht="15.6">
      <c r="A630" s="110" t="s">
        <v>554</v>
      </c>
      <c r="B630" s="111" t="s">
        <v>232</v>
      </c>
      <c r="C630" s="112" t="s">
        <v>449</v>
      </c>
      <c r="D630" s="113" t="s">
        <v>24</v>
      </c>
      <c r="E630" s="216" t="s">
        <v>14</v>
      </c>
      <c r="F630" s="216" t="s">
        <v>30</v>
      </c>
      <c r="G630" s="217">
        <v>9.26</v>
      </c>
      <c r="H630" s="218">
        <v>10.5</v>
      </c>
      <c r="I630" s="219">
        <v>35</v>
      </c>
      <c r="J630" s="220">
        <f t="shared" si="337"/>
        <v>3.4030500000000004</v>
      </c>
      <c r="K630" s="118"/>
      <c r="L630" s="219">
        <v>35</v>
      </c>
      <c r="M630" s="117">
        <f t="shared" si="338"/>
        <v>3.4030499999999999</v>
      </c>
      <c r="N630" s="119">
        <f t="shared" si="339"/>
        <v>0</v>
      </c>
      <c r="O630" s="120">
        <f t="shared" si="340"/>
        <v>0</v>
      </c>
      <c r="P630" s="130"/>
      <c r="Q630" s="111"/>
      <c r="R630" s="111"/>
    </row>
    <row r="631" spans="1:18" s="213" customFormat="1" ht="15.6">
      <c r="A631" s="110" t="s">
        <v>554</v>
      </c>
      <c r="B631" s="111" t="s">
        <v>232</v>
      </c>
      <c r="C631" s="112" t="s">
        <v>449</v>
      </c>
      <c r="D631" s="113" t="s">
        <v>24</v>
      </c>
      <c r="E631" s="216" t="s">
        <v>14</v>
      </c>
      <c r="F631" s="216" t="s">
        <v>30</v>
      </c>
      <c r="G631" s="217">
        <v>9.26</v>
      </c>
      <c r="H631" s="218">
        <v>10.050000000000001</v>
      </c>
      <c r="I631" s="219">
        <v>33</v>
      </c>
      <c r="J631" s="220">
        <f t="shared" ref="J631" si="341">(G631*H631*I631/1000)</f>
        <v>3.0710790000000001</v>
      </c>
      <c r="K631" s="118"/>
      <c r="L631" s="219">
        <v>33</v>
      </c>
      <c r="M631" s="117">
        <f t="shared" ref="M631" si="342">H631*L631*G631/1000</f>
        <v>3.0710790000000001</v>
      </c>
      <c r="N631" s="119">
        <f t="shared" ref="N631" si="343">I631-L631</f>
        <v>0</v>
      </c>
      <c r="O631" s="120">
        <f t="shared" ref="O631" si="344">H631*N631*G631/1000</f>
        <v>0</v>
      </c>
      <c r="P631" s="130"/>
      <c r="Q631" s="111"/>
      <c r="R631" s="111"/>
    </row>
    <row r="632" spans="1:18" ht="15.6">
      <c r="A632" s="110" t="s">
        <v>554</v>
      </c>
      <c r="B632" s="111" t="s">
        <v>232</v>
      </c>
      <c r="C632" s="112" t="s">
        <v>449</v>
      </c>
      <c r="D632" s="113" t="s">
        <v>24</v>
      </c>
      <c r="E632" s="216" t="s">
        <v>14</v>
      </c>
      <c r="F632" s="216" t="s">
        <v>30</v>
      </c>
      <c r="G632" s="217">
        <v>9.26</v>
      </c>
      <c r="H632" s="218">
        <v>10.050000000000001</v>
      </c>
      <c r="I632" s="219">
        <v>30</v>
      </c>
      <c r="J632" s="220">
        <f t="shared" si="337"/>
        <v>2.79189</v>
      </c>
      <c r="K632" s="118"/>
      <c r="L632" s="219">
        <v>30</v>
      </c>
      <c r="M632" s="117">
        <f t="shared" si="338"/>
        <v>2.79189</v>
      </c>
      <c r="N632" s="119">
        <f t="shared" si="339"/>
        <v>0</v>
      </c>
      <c r="O632" s="120">
        <f t="shared" si="340"/>
        <v>0</v>
      </c>
      <c r="P632" s="130"/>
      <c r="Q632" s="111"/>
      <c r="R632" s="111"/>
    </row>
    <row r="633" spans="1:18">
      <c r="A633" s="32"/>
      <c r="B633" s="32"/>
      <c r="C633" s="32"/>
      <c r="D633" s="32"/>
      <c r="E633" s="32"/>
      <c r="F633" s="32"/>
      <c r="G633" s="32"/>
      <c r="H633" s="32"/>
      <c r="I633" s="129">
        <f>SUM(I605:I632)</f>
        <v>495</v>
      </c>
      <c r="J633" s="124">
        <f>SUM(J605:J632)</f>
        <v>47.082932999999997</v>
      </c>
      <c r="K633" s="32"/>
      <c r="L633" s="129">
        <f>SUM(L605:L632)</f>
        <v>453</v>
      </c>
      <c r="M633" s="124">
        <f>SUM(M605:M632)</f>
        <v>43.035386999999993</v>
      </c>
      <c r="N633" s="129">
        <f>SUM(N605:N632)</f>
        <v>42</v>
      </c>
      <c r="O633" s="124">
        <f>SUM(O605:O632)</f>
        <v>4.0475459999999996</v>
      </c>
      <c r="P633" s="32"/>
      <c r="Q633" s="32"/>
      <c r="R633" s="32"/>
    </row>
    <row r="636" spans="1:18" ht="15.6">
      <c r="A636" s="110" t="s">
        <v>554</v>
      </c>
      <c r="B636" s="111" t="s">
        <v>505</v>
      </c>
      <c r="C636" s="112" t="s">
        <v>449</v>
      </c>
      <c r="D636" s="113" t="s">
        <v>152</v>
      </c>
      <c r="E636" s="216" t="s">
        <v>15</v>
      </c>
      <c r="F636" s="216" t="s">
        <v>30</v>
      </c>
      <c r="G636" s="217">
        <v>9.26</v>
      </c>
      <c r="H636" s="218">
        <v>10.5</v>
      </c>
      <c r="I636" s="219">
        <v>30</v>
      </c>
      <c r="J636" s="220">
        <f t="shared" ref="J636:J638" si="345">(G636*H636*I636/1000)</f>
        <v>2.9169</v>
      </c>
      <c r="K636" s="118"/>
      <c r="L636" s="111">
        <v>30</v>
      </c>
      <c r="M636" s="117">
        <f t="shared" ref="M636:M638" si="346">H636*L636*G636/1000</f>
        <v>2.9169</v>
      </c>
      <c r="N636" s="119">
        <f t="shared" ref="N636:N638" si="347">I636-L636</f>
        <v>0</v>
      </c>
      <c r="O636" s="120">
        <f t="shared" ref="O636:O638" si="348">H636*N636*G636/1000</f>
        <v>0</v>
      </c>
      <c r="P636" s="111"/>
      <c r="Q636" s="111"/>
      <c r="R636" s="111"/>
    </row>
    <row r="637" spans="1:18" ht="15.6">
      <c r="A637" s="110" t="s">
        <v>554</v>
      </c>
      <c r="B637" s="111" t="s">
        <v>505</v>
      </c>
      <c r="C637" s="112" t="s">
        <v>449</v>
      </c>
      <c r="D637" s="113" t="s">
        <v>152</v>
      </c>
      <c r="E637" s="216" t="s">
        <v>15</v>
      </c>
      <c r="F637" s="216" t="s">
        <v>30</v>
      </c>
      <c r="G637" s="217">
        <v>9.26</v>
      </c>
      <c r="H637" s="218">
        <v>10.5</v>
      </c>
      <c r="I637" s="219">
        <v>30</v>
      </c>
      <c r="J637" s="220">
        <f t="shared" si="345"/>
        <v>2.9169</v>
      </c>
      <c r="K637" s="118"/>
      <c r="L637" s="111">
        <v>30</v>
      </c>
      <c r="M637" s="117">
        <f t="shared" si="346"/>
        <v>2.9169</v>
      </c>
      <c r="N637" s="119">
        <f t="shared" si="347"/>
        <v>0</v>
      </c>
      <c r="O637" s="120">
        <f t="shared" si="348"/>
        <v>0</v>
      </c>
      <c r="P637" s="111"/>
      <c r="Q637" s="111"/>
      <c r="R637" s="111"/>
    </row>
    <row r="638" spans="1:18" ht="15.6">
      <c r="A638" s="110" t="s">
        <v>554</v>
      </c>
      <c r="B638" s="111" t="s">
        <v>505</v>
      </c>
      <c r="C638" s="112" t="s">
        <v>449</v>
      </c>
      <c r="D638" s="113" t="s">
        <v>152</v>
      </c>
      <c r="E638" s="216" t="s">
        <v>15</v>
      </c>
      <c r="F638" s="216" t="s">
        <v>30</v>
      </c>
      <c r="G638" s="217">
        <v>9.26</v>
      </c>
      <c r="H638" s="218">
        <v>10.5</v>
      </c>
      <c r="I638" s="219">
        <v>30</v>
      </c>
      <c r="J638" s="220">
        <f t="shared" si="345"/>
        <v>2.9169</v>
      </c>
      <c r="K638" s="118"/>
      <c r="L638" s="111">
        <v>30</v>
      </c>
      <c r="M638" s="117">
        <f t="shared" si="346"/>
        <v>2.9169</v>
      </c>
      <c r="N638" s="119">
        <f t="shared" si="347"/>
        <v>0</v>
      </c>
      <c r="O638" s="120">
        <f t="shared" si="348"/>
        <v>0</v>
      </c>
      <c r="P638" s="111"/>
      <c r="Q638" s="111"/>
      <c r="R638" s="111"/>
    </row>
    <row r="639" spans="1:18" ht="15.6">
      <c r="A639" s="110" t="s">
        <v>554</v>
      </c>
      <c r="B639" s="111" t="s">
        <v>505</v>
      </c>
      <c r="C639" s="112" t="s">
        <v>449</v>
      </c>
      <c r="D639" s="113" t="s">
        <v>152</v>
      </c>
      <c r="E639" s="216" t="s">
        <v>15</v>
      </c>
      <c r="F639" s="216" t="s">
        <v>30</v>
      </c>
      <c r="G639" s="217">
        <v>9.26</v>
      </c>
      <c r="H639" s="218">
        <v>10.5</v>
      </c>
      <c r="I639" s="219">
        <v>30</v>
      </c>
      <c r="J639" s="220">
        <f t="shared" ref="J639:J653" si="349">(G639*H639*I639/1000)</f>
        <v>2.9169</v>
      </c>
      <c r="K639" s="118"/>
      <c r="L639" s="111">
        <v>30</v>
      </c>
      <c r="M639" s="117">
        <f t="shared" ref="M639:M653" si="350">H639*L639*G639/1000</f>
        <v>2.9169</v>
      </c>
      <c r="N639" s="119">
        <f t="shared" ref="N639:N653" si="351">I639-L639</f>
        <v>0</v>
      </c>
      <c r="O639" s="120">
        <f t="shared" ref="O639:O653" si="352">H639*N639*G639/1000</f>
        <v>0</v>
      </c>
      <c r="P639" s="111"/>
      <c r="Q639" s="111"/>
      <c r="R639" s="111"/>
    </row>
    <row r="640" spans="1:18" ht="15.6">
      <c r="A640" s="110" t="s">
        <v>554</v>
      </c>
      <c r="B640" s="111" t="s">
        <v>505</v>
      </c>
      <c r="C640" s="112" t="s">
        <v>449</v>
      </c>
      <c r="D640" s="113" t="s">
        <v>152</v>
      </c>
      <c r="E640" s="216" t="s">
        <v>15</v>
      </c>
      <c r="F640" s="216" t="s">
        <v>30</v>
      </c>
      <c r="G640" s="217">
        <v>9.26</v>
      </c>
      <c r="H640" s="218">
        <v>10.5</v>
      </c>
      <c r="I640" s="219">
        <v>30</v>
      </c>
      <c r="J640" s="220">
        <f t="shared" si="349"/>
        <v>2.9169</v>
      </c>
      <c r="K640" s="118"/>
      <c r="L640" s="111">
        <v>30</v>
      </c>
      <c r="M640" s="117">
        <f t="shared" si="350"/>
        <v>2.9169</v>
      </c>
      <c r="N640" s="119">
        <f t="shared" si="351"/>
        <v>0</v>
      </c>
      <c r="O640" s="120">
        <f t="shared" si="352"/>
        <v>0</v>
      </c>
      <c r="P640" s="111"/>
      <c r="Q640" s="111"/>
      <c r="R640" s="111"/>
    </row>
    <row r="641" spans="1:20" ht="15.6">
      <c r="A641" s="110" t="s">
        <v>554</v>
      </c>
      <c r="B641" s="111" t="s">
        <v>505</v>
      </c>
      <c r="C641" s="112" t="s">
        <v>449</v>
      </c>
      <c r="D641" s="113" t="s">
        <v>152</v>
      </c>
      <c r="E641" s="216" t="s">
        <v>15</v>
      </c>
      <c r="F641" s="216" t="s">
        <v>30</v>
      </c>
      <c r="G641" s="217">
        <v>9.26</v>
      </c>
      <c r="H641" s="218">
        <v>10.5</v>
      </c>
      <c r="I641" s="219">
        <v>30</v>
      </c>
      <c r="J641" s="220">
        <f t="shared" si="349"/>
        <v>2.9169</v>
      </c>
      <c r="K641" s="118"/>
      <c r="L641" s="111">
        <v>30</v>
      </c>
      <c r="M641" s="117">
        <f t="shared" si="350"/>
        <v>2.9169</v>
      </c>
      <c r="N641" s="119">
        <f t="shared" si="351"/>
        <v>0</v>
      </c>
      <c r="O641" s="120">
        <f t="shared" si="352"/>
        <v>0</v>
      </c>
      <c r="P641" s="111"/>
      <c r="Q641" s="111"/>
      <c r="R641" s="111"/>
    </row>
    <row r="642" spans="1:20" ht="15.6">
      <c r="A642" s="110" t="s">
        <v>554</v>
      </c>
      <c r="B642" s="111" t="s">
        <v>505</v>
      </c>
      <c r="C642" s="112" t="s">
        <v>449</v>
      </c>
      <c r="D642" s="113" t="s">
        <v>152</v>
      </c>
      <c r="E642" s="216" t="s">
        <v>15</v>
      </c>
      <c r="F642" s="216" t="s">
        <v>30</v>
      </c>
      <c r="G642" s="217">
        <v>9.26</v>
      </c>
      <c r="H642" s="218">
        <v>10</v>
      </c>
      <c r="I642" s="219">
        <v>30</v>
      </c>
      <c r="J642" s="220">
        <f t="shared" si="349"/>
        <v>2.778</v>
      </c>
      <c r="K642" s="118"/>
      <c r="L642" s="111">
        <v>30</v>
      </c>
      <c r="M642" s="117">
        <f t="shared" si="350"/>
        <v>2.778</v>
      </c>
      <c r="N642" s="119">
        <f t="shared" si="351"/>
        <v>0</v>
      </c>
      <c r="O642" s="120">
        <f t="shared" si="352"/>
        <v>0</v>
      </c>
      <c r="P642" s="111"/>
      <c r="Q642" s="111"/>
      <c r="R642" s="111"/>
    </row>
    <row r="643" spans="1:20" ht="15.6">
      <c r="A643" s="110" t="s">
        <v>554</v>
      </c>
      <c r="B643" s="111" t="s">
        <v>505</v>
      </c>
      <c r="C643" s="112" t="s">
        <v>449</v>
      </c>
      <c r="D643" s="113" t="s">
        <v>152</v>
      </c>
      <c r="E643" s="216" t="s">
        <v>15</v>
      </c>
      <c r="F643" s="216" t="s">
        <v>30</v>
      </c>
      <c r="G643" s="217">
        <v>9.26</v>
      </c>
      <c r="H643" s="218">
        <v>10</v>
      </c>
      <c r="I643" s="219">
        <v>30</v>
      </c>
      <c r="J643" s="220">
        <f t="shared" si="349"/>
        <v>2.778</v>
      </c>
      <c r="K643" s="118"/>
      <c r="L643" s="111">
        <v>30</v>
      </c>
      <c r="M643" s="117">
        <f t="shared" si="350"/>
        <v>2.778</v>
      </c>
      <c r="N643" s="119">
        <f t="shared" si="351"/>
        <v>0</v>
      </c>
      <c r="O643" s="120">
        <f t="shared" si="352"/>
        <v>0</v>
      </c>
      <c r="P643" s="111"/>
      <c r="Q643" s="111"/>
      <c r="R643" s="111"/>
    </row>
    <row r="644" spans="1:20" ht="15.6">
      <c r="A644" s="110" t="s">
        <v>554</v>
      </c>
      <c r="B644" s="111" t="s">
        <v>505</v>
      </c>
      <c r="C644" s="112" t="s">
        <v>449</v>
      </c>
      <c r="D644" s="113" t="s">
        <v>152</v>
      </c>
      <c r="E644" s="216" t="s">
        <v>15</v>
      </c>
      <c r="F644" s="216" t="s">
        <v>30</v>
      </c>
      <c r="G644" s="217">
        <v>9.26</v>
      </c>
      <c r="H644" s="218">
        <v>10.5</v>
      </c>
      <c r="I644" s="219">
        <v>30</v>
      </c>
      <c r="J644" s="220">
        <f t="shared" si="349"/>
        <v>2.9169</v>
      </c>
      <c r="K644" s="118"/>
      <c r="L644" s="111">
        <v>30</v>
      </c>
      <c r="M644" s="117">
        <f t="shared" si="350"/>
        <v>2.9169</v>
      </c>
      <c r="N644" s="119">
        <f t="shared" si="351"/>
        <v>0</v>
      </c>
      <c r="O644" s="120">
        <f t="shared" si="352"/>
        <v>0</v>
      </c>
      <c r="P644" s="111"/>
      <c r="Q644" s="111"/>
      <c r="R644" s="111"/>
    </row>
    <row r="645" spans="1:20" ht="15.6">
      <c r="A645" s="110" t="s">
        <v>554</v>
      </c>
      <c r="B645" s="111" t="s">
        <v>505</v>
      </c>
      <c r="C645" s="112" t="s">
        <v>449</v>
      </c>
      <c r="D645" s="113" t="s">
        <v>152</v>
      </c>
      <c r="E645" s="216" t="s">
        <v>15</v>
      </c>
      <c r="F645" s="216" t="s">
        <v>30</v>
      </c>
      <c r="G645" s="217">
        <v>9.26</v>
      </c>
      <c r="H645" s="218">
        <v>12</v>
      </c>
      <c r="I645" s="219">
        <v>27</v>
      </c>
      <c r="J645" s="220">
        <f t="shared" si="349"/>
        <v>3.0002400000000002</v>
      </c>
      <c r="K645" s="118"/>
      <c r="L645" s="111">
        <v>27</v>
      </c>
      <c r="M645" s="117">
        <f t="shared" si="350"/>
        <v>3.0002399999999998</v>
      </c>
      <c r="N645" s="119">
        <f t="shared" si="351"/>
        <v>0</v>
      </c>
      <c r="O645" s="120">
        <f t="shared" si="352"/>
        <v>0</v>
      </c>
      <c r="P645" s="111"/>
      <c r="Q645" s="111"/>
      <c r="R645" s="111"/>
    </row>
    <row r="646" spans="1:20" ht="15.6">
      <c r="A646" s="110" t="s">
        <v>554</v>
      </c>
      <c r="B646" s="111" t="s">
        <v>505</v>
      </c>
      <c r="C646" s="112" t="s">
        <v>449</v>
      </c>
      <c r="D646" s="113" t="s">
        <v>152</v>
      </c>
      <c r="E646" s="216" t="s">
        <v>15</v>
      </c>
      <c r="F646" s="216" t="s">
        <v>30</v>
      </c>
      <c r="G646" s="217">
        <v>9.26</v>
      </c>
      <c r="H646" s="218">
        <v>10</v>
      </c>
      <c r="I646" s="219">
        <v>13</v>
      </c>
      <c r="J646" s="220">
        <f t="shared" si="349"/>
        <v>1.2038</v>
      </c>
      <c r="K646" s="118"/>
      <c r="L646" s="111">
        <v>13</v>
      </c>
      <c r="M646" s="117">
        <f t="shared" si="350"/>
        <v>1.2038</v>
      </c>
      <c r="N646" s="119">
        <f t="shared" si="351"/>
        <v>0</v>
      </c>
      <c r="O646" s="120">
        <f t="shared" si="352"/>
        <v>0</v>
      </c>
      <c r="P646" s="111"/>
      <c r="Q646" s="111"/>
      <c r="R646" s="111"/>
    </row>
    <row r="647" spans="1:20" ht="15.6">
      <c r="A647" s="110" t="s">
        <v>554</v>
      </c>
      <c r="B647" s="111" t="s">
        <v>505</v>
      </c>
      <c r="C647" s="112" t="s">
        <v>449</v>
      </c>
      <c r="D647" s="113" t="s">
        <v>152</v>
      </c>
      <c r="E647" s="216" t="s">
        <v>15</v>
      </c>
      <c r="F647" s="216" t="s">
        <v>30</v>
      </c>
      <c r="G647" s="217">
        <v>9.26</v>
      </c>
      <c r="H647" s="218">
        <v>10.5</v>
      </c>
      <c r="I647" s="219">
        <v>5</v>
      </c>
      <c r="J647" s="220">
        <f t="shared" si="349"/>
        <v>0.48615000000000003</v>
      </c>
      <c r="K647" s="118"/>
      <c r="L647" s="111">
        <f>2+3</f>
        <v>5</v>
      </c>
      <c r="M647" s="117">
        <f t="shared" si="350"/>
        <v>0.48614999999999997</v>
      </c>
      <c r="N647" s="119">
        <f t="shared" si="351"/>
        <v>0</v>
      </c>
      <c r="O647" s="120">
        <f t="shared" si="352"/>
        <v>0</v>
      </c>
      <c r="P647" s="111">
        <v>10</v>
      </c>
      <c r="Q647" s="111">
        <v>3</v>
      </c>
      <c r="R647" s="111"/>
    </row>
    <row r="648" spans="1:20" ht="15.6">
      <c r="A648" s="110" t="s">
        <v>554</v>
      </c>
      <c r="B648" s="111" t="s">
        <v>505</v>
      </c>
      <c r="C648" s="112" t="s">
        <v>449</v>
      </c>
      <c r="D648" s="113" t="s">
        <v>152</v>
      </c>
      <c r="E648" s="216" t="s">
        <v>15</v>
      </c>
      <c r="F648" s="216" t="s">
        <v>30</v>
      </c>
      <c r="G648" s="217">
        <v>9.26</v>
      </c>
      <c r="H648" s="218">
        <v>9.1999999999999993</v>
      </c>
      <c r="I648" s="219">
        <v>1</v>
      </c>
      <c r="J648" s="220">
        <f t="shared" si="349"/>
        <v>8.519199999999999E-2</v>
      </c>
      <c r="K648" s="118"/>
      <c r="L648" s="111"/>
      <c r="M648" s="117">
        <f t="shared" si="350"/>
        <v>0</v>
      </c>
      <c r="N648" s="119">
        <f t="shared" si="351"/>
        <v>1</v>
      </c>
      <c r="O648" s="120">
        <f t="shared" si="352"/>
        <v>8.519199999999999E-2</v>
      </c>
      <c r="P648" s="111"/>
      <c r="Q648" s="111"/>
      <c r="R648" s="111"/>
    </row>
    <row r="649" spans="1:20" ht="15.6">
      <c r="A649" s="110" t="s">
        <v>554</v>
      </c>
      <c r="B649" s="111" t="s">
        <v>505</v>
      </c>
      <c r="C649" s="112" t="s">
        <v>449</v>
      </c>
      <c r="D649" s="113" t="s">
        <v>152</v>
      </c>
      <c r="E649" s="216" t="s">
        <v>15</v>
      </c>
      <c r="F649" s="216" t="s">
        <v>30</v>
      </c>
      <c r="G649" s="217">
        <v>9.26</v>
      </c>
      <c r="H649" s="218">
        <v>11.7</v>
      </c>
      <c r="I649" s="219">
        <v>2</v>
      </c>
      <c r="J649" s="220">
        <f t="shared" si="349"/>
        <v>0.21668399999999996</v>
      </c>
      <c r="K649" s="118"/>
      <c r="L649" s="111">
        <v>2</v>
      </c>
      <c r="M649" s="117">
        <f t="shared" si="350"/>
        <v>0.21668399999999996</v>
      </c>
      <c r="N649" s="119">
        <f t="shared" si="351"/>
        <v>0</v>
      </c>
      <c r="O649" s="120">
        <f t="shared" si="352"/>
        <v>0</v>
      </c>
      <c r="P649" s="111"/>
      <c r="Q649" s="111"/>
      <c r="R649" s="111">
        <v>11.3</v>
      </c>
      <c r="S649" s="354">
        <v>2</v>
      </c>
      <c r="T649" s="213" t="s">
        <v>764</v>
      </c>
    </row>
    <row r="650" spans="1:20" ht="15.6">
      <c r="A650" s="110" t="s">
        <v>554</v>
      </c>
      <c r="B650" s="111" t="s">
        <v>505</v>
      </c>
      <c r="C650" s="112" t="s">
        <v>449</v>
      </c>
      <c r="D650" s="113" t="s">
        <v>152</v>
      </c>
      <c r="E650" s="216" t="s">
        <v>15</v>
      </c>
      <c r="F650" s="216" t="s">
        <v>30</v>
      </c>
      <c r="G650" s="217">
        <v>9.26</v>
      </c>
      <c r="H650" s="218">
        <v>10</v>
      </c>
      <c r="I650" s="219">
        <v>32</v>
      </c>
      <c r="J650" s="220">
        <f t="shared" si="349"/>
        <v>2.9631999999999996</v>
      </c>
      <c r="K650" s="118"/>
      <c r="L650" s="111">
        <v>32</v>
      </c>
      <c r="M650" s="117">
        <f t="shared" si="350"/>
        <v>2.9631999999999996</v>
      </c>
      <c r="N650" s="119">
        <f t="shared" si="351"/>
        <v>0</v>
      </c>
      <c r="O650" s="120">
        <f t="shared" si="352"/>
        <v>0</v>
      </c>
      <c r="P650" s="111"/>
      <c r="Q650" s="111"/>
      <c r="R650" s="111"/>
    </row>
    <row r="651" spans="1:20" ht="15.6">
      <c r="A651" s="110" t="s">
        <v>554</v>
      </c>
      <c r="B651" s="111" t="s">
        <v>505</v>
      </c>
      <c r="C651" s="112" t="s">
        <v>449</v>
      </c>
      <c r="D651" s="113" t="s">
        <v>152</v>
      </c>
      <c r="E651" s="216" t="s">
        <v>15</v>
      </c>
      <c r="F651" s="216" t="s">
        <v>30</v>
      </c>
      <c r="G651" s="217">
        <v>9.26</v>
      </c>
      <c r="H651" s="218">
        <v>10</v>
      </c>
      <c r="I651" s="219">
        <v>10</v>
      </c>
      <c r="J651" s="220">
        <f t="shared" si="349"/>
        <v>0.92600000000000005</v>
      </c>
      <c r="K651" s="118"/>
      <c r="L651" s="111">
        <v>10</v>
      </c>
      <c r="M651" s="117">
        <f t="shared" si="350"/>
        <v>0.92600000000000005</v>
      </c>
      <c r="N651" s="119">
        <f t="shared" si="351"/>
        <v>0</v>
      </c>
      <c r="O651" s="120">
        <f t="shared" si="352"/>
        <v>0</v>
      </c>
      <c r="P651" s="111"/>
      <c r="Q651" s="111"/>
      <c r="R651" s="111"/>
    </row>
    <row r="652" spans="1:20" ht="15.6">
      <c r="A652" s="110" t="s">
        <v>554</v>
      </c>
      <c r="B652" s="111" t="s">
        <v>505</v>
      </c>
      <c r="C652" s="112" t="s">
        <v>449</v>
      </c>
      <c r="D652" s="113" t="s">
        <v>152</v>
      </c>
      <c r="E652" s="216" t="s">
        <v>15</v>
      </c>
      <c r="F652" s="216" t="s">
        <v>30</v>
      </c>
      <c r="G652" s="217">
        <v>9.26</v>
      </c>
      <c r="H652" s="218">
        <v>10.5</v>
      </c>
      <c r="I652" s="219">
        <v>18</v>
      </c>
      <c r="J652" s="220">
        <f t="shared" si="349"/>
        <v>1.75014</v>
      </c>
      <c r="K652" s="118"/>
      <c r="L652" s="111">
        <v>18</v>
      </c>
      <c r="M652" s="117">
        <f t="shared" si="350"/>
        <v>1.7501399999999998</v>
      </c>
      <c r="N652" s="119">
        <f t="shared" si="351"/>
        <v>0</v>
      </c>
      <c r="O652" s="120">
        <f t="shared" si="352"/>
        <v>0</v>
      </c>
      <c r="P652" s="111"/>
      <c r="Q652" s="111"/>
      <c r="R652" s="111"/>
    </row>
    <row r="653" spans="1:20" ht="15.6">
      <c r="A653" s="110" t="s">
        <v>554</v>
      </c>
      <c r="B653" s="111" t="s">
        <v>505</v>
      </c>
      <c r="C653" s="112" t="s">
        <v>449</v>
      </c>
      <c r="D653" s="113" t="s">
        <v>152</v>
      </c>
      <c r="E653" s="216" t="s">
        <v>15</v>
      </c>
      <c r="F653" s="216" t="s">
        <v>30</v>
      </c>
      <c r="G653" s="217">
        <v>9.26</v>
      </c>
      <c r="H653" s="218">
        <v>10.5</v>
      </c>
      <c r="I653" s="219">
        <v>35</v>
      </c>
      <c r="J653" s="220">
        <f t="shared" si="349"/>
        <v>3.4030500000000004</v>
      </c>
      <c r="K653" s="118"/>
      <c r="L653" s="111">
        <v>35</v>
      </c>
      <c r="M653" s="117">
        <f t="shared" si="350"/>
        <v>3.4030499999999999</v>
      </c>
      <c r="N653" s="119">
        <f t="shared" si="351"/>
        <v>0</v>
      </c>
      <c r="O653" s="120">
        <f t="shared" si="352"/>
        <v>0</v>
      </c>
      <c r="P653" s="111"/>
      <c r="Q653" s="111"/>
      <c r="R653" s="111"/>
    </row>
    <row r="654" spans="1:20" ht="15.6">
      <c r="A654" s="110" t="s">
        <v>554</v>
      </c>
      <c r="B654" s="111" t="s">
        <v>505</v>
      </c>
      <c r="C654" s="112" t="s">
        <v>449</v>
      </c>
      <c r="D654" s="113" t="s">
        <v>152</v>
      </c>
      <c r="E654" s="216" t="s">
        <v>15</v>
      </c>
      <c r="F654" s="216" t="s">
        <v>30</v>
      </c>
      <c r="G654" s="217">
        <v>9.26</v>
      </c>
      <c r="H654" s="218">
        <v>10.5</v>
      </c>
      <c r="I654" s="219">
        <v>32</v>
      </c>
      <c r="J654" s="220">
        <f t="shared" ref="J654:J662" si="353">(G654*H654*I654/1000)</f>
        <v>3.1113600000000003</v>
      </c>
      <c r="K654" s="118"/>
      <c r="L654" s="111">
        <v>32</v>
      </c>
      <c r="M654" s="117">
        <f t="shared" ref="M654:M662" si="354">H654*L654*G654/1000</f>
        <v>3.1113600000000003</v>
      </c>
      <c r="N654" s="119">
        <f t="shared" ref="N654:N662" si="355">I654-L654</f>
        <v>0</v>
      </c>
      <c r="O654" s="120">
        <f t="shared" ref="O654:O662" si="356">H654*N654*G654/1000</f>
        <v>0</v>
      </c>
      <c r="P654" s="111"/>
      <c r="Q654" s="111"/>
      <c r="R654" s="111"/>
    </row>
    <row r="655" spans="1:20" ht="15.6">
      <c r="A655" s="110" t="s">
        <v>554</v>
      </c>
      <c r="B655" s="111" t="s">
        <v>505</v>
      </c>
      <c r="C655" s="112" t="s">
        <v>449</v>
      </c>
      <c r="D655" s="113" t="s">
        <v>152</v>
      </c>
      <c r="E655" s="216" t="s">
        <v>15</v>
      </c>
      <c r="F655" s="216" t="s">
        <v>30</v>
      </c>
      <c r="G655" s="217">
        <v>9.26</v>
      </c>
      <c r="H655" s="218">
        <v>10.5</v>
      </c>
      <c r="I655" s="219">
        <v>32</v>
      </c>
      <c r="J655" s="220">
        <f t="shared" si="353"/>
        <v>3.1113600000000003</v>
      </c>
      <c r="K655" s="118"/>
      <c r="L655" s="111">
        <v>32</v>
      </c>
      <c r="M655" s="117">
        <f t="shared" si="354"/>
        <v>3.1113600000000003</v>
      </c>
      <c r="N655" s="119">
        <f t="shared" si="355"/>
        <v>0</v>
      </c>
      <c r="O655" s="120">
        <f t="shared" si="356"/>
        <v>0</v>
      </c>
      <c r="P655" s="111"/>
      <c r="Q655" s="111"/>
      <c r="R655" s="111"/>
    </row>
    <row r="656" spans="1:20" ht="15.6">
      <c r="A656" s="110" t="s">
        <v>554</v>
      </c>
      <c r="B656" s="111" t="s">
        <v>505</v>
      </c>
      <c r="C656" s="112" t="s">
        <v>449</v>
      </c>
      <c r="D656" s="113" t="s">
        <v>152</v>
      </c>
      <c r="E656" s="216" t="s">
        <v>15</v>
      </c>
      <c r="F656" s="216" t="s">
        <v>30</v>
      </c>
      <c r="G656" s="217">
        <v>9.26</v>
      </c>
      <c r="H656" s="218">
        <v>10.5</v>
      </c>
      <c r="I656" s="219">
        <v>32</v>
      </c>
      <c r="J656" s="220">
        <f t="shared" si="353"/>
        <v>3.1113600000000003</v>
      </c>
      <c r="K656" s="118"/>
      <c r="L656" s="111">
        <v>32</v>
      </c>
      <c r="M656" s="117">
        <f t="shared" si="354"/>
        <v>3.1113600000000003</v>
      </c>
      <c r="N656" s="119">
        <f t="shared" si="355"/>
        <v>0</v>
      </c>
      <c r="O656" s="120">
        <f t="shared" si="356"/>
        <v>0</v>
      </c>
      <c r="P656" s="111"/>
      <c r="Q656" s="111"/>
      <c r="R656" s="111"/>
    </row>
    <row r="657" spans="1:20" ht="15.6">
      <c r="A657" s="110" t="s">
        <v>554</v>
      </c>
      <c r="B657" s="111" t="s">
        <v>505</v>
      </c>
      <c r="C657" s="112" t="s">
        <v>449</v>
      </c>
      <c r="D657" s="113" t="s">
        <v>152</v>
      </c>
      <c r="E657" s="216" t="s">
        <v>15</v>
      </c>
      <c r="F657" s="216" t="s">
        <v>30</v>
      </c>
      <c r="G657" s="217">
        <v>9.26</v>
      </c>
      <c r="H657" s="218">
        <v>10.5</v>
      </c>
      <c r="I657" s="219">
        <v>32</v>
      </c>
      <c r="J657" s="220">
        <f t="shared" si="353"/>
        <v>3.1113600000000003</v>
      </c>
      <c r="K657" s="118"/>
      <c r="L657" s="111">
        <v>32</v>
      </c>
      <c r="M657" s="117">
        <f t="shared" si="354"/>
        <v>3.1113600000000003</v>
      </c>
      <c r="N657" s="119">
        <f t="shared" si="355"/>
        <v>0</v>
      </c>
      <c r="O657" s="120">
        <f t="shared" si="356"/>
        <v>0</v>
      </c>
      <c r="P657" s="111"/>
      <c r="Q657" s="111"/>
      <c r="R657" s="111"/>
    </row>
    <row r="658" spans="1:20" ht="15.6">
      <c r="A658" s="110" t="s">
        <v>554</v>
      </c>
      <c r="B658" s="111" t="s">
        <v>505</v>
      </c>
      <c r="C658" s="112" t="s">
        <v>449</v>
      </c>
      <c r="D658" s="113" t="s">
        <v>152</v>
      </c>
      <c r="E658" s="216" t="s">
        <v>15</v>
      </c>
      <c r="F658" s="216" t="s">
        <v>30</v>
      </c>
      <c r="G658" s="217">
        <v>9.26</v>
      </c>
      <c r="H658" s="218">
        <v>10.5</v>
      </c>
      <c r="I658" s="219">
        <v>32</v>
      </c>
      <c r="J658" s="220">
        <f t="shared" si="353"/>
        <v>3.1113600000000003</v>
      </c>
      <c r="K658" s="118"/>
      <c r="L658" s="111">
        <v>32</v>
      </c>
      <c r="M658" s="117">
        <f t="shared" si="354"/>
        <v>3.1113600000000003</v>
      </c>
      <c r="N658" s="119">
        <f t="shared" si="355"/>
        <v>0</v>
      </c>
      <c r="O658" s="120">
        <f t="shared" si="356"/>
        <v>0</v>
      </c>
      <c r="P658" s="111"/>
      <c r="Q658" s="111"/>
      <c r="R658" s="111"/>
    </row>
    <row r="659" spans="1:20" ht="15.6">
      <c r="A659" s="110" t="s">
        <v>554</v>
      </c>
      <c r="B659" s="111" t="s">
        <v>505</v>
      </c>
      <c r="C659" s="112" t="s">
        <v>449</v>
      </c>
      <c r="D659" s="113" t="s">
        <v>152</v>
      </c>
      <c r="E659" s="216" t="s">
        <v>15</v>
      </c>
      <c r="F659" s="216" t="s">
        <v>30</v>
      </c>
      <c r="G659" s="217">
        <v>9.26</v>
      </c>
      <c r="H659" s="218">
        <v>12</v>
      </c>
      <c r="I659" s="219">
        <v>30</v>
      </c>
      <c r="J659" s="220">
        <f t="shared" si="353"/>
        <v>3.3336000000000006</v>
      </c>
      <c r="K659" s="118"/>
      <c r="L659" s="111">
        <v>30</v>
      </c>
      <c r="M659" s="117">
        <f t="shared" si="354"/>
        <v>3.3336000000000001</v>
      </c>
      <c r="N659" s="119">
        <f t="shared" si="355"/>
        <v>0</v>
      </c>
      <c r="O659" s="120">
        <f t="shared" si="356"/>
        <v>0</v>
      </c>
      <c r="P659" s="111"/>
      <c r="Q659" s="111"/>
      <c r="R659" s="111"/>
    </row>
    <row r="660" spans="1:20" ht="15.6">
      <c r="A660" s="110" t="s">
        <v>554</v>
      </c>
      <c r="B660" s="111" t="s">
        <v>505</v>
      </c>
      <c r="C660" s="112" t="s">
        <v>449</v>
      </c>
      <c r="D660" s="113" t="s">
        <v>152</v>
      </c>
      <c r="E660" s="216" t="s">
        <v>15</v>
      </c>
      <c r="F660" s="216" t="s">
        <v>30</v>
      </c>
      <c r="G660" s="217">
        <v>9.26</v>
      </c>
      <c r="H660" s="218">
        <v>12</v>
      </c>
      <c r="I660" s="219">
        <v>12</v>
      </c>
      <c r="J660" s="220">
        <f t="shared" si="353"/>
        <v>1.33344</v>
      </c>
      <c r="K660" s="118"/>
      <c r="L660" s="111">
        <f>3+9</f>
        <v>12</v>
      </c>
      <c r="M660" s="117">
        <f t="shared" si="354"/>
        <v>1.33344</v>
      </c>
      <c r="N660" s="119">
        <f t="shared" si="355"/>
        <v>0</v>
      </c>
      <c r="O660" s="120">
        <f t="shared" si="356"/>
        <v>0</v>
      </c>
      <c r="P660" s="111"/>
      <c r="Q660" s="111"/>
      <c r="R660" s="130">
        <v>11.3</v>
      </c>
      <c r="S660" s="354">
        <v>9</v>
      </c>
      <c r="T660" s="213" t="s">
        <v>764</v>
      </c>
    </row>
    <row r="661" spans="1:20" ht="15.6">
      <c r="A661" s="110" t="s">
        <v>554</v>
      </c>
      <c r="B661" s="111" t="s">
        <v>505</v>
      </c>
      <c r="C661" s="112" t="s">
        <v>449</v>
      </c>
      <c r="D661" s="113" t="s">
        <v>152</v>
      </c>
      <c r="E661" s="216" t="s">
        <v>15</v>
      </c>
      <c r="F661" s="216" t="s">
        <v>30</v>
      </c>
      <c r="G661" s="217">
        <v>9.26</v>
      </c>
      <c r="H661" s="218">
        <v>11.5</v>
      </c>
      <c r="I661" s="219">
        <v>2</v>
      </c>
      <c r="J661" s="220">
        <f t="shared" si="353"/>
        <v>0.21298</v>
      </c>
      <c r="K661" s="118"/>
      <c r="L661" s="111">
        <v>2</v>
      </c>
      <c r="M661" s="117">
        <f t="shared" si="354"/>
        <v>0.21298</v>
      </c>
      <c r="N661" s="119">
        <f t="shared" si="355"/>
        <v>0</v>
      </c>
      <c r="O661" s="120">
        <f t="shared" si="356"/>
        <v>0</v>
      </c>
      <c r="P661" s="111">
        <v>10</v>
      </c>
      <c r="Q661" s="111">
        <v>2</v>
      </c>
      <c r="R661" s="130"/>
    </row>
    <row r="662" spans="1:20" ht="15.6">
      <c r="A662" s="110" t="s">
        <v>554</v>
      </c>
      <c r="B662" s="111" t="s">
        <v>505</v>
      </c>
      <c r="C662" s="112" t="s">
        <v>449</v>
      </c>
      <c r="D662" s="113" t="s">
        <v>152</v>
      </c>
      <c r="E662" s="216" t="s">
        <v>15</v>
      </c>
      <c r="F662" s="216" t="s">
        <v>30</v>
      </c>
      <c r="G662" s="217">
        <v>9.26</v>
      </c>
      <c r="H662" s="218">
        <v>11.65</v>
      </c>
      <c r="I662" s="219">
        <v>3</v>
      </c>
      <c r="J662" s="220">
        <f t="shared" si="353"/>
        <v>0.32363700000000001</v>
      </c>
      <c r="K662" s="118"/>
      <c r="L662" s="111">
        <f>2+1</f>
        <v>3</v>
      </c>
      <c r="M662" s="117">
        <f t="shared" si="354"/>
        <v>0.32363700000000001</v>
      </c>
      <c r="N662" s="119">
        <f t="shared" si="355"/>
        <v>0</v>
      </c>
      <c r="O662" s="120">
        <f t="shared" si="356"/>
        <v>0</v>
      </c>
      <c r="P662" s="111">
        <v>10</v>
      </c>
      <c r="Q662" s="111">
        <v>2</v>
      </c>
      <c r="R662" s="130">
        <v>11.3</v>
      </c>
      <c r="S662" s="514">
        <v>1</v>
      </c>
      <c r="T662" s="213" t="s">
        <v>764</v>
      </c>
    </row>
    <row r="663" spans="1:20">
      <c r="A663" s="32"/>
      <c r="B663" s="32"/>
      <c r="C663" s="32"/>
      <c r="D663" s="32"/>
      <c r="E663" s="32"/>
      <c r="F663" s="32"/>
      <c r="G663" s="32"/>
      <c r="H663" s="32"/>
      <c r="I663" s="129">
        <f>SUM(I636:I662)</f>
        <v>620</v>
      </c>
      <c r="J663" s="124">
        <f>SUM(J636:J662)</f>
        <v>60.769212999999993</v>
      </c>
      <c r="K663" s="32"/>
      <c r="L663" s="129">
        <f>SUM(L636:L662)</f>
        <v>619</v>
      </c>
      <c r="M663" s="124">
        <f>SUM(M636:M662)</f>
        <v>60.684020999999987</v>
      </c>
      <c r="N663" s="129">
        <f>SUM(N636:N662)</f>
        <v>1</v>
      </c>
      <c r="O663" s="124">
        <f>SUM(O636:O662)</f>
        <v>8.519199999999999E-2</v>
      </c>
      <c r="P663" s="32"/>
      <c r="Q663" s="32"/>
      <c r="R663" s="32"/>
    </row>
    <row r="665" spans="1:20" s="213" customFormat="1"/>
    <row r="666" spans="1:20" s="213" customFormat="1" ht="15.6">
      <c r="A666" s="110" t="s">
        <v>554</v>
      </c>
      <c r="B666" s="111" t="s">
        <v>232</v>
      </c>
      <c r="C666" s="112" t="s">
        <v>449</v>
      </c>
      <c r="D666" s="113" t="s">
        <v>326</v>
      </c>
      <c r="E666" s="216" t="s">
        <v>14</v>
      </c>
      <c r="F666" s="216" t="s">
        <v>22</v>
      </c>
      <c r="G666" s="217">
        <v>10.73</v>
      </c>
      <c r="H666" s="218">
        <v>8.75</v>
      </c>
      <c r="I666" s="219">
        <v>7</v>
      </c>
      <c r="J666" s="220">
        <f t="shared" ref="J666:J669" si="357">(G666*H666*I666/1000)</f>
        <v>0.65721249999999998</v>
      </c>
      <c r="K666" s="118"/>
      <c r="L666" s="219">
        <v>7</v>
      </c>
      <c r="M666" s="117">
        <f t="shared" ref="M666:M669" si="358">H666*L666*G666/1000</f>
        <v>0.65721249999999998</v>
      </c>
      <c r="N666" s="119">
        <f t="shared" ref="N666:N669" si="359">I666-L666</f>
        <v>0</v>
      </c>
      <c r="O666" s="120">
        <f t="shared" ref="O666:O669" si="360">H666*N666*G666/1000</f>
        <v>0</v>
      </c>
      <c r="P666" s="130"/>
      <c r="Q666" s="111"/>
      <c r="R666" s="111"/>
    </row>
    <row r="667" spans="1:20" s="213" customFormat="1" ht="15.6">
      <c r="A667" s="110" t="s">
        <v>554</v>
      </c>
      <c r="B667" s="111" t="s">
        <v>232</v>
      </c>
      <c r="C667" s="112" t="s">
        <v>449</v>
      </c>
      <c r="D667" s="113" t="s">
        <v>326</v>
      </c>
      <c r="E667" s="216" t="s">
        <v>14</v>
      </c>
      <c r="F667" s="216" t="s">
        <v>22</v>
      </c>
      <c r="G667" s="217">
        <v>10.73</v>
      </c>
      <c r="H667" s="218">
        <v>7.6</v>
      </c>
      <c r="I667" s="219">
        <v>9</v>
      </c>
      <c r="J667" s="220">
        <f t="shared" si="357"/>
        <v>0.73393200000000003</v>
      </c>
      <c r="K667" s="118"/>
      <c r="L667" s="219">
        <v>9</v>
      </c>
      <c r="M667" s="117">
        <f t="shared" si="358"/>
        <v>0.73393199999999992</v>
      </c>
      <c r="N667" s="119">
        <f t="shared" si="359"/>
        <v>0</v>
      </c>
      <c r="O667" s="120">
        <f t="shared" si="360"/>
        <v>0</v>
      </c>
      <c r="P667" s="130"/>
      <c r="Q667" s="111"/>
      <c r="R667" s="111"/>
    </row>
    <row r="668" spans="1:20" s="213" customFormat="1" ht="15.6">
      <c r="A668" s="110" t="s">
        <v>554</v>
      </c>
      <c r="B668" s="111" t="s">
        <v>232</v>
      </c>
      <c r="C668" s="112" t="s">
        <v>449</v>
      </c>
      <c r="D668" s="113" t="s">
        <v>326</v>
      </c>
      <c r="E668" s="216" t="s">
        <v>14</v>
      </c>
      <c r="F668" s="216" t="s">
        <v>22</v>
      </c>
      <c r="G668" s="217">
        <v>10.73</v>
      </c>
      <c r="H668" s="218">
        <v>11.5</v>
      </c>
      <c r="I668" s="219">
        <v>7</v>
      </c>
      <c r="J668" s="220">
        <f t="shared" si="357"/>
        <v>0.86376500000000012</v>
      </c>
      <c r="K668" s="118"/>
      <c r="L668" s="219">
        <v>7</v>
      </c>
      <c r="M668" s="117">
        <f t="shared" si="358"/>
        <v>0.86376500000000001</v>
      </c>
      <c r="N668" s="119">
        <f t="shared" si="359"/>
        <v>0</v>
      </c>
      <c r="O668" s="120">
        <f t="shared" si="360"/>
        <v>0</v>
      </c>
      <c r="P668" s="130"/>
      <c r="Q668" s="111"/>
      <c r="R668" s="111"/>
    </row>
    <row r="669" spans="1:20" s="213" customFormat="1" ht="15.6">
      <c r="A669" s="110" t="s">
        <v>554</v>
      </c>
      <c r="B669" s="111" t="s">
        <v>232</v>
      </c>
      <c r="C669" s="112" t="s">
        <v>449</v>
      </c>
      <c r="D669" s="113" t="s">
        <v>326</v>
      </c>
      <c r="E669" s="216" t="s">
        <v>14</v>
      </c>
      <c r="F669" s="216" t="s">
        <v>22</v>
      </c>
      <c r="G669" s="217">
        <v>10.73</v>
      </c>
      <c r="H669" s="218">
        <v>12</v>
      </c>
      <c r="I669" s="219">
        <v>7</v>
      </c>
      <c r="J669" s="220">
        <f t="shared" si="357"/>
        <v>0.9013199999999999</v>
      </c>
      <c r="K669" s="118"/>
      <c r="L669" s="219">
        <f>2+4+1</f>
        <v>7</v>
      </c>
      <c r="M669" s="117">
        <f t="shared" si="358"/>
        <v>0.90132000000000001</v>
      </c>
      <c r="N669" s="119">
        <f t="shared" si="359"/>
        <v>0</v>
      </c>
      <c r="O669" s="120">
        <f t="shared" si="360"/>
        <v>0</v>
      </c>
      <c r="P669" s="130">
        <v>10</v>
      </c>
      <c r="Q669" s="111">
        <v>2</v>
      </c>
      <c r="R669" s="130" t="s">
        <v>765</v>
      </c>
      <c r="S669" s="354">
        <v>5</v>
      </c>
      <c r="T669" s="213" t="s">
        <v>768</v>
      </c>
    </row>
    <row r="670" spans="1:20" s="213" customFormat="1" ht="15.6">
      <c r="A670" s="110" t="s">
        <v>554</v>
      </c>
      <c r="B670" s="111" t="s">
        <v>232</v>
      </c>
      <c r="C670" s="112" t="s">
        <v>449</v>
      </c>
      <c r="D670" s="113" t="s">
        <v>326</v>
      </c>
      <c r="E670" s="216" t="s">
        <v>14</v>
      </c>
      <c r="F670" s="216" t="s">
        <v>22</v>
      </c>
      <c r="G670" s="217">
        <v>10.73</v>
      </c>
      <c r="H670" s="218">
        <v>8.75</v>
      </c>
      <c r="I670" s="219">
        <v>13</v>
      </c>
      <c r="J670" s="220">
        <f t="shared" ref="J670:J674" si="361">(G670*H670*I670/1000)</f>
        <v>1.2205375000000001</v>
      </c>
      <c r="K670" s="118"/>
      <c r="L670" s="219">
        <v>13</v>
      </c>
      <c r="M670" s="117">
        <f t="shared" ref="M670:M674" si="362">H670*L670*G670/1000</f>
        <v>1.2205375000000001</v>
      </c>
      <c r="N670" s="119">
        <f t="shared" ref="N670:N674" si="363">I670-L670</f>
        <v>0</v>
      </c>
      <c r="O670" s="120">
        <f t="shared" ref="O670:O672" si="364">H670*N670*G670/1000</f>
        <v>0</v>
      </c>
      <c r="P670" s="130"/>
      <c r="Q670" s="111"/>
      <c r="R670" s="111"/>
    </row>
    <row r="671" spans="1:20" s="213" customFormat="1" ht="15.6">
      <c r="A671" s="110" t="s">
        <v>554</v>
      </c>
      <c r="B671" s="111" t="s">
        <v>232</v>
      </c>
      <c r="C671" s="112" t="s">
        <v>449</v>
      </c>
      <c r="D671" s="113" t="s">
        <v>326</v>
      </c>
      <c r="E671" s="216" t="s">
        <v>14</v>
      </c>
      <c r="F671" s="216" t="s">
        <v>22</v>
      </c>
      <c r="G671" s="217">
        <v>10.73</v>
      </c>
      <c r="H671" s="218">
        <v>11.5</v>
      </c>
      <c r="I671" s="219">
        <v>12</v>
      </c>
      <c r="J671" s="220">
        <f t="shared" si="361"/>
        <v>1.4807400000000002</v>
      </c>
      <c r="K671" s="118"/>
      <c r="L671" s="219">
        <v>12</v>
      </c>
      <c r="M671" s="117">
        <f t="shared" si="362"/>
        <v>1.4807399999999999</v>
      </c>
      <c r="N671" s="119">
        <f t="shared" si="363"/>
        <v>0</v>
      </c>
      <c r="O671" s="120">
        <f t="shared" si="364"/>
        <v>0</v>
      </c>
      <c r="P671" s="130"/>
      <c r="Q671" s="111"/>
      <c r="R671" s="111"/>
    </row>
    <row r="672" spans="1:20" s="213" customFormat="1" ht="15.6">
      <c r="A672" s="110" t="s">
        <v>554</v>
      </c>
      <c r="B672" s="111" t="s">
        <v>232</v>
      </c>
      <c r="C672" s="112" t="s">
        <v>449</v>
      </c>
      <c r="D672" s="113" t="s">
        <v>326</v>
      </c>
      <c r="E672" s="216" t="s">
        <v>14</v>
      </c>
      <c r="F672" s="216" t="s">
        <v>22</v>
      </c>
      <c r="G672" s="217">
        <v>10.73</v>
      </c>
      <c r="H672" s="218">
        <v>7.6</v>
      </c>
      <c r="I672" s="219">
        <v>9</v>
      </c>
      <c r="J672" s="220">
        <f t="shared" si="361"/>
        <v>0.73393200000000003</v>
      </c>
      <c r="K672" s="118"/>
      <c r="L672" s="219">
        <v>9</v>
      </c>
      <c r="M672" s="117">
        <f t="shared" si="362"/>
        <v>0.73393199999999992</v>
      </c>
      <c r="N672" s="119">
        <f t="shared" si="363"/>
        <v>0</v>
      </c>
      <c r="O672" s="120">
        <f t="shared" si="364"/>
        <v>0</v>
      </c>
      <c r="P672" s="130"/>
      <c r="Q672" s="111"/>
      <c r="R672" s="111"/>
    </row>
    <row r="673" spans="1:20" s="213" customFormat="1" ht="15.6">
      <c r="A673" s="110" t="s">
        <v>554</v>
      </c>
      <c r="B673" s="111" t="s">
        <v>232</v>
      </c>
      <c r="C673" s="112" t="s">
        <v>449</v>
      </c>
      <c r="D673" s="113" t="s">
        <v>326</v>
      </c>
      <c r="E673" s="216" t="s">
        <v>14</v>
      </c>
      <c r="F673" s="216" t="s">
        <v>22</v>
      </c>
      <c r="G673" s="217">
        <v>10.73</v>
      </c>
      <c r="H673" s="218">
        <v>7.6</v>
      </c>
      <c r="I673" s="219">
        <v>4</v>
      </c>
      <c r="J673" s="220">
        <f t="shared" si="361"/>
        <v>0.32619199999999998</v>
      </c>
      <c r="K673" s="118"/>
      <c r="L673" s="219">
        <v>4</v>
      </c>
      <c r="M673" s="117">
        <f t="shared" si="362"/>
        <v>0.32619199999999998</v>
      </c>
      <c r="N673" s="119">
        <f t="shared" si="363"/>
        <v>0</v>
      </c>
      <c r="O673" s="120">
        <f>H673*N673*G673/1000</f>
        <v>0</v>
      </c>
      <c r="P673" s="130"/>
      <c r="Q673" s="111"/>
      <c r="R673" s="130">
        <v>7.1</v>
      </c>
      <c r="S673" s="354">
        <v>4</v>
      </c>
      <c r="T673" s="213" t="s">
        <v>767</v>
      </c>
    </row>
    <row r="674" spans="1:20" s="213" customFormat="1" ht="15.6">
      <c r="A674" s="110" t="s">
        <v>554</v>
      </c>
      <c r="B674" s="111" t="s">
        <v>232</v>
      </c>
      <c r="C674" s="112" t="s">
        <v>449</v>
      </c>
      <c r="D674" s="113" t="s">
        <v>326</v>
      </c>
      <c r="E674" s="216" t="s">
        <v>14</v>
      </c>
      <c r="F674" s="216" t="s">
        <v>22</v>
      </c>
      <c r="G674" s="217">
        <v>10.73</v>
      </c>
      <c r="H674" s="218">
        <v>11</v>
      </c>
      <c r="I674" s="219">
        <v>1</v>
      </c>
      <c r="J674" s="220">
        <f t="shared" si="361"/>
        <v>0.11803</v>
      </c>
      <c r="K674" s="118"/>
      <c r="L674" s="219">
        <v>1</v>
      </c>
      <c r="M674" s="117">
        <f t="shared" si="362"/>
        <v>0.11803</v>
      </c>
      <c r="N674" s="119">
        <f t="shared" si="363"/>
        <v>0</v>
      </c>
      <c r="O674" s="120">
        <f>H674*N674*G674/1000</f>
        <v>0</v>
      </c>
      <c r="P674" s="130"/>
      <c r="Q674" s="111"/>
      <c r="R674" s="130">
        <v>6.45</v>
      </c>
      <c r="S674" s="354">
        <v>1</v>
      </c>
      <c r="T674" s="213" t="s">
        <v>766</v>
      </c>
    </row>
    <row r="675" spans="1:20" s="213" customFormat="1">
      <c r="I675" s="215">
        <f>SUM(I666:I674)</f>
        <v>69</v>
      </c>
      <c r="J675" s="214">
        <f>SUM(J666:J674)</f>
        <v>7.0356610000000002</v>
      </c>
      <c r="L675" s="215">
        <f>SUM(L666:L674)</f>
        <v>69</v>
      </c>
      <c r="M675" s="214">
        <f>SUM(M666:M674)</f>
        <v>7.0356610000000002</v>
      </c>
      <c r="N675" s="78">
        <f>SUM(N666:N674)</f>
        <v>0</v>
      </c>
      <c r="O675" s="128">
        <f>SUM(O666:O674)</f>
        <v>0</v>
      </c>
    </row>
    <row r="677" spans="1:20" s="213" customFormat="1" ht="15.6">
      <c r="A677" s="110" t="s">
        <v>554</v>
      </c>
      <c r="B677" s="111" t="s">
        <v>505</v>
      </c>
      <c r="C677" s="112" t="s">
        <v>449</v>
      </c>
      <c r="D677" s="113" t="s">
        <v>20</v>
      </c>
      <c r="E677" s="216" t="s">
        <v>15</v>
      </c>
      <c r="F677" s="216" t="s">
        <v>22</v>
      </c>
      <c r="G677" s="217">
        <v>10.73</v>
      </c>
      <c r="H677" s="218">
        <v>10.5</v>
      </c>
      <c r="I677" s="219">
        <v>27</v>
      </c>
      <c r="J677" s="220">
        <f t="shared" ref="J677:J692" si="365">(G677*H677*I677/1000)</f>
        <v>3.0419550000000002</v>
      </c>
      <c r="K677" s="118"/>
      <c r="L677" s="219">
        <v>27</v>
      </c>
      <c r="M677" s="117">
        <f t="shared" ref="M677:M692" si="366">H677*L677*G677/1000</f>
        <v>3.0419549999999997</v>
      </c>
      <c r="N677" s="119">
        <f t="shared" ref="N677:N692" si="367">I677-L677</f>
        <v>0</v>
      </c>
      <c r="O677" s="120">
        <f t="shared" ref="O677:O682" si="368">H677*N677*G677/1000</f>
        <v>0</v>
      </c>
      <c r="P677" s="130"/>
      <c r="Q677" s="111"/>
      <c r="R677" s="111"/>
    </row>
    <row r="678" spans="1:20" s="213" customFormat="1" ht="15.6">
      <c r="A678" s="110" t="s">
        <v>554</v>
      </c>
      <c r="B678" s="111" t="s">
        <v>505</v>
      </c>
      <c r="C678" s="112" t="s">
        <v>449</v>
      </c>
      <c r="D678" s="113" t="s">
        <v>20</v>
      </c>
      <c r="E678" s="216" t="s">
        <v>15</v>
      </c>
      <c r="F678" s="216" t="s">
        <v>22</v>
      </c>
      <c r="G678" s="217">
        <v>10.73</v>
      </c>
      <c r="H678" s="218">
        <v>10.5</v>
      </c>
      <c r="I678" s="219">
        <v>27</v>
      </c>
      <c r="J678" s="220">
        <f t="shared" si="365"/>
        <v>3.0419550000000002</v>
      </c>
      <c r="K678" s="118"/>
      <c r="L678" s="219">
        <v>27</v>
      </c>
      <c r="M678" s="117">
        <f t="shared" si="366"/>
        <v>3.0419549999999997</v>
      </c>
      <c r="N678" s="119">
        <f t="shared" si="367"/>
        <v>0</v>
      </c>
      <c r="O678" s="120">
        <f t="shared" si="368"/>
        <v>0</v>
      </c>
      <c r="P678" s="130"/>
      <c r="Q678" s="111"/>
      <c r="R678" s="111"/>
    </row>
    <row r="679" spans="1:20" s="213" customFormat="1" ht="15.6">
      <c r="A679" s="110" t="s">
        <v>554</v>
      </c>
      <c r="B679" s="111" t="s">
        <v>505</v>
      </c>
      <c r="C679" s="112" t="s">
        <v>449</v>
      </c>
      <c r="D679" s="113" t="s">
        <v>20</v>
      </c>
      <c r="E679" s="216" t="s">
        <v>15</v>
      </c>
      <c r="F679" s="216" t="s">
        <v>22</v>
      </c>
      <c r="G679" s="217">
        <v>10.73</v>
      </c>
      <c r="H679" s="218">
        <v>10.5</v>
      </c>
      <c r="I679" s="219">
        <v>9</v>
      </c>
      <c r="J679" s="220">
        <f t="shared" si="365"/>
        <v>1.0139849999999999</v>
      </c>
      <c r="K679" s="118"/>
      <c r="L679" s="219">
        <v>9</v>
      </c>
      <c r="M679" s="117">
        <f t="shared" si="366"/>
        <v>1.0139849999999999</v>
      </c>
      <c r="N679" s="119">
        <f t="shared" si="367"/>
        <v>0</v>
      </c>
      <c r="O679" s="120">
        <f t="shared" si="368"/>
        <v>0</v>
      </c>
      <c r="P679" s="130"/>
      <c r="Q679" s="111"/>
      <c r="R679" s="111"/>
    </row>
    <row r="680" spans="1:20" s="213" customFormat="1" ht="15.6">
      <c r="A680" s="110" t="s">
        <v>554</v>
      </c>
      <c r="B680" s="111" t="s">
        <v>505</v>
      </c>
      <c r="C680" s="112" t="s">
        <v>449</v>
      </c>
      <c r="D680" s="113" t="s">
        <v>20</v>
      </c>
      <c r="E680" s="216" t="s">
        <v>15</v>
      </c>
      <c r="F680" s="216" t="s">
        <v>22</v>
      </c>
      <c r="G680" s="217">
        <v>10.73</v>
      </c>
      <c r="H680" s="218">
        <v>10.25</v>
      </c>
      <c r="I680" s="219">
        <v>2</v>
      </c>
      <c r="J680" s="220">
        <f t="shared" si="365"/>
        <v>0.21996499999999999</v>
      </c>
      <c r="K680" s="118"/>
      <c r="L680" s="219">
        <v>2</v>
      </c>
      <c r="M680" s="117">
        <f t="shared" si="366"/>
        <v>0.21996499999999999</v>
      </c>
      <c r="N680" s="119">
        <f t="shared" si="367"/>
        <v>0</v>
      </c>
      <c r="O680" s="120">
        <f t="shared" si="368"/>
        <v>0</v>
      </c>
      <c r="P680" s="130">
        <v>9.35</v>
      </c>
      <c r="Q680" s="45">
        <v>2</v>
      </c>
      <c r="R680" s="111" t="s">
        <v>701</v>
      </c>
    </row>
    <row r="681" spans="1:20" s="213" customFormat="1" ht="15.6">
      <c r="A681" s="110" t="s">
        <v>554</v>
      </c>
      <c r="B681" s="111" t="s">
        <v>505</v>
      </c>
      <c r="C681" s="112" t="s">
        <v>449</v>
      </c>
      <c r="D681" s="113" t="s">
        <v>20</v>
      </c>
      <c r="E681" s="216" t="s">
        <v>15</v>
      </c>
      <c r="F681" s="216" t="s">
        <v>22</v>
      </c>
      <c r="G681" s="217">
        <v>10.73</v>
      </c>
      <c r="H681" s="218">
        <v>10.3</v>
      </c>
      <c r="I681" s="219">
        <v>3</v>
      </c>
      <c r="J681" s="220">
        <f t="shared" si="365"/>
        <v>0.33155699999999999</v>
      </c>
      <c r="K681" s="118"/>
      <c r="L681" s="219">
        <v>3</v>
      </c>
      <c r="M681" s="117">
        <f t="shared" si="366"/>
        <v>0.33155699999999999</v>
      </c>
      <c r="N681" s="119">
        <f t="shared" si="367"/>
        <v>0</v>
      </c>
      <c r="O681" s="120">
        <f t="shared" si="368"/>
        <v>0</v>
      </c>
      <c r="P681" s="130">
        <v>9.35</v>
      </c>
      <c r="Q681" s="45">
        <v>3</v>
      </c>
      <c r="R681" s="111" t="s">
        <v>701</v>
      </c>
    </row>
    <row r="682" spans="1:20" s="213" customFormat="1" ht="15.6">
      <c r="A682" s="110" t="s">
        <v>554</v>
      </c>
      <c r="B682" s="111" t="s">
        <v>505</v>
      </c>
      <c r="C682" s="112" t="s">
        <v>449</v>
      </c>
      <c r="D682" s="113" t="s">
        <v>20</v>
      </c>
      <c r="E682" s="216" t="s">
        <v>15</v>
      </c>
      <c r="F682" s="216" t="s">
        <v>22</v>
      </c>
      <c r="G682" s="217">
        <v>10.73</v>
      </c>
      <c r="H682" s="218">
        <v>10.5</v>
      </c>
      <c r="I682" s="219">
        <v>1</v>
      </c>
      <c r="J682" s="220">
        <f t="shared" si="365"/>
        <v>0.112665</v>
      </c>
      <c r="K682" s="118"/>
      <c r="L682" s="219">
        <v>1</v>
      </c>
      <c r="M682" s="117">
        <f t="shared" si="366"/>
        <v>0.112665</v>
      </c>
      <c r="N682" s="119">
        <f t="shared" si="367"/>
        <v>0</v>
      </c>
      <c r="O682" s="120">
        <f t="shared" si="368"/>
        <v>0</v>
      </c>
      <c r="P682" s="130"/>
      <c r="Q682" s="111"/>
      <c r="R682" s="111"/>
    </row>
    <row r="683" spans="1:20" s="213" customFormat="1" ht="15.6">
      <c r="A683" s="110" t="s">
        <v>554</v>
      </c>
      <c r="B683" s="111" t="s">
        <v>505</v>
      </c>
      <c r="C683" s="112" t="s">
        <v>449</v>
      </c>
      <c r="D683" s="113" t="s">
        <v>20</v>
      </c>
      <c r="E683" s="216" t="s">
        <v>15</v>
      </c>
      <c r="F683" s="216" t="s">
        <v>22</v>
      </c>
      <c r="G683" s="217">
        <v>10.73</v>
      </c>
      <c r="H683" s="218">
        <v>10.5</v>
      </c>
      <c r="I683" s="219">
        <v>14</v>
      </c>
      <c r="J683" s="220">
        <f t="shared" ref="J683:J691" si="369">(G683*H683*I683/1000)</f>
        <v>1.5773100000000002</v>
      </c>
      <c r="K683" s="118"/>
      <c r="L683" s="219">
        <v>14</v>
      </c>
      <c r="M683" s="117">
        <f t="shared" ref="M683:M691" si="370">H683*L683*G683/1000</f>
        <v>1.5773100000000002</v>
      </c>
      <c r="N683" s="119">
        <f t="shared" ref="N683:N691" si="371">I683-L683</f>
        <v>0</v>
      </c>
      <c r="O683" s="120">
        <f t="shared" ref="O683:O691" si="372">H683*N683*G683/1000</f>
        <v>0</v>
      </c>
      <c r="P683" s="130"/>
      <c r="Q683" s="111"/>
      <c r="R683" s="111"/>
    </row>
    <row r="684" spans="1:20" s="213" customFormat="1" ht="15.6">
      <c r="A684" s="110" t="s">
        <v>554</v>
      </c>
      <c r="B684" s="111" t="s">
        <v>505</v>
      </c>
      <c r="C684" s="112" t="s">
        <v>449</v>
      </c>
      <c r="D684" s="113" t="s">
        <v>20</v>
      </c>
      <c r="E684" s="216" t="s">
        <v>15</v>
      </c>
      <c r="F684" s="216" t="s">
        <v>22</v>
      </c>
      <c r="G684" s="217">
        <v>10.73</v>
      </c>
      <c r="H684" s="218">
        <v>8.5</v>
      </c>
      <c r="I684" s="219">
        <v>14</v>
      </c>
      <c r="J684" s="220">
        <f t="shared" si="369"/>
        <v>1.2768699999999999</v>
      </c>
      <c r="K684" s="118"/>
      <c r="L684" s="219">
        <v>14</v>
      </c>
      <c r="M684" s="117">
        <f t="shared" si="370"/>
        <v>1.2768700000000002</v>
      </c>
      <c r="N684" s="119">
        <f t="shared" si="371"/>
        <v>0</v>
      </c>
      <c r="O684" s="120">
        <f t="shared" si="372"/>
        <v>0</v>
      </c>
      <c r="P684" s="130"/>
      <c r="Q684" s="111"/>
      <c r="R684" s="111"/>
    </row>
    <row r="685" spans="1:20" s="213" customFormat="1" ht="15.6">
      <c r="A685" s="110" t="s">
        <v>554</v>
      </c>
      <c r="B685" s="111" t="s">
        <v>505</v>
      </c>
      <c r="C685" s="112" t="s">
        <v>449</v>
      </c>
      <c r="D685" s="113" t="s">
        <v>20</v>
      </c>
      <c r="E685" s="216" t="s">
        <v>15</v>
      </c>
      <c r="F685" s="216" t="s">
        <v>22</v>
      </c>
      <c r="G685" s="217">
        <v>10.73</v>
      </c>
      <c r="H685" s="218">
        <v>7.9</v>
      </c>
      <c r="I685" s="219">
        <v>1</v>
      </c>
      <c r="J685" s="220">
        <f t="shared" si="369"/>
        <v>8.4767000000000009E-2</v>
      </c>
      <c r="K685" s="118"/>
      <c r="L685" s="219">
        <v>1</v>
      </c>
      <c r="M685" s="117">
        <f t="shared" si="370"/>
        <v>8.4767000000000009E-2</v>
      </c>
      <c r="N685" s="119">
        <f t="shared" si="371"/>
        <v>0</v>
      </c>
      <c r="O685" s="120">
        <f t="shared" si="372"/>
        <v>0</v>
      </c>
      <c r="P685" s="130">
        <v>7.8</v>
      </c>
      <c r="Q685" s="45">
        <v>1</v>
      </c>
      <c r="R685" s="111" t="s">
        <v>701</v>
      </c>
    </row>
    <row r="686" spans="1:20" s="213" customFormat="1" ht="15.6">
      <c r="A686" s="110" t="s">
        <v>554</v>
      </c>
      <c r="B686" s="111" t="s">
        <v>505</v>
      </c>
      <c r="C686" s="112" t="s">
        <v>449</v>
      </c>
      <c r="D686" s="113" t="s">
        <v>20</v>
      </c>
      <c r="E686" s="216" t="s">
        <v>15</v>
      </c>
      <c r="F686" s="216" t="s">
        <v>22</v>
      </c>
      <c r="G686" s="217">
        <v>10.73</v>
      </c>
      <c r="H686" s="218">
        <v>8</v>
      </c>
      <c r="I686" s="219">
        <v>1</v>
      </c>
      <c r="J686" s="220">
        <f t="shared" si="369"/>
        <v>8.584E-2</v>
      </c>
      <c r="K686" s="118"/>
      <c r="L686" s="219">
        <v>1</v>
      </c>
      <c r="M686" s="117">
        <f t="shared" si="370"/>
        <v>8.584E-2</v>
      </c>
      <c r="N686" s="119">
        <f t="shared" si="371"/>
        <v>0</v>
      </c>
      <c r="O686" s="120">
        <f t="shared" si="372"/>
        <v>0</v>
      </c>
      <c r="P686" s="130">
        <v>7.8</v>
      </c>
      <c r="Q686" s="45">
        <v>1</v>
      </c>
      <c r="R686" s="111" t="s">
        <v>701</v>
      </c>
    </row>
    <row r="687" spans="1:20" s="213" customFormat="1" ht="15.6">
      <c r="A687" s="110" t="s">
        <v>554</v>
      </c>
      <c r="B687" s="111" t="s">
        <v>505</v>
      </c>
      <c r="C687" s="112" t="s">
        <v>449</v>
      </c>
      <c r="D687" s="113" t="s">
        <v>20</v>
      </c>
      <c r="E687" s="216" t="s">
        <v>15</v>
      </c>
      <c r="F687" s="216" t="s">
        <v>22</v>
      </c>
      <c r="G687" s="217">
        <v>10.73</v>
      </c>
      <c r="H687" s="218">
        <v>10</v>
      </c>
      <c r="I687" s="219">
        <v>1</v>
      </c>
      <c r="J687" s="220">
        <f t="shared" si="369"/>
        <v>0.10730000000000001</v>
      </c>
      <c r="K687" s="118"/>
      <c r="L687" s="219">
        <v>1</v>
      </c>
      <c r="M687" s="117">
        <f t="shared" si="370"/>
        <v>0.10730000000000001</v>
      </c>
      <c r="N687" s="119">
        <f t="shared" si="371"/>
        <v>0</v>
      </c>
      <c r="O687" s="120">
        <f t="shared" si="372"/>
        <v>0</v>
      </c>
      <c r="P687" s="130">
        <v>7.8</v>
      </c>
      <c r="Q687" s="45">
        <v>1</v>
      </c>
      <c r="R687" s="111" t="s">
        <v>701</v>
      </c>
    </row>
    <row r="688" spans="1:20" s="213" customFormat="1" ht="15.6">
      <c r="A688" s="110" t="s">
        <v>554</v>
      </c>
      <c r="B688" s="111" t="s">
        <v>505</v>
      </c>
      <c r="C688" s="112" t="s">
        <v>449</v>
      </c>
      <c r="D688" s="113" t="s">
        <v>20</v>
      </c>
      <c r="E688" s="216" t="s">
        <v>15</v>
      </c>
      <c r="F688" s="216" t="s">
        <v>22</v>
      </c>
      <c r="G688" s="217">
        <v>10.73</v>
      </c>
      <c r="H688" s="218">
        <v>10.3</v>
      </c>
      <c r="I688" s="219">
        <v>1</v>
      </c>
      <c r="J688" s="220">
        <f t="shared" si="369"/>
        <v>0.11051900000000001</v>
      </c>
      <c r="K688" s="118"/>
      <c r="L688" s="219">
        <v>1</v>
      </c>
      <c r="M688" s="117">
        <f t="shared" si="370"/>
        <v>0.11051900000000001</v>
      </c>
      <c r="N688" s="119">
        <f t="shared" si="371"/>
        <v>0</v>
      </c>
      <c r="O688" s="120">
        <f t="shared" si="372"/>
        <v>0</v>
      </c>
      <c r="P688" s="130">
        <v>7.8</v>
      </c>
      <c r="Q688" s="45">
        <v>1</v>
      </c>
      <c r="R688" s="111" t="s">
        <v>701</v>
      </c>
    </row>
    <row r="689" spans="1:18" s="213" customFormat="1" ht="15.6">
      <c r="A689" s="110" t="s">
        <v>554</v>
      </c>
      <c r="B689" s="111" t="s">
        <v>505</v>
      </c>
      <c r="C689" s="112" t="s">
        <v>449</v>
      </c>
      <c r="D689" s="113" t="s">
        <v>20</v>
      </c>
      <c r="E689" s="216" t="s">
        <v>15</v>
      </c>
      <c r="F689" s="216" t="s">
        <v>22</v>
      </c>
      <c r="G689" s="217">
        <v>10.73</v>
      </c>
      <c r="H689" s="218">
        <v>11.6</v>
      </c>
      <c r="I689" s="219">
        <v>2</v>
      </c>
      <c r="J689" s="220">
        <f t="shared" si="369"/>
        <v>0.24893600000000002</v>
      </c>
      <c r="K689" s="118"/>
      <c r="L689" s="219">
        <v>2</v>
      </c>
      <c r="M689" s="117">
        <f t="shared" si="370"/>
        <v>0.24893600000000002</v>
      </c>
      <c r="N689" s="119">
        <f t="shared" si="371"/>
        <v>0</v>
      </c>
      <c r="O689" s="120">
        <f t="shared" si="372"/>
        <v>0</v>
      </c>
      <c r="P689" s="130">
        <v>11.6</v>
      </c>
      <c r="Q689" s="45">
        <v>2</v>
      </c>
      <c r="R689" s="111" t="s">
        <v>701</v>
      </c>
    </row>
    <row r="690" spans="1:18" s="213" customFormat="1" ht="15.6">
      <c r="A690" s="110" t="s">
        <v>554</v>
      </c>
      <c r="B690" s="111" t="s">
        <v>505</v>
      </c>
      <c r="C690" s="112" t="s">
        <v>449</v>
      </c>
      <c r="D690" s="113" t="s">
        <v>20</v>
      </c>
      <c r="E690" s="216" t="s">
        <v>15</v>
      </c>
      <c r="F690" s="216" t="s">
        <v>22</v>
      </c>
      <c r="G690" s="217">
        <v>10.73</v>
      </c>
      <c r="H690" s="218">
        <v>12</v>
      </c>
      <c r="I690" s="219">
        <v>1</v>
      </c>
      <c r="J690" s="220">
        <f t="shared" si="369"/>
        <v>0.12875999999999999</v>
      </c>
      <c r="K690" s="118"/>
      <c r="L690" s="219">
        <v>1</v>
      </c>
      <c r="M690" s="117">
        <f t="shared" si="370"/>
        <v>0.12875999999999999</v>
      </c>
      <c r="N690" s="119">
        <f t="shared" si="371"/>
        <v>0</v>
      </c>
      <c r="O690" s="120">
        <f t="shared" si="372"/>
        <v>0</v>
      </c>
      <c r="P690" s="130">
        <v>12</v>
      </c>
      <c r="Q690" s="45">
        <v>1</v>
      </c>
      <c r="R690" s="111" t="s">
        <v>701</v>
      </c>
    </row>
    <row r="691" spans="1:18" s="213" customFormat="1" ht="15.6">
      <c r="A691" s="110" t="s">
        <v>554</v>
      </c>
      <c r="B691" s="111" t="s">
        <v>505</v>
      </c>
      <c r="C691" s="112" t="s">
        <v>449</v>
      </c>
      <c r="D691" s="113" t="s">
        <v>20</v>
      </c>
      <c r="E691" s="216" t="s">
        <v>15</v>
      </c>
      <c r="F691" s="216" t="s">
        <v>22</v>
      </c>
      <c r="G691" s="217">
        <v>10.73</v>
      </c>
      <c r="H691" s="218">
        <v>10.5</v>
      </c>
      <c r="I691" s="219">
        <v>30</v>
      </c>
      <c r="J691" s="220">
        <f t="shared" si="369"/>
        <v>3.3799500000000005</v>
      </c>
      <c r="K691" s="118"/>
      <c r="L691" s="219">
        <f>19+11</f>
        <v>30</v>
      </c>
      <c r="M691" s="117">
        <f t="shared" si="370"/>
        <v>3.3799500000000005</v>
      </c>
      <c r="N691" s="119">
        <f t="shared" si="371"/>
        <v>0</v>
      </c>
      <c r="O691" s="120">
        <f t="shared" si="372"/>
        <v>0</v>
      </c>
      <c r="P691" s="130"/>
      <c r="Q691" s="111"/>
      <c r="R691" s="111"/>
    </row>
    <row r="692" spans="1:18" s="213" customFormat="1" ht="15.6">
      <c r="A692" s="110" t="s">
        <v>554</v>
      </c>
      <c r="B692" s="111" t="s">
        <v>505</v>
      </c>
      <c r="C692" s="112" t="s">
        <v>449</v>
      </c>
      <c r="D692" s="113" t="s">
        <v>20</v>
      </c>
      <c r="E692" s="216" t="s">
        <v>15</v>
      </c>
      <c r="F692" s="216" t="s">
        <v>22</v>
      </c>
      <c r="G692" s="217">
        <v>10.73</v>
      </c>
      <c r="H692" s="218">
        <v>12</v>
      </c>
      <c r="I692" s="219">
        <v>29</v>
      </c>
      <c r="J692" s="220">
        <f t="shared" si="365"/>
        <v>3.7340399999999998</v>
      </c>
      <c r="K692" s="118"/>
      <c r="L692" s="219">
        <v>29</v>
      </c>
      <c r="M692" s="117">
        <f t="shared" si="366"/>
        <v>3.7340399999999998</v>
      </c>
      <c r="N692" s="119">
        <f t="shared" si="367"/>
        <v>0</v>
      </c>
      <c r="O692" s="120">
        <f>H692*N692*G692/1000</f>
        <v>0</v>
      </c>
      <c r="P692" s="130"/>
      <c r="Q692" s="111"/>
      <c r="R692" s="111"/>
    </row>
    <row r="693" spans="1:18" s="213" customFormat="1">
      <c r="I693" s="215">
        <f>SUM(I677:I692)</f>
        <v>163</v>
      </c>
      <c r="J693" s="214">
        <f>SUM(J677:J692)</f>
        <v>18.496373999999999</v>
      </c>
      <c r="L693" s="215">
        <f>SUM(L677:L692)</f>
        <v>163</v>
      </c>
      <c r="M693" s="214">
        <f>SUM(M677:M692)</f>
        <v>18.496373999999999</v>
      </c>
      <c r="N693" s="215">
        <f>SUM(N677:N692)</f>
        <v>0</v>
      </c>
      <c r="O693" s="214">
        <f>SUM(O677:O692)</f>
        <v>0</v>
      </c>
    </row>
    <row r="694" spans="1:18" s="213" customFormat="1">
      <c r="I694" s="215"/>
      <c r="J694" s="214"/>
      <c r="L694" s="215"/>
      <c r="M694" s="214"/>
      <c r="N694" s="215"/>
      <c r="O694" s="214"/>
    </row>
    <row r="695" spans="1:18" s="213" customFormat="1" ht="15.6">
      <c r="A695" s="110" t="s">
        <v>618</v>
      </c>
      <c r="B695" s="111" t="s">
        <v>505</v>
      </c>
      <c r="C695" s="112" t="s">
        <v>449</v>
      </c>
      <c r="D695" s="113" t="s">
        <v>20</v>
      </c>
      <c r="E695" s="216" t="s">
        <v>15</v>
      </c>
      <c r="F695" s="216" t="s">
        <v>28</v>
      </c>
      <c r="G695" s="217">
        <v>12.2</v>
      </c>
      <c r="H695" s="218">
        <v>12</v>
      </c>
      <c r="I695" s="219">
        <v>15</v>
      </c>
      <c r="J695" s="220">
        <f t="shared" ref="J695" si="373">(G695*H695*I695/1000)</f>
        <v>2.1959999999999997</v>
      </c>
      <c r="K695" s="118"/>
      <c r="L695" s="219">
        <f>14+1</f>
        <v>15</v>
      </c>
      <c r="M695" s="117">
        <f t="shared" ref="M695" si="374">H695*L695*G695/1000</f>
        <v>2.1960000000000002</v>
      </c>
      <c r="N695" s="119">
        <f t="shared" ref="N695" si="375">I695-L695</f>
        <v>0</v>
      </c>
      <c r="O695" s="120">
        <f t="shared" ref="O695" si="376">H695*N695*G695/1000</f>
        <v>0</v>
      </c>
      <c r="P695" s="130">
        <v>11</v>
      </c>
      <c r="Q695" s="45">
        <v>1</v>
      </c>
      <c r="R695" s="111" t="s">
        <v>739</v>
      </c>
    </row>
    <row r="696" spans="1:18" s="213" customFormat="1" ht="15.6">
      <c r="A696" s="110" t="s">
        <v>618</v>
      </c>
      <c r="B696" s="111" t="s">
        <v>505</v>
      </c>
      <c r="C696" s="112" t="s">
        <v>449</v>
      </c>
      <c r="D696" s="113" t="s">
        <v>20</v>
      </c>
      <c r="E696" s="216" t="s">
        <v>15</v>
      </c>
      <c r="F696" s="216" t="s">
        <v>28</v>
      </c>
      <c r="G696" s="217">
        <v>12.2</v>
      </c>
      <c r="H696" s="218">
        <v>10.25</v>
      </c>
      <c r="I696" s="219">
        <v>18</v>
      </c>
      <c r="J696" s="220">
        <f t="shared" ref="J696:J700" si="377">(G696*H696*I696/1000)</f>
        <v>2.2509000000000001</v>
      </c>
      <c r="K696" s="118"/>
      <c r="L696" s="219">
        <v>18</v>
      </c>
      <c r="M696" s="117">
        <f t="shared" ref="M696:M700" si="378">H696*L696*G696/1000</f>
        <v>2.2509000000000001</v>
      </c>
      <c r="N696" s="119">
        <f t="shared" ref="N696:N700" si="379">I696-L696</f>
        <v>0</v>
      </c>
      <c r="O696" s="120">
        <f t="shared" ref="O696:O700" si="380">H696*N696*G696/1000</f>
        <v>0</v>
      </c>
      <c r="P696" s="130"/>
      <c r="Q696" s="111"/>
      <c r="R696" s="111"/>
    </row>
    <row r="697" spans="1:18" s="213" customFormat="1" ht="15.6">
      <c r="A697" s="110" t="s">
        <v>618</v>
      </c>
      <c r="B697" s="111" t="s">
        <v>505</v>
      </c>
      <c r="C697" s="112" t="s">
        <v>449</v>
      </c>
      <c r="D697" s="113" t="s">
        <v>20</v>
      </c>
      <c r="E697" s="216" t="s">
        <v>15</v>
      </c>
      <c r="F697" s="216" t="s">
        <v>28</v>
      </c>
      <c r="G697" s="217">
        <v>12.2</v>
      </c>
      <c r="H697" s="218">
        <v>10.25</v>
      </c>
      <c r="I697" s="219">
        <v>21</v>
      </c>
      <c r="J697" s="220">
        <f t="shared" si="377"/>
        <v>2.6260499999999998</v>
      </c>
      <c r="K697" s="118"/>
      <c r="L697" s="219">
        <v>21</v>
      </c>
      <c r="M697" s="117">
        <f t="shared" si="378"/>
        <v>2.6260499999999998</v>
      </c>
      <c r="N697" s="119">
        <f t="shared" si="379"/>
        <v>0</v>
      </c>
      <c r="O697" s="120">
        <f t="shared" si="380"/>
        <v>0</v>
      </c>
      <c r="P697" s="130"/>
      <c r="Q697" s="111"/>
      <c r="R697" s="111"/>
    </row>
    <row r="698" spans="1:18" s="213" customFormat="1" ht="15.6">
      <c r="A698" s="110" t="s">
        <v>618</v>
      </c>
      <c r="B698" s="111" t="s">
        <v>505</v>
      </c>
      <c r="C698" s="112" t="s">
        <v>449</v>
      </c>
      <c r="D698" s="113" t="s">
        <v>20</v>
      </c>
      <c r="E698" s="216" t="s">
        <v>15</v>
      </c>
      <c r="F698" s="216" t="s">
        <v>28</v>
      </c>
      <c r="G698" s="217">
        <v>12.2</v>
      </c>
      <c r="H698" s="218">
        <v>10.25</v>
      </c>
      <c r="I698" s="219">
        <v>5</v>
      </c>
      <c r="J698" s="220">
        <f t="shared" si="377"/>
        <v>0.62524999999999997</v>
      </c>
      <c r="K698" s="118"/>
      <c r="L698" s="219">
        <v>5</v>
      </c>
      <c r="M698" s="117">
        <f t="shared" si="378"/>
        <v>0.62524999999999997</v>
      </c>
      <c r="N698" s="119">
        <f t="shared" si="379"/>
        <v>0</v>
      </c>
      <c r="O698" s="120">
        <f t="shared" si="380"/>
        <v>0</v>
      </c>
      <c r="P698" s="130">
        <v>9.8000000000000007</v>
      </c>
      <c r="Q698" s="45">
        <v>5</v>
      </c>
      <c r="R698" s="111" t="s">
        <v>739</v>
      </c>
    </row>
    <row r="699" spans="1:18" s="213" customFormat="1" ht="15.6">
      <c r="A699" s="110" t="s">
        <v>618</v>
      </c>
      <c r="B699" s="111" t="s">
        <v>505</v>
      </c>
      <c r="C699" s="112" t="s">
        <v>449</v>
      </c>
      <c r="D699" s="113" t="s">
        <v>20</v>
      </c>
      <c r="E699" s="216" t="s">
        <v>15</v>
      </c>
      <c r="F699" s="216" t="s">
        <v>28</v>
      </c>
      <c r="G699" s="217">
        <v>12.2</v>
      </c>
      <c r="H699" s="218">
        <v>12</v>
      </c>
      <c r="I699" s="219">
        <v>21</v>
      </c>
      <c r="J699" s="220">
        <f t="shared" si="377"/>
        <v>3.0743999999999998</v>
      </c>
      <c r="K699" s="118"/>
      <c r="L699" s="219">
        <v>21</v>
      </c>
      <c r="M699" s="117">
        <f t="shared" si="378"/>
        <v>3.0743999999999998</v>
      </c>
      <c r="N699" s="119">
        <f t="shared" si="379"/>
        <v>0</v>
      </c>
      <c r="O699" s="120">
        <f t="shared" si="380"/>
        <v>0</v>
      </c>
      <c r="P699" s="130"/>
      <c r="Q699" s="111"/>
      <c r="R699" s="111"/>
    </row>
    <row r="700" spans="1:18" s="213" customFormat="1" ht="15.6">
      <c r="A700" s="110" t="s">
        <v>618</v>
      </c>
      <c r="B700" s="111" t="s">
        <v>505</v>
      </c>
      <c r="C700" s="112" t="s">
        <v>449</v>
      </c>
      <c r="D700" s="113" t="s">
        <v>20</v>
      </c>
      <c r="E700" s="216" t="s">
        <v>15</v>
      </c>
      <c r="F700" s="216" t="s">
        <v>28</v>
      </c>
      <c r="G700" s="217">
        <v>12.2</v>
      </c>
      <c r="H700" s="218">
        <v>11.7</v>
      </c>
      <c r="I700" s="219">
        <v>1</v>
      </c>
      <c r="J700" s="220">
        <f t="shared" si="377"/>
        <v>0.14273999999999998</v>
      </c>
      <c r="K700" s="118"/>
      <c r="L700" s="219">
        <v>1</v>
      </c>
      <c r="M700" s="117">
        <f t="shared" si="378"/>
        <v>0.14273999999999998</v>
      </c>
      <c r="N700" s="119">
        <f t="shared" si="379"/>
        <v>0</v>
      </c>
      <c r="O700" s="120">
        <f t="shared" si="380"/>
        <v>0</v>
      </c>
      <c r="P700" s="130">
        <v>11</v>
      </c>
      <c r="Q700" s="45">
        <v>1</v>
      </c>
      <c r="R700" s="111" t="s">
        <v>739</v>
      </c>
    </row>
    <row r="701" spans="1:18" s="213" customFormat="1">
      <c r="I701" s="215">
        <f>SUM(I695:I700)</f>
        <v>81</v>
      </c>
      <c r="J701" s="214">
        <f>SUM(J695:J700)</f>
        <v>10.915339999999999</v>
      </c>
      <c r="L701" s="215">
        <f>SUM(L695:L700)</f>
        <v>81</v>
      </c>
      <c r="M701" s="214">
        <f>SUM(M695:M700)</f>
        <v>10.91534</v>
      </c>
      <c r="N701" s="215">
        <f>SUM(N695:N700)</f>
        <v>0</v>
      </c>
      <c r="O701" s="214">
        <f>SUM(O695:O700)</f>
        <v>0</v>
      </c>
    </row>
    <row r="702" spans="1:18" s="213" customFormat="1">
      <c r="I702" s="215"/>
      <c r="J702" s="214"/>
      <c r="L702" s="215"/>
      <c r="M702" s="214"/>
      <c r="N702" s="215"/>
      <c r="O702" s="214"/>
    </row>
    <row r="703" spans="1:18" s="213" customFormat="1" ht="15.6">
      <c r="A703" s="110" t="s">
        <v>618</v>
      </c>
      <c r="B703" s="111" t="s">
        <v>505</v>
      </c>
      <c r="C703" s="112" t="s">
        <v>449</v>
      </c>
      <c r="D703" s="113" t="s">
        <v>17</v>
      </c>
      <c r="E703" s="216" t="s">
        <v>15</v>
      </c>
      <c r="F703" s="216" t="s">
        <v>28</v>
      </c>
      <c r="G703" s="217">
        <v>12.18</v>
      </c>
      <c r="H703" s="218">
        <v>7.25</v>
      </c>
      <c r="I703" s="219">
        <v>30</v>
      </c>
      <c r="J703" s="220">
        <f t="shared" ref="J703" si="381">(G703*H703*I703/1000)</f>
        <v>2.6491499999999997</v>
      </c>
      <c r="K703" s="118"/>
      <c r="L703" s="219">
        <v>30</v>
      </c>
      <c r="M703" s="117">
        <f t="shared" ref="M703" si="382">H703*L703*G703/1000</f>
        <v>2.6491500000000001</v>
      </c>
      <c r="N703" s="119">
        <f t="shared" ref="N703" si="383">I703-L703</f>
        <v>0</v>
      </c>
      <c r="O703" s="120">
        <f t="shared" ref="O703" si="384">H703*N703*G703/1000</f>
        <v>0</v>
      </c>
      <c r="P703" s="130"/>
      <c r="Q703" s="111"/>
      <c r="R703" s="111"/>
    </row>
    <row r="704" spans="1:18" s="213" customFormat="1" ht="15.6">
      <c r="A704" s="110" t="s">
        <v>618</v>
      </c>
      <c r="B704" s="111" t="s">
        <v>505</v>
      </c>
      <c r="C704" s="112" t="s">
        <v>449</v>
      </c>
      <c r="D704" s="113" t="s">
        <v>17</v>
      </c>
      <c r="E704" s="216" t="s">
        <v>15</v>
      </c>
      <c r="F704" s="216" t="s">
        <v>28</v>
      </c>
      <c r="G704" s="217">
        <v>12.18</v>
      </c>
      <c r="H704" s="218">
        <v>7.25</v>
      </c>
      <c r="I704" s="219">
        <v>30</v>
      </c>
      <c r="J704" s="220">
        <f t="shared" ref="J704:J727" si="385">(G704*H704*I704/1000)</f>
        <v>2.6491499999999997</v>
      </c>
      <c r="K704" s="118"/>
      <c r="L704" s="219">
        <v>30</v>
      </c>
      <c r="M704" s="117">
        <f t="shared" ref="M704:M727" si="386">H704*L704*G704/1000</f>
        <v>2.6491500000000001</v>
      </c>
      <c r="N704" s="119">
        <f t="shared" ref="N704:N727" si="387">I704-L704</f>
        <v>0</v>
      </c>
      <c r="O704" s="120">
        <f t="shared" ref="O704:O727" si="388">H704*N704*G704/1000</f>
        <v>0</v>
      </c>
      <c r="P704" s="130"/>
      <c r="Q704" s="111"/>
      <c r="R704" s="111"/>
    </row>
    <row r="705" spans="1:18" s="213" customFormat="1" ht="15.6">
      <c r="A705" s="110" t="s">
        <v>618</v>
      </c>
      <c r="B705" s="111" t="s">
        <v>505</v>
      </c>
      <c r="C705" s="112" t="s">
        <v>449</v>
      </c>
      <c r="D705" s="113" t="s">
        <v>17</v>
      </c>
      <c r="E705" s="216" t="s">
        <v>15</v>
      </c>
      <c r="F705" s="216" t="s">
        <v>28</v>
      </c>
      <c r="G705" s="217">
        <v>12.18</v>
      </c>
      <c r="H705" s="218">
        <v>9.4499999999999993</v>
      </c>
      <c r="I705" s="219">
        <v>21</v>
      </c>
      <c r="J705" s="220">
        <f t="shared" si="385"/>
        <v>2.4171209999999999</v>
      </c>
      <c r="K705" s="118"/>
      <c r="L705" s="219">
        <v>21</v>
      </c>
      <c r="M705" s="117">
        <f t="shared" si="386"/>
        <v>2.4171209999999999</v>
      </c>
      <c r="N705" s="119">
        <f t="shared" si="387"/>
        <v>0</v>
      </c>
      <c r="O705" s="120">
        <f t="shared" si="388"/>
        <v>0</v>
      </c>
      <c r="P705" s="130"/>
      <c r="Q705" s="111"/>
      <c r="R705" s="111"/>
    </row>
    <row r="706" spans="1:18" s="213" customFormat="1" ht="15.6">
      <c r="A706" s="110" t="s">
        <v>618</v>
      </c>
      <c r="B706" s="111" t="s">
        <v>505</v>
      </c>
      <c r="C706" s="112" t="s">
        <v>449</v>
      </c>
      <c r="D706" s="113" t="s">
        <v>17</v>
      </c>
      <c r="E706" s="216" t="s">
        <v>15</v>
      </c>
      <c r="F706" s="216" t="s">
        <v>28</v>
      </c>
      <c r="G706" s="217">
        <v>12.18</v>
      </c>
      <c r="H706" s="218">
        <v>9.4499999999999993</v>
      </c>
      <c r="I706" s="219">
        <v>25</v>
      </c>
      <c r="J706" s="220">
        <f t="shared" si="385"/>
        <v>2.8775249999999994</v>
      </c>
      <c r="K706" s="118"/>
      <c r="L706" s="219">
        <v>25</v>
      </c>
      <c r="M706" s="117">
        <f t="shared" si="386"/>
        <v>2.8775249999999994</v>
      </c>
      <c r="N706" s="119">
        <f t="shared" si="387"/>
        <v>0</v>
      </c>
      <c r="O706" s="120">
        <f t="shared" si="388"/>
        <v>0</v>
      </c>
      <c r="P706" s="130"/>
      <c r="Q706" s="111"/>
      <c r="R706" s="111"/>
    </row>
    <row r="707" spans="1:18" s="213" customFormat="1" ht="15.6">
      <c r="A707" s="110" t="s">
        <v>618</v>
      </c>
      <c r="B707" s="111" t="s">
        <v>505</v>
      </c>
      <c r="C707" s="112" t="s">
        <v>449</v>
      </c>
      <c r="D707" s="113" t="s">
        <v>17</v>
      </c>
      <c r="E707" s="216" t="s">
        <v>15</v>
      </c>
      <c r="F707" s="216" t="s">
        <v>28</v>
      </c>
      <c r="G707" s="217">
        <v>12.18</v>
      </c>
      <c r="H707" s="218">
        <v>11.5</v>
      </c>
      <c r="I707" s="219">
        <v>17</v>
      </c>
      <c r="J707" s="220">
        <f t="shared" si="385"/>
        <v>2.3811900000000001</v>
      </c>
      <c r="K707" s="118"/>
      <c r="L707" s="219">
        <v>17</v>
      </c>
      <c r="M707" s="117">
        <f t="shared" si="386"/>
        <v>2.3811900000000001</v>
      </c>
      <c r="N707" s="119">
        <f t="shared" si="387"/>
        <v>0</v>
      </c>
      <c r="O707" s="120">
        <f t="shared" si="388"/>
        <v>0</v>
      </c>
      <c r="P707" s="130"/>
      <c r="Q707" s="111"/>
      <c r="R707" s="111"/>
    </row>
    <row r="708" spans="1:18" s="213" customFormat="1" ht="15.6">
      <c r="A708" s="110" t="s">
        <v>618</v>
      </c>
      <c r="B708" s="111" t="s">
        <v>505</v>
      </c>
      <c r="C708" s="112" t="s">
        <v>449</v>
      </c>
      <c r="D708" s="113" t="s">
        <v>17</v>
      </c>
      <c r="E708" s="216" t="s">
        <v>15</v>
      </c>
      <c r="F708" s="216" t="s">
        <v>28</v>
      </c>
      <c r="G708" s="217">
        <v>12.18</v>
      </c>
      <c r="H708" s="218">
        <v>7.25</v>
      </c>
      <c r="I708" s="219">
        <v>27</v>
      </c>
      <c r="J708" s="220">
        <f t="shared" si="385"/>
        <v>2.3842349999999999</v>
      </c>
      <c r="K708" s="118"/>
      <c r="L708" s="219">
        <v>27</v>
      </c>
      <c r="M708" s="117">
        <f t="shared" si="386"/>
        <v>2.3842350000000003</v>
      </c>
      <c r="N708" s="119">
        <f t="shared" si="387"/>
        <v>0</v>
      </c>
      <c r="O708" s="120">
        <f t="shared" si="388"/>
        <v>0</v>
      </c>
      <c r="P708" s="130"/>
      <c r="Q708" s="111"/>
      <c r="R708" s="111"/>
    </row>
    <row r="709" spans="1:18" s="213" customFormat="1" ht="15.6">
      <c r="A709" s="110" t="s">
        <v>618</v>
      </c>
      <c r="B709" s="111" t="s">
        <v>505</v>
      </c>
      <c r="C709" s="112" t="s">
        <v>449</v>
      </c>
      <c r="D709" s="113" t="s">
        <v>17</v>
      </c>
      <c r="E709" s="216" t="s">
        <v>15</v>
      </c>
      <c r="F709" s="216" t="s">
        <v>28</v>
      </c>
      <c r="G709" s="217">
        <v>12.18</v>
      </c>
      <c r="H709" s="218">
        <v>7.7</v>
      </c>
      <c r="I709" s="219">
        <v>22</v>
      </c>
      <c r="J709" s="220">
        <f t="shared" si="385"/>
        <v>2.0632920000000001</v>
      </c>
      <c r="K709" s="118"/>
      <c r="L709" s="219">
        <v>22</v>
      </c>
      <c r="M709" s="117">
        <f t="shared" si="386"/>
        <v>2.0632920000000001</v>
      </c>
      <c r="N709" s="119">
        <f t="shared" si="387"/>
        <v>0</v>
      </c>
      <c r="O709" s="120">
        <f t="shared" si="388"/>
        <v>0</v>
      </c>
      <c r="P709" s="130"/>
      <c r="Q709" s="111"/>
      <c r="R709" s="111"/>
    </row>
    <row r="710" spans="1:18" s="213" customFormat="1" ht="15.6">
      <c r="A710" s="110" t="s">
        <v>618</v>
      </c>
      <c r="B710" s="111" t="s">
        <v>505</v>
      </c>
      <c r="C710" s="112" t="s">
        <v>449</v>
      </c>
      <c r="D710" s="113" t="s">
        <v>17</v>
      </c>
      <c r="E710" s="216" t="s">
        <v>15</v>
      </c>
      <c r="F710" s="216" t="s">
        <v>28</v>
      </c>
      <c r="G710" s="217">
        <v>12.18</v>
      </c>
      <c r="H710" s="218">
        <v>6.7</v>
      </c>
      <c r="I710" s="219">
        <v>1</v>
      </c>
      <c r="J710" s="220">
        <f t="shared" si="385"/>
        <v>8.1605999999999998E-2</v>
      </c>
      <c r="K710" s="118"/>
      <c r="L710" s="219"/>
      <c r="M710" s="117">
        <f t="shared" si="386"/>
        <v>0</v>
      </c>
      <c r="N710" s="119">
        <f t="shared" si="387"/>
        <v>1</v>
      </c>
      <c r="O710" s="120">
        <f t="shared" si="388"/>
        <v>8.1605999999999998E-2</v>
      </c>
      <c r="P710" s="130"/>
      <c r="Q710" s="111"/>
      <c r="R710" s="111"/>
    </row>
    <row r="711" spans="1:18" s="213" customFormat="1" ht="15.6">
      <c r="A711" s="110" t="s">
        <v>618</v>
      </c>
      <c r="B711" s="111" t="s">
        <v>505</v>
      </c>
      <c r="C711" s="112" t="s">
        <v>449</v>
      </c>
      <c r="D711" s="113" t="s">
        <v>17</v>
      </c>
      <c r="E711" s="216" t="s">
        <v>15</v>
      </c>
      <c r="F711" s="216" t="s">
        <v>28</v>
      </c>
      <c r="G711" s="217">
        <v>12.18</v>
      </c>
      <c r="H711" s="218">
        <v>7</v>
      </c>
      <c r="I711" s="219">
        <v>3</v>
      </c>
      <c r="J711" s="220">
        <f t="shared" si="385"/>
        <v>0.25577999999999995</v>
      </c>
      <c r="K711" s="118"/>
      <c r="L711" s="219"/>
      <c r="M711" s="117">
        <f t="shared" si="386"/>
        <v>0</v>
      </c>
      <c r="N711" s="119">
        <f t="shared" si="387"/>
        <v>3</v>
      </c>
      <c r="O711" s="120">
        <f t="shared" si="388"/>
        <v>0.25578000000000001</v>
      </c>
      <c r="P711" s="130"/>
      <c r="Q711" s="111"/>
      <c r="R711" s="111"/>
    </row>
    <row r="712" spans="1:18" s="213" customFormat="1" ht="15.6">
      <c r="A712" s="110" t="s">
        <v>618</v>
      </c>
      <c r="B712" s="111" t="s">
        <v>505</v>
      </c>
      <c r="C712" s="112" t="s">
        <v>449</v>
      </c>
      <c r="D712" s="113" t="s">
        <v>17</v>
      </c>
      <c r="E712" s="216" t="s">
        <v>15</v>
      </c>
      <c r="F712" s="216" t="s">
        <v>28</v>
      </c>
      <c r="G712" s="217">
        <v>12.18</v>
      </c>
      <c r="H712" s="218">
        <v>11</v>
      </c>
      <c r="I712" s="219">
        <v>1</v>
      </c>
      <c r="J712" s="220">
        <f t="shared" si="385"/>
        <v>0.13397999999999999</v>
      </c>
      <c r="K712" s="118"/>
      <c r="L712" s="219"/>
      <c r="M712" s="117">
        <f t="shared" si="386"/>
        <v>0</v>
      </c>
      <c r="N712" s="119">
        <f t="shared" si="387"/>
        <v>1</v>
      </c>
      <c r="O712" s="120">
        <f t="shared" si="388"/>
        <v>0.13397999999999999</v>
      </c>
      <c r="P712" s="130"/>
      <c r="Q712" s="111"/>
      <c r="R712" s="111"/>
    </row>
    <row r="713" spans="1:18" s="213" customFormat="1" ht="15.6">
      <c r="A713" s="110" t="s">
        <v>618</v>
      </c>
      <c r="B713" s="111" t="s">
        <v>505</v>
      </c>
      <c r="C713" s="112" t="s">
        <v>449</v>
      </c>
      <c r="D713" s="113" t="s">
        <v>17</v>
      </c>
      <c r="E713" s="216" t="s">
        <v>15</v>
      </c>
      <c r="F713" s="216" t="s">
        <v>28</v>
      </c>
      <c r="G713" s="217">
        <v>12.18</v>
      </c>
      <c r="H713" s="218">
        <v>11.25</v>
      </c>
      <c r="I713" s="219">
        <v>1</v>
      </c>
      <c r="J713" s="220">
        <f t="shared" si="385"/>
        <v>0.13702500000000001</v>
      </c>
      <c r="K713" s="118"/>
      <c r="L713" s="219"/>
      <c r="M713" s="117">
        <f t="shared" si="386"/>
        <v>0</v>
      </c>
      <c r="N713" s="119">
        <f t="shared" si="387"/>
        <v>1</v>
      </c>
      <c r="O713" s="120">
        <f t="shared" si="388"/>
        <v>0.13702500000000001</v>
      </c>
      <c r="P713" s="130"/>
      <c r="Q713" s="111"/>
      <c r="R713" s="111"/>
    </row>
    <row r="714" spans="1:18" s="213" customFormat="1" ht="15.6">
      <c r="A714" s="110" t="s">
        <v>618</v>
      </c>
      <c r="B714" s="111" t="s">
        <v>505</v>
      </c>
      <c r="C714" s="112" t="s">
        <v>449</v>
      </c>
      <c r="D714" s="113" t="s">
        <v>17</v>
      </c>
      <c r="E714" s="216" t="s">
        <v>15</v>
      </c>
      <c r="F714" s="216" t="s">
        <v>28</v>
      </c>
      <c r="G714" s="217">
        <v>12.18</v>
      </c>
      <c r="H714" s="218">
        <v>7.25</v>
      </c>
      <c r="I714" s="219">
        <v>8</v>
      </c>
      <c r="J714" s="220">
        <f t="shared" si="385"/>
        <v>0.70643999999999996</v>
      </c>
      <c r="K714" s="118"/>
      <c r="L714" s="219">
        <v>8</v>
      </c>
      <c r="M714" s="117">
        <f t="shared" si="386"/>
        <v>0.70643999999999996</v>
      </c>
      <c r="N714" s="119">
        <f t="shared" si="387"/>
        <v>0</v>
      </c>
      <c r="O714" s="120">
        <f t="shared" si="388"/>
        <v>0</v>
      </c>
      <c r="P714" s="130"/>
      <c r="Q714" s="111"/>
      <c r="R714" s="111"/>
    </row>
    <row r="715" spans="1:18" s="213" customFormat="1" ht="15.6">
      <c r="A715" s="110" t="s">
        <v>618</v>
      </c>
      <c r="B715" s="111" t="s">
        <v>505</v>
      </c>
      <c r="C715" s="112" t="s">
        <v>449</v>
      </c>
      <c r="D715" s="113" t="s">
        <v>17</v>
      </c>
      <c r="E715" s="216" t="s">
        <v>15</v>
      </c>
      <c r="F715" s="216" t="s">
        <v>28</v>
      </c>
      <c r="G715" s="217">
        <v>12.18</v>
      </c>
      <c r="H715" s="218">
        <v>7.7</v>
      </c>
      <c r="I715" s="219">
        <v>1</v>
      </c>
      <c r="J715" s="220">
        <f t="shared" si="385"/>
        <v>9.3786000000000008E-2</v>
      </c>
      <c r="K715" s="118"/>
      <c r="L715" s="219">
        <v>1</v>
      </c>
      <c r="M715" s="117">
        <f t="shared" si="386"/>
        <v>9.3786000000000008E-2</v>
      </c>
      <c r="N715" s="119">
        <f t="shared" si="387"/>
        <v>0</v>
      </c>
      <c r="O715" s="120">
        <f t="shared" si="388"/>
        <v>0</v>
      </c>
      <c r="P715" s="130">
        <v>7.25</v>
      </c>
      <c r="Q715" s="111">
        <v>1</v>
      </c>
      <c r="R715" s="111"/>
    </row>
    <row r="716" spans="1:18" s="213" customFormat="1" ht="15.6">
      <c r="A716" s="110" t="s">
        <v>618</v>
      </c>
      <c r="B716" s="111" t="s">
        <v>505</v>
      </c>
      <c r="C716" s="112" t="s">
        <v>449</v>
      </c>
      <c r="D716" s="113" t="s">
        <v>17</v>
      </c>
      <c r="E716" s="216" t="s">
        <v>15</v>
      </c>
      <c r="F716" s="216" t="s">
        <v>28</v>
      </c>
      <c r="G716" s="217">
        <v>12.18</v>
      </c>
      <c r="H716" s="218">
        <v>11.5</v>
      </c>
      <c r="I716" s="219">
        <v>4</v>
      </c>
      <c r="J716" s="220">
        <f t="shared" si="385"/>
        <v>0.56028</v>
      </c>
      <c r="K716" s="118"/>
      <c r="L716" s="219">
        <f>3+1</f>
        <v>4</v>
      </c>
      <c r="M716" s="117">
        <f t="shared" si="386"/>
        <v>0.56028</v>
      </c>
      <c r="N716" s="119">
        <f t="shared" si="387"/>
        <v>0</v>
      </c>
      <c r="O716" s="120">
        <f t="shared" si="388"/>
        <v>0</v>
      </c>
      <c r="P716" s="130" t="s">
        <v>619</v>
      </c>
      <c r="Q716" s="111">
        <v>4</v>
      </c>
      <c r="R716" s="111"/>
    </row>
    <row r="717" spans="1:18" s="213" customFormat="1" ht="15.6">
      <c r="A717" s="110" t="s">
        <v>618</v>
      </c>
      <c r="B717" s="111" t="s">
        <v>505</v>
      </c>
      <c r="C717" s="112" t="s">
        <v>449</v>
      </c>
      <c r="D717" s="113" t="s">
        <v>17</v>
      </c>
      <c r="E717" s="216" t="s">
        <v>15</v>
      </c>
      <c r="F717" s="216" t="s">
        <v>28</v>
      </c>
      <c r="G717" s="217">
        <v>12.18</v>
      </c>
      <c r="H717" s="218">
        <v>7.25</v>
      </c>
      <c r="I717" s="219">
        <v>28</v>
      </c>
      <c r="J717" s="220">
        <f t="shared" si="385"/>
        <v>2.47254</v>
      </c>
      <c r="K717" s="118"/>
      <c r="L717" s="219">
        <v>28</v>
      </c>
      <c r="M717" s="117">
        <f t="shared" si="386"/>
        <v>2.47254</v>
      </c>
      <c r="N717" s="119">
        <f t="shared" si="387"/>
        <v>0</v>
      </c>
      <c r="O717" s="120">
        <f t="shared" si="388"/>
        <v>0</v>
      </c>
      <c r="P717" s="130"/>
      <c r="Q717" s="111"/>
      <c r="R717" s="111"/>
    </row>
    <row r="718" spans="1:18" s="213" customFormat="1" ht="15.6">
      <c r="A718" s="110" t="s">
        <v>618</v>
      </c>
      <c r="B718" s="111" t="s">
        <v>505</v>
      </c>
      <c r="C718" s="112" t="s">
        <v>449</v>
      </c>
      <c r="D718" s="113" t="s">
        <v>17</v>
      </c>
      <c r="E718" s="216" t="s">
        <v>15</v>
      </c>
      <c r="F718" s="216" t="s">
        <v>28</v>
      </c>
      <c r="G718" s="217">
        <v>12.18</v>
      </c>
      <c r="H718" s="218">
        <v>7.25</v>
      </c>
      <c r="I718" s="219">
        <v>28</v>
      </c>
      <c r="J718" s="220">
        <f t="shared" si="385"/>
        <v>2.47254</v>
      </c>
      <c r="K718" s="118"/>
      <c r="L718" s="219">
        <v>28</v>
      </c>
      <c r="M718" s="117">
        <f t="shared" si="386"/>
        <v>2.47254</v>
      </c>
      <c r="N718" s="119">
        <f t="shared" si="387"/>
        <v>0</v>
      </c>
      <c r="O718" s="120">
        <f t="shared" si="388"/>
        <v>0</v>
      </c>
      <c r="P718" s="130"/>
      <c r="Q718" s="111"/>
      <c r="R718" s="111"/>
    </row>
    <row r="719" spans="1:18" s="213" customFormat="1" ht="15.6">
      <c r="A719" s="110" t="s">
        <v>618</v>
      </c>
      <c r="B719" s="111" t="s">
        <v>505</v>
      </c>
      <c r="C719" s="112" t="s">
        <v>449</v>
      </c>
      <c r="D719" s="113" t="s">
        <v>17</v>
      </c>
      <c r="E719" s="216" t="s">
        <v>15</v>
      </c>
      <c r="F719" s="216" t="s">
        <v>28</v>
      </c>
      <c r="G719" s="217">
        <v>12.18</v>
      </c>
      <c r="H719" s="218">
        <v>11.5</v>
      </c>
      <c r="I719" s="219">
        <v>22</v>
      </c>
      <c r="J719" s="220">
        <f t="shared" ref="J719:J725" si="389">(G719*H719*I719/1000)</f>
        <v>3.0815399999999999</v>
      </c>
      <c r="K719" s="118"/>
      <c r="L719" s="219">
        <v>22</v>
      </c>
      <c r="M719" s="117">
        <f t="shared" ref="M719:M725" si="390">H719*L719*G719/1000</f>
        <v>3.0815399999999999</v>
      </c>
      <c r="N719" s="119">
        <f t="shared" ref="N719:N725" si="391">I719-L719</f>
        <v>0</v>
      </c>
      <c r="O719" s="120">
        <f t="shared" ref="O719:O725" si="392">H719*N719*G719/1000</f>
        <v>0</v>
      </c>
      <c r="P719" s="130"/>
      <c r="Q719" s="111"/>
      <c r="R719" s="111"/>
    </row>
    <row r="720" spans="1:18" s="213" customFormat="1" ht="15.6">
      <c r="A720" s="110" t="s">
        <v>618</v>
      </c>
      <c r="B720" s="111" t="s">
        <v>505</v>
      </c>
      <c r="C720" s="112" t="s">
        <v>449</v>
      </c>
      <c r="D720" s="113" t="s">
        <v>17</v>
      </c>
      <c r="E720" s="216" t="s">
        <v>15</v>
      </c>
      <c r="F720" s="216" t="s">
        <v>28</v>
      </c>
      <c r="G720" s="217">
        <v>12.18</v>
      </c>
      <c r="H720" s="218">
        <v>9.4499999999999993</v>
      </c>
      <c r="I720" s="219">
        <v>32</v>
      </c>
      <c r="J720" s="220">
        <f t="shared" si="389"/>
        <v>3.6832319999999994</v>
      </c>
      <c r="K720" s="118"/>
      <c r="L720" s="219">
        <v>32</v>
      </c>
      <c r="M720" s="117">
        <f t="shared" si="390"/>
        <v>3.6832319999999994</v>
      </c>
      <c r="N720" s="119">
        <f t="shared" si="391"/>
        <v>0</v>
      </c>
      <c r="O720" s="120">
        <f t="shared" si="392"/>
        <v>0</v>
      </c>
      <c r="P720" s="130"/>
      <c r="Q720" s="111"/>
      <c r="R720" s="111"/>
    </row>
    <row r="721" spans="1:18" s="213" customFormat="1" ht="15.6">
      <c r="A721" s="110" t="s">
        <v>618</v>
      </c>
      <c r="B721" s="111" t="s">
        <v>505</v>
      </c>
      <c r="C721" s="112" t="s">
        <v>449</v>
      </c>
      <c r="D721" s="113" t="s">
        <v>17</v>
      </c>
      <c r="E721" s="216" t="s">
        <v>15</v>
      </c>
      <c r="F721" s="216" t="s">
        <v>28</v>
      </c>
      <c r="G721" s="217">
        <v>12.18</v>
      </c>
      <c r="H721" s="218">
        <v>7.7</v>
      </c>
      <c r="I721" s="219">
        <v>19</v>
      </c>
      <c r="J721" s="220">
        <f t="shared" si="389"/>
        <v>1.7819339999999999</v>
      </c>
      <c r="K721" s="118"/>
      <c r="L721" s="219">
        <f>18+1</f>
        <v>19</v>
      </c>
      <c r="M721" s="117">
        <f t="shared" si="390"/>
        <v>1.7819340000000001</v>
      </c>
      <c r="N721" s="119">
        <f t="shared" si="391"/>
        <v>0</v>
      </c>
      <c r="O721" s="120">
        <f t="shared" si="392"/>
        <v>0</v>
      </c>
      <c r="P721" s="130">
        <v>7.25</v>
      </c>
      <c r="Q721" s="111">
        <v>1</v>
      </c>
      <c r="R721" s="111"/>
    </row>
    <row r="722" spans="1:18" s="213" customFormat="1" ht="15.6">
      <c r="A722" s="110" t="s">
        <v>618</v>
      </c>
      <c r="B722" s="111" t="s">
        <v>505</v>
      </c>
      <c r="C722" s="112" t="s">
        <v>449</v>
      </c>
      <c r="D722" s="113" t="s">
        <v>17</v>
      </c>
      <c r="E722" s="216" t="s">
        <v>15</v>
      </c>
      <c r="F722" s="216" t="s">
        <v>28</v>
      </c>
      <c r="G722" s="217">
        <v>12.18</v>
      </c>
      <c r="H722" s="218">
        <v>7.25</v>
      </c>
      <c r="I722" s="219">
        <v>20</v>
      </c>
      <c r="J722" s="220">
        <f t="shared" si="389"/>
        <v>1.7661</v>
      </c>
      <c r="K722" s="118"/>
      <c r="L722" s="219">
        <v>20</v>
      </c>
      <c r="M722" s="117">
        <f t="shared" si="390"/>
        <v>1.7661</v>
      </c>
      <c r="N722" s="119">
        <f t="shared" si="391"/>
        <v>0</v>
      </c>
      <c r="O722" s="120">
        <f t="shared" si="392"/>
        <v>0</v>
      </c>
      <c r="P722" s="130"/>
      <c r="Q722" s="111"/>
      <c r="R722" s="111"/>
    </row>
    <row r="723" spans="1:18" s="213" customFormat="1" ht="15.6">
      <c r="A723" s="110" t="s">
        <v>618</v>
      </c>
      <c r="B723" s="111" t="s">
        <v>505</v>
      </c>
      <c r="C723" s="112" t="s">
        <v>449</v>
      </c>
      <c r="D723" s="113" t="s">
        <v>17</v>
      </c>
      <c r="E723" s="216" t="s">
        <v>15</v>
      </c>
      <c r="F723" s="216" t="s">
        <v>28</v>
      </c>
      <c r="G723" s="217">
        <v>12.18</v>
      </c>
      <c r="H723" s="218">
        <v>11.5</v>
      </c>
      <c r="I723" s="219">
        <v>2</v>
      </c>
      <c r="J723" s="220">
        <f t="shared" si="389"/>
        <v>0.28014</v>
      </c>
      <c r="K723" s="118"/>
      <c r="L723" s="219">
        <v>2</v>
      </c>
      <c r="M723" s="117">
        <f t="shared" si="390"/>
        <v>0.28014</v>
      </c>
      <c r="N723" s="119">
        <f t="shared" si="391"/>
        <v>0</v>
      </c>
      <c r="O723" s="120">
        <f t="shared" si="392"/>
        <v>0</v>
      </c>
      <c r="P723" s="130"/>
      <c r="Q723" s="111"/>
      <c r="R723" s="111"/>
    </row>
    <row r="724" spans="1:18" s="213" customFormat="1" ht="15.6">
      <c r="A724" s="110" t="s">
        <v>618</v>
      </c>
      <c r="B724" s="111" t="s">
        <v>505</v>
      </c>
      <c r="C724" s="112" t="s">
        <v>449</v>
      </c>
      <c r="D724" s="113" t="s">
        <v>17</v>
      </c>
      <c r="E724" s="216" t="s">
        <v>15</v>
      </c>
      <c r="F724" s="216" t="s">
        <v>28</v>
      </c>
      <c r="G724" s="217">
        <v>12.18</v>
      </c>
      <c r="H724" s="218">
        <v>6.7</v>
      </c>
      <c r="I724" s="219">
        <v>1</v>
      </c>
      <c r="J724" s="220">
        <f t="shared" si="389"/>
        <v>8.1605999999999998E-2</v>
      </c>
      <c r="K724" s="118"/>
      <c r="L724" s="219"/>
      <c r="M724" s="117">
        <f t="shared" si="390"/>
        <v>0</v>
      </c>
      <c r="N724" s="119">
        <f t="shared" si="391"/>
        <v>1</v>
      </c>
      <c r="O724" s="120">
        <f t="shared" si="392"/>
        <v>8.1605999999999998E-2</v>
      </c>
      <c r="P724" s="130"/>
      <c r="Q724" s="111"/>
      <c r="R724" s="111"/>
    </row>
    <row r="725" spans="1:18" s="213" customFormat="1" ht="15.6">
      <c r="A725" s="110" t="s">
        <v>618</v>
      </c>
      <c r="B725" s="111" t="s">
        <v>505</v>
      </c>
      <c r="C725" s="112" t="s">
        <v>449</v>
      </c>
      <c r="D725" s="113" t="s">
        <v>17</v>
      </c>
      <c r="E725" s="216" t="s">
        <v>15</v>
      </c>
      <c r="F725" s="216" t="s">
        <v>28</v>
      </c>
      <c r="G725" s="217">
        <v>12.18</v>
      </c>
      <c r="H725" s="218">
        <v>11</v>
      </c>
      <c r="I725" s="219">
        <v>5</v>
      </c>
      <c r="J725" s="220">
        <f t="shared" si="389"/>
        <v>0.66989999999999994</v>
      </c>
      <c r="K725" s="118"/>
      <c r="L725" s="219">
        <v>5</v>
      </c>
      <c r="M725" s="117">
        <f t="shared" si="390"/>
        <v>0.66989999999999994</v>
      </c>
      <c r="N725" s="119">
        <f t="shared" si="391"/>
        <v>0</v>
      </c>
      <c r="O725" s="120">
        <f t="shared" si="392"/>
        <v>0</v>
      </c>
      <c r="P725" s="130">
        <v>9.4499999999999993</v>
      </c>
      <c r="Q725" s="111">
        <v>5</v>
      </c>
      <c r="R725" s="111"/>
    </row>
    <row r="726" spans="1:18" s="213" customFormat="1" ht="15.6">
      <c r="A726" s="110" t="s">
        <v>618</v>
      </c>
      <c r="B726" s="111" t="s">
        <v>505</v>
      </c>
      <c r="C726" s="112" t="s">
        <v>449</v>
      </c>
      <c r="D726" s="113" t="s">
        <v>17</v>
      </c>
      <c r="E726" s="216" t="s">
        <v>15</v>
      </c>
      <c r="F726" s="216" t="s">
        <v>28</v>
      </c>
      <c r="G726" s="217">
        <v>12.18</v>
      </c>
      <c r="H726" s="218">
        <v>7.25</v>
      </c>
      <c r="I726" s="219">
        <v>4</v>
      </c>
      <c r="J726" s="220">
        <f t="shared" si="385"/>
        <v>0.35321999999999998</v>
      </c>
      <c r="K726" s="118"/>
      <c r="L726" s="219">
        <v>4</v>
      </c>
      <c r="M726" s="117">
        <f t="shared" si="386"/>
        <v>0.35321999999999998</v>
      </c>
      <c r="N726" s="119">
        <f t="shared" si="387"/>
        <v>0</v>
      </c>
      <c r="O726" s="120">
        <f t="shared" si="388"/>
        <v>0</v>
      </c>
      <c r="P726" s="130"/>
      <c r="Q726" s="111"/>
      <c r="R726" s="111"/>
    </row>
    <row r="727" spans="1:18" s="213" customFormat="1" ht="15.6">
      <c r="A727" s="110" t="s">
        <v>618</v>
      </c>
      <c r="B727" s="111" t="s">
        <v>505</v>
      </c>
      <c r="C727" s="112" t="s">
        <v>449</v>
      </c>
      <c r="D727" s="113" t="s">
        <v>17</v>
      </c>
      <c r="E727" s="216" t="s">
        <v>15</v>
      </c>
      <c r="F727" s="216" t="s">
        <v>28</v>
      </c>
      <c r="G727" s="217">
        <v>12.18</v>
      </c>
      <c r="H727" s="218">
        <v>11.5</v>
      </c>
      <c r="I727" s="219">
        <v>1</v>
      </c>
      <c r="J727" s="220">
        <f t="shared" si="385"/>
        <v>0.14007</v>
      </c>
      <c r="K727" s="118"/>
      <c r="L727" s="219">
        <v>1</v>
      </c>
      <c r="M727" s="117">
        <f t="shared" si="386"/>
        <v>0.14007</v>
      </c>
      <c r="N727" s="119">
        <f t="shared" si="387"/>
        <v>0</v>
      </c>
      <c r="O727" s="120">
        <f t="shared" si="388"/>
        <v>0</v>
      </c>
      <c r="P727" s="130"/>
      <c r="Q727" s="111"/>
      <c r="R727" s="111"/>
    </row>
    <row r="728" spans="1:18" s="213" customFormat="1">
      <c r="I728" s="215">
        <f>SUM(I703:I727)</f>
        <v>353</v>
      </c>
      <c r="J728" s="214">
        <f>SUM(J703:J727)</f>
        <v>36.173382000000011</v>
      </c>
      <c r="L728" s="215">
        <f>SUM(L703:L727)</f>
        <v>346</v>
      </c>
      <c r="M728" s="214">
        <f>SUM(M703:M727)</f>
        <v>35.483385000000006</v>
      </c>
      <c r="N728" s="215">
        <f>SUM(N703:N727)</f>
        <v>7</v>
      </c>
      <c r="O728" s="214">
        <f>SUM(O703:O727)</f>
        <v>0.68999699999999997</v>
      </c>
    </row>
    <row r="729" spans="1:18" s="213" customFormat="1">
      <c r="I729" s="215"/>
      <c r="J729" s="214"/>
      <c r="L729" s="215"/>
      <c r="M729" s="214"/>
      <c r="N729" s="215"/>
      <c r="O729" s="214"/>
    </row>
    <row r="730" spans="1:18" s="213" customFormat="1" ht="15.6">
      <c r="A730" s="110" t="s">
        <v>618</v>
      </c>
      <c r="B730" s="111" t="s">
        <v>505</v>
      </c>
      <c r="C730" s="112" t="s">
        <v>449</v>
      </c>
      <c r="D730" s="113" t="s">
        <v>17</v>
      </c>
      <c r="E730" s="216" t="s">
        <v>15</v>
      </c>
      <c r="F730" s="216" t="s">
        <v>22</v>
      </c>
      <c r="G730" s="217">
        <v>10.73</v>
      </c>
      <c r="H730" s="218">
        <v>10.5</v>
      </c>
      <c r="I730" s="219">
        <v>19</v>
      </c>
      <c r="J730" s="220">
        <f t="shared" ref="J730" si="393">(G730*H730*I730/1000)</f>
        <v>2.1406350000000001</v>
      </c>
      <c r="K730" s="118"/>
      <c r="L730" s="219">
        <v>19</v>
      </c>
      <c r="M730" s="117">
        <f t="shared" ref="M730" si="394">H730*L730*G730/1000</f>
        <v>2.1406350000000001</v>
      </c>
      <c r="N730" s="119">
        <f t="shared" ref="N730" si="395">I730-L730</f>
        <v>0</v>
      </c>
      <c r="O730" s="120">
        <f t="shared" ref="O730" si="396">H730*N730*G730/1000</f>
        <v>0</v>
      </c>
      <c r="P730" s="130"/>
      <c r="Q730" s="111"/>
      <c r="R730" s="111"/>
    </row>
    <row r="731" spans="1:18" s="213" customFormat="1" ht="15.6">
      <c r="A731" s="110" t="s">
        <v>618</v>
      </c>
      <c r="B731" s="111" t="s">
        <v>505</v>
      </c>
      <c r="C731" s="112" t="s">
        <v>449</v>
      </c>
      <c r="D731" s="113" t="s">
        <v>17</v>
      </c>
      <c r="E731" s="216" t="s">
        <v>15</v>
      </c>
      <c r="F731" s="216" t="s">
        <v>22</v>
      </c>
      <c r="G731" s="217">
        <v>10.73</v>
      </c>
      <c r="H731" s="218">
        <v>9</v>
      </c>
      <c r="I731" s="219">
        <v>26</v>
      </c>
      <c r="J731" s="220">
        <f t="shared" ref="J731:J745" si="397">(G731*H731*I731/1000)</f>
        <v>2.5108200000000003</v>
      </c>
      <c r="K731" s="118"/>
      <c r="L731" s="219">
        <v>26</v>
      </c>
      <c r="M731" s="117">
        <f t="shared" ref="M731:M745" si="398">H731*L731*G731/1000</f>
        <v>2.5108200000000003</v>
      </c>
      <c r="N731" s="119">
        <f t="shared" ref="N731:N745" si="399">I731-L731</f>
        <v>0</v>
      </c>
      <c r="O731" s="120">
        <f t="shared" ref="O731:O745" si="400">H731*N731*G731/1000</f>
        <v>0</v>
      </c>
      <c r="P731" s="130"/>
      <c r="Q731" s="111"/>
      <c r="R731" s="111"/>
    </row>
    <row r="732" spans="1:18" s="213" customFormat="1" ht="15.6">
      <c r="A732" s="110" t="s">
        <v>618</v>
      </c>
      <c r="B732" s="111" t="s">
        <v>505</v>
      </c>
      <c r="C732" s="112" t="s">
        <v>449</v>
      </c>
      <c r="D732" s="113" t="s">
        <v>17</v>
      </c>
      <c r="E732" s="216" t="s">
        <v>15</v>
      </c>
      <c r="F732" s="216" t="s">
        <v>22</v>
      </c>
      <c r="G732" s="217">
        <v>10.73</v>
      </c>
      <c r="H732" s="218">
        <v>9</v>
      </c>
      <c r="I732" s="219">
        <v>9</v>
      </c>
      <c r="J732" s="220">
        <f t="shared" si="397"/>
        <v>0.86913000000000007</v>
      </c>
      <c r="K732" s="118"/>
      <c r="L732" s="219">
        <v>9</v>
      </c>
      <c r="M732" s="117">
        <f t="shared" si="398"/>
        <v>0.86912999999999996</v>
      </c>
      <c r="N732" s="119">
        <f t="shared" si="399"/>
        <v>0</v>
      </c>
      <c r="O732" s="120">
        <f t="shared" si="400"/>
        <v>0</v>
      </c>
      <c r="P732" s="130"/>
      <c r="Q732" s="111"/>
      <c r="R732" s="111"/>
    </row>
    <row r="733" spans="1:18" s="213" customFormat="1" ht="15.6">
      <c r="A733" s="110" t="s">
        <v>618</v>
      </c>
      <c r="B733" s="111" t="s">
        <v>505</v>
      </c>
      <c r="C733" s="112" t="s">
        <v>449</v>
      </c>
      <c r="D733" s="113" t="s">
        <v>17</v>
      </c>
      <c r="E733" s="216" t="s">
        <v>15</v>
      </c>
      <c r="F733" s="216" t="s">
        <v>22</v>
      </c>
      <c r="G733" s="217">
        <v>10.73</v>
      </c>
      <c r="H733" s="218">
        <v>9.8000000000000007</v>
      </c>
      <c r="I733" s="219">
        <v>12</v>
      </c>
      <c r="J733" s="220">
        <f t="shared" si="397"/>
        <v>1.2618480000000001</v>
      </c>
      <c r="K733" s="118"/>
      <c r="L733" s="219">
        <v>12</v>
      </c>
      <c r="M733" s="117">
        <f t="shared" si="398"/>
        <v>1.2618480000000001</v>
      </c>
      <c r="N733" s="119">
        <f t="shared" si="399"/>
        <v>0</v>
      </c>
      <c r="O733" s="120">
        <f t="shared" si="400"/>
        <v>0</v>
      </c>
      <c r="P733" s="130"/>
      <c r="Q733" s="111"/>
      <c r="R733" s="111"/>
    </row>
    <row r="734" spans="1:18" s="213" customFormat="1" ht="15.6">
      <c r="A734" s="110" t="s">
        <v>618</v>
      </c>
      <c r="B734" s="111" t="s">
        <v>505</v>
      </c>
      <c r="C734" s="112" t="s">
        <v>449</v>
      </c>
      <c r="D734" s="113" t="s">
        <v>17</v>
      </c>
      <c r="E734" s="216" t="s">
        <v>15</v>
      </c>
      <c r="F734" s="216" t="s">
        <v>22</v>
      </c>
      <c r="G734" s="217">
        <v>10.73</v>
      </c>
      <c r="H734" s="218">
        <v>9.8000000000000007</v>
      </c>
      <c r="I734" s="219">
        <v>26</v>
      </c>
      <c r="J734" s="220">
        <f t="shared" si="397"/>
        <v>2.7340040000000005</v>
      </c>
      <c r="K734" s="118"/>
      <c r="L734" s="219">
        <v>26</v>
      </c>
      <c r="M734" s="117">
        <f t="shared" si="398"/>
        <v>2.7340040000000005</v>
      </c>
      <c r="N734" s="119">
        <f t="shared" si="399"/>
        <v>0</v>
      </c>
      <c r="O734" s="120">
        <f t="shared" si="400"/>
        <v>0</v>
      </c>
      <c r="P734" s="130"/>
      <c r="Q734" s="111"/>
      <c r="R734" s="111"/>
    </row>
    <row r="735" spans="1:18" s="213" customFormat="1" ht="15.6">
      <c r="A735" s="110" t="s">
        <v>618</v>
      </c>
      <c r="B735" s="111" t="s">
        <v>505</v>
      </c>
      <c r="C735" s="112" t="s">
        <v>449</v>
      </c>
      <c r="D735" s="113" t="s">
        <v>17</v>
      </c>
      <c r="E735" s="216" t="s">
        <v>15</v>
      </c>
      <c r="F735" s="216" t="s">
        <v>22</v>
      </c>
      <c r="G735" s="217">
        <v>10.73</v>
      </c>
      <c r="H735" s="218">
        <v>10.8</v>
      </c>
      <c r="I735" s="219">
        <v>24</v>
      </c>
      <c r="J735" s="220">
        <f t="shared" si="397"/>
        <v>2.7812160000000001</v>
      </c>
      <c r="K735" s="118"/>
      <c r="L735" s="219">
        <v>24</v>
      </c>
      <c r="M735" s="117">
        <f t="shared" si="398"/>
        <v>2.781216000000001</v>
      </c>
      <c r="N735" s="119">
        <f t="shared" si="399"/>
        <v>0</v>
      </c>
      <c r="O735" s="120">
        <f t="shared" si="400"/>
        <v>0</v>
      </c>
      <c r="P735" s="130"/>
      <c r="Q735" s="111"/>
      <c r="R735" s="111"/>
    </row>
    <row r="736" spans="1:18" s="213" customFormat="1" ht="15.6">
      <c r="A736" s="110" t="s">
        <v>618</v>
      </c>
      <c r="B736" s="111" t="s">
        <v>505</v>
      </c>
      <c r="C736" s="112" t="s">
        <v>449</v>
      </c>
      <c r="D736" s="113" t="s">
        <v>17</v>
      </c>
      <c r="E736" s="216" t="s">
        <v>15</v>
      </c>
      <c r="F736" s="216" t="s">
        <v>22</v>
      </c>
      <c r="G736" s="217">
        <v>10.73</v>
      </c>
      <c r="H736" s="218">
        <v>10.8</v>
      </c>
      <c r="I736" s="219">
        <v>24</v>
      </c>
      <c r="J736" s="220">
        <f t="shared" si="397"/>
        <v>2.7812160000000001</v>
      </c>
      <c r="K736" s="118"/>
      <c r="L736" s="219">
        <v>24</v>
      </c>
      <c r="M736" s="117">
        <f t="shared" si="398"/>
        <v>2.781216000000001</v>
      </c>
      <c r="N736" s="119">
        <f t="shared" si="399"/>
        <v>0</v>
      </c>
      <c r="O736" s="120">
        <f t="shared" si="400"/>
        <v>0</v>
      </c>
      <c r="P736" s="130"/>
      <c r="Q736" s="111"/>
      <c r="R736" s="111"/>
    </row>
    <row r="737" spans="1:18" s="213" customFormat="1" ht="15.6">
      <c r="A737" s="110" t="s">
        <v>618</v>
      </c>
      <c r="B737" s="111" t="s">
        <v>505</v>
      </c>
      <c r="C737" s="112" t="s">
        <v>449</v>
      </c>
      <c r="D737" s="113" t="s">
        <v>17</v>
      </c>
      <c r="E737" s="216" t="s">
        <v>15</v>
      </c>
      <c r="F737" s="216" t="s">
        <v>22</v>
      </c>
      <c r="G737" s="217">
        <v>10.73</v>
      </c>
      <c r="H737" s="218">
        <v>10.8</v>
      </c>
      <c r="I737" s="219">
        <v>24</v>
      </c>
      <c r="J737" s="220">
        <f t="shared" si="397"/>
        <v>2.7812160000000001</v>
      </c>
      <c r="K737" s="118"/>
      <c r="L737" s="219">
        <v>24</v>
      </c>
      <c r="M737" s="117">
        <f t="shared" si="398"/>
        <v>2.781216000000001</v>
      </c>
      <c r="N737" s="119">
        <f t="shared" si="399"/>
        <v>0</v>
      </c>
      <c r="O737" s="120">
        <f t="shared" si="400"/>
        <v>0</v>
      </c>
      <c r="P737" s="130"/>
      <c r="Q737" s="111"/>
      <c r="R737" s="111"/>
    </row>
    <row r="738" spans="1:18" s="213" customFormat="1" ht="15.6">
      <c r="A738" s="110" t="s">
        <v>618</v>
      </c>
      <c r="B738" s="111" t="s">
        <v>505</v>
      </c>
      <c r="C738" s="112" t="s">
        <v>449</v>
      </c>
      <c r="D738" s="113" t="s">
        <v>17</v>
      </c>
      <c r="E738" s="216" t="s">
        <v>15</v>
      </c>
      <c r="F738" s="216" t="s">
        <v>22</v>
      </c>
      <c r="G738" s="217">
        <v>10.73</v>
      </c>
      <c r="H738" s="218">
        <v>10.8</v>
      </c>
      <c r="I738" s="219">
        <v>16</v>
      </c>
      <c r="J738" s="220">
        <f t="shared" si="397"/>
        <v>1.8541440000000002</v>
      </c>
      <c r="K738" s="118"/>
      <c r="L738" s="219">
        <v>16</v>
      </c>
      <c r="M738" s="117">
        <f t="shared" si="398"/>
        <v>1.8541440000000002</v>
      </c>
      <c r="N738" s="119">
        <f t="shared" si="399"/>
        <v>0</v>
      </c>
      <c r="O738" s="120">
        <f t="shared" si="400"/>
        <v>0</v>
      </c>
      <c r="P738" s="130"/>
      <c r="Q738" s="111"/>
      <c r="R738" s="111"/>
    </row>
    <row r="739" spans="1:18" s="213" customFormat="1" ht="15.6">
      <c r="A739" s="110" t="s">
        <v>618</v>
      </c>
      <c r="B739" s="111" t="s">
        <v>505</v>
      </c>
      <c r="C739" s="112" t="s">
        <v>449</v>
      </c>
      <c r="D739" s="113" t="s">
        <v>17</v>
      </c>
      <c r="E739" s="216" t="s">
        <v>15</v>
      </c>
      <c r="F739" s="216" t="s">
        <v>22</v>
      </c>
      <c r="G739" s="217">
        <v>10.73</v>
      </c>
      <c r="H739" s="218">
        <v>11</v>
      </c>
      <c r="I739" s="219">
        <v>21</v>
      </c>
      <c r="J739" s="220">
        <f t="shared" si="397"/>
        <v>2.4786299999999999</v>
      </c>
      <c r="K739" s="118"/>
      <c r="L739" s="219">
        <v>21</v>
      </c>
      <c r="M739" s="117">
        <f t="shared" si="398"/>
        <v>2.4786299999999999</v>
      </c>
      <c r="N739" s="119">
        <f t="shared" si="399"/>
        <v>0</v>
      </c>
      <c r="O739" s="120">
        <f t="shared" si="400"/>
        <v>0</v>
      </c>
      <c r="P739" s="130"/>
      <c r="Q739" s="111"/>
      <c r="R739" s="111"/>
    </row>
    <row r="740" spans="1:18" s="213" customFormat="1" ht="15.6">
      <c r="A740" s="110" t="s">
        <v>618</v>
      </c>
      <c r="B740" s="111" t="s">
        <v>505</v>
      </c>
      <c r="C740" s="112" t="s">
        <v>449</v>
      </c>
      <c r="D740" s="113" t="s">
        <v>17</v>
      </c>
      <c r="E740" s="216" t="s">
        <v>15</v>
      </c>
      <c r="F740" s="216" t="s">
        <v>22</v>
      </c>
      <c r="G740" s="217">
        <v>10.73</v>
      </c>
      <c r="H740" s="218">
        <v>11</v>
      </c>
      <c r="I740" s="219">
        <v>25</v>
      </c>
      <c r="J740" s="220">
        <f t="shared" si="397"/>
        <v>2.9507500000000002</v>
      </c>
      <c r="K740" s="118"/>
      <c r="L740" s="219">
        <v>25</v>
      </c>
      <c r="M740" s="117">
        <f t="shared" si="398"/>
        <v>2.9507500000000002</v>
      </c>
      <c r="N740" s="119">
        <f t="shared" si="399"/>
        <v>0</v>
      </c>
      <c r="O740" s="120">
        <f t="shared" si="400"/>
        <v>0</v>
      </c>
      <c r="P740" s="130"/>
      <c r="Q740" s="111"/>
      <c r="R740" s="111"/>
    </row>
    <row r="741" spans="1:18" s="213" customFormat="1" ht="15.6">
      <c r="A741" s="110" t="s">
        <v>618</v>
      </c>
      <c r="B741" s="111" t="s">
        <v>505</v>
      </c>
      <c r="C741" s="112" t="s">
        <v>449</v>
      </c>
      <c r="D741" s="113" t="s">
        <v>17</v>
      </c>
      <c r="E741" s="216" t="s">
        <v>15</v>
      </c>
      <c r="F741" s="216" t="s">
        <v>22</v>
      </c>
      <c r="G741" s="217">
        <v>10.73</v>
      </c>
      <c r="H741" s="218">
        <v>11</v>
      </c>
      <c r="I741" s="219">
        <v>12</v>
      </c>
      <c r="J741" s="220">
        <f t="shared" si="397"/>
        <v>1.4163600000000001</v>
      </c>
      <c r="K741" s="118"/>
      <c r="L741" s="219">
        <v>12</v>
      </c>
      <c r="M741" s="117">
        <f t="shared" si="398"/>
        <v>1.4163600000000001</v>
      </c>
      <c r="N741" s="119">
        <f t="shared" si="399"/>
        <v>0</v>
      </c>
      <c r="O741" s="120">
        <f t="shared" si="400"/>
        <v>0</v>
      </c>
      <c r="P741" s="130"/>
      <c r="Q741" s="111"/>
      <c r="R741" s="111"/>
    </row>
    <row r="742" spans="1:18" s="213" customFormat="1" ht="15.6">
      <c r="A742" s="110" t="s">
        <v>618</v>
      </c>
      <c r="B742" s="111" t="s">
        <v>505</v>
      </c>
      <c r="C742" s="112" t="s">
        <v>449</v>
      </c>
      <c r="D742" s="113" t="s">
        <v>17</v>
      </c>
      <c r="E742" s="216" t="s">
        <v>15</v>
      </c>
      <c r="F742" s="216" t="s">
        <v>22</v>
      </c>
      <c r="G742" s="217">
        <v>10.73</v>
      </c>
      <c r="H742" s="218">
        <v>11.2</v>
      </c>
      <c r="I742" s="219">
        <v>24</v>
      </c>
      <c r="J742" s="220">
        <f t="shared" si="397"/>
        <v>2.8842240000000001</v>
      </c>
      <c r="K742" s="118"/>
      <c r="L742" s="219">
        <v>24</v>
      </c>
      <c r="M742" s="117">
        <f t="shared" si="398"/>
        <v>2.8842239999999997</v>
      </c>
      <c r="N742" s="119">
        <f t="shared" si="399"/>
        <v>0</v>
      </c>
      <c r="O742" s="120">
        <f t="shared" si="400"/>
        <v>0</v>
      </c>
      <c r="P742" s="130"/>
      <c r="Q742" s="111"/>
      <c r="R742" s="111"/>
    </row>
    <row r="743" spans="1:18" s="213" customFormat="1" ht="15.6">
      <c r="A743" s="110" t="s">
        <v>618</v>
      </c>
      <c r="B743" s="111" t="s">
        <v>505</v>
      </c>
      <c r="C743" s="112" t="s">
        <v>449</v>
      </c>
      <c r="D743" s="113" t="s">
        <v>17</v>
      </c>
      <c r="E743" s="216" t="s">
        <v>15</v>
      </c>
      <c r="F743" s="216" t="s">
        <v>22</v>
      </c>
      <c r="G743" s="217">
        <v>10.73</v>
      </c>
      <c r="H743" s="218">
        <v>11.2</v>
      </c>
      <c r="I743" s="219">
        <v>27</v>
      </c>
      <c r="J743" s="220">
        <f t="shared" si="397"/>
        <v>3.2447520000000001</v>
      </c>
      <c r="K743" s="118"/>
      <c r="L743" s="219">
        <v>27</v>
      </c>
      <c r="M743" s="117">
        <f t="shared" si="398"/>
        <v>3.2447520000000001</v>
      </c>
      <c r="N743" s="119">
        <f t="shared" si="399"/>
        <v>0</v>
      </c>
      <c r="O743" s="120">
        <f t="shared" si="400"/>
        <v>0</v>
      </c>
      <c r="P743" s="130"/>
      <c r="Q743" s="111"/>
      <c r="R743" s="111"/>
    </row>
    <row r="744" spans="1:18" s="213" customFormat="1" ht="15.6">
      <c r="A744" s="110" t="s">
        <v>618</v>
      </c>
      <c r="B744" s="111" t="s">
        <v>505</v>
      </c>
      <c r="C744" s="112" t="s">
        <v>449</v>
      </c>
      <c r="D744" s="113" t="s">
        <v>17</v>
      </c>
      <c r="E744" s="216" t="s">
        <v>15</v>
      </c>
      <c r="F744" s="216" t="s">
        <v>22</v>
      </c>
      <c r="G744" s="217">
        <v>10.73</v>
      </c>
      <c r="H744" s="218">
        <v>11.2</v>
      </c>
      <c r="I744" s="219">
        <v>2</v>
      </c>
      <c r="J744" s="220">
        <f t="shared" si="397"/>
        <v>0.24035200000000001</v>
      </c>
      <c r="K744" s="118"/>
      <c r="L744" s="219">
        <v>2</v>
      </c>
      <c r="M744" s="117">
        <f t="shared" si="398"/>
        <v>0.24035200000000001</v>
      </c>
      <c r="N744" s="119">
        <f t="shared" si="399"/>
        <v>0</v>
      </c>
      <c r="O744" s="120">
        <f t="shared" si="400"/>
        <v>0</v>
      </c>
      <c r="P744" s="130"/>
      <c r="Q744" s="111"/>
      <c r="R744" s="111"/>
    </row>
    <row r="745" spans="1:18" s="213" customFormat="1" ht="15.6">
      <c r="A745" s="110" t="s">
        <v>618</v>
      </c>
      <c r="B745" s="111" t="s">
        <v>505</v>
      </c>
      <c r="C745" s="112" t="s">
        <v>449</v>
      </c>
      <c r="D745" s="113" t="s">
        <v>17</v>
      </c>
      <c r="E745" s="216" t="s">
        <v>15</v>
      </c>
      <c r="F745" s="216" t="s">
        <v>22</v>
      </c>
      <c r="G745" s="217">
        <v>10.73</v>
      </c>
      <c r="H745" s="218">
        <v>11.5</v>
      </c>
      <c r="I745" s="219">
        <v>14</v>
      </c>
      <c r="J745" s="220">
        <f t="shared" si="397"/>
        <v>1.7275300000000002</v>
      </c>
      <c r="K745" s="118"/>
      <c r="L745" s="219">
        <v>14</v>
      </c>
      <c r="M745" s="117">
        <f t="shared" si="398"/>
        <v>1.72753</v>
      </c>
      <c r="N745" s="119">
        <f t="shared" si="399"/>
        <v>0</v>
      </c>
      <c r="O745" s="120">
        <f t="shared" si="400"/>
        <v>0</v>
      </c>
      <c r="P745" s="130"/>
      <c r="Q745" s="111"/>
      <c r="R745" s="111"/>
    </row>
    <row r="746" spans="1:18" s="213" customFormat="1" ht="15.6">
      <c r="A746" s="110" t="s">
        <v>618</v>
      </c>
      <c r="B746" s="111" t="s">
        <v>505</v>
      </c>
      <c r="C746" s="112" t="s">
        <v>449</v>
      </c>
      <c r="D746" s="113" t="s">
        <v>17</v>
      </c>
      <c r="E746" s="216" t="s">
        <v>15</v>
      </c>
      <c r="F746" s="216" t="s">
        <v>22</v>
      </c>
      <c r="G746" s="217">
        <v>10.73</v>
      </c>
      <c r="H746" s="218">
        <v>11.8</v>
      </c>
      <c r="I746" s="219">
        <v>24</v>
      </c>
      <c r="J746" s="220">
        <f t="shared" ref="J746:J759" si="401">(G746*H746*I746/1000)</f>
        <v>3.0387360000000005</v>
      </c>
      <c r="K746" s="118"/>
      <c r="L746" s="219">
        <v>24</v>
      </c>
      <c r="M746" s="117">
        <f t="shared" ref="M746:M759" si="402">H746*L746*G746/1000</f>
        <v>3.038736000000001</v>
      </c>
      <c r="N746" s="119">
        <f t="shared" ref="N746:N759" si="403">I746-L746</f>
        <v>0</v>
      </c>
      <c r="O746" s="120">
        <f t="shared" ref="O746:O759" si="404">H746*N746*G746/1000</f>
        <v>0</v>
      </c>
      <c r="P746" s="130"/>
      <c r="Q746" s="111"/>
      <c r="R746" s="111"/>
    </row>
    <row r="747" spans="1:18" s="213" customFormat="1" ht="15.6">
      <c r="A747" s="110" t="s">
        <v>618</v>
      </c>
      <c r="B747" s="111" t="s">
        <v>505</v>
      </c>
      <c r="C747" s="112" t="s">
        <v>449</v>
      </c>
      <c r="D747" s="113" t="s">
        <v>17</v>
      </c>
      <c r="E747" s="216" t="s">
        <v>15</v>
      </c>
      <c r="F747" s="216" t="s">
        <v>22</v>
      </c>
      <c r="G747" s="217">
        <v>10.73</v>
      </c>
      <c r="H747" s="218">
        <v>11.8</v>
      </c>
      <c r="I747" s="219">
        <v>24</v>
      </c>
      <c r="J747" s="220">
        <f t="shared" si="401"/>
        <v>3.0387360000000005</v>
      </c>
      <c r="K747" s="118"/>
      <c r="L747" s="219">
        <v>24</v>
      </c>
      <c r="M747" s="117">
        <f t="shared" si="402"/>
        <v>3.038736000000001</v>
      </c>
      <c r="N747" s="119">
        <f t="shared" si="403"/>
        <v>0</v>
      </c>
      <c r="O747" s="120">
        <f t="shared" si="404"/>
        <v>0</v>
      </c>
      <c r="P747" s="130"/>
      <c r="Q747" s="111"/>
      <c r="R747" s="111"/>
    </row>
    <row r="748" spans="1:18" s="213" customFormat="1" ht="15.6">
      <c r="A748" s="110" t="s">
        <v>618</v>
      </c>
      <c r="B748" s="111" t="s">
        <v>505</v>
      </c>
      <c r="C748" s="112" t="s">
        <v>449</v>
      </c>
      <c r="D748" s="113" t="s">
        <v>17</v>
      </c>
      <c r="E748" s="216" t="s">
        <v>15</v>
      </c>
      <c r="F748" s="216" t="s">
        <v>22</v>
      </c>
      <c r="G748" s="217">
        <v>10.73</v>
      </c>
      <c r="H748" s="218">
        <v>11.8</v>
      </c>
      <c r="I748" s="219">
        <v>24</v>
      </c>
      <c r="J748" s="220">
        <f t="shared" si="401"/>
        <v>3.0387360000000005</v>
      </c>
      <c r="K748" s="118"/>
      <c r="L748" s="219">
        <v>24</v>
      </c>
      <c r="M748" s="117">
        <f t="shared" si="402"/>
        <v>3.038736000000001</v>
      </c>
      <c r="N748" s="119">
        <f t="shared" si="403"/>
        <v>0</v>
      </c>
      <c r="O748" s="120">
        <f t="shared" si="404"/>
        <v>0</v>
      </c>
      <c r="P748" s="130"/>
      <c r="Q748" s="111"/>
      <c r="R748" s="111"/>
    </row>
    <row r="749" spans="1:18" s="213" customFormat="1" ht="15.6">
      <c r="A749" s="110" t="s">
        <v>618</v>
      </c>
      <c r="B749" s="111" t="s">
        <v>505</v>
      </c>
      <c r="C749" s="112" t="s">
        <v>449</v>
      </c>
      <c r="D749" s="113" t="s">
        <v>17</v>
      </c>
      <c r="E749" s="216" t="s">
        <v>15</v>
      </c>
      <c r="F749" s="216" t="s">
        <v>22</v>
      </c>
      <c r="G749" s="217">
        <v>10.73</v>
      </c>
      <c r="H749" s="218">
        <v>11.8</v>
      </c>
      <c r="I749" s="219">
        <v>23</v>
      </c>
      <c r="J749" s="220">
        <f t="shared" si="401"/>
        <v>2.9121220000000001</v>
      </c>
      <c r="K749" s="118"/>
      <c r="L749" s="219">
        <v>23</v>
      </c>
      <c r="M749" s="117">
        <f t="shared" si="402"/>
        <v>2.9121220000000001</v>
      </c>
      <c r="N749" s="119">
        <f t="shared" si="403"/>
        <v>0</v>
      </c>
      <c r="O749" s="120">
        <f t="shared" si="404"/>
        <v>0</v>
      </c>
      <c r="P749" s="130"/>
      <c r="Q749" s="111"/>
      <c r="R749" s="111"/>
    </row>
    <row r="750" spans="1:18" s="213" customFormat="1" ht="15.6">
      <c r="A750" s="110" t="s">
        <v>618</v>
      </c>
      <c r="B750" s="111" t="s">
        <v>505</v>
      </c>
      <c r="C750" s="112" t="s">
        <v>449</v>
      </c>
      <c r="D750" s="113" t="s">
        <v>17</v>
      </c>
      <c r="E750" s="216" t="s">
        <v>15</v>
      </c>
      <c r="F750" s="216" t="s">
        <v>22</v>
      </c>
      <c r="G750" s="217">
        <v>10.73</v>
      </c>
      <c r="H750" s="218">
        <v>12</v>
      </c>
      <c r="I750" s="219">
        <v>9</v>
      </c>
      <c r="J750" s="220">
        <f t="shared" si="401"/>
        <v>1.1588399999999999</v>
      </c>
      <c r="K750" s="118"/>
      <c r="L750" s="219">
        <v>9</v>
      </c>
      <c r="M750" s="117">
        <f t="shared" si="402"/>
        <v>1.1588400000000001</v>
      </c>
      <c r="N750" s="119">
        <f t="shared" si="403"/>
        <v>0</v>
      </c>
      <c r="O750" s="120">
        <f t="shared" si="404"/>
        <v>0</v>
      </c>
      <c r="P750" s="130"/>
      <c r="Q750" s="111"/>
      <c r="R750" s="111"/>
    </row>
    <row r="751" spans="1:18" s="213" customFormat="1" ht="15.6">
      <c r="A751" s="110" t="s">
        <v>618</v>
      </c>
      <c r="B751" s="111" t="s">
        <v>505</v>
      </c>
      <c r="C751" s="112" t="s">
        <v>449</v>
      </c>
      <c r="D751" s="113" t="s">
        <v>17</v>
      </c>
      <c r="E751" s="216" t="s">
        <v>15</v>
      </c>
      <c r="F751" s="216" t="s">
        <v>22</v>
      </c>
      <c r="G751" s="217">
        <v>10.73</v>
      </c>
      <c r="H751" s="218">
        <v>11.8</v>
      </c>
      <c r="I751" s="219">
        <v>2</v>
      </c>
      <c r="J751" s="220">
        <f t="shared" si="401"/>
        <v>0.25322800000000006</v>
      </c>
      <c r="K751" s="118"/>
      <c r="L751" s="219">
        <v>2</v>
      </c>
      <c r="M751" s="117">
        <f t="shared" si="402"/>
        <v>0.25322800000000006</v>
      </c>
      <c r="N751" s="119">
        <f t="shared" si="403"/>
        <v>0</v>
      </c>
      <c r="O751" s="120">
        <f t="shared" si="404"/>
        <v>0</v>
      </c>
      <c r="P751" s="130"/>
      <c r="Q751" s="111"/>
      <c r="R751" s="111"/>
    </row>
    <row r="752" spans="1:18" s="213" customFormat="1" ht="15.6">
      <c r="A752" s="110" t="s">
        <v>618</v>
      </c>
      <c r="B752" s="111" t="s">
        <v>505</v>
      </c>
      <c r="C752" s="112" t="s">
        <v>449</v>
      </c>
      <c r="D752" s="113" t="s">
        <v>17</v>
      </c>
      <c r="E752" s="216" t="s">
        <v>15</v>
      </c>
      <c r="F752" s="216" t="s">
        <v>22</v>
      </c>
      <c r="G752" s="217">
        <v>10.73</v>
      </c>
      <c r="H752" s="218">
        <v>12</v>
      </c>
      <c r="I752" s="219">
        <v>14</v>
      </c>
      <c r="J752" s="220">
        <f t="shared" si="401"/>
        <v>1.8026399999999998</v>
      </c>
      <c r="K752" s="118"/>
      <c r="L752" s="219">
        <v>14</v>
      </c>
      <c r="M752" s="117">
        <f t="shared" si="402"/>
        <v>1.80264</v>
      </c>
      <c r="N752" s="119">
        <f t="shared" si="403"/>
        <v>0</v>
      </c>
      <c r="O752" s="120">
        <f t="shared" si="404"/>
        <v>0</v>
      </c>
      <c r="P752" s="130"/>
      <c r="Q752" s="111"/>
      <c r="R752" s="111"/>
    </row>
    <row r="753" spans="1:18" s="213" customFormat="1" ht="15.6">
      <c r="A753" s="110" t="s">
        <v>618</v>
      </c>
      <c r="B753" s="111" t="s">
        <v>505</v>
      </c>
      <c r="C753" s="112" t="s">
        <v>449</v>
      </c>
      <c r="D753" s="113" t="s">
        <v>17</v>
      </c>
      <c r="E753" s="216" t="s">
        <v>15</v>
      </c>
      <c r="F753" s="216" t="s">
        <v>22</v>
      </c>
      <c r="G753" s="217">
        <v>10.73</v>
      </c>
      <c r="H753" s="218">
        <v>11.2</v>
      </c>
      <c r="I753" s="219">
        <v>1</v>
      </c>
      <c r="J753" s="220">
        <f t="shared" si="401"/>
        <v>0.12017600000000001</v>
      </c>
      <c r="K753" s="118"/>
      <c r="L753" s="219">
        <v>1</v>
      </c>
      <c r="M753" s="117">
        <f t="shared" si="402"/>
        <v>0.12017600000000001</v>
      </c>
      <c r="N753" s="119">
        <f t="shared" si="403"/>
        <v>0</v>
      </c>
      <c r="O753" s="120">
        <f t="shared" si="404"/>
        <v>0</v>
      </c>
      <c r="P753" s="130"/>
      <c r="Q753" s="111"/>
      <c r="R753" s="111"/>
    </row>
    <row r="754" spans="1:18" s="213" customFormat="1" ht="15.6">
      <c r="A754" s="110" t="s">
        <v>618</v>
      </c>
      <c r="B754" s="111" t="s">
        <v>505</v>
      </c>
      <c r="C754" s="112" t="s">
        <v>449</v>
      </c>
      <c r="D754" s="113" t="s">
        <v>17</v>
      </c>
      <c r="E754" s="216" t="s">
        <v>15</v>
      </c>
      <c r="F754" s="216" t="s">
        <v>22</v>
      </c>
      <c r="G754" s="217">
        <v>10.73</v>
      </c>
      <c r="H754" s="218">
        <v>8.3000000000000007</v>
      </c>
      <c r="I754" s="219">
        <v>1</v>
      </c>
      <c r="J754" s="220">
        <f t="shared" si="401"/>
        <v>8.9059000000000013E-2</v>
      </c>
      <c r="K754" s="118"/>
      <c r="L754" s="219"/>
      <c r="M754" s="117">
        <f t="shared" si="402"/>
        <v>0</v>
      </c>
      <c r="N754" s="119">
        <f t="shared" si="403"/>
        <v>1</v>
      </c>
      <c r="O754" s="120">
        <f t="shared" si="404"/>
        <v>8.9059000000000013E-2</v>
      </c>
      <c r="P754" s="130"/>
      <c r="Q754" s="111"/>
      <c r="R754" s="111"/>
    </row>
    <row r="755" spans="1:18" s="213" customFormat="1" ht="15.6">
      <c r="A755" s="110" t="s">
        <v>618</v>
      </c>
      <c r="B755" s="111" t="s">
        <v>505</v>
      </c>
      <c r="C755" s="112" t="s">
        <v>449</v>
      </c>
      <c r="D755" s="113" t="s">
        <v>17</v>
      </c>
      <c r="E755" s="216" t="s">
        <v>15</v>
      </c>
      <c r="F755" s="216" t="s">
        <v>22</v>
      </c>
      <c r="G755" s="217">
        <v>10.73</v>
      </c>
      <c r="H755" s="218">
        <v>10.8</v>
      </c>
      <c r="I755" s="219">
        <v>30</v>
      </c>
      <c r="J755" s="220">
        <f t="shared" si="401"/>
        <v>3.4765200000000003</v>
      </c>
      <c r="K755" s="118"/>
      <c r="L755" s="219">
        <v>30</v>
      </c>
      <c r="M755" s="117">
        <f t="shared" si="402"/>
        <v>3.4765199999999998</v>
      </c>
      <c r="N755" s="119">
        <f t="shared" si="403"/>
        <v>0</v>
      </c>
      <c r="O755" s="120">
        <f t="shared" si="404"/>
        <v>0</v>
      </c>
      <c r="P755" s="130"/>
      <c r="Q755" s="111"/>
      <c r="R755" s="111"/>
    </row>
    <row r="756" spans="1:18" s="213" customFormat="1" ht="15.6">
      <c r="A756" s="110" t="s">
        <v>618</v>
      </c>
      <c r="B756" s="111" t="s">
        <v>505</v>
      </c>
      <c r="C756" s="112" t="s">
        <v>449</v>
      </c>
      <c r="D756" s="113" t="s">
        <v>17</v>
      </c>
      <c r="E756" s="216" t="s">
        <v>15</v>
      </c>
      <c r="F756" s="216" t="s">
        <v>22</v>
      </c>
      <c r="G756" s="217">
        <v>10.73</v>
      </c>
      <c r="H756" s="218">
        <v>11</v>
      </c>
      <c r="I756" s="219">
        <v>30</v>
      </c>
      <c r="J756" s="220">
        <f t="shared" si="401"/>
        <v>3.5409000000000002</v>
      </c>
      <c r="K756" s="118"/>
      <c r="L756" s="219">
        <v>30</v>
      </c>
      <c r="M756" s="117">
        <f t="shared" si="402"/>
        <v>3.5409000000000002</v>
      </c>
      <c r="N756" s="119">
        <f t="shared" si="403"/>
        <v>0</v>
      </c>
      <c r="O756" s="120">
        <f t="shared" si="404"/>
        <v>0</v>
      </c>
      <c r="P756" s="130"/>
      <c r="Q756" s="111"/>
      <c r="R756" s="111"/>
    </row>
    <row r="757" spans="1:18" s="213" customFormat="1" ht="15.6">
      <c r="A757" s="110" t="s">
        <v>618</v>
      </c>
      <c r="B757" s="111" t="s">
        <v>505</v>
      </c>
      <c r="C757" s="112" t="s">
        <v>449</v>
      </c>
      <c r="D757" s="113" t="s">
        <v>17</v>
      </c>
      <c r="E757" s="216" t="s">
        <v>15</v>
      </c>
      <c r="F757" s="216" t="s">
        <v>22</v>
      </c>
      <c r="G757" s="217">
        <v>10.73</v>
      </c>
      <c r="H757" s="218">
        <v>11.8</v>
      </c>
      <c r="I757" s="219">
        <v>30</v>
      </c>
      <c r="J757" s="220">
        <f t="shared" si="401"/>
        <v>3.7984200000000006</v>
      </c>
      <c r="K757" s="118"/>
      <c r="L757" s="219">
        <v>30</v>
      </c>
      <c r="M757" s="117">
        <f t="shared" si="402"/>
        <v>3.7984200000000001</v>
      </c>
      <c r="N757" s="119">
        <f t="shared" si="403"/>
        <v>0</v>
      </c>
      <c r="O757" s="120">
        <f t="shared" si="404"/>
        <v>0</v>
      </c>
      <c r="P757" s="130"/>
      <c r="Q757" s="111"/>
      <c r="R757" s="111"/>
    </row>
    <row r="758" spans="1:18" s="213" customFormat="1" ht="15.6">
      <c r="A758" s="110" t="s">
        <v>618</v>
      </c>
      <c r="B758" s="111" t="s">
        <v>505</v>
      </c>
      <c r="C758" s="112" t="s">
        <v>449</v>
      </c>
      <c r="D758" s="113" t="s">
        <v>17</v>
      </c>
      <c r="E758" s="216" t="s">
        <v>15</v>
      </c>
      <c r="F758" s="216" t="s">
        <v>22</v>
      </c>
      <c r="G758" s="217">
        <v>10.73</v>
      </c>
      <c r="H758" s="218">
        <v>11.8</v>
      </c>
      <c r="I758" s="219">
        <v>30</v>
      </c>
      <c r="J758" s="220">
        <f t="shared" si="401"/>
        <v>3.7984200000000006</v>
      </c>
      <c r="K758" s="118"/>
      <c r="L758" s="219">
        <v>30</v>
      </c>
      <c r="M758" s="117">
        <f t="shared" si="402"/>
        <v>3.7984200000000001</v>
      </c>
      <c r="N758" s="119">
        <f t="shared" si="403"/>
        <v>0</v>
      </c>
      <c r="O758" s="120">
        <f t="shared" si="404"/>
        <v>0</v>
      </c>
      <c r="P758" s="130"/>
      <c r="Q758" s="111"/>
      <c r="R758" s="111"/>
    </row>
    <row r="759" spans="1:18" s="213" customFormat="1" ht="15.6">
      <c r="A759" s="110" t="s">
        <v>618</v>
      </c>
      <c r="B759" s="111" t="s">
        <v>505</v>
      </c>
      <c r="C759" s="112" t="s">
        <v>449</v>
      </c>
      <c r="D759" s="113" t="s">
        <v>17</v>
      </c>
      <c r="E759" s="216" t="s">
        <v>15</v>
      </c>
      <c r="F759" s="216" t="s">
        <v>22</v>
      </c>
      <c r="G759" s="217">
        <v>10.73</v>
      </c>
      <c r="H759" s="218">
        <v>11.2</v>
      </c>
      <c r="I759" s="219">
        <v>30</v>
      </c>
      <c r="J759" s="220">
        <f t="shared" si="401"/>
        <v>3.60528</v>
      </c>
      <c r="K759" s="118"/>
      <c r="L759" s="219">
        <v>30</v>
      </c>
      <c r="M759" s="117">
        <f t="shared" si="402"/>
        <v>3.60528</v>
      </c>
      <c r="N759" s="119">
        <f t="shared" si="403"/>
        <v>0</v>
      </c>
      <c r="O759" s="120">
        <f t="shared" si="404"/>
        <v>0</v>
      </c>
      <c r="P759" s="130"/>
      <c r="Q759" s="111"/>
      <c r="R759" s="111"/>
    </row>
    <row r="760" spans="1:18" s="213" customFormat="1" ht="15.6">
      <c r="A760" s="110" t="s">
        <v>618</v>
      </c>
      <c r="B760" s="111" t="s">
        <v>505</v>
      </c>
      <c r="C760" s="112" t="s">
        <v>449</v>
      </c>
      <c r="D760" s="113" t="s">
        <v>17</v>
      </c>
      <c r="E760" s="216" t="s">
        <v>15</v>
      </c>
      <c r="F760" s="216" t="s">
        <v>22</v>
      </c>
      <c r="G760" s="217">
        <v>10.73</v>
      </c>
      <c r="H760" s="218">
        <v>9</v>
      </c>
      <c r="I760" s="455">
        <v>30</v>
      </c>
      <c r="J760" s="220">
        <f t="shared" ref="J760:J770" si="405">(G760*H760*I760/1000)</f>
        <v>2.8971000000000005</v>
      </c>
      <c r="K760" s="118"/>
      <c r="L760" s="219">
        <v>30</v>
      </c>
      <c r="M760" s="117">
        <f t="shared" ref="M760:M770" si="406">H760*L760*G760/1000</f>
        <v>2.8971</v>
      </c>
      <c r="N760" s="119">
        <f t="shared" ref="N760:N770" si="407">I760-L760</f>
        <v>0</v>
      </c>
      <c r="O760" s="120">
        <f t="shared" ref="O760:O770" si="408">H760*N760*G760/1000</f>
        <v>0</v>
      </c>
      <c r="P760" s="130"/>
      <c r="Q760" s="111"/>
      <c r="R760" s="111"/>
    </row>
    <row r="761" spans="1:18" s="213" customFormat="1" ht="15.6">
      <c r="A761" s="110" t="s">
        <v>618</v>
      </c>
      <c r="B761" s="111" t="s">
        <v>505</v>
      </c>
      <c r="C761" s="112" t="s">
        <v>449</v>
      </c>
      <c r="D761" s="113" t="s">
        <v>17</v>
      </c>
      <c r="E761" s="216" t="s">
        <v>15</v>
      </c>
      <c r="F761" s="216" t="s">
        <v>22</v>
      </c>
      <c r="G761" s="217">
        <v>10.73</v>
      </c>
      <c r="H761" s="218">
        <v>9.8000000000000007</v>
      </c>
      <c r="I761" s="455">
        <v>30</v>
      </c>
      <c r="J761" s="220">
        <f t="shared" si="405"/>
        <v>3.1546200000000004</v>
      </c>
      <c r="K761" s="118"/>
      <c r="L761" s="219">
        <v>30</v>
      </c>
      <c r="M761" s="117">
        <f t="shared" si="406"/>
        <v>3.1546200000000004</v>
      </c>
      <c r="N761" s="119">
        <f t="shared" si="407"/>
        <v>0</v>
      </c>
      <c r="O761" s="120">
        <f t="shared" si="408"/>
        <v>0</v>
      </c>
      <c r="P761" s="130"/>
      <c r="Q761" s="111"/>
      <c r="R761" s="111"/>
    </row>
    <row r="762" spans="1:18" s="213" customFormat="1" ht="15.6">
      <c r="A762" s="110" t="s">
        <v>618</v>
      </c>
      <c r="B762" s="111" t="s">
        <v>505</v>
      </c>
      <c r="C762" s="112" t="s">
        <v>449</v>
      </c>
      <c r="D762" s="113" t="s">
        <v>17</v>
      </c>
      <c r="E762" s="216" t="s">
        <v>15</v>
      </c>
      <c r="F762" s="216" t="s">
        <v>22</v>
      </c>
      <c r="G762" s="217">
        <v>10.73</v>
      </c>
      <c r="H762" s="218">
        <v>9</v>
      </c>
      <c r="I762" s="455">
        <v>30</v>
      </c>
      <c r="J762" s="220">
        <f t="shared" si="405"/>
        <v>2.8971000000000005</v>
      </c>
      <c r="K762" s="118"/>
      <c r="L762" s="219">
        <v>30</v>
      </c>
      <c r="M762" s="117">
        <f t="shared" si="406"/>
        <v>2.8971</v>
      </c>
      <c r="N762" s="119">
        <f t="shared" si="407"/>
        <v>0</v>
      </c>
      <c r="O762" s="120">
        <f t="shared" si="408"/>
        <v>0</v>
      </c>
      <c r="P762" s="130"/>
      <c r="Q762" s="111"/>
      <c r="R762" s="111"/>
    </row>
    <row r="763" spans="1:18" s="213" customFormat="1" ht="15.6">
      <c r="A763" s="110" t="s">
        <v>618</v>
      </c>
      <c r="B763" s="111" t="s">
        <v>505</v>
      </c>
      <c r="C763" s="112" t="s">
        <v>449</v>
      </c>
      <c r="D763" s="113" t="s">
        <v>17</v>
      </c>
      <c r="E763" s="216" t="s">
        <v>15</v>
      </c>
      <c r="F763" s="216" t="s">
        <v>22</v>
      </c>
      <c r="G763" s="217">
        <v>10.73</v>
      </c>
      <c r="H763" s="218">
        <v>11</v>
      </c>
      <c r="I763" s="455">
        <v>30</v>
      </c>
      <c r="J763" s="220">
        <f t="shared" si="405"/>
        <v>3.5409000000000002</v>
      </c>
      <c r="K763" s="118"/>
      <c r="L763" s="219">
        <v>30</v>
      </c>
      <c r="M763" s="117">
        <f t="shared" si="406"/>
        <v>3.5409000000000002</v>
      </c>
      <c r="N763" s="119">
        <f t="shared" si="407"/>
        <v>0</v>
      </c>
      <c r="O763" s="120">
        <f t="shared" si="408"/>
        <v>0</v>
      </c>
      <c r="P763" s="130"/>
      <c r="Q763" s="111"/>
      <c r="R763" s="111"/>
    </row>
    <row r="764" spans="1:18" s="213" customFormat="1" ht="15.6">
      <c r="A764" s="110" t="s">
        <v>618</v>
      </c>
      <c r="B764" s="111" t="s">
        <v>505</v>
      </c>
      <c r="C764" s="112" t="s">
        <v>449</v>
      </c>
      <c r="D764" s="113" t="s">
        <v>17</v>
      </c>
      <c r="E764" s="216" t="s">
        <v>15</v>
      </c>
      <c r="F764" s="216" t="s">
        <v>22</v>
      </c>
      <c r="G764" s="217">
        <v>10.73</v>
      </c>
      <c r="H764" s="218">
        <v>10.8</v>
      </c>
      <c r="I764" s="455">
        <v>30</v>
      </c>
      <c r="J764" s="220">
        <f t="shared" si="405"/>
        <v>3.4765200000000003</v>
      </c>
      <c r="K764" s="118"/>
      <c r="L764" s="219">
        <v>30</v>
      </c>
      <c r="M764" s="117">
        <f t="shared" si="406"/>
        <v>3.4765199999999998</v>
      </c>
      <c r="N764" s="119">
        <f t="shared" si="407"/>
        <v>0</v>
      </c>
      <c r="O764" s="120">
        <f t="shared" si="408"/>
        <v>0</v>
      </c>
      <c r="P764" s="130"/>
      <c r="Q764" s="111"/>
      <c r="R764" s="111"/>
    </row>
    <row r="765" spans="1:18" s="213" customFormat="1" ht="15.6">
      <c r="A765" s="110" t="s">
        <v>618</v>
      </c>
      <c r="B765" s="111" t="s">
        <v>505</v>
      </c>
      <c r="C765" s="112" t="s">
        <v>449</v>
      </c>
      <c r="D765" s="113" t="s">
        <v>17</v>
      </c>
      <c r="E765" s="216" t="s">
        <v>15</v>
      </c>
      <c r="F765" s="216" t="s">
        <v>22</v>
      </c>
      <c r="G765" s="217">
        <v>10.73</v>
      </c>
      <c r="H765" s="218">
        <v>10.5</v>
      </c>
      <c r="I765" s="455">
        <v>14</v>
      </c>
      <c r="J765" s="220">
        <f t="shared" si="405"/>
        <v>1.5773100000000002</v>
      </c>
      <c r="K765" s="118"/>
      <c r="L765" s="219">
        <v>14</v>
      </c>
      <c r="M765" s="117">
        <f t="shared" si="406"/>
        <v>1.5773100000000002</v>
      </c>
      <c r="N765" s="119">
        <f t="shared" si="407"/>
        <v>0</v>
      </c>
      <c r="O765" s="120">
        <f t="shared" si="408"/>
        <v>0</v>
      </c>
      <c r="P765" s="130"/>
      <c r="Q765" s="111"/>
      <c r="R765" s="111"/>
    </row>
    <row r="766" spans="1:18" s="213" customFormat="1" ht="15.6">
      <c r="A766" s="110" t="s">
        <v>618</v>
      </c>
      <c r="B766" s="111" t="s">
        <v>505</v>
      </c>
      <c r="C766" s="112" t="s">
        <v>449</v>
      </c>
      <c r="D766" s="113" t="s">
        <v>17</v>
      </c>
      <c r="E766" s="216" t="s">
        <v>15</v>
      </c>
      <c r="F766" s="216" t="s">
        <v>22</v>
      </c>
      <c r="G766" s="217">
        <v>10.73</v>
      </c>
      <c r="H766" s="218">
        <v>11</v>
      </c>
      <c r="I766" s="455">
        <v>7</v>
      </c>
      <c r="J766" s="220">
        <f t="shared" si="405"/>
        <v>0.82621</v>
      </c>
      <c r="K766" s="118"/>
      <c r="L766" s="219">
        <v>7</v>
      </c>
      <c r="M766" s="117">
        <f t="shared" si="406"/>
        <v>0.82621</v>
      </c>
      <c r="N766" s="119">
        <f t="shared" si="407"/>
        <v>0</v>
      </c>
      <c r="O766" s="120">
        <f t="shared" si="408"/>
        <v>0</v>
      </c>
      <c r="P766" s="130"/>
      <c r="Q766" s="111"/>
      <c r="R766" s="111"/>
    </row>
    <row r="767" spans="1:18" s="213" customFormat="1" ht="15.6">
      <c r="A767" s="110" t="s">
        <v>618</v>
      </c>
      <c r="B767" s="111" t="s">
        <v>505</v>
      </c>
      <c r="C767" s="112" t="s">
        <v>449</v>
      </c>
      <c r="D767" s="113" t="s">
        <v>17</v>
      </c>
      <c r="E767" s="216" t="s">
        <v>15</v>
      </c>
      <c r="F767" s="216" t="s">
        <v>22</v>
      </c>
      <c r="G767" s="217">
        <v>10.73</v>
      </c>
      <c r="H767" s="218">
        <v>12</v>
      </c>
      <c r="I767" s="455">
        <v>27</v>
      </c>
      <c r="J767" s="220">
        <f t="shared" si="405"/>
        <v>3.4765199999999994</v>
      </c>
      <c r="K767" s="118"/>
      <c r="L767" s="219">
        <v>27</v>
      </c>
      <c r="M767" s="117">
        <f t="shared" si="406"/>
        <v>3.4765199999999998</v>
      </c>
      <c r="N767" s="119">
        <f t="shared" si="407"/>
        <v>0</v>
      </c>
      <c r="O767" s="120">
        <f t="shared" si="408"/>
        <v>0</v>
      </c>
      <c r="P767" s="130"/>
      <c r="Q767" s="111"/>
      <c r="R767" s="111"/>
    </row>
    <row r="768" spans="1:18" s="213" customFormat="1" ht="15.6">
      <c r="A768" s="110" t="s">
        <v>618</v>
      </c>
      <c r="B768" s="111" t="s">
        <v>505</v>
      </c>
      <c r="C768" s="112" t="s">
        <v>449</v>
      </c>
      <c r="D768" s="113" t="s">
        <v>17</v>
      </c>
      <c r="E768" s="216" t="s">
        <v>15</v>
      </c>
      <c r="F768" s="216" t="s">
        <v>22</v>
      </c>
      <c r="G768" s="217">
        <v>10.73</v>
      </c>
      <c r="H768" s="218">
        <v>9</v>
      </c>
      <c r="I768" s="455">
        <v>9</v>
      </c>
      <c r="J768" s="220">
        <f t="shared" si="405"/>
        <v>0.86913000000000007</v>
      </c>
      <c r="K768" s="118"/>
      <c r="L768" s="219">
        <v>9</v>
      </c>
      <c r="M768" s="117">
        <f t="shared" si="406"/>
        <v>0.86912999999999996</v>
      </c>
      <c r="N768" s="119">
        <f t="shared" si="407"/>
        <v>0</v>
      </c>
      <c r="O768" s="120">
        <f t="shared" si="408"/>
        <v>0</v>
      </c>
      <c r="P768" s="130"/>
      <c r="Q768" s="111"/>
      <c r="R768" s="111"/>
    </row>
    <row r="769" spans="1:18" s="213" customFormat="1" ht="15.6">
      <c r="A769" s="110" t="s">
        <v>618</v>
      </c>
      <c r="B769" s="111" t="s">
        <v>505</v>
      </c>
      <c r="C769" s="112" t="s">
        <v>449</v>
      </c>
      <c r="D769" s="113" t="s">
        <v>17</v>
      </c>
      <c r="E769" s="216" t="s">
        <v>15</v>
      </c>
      <c r="F769" s="216" t="s">
        <v>22</v>
      </c>
      <c r="G769" s="217">
        <v>10.73</v>
      </c>
      <c r="H769" s="218">
        <v>9.8000000000000007</v>
      </c>
      <c r="I769" s="455">
        <v>1</v>
      </c>
      <c r="J769" s="220">
        <f t="shared" si="405"/>
        <v>0.10515400000000001</v>
      </c>
      <c r="K769" s="118"/>
      <c r="L769" s="219">
        <v>1</v>
      </c>
      <c r="M769" s="117">
        <f t="shared" si="406"/>
        <v>0.10515400000000001</v>
      </c>
      <c r="N769" s="119">
        <f t="shared" si="407"/>
        <v>0</v>
      </c>
      <c r="O769" s="120">
        <f t="shared" si="408"/>
        <v>0</v>
      </c>
      <c r="P769" s="130"/>
      <c r="Q769" s="111"/>
      <c r="R769" s="111"/>
    </row>
    <row r="770" spans="1:18" s="213" customFormat="1" ht="15.6">
      <c r="A770" s="110" t="s">
        <v>618</v>
      </c>
      <c r="B770" s="111" t="s">
        <v>505</v>
      </c>
      <c r="C770" s="112" t="s">
        <v>449</v>
      </c>
      <c r="D770" s="113" t="s">
        <v>17</v>
      </c>
      <c r="E770" s="216" t="s">
        <v>15</v>
      </c>
      <c r="F770" s="216" t="s">
        <v>22</v>
      </c>
      <c r="G770" s="217">
        <v>10.73</v>
      </c>
      <c r="H770" s="218">
        <v>10.8</v>
      </c>
      <c r="I770" s="455">
        <v>15</v>
      </c>
      <c r="J770" s="220">
        <f t="shared" si="405"/>
        <v>1.7382600000000001</v>
      </c>
      <c r="K770" s="118"/>
      <c r="L770" s="219">
        <f>4+5+6</f>
        <v>15</v>
      </c>
      <c r="M770" s="117">
        <f t="shared" si="406"/>
        <v>1.7382599999999999</v>
      </c>
      <c r="N770" s="119">
        <f t="shared" si="407"/>
        <v>0</v>
      </c>
      <c r="O770" s="120">
        <f t="shared" si="408"/>
        <v>0</v>
      </c>
      <c r="P770" s="130">
        <v>10.5</v>
      </c>
      <c r="Q770" s="111">
        <v>5</v>
      </c>
      <c r="R770" s="111"/>
    </row>
    <row r="771" spans="1:18" s="213" customFormat="1" ht="15.6">
      <c r="A771" s="110" t="s">
        <v>618</v>
      </c>
      <c r="B771" s="111" t="s">
        <v>505</v>
      </c>
      <c r="C771" s="112" t="s">
        <v>449</v>
      </c>
      <c r="D771" s="113" t="s">
        <v>17</v>
      </c>
      <c r="E771" s="216" t="s">
        <v>15</v>
      </c>
      <c r="F771" s="216" t="s">
        <v>22</v>
      </c>
      <c r="G771" s="217">
        <v>10.73</v>
      </c>
      <c r="H771" s="218">
        <v>11.2</v>
      </c>
      <c r="I771" s="455">
        <v>20</v>
      </c>
      <c r="J771" s="220">
        <f t="shared" ref="J771:J780" si="409">(G771*H771*I771/1000)</f>
        <v>2.4035199999999999</v>
      </c>
      <c r="K771" s="118"/>
      <c r="L771" s="219">
        <v>20</v>
      </c>
      <c r="M771" s="117">
        <f t="shared" ref="M771:M780" si="410">H771*L771*G771/1000</f>
        <v>2.4035199999999999</v>
      </c>
      <c r="N771" s="119">
        <f t="shared" ref="N771:N780" si="411">I771-L771</f>
        <v>0</v>
      </c>
      <c r="O771" s="120">
        <f t="shared" ref="O771:O780" si="412">H771*N771*G771/1000</f>
        <v>0</v>
      </c>
      <c r="P771" s="130"/>
      <c r="Q771" s="111"/>
      <c r="R771" s="111"/>
    </row>
    <row r="772" spans="1:18" s="213" customFormat="1" ht="15.6">
      <c r="A772" s="110" t="s">
        <v>618</v>
      </c>
      <c r="B772" s="111" t="s">
        <v>505</v>
      </c>
      <c r="C772" s="112" t="s">
        <v>449</v>
      </c>
      <c r="D772" s="113" t="s">
        <v>17</v>
      </c>
      <c r="E772" s="216" t="s">
        <v>15</v>
      </c>
      <c r="F772" s="216" t="s">
        <v>22</v>
      </c>
      <c r="G772" s="217">
        <v>10.73</v>
      </c>
      <c r="H772" s="218">
        <v>11.5</v>
      </c>
      <c r="I772" s="455">
        <v>10</v>
      </c>
      <c r="J772" s="220">
        <f t="shared" si="409"/>
        <v>1.2339500000000001</v>
      </c>
      <c r="K772" s="118"/>
      <c r="L772" s="219">
        <v>10</v>
      </c>
      <c r="M772" s="117">
        <f t="shared" si="410"/>
        <v>1.2339500000000001</v>
      </c>
      <c r="N772" s="119">
        <f t="shared" si="411"/>
        <v>0</v>
      </c>
      <c r="O772" s="120">
        <f t="shared" si="412"/>
        <v>0</v>
      </c>
      <c r="P772" s="130"/>
      <c r="Q772" s="111"/>
      <c r="R772" s="111"/>
    </row>
    <row r="773" spans="1:18" s="213" customFormat="1" ht="15.6">
      <c r="A773" s="110" t="s">
        <v>618</v>
      </c>
      <c r="B773" s="111" t="s">
        <v>505</v>
      </c>
      <c r="C773" s="112" t="s">
        <v>449</v>
      </c>
      <c r="D773" s="113" t="s">
        <v>17</v>
      </c>
      <c r="E773" s="216" t="s">
        <v>15</v>
      </c>
      <c r="F773" s="216" t="s">
        <v>22</v>
      </c>
      <c r="G773" s="217">
        <v>10.73</v>
      </c>
      <c r="H773" s="218">
        <v>11.8</v>
      </c>
      <c r="I773" s="455">
        <v>21</v>
      </c>
      <c r="J773" s="220">
        <f t="shared" si="409"/>
        <v>2.6588940000000001</v>
      </c>
      <c r="K773" s="118"/>
      <c r="L773" s="219">
        <f>10+11</f>
        <v>21</v>
      </c>
      <c r="M773" s="117">
        <f t="shared" si="410"/>
        <v>2.6588940000000001</v>
      </c>
      <c r="N773" s="119">
        <f t="shared" si="411"/>
        <v>0</v>
      </c>
      <c r="O773" s="120">
        <f t="shared" si="412"/>
        <v>0</v>
      </c>
      <c r="P773" s="130"/>
      <c r="Q773" s="111"/>
      <c r="R773" s="111"/>
    </row>
    <row r="774" spans="1:18" s="213" customFormat="1" ht="15.6">
      <c r="A774" s="110" t="s">
        <v>618</v>
      </c>
      <c r="B774" s="111" t="s">
        <v>505</v>
      </c>
      <c r="C774" s="112" t="s">
        <v>449</v>
      </c>
      <c r="D774" s="113" t="s">
        <v>17</v>
      </c>
      <c r="E774" s="216" t="s">
        <v>15</v>
      </c>
      <c r="F774" s="216" t="s">
        <v>22</v>
      </c>
      <c r="G774" s="217">
        <v>10.73</v>
      </c>
      <c r="H774" s="218">
        <v>12</v>
      </c>
      <c r="I774" s="455">
        <v>30</v>
      </c>
      <c r="J774" s="220">
        <f t="shared" si="409"/>
        <v>3.8627999999999996</v>
      </c>
      <c r="K774" s="118"/>
      <c r="L774" s="219">
        <v>30</v>
      </c>
      <c r="M774" s="117">
        <f t="shared" si="410"/>
        <v>3.8628</v>
      </c>
      <c r="N774" s="119">
        <f t="shared" si="411"/>
        <v>0</v>
      </c>
      <c r="O774" s="120">
        <f t="shared" si="412"/>
        <v>0</v>
      </c>
      <c r="P774" s="130"/>
      <c r="Q774" s="111"/>
      <c r="R774" s="111"/>
    </row>
    <row r="775" spans="1:18" s="213" customFormat="1" ht="15.6">
      <c r="A775" s="110" t="s">
        <v>618</v>
      </c>
      <c r="B775" s="111" t="s">
        <v>505</v>
      </c>
      <c r="C775" s="112" t="s">
        <v>449</v>
      </c>
      <c r="D775" s="113" t="s">
        <v>17</v>
      </c>
      <c r="E775" s="216" t="s">
        <v>15</v>
      </c>
      <c r="F775" s="216" t="s">
        <v>22</v>
      </c>
      <c r="G775" s="217">
        <v>10.73</v>
      </c>
      <c r="H775" s="218">
        <v>12</v>
      </c>
      <c r="I775" s="455">
        <v>13</v>
      </c>
      <c r="J775" s="220">
        <f t="shared" si="409"/>
        <v>1.6738799999999998</v>
      </c>
      <c r="K775" s="118"/>
      <c r="L775" s="219">
        <v>13</v>
      </c>
      <c r="M775" s="117">
        <f t="shared" si="410"/>
        <v>1.67388</v>
      </c>
      <c r="N775" s="119">
        <f t="shared" si="411"/>
        <v>0</v>
      </c>
      <c r="O775" s="120">
        <f t="shared" si="412"/>
        <v>0</v>
      </c>
      <c r="P775" s="130"/>
      <c r="Q775" s="111"/>
      <c r="R775" s="111"/>
    </row>
    <row r="776" spans="1:18" s="213" customFormat="1" ht="15.6">
      <c r="A776" s="110" t="s">
        <v>618</v>
      </c>
      <c r="B776" s="111" t="s">
        <v>505</v>
      </c>
      <c r="C776" s="112" t="s">
        <v>449</v>
      </c>
      <c r="D776" s="113" t="s">
        <v>17</v>
      </c>
      <c r="E776" s="216" t="s">
        <v>15</v>
      </c>
      <c r="F776" s="216" t="s">
        <v>22</v>
      </c>
      <c r="G776" s="217">
        <v>10.73</v>
      </c>
      <c r="H776" s="218">
        <v>11.5</v>
      </c>
      <c r="I776" s="455">
        <v>5</v>
      </c>
      <c r="J776" s="220">
        <f t="shared" si="409"/>
        <v>0.61697500000000005</v>
      </c>
      <c r="K776" s="118"/>
      <c r="L776" s="219">
        <v>5</v>
      </c>
      <c r="M776" s="117">
        <f t="shared" si="410"/>
        <v>0.61697500000000005</v>
      </c>
      <c r="N776" s="119">
        <f t="shared" si="411"/>
        <v>0</v>
      </c>
      <c r="O776" s="120">
        <f t="shared" si="412"/>
        <v>0</v>
      </c>
      <c r="P776" s="130"/>
      <c r="Q776" s="111"/>
      <c r="R776" s="111"/>
    </row>
    <row r="777" spans="1:18" s="213" customFormat="1" ht="15.6">
      <c r="A777" s="110" t="s">
        <v>618</v>
      </c>
      <c r="B777" s="111" t="s">
        <v>505</v>
      </c>
      <c r="C777" s="112" t="s">
        <v>449</v>
      </c>
      <c r="D777" s="113" t="s">
        <v>17</v>
      </c>
      <c r="E777" s="216" t="s">
        <v>15</v>
      </c>
      <c r="F777" s="216" t="s">
        <v>22</v>
      </c>
      <c r="G777" s="217">
        <v>10.73</v>
      </c>
      <c r="H777" s="218">
        <v>11</v>
      </c>
      <c r="I777" s="455">
        <v>1</v>
      </c>
      <c r="J777" s="220">
        <f t="shared" si="409"/>
        <v>0.11803</v>
      </c>
      <c r="K777" s="118"/>
      <c r="L777" s="219">
        <v>1</v>
      </c>
      <c r="M777" s="117">
        <f t="shared" si="410"/>
        <v>0.11803</v>
      </c>
      <c r="N777" s="119">
        <f t="shared" si="411"/>
        <v>0</v>
      </c>
      <c r="O777" s="120">
        <f t="shared" si="412"/>
        <v>0</v>
      </c>
      <c r="P777" s="130"/>
      <c r="Q777" s="111"/>
      <c r="R777" s="111"/>
    </row>
    <row r="778" spans="1:18" s="213" customFormat="1" ht="15.6">
      <c r="A778" s="110" t="s">
        <v>618</v>
      </c>
      <c r="B778" s="111" t="s">
        <v>505</v>
      </c>
      <c r="C778" s="112" t="s">
        <v>449</v>
      </c>
      <c r="D778" s="113" t="s">
        <v>17</v>
      </c>
      <c r="E778" s="216" t="s">
        <v>15</v>
      </c>
      <c r="F778" s="216" t="s">
        <v>22</v>
      </c>
      <c r="G778" s="217">
        <v>10.73</v>
      </c>
      <c r="H778" s="218">
        <v>10.8</v>
      </c>
      <c r="I778" s="455">
        <v>1</v>
      </c>
      <c r="J778" s="220">
        <f t="shared" si="409"/>
        <v>0.11588400000000001</v>
      </c>
      <c r="K778" s="118"/>
      <c r="L778" s="219">
        <v>1</v>
      </c>
      <c r="M778" s="117">
        <f t="shared" si="410"/>
        <v>0.11588400000000001</v>
      </c>
      <c r="N778" s="119">
        <f t="shared" si="411"/>
        <v>0</v>
      </c>
      <c r="O778" s="120">
        <f t="shared" si="412"/>
        <v>0</v>
      </c>
      <c r="P778" s="130"/>
      <c r="Q778" s="111"/>
      <c r="R778" s="111"/>
    </row>
    <row r="779" spans="1:18" s="213" customFormat="1" ht="15.6">
      <c r="A779" s="110" t="s">
        <v>618</v>
      </c>
      <c r="B779" s="111" t="s">
        <v>505</v>
      </c>
      <c r="C779" s="112" t="s">
        <v>449</v>
      </c>
      <c r="D779" s="113" t="s">
        <v>17</v>
      </c>
      <c r="E779" s="216" t="s">
        <v>15</v>
      </c>
      <c r="F779" s="216" t="s">
        <v>22</v>
      </c>
      <c r="G779" s="217">
        <v>10.73</v>
      </c>
      <c r="H779" s="218">
        <v>11.2</v>
      </c>
      <c r="I779" s="455">
        <v>1</v>
      </c>
      <c r="J779" s="220">
        <f t="shared" si="409"/>
        <v>0.12017600000000001</v>
      </c>
      <c r="K779" s="118"/>
      <c r="L779" s="219">
        <v>1</v>
      </c>
      <c r="M779" s="117">
        <f t="shared" si="410"/>
        <v>0.12017600000000001</v>
      </c>
      <c r="N779" s="119">
        <f t="shared" si="411"/>
        <v>0</v>
      </c>
      <c r="O779" s="120">
        <f t="shared" si="412"/>
        <v>0</v>
      </c>
      <c r="P779" s="130"/>
      <c r="Q779" s="111"/>
      <c r="R779" s="111"/>
    </row>
    <row r="780" spans="1:18" s="213" customFormat="1" ht="15.6">
      <c r="A780" s="110" t="s">
        <v>618</v>
      </c>
      <c r="B780" s="111" t="s">
        <v>505</v>
      </c>
      <c r="C780" s="112" t="s">
        <v>449</v>
      </c>
      <c r="D780" s="113" t="s">
        <v>17</v>
      </c>
      <c r="E780" s="216" t="s">
        <v>15</v>
      </c>
      <c r="F780" s="216" t="s">
        <v>22</v>
      </c>
      <c r="G780" s="217">
        <v>10.73</v>
      </c>
      <c r="H780" s="218">
        <v>11.6</v>
      </c>
      <c r="I780" s="455">
        <v>1</v>
      </c>
      <c r="J780" s="220">
        <f t="shared" si="409"/>
        <v>0.12446800000000001</v>
      </c>
      <c r="K780" s="118"/>
      <c r="L780" s="219">
        <v>1</v>
      </c>
      <c r="M780" s="117">
        <f t="shared" si="410"/>
        <v>0.12446800000000001</v>
      </c>
      <c r="N780" s="119">
        <f t="shared" si="411"/>
        <v>0</v>
      </c>
      <c r="O780" s="120">
        <f t="shared" si="412"/>
        <v>0</v>
      </c>
      <c r="P780" s="130">
        <v>11.5</v>
      </c>
      <c r="Q780" s="111">
        <v>1</v>
      </c>
      <c r="R780" s="111"/>
    </row>
    <row r="781" spans="1:18" s="213" customFormat="1" ht="15.6">
      <c r="A781" s="110" t="s">
        <v>618</v>
      </c>
      <c r="B781" s="111" t="s">
        <v>505</v>
      </c>
      <c r="C781" s="112" t="s">
        <v>449</v>
      </c>
      <c r="D781" s="113" t="s">
        <v>17</v>
      </c>
      <c r="E781" s="216" t="s">
        <v>15</v>
      </c>
      <c r="F781" s="216" t="s">
        <v>22</v>
      </c>
      <c r="G781" s="217">
        <v>10.73</v>
      </c>
      <c r="H781" s="218">
        <v>12</v>
      </c>
      <c r="I781" s="455">
        <v>24</v>
      </c>
      <c r="J781" s="220">
        <f t="shared" ref="J781:J787" si="413">(G781*H781*I781/1000)</f>
        <v>3.0902399999999997</v>
      </c>
      <c r="K781" s="118"/>
      <c r="L781" s="219">
        <v>24</v>
      </c>
      <c r="M781" s="117">
        <f t="shared" ref="M781:M787" si="414">H781*L781*G781/1000</f>
        <v>3.0902400000000001</v>
      </c>
      <c r="N781" s="119">
        <f t="shared" ref="N781:N787" si="415">I781-L781</f>
        <v>0</v>
      </c>
      <c r="O781" s="120">
        <f t="shared" ref="O781:O787" si="416">H781*N781*G781/1000</f>
        <v>0</v>
      </c>
      <c r="P781" s="130"/>
      <c r="Q781" s="111"/>
      <c r="R781" s="111"/>
    </row>
    <row r="782" spans="1:18" s="213" customFormat="1" ht="15.6">
      <c r="A782" s="110" t="s">
        <v>618</v>
      </c>
      <c r="B782" s="111" t="s">
        <v>505</v>
      </c>
      <c r="C782" s="112" t="s">
        <v>449</v>
      </c>
      <c r="D782" s="113" t="s">
        <v>17</v>
      </c>
      <c r="E782" s="216" t="s">
        <v>15</v>
      </c>
      <c r="F782" s="216" t="s">
        <v>22</v>
      </c>
      <c r="G782" s="217">
        <v>10.73</v>
      </c>
      <c r="H782" s="218">
        <v>12</v>
      </c>
      <c r="I782" s="455">
        <v>24</v>
      </c>
      <c r="J782" s="220">
        <f t="shared" si="413"/>
        <v>3.0902399999999997</v>
      </c>
      <c r="K782" s="118"/>
      <c r="L782" s="219">
        <v>24</v>
      </c>
      <c r="M782" s="117">
        <f t="shared" si="414"/>
        <v>3.0902400000000001</v>
      </c>
      <c r="N782" s="119">
        <f t="shared" si="415"/>
        <v>0</v>
      </c>
      <c r="O782" s="120">
        <f t="shared" si="416"/>
        <v>0</v>
      </c>
      <c r="P782" s="130"/>
      <c r="Q782" s="111"/>
      <c r="R782" s="111"/>
    </row>
    <row r="783" spans="1:18" s="213" customFormat="1" ht="15.6">
      <c r="A783" s="110" t="s">
        <v>618</v>
      </c>
      <c r="B783" s="111" t="s">
        <v>505</v>
      </c>
      <c r="C783" s="112" t="s">
        <v>449</v>
      </c>
      <c r="D783" s="113" t="s">
        <v>17</v>
      </c>
      <c r="E783" s="216" t="s">
        <v>15</v>
      </c>
      <c r="F783" s="216" t="s">
        <v>22</v>
      </c>
      <c r="G783" s="217">
        <v>10.73</v>
      </c>
      <c r="H783" s="218">
        <v>12</v>
      </c>
      <c r="I783" s="455">
        <v>24</v>
      </c>
      <c r="J783" s="220">
        <f t="shared" si="413"/>
        <v>3.0902399999999997</v>
      </c>
      <c r="K783" s="118"/>
      <c r="L783" s="219">
        <v>24</v>
      </c>
      <c r="M783" s="117">
        <f t="shared" si="414"/>
        <v>3.0902400000000001</v>
      </c>
      <c r="N783" s="119">
        <f t="shared" si="415"/>
        <v>0</v>
      </c>
      <c r="O783" s="120">
        <f t="shared" si="416"/>
        <v>0</v>
      </c>
      <c r="P783" s="130"/>
      <c r="Q783" s="111"/>
      <c r="R783" s="111"/>
    </row>
    <row r="784" spans="1:18" s="213" customFormat="1" ht="15.6">
      <c r="A784" s="110" t="s">
        <v>618</v>
      </c>
      <c r="B784" s="111" t="s">
        <v>505</v>
      </c>
      <c r="C784" s="112" t="s">
        <v>449</v>
      </c>
      <c r="D784" s="113" t="s">
        <v>17</v>
      </c>
      <c r="E784" s="216" t="s">
        <v>15</v>
      </c>
      <c r="F784" s="216" t="s">
        <v>22</v>
      </c>
      <c r="G784" s="217">
        <v>10.73</v>
      </c>
      <c r="H784" s="218">
        <v>12</v>
      </c>
      <c r="I784" s="455">
        <v>24</v>
      </c>
      <c r="J784" s="220">
        <f t="shared" si="413"/>
        <v>3.0902399999999997</v>
      </c>
      <c r="K784" s="118"/>
      <c r="L784" s="219">
        <v>24</v>
      </c>
      <c r="M784" s="117">
        <f t="shared" si="414"/>
        <v>3.0902400000000001</v>
      </c>
      <c r="N784" s="119">
        <f t="shared" si="415"/>
        <v>0</v>
      </c>
      <c r="O784" s="120">
        <f t="shared" si="416"/>
        <v>0</v>
      </c>
      <c r="P784" s="130"/>
      <c r="Q784" s="111"/>
      <c r="R784" s="111"/>
    </row>
    <row r="785" spans="1:18" s="213" customFormat="1" ht="15.6">
      <c r="A785" s="110" t="s">
        <v>618</v>
      </c>
      <c r="B785" s="111" t="s">
        <v>505</v>
      </c>
      <c r="C785" s="112" t="s">
        <v>449</v>
      </c>
      <c r="D785" s="113" t="s">
        <v>17</v>
      </c>
      <c r="E785" s="216" t="s">
        <v>15</v>
      </c>
      <c r="F785" s="216" t="s">
        <v>22</v>
      </c>
      <c r="G785" s="217">
        <v>10.73</v>
      </c>
      <c r="H785" s="218">
        <v>12</v>
      </c>
      <c r="I785" s="455">
        <v>20</v>
      </c>
      <c r="J785" s="220">
        <f t="shared" si="413"/>
        <v>2.5751999999999997</v>
      </c>
      <c r="K785" s="118"/>
      <c r="L785" s="219">
        <v>1</v>
      </c>
      <c r="M785" s="117">
        <f t="shared" si="414"/>
        <v>0.12875999999999999</v>
      </c>
      <c r="N785" s="119">
        <f t="shared" si="415"/>
        <v>19</v>
      </c>
      <c r="O785" s="120">
        <f t="shared" si="416"/>
        <v>2.4464399999999999</v>
      </c>
      <c r="P785" s="130"/>
      <c r="Q785" s="111"/>
      <c r="R785" s="111"/>
    </row>
    <row r="786" spans="1:18" s="213" customFormat="1" ht="15.6">
      <c r="A786" s="110" t="s">
        <v>618</v>
      </c>
      <c r="B786" s="111" t="s">
        <v>505</v>
      </c>
      <c r="C786" s="112" t="s">
        <v>449</v>
      </c>
      <c r="D786" s="113" t="s">
        <v>17</v>
      </c>
      <c r="E786" s="216" t="s">
        <v>15</v>
      </c>
      <c r="F786" s="216" t="s">
        <v>22</v>
      </c>
      <c r="G786" s="217">
        <v>10.73</v>
      </c>
      <c r="H786" s="218">
        <v>10.8</v>
      </c>
      <c r="I786" s="455">
        <v>24</v>
      </c>
      <c r="J786" s="220">
        <f t="shared" si="413"/>
        <v>2.7812160000000001</v>
      </c>
      <c r="K786" s="118"/>
      <c r="L786" s="219">
        <v>24</v>
      </c>
      <c r="M786" s="117">
        <f t="shared" si="414"/>
        <v>2.781216000000001</v>
      </c>
      <c r="N786" s="119">
        <f t="shared" si="415"/>
        <v>0</v>
      </c>
      <c r="O786" s="120">
        <f t="shared" si="416"/>
        <v>0</v>
      </c>
      <c r="P786" s="130"/>
      <c r="Q786" s="111"/>
      <c r="R786" s="111"/>
    </row>
    <row r="787" spans="1:18" s="213" customFormat="1" ht="15.6">
      <c r="A787" s="110" t="s">
        <v>618</v>
      </c>
      <c r="B787" s="111" t="s">
        <v>505</v>
      </c>
      <c r="C787" s="112" t="s">
        <v>449</v>
      </c>
      <c r="D787" s="113" t="s">
        <v>17</v>
      </c>
      <c r="E787" s="216" t="s">
        <v>15</v>
      </c>
      <c r="F787" s="216" t="s">
        <v>22</v>
      </c>
      <c r="G787" s="217">
        <v>10.73</v>
      </c>
      <c r="H787" s="218">
        <v>12</v>
      </c>
      <c r="I787" s="455">
        <v>24</v>
      </c>
      <c r="J787" s="220">
        <f t="shared" si="413"/>
        <v>3.0902399999999997</v>
      </c>
      <c r="K787" s="118"/>
      <c r="L787" s="219">
        <v>24</v>
      </c>
      <c r="M787" s="117">
        <f t="shared" si="414"/>
        <v>3.0902400000000001</v>
      </c>
      <c r="N787" s="119">
        <f t="shared" si="415"/>
        <v>0</v>
      </c>
      <c r="O787" s="120">
        <f t="shared" si="416"/>
        <v>0</v>
      </c>
      <c r="P787" s="130"/>
      <c r="Q787" s="111"/>
      <c r="R787" s="111"/>
    </row>
    <row r="788" spans="1:18" s="213" customFormat="1" ht="15.6">
      <c r="A788" s="110" t="s">
        <v>618</v>
      </c>
      <c r="B788" s="111" t="s">
        <v>505</v>
      </c>
      <c r="C788" s="112" t="s">
        <v>449</v>
      </c>
      <c r="D788" s="113" t="s">
        <v>17</v>
      </c>
      <c r="E788" s="216" t="s">
        <v>15</v>
      </c>
      <c r="F788" s="216" t="s">
        <v>22</v>
      </c>
      <c r="G788" s="217">
        <v>10.73</v>
      </c>
      <c r="H788" s="218">
        <v>12</v>
      </c>
      <c r="I788" s="455">
        <v>24</v>
      </c>
      <c r="J788" s="220">
        <f t="shared" ref="J788:J792" si="417">(G788*H788*I788/1000)</f>
        <v>3.0902399999999997</v>
      </c>
      <c r="K788" s="118"/>
      <c r="L788" s="219">
        <v>24</v>
      </c>
      <c r="M788" s="117">
        <f t="shared" ref="M788:M791" si="418">H788*L788*G788/1000</f>
        <v>3.0902400000000001</v>
      </c>
      <c r="N788" s="119">
        <f t="shared" ref="N788:N792" si="419">I788-L788</f>
        <v>0</v>
      </c>
      <c r="O788" s="120">
        <f t="shared" ref="O788:O791" si="420">H788*N788*G788/1000</f>
        <v>0</v>
      </c>
      <c r="P788" s="130"/>
      <c r="Q788" s="111"/>
      <c r="R788" s="111"/>
    </row>
    <row r="789" spans="1:18" s="213" customFormat="1" ht="15.6">
      <c r="A789" s="110" t="s">
        <v>618</v>
      </c>
      <c r="B789" s="111" t="s">
        <v>505</v>
      </c>
      <c r="C789" s="112" t="s">
        <v>449</v>
      </c>
      <c r="D789" s="113" t="s">
        <v>17</v>
      </c>
      <c r="E789" s="216" t="s">
        <v>15</v>
      </c>
      <c r="F789" s="216" t="s">
        <v>22</v>
      </c>
      <c r="G789" s="217">
        <v>10.73</v>
      </c>
      <c r="H789" s="218">
        <v>12</v>
      </c>
      <c r="I789" s="455">
        <v>19</v>
      </c>
      <c r="J789" s="220">
        <f t="shared" si="417"/>
        <v>2.4464399999999995</v>
      </c>
      <c r="K789" s="118"/>
      <c r="L789" s="219">
        <v>19</v>
      </c>
      <c r="M789" s="117">
        <f t="shared" si="418"/>
        <v>2.4464399999999999</v>
      </c>
      <c r="N789" s="119">
        <f t="shared" si="419"/>
        <v>0</v>
      </c>
      <c r="O789" s="120">
        <f t="shared" si="420"/>
        <v>0</v>
      </c>
      <c r="P789" s="130"/>
      <c r="Q789" s="111"/>
      <c r="R789" s="111"/>
    </row>
    <row r="790" spans="1:18" s="213" customFormat="1" ht="15.6">
      <c r="A790" s="110" t="s">
        <v>618</v>
      </c>
      <c r="B790" s="111" t="s">
        <v>505</v>
      </c>
      <c r="C790" s="112" t="s">
        <v>449</v>
      </c>
      <c r="D790" s="113" t="s">
        <v>17</v>
      </c>
      <c r="E790" s="216" t="s">
        <v>15</v>
      </c>
      <c r="F790" s="216" t="s">
        <v>22</v>
      </c>
      <c r="G790" s="217">
        <v>10.73</v>
      </c>
      <c r="H790" s="218">
        <v>10.8</v>
      </c>
      <c r="I790" s="455">
        <v>25</v>
      </c>
      <c r="J790" s="220">
        <f t="shared" si="417"/>
        <v>2.8971000000000005</v>
      </c>
      <c r="K790" s="118"/>
      <c r="L790" s="219">
        <v>25</v>
      </c>
      <c r="M790" s="117">
        <f t="shared" si="418"/>
        <v>2.8971</v>
      </c>
      <c r="N790" s="119">
        <f t="shared" si="419"/>
        <v>0</v>
      </c>
      <c r="O790" s="120">
        <f t="shared" si="420"/>
        <v>0</v>
      </c>
      <c r="P790" s="130"/>
      <c r="Q790" s="111"/>
      <c r="R790" s="111"/>
    </row>
    <row r="791" spans="1:18" s="213" customFormat="1" ht="15.6">
      <c r="A791" s="110" t="s">
        <v>618</v>
      </c>
      <c r="B791" s="111" t="s">
        <v>505</v>
      </c>
      <c r="C791" s="112" t="s">
        <v>449</v>
      </c>
      <c r="D791" s="113" t="s">
        <v>17</v>
      </c>
      <c r="E791" s="216" t="s">
        <v>15</v>
      </c>
      <c r="F791" s="216" t="s">
        <v>22</v>
      </c>
      <c r="G791" s="217">
        <v>10.73</v>
      </c>
      <c r="H791" s="218">
        <v>12</v>
      </c>
      <c r="I791" s="455">
        <v>24</v>
      </c>
      <c r="J791" s="220">
        <f t="shared" si="417"/>
        <v>3.0902399999999997</v>
      </c>
      <c r="K791" s="118"/>
      <c r="L791" s="219">
        <v>24</v>
      </c>
      <c r="M791" s="117">
        <f t="shared" si="418"/>
        <v>3.0902400000000001</v>
      </c>
      <c r="N791" s="119">
        <f t="shared" si="419"/>
        <v>0</v>
      </c>
      <c r="O791" s="120">
        <f t="shared" si="420"/>
        <v>0</v>
      </c>
      <c r="P791" s="130"/>
      <c r="Q791" s="111"/>
      <c r="R791" s="111"/>
    </row>
    <row r="792" spans="1:18" s="213" customFormat="1" ht="15.6">
      <c r="A792" s="110" t="s">
        <v>618</v>
      </c>
      <c r="B792" s="111" t="s">
        <v>505</v>
      </c>
      <c r="C792" s="112" t="s">
        <v>449</v>
      </c>
      <c r="D792" s="113" t="s">
        <v>17</v>
      </c>
      <c r="E792" s="216" t="s">
        <v>15</v>
      </c>
      <c r="F792" s="216" t="s">
        <v>22</v>
      </c>
      <c r="G792" s="217">
        <v>10.73</v>
      </c>
      <c r="H792" s="218">
        <v>12</v>
      </c>
      <c r="I792" s="455">
        <v>27</v>
      </c>
      <c r="J792" s="220">
        <f t="shared" si="417"/>
        <v>3.4765199999999994</v>
      </c>
      <c r="K792" s="118"/>
      <c r="L792" s="219">
        <v>27</v>
      </c>
      <c r="M792" s="117">
        <f>H792*L792*G792/1000</f>
        <v>3.4765199999999998</v>
      </c>
      <c r="N792" s="119">
        <f t="shared" si="419"/>
        <v>0</v>
      </c>
      <c r="O792" s="120">
        <f>H792*N792*G792/1000</f>
        <v>0</v>
      </c>
      <c r="P792" s="130"/>
      <c r="Q792" s="111"/>
      <c r="R792" s="111"/>
    </row>
    <row r="793" spans="1:18" s="213" customFormat="1">
      <c r="A793" s="32"/>
      <c r="B793" s="32"/>
      <c r="C793" s="32"/>
      <c r="D793" s="32"/>
      <c r="E793" s="32"/>
      <c r="F793" s="32"/>
      <c r="G793" s="32"/>
      <c r="H793" s="32"/>
      <c r="I793" s="129">
        <f>SUM(I730:I792)</f>
        <v>1186</v>
      </c>
      <c r="J793" s="124">
        <f>SUM(J730:J792)</f>
        <v>141.62419699999987</v>
      </c>
      <c r="K793" s="32"/>
      <c r="L793" s="129">
        <f>SUM(L730:L792)</f>
        <v>1166</v>
      </c>
      <c r="M793" s="124">
        <f>SUM(M730:M792)</f>
        <v>139.08869799999988</v>
      </c>
      <c r="N793" s="131">
        <f>SUM(N730:N792)</f>
        <v>20</v>
      </c>
      <c r="O793" s="132">
        <f>SUM(O730:O792)</f>
        <v>2.5354990000000002</v>
      </c>
      <c r="P793" s="32"/>
      <c r="Q793" s="32"/>
      <c r="R793" s="32"/>
    </row>
    <row r="794" spans="1:18" s="213" customFormat="1">
      <c r="I794" s="215"/>
      <c r="J794" s="214"/>
      <c r="L794" s="215"/>
      <c r="M794" s="214"/>
      <c r="N794" s="215"/>
      <c r="O794" s="214"/>
    </row>
    <row r="795" spans="1:18" s="213" customFormat="1" ht="15.6">
      <c r="A795" s="110" t="s">
        <v>616</v>
      </c>
      <c r="B795" s="111" t="s">
        <v>505</v>
      </c>
      <c r="C795" s="112" t="s">
        <v>449</v>
      </c>
      <c r="D795" s="113" t="s">
        <v>17</v>
      </c>
      <c r="E795" s="216" t="s">
        <v>15</v>
      </c>
      <c r="F795" s="216" t="s">
        <v>30</v>
      </c>
      <c r="G795" s="217">
        <v>9.26</v>
      </c>
      <c r="H795" s="463">
        <v>11.5</v>
      </c>
      <c r="I795" s="219">
        <v>30</v>
      </c>
      <c r="J795" s="220">
        <f t="shared" ref="J795:J826" si="421">(G795*H795*I795/1000)</f>
        <v>3.1946999999999997</v>
      </c>
      <c r="K795" s="118"/>
      <c r="L795" s="111">
        <v>30</v>
      </c>
      <c r="M795" s="117">
        <f t="shared" ref="M795:M870" si="422">H795*L795*G795/1000</f>
        <v>3.1946999999999997</v>
      </c>
      <c r="N795" s="119">
        <f t="shared" ref="N795:N826" si="423">I795-L795</f>
        <v>0</v>
      </c>
      <c r="O795" s="120">
        <f t="shared" ref="O795:O870" si="424">H795*N795*G795/1000</f>
        <v>0</v>
      </c>
      <c r="P795" s="111"/>
      <c r="Q795" s="111"/>
      <c r="R795" s="111"/>
    </row>
    <row r="796" spans="1:18" s="213" customFormat="1" ht="15.6">
      <c r="A796" s="110" t="s">
        <v>616</v>
      </c>
      <c r="B796" s="111" t="s">
        <v>505</v>
      </c>
      <c r="C796" s="112" t="s">
        <v>449</v>
      </c>
      <c r="D796" s="113" t="s">
        <v>17</v>
      </c>
      <c r="E796" s="216" t="s">
        <v>15</v>
      </c>
      <c r="F796" s="216" t="s">
        <v>30</v>
      </c>
      <c r="G796" s="217">
        <v>9.26</v>
      </c>
      <c r="H796" s="218">
        <v>11.5</v>
      </c>
      <c r="I796" s="219">
        <v>30</v>
      </c>
      <c r="J796" s="220">
        <f t="shared" si="421"/>
        <v>3.1946999999999997</v>
      </c>
      <c r="K796" s="118"/>
      <c r="L796" s="111">
        <v>30</v>
      </c>
      <c r="M796" s="117">
        <f t="shared" si="422"/>
        <v>3.1946999999999997</v>
      </c>
      <c r="N796" s="119">
        <f t="shared" si="423"/>
        <v>0</v>
      </c>
      <c r="O796" s="120">
        <f t="shared" si="424"/>
        <v>0</v>
      </c>
      <c r="P796" s="111"/>
      <c r="Q796" s="111"/>
      <c r="R796" s="111"/>
    </row>
    <row r="797" spans="1:18" s="213" customFormat="1" ht="15.6">
      <c r="A797" s="110" t="s">
        <v>616</v>
      </c>
      <c r="B797" s="111" t="s">
        <v>505</v>
      </c>
      <c r="C797" s="112" t="s">
        <v>449</v>
      </c>
      <c r="D797" s="113" t="s">
        <v>17</v>
      </c>
      <c r="E797" s="216" t="s">
        <v>15</v>
      </c>
      <c r="F797" s="216" t="s">
        <v>30</v>
      </c>
      <c r="G797" s="217">
        <v>9.26</v>
      </c>
      <c r="H797" s="218">
        <v>12</v>
      </c>
      <c r="I797" s="219">
        <v>26</v>
      </c>
      <c r="J797" s="220">
        <f t="shared" si="421"/>
        <v>2.8891199999999997</v>
      </c>
      <c r="K797" s="118"/>
      <c r="L797" s="111">
        <v>26</v>
      </c>
      <c r="M797" s="117">
        <f t="shared" si="422"/>
        <v>2.8891199999999997</v>
      </c>
      <c r="N797" s="119">
        <f t="shared" si="423"/>
        <v>0</v>
      </c>
      <c r="O797" s="120">
        <f t="shared" si="424"/>
        <v>0</v>
      </c>
      <c r="P797" s="111"/>
      <c r="Q797" s="111"/>
      <c r="R797" s="111"/>
    </row>
    <row r="798" spans="1:18" s="213" customFormat="1" ht="15.6">
      <c r="A798" s="110" t="s">
        <v>616</v>
      </c>
      <c r="B798" s="111" t="s">
        <v>505</v>
      </c>
      <c r="C798" s="112" t="s">
        <v>449</v>
      </c>
      <c r="D798" s="113" t="s">
        <v>17</v>
      </c>
      <c r="E798" s="216" t="s">
        <v>15</v>
      </c>
      <c r="F798" s="216" t="s">
        <v>30</v>
      </c>
      <c r="G798" s="217">
        <v>9.26</v>
      </c>
      <c r="H798" s="218">
        <v>11.5</v>
      </c>
      <c r="I798" s="219">
        <v>30</v>
      </c>
      <c r="J798" s="220">
        <f t="shared" si="421"/>
        <v>3.1946999999999997</v>
      </c>
      <c r="K798" s="118"/>
      <c r="L798" s="111">
        <v>30</v>
      </c>
      <c r="M798" s="117">
        <f t="shared" si="422"/>
        <v>3.1946999999999997</v>
      </c>
      <c r="N798" s="119">
        <f t="shared" si="423"/>
        <v>0</v>
      </c>
      <c r="O798" s="120">
        <f t="shared" si="424"/>
        <v>0</v>
      </c>
      <c r="P798" s="111"/>
      <c r="Q798" s="111"/>
      <c r="R798" s="111"/>
    </row>
    <row r="799" spans="1:18" s="213" customFormat="1" ht="15.6">
      <c r="A799" s="110" t="s">
        <v>616</v>
      </c>
      <c r="B799" s="111" t="s">
        <v>505</v>
      </c>
      <c r="C799" s="112" t="s">
        <v>449</v>
      </c>
      <c r="D799" s="113" t="s">
        <v>17</v>
      </c>
      <c r="E799" s="216" t="s">
        <v>15</v>
      </c>
      <c r="F799" s="216" t="s">
        <v>30</v>
      </c>
      <c r="G799" s="217">
        <v>9.26</v>
      </c>
      <c r="H799" s="218">
        <v>9.5</v>
      </c>
      <c r="I799" s="219">
        <v>33</v>
      </c>
      <c r="J799" s="220">
        <f t="shared" si="421"/>
        <v>2.9030099999999996</v>
      </c>
      <c r="K799" s="118"/>
      <c r="L799" s="111">
        <v>33</v>
      </c>
      <c r="M799" s="117">
        <f t="shared" si="422"/>
        <v>2.9030099999999996</v>
      </c>
      <c r="N799" s="119">
        <f t="shared" si="423"/>
        <v>0</v>
      </c>
      <c r="O799" s="120">
        <f t="shared" si="424"/>
        <v>0</v>
      </c>
      <c r="P799" s="111"/>
      <c r="Q799" s="111"/>
      <c r="R799" s="111"/>
    </row>
    <row r="800" spans="1:18" s="213" customFormat="1" ht="15.6">
      <c r="A800" s="110" t="s">
        <v>616</v>
      </c>
      <c r="B800" s="111" t="s">
        <v>505</v>
      </c>
      <c r="C800" s="112" t="s">
        <v>449</v>
      </c>
      <c r="D800" s="113" t="s">
        <v>17</v>
      </c>
      <c r="E800" s="216" t="s">
        <v>15</v>
      </c>
      <c r="F800" s="216" t="s">
        <v>30</v>
      </c>
      <c r="G800" s="217">
        <v>9.26</v>
      </c>
      <c r="H800" s="218">
        <v>6.25</v>
      </c>
      <c r="I800" s="219">
        <v>30</v>
      </c>
      <c r="J800" s="220">
        <f t="shared" si="421"/>
        <v>1.7362500000000001</v>
      </c>
      <c r="K800" s="118"/>
      <c r="L800" s="111">
        <v>30</v>
      </c>
      <c r="M800" s="117">
        <f t="shared" si="422"/>
        <v>1.7362500000000001</v>
      </c>
      <c r="N800" s="119">
        <f t="shared" si="423"/>
        <v>0</v>
      </c>
      <c r="O800" s="120">
        <f t="shared" si="424"/>
        <v>0</v>
      </c>
      <c r="P800" s="111"/>
      <c r="Q800" s="111"/>
      <c r="R800" s="111"/>
    </row>
    <row r="801" spans="1:18" s="213" customFormat="1" ht="15.6">
      <c r="A801" s="110" t="s">
        <v>616</v>
      </c>
      <c r="B801" s="111" t="s">
        <v>505</v>
      </c>
      <c r="C801" s="112" t="s">
        <v>449</v>
      </c>
      <c r="D801" s="113" t="s">
        <v>17</v>
      </c>
      <c r="E801" s="216" t="s">
        <v>15</v>
      </c>
      <c r="F801" s="216" t="s">
        <v>30</v>
      </c>
      <c r="G801" s="217">
        <v>9.26</v>
      </c>
      <c r="H801" s="218">
        <v>6.25</v>
      </c>
      <c r="I801" s="219">
        <v>29</v>
      </c>
      <c r="J801" s="220">
        <f t="shared" si="421"/>
        <v>1.678375</v>
      </c>
      <c r="K801" s="118"/>
      <c r="L801" s="111">
        <v>29</v>
      </c>
      <c r="M801" s="117">
        <f t="shared" si="422"/>
        <v>1.678375</v>
      </c>
      <c r="N801" s="119">
        <f t="shared" si="423"/>
        <v>0</v>
      </c>
      <c r="O801" s="120">
        <f t="shared" si="424"/>
        <v>0</v>
      </c>
      <c r="P801" s="111"/>
      <c r="Q801" s="111"/>
      <c r="R801" s="111"/>
    </row>
    <row r="802" spans="1:18" s="213" customFormat="1" ht="15.6">
      <c r="A802" s="110" t="s">
        <v>616</v>
      </c>
      <c r="B802" s="111" t="s">
        <v>505</v>
      </c>
      <c r="C802" s="112" t="s">
        <v>449</v>
      </c>
      <c r="D802" s="113" t="s">
        <v>17</v>
      </c>
      <c r="E802" s="216" t="s">
        <v>15</v>
      </c>
      <c r="F802" s="216" t="s">
        <v>30</v>
      </c>
      <c r="G802" s="217">
        <v>9.26</v>
      </c>
      <c r="H802" s="218">
        <v>7.3</v>
      </c>
      <c r="I802" s="219">
        <v>27</v>
      </c>
      <c r="J802" s="220">
        <f t="shared" si="421"/>
        <v>1.8251459999999999</v>
      </c>
      <c r="K802" s="118"/>
      <c r="L802" s="111">
        <v>27</v>
      </c>
      <c r="M802" s="117">
        <f t="shared" si="422"/>
        <v>1.8251459999999999</v>
      </c>
      <c r="N802" s="119">
        <f t="shared" si="423"/>
        <v>0</v>
      </c>
      <c r="O802" s="120">
        <f t="shared" si="424"/>
        <v>0</v>
      </c>
      <c r="P802" s="111"/>
      <c r="Q802" s="111"/>
      <c r="R802" s="111"/>
    </row>
    <row r="803" spans="1:18" s="213" customFormat="1" ht="15.6">
      <c r="A803" s="110" t="s">
        <v>616</v>
      </c>
      <c r="B803" s="111" t="s">
        <v>505</v>
      </c>
      <c r="C803" s="112" t="s">
        <v>449</v>
      </c>
      <c r="D803" s="113" t="s">
        <v>17</v>
      </c>
      <c r="E803" s="216" t="s">
        <v>15</v>
      </c>
      <c r="F803" s="216" t="s">
        <v>30</v>
      </c>
      <c r="G803" s="217">
        <v>9.26</v>
      </c>
      <c r="H803" s="463">
        <v>12</v>
      </c>
      <c r="I803" s="219">
        <v>30</v>
      </c>
      <c r="J803" s="220">
        <f t="shared" si="421"/>
        <v>3.3336000000000006</v>
      </c>
      <c r="K803" s="118"/>
      <c r="L803" s="111">
        <v>30</v>
      </c>
      <c r="M803" s="117">
        <f t="shared" si="422"/>
        <v>3.3336000000000001</v>
      </c>
      <c r="N803" s="119">
        <f t="shared" si="423"/>
        <v>0</v>
      </c>
      <c r="O803" s="120">
        <f t="shared" si="424"/>
        <v>0</v>
      </c>
      <c r="P803" s="111"/>
      <c r="Q803" s="111"/>
      <c r="R803" s="111"/>
    </row>
    <row r="804" spans="1:18" s="213" customFormat="1" ht="15.6">
      <c r="A804" s="110" t="s">
        <v>616</v>
      </c>
      <c r="B804" s="111" t="s">
        <v>505</v>
      </c>
      <c r="C804" s="112" t="s">
        <v>449</v>
      </c>
      <c r="D804" s="113" t="s">
        <v>17</v>
      </c>
      <c r="E804" s="216" t="s">
        <v>15</v>
      </c>
      <c r="F804" s="216" t="s">
        <v>30</v>
      </c>
      <c r="G804" s="217">
        <v>9.26</v>
      </c>
      <c r="H804" s="218">
        <v>12</v>
      </c>
      <c r="I804" s="219">
        <v>30</v>
      </c>
      <c r="J804" s="220">
        <f t="shared" si="421"/>
        <v>3.3336000000000006</v>
      </c>
      <c r="K804" s="118"/>
      <c r="L804" s="111">
        <v>30</v>
      </c>
      <c r="M804" s="117">
        <f t="shared" si="422"/>
        <v>3.3336000000000001</v>
      </c>
      <c r="N804" s="119">
        <f t="shared" si="423"/>
        <v>0</v>
      </c>
      <c r="O804" s="120">
        <f t="shared" si="424"/>
        <v>0</v>
      </c>
      <c r="P804" s="111"/>
      <c r="Q804" s="111"/>
      <c r="R804" s="111"/>
    </row>
    <row r="805" spans="1:18" s="213" customFormat="1" ht="15.6">
      <c r="A805" s="110" t="s">
        <v>616</v>
      </c>
      <c r="B805" s="111" t="s">
        <v>505</v>
      </c>
      <c r="C805" s="112" t="s">
        <v>449</v>
      </c>
      <c r="D805" s="113" t="s">
        <v>17</v>
      </c>
      <c r="E805" s="216" t="s">
        <v>15</v>
      </c>
      <c r="F805" s="216" t="s">
        <v>30</v>
      </c>
      <c r="G805" s="217">
        <v>9.26</v>
      </c>
      <c r="H805" s="218">
        <v>12</v>
      </c>
      <c r="I805" s="219">
        <v>30</v>
      </c>
      <c r="J805" s="220">
        <f t="shared" si="421"/>
        <v>3.3336000000000006</v>
      </c>
      <c r="K805" s="118"/>
      <c r="L805" s="111">
        <v>30</v>
      </c>
      <c r="M805" s="117">
        <f t="shared" si="422"/>
        <v>3.3336000000000001</v>
      </c>
      <c r="N805" s="119">
        <f t="shared" si="423"/>
        <v>0</v>
      </c>
      <c r="O805" s="120">
        <f t="shared" si="424"/>
        <v>0</v>
      </c>
      <c r="P805" s="111"/>
      <c r="Q805" s="111"/>
      <c r="R805" s="111"/>
    </row>
    <row r="806" spans="1:18" s="213" customFormat="1" ht="15.6">
      <c r="A806" s="110" t="s">
        <v>616</v>
      </c>
      <c r="B806" s="111" t="s">
        <v>505</v>
      </c>
      <c r="C806" s="112" t="s">
        <v>449</v>
      </c>
      <c r="D806" s="113" t="s">
        <v>17</v>
      </c>
      <c r="E806" s="216" t="s">
        <v>15</v>
      </c>
      <c r="F806" s="216" t="s">
        <v>30</v>
      </c>
      <c r="G806" s="217">
        <v>9.26</v>
      </c>
      <c r="H806" s="218">
        <v>12</v>
      </c>
      <c r="I806" s="219">
        <v>30</v>
      </c>
      <c r="J806" s="220">
        <f t="shared" si="421"/>
        <v>3.3336000000000006</v>
      </c>
      <c r="K806" s="118"/>
      <c r="L806" s="111">
        <v>30</v>
      </c>
      <c r="M806" s="117">
        <f t="shared" si="422"/>
        <v>3.3336000000000001</v>
      </c>
      <c r="N806" s="119">
        <f t="shared" si="423"/>
        <v>0</v>
      </c>
      <c r="O806" s="120">
        <f t="shared" si="424"/>
        <v>0</v>
      </c>
      <c r="P806" s="111"/>
      <c r="Q806" s="111"/>
      <c r="R806" s="111"/>
    </row>
    <row r="807" spans="1:18" s="213" customFormat="1" ht="15.6">
      <c r="A807" s="110" t="s">
        <v>616</v>
      </c>
      <c r="B807" s="111" t="s">
        <v>505</v>
      </c>
      <c r="C807" s="112" t="s">
        <v>449</v>
      </c>
      <c r="D807" s="113" t="s">
        <v>17</v>
      </c>
      <c r="E807" s="216" t="s">
        <v>15</v>
      </c>
      <c r="F807" s="216" t="s">
        <v>30</v>
      </c>
      <c r="G807" s="217">
        <v>9.26</v>
      </c>
      <c r="H807" s="218">
        <v>12</v>
      </c>
      <c r="I807" s="219">
        <v>30</v>
      </c>
      <c r="J807" s="220">
        <f t="shared" si="421"/>
        <v>3.3336000000000006</v>
      </c>
      <c r="K807" s="118"/>
      <c r="L807" s="111">
        <v>30</v>
      </c>
      <c r="M807" s="117">
        <f t="shared" si="422"/>
        <v>3.3336000000000001</v>
      </c>
      <c r="N807" s="119">
        <f t="shared" si="423"/>
        <v>0</v>
      </c>
      <c r="O807" s="120">
        <f t="shared" si="424"/>
        <v>0</v>
      </c>
      <c r="P807" s="111"/>
      <c r="Q807" s="111"/>
      <c r="R807" s="111"/>
    </row>
    <row r="808" spans="1:18" s="213" customFormat="1" ht="15.6">
      <c r="A808" s="110" t="s">
        <v>616</v>
      </c>
      <c r="B808" s="111" t="s">
        <v>505</v>
      </c>
      <c r="C808" s="112" t="s">
        <v>449</v>
      </c>
      <c r="D808" s="113" t="s">
        <v>17</v>
      </c>
      <c r="E808" s="216" t="s">
        <v>15</v>
      </c>
      <c r="F808" s="216" t="s">
        <v>30</v>
      </c>
      <c r="G808" s="217">
        <v>9.26</v>
      </c>
      <c r="H808" s="218">
        <v>12</v>
      </c>
      <c r="I808" s="219">
        <v>30</v>
      </c>
      <c r="J808" s="220">
        <f t="shared" si="421"/>
        <v>3.3336000000000006</v>
      </c>
      <c r="K808" s="118"/>
      <c r="L808" s="111">
        <f>19+11</f>
        <v>30</v>
      </c>
      <c r="M808" s="117">
        <f t="shared" si="422"/>
        <v>3.3336000000000001</v>
      </c>
      <c r="N808" s="119">
        <f t="shared" si="423"/>
        <v>0</v>
      </c>
      <c r="O808" s="120">
        <f t="shared" si="424"/>
        <v>0</v>
      </c>
      <c r="P808" s="111"/>
      <c r="Q808" s="111"/>
      <c r="R808" s="111"/>
    </row>
    <row r="809" spans="1:18" s="213" customFormat="1" ht="15.6">
      <c r="A809" s="110" t="s">
        <v>616</v>
      </c>
      <c r="B809" s="111" t="s">
        <v>505</v>
      </c>
      <c r="C809" s="112" t="s">
        <v>449</v>
      </c>
      <c r="D809" s="113" t="s">
        <v>17</v>
      </c>
      <c r="E809" s="216" t="s">
        <v>15</v>
      </c>
      <c r="F809" s="216" t="s">
        <v>30</v>
      </c>
      <c r="G809" s="217">
        <v>9.26</v>
      </c>
      <c r="H809" s="218">
        <v>12</v>
      </c>
      <c r="I809" s="219">
        <v>30</v>
      </c>
      <c r="J809" s="220">
        <f t="shared" si="421"/>
        <v>3.3336000000000006</v>
      </c>
      <c r="K809" s="118"/>
      <c r="L809" s="111">
        <v>30</v>
      </c>
      <c r="M809" s="117">
        <f t="shared" si="422"/>
        <v>3.3336000000000001</v>
      </c>
      <c r="N809" s="119">
        <f t="shared" si="423"/>
        <v>0</v>
      </c>
      <c r="O809" s="120">
        <f t="shared" si="424"/>
        <v>0</v>
      </c>
      <c r="P809" s="111"/>
      <c r="Q809" s="111"/>
      <c r="R809" s="111"/>
    </row>
    <row r="810" spans="1:18" s="213" customFormat="1" ht="15.6">
      <c r="A810" s="110" t="s">
        <v>616</v>
      </c>
      <c r="B810" s="111" t="s">
        <v>505</v>
      </c>
      <c r="C810" s="112" t="s">
        <v>449</v>
      </c>
      <c r="D810" s="113" t="s">
        <v>17</v>
      </c>
      <c r="E810" s="216" t="s">
        <v>15</v>
      </c>
      <c r="F810" s="216" t="s">
        <v>30</v>
      </c>
      <c r="G810" s="217">
        <v>9.26</v>
      </c>
      <c r="H810" s="218">
        <v>11</v>
      </c>
      <c r="I810" s="219">
        <v>32</v>
      </c>
      <c r="J810" s="220">
        <f t="shared" si="421"/>
        <v>3.2595200000000002</v>
      </c>
      <c r="K810" s="118"/>
      <c r="L810" s="111">
        <v>32</v>
      </c>
      <c r="M810" s="117">
        <f t="shared" si="422"/>
        <v>3.2595200000000002</v>
      </c>
      <c r="N810" s="119">
        <f t="shared" si="423"/>
        <v>0</v>
      </c>
      <c r="O810" s="120">
        <f t="shared" si="424"/>
        <v>0</v>
      </c>
      <c r="P810" s="111"/>
      <c r="Q810" s="111"/>
      <c r="R810" s="111"/>
    </row>
    <row r="811" spans="1:18" s="213" customFormat="1" ht="15.6">
      <c r="A811" s="110" t="s">
        <v>616</v>
      </c>
      <c r="B811" s="111" t="s">
        <v>505</v>
      </c>
      <c r="C811" s="112" t="s">
        <v>449</v>
      </c>
      <c r="D811" s="113" t="s">
        <v>17</v>
      </c>
      <c r="E811" s="216" t="s">
        <v>15</v>
      </c>
      <c r="F811" s="216" t="s">
        <v>30</v>
      </c>
      <c r="G811" s="217">
        <v>9.26</v>
      </c>
      <c r="H811" s="218">
        <v>11</v>
      </c>
      <c r="I811" s="219">
        <v>30</v>
      </c>
      <c r="J811" s="220">
        <f t="shared" si="421"/>
        <v>3.0558000000000001</v>
      </c>
      <c r="K811" s="118"/>
      <c r="L811" s="111">
        <v>30</v>
      </c>
      <c r="M811" s="117">
        <f t="shared" si="422"/>
        <v>3.0557999999999996</v>
      </c>
      <c r="N811" s="119">
        <f t="shared" si="423"/>
        <v>0</v>
      </c>
      <c r="O811" s="120">
        <f t="shared" si="424"/>
        <v>0</v>
      </c>
      <c r="P811" s="111"/>
      <c r="Q811" s="111"/>
      <c r="R811" s="111"/>
    </row>
    <row r="812" spans="1:18" s="213" customFormat="1" ht="15.6">
      <c r="A812" s="110" t="s">
        <v>616</v>
      </c>
      <c r="B812" s="111" t="s">
        <v>505</v>
      </c>
      <c r="C812" s="112" t="s">
        <v>449</v>
      </c>
      <c r="D812" s="113" t="s">
        <v>17</v>
      </c>
      <c r="E812" s="216" t="s">
        <v>15</v>
      </c>
      <c r="F812" s="216" t="s">
        <v>30</v>
      </c>
      <c r="G812" s="217">
        <v>9.26</v>
      </c>
      <c r="H812" s="218">
        <v>7.3</v>
      </c>
      <c r="I812" s="219">
        <v>35</v>
      </c>
      <c r="J812" s="220">
        <f t="shared" si="421"/>
        <v>2.3659299999999996</v>
      </c>
      <c r="K812" s="118"/>
      <c r="L812" s="111">
        <v>35</v>
      </c>
      <c r="M812" s="117">
        <f t="shared" si="422"/>
        <v>2.3659299999999996</v>
      </c>
      <c r="N812" s="119">
        <f t="shared" si="423"/>
        <v>0</v>
      </c>
      <c r="O812" s="120">
        <f t="shared" si="424"/>
        <v>0</v>
      </c>
      <c r="P812" s="111"/>
      <c r="Q812" s="111"/>
      <c r="R812" s="111"/>
    </row>
    <row r="813" spans="1:18" s="213" customFormat="1" ht="15.6">
      <c r="A813" s="110" t="s">
        <v>616</v>
      </c>
      <c r="B813" s="111" t="s">
        <v>505</v>
      </c>
      <c r="C813" s="112" t="s">
        <v>449</v>
      </c>
      <c r="D813" s="113" t="s">
        <v>17</v>
      </c>
      <c r="E813" s="216" t="s">
        <v>15</v>
      </c>
      <c r="F813" s="216" t="s">
        <v>30</v>
      </c>
      <c r="G813" s="217">
        <v>9.26</v>
      </c>
      <c r="H813" s="218">
        <v>12</v>
      </c>
      <c r="I813" s="219">
        <v>30</v>
      </c>
      <c r="J813" s="220">
        <f t="shared" si="421"/>
        <v>3.3336000000000006</v>
      </c>
      <c r="K813" s="118"/>
      <c r="L813" s="111">
        <v>30</v>
      </c>
      <c r="M813" s="117">
        <f t="shared" si="422"/>
        <v>3.3336000000000001</v>
      </c>
      <c r="N813" s="119">
        <f t="shared" si="423"/>
        <v>0</v>
      </c>
      <c r="O813" s="120">
        <f t="shared" si="424"/>
        <v>0</v>
      </c>
      <c r="P813" s="111"/>
      <c r="Q813" s="111"/>
      <c r="R813" s="111"/>
    </row>
    <row r="814" spans="1:18" s="213" customFormat="1" ht="15.6">
      <c r="A814" s="110" t="s">
        <v>616</v>
      </c>
      <c r="B814" s="111" t="s">
        <v>505</v>
      </c>
      <c r="C814" s="112" t="s">
        <v>449</v>
      </c>
      <c r="D814" s="113" t="s">
        <v>17</v>
      </c>
      <c r="E814" s="216" t="s">
        <v>15</v>
      </c>
      <c r="F814" s="216" t="s">
        <v>30</v>
      </c>
      <c r="G814" s="217">
        <v>9.26</v>
      </c>
      <c r="H814" s="218">
        <v>7.3</v>
      </c>
      <c r="I814" s="219">
        <v>35</v>
      </c>
      <c r="J814" s="220">
        <f t="shared" si="421"/>
        <v>2.3659299999999996</v>
      </c>
      <c r="K814" s="118"/>
      <c r="L814" s="111">
        <v>35</v>
      </c>
      <c r="M814" s="117">
        <f t="shared" si="422"/>
        <v>2.3659299999999996</v>
      </c>
      <c r="N814" s="119">
        <f t="shared" si="423"/>
        <v>0</v>
      </c>
      <c r="O814" s="120">
        <f t="shared" si="424"/>
        <v>0</v>
      </c>
      <c r="P814" s="111"/>
      <c r="Q814" s="111"/>
      <c r="R814" s="111"/>
    </row>
    <row r="815" spans="1:18" s="213" customFormat="1" ht="15.6">
      <c r="A815" s="110" t="s">
        <v>616</v>
      </c>
      <c r="B815" s="111" t="s">
        <v>505</v>
      </c>
      <c r="C815" s="112" t="s">
        <v>449</v>
      </c>
      <c r="D815" s="113" t="s">
        <v>17</v>
      </c>
      <c r="E815" s="216" t="s">
        <v>15</v>
      </c>
      <c r="F815" s="216" t="s">
        <v>30</v>
      </c>
      <c r="G815" s="217">
        <v>9.26</v>
      </c>
      <c r="H815" s="218">
        <v>11</v>
      </c>
      <c r="I815" s="219">
        <v>33</v>
      </c>
      <c r="J815" s="220">
        <f t="shared" si="421"/>
        <v>3.36138</v>
      </c>
      <c r="K815" s="118"/>
      <c r="L815" s="111">
        <v>33</v>
      </c>
      <c r="M815" s="117">
        <f t="shared" si="422"/>
        <v>3.36138</v>
      </c>
      <c r="N815" s="119">
        <f t="shared" si="423"/>
        <v>0</v>
      </c>
      <c r="O815" s="120">
        <f t="shared" si="424"/>
        <v>0</v>
      </c>
      <c r="P815" s="111"/>
      <c r="Q815" s="111"/>
      <c r="R815" s="111"/>
    </row>
    <row r="816" spans="1:18" s="213" customFormat="1" ht="15.6">
      <c r="A816" s="110" t="s">
        <v>616</v>
      </c>
      <c r="B816" s="111" t="s">
        <v>505</v>
      </c>
      <c r="C816" s="112" t="s">
        <v>449</v>
      </c>
      <c r="D816" s="113" t="s">
        <v>17</v>
      </c>
      <c r="E816" s="216" t="s">
        <v>15</v>
      </c>
      <c r="F816" s="216" t="s">
        <v>30</v>
      </c>
      <c r="G816" s="217">
        <v>9.26</v>
      </c>
      <c r="H816" s="218">
        <v>11.5</v>
      </c>
      <c r="I816" s="219">
        <v>30</v>
      </c>
      <c r="J816" s="220">
        <f t="shared" si="421"/>
        <v>3.1946999999999997</v>
      </c>
      <c r="K816" s="118"/>
      <c r="L816" s="111">
        <v>30</v>
      </c>
      <c r="M816" s="117">
        <f t="shared" si="422"/>
        <v>3.1946999999999997</v>
      </c>
      <c r="N816" s="119">
        <f t="shared" si="423"/>
        <v>0</v>
      </c>
      <c r="O816" s="120">
        <f t="shared" si="424"/>
        <v>0</v>
      </c>
      <c r="P816" s="111"/>
      <c r="Q816" s="111"/>
      <c r="R816" s="111"/>
    </row>
    <row r="817" spans="1:18" s="213" customFormat="1" ht="15.6">
      <c r="A817" s="110" t="s">
        <v>616</v>
      </c>
      <c r="B817" s="111" t="s">
        <v>505</v>
      </c>
      <c r="C817" s="112" t="s">
        <v>449</v>
      </c>
      <c r="D817" s="113" t="s">
        <v>17</v>
      </c>
      <c r="E817" s="216" t="s">
        <v>15</v>
      </c>
      <c r="F817" s="216" t="s">
        <v>30</v>
      </c>
      <c r="G817" s="217">
        <v>9.26</v>
      </c>
      <c r="H817" s="218">
        <v>11</v>
      </c>
      <c r="I817" s="219">
        <v>30</v>
      </c>
      <c r="J817" s="220">
        <f t="shared" si="421"/>
        <v>3.0558000000000001</v>
      </c>
      <c r="K817" s="118"/>
      <c r="L817" s="111">
        <v>30</v>
      </c>
      <c r="M817" s="117">
        <f t="shared" si="422"/>
        <v>3.0557999999999996</v>
      </c>
      <c r="N817" s="119">
        <f t="shared" si="423"/>
        <v>0</v>
      </c>
      <c r="O817" s="120">
        <f t="shared" si="424"/>
        <v>0</v>
      </c>
      <c r="P817" s="111"/>
      <c r="Q817" s="111"/>
      <c r="R817" s="111"/>
    </row>
    <row r="818" spans="1:18" s="213" customFormat="1" ht="15.6">
      <c r="A818" s="110" t="s">
        <v>616</v>
      </c>
      <c r="B818" s="111" t="s">
        <v>505</v>
      </c>
      <c r="C818" s="112" t="s">
        <v>449</v>
      </c>
      <c r="D818" s="113" t="s">
        <v>17</v>
      </c>
      <c r="E818" s="216" t="s">
        <v>15</v>
      </c>
      <c r="F818" s="216" t="s">
        <v>30</v>
      </c>
      <c r="G818" s="217">
        <v>9.26</v>
      </c>
      <c r="H818" s="463">
        <v>7.3</v>
      </c>
      <c r="I818" s="219">
        <v>33</v>
      </c>
      <c r="J818" s="220">
        <f t="shared" si="421"/>
        <v>2.230734</v>
      </c>
      <c r="K818" s="118"/>
      <c r="L818" s="111">
        <v>33</v>
      </c>
      <c r="M818" s="117">
        <f t="shared" si="422"/>
        <v>2.230734</v>
      </c>
      <c r="N818" s="119">
        <f t="shared" si="423"/>
        <v>0</v>
      </c>
      <c r="O818" s="120">
        <f t="shared" si="424"/>
        <v>0</v>
      </c>
      <c r="P818" s="111"/>
      <c r="Q818" s="111"/>
      <c r="R818" s="111"/>
    </row>
    <row r="819" spans="1:18" s="213" customFormat="1" ht="15.6">
      <c r="A819" s="110" t="s">
        <v>616</v>
      </c>
      <c r="B819" s="111" t="s">
        <v>505</v>
      </c>
      <c r="C819" s="112" t="s">
        <v>449</v>
      </c>
      <c r="D819" s="113" t="s">
        <v>17</v>
      </c>
      <c r="E819" s="216" t="s">
        <v>15</v>
      </c>
      <c r="F819" s="216" t="s">
        <v>30</v>
      </c>
      <c r="G819" s="217">
        <v>9.26</v>
      </c>
      <c r="H819" s="218">
        <v>10.5</v>
      </c>
      <c r="I819" s="219">
        <v>2</v>
      </c>
      <c r="J819" s="220">
        <f t="shared" si="421"/>
        <v>0.19446000000000002</v>
      </c>
      <c r="K819" s="118"/>
      <c r="L819" s="111">
        <v>2</v>
      </c>
      <c r="M819" s="117">
        <f t="shared" ref="M819:M857" si="425">H819*L819*G819/1000</f>
        <v>0.19446000000000002</v>
      </c>
      <c r="N819" s="119">
        <f t="shared" si="423"/>
        <v>0</v>
      </c>
      <c r="O819" s="120">
        <f t="shared" ref="O819:O857" si="426">H819*N819*G819/1000</f>
        <v>0</v>
      </c>
      <c r="P819" s="111">
        <v>10</v>
      </c>
      <c r="Q819" s="111">
        <v>2</v>
      </c>
      <c r="R819" s="111"/>
    </row>
    <row r="820" spans="1:18" s="213" customFormat="1" ht="15.6">
      <c r="A820" s="110" t="s">
        <v>616</v>
      </c>
      <c r="B820" s="111" t="s">
        <v>505</v>
      </c>
      <c r="C820" s="112" t="s">
        <v>449</v>
      </c>
      <c r="D820" s="113" t="s">
        <v>17</v>
      </c>
      <c r="E820" s="216" t="s">
        <v>15</v>
      </c>
      <c r="F820" s="216" t="s">
        <v>30</v>
      </c>
      <c r="G820" s="217">
        <v>9.26</v>
      </c>
      <c r="H820" s="218">
        <v>11.5</v>
      </c>
      <c r="I820" s="219">
        <v>3</v>
      </c>
      <c r="J820" s="220">
        <f t="shared" si="421"/>
        <v>0.31946999999999998</v>
      </c>
      <c r="K820" s="118"/>
      <c r="L820" s="111">
        <v>3</v>
      </c>
      <c r="M820" s="117">
        <f t="shared" si="425"/>
        <v>0.31946999999999998</v>
      </c>
      <c r="N820" s="119">
        <f t="shared" si="423"/>
        <v>0</v>
      </c>
      <c r="O820" s="120">
        <f t="shared" si="426"/>
        <v>0</v>
      </c>
      <c r="P820" s="111"/>
      <c r="Q820" s="111"/>
      <c r="R820" s="111"/>
    </row>
    <row r="821" spans="1:18" s="213" customFormat="1" ht="15.6">
      <c r="A821" s="110" t="s">
        <v>616</v>
      </c>
      <c r="B821" s="111" t="s">
        <v>505</v>
      </c>
      <c r="C821" s="112" t="s">
        <v>449</v>
      </c>
      <c r="D821" s="113" t="s">
        <v>17</v>
      </c>
      <c r="E821" s="216" t="s">
        <v>15</v>
      </c>
      <c r="F821" s="216" t="s">
        <v>30</v>
      </c>
      <c r="G821" s="217">
        <v>9.26</v>
      </c>
      <c r="H821" s="218">
        <v>12</v>
      </c>
      <c r="I821" s="219">
        <v>21</v>
      </c>
      <c r="J821" s="220">
        <f t="shared" si="421"/>
        <v>2.33352</v>
      </c>
      <c r="K821" s="118"/>
      <c r="L821" s="111">
        <v>21</v>
      </c>
      <c r="M821" s="117">
        <f t="shared" si="425"/>
        <v>2.33352</v>
      </c>
      <c r="N821" s="119">
        <f t="shared" si="423"/>
        <v>0</v>
      </c>
      <c r="O821" s="120">
        <f t="shared" si="426"/>
        <v>0</v>
      </c>
      <c r="P821" s="111"/>
      <c r="Q821" s="111"/>
      <c r="R821" s="111"/>
    </row>
    <row r="822" spans="1:18" s="213" customFormat="1" ht="15.6">
      <c r="A822" s="110" t="s">
        <v>616</v>
      </c>
      <c r="B822" s="111" t="s">
        <v>505</v>
      </c>
      <c r="C822" s="112" t="s">
        <v>449</v>
      </c>
      <c r="D822" s="113" t="s">
        <v>17</v>
      </c>
      <c r="E822" s="216" t="s">
        <v>15</v>
      </c>
      <c r="F822" s="216" t="s">
        <v>30</v>
      </c>
      <c r="G822" s="217">
        <v>9.26</v>
      </c>
      <c r="H822" s="218">
        <v>12</v>
      </c>
      <c r="I822" s="219">
        <v>30</v>
      </c>
      <c r="J822" s="220">
        <f t="shared" si="421"/>
        <v>3.3336000000000006</v>
      </c>
      <c r="K822" s="118"/>
      <c r="L822" s="111">
        <v>30</v>
      </c>
      <c r="M822" s="117">
        <f t="shared" si="425"/>
        <v>3.3336000000000001</v>
      </c>
      <c r="N822" s="119">
        <f t="shared" si="423"/>
        <v>0</v>
      </c>
      <c r="O822" s="120">
        <f t="shared" si="426"/>
        <v>0</v>
      </c>
      <c r="P822" s="111"/>
      <c r="Q822" s="111"/>
      <c r="R822" s="111"/>
    </row>
    <row r="823" spans="1:18" s="213" customFormat="1" ht="15.6">
      <c r="A823" s="110" t="s">
        <v>616</v>
      </c>
      <c r="B823" s="111" t="s">
        <v>505</v>
      </c>
      <c r="C823" s="112" t="s">
        <v>449</v>
      </c>
      <c r="D823" s="113" t="s">
        <v>17</v>
      </c>
      <c r="E823" s="216" t="s">
        <v>15</v>
      </c>
      <c r="F823" s="216" t="s">
        <v>30</v>
      </c>
      <c r="G823" s="217">
        <v>9.26</v>
      </c>
      <c r="H823" s="218">
        <v>12</v>
      </c>
      <c r="I823" s="219">
        <v>30</v>
      </c>
      <c r="J823" s="220">
        <f t="shared" si="421"/>
        <v>3.3336000000000006</v>
      </c>
      <c r="K823" s="118"/>
      <c r="L823" s="111">
        <v>30</v>
      </c>
      <c r="M823" s="117">
        <f t="shared" si="425"/>
        <v>3.3336000000000001</v>
      </c>
      <c r="N823" s="119">
        <f t="shared" si="423"/>
        <v>0</v>
      </c>
      <c r="O823" s="120">
        <f t="shared" si="426"/>
        <v>0</v>
      </c>
      <c r="P823" s="111"/>
      <c r="Q823" s="111"/>
      <c r="R823" s="111"/>
    </row>
    <row r="824" spans="1:18" s="213" customFormat="1" ht="15.6">
      <c r="A824" s="110" t="s">
        <v>616</v>
      </c>
      <c r="B824" s="111" t="s">
        <v>505</v>
      </c>
      <c r="C824" s="112" t="s">
        <v>449</v>
      </c>
      <c r="D824" s="113" t="s">
        <v>17</v>
      </c>
      <c r="E824" s="216" t="s">
        <v>15</v>
      </c>
      <c r="F824" s="216" t="s">
        <v>30</v>
      </c>
      <c r="G824" s="217">
        <v>9.26</v>
      </c>
      <c r="H824" s="218">
        <v>12</v>
      </c>
      <c r="I824" s="219">
        <v>30</v>
      </c>
      <c r="J824" s="220">
        <f t="shared" si="421"/>
        <v>3.3336000000000006</v>
      </c>
      <c r="K824" s="118"/>
      <c r="L824" s="111">
        <v>30</v>
      </c>
      <c r="M824" s="117">
        <f t="shared" si="425"/>
        <v>3.3336000000000001</v>
      </c>
      <c r="N824" s="119">
        <f t="shared" si="423"/>
        <v>0</v>
      </c>
      <c r="O824" s="120">
        <f t="shared" si="426"/>
        <v>0</v>
      </c>
      <c r="P824" s="111"/>
      <c r="Q824" s="111"/>
      <c r="R824" s="111"/>
    </row>
    <row r="825" spans="1:18" s="213" customFormat="1" ht="15.6">
      <c r="A825" s="110" t="s">
        <v>616</v>
      </c>
      <c r="B825" s="111" t="s">
        <v>505</v>
      </c>
      <c r="C825" s="112" t="s">
        <v>449</v>
      </c>
      <c r="D825" s="113" t="s">
        <v>17</v>
      </c>
      <c r="E825" s="216" t="s">
        <v>15</v>
      </c>
      <c r="F825" s="216" t="s">
        <v>30</v>
      </c>
      <c r="G825" s="217">
        <v>9.26</v>
      </c>
      <c r="H825" s="218">
        <v>12</v>
      </c>
      <c r="I825" s="219">
        <v>29</v>
      </c>
      <c r="J825" s="220">
        <f t="shared" si="421"/>
        <v>3.22248</v>
      </c>
      <c r="K825" s="118"/>
      <c r="L825" s="111">
        <v>29</v>
      </c>
      <c r="M825" s="117">
        <f t="shared" si="425"/>
        <v>3.22248</v>
      </c>
      <c r="N825" s="119">
        <f t="shared" si="423"/>
        <v>0</v>
      </c>
      <c r="O825" s="120">
        <f t="shared" si="426"/>
        <v>0</v>
      </c>
      <c r="P825" s="111"/>
      <c r="Q825" s="111"/>
      <c r="R825" s="111"/>
    </row>
    <row r="826" spans="1:18" s="213" customFormat="1" ht="15.6">
      <c r="A826" s="110" t="s">
        <v>616</v>
      </c>
      <c r="B826" s="111" t="s">
        <v>505</v>
      </c>
      <c r="C826" s="112" t="s">
        <v>449</v>
      </c>
      <c r="D826" s="113" t="s">
        <v>17</v>
      </c>
      <c r="E826" s="216" t="s">
        <v>15</v>
      </c>
      <c r="F826" s="216" t="s">
        <v>30</v>
      </c>
      <c r="G826" s="217">
        <v>9.26</v>
      </c>
      <c r="H826" s="218">
        <v>12</v>
      </c>
      <c r="I826" s="219">
        <v>29</v>
      </c>
      <c r="J826" s="220">
        <f t="shared" si="421"/>
        <v>3.22248</v>
      </c>
      <c r="K826" s="118"/>
      <c r="L826" s="111">
        <v>29</v>
      </c>
      <c r="M826" s="117">
        <f t="shared" si="425"/>
        <v>3.22248</v>
      </c>
      <c r="N826" s="119">
        <f t="shared" si="423"/>
        <v>0</v>
      </c>
      <c r="O826" s="120">
        <f t="shared" si="426"/>
        <v>0</v>
      </c>
      <c r="P826" s="111"/>
      <c r="Q826" s="111"/>
      <c r="R826" s="111"/>
    </row>
    <row r="827" spans="1:18" s="213" customFormat="1" ht="15.6">
      <c r="A827" s="110" t="s">
        <v>616</v>
      </c>
      <c r="B827" s="111" t="s">
        <v>505</v>
      </c>
      <c r="C827" s="112" t="s">
        <v>449</v>
      </c>
      <c r="D827" s="113" t="s">
        <v>17</v>
      </c>
      <c r="E827" s="216" t="s">
        <v>15</v>
      </c>
      <c r="F827" s="216" t="s">
        <v>30</v>
      </c>
      <c r="G827" s="217">
        <v>9.26</v>
      </c>
      <c r="H827" s="218">
        <v>12</v>
      </c>
      <c r="I827" s="219">
        <v>30</v>
      </c>
      <c r="J827" s="220">
        <f t="shared" ref="J827:J858" si="427">(G827*H827*I827/1000)</f>
        <v>3.3336000000000006</v>
      </c>
      <c r="K827" s="118"/>
      <c r="L827" s="111">
        <v>30</v>
      </c>
      <c r="M827" s="117">
        <f t="shared" si="425"/>
        <v>3.3336000000000001</v>
      </c>
      <c r="N827" s="119">
        <f t="shared" ref="N827:N858" si="428">I827-L827</f>
        <v>0</v>
      </c>
      <c r="O827" s="120">
        <f t="shared" si="426"/>
        <v>0</v>
      </c>
      <c r="P827" s="111"/>
      <c r="Q827" s="111"/>
      <c r="R827" s="111"/>
    </row>
    <row r="828" spans="1:18" s="213" customFormat="1" ht="15.6">
      <c r="A828" s="110" t="s">
        <v>616</v>
      </c>
      <c r="B828" s="111" t="s">
        <v>505</v>
      </c>
      <c r="C828" s="112" t="s">
        <v>449</v>
      </c>
      <c r="D828" s="113" t="s">
        <v>17</v>
      </c>
      <c r="E828" s="216" t="s">
        <v>15</v>
      </c>
      <c r="F828" s="216" t="s">
        <v>30</v>
      </c>
      <c r="G828" s="217">
        <v>9.26</v>
      </c>
      <c r="H828" s="218">
        <v>12</v>
      </c>
      <c r="I828" s="219">
        <v>31</v>
      </c>
      <c r="J828" s="220">
        <f t="shared" si="427"/>
        <v>3.4447200000000002</v>
      </c>
      <c r="K828" s="118"/>
      <c r="L828" s="111">
        <v>31</v>
      </c>
      <c r="M828" s="117">
        <f t="shared" si="425"/>
        <v>3.4447199999999998</v>
      </c>
      <c r="N828" s="119">
        <f t="shared" si="428"/>
        <v>0</v>
      </c>
      <c r="O828" s="120">
        <f t="shared" si="426"/>
        <v>0</v>
      </c>
      <c r="P828" s="111"/>
      <c r="Q828" s="111"/>
      <c r="R828" s="111"/>
    </row>
    <row r="829" spans="1:18" s="213" customFormat="1" ht="15.6">
      <c r="A829" s="110" t="s">
        <v>616</v>
      </c>
      <c r="B829" s="111" t="s">
        <v>505</v>
      </c>
      <c r="C829" s="112" t="s">
        <v>449</v>
      </c>
      <c r="D829" s="113" t="s">
        <v>17</v>
      </c>
      <c r="E829" s="216" t="s">
        <v>15</v>
      </c>
      <c r="F829" s="216" t="s">
        <v>30</v>
      </c>
      <c r="G829" s="217">
        <v>9.26</v>
      </c>
      <c r="H829" s="218">
        <v>12</v>
      </c>
      <c r="I829" s="219">
        <v>31</v>
      </c>
      <c r="J829" s="220">
        <f t="shared" si="427"/>
        <v>3.4447200000000002</v>
      </c>
      <c r="K829" s="118"/>
      <c r="L829" s="111">
        <v>31</v>
      </c>
      <c r="M829" s="117">
        <f t="shared" si="425"/>
        <v>3.4447199999999998</v>
      </c>
      <c r="N829" s="119">
        <f t="shared" si="428"/>
        <v>0</v>
      </c>
      <c r="O829" s="120">
        <f t="shared" si="426"/>
        <v>0</v>
      </c>
      <c r="P829" s="111"/>
      <c r="Q829" s="111"/>
      <c r="R829" s="111"/>
    </row>
    <row r="830" spans="1:18" s="213" customFormat="1" ht="15.6">
      <c r="A830" s="110" t="s">
        <v>616</v>
      </c>
      <c r="B830" s="111" t="s">
        <v>505</v>
      </c>
      <c r="C830" s="112" t="s">
        <v>449</v>
      </c>
      <c r="D830" s="113" t="s">
        <v>17</v>
      </c>
      <c r="E830" s="216" t="s">
        <v>15</v>
      </c>
      <c r="F830" s="216" t="s">
        <v>30</v>
      </c>
      <c r="G830" s="217">
        <v>9.26</v>
      </c>
      <c r="H830" s="218">
        <v>12</v>
      </c>
      <c r="I830" s="219">
        <v>30</v>
      </c>
      <c r="J830" s="220">
        <f t="shared" si="427"/>
        <v>3.3336000000000006</v>
      </c>
      <c r="K830" s="118"/>
      <c r="L830" s="111">
        <v>30</v>
      </c>
      <c r="M830" s="117">
        <f t="shared" si="425"/>
        <v>3.3336000000000001</v>
      </c>
      <c r="N830" s="119">
        <f t="shared" si="428"/>
        <v>0</v>
      </c>
      <c r="O830" s="120">
        <f t="shared" si="426"/>
        <v>0</v>
      </c>
      <c r="P830" s="111"/>
      <c r="Q830" s="111"/>
      <c r="R830" s="111"/>
    </row>
    <row r="831" spans="1:18" s="213" customFormat="1" ht="15.6">
      <c r="A831" s="110" t="s">
        <v>616</v>
      </c>
      <c r="B831" s="111" t="s">
        <v>505</v>
      </c>
      <c r="C831" s="112" t="s">
        <v>449</v>
      </c>
      <c r="D831" s="113" t="s">
        <v>17</v>
      </c>
      <c r="E831" s="216" t="s">
        <v>15</v>
      </c>
      <c r="F831" s="216" t="s">
        <v>30</v>
      </c>
      <c r="G831" s="217">
        <v>9.26</v>
      </c>
      <c r="H831" s="218">
        <v>11</v>
      </c>
      <c r="I831" s="219">
        <v>32</v>
      </c>
      <c r="J831" s="220">
        <f t="shared" si="427"/>
        <v>3.2595200000000002</v>
      </c>
      <c r="K831" s="118"/>
      <c r="L831" s="111">
        <v>32</v>
      </c>
      <c r="M831" s="117">
        <f t="shared" si="425"/>
        <v>3.2595200000000002</v>
      </c>
      <c r="N831" s="119">
        <f t="shared" si="428"/>
        <v>0</v>
      </c>
      <c r="O831" s="120">
        <f t="shared" si="426"/>
        <v>0</v>
      </c>
      <c r="P831" s="111"/>
      <c r="Q831" s="111"/>
      <c r="R831" s="111"/>
    </row>
    <row r="832" spans="1:18" s="213" customFormat="1" ht="15.6">
      <c r="A832" s="110" t="s">
        <v>616</v>
      </c>
      <c r="B832" s="111" t="s">
        <v>505</v>
      </c>
      <c r="C832" s="112" t="s">
        <v>449</v>
      </c>
      <c r="D832" s="113" t="s">
        <v>17</v>
      </c>
      <c r="E832" s="216" t="s">
        <v>15</v>
      </c>
      <c r="F832" s="216" t="s">
        <v>30</v>
      </c>
      <c r="G832" s="217">
        <v>9.26</v>
      </c>
      <c r="H832" s="218">
        <v>11</v>
      </c>
      <c r="I832" s="219">
        <v>31</v>
      </c>
      <c r="J832" s="220">
        <f t="shared" si="427"/>
        <v>3.1576599999999999</v>
      </c>
      <c r="K832" s="118"/>
      <c r="L832" s="111">
        <v>31</v>
      </c>
      <c r="M832" s="117">
        <f t="shared" si="425"/>
        <v>3.1576599999999999</v>
      </c>
      <c r="N832" s="119">
        <f t="shared" si="428"/>
        <v>0</v>
      </c>
      <c r="O832" s="120">
        <f t="shared" si="426"/>
        <v>0</v>
      </c>
      <c r="P832" s="111"/>
      <c r="Q832" s="111"/>
      <c r="R832" s="111"/>
    </row>
    <row r="833" spans="1:18" s="213" customFormat="1" ht="15.6">
      <c r="A833" s="110" t="s">
        <v>616</v>
      </c>
      <c r="B833" s="111" t="s">
        <v>505</v>
      </c>
      <c r="C833" s="112" t="s">
        <v>449</v>
      </c>
      <c r="D833" s="113" t="s">
        <v>17</v>
      </c>
      <c r="E833" s="216" t="s">
        <v>15</v>
      </c>
      <c r="F833" s="216" t="s">
        <v>30</v>
      </c>
      <c r="G833" s="217">
        <v>9.26</v>
      </c>
      <c r="H833" s="218">
        <v>11</v>
      </c>
      <c r="I833" s="219">
        <v>30</v>
      </c>
      <c r="J833" s="220">
        <f t="shared" si="427"/>
        <v>3.0558000000000001</v>
      </c>
      <c r="K833" s="118"/>
      <c r="L833" s="111">
        <v>30</v>
      </c>
      <c r="M833" s="117">
        <f t="shared" si="425"/>
        <v>3.0557999999999996</v>
      </c>
      <c r="N833" s="119">
        <f t="shared" si="428"/>
        <v>0</v>
      </c>
      <c r="O833" s="120">
        <f t="shared" si="426"/>
        <v>0</v>
      </c>
      <c r="P833" s="111"/>
      <c r="Q833" s="111"/>
      <c r="R833" s="111"/>
    </row>
    <row r="834" spans="1:18" s="213" customFormat="1" ht="15.6">
      <c r="A834" s="110" t="s">
        <v>616</v>
      </c>
      <c r="B834" s="111" t="s">
        <v>505</v>
      </c>
      <c r="C834" s="112" t="s">
        <v>449</v>
      </c>
      <c r="D834" s="113" t="s">
        <v>17</v>
      </c>
      <c r="E834" s="216" t="s">
        <v>15</v>
      </c>
      <c r="F834" s="216" t="s">
        <v>30</v>
      </c>
      <c r="G834" s="217">
        <v>9.26</v>
      </c>
      <c r="H834" s="218">
        <v>7.3</v>
      </c>
      <c r="I834" s="219">
        <v>30</v>
      </c>
      <c r="J834" s="220">
        <f t="shared" si="427"/>
        <v>2.0279400000000001</v>
      </c>
      <c r="K834" s="118"/>
      <c r="L834" s="111">
        <v>30</v>
      </c>
      <c r="M834" s="117">
        <f t="shared" si="425"/>
        <v>2.0279400000000001</v>
      </c>
      <c r="N834" s="119">
        <f t="shared" si="428"/>
        <v>0</v>
      </c>
      <c r="O834" s="120">
        <f t="shared" si="426"/>
        <v>0</v>
      </c>
      <c r="P834" s="111"/>
      <c r="Q834" s="111"/>
      <c r="R834" s="111"/>
    </row>
    <row r="835" spans="1:18" s="213" customFormat="1" ht="15.6">
      <c r="A835" s="110" t="s">
        <v>616</v>
      </c>
      <c r="B835" s="111" t="s">
        <v>505</v>
      </c>
      <c r="C835" s="112" t="s">
        <v>449</v>
      </c>
      <c r="D835" s="113" t="s">
        <v>17</v>
      </c>
      <c r="E835" s="216" t="s">
        <v>15</v>
      </c>
      <c r="F835" s="216" t="s">
        <v>30</v>
      </c>
      <c r="G835" s="217">
        <v>9.26</v>
      </c>
      <c r="H835" s="218">
        <v>11</v>
      </c>
      <c r="I835" s="219">
        <v>30</v>
      </c>
      <c r="J835" s="220">
        <f t="shared" si="427"/>
        <v>3.0558000000000001</v>
      </c>
      <c r="K835" s="118"/>
      <c r="L835" s="111">
        <v>30</v>
      </c>
      <c r="M835" s="117">
        <f t="shared" si="425"/>
        <v>3.0557999999999996</v>
      </c>
      <c r="N835" s="119">
        <f t="shared" si="428"/>
        <v>0</v>
      </c>
      <c r="O835" s="120">
        <f t="shared" si="426"/>
        <v>0</v>
      </c>
      <c r="P835" s="111"/>
      <c r="Q835" s="111"/>
      <c r="R835" s="111"/>
    </row>
    <row r="836" spans="1:18" s="213" customFormat="1" ht="15.6">
      <c r="A836" s="110" t="s">
        <v>616</v>
      </c>
      <c r="B836" s="111" t="s">
        <v>505</v>
      </c>
      <c r="C836" s="112" t="s">
        <v>449</v>
      </c>
      <c r="D836" s="113" t="s">
        <v>17</v>
      </c>
      <c r="E836" s="216" t="s">
        <v>15</v>
      </c>
      <c r="F836" s="216" t="s">
        <v>30</v>
      </c>
      <c r="G836" s="217">
        <v>9.26</v>
      </c>
      <c r="H836" s="218">
        <v>10.5</v>
      </c>
      <c r="I836" s="219">
        <v>25</v>
      </c>
      <c r="J836" s="220">
        <f t="shared" si="427"/>
        <v>2.4307500000000002</v>
      </c>
      <c r="K836" s="118"/>
      <c r="L836" s="111">
        <v>25</v>
      </c>
      <c r="M836" s="117">
        <f t="shared" si="425"/>
        <v>2.4307500000000002</v>
      </c>
      <c r="N836" s="119">
        <f t="shared" si="428"/>
        <v>0</v>
      </c>
      <c r="O836" s="120">
        <f t="shared" si="426"/>
        <v>0</v>
      </c>
      <c r="P836" s="111"/>
      <c r="Q836" s="111"/>
      <c r="R836" s="111"/>
    </row>
    <row r="837" spans="1:18" s="213" customFormat="1" ht="15.6">
      <c r="A837" s="110" t="s">
        <v>616</v>
      </c>
      <c r="B837" s="111" t="s">
        <v>505</v>
      </c>
      <c r="C837" s="112" t="s">
        <v>449</v>
      </c>
      <c r="D837" s="113" t="s">
        <v>17</v>
      </c>
      <c r="E837" s="216" t="s">
        <v>15</v>
      </c>
      <c r="F837" s="216" t="s">
        <v>30</v>
      </c>
      <c r="G837" s="217">
        <v>9.26</v>
      </c>
      <c r="H837" s="218">
        <v>11</v>
      </c>
      <c r="I837" s="219">
        <v>31</v>
      </c>
      <c r="J837" s="220">
        <f t="shared" si="427"/>
        <v>3.1576599999999999</v>
      </c>
      <c r="K837" s="118"/>
      <c r="L837" s="111">
        <v>31</v>
      </c>
      <c r="M837" s="117">
        <f t="shared" si="425"/>
        <v>3.1576599999999999</v>
      </c>
      <c r="N837" s="119">
        <f t="shared" si="428"/>
        <v>0</v>
      </c>
      <c r="O837" s="120">
        <f t="shared" si="426"/>
        <v>0</v>
      </c>
      <c r="P837" s="111"/>
      <c r="Q837" s="111"/>
      <c r="R837" s="111"/>
    </row>
    <row r="838" spans="1:18" s="213" customFormat="1" ht="15.6">
      <c r="A838" s="110" t="s">
        <v>616</v>
      </c>
      <c r="B838" s="111" t="s">
        <v>505</v>
      </c>
      <c r="C838" s="112" t="s">
        <v>449</v>
      </c>
      <c r="D838" s="113" t="s">
        <v>17</v>
      </c>
      <c r="E838" s="216" t="s">
        <v>15</v>
      </c>
      <c r="F838" s="216" t="s">
        <v>30</v>
      </c>
      <c r="G838" s="217">
        <v>9.26</v>
      </c>
      <c r="H838" s="218">
        <v>11.5</v>
      </c>
      <c r="I838" s="219">
        <v>19</v>
      </c>
      <c r="J838" s="220">
        <f t="shared" si="427"/>
        <v>2.0233099999999999</v>
      </c>
      <c r="K838" s="118"/>
      <c r="L838" s="111">
        <v>19</v>
      </c>
      <c r="M838" s="117">
        <f t="shared" si="425"/>
        <v>2.0233099999999999</v>
      </c>
      <c r="N838" s="119">
        <f t="shared" si="428"/>
        <v>0</v>
      </c>
      <c r="O838" s="120">
        <f t="shared" si="426"/>
        <v>0</v>
      </c>
      <c r="P838" s="111"/>
      <c r="Q838" s="111"/>
      <c r="R838" s="111"/>
    </row>
    <row r="839" spans="1:18" s="213" customFormat="1" ht="15.6">
      <c r="A839" s="110" t="s">
        <v>616</v>
      </c>
      <c r="B839" s="111" t="s">
        <v>505</v>
      </c>
      <c r="C839" s="112" t="s">
        <v>449</v>
      </c>
      <c r="D839" s="113" t="s">
        <v>17</v>
      </c>
      <c r="E839" s="216" t="s">
        <v>15</v>
      </c>
      <c r="F839" s="216" t="s">
        <v>30</v>
      </c>
      <c r="G839" s="217">
        <v>9.26</v>
      </c>
      <c r="H839" s="218">
        <v>11</v>
      </c>
      <c r="I839" s="219">
        <v>30</v>
      </c>
      <c r="J839" s="220">
        <f t="shared" si="427"/>
        <v>3.0558000000000001</v>
      </c>
      <c r="K839" s="118"/>
      <c r="L839" s="111">
        <v>30</v>
      </c>
      <c r="M839" s="117">
        <f t="shared" si="425"/>
        <v>3.0557999999999996</v>
      </c>
      <c r="N839" s="119">
        <f t="shared" si="428"/>
        <v>0</v>
      </c>
      <c r="O839" s="120">
        <f t="shared" si="426"/>
        <v>0</v>
      </c>
      <c r="P839" s="111"/>
      <c r="Q839" s="111"/>
      <c r="R839" s="111"/>
    </row>
    <row r="840" spans="1:18" s="213" customFormat="1" ht="15.6">
      <c r="A840" s="110" t="s">
        <v>616</v>
      </c>
      <c r="B840" s="111" t="s">
        <v>505</v>
      </c>
      <c r="C840" s="112" t="s">
        <v>449</v>
      </c>
      <c r="D840" s="113" t="s">
        <v>17</v>
      </c>
      <c r="E840" s="216" t="s">
        <v>15</v>
      </c>
      <c r="F840" s="216" t="s">
        <v>30</v>
      </c>
      <c r="G840" s="217">
        <v>9.26</v>
      </c>
      <c r="H840" s="463">
        <v>6.25</v>
      </c>
      <c r="I840" s="219">
        <v>36</v>
      </c>
      <c r="J840" s="220">
        <f t="shared" si="427"/>
        <v>2.0834999999999999</v>
      </c>
      <c r="K840" s="118"/>
      <c r="L840" s="111">
        <v>36</v>
      </c>
      <c r="M840" s="117">
        <f t="shared" si="425"/>
        <v>2.0834999999999999</v>
      </c>
      <c r="N840" s="119">
        <f t="shared" si="428"/>
        <v>0</v>
      </c>
      <c r="O840" s="120">
        <f t="shared" si="426"/>
        <v>0</v>
      </c>
      <c r="P840" s="111"/>
      <c r="Q840" s="111"/>
      <c r="R840" s="111"/>
    </row>
    <row r="841" spans="1:18" s="213" customFormat="1" ht="15.6">
      <c r="A841" s="110" t="s">
        <v>616</v>
      </c>
      <c r="B841" s="111" t="s">
        <v>505</v>
      </c>
      <c r="C841" s="112" t="s">
        <v>449</v>
      </c>
      <c r="D841" s="113" t="s">
        <v>17</v>
      </c>
      <c r="E841" s="216" t="s">
        <v>15</v>
      </c>
      <c r="F841" s="216" t="s">
        <v>30</v>
      </c>
      <c r="G841" s="217">
        <v>9.26</v>
      </c>
      <c r="H841" s="218">
        <v>6.25</v>
      </c>
      <c r="I841" s="219">
        <v>25</v>
      </c>
      <c r="J841" s="220">
        <f t="shared" si="427"/>
        <v>1.4468749999999999</v>
      </c>
      <c r="K841" s="118"/>
      <c r="L841" s="111">
        <v>25</v>
      </c>
      <c r="M841" s="117">
        <f t="shared" ref="M841:M854" si="429">H841*L841*G841/1000</f>
        <v>1.4468749999999999</v>
      </c>
      <c r="N841" s="119">
        <f t="shared" si="428"/>
        <v>0</v>
      </c>
      <c r="O841" s="120">
        <f t="shared" ref="O841:O854" si="430">H841*N841*G841/1000</f>
        <v>0</v>
      </c>
      <c r="P841" s="111"/>
      <c r="Q841" s="111"/>
      <c r="R841" s="111"/>
    </row>
    <row r="842" spans="1:18" s="213" customFormat="1" ht="15.6">
      <c r="A842" s="110" t="s">
        <v>616</v>
      </c>
      <c r="B842" s="111" t="s">
        <v>505</v>
      </c>
      <c r="C842" s="112" t="s">
        <v>449</v>
      </c>
      <c r="D842" s="113" t="s">
        <v>17</v>
      </c>
      <c r="E842" s="216" t="s">
        <v>15</v>
      </c>
      <c r="F842" s="216" t="s">
        <v>30</v>
      </c>
      <c r="G842" s="217">
        <v>9.26</v>
      </c>
      <c r="H842" s="218">
        <v>10</v>
      </c>
      <c r="I842" s="219">
        <v>18</v>
      </c>
      <c r="J842" s="220">
        <f t="shared" si="427"/>
        <v>1.6668000000000001</v>
      </c>
      <c r="K842" s="118"/>
      <c r="L842" s="111">
        <v>18</v>
      </c>
      <c r="M842" s="117">
        <f t="shared" si="429"/>
        <v>1.6668000000000001</v>
      </c>
      <c r="N842" s="119">
        <f t="shared" si="428"/>
        <v>0</v>
      </c>
      <c r="O842" s="120">
        <f t="shared" si="430"/>
        <v>0</v>
      </c>
      <c r="P842" s="111"/>
      <c r="Q842" s="111"/>
      <c r="R842" s="111"/>
    </row>
    <row r="843" spans="1:18" s="213" customFormat="1" ht="15.6">
      <c r="A843" s="110" t="s">
        <v>616</v>
      </c>
      <c r="B843" s="111" t="s">
        <v>505</v>
      </c>
      <c r="C843" s="112" t="s">
        <v>449</v>
      </c>
      <c r="D843" s="113" t="s">
        <v>17</v>
      </c>
      <c r="E843" s="216" t="s">
        <v>15</v>
      </c>
      <c r="F843" s="216" t="s">
        <v>30</v>
      </c>
      <c r="G843" s="217">
        <v>9.26</v>
      </c>
      <c r="H843" s="218">
        <v>12</v>
      </c>
      <c r="I843" s="219">
        <v>22</v>
      </c>
      <c r="J843" s="220">
        <f t="shared" si="427"/>
        <v>2.4446400000000001</v>
      </c>
      <c r="K843" s="118"/>
      <c r="L843" s="111">
        <f>20+2</f>
        <v>22</v>
      </c>
      <c r="M843" s="117">
        <f t="shared" si="429"/>
        <v>2.4446399999999997</v>
      </c>
      <c r="N843" s="119">
        <f t="shared" si="428"/>
        <v>0</v>
      </c>
      <c r="O843" s="120">
        <f t="shared" si="430"/>
        <v>0</v>
      </c>
      <c r="P843" s="111">
        <v>11.5</v>
      </c>
      <c r="Q843" s="111">
        <v>2</v>
      </c>
      <c r="R843" s="111"/>
    </row>
    <row r="844" spans="1:18" s="213" customFormat="1" ht="15.6">
      <c r="A844" s="110" t="s">
        <v>616</v>
      </c>
      <c r="B844" s="111" t="s">
        <v>505</v>
      </c>
      <c r="C844" s="112" t="s">
        <v>449</v>
      </c>
      <c r="D844" s="113" t="s">
        <v>17</v>
      </c>
      <c r="E844" s="216" t="s">
        <v>15</v>
      </c>
      <c r="F844" s="216" t="s">
        <v>30</v>
      </c>
      <c r="G844" s="217">
        <v>9.26</v>
      </c>
      <c r="H844" s="218">
        <v>7.1</v>
      </c>
      <c r="I844" s="219">
        <v>30</v>
      </c>
      <c r="J844" s="220">
        <f t="shared" si="427"/>
        <v>1.9723799999999998</v>
      </c>
      <c r="K844" s="118"/>
      <c r="L844" s="111">
        <v>30</v>
      </c>
      <c r="M844" s="117">
        <f t="shared" si="429"/>
        <v>1.9723799999999998</v>
      </c>
      <c r="N844" s="119">
        <f t="shared" si="428"/>
        <v>0</v>
      </c>
      <c r="O844" s="120">
        <f t="shared" si="430"/>
        <v>0</v>
      </c>
      <c r="P844" s="111"/>
      <c r="Q844" s="111"/>
      <c r="R844" s="111"/>
    </row>
    <row r="845" spans="1:18" s="213" customFormat="1" ht="15.6">
      <c r="A845" s="110" t="s">
        <v>616</v>
      </c>
      <c r="B845" s="111" t="s">
        <v>505</v>
      </c>
      <c r="C845" s="112" t="s">
        <v>449</v>
      </c>
      <c r="D845" s="113" t="s">
        <v>17</v>
      </c>
      <c r="E845" s="216" t="s">
        <v>15</v>
      </c>
      <c r="F845" s="216" t="s">
        <v>30</v>
      </c>
      <c r="G845" s="217">
        <v>9.26</v>
      </c>
      <c r="H845" s="218">
        <v>7.1</v>
      </c>
      <c r="I845" s="219">
        <v>7</v>
      </c>
      <c r="J845" s="220">
        <f t="shared" si="427"/>
        <v>0.46022199999999996</v>
      </c>
      <c r="K845" s="118"/>
      <c r="L845" s="111">
        <v>7</v>
      </c>
      <c r="M845" s="117">
        <f t="shared" si="429"/>
        <v>0.46022199999999991</v>
      </c>
      <c r="N845" s="119">
        <f t="shared" si="428"/>
        <v>0</v>
      </c>
      <c r="O845" s="120">
        <f t="shared" si="430"/>
        <v>0</v>
      </c>
      <c r="P845" s="111"/>
      <c r="Q845" s="111"/>
      <c r="R845" s="111"/>
    </row>
    <row r="846" spans="1:18" s="213" customFormat="1" ht="15.6">
      <c r="A846" s="110" t="s">
        <v>616</v>
      </c>
      <c r="B846" s="111" t="s">
        <v>505</v>
      </c>
      <c r="C846" s="112" t="s">
        <v>449</v>
      </c>
      <c r="D846" s="113" t="s">
        <v>17</v>
      </c>
      <c r="E846" s="216" t="s">
        <v>15</v>
      </c>
      <c r="F846" s="216" t="s">
        <v>30</v>
      </c>
      <c r="G846" s="217">
        <v>9.26</v>
      </c>
      <c r="H846" s="218">
        <v>7.3</v>
      </c>
      <c r="I846" s="219">
        <v>28</v>
      </c>
      <c r="J846" s="220">
        <f t="shared" si="427"/>
        <v>1.892744</v>
      </c>
      <c r="K846" s="118"/>
      <c r="L846" s="111">
        <v>28</v>
      </c>
      <c r="M846" s="117">
        <f t="shared" si="429"/>
        <v>1.892744</v>
      </c>
      <c r="N846" s="119">
        <f t="shared" si="428"/>
        <v>0</v>
      </c>
      <c r="O846" s="120">
        <f t="shared" si="430"/>
        <v>0</v>
      </c>
      <c r="P846" s="111"/>
      <c r="Q846" s="111"/>
      <c r="R846" s="111"/>
    </row>
    <row r="847" spans="1:18" s="213" customFormat="1" ht="15.6">
      <c r="A847" s="110" t="s">
        <v>616</v>
      </c>
      <c r="B847" s="111" t="s">
        <v>505</v>
      </c>
      <c r="C847" s="112" t="s">
        <v>449</v>
      </c>
      <c r="D847" s="113" t="s">
        <v>17</v>
      </c>
      <c r="E847" s="216" t="s">
        <v>15</v>
      </c>
      <c r="F847" s="216" t="s">
        <v>30</v>
      </c>
      <c r="G847" s="217">
        <v>9.26</v>
      </c>
      <c r="H847" s="218">
        <v>9.5</v>
      </c>
      <c r="I847" s="219">
        <v>31</v>
      </c>
      <c r="J847" s="220">
        <f t="shared" si="427"/>
        <v>2.7270700000000003</v>
      </c>
      <c r="K847" s="118"/>
      <c r="L847" s="111">
        <v>31</v>
      </c>
      <c r="M847" s="117">
        <f t="shared" si="429"/>
        <v>2.7270700000000003</v>
      </c>
      <c r="N847" s="119">
        <f t="shared" si="428"/>
        <v>0</v>
      </c>
      <c r="O847" s="120">
        <f t="shared" si="430"/>
        <v>0</v>
      </c>
      <c r="P847" s="111"/>
      <c r="Q847" s="111"/>
      <c r="R847" s="111"/>
    </row>
    <row r="848" spans="1:18" s="213" customFormat="1" ht="15.6">
      <c r="A848" s="110" t="s">
        <v>616</v>
      </c>
      <c r="B848" s="111" t="s">
        <v>505</v>
      </c>
      <c r="C848" s="112" t="s">
        <v>449</v>
      </c>
      <c r="D848" s="113" t="s">
        <v>17</v>
      </c>
      <c r="E848" s="216" t="s">
        <v>15</v>
      </c>
      <c r="F848" s="216" t="s">
        <v>30</v>
      </c>
      <c r="G848" s="217">
        <v>9.26</v>
      </c>
      <c r="H848" s="218">
        <v>9.5</v>
      </c>
      <c r="I848" s="219">
        <v>34</v>
      </c>
      <c r="J848" s="220">
        <f t="shared" si="427"/>
        <v>2.99098</v>
      </c>
      <c r="K848" s="118"/>
      <c r="L848" s="111">
        <v>34</v>
      </c>
      <c r="M848" s="117">
        <f t="shared" si="429"/>
        <v>2.99098</v>
      </c>
      <c r="N848" s="119">
        <f t="shared" si="428"/>
        <v>0</v>
      </c>
      <c r="O848" s="120">
        <f t="shared" si="430"/>
        <v>0</v>
      </c>
      <c r="P848" s="111"/>
      <c r="Q848" s="111"/>
      <c r="R848" s="111"/>
    </row>
    <row r="849" spans="1:18" s="213" customFormat="1" ht="15.6">
      <c r="A849" s="110" t="s">
        <v>616</v>
      </c>
      <c r="B849" s="111" t="s">
        <v>505</v>
      </c>
      <c r="C849" s="112" t="s">
        <v>449</v>
      </c>
      <c r="D849" s="113" t="s">
        <v>17</v>
      </c>
      <c r="E849" s="216" t="s">
        <v>15</v>
      </c>
      <c r="F849" s="216" t="s">
        <v>30</v>
      </c>
      <c r="G849" s="217">
        <v>9.26</v>
      </c>
      <c r="H849" s="218">
        <v>10.5</v>
      </c>
      <c r="I849" s="219">
        <v>25</v>
      </c>
      <c r="J849" s="220">
        <f t="shared" si="427"/>
        <v>2.4307500000000002</v>
      </c>
      <c r="K849" s="118"/>
      <c r="L849" s="111">
        <f>20+3+2</f>
        <v>25</v>
      </c>
      <c r="M849" s="117">
        <f t="shared" si="429"/>
        <v>2.4307500000000002</v>
      </c>
      <c r="N849" s="119">
        <f t="shared" si="428"/>
        <v>0</v>
      </c>
      <c r="O849" s="120">
        <f t="shared" si="430"/>
        <v>0</v>
      </c>
      <c r="P849" s="111">
        <v>10</v>
      </c>
      <c r="Q849" s="111">
        <f>3+2</f>
        <v>5</v>
      </c>
      <c r="R849" s="111"/>
    </row>
    <row r="850" spans="1:18" s="213" customFormat="1" ht="15.6">
      <c r="A850" s="110" t="s">
        <v>616</v>
      </c>
      <c r="B850" s="111" t="s">
        <v>505</v>
      </c>
      <c r="C850" s="112" t="s">
        <v>449</v>
      </c>
      <c r="D850" s="113" t="s">
        <v>17</v>
      </c>
      <c r="E850" s="216" t="s">
        <v>15</v>
      </c>
      <c r="F850" s="216" t="s">
        <v>30</v>
      </c>
      <c r="G850" s="217">
        <v>9.26</v>
      </c>
      <c r="H850" s="218">
        <v>11</v>
      </c>
      <c r="I850" s="219">
        <v>30</v>
      </c>
      <c r="J850" s="220">
        <f t="shared" si="427"/>
        <v>3.0558000000000001</v>
      </c>
      <c r="K850" s="118"/>
      <c r="L850" s="111">
        <v>30</v>
      </c>
      <c r="M850" s="117">
        <f t="shared" si="429"/>
        <v>3.0557999999999996</v>
      </c>
      <c r="N850" s="119">
        <f t="shared" si="428"/>
        <v>0</v>
      </c>
      <c r="O850" s="120">
        <f t="shared" si="430"/>
        <v>0</v>
      </c>
      <c r="P850" s="111"/>
      <c r="Q850" s="111"/>
      <c r="R850" s="111"/>
    </row>
    <row r="851" spans="1:18" s="213" customFormat="1" ht="15.6">
      <c r="A851" s="110" t="s">
        <v>616</v>
      </c>
      <c r="B851" s="111" t="s">
        <v>505</v>
      </c>
      <c r="C851" s="112" t="s">
        <v>449</v>
      </c>
      <c r="D851" s="113" t="s">
        <v>17</v>
      </c>
      <c r="E851" s="216" t="s">
        <v>15</v>
      </c>
      <c r="F851" s="216" t="s">
        <v>30</v>
      </c>
      <c r="G851" s="217">
        <v>9.26</v>
      </c>
      <c r="H851" s="218">
        <v>11</v>
      </c>
      <c r="I851" s="219">
        <v>30</v>
      </c>
      <c r="J851" s="220">
        <f t="shared" si="427"/>
        <v>3.0558000000000001</v>
      </c>
      <c r="K851" s="118"/>
      <c r="L851" s="111">
        <v>30</v>
      </c>
      <c r="M851" s="117">
        <f t="shared" si="429"/>
        <v>3.0557999999999996</v>
      </c>
      <c r="N851" s="119">
        <f t="shared" si="428"/>
        <v>0</v>
      </c>
      <c r="O851" s="120">
        <f t="shared" si="430"/>
        <v>0</v>
      </c>
      <c r="P851" s="111"/>
      <c r="Q851" s="111"/>
      <c r="R851" s="111"/>
    </row>
    <row r="852" spans="1:18" s="213" customFormat="1" ht="15.6">
      <c r="A852" s="110" t="s">
        <v>616</v>
      </c>
      <c r="B852" s="111" t="s">
        <v>505</v>
      </c>
      <c r="C852" s="112" t="s">
        <v>449</v>
      </c>
      <c r="D852" s="113" t="s">
        <v>17</v>
      </c>
      <c r="E852" s="216" t="s">
        <v>15</v>
      </c>
      <c r="F852" s="216" t="s">
        <v>30</v>
      </c>
      <c r="G852" s="217">
        <v>9.26</v>
      </c>
      <c r="H852" s="218">
        <v>11</v>
      </c>
      <c r="I852" s="219">
        <v>30</v>
      </c>
      <c r="J852" s="220">
        <f t="shared" si="427"/>
        <v>3.0558000000000001</v>
      </c>
      <c r="K852" s="118"/>
      <c r="L852" s="111">
        <v>30</v>
      </c>
      <c r="M852" s="117">
        <f t="shared" si="429"/>
        <v>3.0557999999999996</v>
      </c>
      <c r="N852" s="119">
        <f t="shared" si="428"/>
        <v>0</v>
      </c>
      <c r="O852" s="120">
        <f t="shared" si="430"/>
        <v>0</v>
      </c>
      <c r="P852" s="111"/>
      <c r="Q852" s="111"/>
      <c r="R852" s="111"/>
    </row>
    <row r="853" spans="1:18" s="213" customFormat="1" ht="15.6">
      <c r="A853" s="110" t="s">
        <v>616</v>
      </c>
      <c r="B853" s="111" t="s">
        <v>505</v>
      </c>
      <c r="C853" s="112" t="s">
        <v>449</v>
      </c>
      <c r="D853" s="113" t="s">
        <v>17</v>
      </c>
      <c r="E853" s="216" t="s">
        <v>15</v>
      </c>
      <c r="F853" s="216" t="s">
        <v>30</v>
      </c>
      <c r="G853" s="217">
        <v>9.26</v>
      </c>
      <c r="H853" s="218">
        <v>11</v>
      </c>
      <c r="I853" s="219">
        <v>30</v>
      </c>
      <c r="J853" s="220">
        <f t="shared" si="427"/>
        <v>3.0558000000000001</v>
      </c>
      <c r="K853" s="118"/>
      <c r="L853" s="111">
        <v>30</v>
      </c>
      <c r="M853" s="117">
        <f t="shared" si="429"/>
        <v>3.0557999999999996</v>
      </c>
      <c r="N853" s="119">
        <f t="shared" si="428"/>
        <v>0</v>
      </c>
      <c r="O853" s="120">
        <f t="shared" si="430"/>
        <v>0</v>
      </c>
      <c r="P853" s="111"/>
      <c r="Q853" s="111"/>
      <c r="R853" s="111"/>
    </row>
    <row r="854" spans="1:18" s="213" customFormat="1" ht="15.6">
      <c r="A854" s="110" t="s">
        <v>616</v>
      </c>
      <c r="B854" s="111" t="s">
        <v>505</v>
      </c>
      <c r="C854" s="112" t="s">
        <v>449</v>
      </c>
      <c r="D854" s="113" t="s">
        <v>17</v>
      </c>
      <c r="E854" s="216" t="s">
        <v>15</v>
      </c>
      <c r="F854" s="216" t="s">
        <v>30</v>
      </c>
      <c r="G854" s="217">
        <v>9.26</v>
      </c>
      <c r="H854" s="218">
        <v>11</v>
      </c>
      <c r="I854" s="219">
        <v>12</v>
      </c>
      <c r="J854" s="220">
        <f t="shared" si="427"/>
        <v>1.2223199999999999</v>
      </c>
      <c r="K854" s="118"/>
      <c r="L854" s="111">
        <v>12</v>
      </c>
      <c r="M854" s="117">
        <f t="shared" si="429"/>
        <v>1.2223199999999999</v>
      </c>
      <c r="N854" s="119">
        <f t="shared" si="428"/>
        <v>0</v>
      </c>
      <c r="O854" s="120">
        <f t="shared" si="430"/>
        <v>0</v>
      </c>
      <c r="P854" s="111"/>
      <c r="Q854" s="111"/>
      <c r="R854" s="111"/>
    </row>
    <row r="855" spans="1:18" s="213" customFormat="1" ht="15.6">
      <c r="A855" s="110" t="s">
        <v>616</v>
      </c>
      <c r="B855" s="111" t="s">
        <v>505</v>
      </c>
      <c r="C855" s="112" t="s">
        <v>449</v>
      </c>
      <c r="D855" s="113" t="s">
        <v>17</v>
      </c>
      <c r="E855" s="216" t="s">
        <v>15</v>
      </c>
      <c r="F855" s="216" t="s">
        <v>30</v>
      </c>
      <c r="G855" s="217">
        <v>9.26</v>
      </c>
      <c r="H855" s="218">
        <v>9.5</v>
      </c>
      <c r="I855" s="219">
        <v>5</v>
      </c>
      <c r="J855" s="220">
        <f t="shared" si="427"/>
        <v>0.43985000000000002</v>
      </c>
      <c r="K855" s="118"/>
      <c r="L855" s="111">
        <v>5</v>
      </c>
      <c r="M855" s="117">
        <f t="shared" si="425"/>
        <v>0.43984999999999996</v>
      </c>
      <c r="N855" s="119">
        <f t="shared" si="428"/>
        <v>0</v>
      </c>
      <c r="O855" s="120">
        <f t="shared" si="426"/>
        <v>0</v>
      </c>
      <c r="P855" s="111"/>
      <c r="Q855" s="111"/>
      <c r="R855" s="111"/>
    </row>
    <row r="856" spans="1:18" s="213" customFormat="1" ht="15.6">
      <c r="A856" s="110" t="s">
        <v>616</v>
      </c>
      <c r="B856" s="111" t="s">
        <v>505</v>
      </c>
      <c r="C856" s="112" t="s">
        <v>449</v>
      </c>
      <c r="D856" s="113" t="s">
        <v>17</v>
      </c>
      <c r="E856" s="216" t="s">
        <v>15</v>
      </c>
      <c r="F856" s="216" t="s">
        <v>30</v>
      </c>
      <c r="G856" s="217">
        <v>9.26</v>
      </c>
      <c r="H856" s="218">
        <v>11.3</v>
      </c>
      <c r="I856" s="219">
        <v>15</v>
      </c>
      <c r="J856" s="220">
        <f t="shared" si="427"/>
        <v>1.5695700000000001</v>
      </c>
      <c r="K856" s="118"/>
      <c r="L856" s="111">
        <v>15</v>
      </c>
      <c r="M856" s="117">
        <f t="shared" si="425"/>
        <v>1.5695699999999999</v>
      </c>
      <c r="N856" s="119">
        <f t="shared" si="428"/>
        <v>0</v>
      </c>
      <c r="O856" s="120">
        <f t="shared" si="426"/>
        <v>0</v>
      </c>
      <c r="P856" s="111"/>
      <c r="Q856" s="111"/>
      <c r="R856" s="111"/>
    </row>
    <row r="857" spans="1:18" s="213" customFormat="1" ht="15.6">
      <c r="A857" s="110" t="s">
        <v>616</v>
      </c>
      <c r="B857" s="111" t="s">
        <v>505</v>
      </c>
      <c r="C857" s="112" t="s">
        <v>449</v>
      </c>
      <c r="D857" s="113" t="s">
        <v>17</v>
      </c>
      <c r="E857" s="216" t="s">
        <v>15</v>
      </c>
      <c r="F857" s="216" t="s">
        <v>30</v>
      </c>
      <c r="G857" s="217">
        <v>9.26</v>
      </c>
      <c r="H857" s="218">
        <v>11.5</v>
      </c>
      <c r="I857" s="219">
        <v>30</v>
      </c>
      <c r="J857" s="220">
        <f t="shared" si="427"/>
        <v>3.1946999999999997</v>
      </c>
      <c r="K857" s="118"/>
      <c r="L857" s="111">
        <v>30</v>
      </c>
      <c r="M857" s="117">
        <f t="shared" si="425"/>
        <v>3.1946999999999997</v>
      </c>
      <c r="N857" s="119">
        <f t="shared" si="428"/>
        <v>0</v>
      </c>
      <c r="O857" s="120">
        <f t="shared" si="426"/>
        <v>0</v>
      </c>
      <c r="P857" s="111"/>
      <c r="Q857" s="111"/>
      <c r="R857" s="111"/>
    </row>
    <row r="858" spans="1:18" s="213" customFormat="1" ht="15.6">
      <c r="A858" s="110" t="s">
        <v>616</v>
      </c>
      <c r="B858" s="111" t="s">
        <v>505</v>
      </c>
      <c r="C858" s="112" t="s">
        <v>449</v>
      </c>
      <c r="D858" s="113" t="s">
        <v>17</v>
      </c>
      <c r="E858" s="216" t="s">
        <v>15</v>
      </c>
      <c r="F858" s="216" t="s">
        <v>30</v>
      </c>
      <c r="G858" s="217">
        <v>9.26</v>
      </c>
      <c r="H858" s="218">
        <v>11.5</v>
      </c>
      <c r="I858" s="219">
        <v>30</v>
      </c>
      <c r="J858" s="220">
        <f t="shared" si="427"/>
        <v>3.1946999999999997</v>
      </c>
      <c r="K858" s="118"/>
      <c r="L858" s="111">
        <v>30</v>
      </c>
      <c r="M858" s="117">
        <f t="shared" si="422"/>
        <v>3.1946999999999997</v>
      </c>
      <c r="N858" s="119">
        <f t="shared" si="428"/>
        <v>0</v>
      </c>
      <c r="O858" s="120">
        <f t="shared" si="424"/>
        <v>0</v>
      </c>
      <c r="P858" s="111"/>
      <c r="Q858" s="111"/>
      <c r="R858" s="111"/>
    </row>
    <row r="859" spans="1:18" s="213" customFormat="1" ht="15.6">
      <c r="A859" s="110" t="s">
        <v>616</v>
      </c>
      <c r="B859" s="111" t="s">
        <v>505</v>
      </c>
      <c r="C859" s="112" t="s">
        <v>449</v>
      </c>
      <c r="D859" s="113" t="s">
        <v>17</v>
      </c>
      <c r="E859" s="216" t="s">
        <v>15</v>
      </c>
      <c r="F859" s="216" t="s">
        <v>30</v>
      </c>
      <c r="G859" s="217">
        <v>9.26</v>
      </c>
      <c r="H859" s="218">
        <v>11.5</v>
      </c>
      <c r="I859" s="219">
        <v>33</v>
      </c>
      <c r="J859" s="220">
        <f t="shared" ref="J859:J870" si="431">(G859*H859*I859/1000)</f>
        <v>3.5141699999999996</v>
      </c>
      <c r="K859" s="118"/>
      <c r="L859" s="111">
        <v>33</v>
      </c>
      <c r="M859" s="117">
        <f t="shared" si="422"/>
        <v>3.51417</v>
      </c>
      <c r="N859" s="119">
        <f t="shared" ref="N859:N870" si="432">I859-L859</f>
        <v>0</v>
      </c>
      <c r="O859" s="120">
        <f t="shared" si="424"/>
        <v>0</v>
      </c>
      <c r="P859" s="111"/>
      <c r="Q859" s="111"/>
      <c r="R859" s="111"/>
    </row>
    <row r="860" spans="1:18" s="213" customFormat="1" ht="15.6">
      <c r="A860" s="110" t="s">
        <v>616</v>
      </c>
      <c r="B860" s="111" t="s">
        <v>505</v>
      </c>
      <c r="C860" s="112" t="s">
        <v>449</v>
      </c>
      <c r="D860" s="113" t="s">
        <v>17</v>
      </c>
      <c r="E860" s="216" t="s">
        <v>15</v>
      </c>
      <c r="F860" s="216" t="s">
        <v>30</v>
      </c>
      <c r="G860" s="217">
        <v>9.26</v>
      </c>
      <c r="H860" s="218">
        <v>11.5</v>
      </c>
      <c r="I860" s="219">
        <v>14</v>
      </c>
      <c r="J860" s="220">
        <f t="shared" si="431"/>
        <v>1.4908599999999999</v>
      </c>
      <c r="K860" s="118"/>
      <c r="L860" s="111">
        <v>14</v>
      </c>
      <c r="M860" s="117">
        <f t="shared" ref="M860:M869" si="433">H860*L860*G860/1000</f>
        <v>1.4908599999999999</v>
      </c>
      <c r="N860" s="119">
        <f t="shared" si="432"/>
        <v>0</v>
      </c>
      <c r="O860" s="120">
        <f t="shared" ref="O860:O869" si="434">H860*N860*G860/1000</f>
        <v>0</v>
      </c>
      <c r="P860" s="111"/>
      <c r="Q860" s="111"/>
      <c r="R860" s="111"/>
    </row>
    <row r="861" spans="1:18" s="213" customFormat="1" ht="15.6">
      <c r="A861" s="110" t="s">
        <v>616</v>
      </c>
      <c r="B861" s="111" t="s">
        <v>505</v>
      </c>
      <c r="C861" s="112" t="s">
        <v>449</v>
      </c>
      <c r="D861" s="113" t="s">
        <v>17</v>
      </c>
      <c r="E861" s="216" t="s">
        <v>15</v>
      </c>
      <c r="F861" s="216" t="s">
        <v>30</v>
      </c>
      <c r="G861" s="217">
        <v>9.26</v>
      </c>
      <c r="H861" s="218">
        <v>12</v>
      </c>
      <c r="I861" s="219">
        <v>29</v>
      </c>
      <c r="J861" s="220">
        <f t="shared" si="431"/>
        <v>3.22248</v>
      </c>
      <c r="K861" s="118" t="s">
        <v>617</v>
      </c>
      <c r="L861" s="111">
        <v>29</v>
      </c>
      <c r="M861" s="117">
        <f t="shared" si="433"/>
        <v>3.22248</v>
      </c>
      <c r="N861" s="119">
        <f t="shared" si="432"/>
        <v>0</v>
      </c>
      <c r="O861" s="120">
        <f t="shared" si="434"/>
        <v>0</v>
      </c>
      <c r="P861" s="111">
        <v>11.5</v>
      </c>
      <c r="Q861" s="111">
        <v>29</v>
      </c>
      <c r="R861" s="111"/>
    </row>
    <row r="862" spans="1:18" s="213" customFormat="1" ht="15.6">
      <c r="A862" s="110" t="s">
        <v>616</v>
      </c>
      <c r="B862" s="111" t="s">
        <v>505</v>
      </c>
      <c r="C862" s="112" t="s">
        <v>449</v>
      </c>
      <c r="D862" s="113" t="s">
        <v>17</v>
      </c>
      <c r="E862" s="216" t="s">
        <v>15</v>
      </c>
      <c r="F862" s="216" t="s">
        <v>30</v>
      </c>
      <c r="G862" s="217">
        <v>9.26</v>
      </c>
      <c r="H862" s="218">
        <v>11.5</v>
      </c>
      <c r="I862" s="219">
        <v>1</v>
      </c>
      <c r="J862" s="220">
        <f t="shared" si="431"/>
        <v>0.10649</v>
      </c>
      <c r="K862" s="118" t="s">
        <v>617</v>
      </c>
      <c r="L862" s="111">
        <v>1</v>
      </c>
      <c r="M862" s="117">
        <f t="shared" si="433"/>
        <v>0.10649</v>
      </c>
      <c r="N862" s="119">
        <f t="shared" si="432"/>
        <v>0</v>
      </c>
      <c r="O862" s="120">
        <f t="shared" si="434"/>
        <v>0</v>
      </c>
      <c r="P862" s="111"/>
      <c r="Q862" s="111"/>
      <c r="R862" s="111"/>
    </row>
    <row r="863" spans="1:18" s="213" customFormat="1" ht="15.6">
      <c r="A863" s="110" t="s">
        <v>616</v>
      </c>
      <c r="B863" s="111" t="s">
        <v>505</v>
      </c>
      <c r="C863" s="112" t="s">
        <v>449</v>
      </c>
      <c r="D863" s="113" t="s">
        <v>17</v>
      </c>
      <c r="E863" s="216" t="s">
        <v>15</v>
      </c>
      <c r="F863" s="216" t="s">
        <v>30</v>
      </c>
      <c r="G863" s="217">
        <v>9.26</v>
      </c>
      <c r="H863" s="218">
        <v>11.3</v>
      </c>
      <c r="I863" s="219">
        <v>1</v>
      </c>
      <c r="J863" s="220">
        <f t="shared" si="431"/>
        <v>0.10463800000000001</v>
      </c>
      <c r="K863" s="118" t="s">
        <v>617</v>
      </c>
      <c r="L863" s="111">
        <v>1</v>
      </c>
      <c r="M863" s="117">
        <f t="shared" si="433"/>
        <v>0.10463800000000001</v>
      </c>
      <c r="N863" s="119">
        <f t="shared" si="432"/>
        <v>0</v>
      </c>
      <c r="O863" s="120">
        <f t="shared" si="434"/>
        <v>0</v>
      </c>
      <c r="P863" s="111"/>
      <c r="Q863" s="111"/>
      <c r="R863" s="111"/>
    </row>
    <row r="864" spans="1:18" s="213" customFormat="1" ht="15.6">
      <c r="A864" s="110" t="s">
        <v>616</v>
      </c>
      <c r="B864" s="111" t="s">
        <v>505</v>
      </c>
      <c r="C864" s="112" t="s">
        <v>449</v>
      </c>
      <c r="D864" s="113" t="s">
        <v>17</v>
      </c>
      <c r="E864" s="216" t="s">
        <v>15</v>
      </c>
      <c r="F864" s="216" t="s">
        <v>30</v>
      </c>
      <c r="G864" s="217">
        <v>9.26</v>
      </c>
      <c r="H864" s="218">
        <v>9.3000000000000007</v>
      </c>
      <c r="I864" s="219">
        <v>4</v>
      </c>
      <c r="J864" s="220">
        <f t="shared" si="431"/>
        <v>0.34447200000000006</v>
      </c>
      <c r="K864" s="118" t="s">
        <v>617</v>
      </c>
      <c r="L864" s="111"/>
      <c r="M864" s="117">
        <f t="shared" si="433"/>
        <v>0</v>
      </c>
      <c r="N864" s="119">
        <f t="shared" si="432"/>
        <v>4</v>
      </c>
      <c r="O864" s="120">
        <f t="shared" si="434"/>
        <v>0.34447200000000006</v>
      </c>
      <c r="P864" s="111"/>
      <c r="Q864" s="111"/>
      <c r="R864" s="111"/>
    </row>
    <row r="865" spans="1:18" s="213" customFormat="1" ht="15.6">
      <c r="A865" s="110" t="s">
        <v>616</v>
      </c>
      <c r="B865" s="111" t="s">
        <v>505</v>
      </c>
      <c r="C865" s="112" t="s">
        <v>449</v>
      </c>
      <c r="D865" s="113" t="s">
        <v>17</v>
      </c>
      <c r="E865" s="216" t="s">
        <v>15</v>
      </c>
      <c r="F865" s="216" t="s">
        <v>30</v>
      </c>
      <c r="G865" s="217">
        <v>9.26</v>
      </c>
      <c r="H865" s="218">
        <v>9</v>
      </c>
      <c r="I865" s="219">
        <v>2</v>
      </c>
      <c r="J865" s="220">
        <f t="shared" si="431"/>
        <v>0.16667999999999999</v>
      </c>
      <c r="K865" s="118"/>
      <c r="L865" s="111">
        <v>2</v>
      </c>
      <c r="M865" s="117">
        <f t="shared" si="433"/>
        <v>0.16667999999999999</v>
      </c>
      <c r="N865" s="119">
        <f t="shared" si="432"/>
        <v>0</v>
      </c>
      <c r="O865" s="120">
        <f t="shared" si="434"/>
        <v>0</v>
      </c>
      <c r="P865" s="111">
        <v>7.1</v>
      </c>
      <c r="Q865" s="111">
        <v>2</v>
      </c>
      <c r="R865" s="111"/>
    </row>
    <row r="866" spans="1:18" s="213" customFormat="1" ht="15.6">
      <c r="A866" s="110" t="s">
        <v>616</v>
      </c>
      <c r="B866" s="111" t="s">
        <v>505</v>
      </c>
      <c r="C866" s="112" t="s">
        <v>449</v>
      </c>
      <c r="D866" s="113" t="s">
        <v>17</v>
      </c>
      <c r="E866" s="216" t="s">
        <v>15</v>
      </c>
      <c r="F866" s="216" t="s">
        <v>30</v>
      </c>
      <c r="G866" s="217">
        <v>9.26</v>
      </c>
      <c r="H866" s="218">
        <v>8.9</v>
      </c>
      <c r="I866" s="219">
        <v>3</v>
      </c>
      <c r="J866" s="220">
        <f t="shared" si="431"/>
        <v>0.24724200000000002</v>
      </c>
      <c r="K866" s="118"/>
      <c r="L866" s="111">
        <v>3</v>
      </c>
      <c r="M866" s="117">
        <f t="shared" si="433"/>
        <v>0.24724200000000002</v>
      </c>
      <c r="N866" s="119">
        <f t="shared" si="432"/>
        <v>0</v>
      </c>
      <c r="O866" s="120">
        <f t="shared" si="434"/>
        <v>0</v>
      </c>
      <c r="P866" s="111">
        <v>7.1</v>
      </c>
      <c r="Q866" s="111">
        <v>3</v>
      </c>
      <c r="R866" s="111"/>
    </row>
    <row r="867" spans="1:18" s="213" customFormat="1" ht="15.6">
      <c r="A867" s="110" t="s">
        <v>616</v>
      </c>
      <c r="B867" s="111" t="s">
        <v>505</v>
      </c>
      <c r="C867" s="112" t="s">
        <v>449</v>
      </c>
      <c r="D867" s="113" t="s">
        <v>17</v>
      </c>
      <c r="E867" s="216" t="s">
        <v>15</v>
      </c>
      <c r="F867" s="216" t="s">
        <v>30</v>
      </c>
      <c r="G867" s="217">
        <v>9.26</v>
      </c>
      <c r="H867" s="463">
        <v>8.6999999999999993</v>
      </c>
      <c r="I867" s="219">
        <v>3</v>
      </c>
      <c r="J867" s="220">
        <f t="shared" si="431"/>
        <v>0.24168599999999998</v>
      </c>
      <c r="K867" s="118"/>
      <c r="L867" s="111">
        <v>3</v>
      </c>
      <c r="M867" s="117">
        <f t="shared" si="433"/>
        <v>0.24168599999999998</v>
      </c>
      <c r="N867" s="119">
        <f t="shared" si="432"/>
        <v>0</v>
      </c>
      <c r="O867" s="120">
        <f t="shared" si="434"/>
        <v>0</v>
      </c>
      <c r="P867" s="111">
        <v>7.1</v>
      </c>
      <c r="Q867" s="111">
        <v>3</v>
      </c>
      <c r="R867" s="111"/>
    </row>
    <row r="868" spans="1:18" s="213" customFormat="1" ht="15.6">
      <c r="A868" s="110" t="s">
        <v>616</v>
      </c>
      <c r="B868" s="111" t="s">
        <v>505</v>
      </c>
      <c r="C868" s="112" t="s">
        <v>449</v>
      </c>
      <c r="D868" s="113" t="s">
        <v>17</v>
      </c>
      <c r="E868" s="216" t="s">
        <v>15</v>
      </c>
      <c r="F868" s="216" t="s">
        <v>30</v>
      </c>
      <c r="G868" s="217">
        <v>9.26</v>
      </c>
      <c r="H868" s="218">
        <v>10</v>
      </c>
      <c r="I868" s="219">
        <v>23</v>
      </c>
      <c r="J868" s="220">
        <f t="shared" si="431"/>
        <v>2.1297999999999999</v>
      </c>
      <c r="K868" s="118"/>
      <c r="L868" s="111">
        <v>23</v>
      </c>
      <c r="M868" s="117">
        <f t="shared" si="433"/>
        <v>2.1297999999999999</v>
      </c>
      <c r="N868" s="119">
        <f t="shared" si="432"/>
        <v>0</v>
      </c>
      <c r="O868" s="120">
        <f t="shared" si="434"/>
        <v>0</v>
      </c>
      <c r="P868" s="111"/>
      <c r="Q868" s="111"/>
      <c r="R868" s="111"/>
    </row>
    <row r="869" spans="1:18" s="213" customFormat="1" ht="15.6">
      <c r="A869" s="110" t="s">
        <v>616</v>
      </c>
      <c r="B869" s="111" t="s">
        <v>505</v>
      </c>
      <c r="C869" s="112" t="s">
        <v>449</v>
      </c>
      <c r="D869" s="113" t="s">
        <v>17</v>
      </c>
      <c r="E869" s="216" t="s">
        <v>15</v>
      </c>
      <c r="F869" s="216" t="s">
        <v>30</v>
      </c>
      <c r="G869" s="217">
        <v>9.26</v>
      </c>
      <c r="H869" s="218">
        <v>10.5</v>
      </c>
      <c r="I869" s="219">
        <v>24</v>
      </c>
      <c r="J869" s="220">
        <f t="shared" si="431"/>
        <v>2.33352</v>
      </c>
      <c r="K869" s="118"/>
      <c r="L869" s="111">
        <f>21+3</f>
        <v>24</v>
      </c>
      <c r="M869" s="117">
        <f t="shared" si="433"/>
        <v>2.33352</v>
      </c>
      <c r="N869" s="119">
        <f t="shared" si="432"/>
        <v>0</v>
      </c>
      <c r="O869" s="120">
        <f t="shared" si="434"/>
        <v>0</v>
      </c>
      <c r="P869" s="111" t="s">
        <v>635</v>
      </c>
      <c r="Q869" s="111">
        <f>21+3</f>
        <v>24</v>
      </c>
      <c r="R869" s="111"/>
    </row>
    <row r="870" spans="1:18" s="213" customFormat="1" ht="15.6">
      <c r="A870" s="110" t="s">
        <v>616</v>
      </c>
      <c r="B870" s="111" t="s">
        <v>505</v>
      </c>
      <c r="C870" s="112" t="s">
        <v>449</v>
      </c>
      <c r="D870" s="113" t="s">
        <v>17</v>
      </c>
      <c r="E870" s="216" t="s">
        <v>15</v>
      </c>
      <c r="F870" s="216" t="s">
        <v>30</v>
      </c>
      <c r="G870" s="217">
        <v>9.26</v>
      </c>
      <c r="H870" s="218">
        <v>10</v>
      </c>
      <c r="I870" s="219">
        <v>30</v>
      </c>
      <c r="J870" s="220">
        <f t="shared" si="431"/>
        <v>2.778</v>
      </c>
      <c r="K870" s="118"/>
      <c r="L870" s="111">
        <v>30</v>
      </c>
      <c r="M870" s="117">
        <f t="shared" si="422"/>
        <v>2.778</v>
      </c>
      <c r="N870" s="119">
        <f t="shared" si="432"/>
        <v>0</v>
      </c>
      <c r="O870" s="120">
        <f t="shared" si="424"/>
        <v>0</v>
      </c>
      <c r="P870" s="111"/>
      <c r="Q870" s="111"/>
      <c r="R870" s="111"/>
    </row>
    <row r="871" spans="1:18" s="213" customFormat="1" ht="15.6">
      <c r="A871" s="110" t="s">
        <v>616</v>
      </c>
      <c r="B871" s="111" t="s">
        <v>505</v>
      </c>
      <c r="C871" s="112" t="s">
        <v>449</v>
      </c>
      <c r="D871" s="113" t="s">
        <v>17</v>
      </c>
      <c r="E871" s="216" t="s">
        <v>15</v>
      </c>
      <c r="F871" s="216" t="s">
        <v>30</v>
      </c>
      <c r="G871" s="217">
        <v>9.26</v>
      </c>
      <c r="H871" s="218">
        <v>11.5</v>
      </c>
      <c r="I871" s="219">
        <v>29</v>
      </c>
      <c r="J871" s="220">
        <f t="shared" ref="J871:J889" si="435">(G871*H871*I871/1000)</f>
        <v>3.0882100000000001</v>
      </c>
      <c r="K871" s="118"/>
      <c r="L871" s="111">
        <v>29</v>
      </c>
      <c r="M871" s="117">
        <f t="shared" ref="M871:M889" si="436">H871*L871*G871/1000</f>
        <v>3.0882100000000001</v>
      </c>
      <c r="N871" s="119">
        <f t="shared" ref="N871:N889" si="437">I871-L871</f>
        <v>0</v>
      </c>
      <c r="O871" s="120">
        <f t="shared" ref="O871:O889" si="438">H871*N871*G871/1000</f>
        <v>0</v>
      </c>
      <c r="P871" s="111"/>
      <c r="Q871" s="111"/>
      <c r="R871" s="111"/>
    </row>
    <row r="872" spans="1:18" s="213" customFormat="1" ht="15.6">
      <c r="A872" s="110" t="s">
        <v>616</v>
      </c>
      <c r="B872" s="111" t="s">
        <v>505</v>
      </c>
      <c r="C872" s="112" t="s">
        <v>449</v>
      </c>
      <c r="D872" s="113" t="s">
        <v>17</v>
      </c>
      <c r="E872" s="216" t="s">
        <v>15</v>
      </c>
      <c r="F872" s="216" t="s">
        <v>30</v>
      </c>
      <c r="G872" s="217">
        <v>9.26</v>
      </c>
      <c r="H872" s="218">
        <v>11</v>
      </c>
      <c r="I872" s="219">
        <v>32</v>
      </c>
      <c r="J872" s="220">
        <f t="shared" si="435"/>
        <v>3.2595200000000002</v>
      </c>
      <c r="K872" s="118"/>
      <c r="L872" s="111">
        <v>32</v>
      </c>
      <c r="M872" s="117">
        <f t="shared" si="436"/>
        <v>3.2595200000000002</v>
      </c>
      <c r="N872" s="119">
        <f t="shared" si="437"/>
        <v>0</v>
      </c>
      <c r="O872" s="120">
        <f t="shared" si="438"/>
        <v>0</v>
      </c>
      <c r="P872" s="111"/>
      <c r="Q872" s="111"/>
      <c r="R872" s="111"/>
    </row>
    <row r="873" spans="1:18" s="213" customFormat="1" ht="15.6">
      <c r="A873" s="110" t="s">
        <v>616</v>
      </c>
      <c r="B873" s="111" t="s">
        <v>505</v>
      </c>
      <c r="C873" s="112" t="s">
        <v>449</v>
      </c>
      <c r="D873" s="113" t="s">
        <v>17</v>
      </c>
      <c r="E873" s="216" t="s">
        <v>15</v>
      </c>
      <c r="F873" s="216" t="s">
        <v>30</v>
      </c>
      <c r="G873" s="217">
        <v>9.26</v>
      </c>
      <c r="H873" s="218">
        <v>11</v>
      </c>
      <c r="I873" s="219">
        <v>29</v>
      </c>
      <c r="J873" s="220">
        <f t="shared" si="435"/>
        <v>2.9539400000000002</v>
      </c>
      <c r="K873" s="118"/>
      <c r="L873" s="111">
        <v>29</v>
      </c>
      <c r="M873" s="117">
        <f t="shared" si="436"/>
        <v>2.9539400000000002</v>
      </c>
      <c r="N873" s="119">
        <f t="shared" si="437"/>
        <v>0</v>
      </c>
      <c r="O873" s="120">
        <f t="shared" si="438"/>
        <v>0</v>
      </c>
      <c r="P873" s="111"/>
      <c r="Q873" s="111"/>
      <c r="R873" s="111"/>
    </row>
    <row r="874" spans="1:18" s="213" customFormat="1" ht="15.6">
      <c r="A874" s="110" t="s">
        <v>616</v>
      </c>
      <c r="B874" s="111" t="s">
        <v>505</v>
      </c>
      <c r="C874" s="112" t="s">
        <v>449</v>
      </c>
      <c r="D874" s="113" t="s">
        <v>17</v>
      </c>
      <c r="E874" s="216" t="s">
        <v>15</v>
      </c>
      <c r="F874" s="216" t="s">
        <v>30</v>
      </c>
      <c r="G874" s="217">
        <v>9.26</v>
      </c>
      <c r="H874" s="218">
        <v>11.5</v>
      </c>
      <c r="I874" s="219">
        <v>25</v>
      </c>
      <c r="J874" s="220">
        <f t="shared" si="435"/>
        <v>2.6622499999999998</v>
      </c>
      <c r="K874" s="118"/>
      <c r="L874" s="111">
        <f>25+7</f>
        <v>32</v>
      </c>
      <c r="M874" s="117">
        <f t="shared" si="436"/>
        <v>3.40768</v>
      </c>
      <c r="N874" s="180">
        <f t="shared" si="437"/>
        <v>-7</v>
      </c>
      <c r="O874" s="181">
        <f t="shared" si="438"/>
        <v>-0.74542999999999993</v>
      </c>
      <c r="P874" s="111" t="s">
        <v>304</v>
      </c>
      <c r="Q874" s="111"/>
      <c r="R874" s="111"/>
    </row>
    <row r="875" spans="1:18" s="213" customFormat="1" ht="15.6">
      <c r="A875" s="110" t="s">
        <v>616</v>
      </c>
      <c r="B875" s="111" t="s">
        <v>505</v>
      </c>
      <c r="C875" s="112" t="s">
        <v>449</v>
      </c>
      <c r="D875" s="113" t="s">
        <v>17</v>
      </c>
      <c r="E875" s="216" t="s">
        <v>15</v>
      </c>
      <c r="F875" s="216" t="s">
        <v>30</v>
      </c>
      <c r="G875" s="217">
        <v>9.26</v>
      </c>
      <c r="H875" s="218">
        <v>9.5</v>
      </c>
      <c r="I875" s="219">
        <v>18</v>
      </c>
      <c r="J875" s="220">
        <f t="shared" si="435"/>
        <v>1.5834600000000001</v>
      </c>
      <c r="K875" s="118"/>
      <c r="L875" s="111">
        <v>18</v>
      </c>
      <c r="M875" s="117">
        <f t="shared" si="436"/>
        <v>1.5834600000000001</v>
      </c>
      <c r="N875" s="119">
        <f t="shared" si="437"/>
        <v>0</v>
      </c>
      <c r="O875" s="120">
        <f t="shared" si="438"/>
        <v>0</v>
      </c>
      <c r="P875" s="111"/>
      <c r="Q875" s="111"/>
      <c r="R875" s="111"/>
    </row>
    <row r="876" spans="1:18" s="213" customFormat="1" ht="15.6">
      <c r="A876" s="110" t="s">
        <v>616</v>
      </c>
      <c r="B876" s="111" t="s">
        <v>505</v>
      </c>
      <c r="C876" s="112" t="s">
        <v>449</v>
      </c>
      <c r="D876" s="113" t="s">
        <v>17</v>
      </c>
      <c r="E876" s="216" t="s">
        <v>15</v>
      </c>
      <c r="F876" s="216" t="s">
        <v>30</v>
      </c>
      <c r="G876" s="217">
        <v>9.26</v>
      </c>
      <c r="H876" s="218">
        <v>10</v>
      </c>
      <c r="I876" s="219">
        <v>22</v>
      </c>
      <c r="J876" s="220">
        <f t="shared" si="435"/>
        <v>2.0371999999999999</v>
      </c>
      <c r="K876" s="118"/>
      <c r="L876" s="111">
        <v>22</v>
      </c>
      <c r="M876" s="117">
        <f t="shared" si="436"/>
        <v>2.0371999999999999</v>
      </c>
      <c r="N876" s="119">
        <f t="shared" si="437"/>
        <v>0</v>
      </c>
      <c r="O876" s="120">
        <f t="shared" si="438"/>
        <v>0</v>
      </c>
      <c r="P876" s="111"/>
      <c r="Q876" s="111"/>
      <c r="R876" s="111"/>
    </row>
    <row r="877" spans="1:18" s="213" customFormat="1" ht="15.6">
      <c r="A877" s="110" t="s">
        <v>616</v>
      </c>
      <c r="B877" s="111" t="s">
        <v>505</v>
      </c>
      <c r="C877" s="112" t="s">
        <v>449</v>
      </c>
      <c r="D877" s="113" t="s">
        <v>17</v>
      </c>
      <c r="E877" s="216" t="s">
        <v>15</v>
      </c>
      <c r="F877" s="216" t="s">
        <v>30</v>
      </c>
      <c r="G877" s="217">
        <v>9.26</v>
      </c>
      <c r="H877" s="218">
        <v>10.5</v>
      </c>
      <c r="I877" s="219">
        <v>13</v>
      </c>
      <c r="J877" s="220">
        <f t="shared" si="435"/>
        <v>1.2639899999999999</v>
      </c>
      <c r="K877" s="118"/>
      <c r="L877" s="111">
        <v>13</v>
      </c>
      <c r="M877" s="117">
        <f t="shared" si="436"/>
        <v>1.2639899999999999</v>
      </c>
      <c r="N877" s="119">
        <f t="shared" si="437"/>
        <v>0</v>
      </c>
      <c r="O877" s="120">
        <f t="shared" si="438"/>
        <v>0</v>
      </c>
      <c r="P877" s="111">
        <v>9.5</v>
      </c>
      <c r="Q877" s="111">
        <v>13</v>
      </c>
      <c r="R877" s="111"/>
    </row>
    <row r="878" spans="1:18" s="213" customFormat="1" ht="15.6">
      <c r="A878" s="110" t="s">
        <v>616</v>
      </c>
      <c r="B878" s="111" t="s">
        <v>505</v>
      </c>
      <c r="C878" s="112" t="s">
        <v>449</v>
      </c>
      <c r="D878" s="113" t="s">
        <v>17</v>
      </c>
      <c r="E878" s="216" t="s">
        <v>15</v>
      </c>
      <c r="F878" s="216" t="s">
        <v>30</v>
      </c>
      <c r="G878" s="217">
        <v>9.26</v>
      </c>
      <c r="H878" s="218">
        <v>11.3</v>
      </c>
      <c r="I878" s="219">
        <v>14</v>
      </c>
      <c r="J878" s="220">
        <f t="shared" si="435"/>
        <v>1.4649320000000001</v>
      </c>
      <c r="K878" s="118"/>
      <c r="L878" s="111">
        <f>14+18</f>
        <v>32</v>
      </c>
      <c r="M878" s="117">
        <f t="shared" si="436"/>
        <v>3.3484160000000003</v>
      </c>
      <c r="N878" s="180">
        <f t="shared" si="437"/>
        <v>-18</v>
      </c>
      <c r="O878" s="181">
        <f t="shared" si="438"/>
        <v>-1.8834839999999999</v>
      </c>
      <c r="P878" s="111" t="s">
        <v>304</v>
      </c>
      <c r="Q878" s="111"/>
      <c r="R878" s="111"/>
    </row>
    <row r="879" spans="1:18" s="213" customFormat="1" ht="15.6">
      <c r="A879" s="110" t="s">
        <v>616</v>
      </c>
      <c r="B879" s="111" t="s">
        <v>505</v>
      </c>
      <c r="C879" s="112" t="s">
        <v>449</v>
      </c>
      <c r="D879" s="113" t="s">
        <v>17</v>
      </c>
      <c r="E879" s="216" t="s">
        <v>15</v>
      </c>
      <c r="F879" s="216" t="s">
        <v>30</v>
      </c>
      <c r="G879" s="217">
        <v>9.26</v>
      </c>
      <c r="H879" s="218">
        <v>12</v>
      </c>
      <c r="I879" s="219">
        <v>9</v>
      </c>
      <c r="J879" s="220">
        <f t="shared" si="435"/>
        <v>1.0000800000000001</v>
      </c>
      <c r="K879" s="118"/>
      <c r="L879" s="111">
        <v>9</v>
      </c>
      <c r="M879" s="117">
        <f t="shared" si="436"/>
        <v>1.0000799999999999</v>
      </c>
      <c r="N879" s="119">
        <f t="shared" si="437"/>
        <v>0</v>
      </c>
      <c r="O879" s="120">
        <f t="shared" si="438"/>
        <v>0</v>
      </c>
      <c r="P879" s="111">
        <v>11.5</v>
      </c>
      <c r="Q879" s="111">
        <v>9</v>
      </c>
      <c r="R879" s="111"/>
    </row>
    <row r="880" spans="1:18" s="213" customFormat="1" ht="15.6">
      <c r="A880" s="110" t="s">
        <v>616</v>
      </c>
      <c r="B880" s="111" t="s">
        <v>505</v>
      </c>
      <c r="C880" s="112" t="s">
        <v>449</v>
      </c>
      <c r="D880" s="113" t="s">
        <v>17</v>
      </c>
      <c r="E880" s="216" t="s">
        <v>15</v>
      </c>
      <c r="F880" s="216" t="s">
        <v>30</v>
      </c>
      <c r="G880" s="217">
        <v>9.26</v>
      </c>
      <c r="H880" s="218">
        <v>7.3</v>
      </c>
      <c r="I880" s="219">
        <v>36</v>
      </c>
      <c r="J880" s="220">
        <f t="shared" si="435"/>
        <v>2.4335279999999999</v>
      </c>
      <c r="K880" s="118"/>
      <c r="L880" s="111">
        <f>36-9+9</f>
        <v>36</v>
      </c>
      <c r="M880" s="117">
        <f t="shared" si="436"/>
        <v>2.4335280000000004</v>
      </c>
      <c r="N880" s="119">
        <f t="shared" si="437"/>
        <v>0</v>
      </c>
      <c r="O880" s="120">
        <f t="shared" si="438"/>
        <v>0</v>
      </c>
      <c r="P880" s="111">
        <v>7.1</v>
      </c>
      <c r="Q880" s="111">
        <v>9</v>
      </c>
      <c r="R880" s="111"/>
    </row>
    <row r="881" spans="1:18" s="213" customFormat="1" ht="15.6">
      <c r="A881" s="110" t="s">
        <v>616</v>
      </c>
      <c r="B881" s="111" t="s">
        <v>505</v>
      </c>
      <c r="C881" s="112" t="s">
        <v>449</v>
      </c>
      <c r="D881" s="113" t="s">
        <v>17</v>
      </c>
      <c r="E881" s="216" t="s">
        <v>15</v>
      </c>
      <c r="F881" s="216" t="s">
        <v>30</v>
      </c>
      <c r="G881" s="217">
        <v>9.26</v>
      </c>
      <c r="H881" s="218">
        <v>7.1</v>
      </c>
      <c r="I881" s="219">
        <v>10</v>
      </c>
      <c r="J881" s="220">
        <f t="shared" si="435"/>
        <v>0.65745999999999993</v>
      </c>
      <c r="K881" s="118"/>
      <c r="L881" s="111">
        <v>10</v>
      </c>
      <c r="M881" s="117">
        <f t="shared" si="436"/>
        <v>0.65746000000000004</v>
      </c>
      <c r="N881" s="119">
        <f t="shared" si="437"/>
        <v>0</v>
      </c>
      <c r="O881" s="120">
        <f t="shared" si="438"/>
        <v>0</v>
      </c>
      <c r="P881" s="111"/>
      <c r="Q881" s="111"/>
      <c r="R881" s="111"/>
    </row>
    <row r="882" spans="1:18" s="213" customFormat="1" ht="15.6">
      <c r="A882" s="110" t="s">
        <v>616</v>
      </c>
      <c r="B882" s="111" t="s">
        <v>505</v>
      </c>
      <c r="C882" s="112" t="s">
        <v>449</v>
      </c>
      <c r="D882" s="113" t="s">
        <v>17</v>
      </c>
      <c r="E882" s="216" t="s">
        <v>15</v>
      </c>
      <c r="F882" s="216" t="s">
        <v>30</v>
      </c>
      <c r="G882" s="217">
        <v>9.26</v>
      </c>
      <c r="H882" s="218">
        <v>6.25</v>
      </c>
      <c r="I882" s="219">
        <v>6</v>
      </c>
      <c r="J882" s="220">
        <f t="shared" si="435"/>
        <v>0.34725</v>
      </c>
      <c r="K882" s="118"/>
      <c r="L882" s="111">
        <v>5</v>
      </c>
      <c r="M882" s="117">
        <f t="shared" si="436"/>
        <v>0.28937499999999999</v>
      </c>
      <c r="N882" s="119">
        <f t="shared" si="437"/>
        <v>1</v>
      </c>
      <c r="O882" s="120">
        <f t="shared" si="438"/>
        <v>5.7875000000000003E-2</v>
      </c>
      <c r="P882" s="111"/>
      <c r="Q882" s="111"/>
      <c r="R882" s="111"/>
    </row>
    <row r="883" spans="1:18" s="213" customFormat="1" ht="15.6">
      <c r="A883" s="110" t="s">
        <v>616</v>
      </c>
      <c r="B883" s="111" t="s">
        <v>505</v>
      </c>
      <c r="C883" s="112" t="s">
        <v>449</v>
      </c>
      <c r="D883" s="113" t="s">
        <v>17</v>
      </c>
      <c r="E883" s="216" t="s">
        <v>15</v>
      </c>
      <c r="F883" s="216" t="s">
        <v>30</v>
      </c>
      <c r="G883" s="217">
        <v>9.26</v>
      </c>
      <c r="H883" s="218">
        <v>8.6</v>
      </c>
      <c r="I883" s="219">
        <v>2</v>
      </c>
      <c r="J883" s="220">
        <f t="shared" si="435"/>
        <v>0.159272</v>
      </c>
      <c r="K883" s="118"/>
      <c r="L883" s="111"/>
      <c r="M883" s="117">
        <f t="shared" si="436"/>
        <v>0</v>
      </c>
      <c r="N883" s="119">
        <f t="shared" si="437"/>
        <v>2</v>
      </c>
      <c r="O883" s="120">
        <f t="shared" si="438"/>
        <v>0.159272</v>
      </c>
      <c r="P883" s="111"/>
      <c r="Q883" s="111"/>
      <c r="R883" s="111"/>
    </row>
    <row r="884" spans="1:18" s="213" customFormat="1" ht="15.6">
      <c r="A884" s="110" t="s">
        <v>616</v>
      </c>
      <c r="B884" s="111" t="s">
        <v>505</v>
      </c>
      <c r="C884" s="112" t="s">
        <v>449</v>
      </c>
      <c r="D884" s="113" t="s">
        <v>17</v>
      </c>
      <c r="E884" s="216" t="s">
        <v>15</v>
      </c>
      <c r="F884" s="216" t="s">
        <v>30</v>
      </c>
      <c r="G884" s="217">
        <v>9.26</v>
      </c>
      <c r="H884" s="218">
        <v>9</v>
      </c>
      <c r="I884" s="219">
        <v>4</v>
      </c>
      <c r="J884" s="220">
        <f t="shared" si="435"/>
        <v>0.33335999999999999</v>
      </c>
      <c r="K884" s="118"/>
      <c r="L884" s="111"/>
      <c r="M884" s="117">
        <f t="shared" si="436"/>
        <v>0</v>
      </c>
      <c r="N884" s="119">
        <f t="shared" si="437"/>
        <v>4</v>
      </c>
      <c r="O884" s="120">
        <f t="shared" si="438"/>
        <v>0.33335999999999999</v>
      </c>
      <c r="P884" s="111"/>
      <c r="Q884" s="111"/>
      <c r="R884" s="111"/>
    </row>
    <row r="885" spans="1:18" s="213" customFormat="1" ht="15.6">
      <c r="A885" s="110" t="s">
        <v>616</v>
      </c>
      <c r="B885" s="111" t="s">
        <v>505</v>
      </c>
      <c r="C885" s="112" t="s">
        <v>449</v>
      </c>
      <c r="D885" s="113" t="s">
        <v>17</v>
      </c>
      <c r="E885" s="216" t="s">
        <v>15</v>
      </c>
      <c r="F885" s="216" t="s">
        <v>30</v>
      </c>
      <c r="G885" s="217">
        <v>9.26</v>
      </c>
      <c r="H885" s="218">
        <v>9.1999999999999993</v>
      </c>
      <c r="I885" s="219">
        <v>3</v>
      </c>
      <c r="J885" s="220">
        <f t="shared" si="435"/>
        <v>0.25557599999999997</v>
      </c>
      <c r="K885" s="118"/>
      <c r="L885" s="111"/>
      <c r="M885" s="117">
        <f t="shared" si="436"/>
        <v>0</v>
      </c>
      <c r="N885" s="119">
        <f t="shared" si="437"/>
        <v>3</v>
      </c>
      <c r="O885" s="120">
        <f t="shared" si="438"/>
        <v>0.25557599999999997</v>
      </c>
      <c r="P885" s="111"/>
      <c r="Q885" s="111"/>
      <c r="R885" s="111"/>
    </row>
    <row r="886" spans="1:18" s="213" customFormat="1" ht="15.6">
      <c r="A886" s="110" t="s">
        <v>616</v>
      </c>
      <c r="B886" s="111" t="s">
        <v>505</v>
      </c>
      <c r="C886" s="112" t="s">
        <v>449</v>
      </c>
      <c r="D886" s="113" t="s">
        <v>17</v>
      </c>
      <c r="E886" s="216" t="s">
        <v>15</v>
      </c>
      <c r="F886" s="216" t="s">
        <v>30</v>
      </c>
      <c r="G886" s="217">
        <v>9.26</v>
      </c>
      <c r="H886" s="218">
        <v>11</v>
      </c>
      <c r="I886" s="219">
        <v>1</v>
      </c>
      <c r="J886" s="220">
        <f t="shared" si="435"/>
        <v>0.10186000000000001</v>
      </c>
      <c r="K886" s="118"/>
      <c r="L886" s="111">
        <v>1</v>
      </c>
      <c r="M886" s="117">
        <f t="shared" si="436"/>
        <v>0.10186000000000001</v>
      </c>
      <c r="N886" s="119">
        <f t="shared" si="437"/>
        <v>0</v>
      </c>
      <c r="O886" s="120">
        <f t="shared" si="438"/>
        <v>0</v>
      </c>
      <c r="P886" s="111"/>
      <c r="Q886" s="111"/>
      <c r="R886" s="111"/>
    </row>
    <row r="887" spans="1:18" s="213" customFormat="1" ht="15.6">
      <c r="A887" s="110" t="s">
        <v>616</v>
      </c>
      <c r="B887" s="111" t="s">
        <v>505</v>
      </c>
      <c r="C887" s="112" t="s">
        <v>449</v>
      </c>
      <c r="D887" s="113" t="s">
        <v>17</v>
      </c>
      <c r="E887" s="216" t="s">
        <v>15</v>
      </c>
      <c r="F887" s="216" t="s">
        <v>30</v>
      </c>
      <c r="G887" s="217">
        <v>9.26</v>
      </c>
      <c r="H887" s="218">
        <v>11.3</v>
      </c>
      <c r="I887" s="219">
        <v>2</v>
      </c>
      <c r="J887" s="220">
        <f t="shared" si="435"/>
        <v>0.20927600000000002</v>
      </c>
      <c r="K887" s="118"/>
      <c r="L887" s="111">
        <v>2</v>
      </c>
      <c r="M887" s="117">
        <f t="shared" si="436"/>
        <v>0.20927600000000002</v>
      </c>
      <c r="N887" s="119">
        <f t="shared" si="437"/>
        <v>0</v>
      </c>
      <c r="O887" s="120">
        <f t="shared" si="438"/>
        <v>0</v>
      </c>
      <c r="P887" s="111"/>
      <c r="Q887" s="111"/>
      <c r="R887" s="111"/>
    </row>
    <row r="888" spans="1:18" s="213" customFormat="1" ht="15.6">
      <c r="A888" s="110" t="s">
        <v>616</v>
      </c>
      <c r="B888" s="111" t="s">
        <v>505</v>
      </c>
      <c r="C888" s="112" t="s">
        <v>449</v>
      </c>
      <c r="D888" s="113" t="s">
        <v>17</v>
      </c>
      <c r="E888" s="216" t="s">
        <v>15</v>
      </c>
      <c r="F888" s="216" t="s">
        <v>30</v>
      </c>
      <c r="G888" s="217">
        <v>9.26</v>
      </c>
      <c r="H888" s="218">
        <v>11.5</v>
      </c>
      <c r="I888" s="219">
        <v>2</v>
      </c>
      <c r="J888" s="220">
        <f t="shared" si="435"/>
        <v>0.21298</v>
      </c>
      <c r="K888" s="118"/>
      <c r="L888" s="111">
        <v>2</v>
      </c>
      <c r="M888" s="117">
        <f t="shared" si="436"/>
        <v>0.21298</v>
      </c>
      <c r="N888" s="119">
        <f t="shared" si="437"/>
        <v>0</v>
      </c>
      <c r="O888" s="120">
        <f t="shared" si="438"/>
        <v>0</v>
      </c>
      <c r="P888" s="111"/>
      <c r="Q888" s="111"/>
      <c r="R888" s="111"/>
    </row>
    <row r="889" spans="1:18" s="213" customFormat="1" ht="15.6">
      <c r="A889" s="110" t="s">
        <v>616</v>
      </c>
      <c r="B889" s="111" t="s">
        <v>505</v>
      </c>
      <c r="C889" s="112" t="s">
        <v>449</v>
      </c>
      <c r="D889" s="113" t="s">
        <v>17</v>
      </c>
      <c r="E889" s="216" t="s">
        <v>15</v>
      </c>
      <c r="F889" s="216" t="s">
        <v>30</v>
      </c>
      <c r="G889" s="217">
        <v>9.26</v>
      </c>
      <c r="H889" s="218">
        <v>12</v>
      </c>
      <c r="I889" s="219">
        <v>1</v>
      </c>
      <c r="J889" s="220">
        <f t="shared" si="435"/>
        <v>0.11112000000000001</v>
      </c>
      <c r="K889" s="118"/>
      <c r="L889" s="111">
        <v>1</v>
      </c>
      <c r="M889" s="117">
        <f t="shared" si="436"/>
        <v>0.11112000000000001</v>
      </c>
      <c r="N889" s="119">
        <f t="shared" si="437"/>
        <v>0</v>
      </c>
      <c r="O889" s="120">
        <f t="shared" si="438"/>
        <v>0</v>
      </c>
      <c r="P889" s="111">
        <v>11.5</v>
      </c>
      <c r="Q889" s="111">
        <v>1</v>
      </c>
      <c r="R889" s="111"/>
    </row>
    <row r="890" spans="1:18" s="213" customFormat="1">
      <c r="A890" s="32"/>
      <c r="B890" s="32"/>
      <c r="C890" s="32"/>
      <c r="D890" s="32"/>
      <c r="E890" s="32"/>
      <c r="F890" s="32"/>
      <c r="G890" s="32"/>
      <c r="H890" s="32"/>
      <c r="I890" s="129">
        <f>SUM(I795:I889)</f>
        <v>2180</v>
      </c>
      <c r="J890" s="124">
        <f>SUM(J795:J889)</f>
        <v>211.02428799999996</v>
      </c>
      <c r="K890" s="32"/>
      <c r="L890" s="129">
        <f>SUM(L795:L889)</f>
        <v>2191</v>
      </c>
      <c r="M890" s="124">
        <f>SUM(M795:M889)</f>
        <v>212.50264699999994</v>
      </c>
      <c r="N890" s="129">
        <f>SUM(N795:N889)</f>
        <v>-11</v>
      </c>
      <c r="O890" s="124">
        <f>SUM(O795:O889)</f>
        <v>-1.4783589999999998</v>
      </c>
      <c r="P890" s="32"/>
      <c r="Q890" s="32"/>
      <c r="R890" s="32"/>
    </row>
  </sheetData>
  <sortState ref="A603:R634">
    <sortCondition ref="H603:H634"/>
  </sortState>
  <pageMargins left="0.24" right="0.22" top="0.33" bottom="0.75" header="0.3" footer="0.3"/>
  <pageSetup paperSize="9" scale="7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W666"/>
  <sheetViews>
    <sheetView workbookViewId="0">
      <selection activeCell="O11" sqref="O11"/>
    </sheetView>
  </sheetViews>
  <sheetFormatPr defaultRowHeight="14.4"/>
  <cols>
    <col min="3" max="3" width="10.5546875" bestFit="1" customWidth="1"/>
    <col min="4" max="4" width="8.44140625" style="213" bestFit="1" customWidth="1"/>
    <col min="5" max="5" width="12.109375" bestFit="1" customWidth="1"/>
    <col min="6" max="6" width="4.109375" bestFit="1" customWidth="1"/>
    <col min="7" max="7" width="12.109375" bestFit="1" customWidth="1"/>
    <col min="8" max="8" width="8.6640625" bestFit="1" customWidth="1"/>
    <col min="12" max="12" width="13.88671875" customWidth="1"/>
    <col min="15" max="15" width="8.109375" customWidth="1"/>
    <col min="16" max="16" width="6.33203125" bestFit="1" customWidth="1"/>
    <col min="17" max="17" width="12.88671875" bestFit="1" customWidth="1"/>
    <col min="19" max="19" width="15.33203125" customWidth="1"/>
    <col min="20" max="20" width="7.6640625" customWidth="1"/>
  </cols>
  <sheetData>
    <row r="2" spans="1:23" s="213" customFormat="1">
      <c r="I2" s="572" t="s">
        <v>806</v>
      </c>
      <c r="J2" s="572"/>
      <c r="K2" s="572"/>
      <c r="M2" s="572" t="s">
        <v>807</v>
      </c>
      <c r="N2" s="572"/>
      <c r="O2" s="573" t="s">
        <v>808</v>
      </c>
      <c r="P2" s="574"/>
    </row>
    <row r="3" spans="1:23" ht="26.4">
      <c r="A3" s="121" t="s">
        <v>229</v>
      </c>
      <c r="B3" s="122" t="s">
        <v>230</v>
      </c>
      <c r="C3" s="122" t="s">
        <v>0</v>
      </c>
      <c r="D3" s="122" t="s">
        <v>809</v>
      </c>
      <c r="E3" s="122" t="s">
        <v>1</v>
      </c>
      <c r="F3" s="122" t="s">
        <v>2</v>
      </c>
      <c r="G3" s="122" t="s">
        <v>3</v>
      </c>
      <c r="H3" s="569" t="s">
        <v>10</v>
      </c>
      <c r="I3" s="122" t="s">
        <v>4</v>
      </c>
      <c r="J3" s="122" t="s">
        <v>5</v>
      </c>
      <c r="K3" s="122" t="s">
        <v>810</v>
      </c>
      <c r="L3" s="571" t="s">
        <v>7</v>
      </c>
      <c r="M3" s="122" t="s">
        <v>5</v>
      </c>
      <c r="N3" s="122" t="s">
        <v>810</v>
      </c>
      <c r="O3" s="570" t="s">
        <v>5</v>
      </c>
      <c r="P3" s="122" t="s">
        <v>810</v>
      </c>
      <c r="Q3" s="122" t="s">
        <v>8</v>
      </c>
      <c r="R3" s="122" t="s">
        <v>9</v>
      </c>
      <c r="S3" s="122" t="s">
        <v>7</v>
      </c>
    </row>
    <row r="4" spans="1:23">
      <c r="A4" s="110" t="s">
        <v>280</v>
      </c>
      <c r="B4" s="111" t="s">
        <v>232</v>
      </c>
      <c r="C4" s="112" t="s">
        <v>228</v>
      </c>
      <c r="D4" s="112"/>
      <c r="E4" s="113" t="s">
        <v>19</v>
      </c>
      <c r="F4" s="175" t="s">
        <v>14</v>
      </c>
      <c r="G4" s="175" t="s">
        <v>41</v>
      </c>
      <c r="H4" s="176">
        <v>11.8</v>
      </c>
      <c r="I4" s="177">
        <v>6.75</v>
      </c>
      <c r="J4" s="178">
        <f>25+23</f>
        <v>48</v>
      </c>
      <c r="K4" s="174">
        <f>(H4*I4*J4/1000)</f>
        <v>3.8232000000000004</v>
      </c>
      <c r="L4" s="118"/>
      <c r="M4" s="111">
        <v>48</v>
      </c>
      <c r="N4" s="117">
        <f t="shared" ref="N4" si="0">I4*M4*H4/1000</f>
        <v>3.8232000000000004</v>
      </c>
      <c r="O4" s="119">
        <f t="shared" ref="O4" si="1">J4-M4</f>
        <v>0</v>
      </c>
      <c r="P4" s="120">
        <f t="shared" ref="P4" si="2">I4*O4*H4/1000</f>
        <v>0</v>
      </c>
      <c r="Q4" s="111"/>
      <c r="R4" s="111"/>
      <c r="S4" s="111"/>
    </row>
    <row r="5" spans="1:23">
      <c r="A5" s="110" t="s">
        <v>280</v>
      </c>
      <c r="B5" s="111" t="s">
        <v>232</v>
      </c>
      <c r="C5" s="112" t="s">
        <v>228</v>
      </c>
      <c r="D5" s="112"/>
      <c r="E5" s="113" t="s">
        <v>19</v>
      </c>
      <c r="F5" s="175" t="s">
        <v>14</v>
      </c>
      <c r="G5" s="175" t="s">
        <v>41</v>
      </c>
      <c r="H5" s="176">
        <v>11.8</v>
      </c>
      <c r="I5" s="177">
        <v>8.25</v>
      </c>
      <c r="J5" s="178">
        <f>25+25+25+25+5+30+30+15</f>
        <v>180</v>
      </c>
      <c r="K5" s="174">
        <f t="shared" ref="K5:K21" si="3">(H5*I5*J5/1000)</f>
        <v>17.523</v>
      </c>
      <c r="L5" s="118"/>
      <c r="M5" s="111">
        <f>180+10</f>
        <v>190</v>
      </c>
      <c r="N5" s="117">
        <f t="shared" ref="N5:N21" si="4">I5*M5*H5/1000</f>
        <v>18.496500000000001</v>
      </c>
      <c r="O5" s="228">
        <f t="shared" ref="O5:O21" si="5">J5-M5</f>
        <v>-10</v>
      </c>
      <c r="P5" s="229">
        <f t="shared" ref="P5:P21" si="6">I5*O5*H5/1000</f>
        <v>-0.97350000000000014</v>
      </c>
      <c r="Q5" s="44" t="s">
        <v>281</v>
      </c>
      <c r="R5" s="111" t="s">
        <v>338</v>
      </c>
      <c r="S5" s="111"/>
    </row>
    <row r="6" spans="1:23">
      <c r="A6" s="110" t="s">
        <v>280</v>
      </c>
      <c r="B6" s="111" t="s">
        <v>232</v>
      </c>
      <c r="C6" s="112" t="s">
        <v>228</v>
      </c>
      <c r="D6" s="112"/>
      <c r="E6" s="113" t="s">
        <v>19</v>
      </c>
      <c r="F6" s="175" t="s">
        <v>14</v>
      </c>
      <c r="G6" s="175" t="s">
        <v>41</v>
      </c>
      <c r="H6" s="176">
        <v>11.8</v>
      </c>
      <c r="I6" s="177">
        <v>10</v>
      </c>
      <c r="J6" s="178">
        <f>1+1</f>
        <v>2</v>
      </c>
      <c r="K6" s="174">
        <f t="shared" si="3"/>
        <v>0.23599999999999999</v>
      </c>
      <c r="L6" s="118"/>
      <c r="M6" s="111">
        <v>2</v>
      </c>
      <c r="N6" s="117">
        <f t="shared" si="4"/>
        <v>0.23599999999999999</v>
      </c>
      <c r="O6" s="119">
        <f t="shared" si="5"/>
        <v>0</v>
      </c>
      <c r="P6" s="120">
        <f t="shared" si="6"/>
        <v>0</v>
      </c>
      <c r="Q6" s="111"/>
      <c r="R6" s="111"/>
      <c r="S6" s="111"/>
    </row>
    <row r="7" spans="1:23">
      <c r="A7" s="110" t="s">
        <v>280</v>
      </c>
      <c r="B7" s="111" t="s">
        <v>232</v>
      </c>
      <c r="C7" s="112" t="s">
        <v>228</v>
      </c>
      <c r="D7" s="112"/>
      <c r="E7" s="113" t="s">
        <v>19</v>
      </c>
      <c r="F7" s="175" t="s">
        <v>14</v>
      </c>
      <c r="G7" s="175" t="s">
        <v>41</v>
      </c>
      <c r="H7" s="176">
        <v>11.8</v>
      </c>
      <c r="I7" s="177">
        <v>12</v>
      </c>
      <c r="J7" s="178">
        <f>23+23+23+23+23+23+23+23+23+23+23+23+23+23+23+24+23+20+21+3+20+22+20+21+22+22+15+22+22+21+22+22+21+22+22+21+21+21+3</f>
        <v>818</v>
      </c>
      <c r="K7" s="174">
        <f t="shared" si="3"/>
        <v>115.82880000000002</v>
      </c>
      <c r="L7" s="118"/>
      <c r="M7" s="111">
        <f>818+34</f>
        <v>852</v>
      </c>
      <c r="N7" s="117">
        <f t="shared" si="4"/>
        <v>120.64320000000001</v>
      </c>
      <c r="O7" s="228">
        <f t="shared" si="5"/>
        <v>-34</v>
      </c>
      <c r="P7" s="229">
        <f t="shared" si="6"/>
        <v>-4.8144000000000009</v>
      </c>
      <c r="Q7" s="44" t="s">
        <v>281</v>
      </c>
      <c r="R7" s="111" t="s">
        <v>338</v>
      </c>
      <c r="S7" s="111"/>
    </row>
    <row r="8" spans="1:23">
      <c r="A8" s="110" t="s">
        <v>280</v>
      </c>
      <c r="B8" s="111" t="s">
        <v>232</v>
      </c>
      <c r="C8" s="112" t="s">
        <v>228</v>
      </c>
      <c r="D8" s="112"/>
      <c r="E8" s="113" t="s">
        <v>19</v>
      </c>
      <c r="F8" s="175" t="s">
        <v>14</v>
      </c>
      <c r="G8" s="175" t="s">
        <v>41</v>
      </c>
      <c r="H8" s="176">
        <v>11.8</v>
      </c>
      <c r="I8" s="177">
        <v>11.7</v>
      </c>
      <c r="J8" s="178">
        <v>1</v>
      </c>
      <c r="K8" s="174">
        <f t="shared" si="3"/>
        <v>0.13806000000000002</v>
      </c>
      <c r="L8" s="118"/>
      <c r="M8" s="111">
        <v>1</v>
      </c>
      <c r="N8" s="117">
        <f t="shared" si="4"/>
        <v>0.13806000000000002</v>
      </c>
      <c r="O8" s="119">
        <f t="shared" si="5"/>
        <v>0</v>
      </c>
      <c r="P8" s="120">
        <f t="shared" si="6"/>
        <v>0</v>
      </c>
      <c r="Q8" s="111"/>
      <c r="R8" s="111"/>
      <c r="S8" s="250">
        <v>11.7</v>
      </c>
      <c r="T8" s="251">
        <v>1</v>
      </c>
    </row>
    <row r="9" spans="1:23">
      <c r="A9" s="110" t="s">
        <v>280</v>
      </c>
      <c r="B9" s="111" t="s">
        <v>232</v>
      </c>
      <c r="C9" s="112" t="s">
        <v>228</v>
      </c>
      <c r="D9" s="112"/>
      <c r="E9" s="113" t="s">
        <v>19</v>
      </c>
      <c r="F9" s="175" t="s">
        <v>14</v>
      </c>
      <c r="G9" s="175" t="s">
        <v>41</v>
      </c>
      <c r="H9" s="176">
        <v>11.8</v>
      </c>
      <c r="I9" s="177">
        <v>11.8</v>
      </c>
      <c r="J9" s="178">
        <v>20</v>
      </c>
      <c r="K9" s="174">
        <f t="shared" si="3"/>
        <v>2.7848000000000002</v>
      </c>
      <c r="L9" s="118"/>
      <c r="M9" s="111">
        <v>18</v>
      </c>
      <c r="N9" s="117">
        <f t="shared" si="4"/>
        <v>2.5063200000000001</v>
      </c>
      <c r="O9" s="119">
        <f t="shared" si="5"/>
        <v>2</v>
      </c>
      <c r="P9" s="120">
        <f t="shared" si="6"/>
        <v>0.27848000000000001</v>
      </c>
      <c r="Q9" s="111"/>
      <c r="R9" s="111"/>
      <c r="S9" s="250">
        <v>6.7</v>
      </c>
      <c r="T9" s="251">
        <v>20</v>
      </c>
      <c r="U9" s="182">
        <f>I9-S9</f>
        <v>5.1000000000000005</v>
      </c>
      <c r="V9">
        <v>20</v>
      </c>
      <c r="W9" s="182">
        <f>U9*V9*H9/1000</f>
        <v>1.2036000000000002</v>
      </c>
    </row>
    <row r="10" spans="1:23">
      <c r="A10" s="110" t="s">
        <v>280</v>
      </c>
      <c r="B10" s="111" t="s">
        <v>232</v>
      </c>
      <c r="C10" s="112" t="s">
        <v>228</v>
      </c>
      <c r="D10" s="112"/>
      <c r="E10" s="113" t="s">
        <v>19</v>
      </c>
      <c r="F10" s="175" t="s">
        <v>14</v>
      </c>
      <c r="G10" s="175" t="s">
        <v>41</v>
      </c>
      <c r="H10" s="176">
        <v>11.8</v>
      </c>
      <c r="I10" s="177">
        <v>11.4</v>
      </c>
      <c r="J10" s="178">
        <v>17</v>
      </c>
      <c r="K10" s="174">
        <f t="shared" si="3"/>
        <v>2.2868400000000002</v>
      </c>
      <c r="L10" s="118"/>
      <c r="M10" s="111">
        <v>17</v>
      </c>
      <c r="N10" s="117">
        <f t="shared" si="4"/>
        <v>2.2868400000000002</v>
      </c>
      <c r="O10" s="119">
        <f t="shared" si="5"/>
        <v>0</v>
      </c>
      <c r="P10" s="120">
        <f t="shared" si="6"/>
        <v>0</v>
      </c>
      <c r="Q10" s="111">
        <v>10</v>
      </c>
      <c r="R10" s="111">
        <v>11</v>
      </c>
      <c r="S10" s="130"/>
    </row>
    <row r="11" spans="1:23">
      <c r="A11" s="110" t="s">
        <v>280</v>
      </c>
      <c r="B11" s="111" t="s">
        <v>232</v>
      </c>
      <c r="C11" s="112" t="s">
        <v>228</v>
      </c>
      <c r="D11" s="112"/>
      <c r="E11" s="113" t="s">
        <v>19</v>
      </c>
      <c r="F11" s="175" t="s">
        <v>14</v>
      </c>
      <c r="G11" s="175" t="s">
        <v>41</v>
      </c>
      <c r="H11" s="176">
        <v>11.8</v>
      </c>
      <c r="I11" s="177">
        <v>11</v>
      </c>
      <c r="J11" s="178">
        <v>1</v>
      </c>
      <c r="K11" s="174">
        <f t="shared" ref="K11" si="7">(H11*I11*J11/1000)</f>
        <v>0.1298</v>
      </c>
      <c r="L11" s="118"/>
      <c r="M11" s="111">
        <v>1</v>
      </c>
      <c r="N11" s="117">
        <f t="shared" ref="N11" si="8">I11*M11*H11/1000</f>
        <v>0.1298</v>
      </c>
      <c r="O11" s="119">
        <f t="shared" ref="O11" si="9">J11-M11</f>
        <v>0</v>
      </c>
      <c r="P11" s="120">
        <f t="shared" ref="P11" si="10">I11*O11*H11/1000</f>
        <v>0</v>
      </c>
      <c r="Q11" s="111"/>
      <c r="R11" s="111"/>
      <c r="S11" s="130"/>
    </row>
    <row r="12" spans="1:23">
      <c r="A12" s="110" t="s">
        <v>280</v>
      </c>
      <c r="B12" s="111" t="s">
        <v>232</v>
      </c>
      <c r="C12" s="112" t="s">
        <v>228</v>
      </c>
      <c r="D12" s="112"/>
      <c r="E12" s="113" t="s">
        <v>19</v>
      </c>
      <c r="F12" s="175" t="s">
        <v>14</v>
      </c>
      <c r="G12" s="175" t="s">
        <v>41</v>
      </c>
      <c r="H12" s="176">
        <v>11.8</v>
      </c>
      <c r="I12" s="177">
        <v>12</v>
      </c>
      <c r="J12" s="178">
        <v>4</v>
      </c>
      <c r="K12" s="174">
        <f t="shared" si="3"/>
        <v>0.56640000000000013</v>
      </c>
      <c r="L12" s="118" t="s">
        <v>252</v>
      </c>
      <c r="M12" s="111">
        <v>4</v>
      </c>
      <c r="N12" s="117">
        <f t="shared" si="4"/>
        <v>0.56640000000000013</v>
      </c>
      <c r="O12" s="119">
        <f t="shared" si="5"/>
        <v>0</v>
      </c>
      <c r="P12" s="120">
        <f t="shared" si="6"/>
        <v>0</v>
      </c>
      <c r="Q12" s="111"/>
      <c r="R12" s="111"/>
      <c r="S12" s="130"/>
    </row>
    <row r="13" spans="1:23">
      <c r="A13" s="110" t="s">
        <v>280</v>
      </c>
      <c r="B13" s="111" t="s">
        <v>232</v>
      </c>
      <c r="C13" s="112" t="s">
        <v>228</v>
      </c>
      <c r="D13" s="112"/>
      <c r="E13" s="113" t="s">
        <v>19</v>
      </c>
      <c r="F13" s="175" t="s">
        <v>14</v>
      </c>
      <c r="G13" s="175" t="s">
        <v>41</v>
      </c>
      <c r="H13" s="176">
        <v>11.8</v>
      </c>
      <c r="I13" s="177">
        <v>11.7</v>
      </c>
      <c r="J13" s="178">
        <v>2</v>
      </c>
      <c r="K13" s="174">
        <f t="shared" si="3"/>
        <v>0.27612000000000003</v>
      </c>
      <c r="L13" s="118" t="s">
        <v>252</v>
      </c>
      <c r="M13" s="111">
        <v>2</v>
      </c>
      <c r="N13" s="117">
        <f t="shared" si="4"/>
        <v>0.27612000000000003</v>
      </c>
      <c r="O13" s="119">
        <f t="shared" si="5"/>
        <v>0</v>
      </c>
      <c r="P13" s="120">
        <f t="shared" si="6"/>
        <v>0</v>
      </c>
      <c r="Q13" s="111"/>
      <c r="R13" s="111"/>
      <c r="S13" s="250">
        <v>11.7</v>
      </c>
      <c r="T13" s="251">
        <v>2</v>
      </c>
    </row>
    <row r="14" spans="1:23">
      <c r="A14" s="110" t="s">
        <v>280</v>
      </c>
      <c r="B14" s="111" t="s">
        <v>232</v>
      </c>
      <c r="C14" s="112" t="s">
        <v>228</v>
      </c>
      <c r="D14" s="112"/>
      <c r="E14" s="113" t="s">
        <v>19</v>
      </c>
      <c r="F14" s="175" t="s">
        <v>14</v>
      </c>
      <c r="G14" s="175" t="s">
        <v>41</v>
      </c>
      <c r="H14" s="176">
        <v>11.8</v>
      </c>
      <c r="I14" s="177">
        <v>11.8</v>
      </c>
      <c r="J14" s="178">
        <v>2</v>
      </c>
      <c r="K14" s="174">
        <f t="shared" si="3"/>
        <v>0.27848000000000001</v>
      </c>
      <c r="L14" s="118" t="s">
        <v>252</v>
      </c>
      <c r="M14" s="111">
        <v>2</v>
      </c>
      <c r="N14" s="117">
        <f t="shared" si="4"/>
        <v>0.27848000000000001</v>
      </c>
      <c r="O14" s="119">
        <f t="shared" si="5"/>
        <v>0</v>
      </c>
      <c r="P14" s="120">
        <f t="shared" si="6"/>
        <v>0</v>
      </c>
      <c r="Q14" s="111"/>
      <c r="R14" s="111"/>
      <c r="S14" s="250">
        <v>6.7</v>
      </c>
      <c r="T14" s="251">
        <v>2</v>
      </c>
      <c r="U14" s="182">
        <f>I14-S14</f>
        <v>5.1000000000000005</v>
      </c>
      <c r="V14">
        <v>2</v>
      </c>
      <c r="W14" s="182">
        <f>U14*V14*H14/1000</f>
        <v>0.12036000000000001</v>
      </c>
    </row>
    <row r="15" spans="1:23">
      <c r="A15" s="110" t="s">
        <v>280</v>
      </c>
      <c r="B15" s="111" t="s">
        <v>232</v>
      </c>
      <c r="C15" s="112" t="s">
        <v>228</v>
      </c>
      <c r="D15" s="112"/>
      <c r="E15" s="113" t="s">
        <v>19</v>
      </c>
      <c r="F15" s="175" t="s">
        <v>14</v>
      </c>
      <c r="G15" s="175" t="s">
        <v>41</v>
      </c>
      <c r="H15" s="176">
        <v>11.8</v>
      </c>
      <c r="I15" s="177">
        <v>6.5</v>
      </c>
      <c r="J15" s="178">
        <v>1</v>
      </c>
      <c r="K15" s="174">
        <f t="shared" si="3"/>
        <v>7.6700000000000004E-2</v>
      </c>
      <c r="L15" s="118"/>
      <c r="M15" s="111"/>
      <c r="N15" s="117">
        <f t="shared" si="4"/>
        <v>0</v>
      </c>
      <c r="O15" s="119">
        <f t="shared" si="5"/>
        <v>1</v>
      </c>
      <c r="P15" s="120">
        <f t="shared" si="6"/>
        <v>7.6700000000000004E-2</v>
      </c>
      <c r="Q15" s="111"/>
      <c r="R15" s="111"/>
      <c r="S15" s="130"/>
    </row>
    <row r="16" spans="1:23">
      <c r="A16" s="110" t="s">
        <v>280</v>
      </c>
      <c r="B16" s="111" t="s">
        <v>232</v>
      </c>
      <c r="C16" s="112" t="s">
        <v>228</v>
      </c>
      <c r="D16" s="112"/>
      <c r="E16" s="113" t="s">
        <v>19</v>
      </c>
      <c r="F16" s="175" t="s">
        <v>14</v>
      </c>
      <c r="G16" s="175" t="s">
        <v>41</v>
      </c>
      <c r="H16" s="176">
        <v>11.8</v>
      </c>
      <c r="I16" s="177">
        <v>9</v>
      </c>
      <c r="J16" s="178">
        <v>4</v>
      </c>
      <c r="K16" s="174">
        <f t="shared" si="3"/>
        <v>0.42480000000000001</v>
      </c>
      <c r="L16" s="118"/>
      <c r="M16" s="111">
        <v>4</v>
      </c>
      <c r="N16" s="117">
        <f t="shared" si="4"/>
        <v>0.42480000000000001</v>
      </c>
      <c r="O16" s="119">
        <f t="shared" si="5"/>
        <v>0</v>
      </c>
      <c r="P16" s="120">
        <f t="shared" si="6"/>
        <v>0</v>
      </c>
      <c r="Q16" s="111">
        <v>8.25</v>
      </c>
      <c r="R16" s="111">
        <v>4</v>
      </c>
      <c r="S16" s="130"/>
    </row>
    <row r="17" spans="1:23">
      <c r="A17" s="110" t="s">
        <v>280</v>
      </c>
      <c r="B17" s="111" t="s">
        <v>232</v>
      </c>
      <c r="C17" s="112" t="s">
        <v>228</v>
      </c>
      <c r="D17" s="112"/>
      <c r="E17" s="113" t="s">
        <v>19</v>
      </c>
      <c r="F17" s="175" t="s">
        <v>14</v>
      </c>
      <c r="G17" s="175" t="s">
        <v>41</v>
      </c>
      <c r="H17" s="176">
        <v>11.8</v>
      </c>
      <c r="I17" s="177">
        <v>11.4</v>
      </c>
      <c r="J17" s="178">
        <v>1</v>
      </c>
      <c r="K17" s="174">
        <f t="shared" si="3"/>
        <v>0.13452</v>
      </c>
      <c r="L17" s="118"/>
      <c r="M17" s="111">
        <v>1</v>
      </c>
      <c r="N17" s="117">
        <f t="shared" si="4"/>
        <v>0.13452</v>
      </c>
      <c r="O17" s="119">
        <f t="shared" si="5"/>
        <v>0</v>
      </c>
      <c r="P17" s="120">
        <f t="shared" si="6"/>
        <v>0</v>
      </c>
      <c r="Q17" s="111"/>
      <c r="R17" s="111"/>
      <c r="S17" s="130"/>
    </row>
    <row r="18" spans="1:23">
      <c r="A18" s="110" t="s">
        <v>280</v>
      </c>
      <c r="B18" s="111" t="s">
        <v>232</v>
      </c>
      <c r="C18" s="112" t="s">
        <v>228</v>
      </c>
      <c r="D18" s="112"/>
      <c r="E18" s="113" t="s">
        <v>19</v>
      </c>
      <c r="F18" s="175" t="s">
        <v>14</v>
      </c>
      <c r="G18" s="175" t="s">
        <v>41</v>
      </c>
      <c r="H18" s="176">
        <v>11.8</v>
      </c>
      <c r="I18" s="177">
        <v>11.7</v>
      </c>
      <c r="J18" s="178">
        <v>7</v>
      </c>
      <c r="K18" s="174">
        <f t="shared" si="3"/>
        <v>0.96642000000000006</v>
      </c>
      <c r="L18" s="118"/>
      <c r="M18" s="111">
        <v>7</v>
      </c>
      <c r="N18" s="117">
        <f t="shared" si="4"/>
        <v>0.96641999999999995</v>
      </c>
      <c r="O18" s="119">
        <f t="shared" si="5"/>
        <v>0</v>
      </c>
      <c r="P18" s="120">
        <f t="shared" si="6"/>
        <v>0</v>
      </c>
      <c r="Q18" s="111"/>
      <c r="R18" s="111"/>
      <c r="S18" s="250">
        <v>11.7</v>
      </c>
      <c r="T18" s="251">
        <v>7</v>
      </c>
    </row>
    <row r="19" spans="1:23">
      <c r="A19" s="110" t="s">
        <v>280</v>
      </c>
      <c r="B19" s="111" t="s">
        <v>232</v>
      </c>
      <c r="C19" s="112" t="s">
        <v>228</v>
      </c>
      <c r="D19" s="112"/>
      <c r="E19" s="113" t="s">
        <v>19</v>
      </c>
      <c r="F19" s="175" t="s">
        <v>14</v>
      </c>
      <c r="G19" s="175" t="s">
        <v>41</v>
      </c>
      <c r="H19" s="176">
        <v>11.8</v>
      </c>
      <c r="I19" s="177">
        <v>11.8</v>
      </c>
      <c r="J19" s="178">
        <v>10</v>
      </c>
      <c r="K19" s="174">
        <f t="shared" si="3"/>
        <v>1.3924000000000001</v>
      </c>
      <c r="L19" s="118" t="s">
        <v>233</v>
      </c>
      <c r="M19" s="111">
        <v>10</v>
      </c>
      <c r="N19" s="117">
        <f t="shared" si="4"/>
        <v>1.3924000000000001</v>
      </c>
      <c r="O19" s="119">
        <f t="shared" si="5"/>
        <v>0</v>
      </c>
      <c r="P19" s="120">
        <f t="shared" si="6"/>
        <v>0</v>
      </c>
      <c r="Q19" s="111"/>
      <c r="R19" s="111"/>
      <c r="S19" s="250">
        <v>8.25</v>
      </c>
      <c r="T19" s="251">
        <v>10</v>
      </c>
      <c r="U19" s="182">
        <f>I19-S19</f>
        <v>3.5500000000000007</v>
      </c>
      <c r="V19">
        <v>10</v>
      </c>
      <c r="W19" s="182">
        <f>U19*V19*H19/1000</f>
        <v>0.41890000000000011</v>
      </c>
    </row>
    <row r="20" spans="1:23">
      <c r="A20" s="110" t="s">
        <v>280</v>
      </c>
      <c r="B20" s="111" t="s">
        <v>232</v>
      </c>
      <c r="C20" s="112" t="s">
        <v>228</v>
      </c>
      <c r="D20" s="112"/>
      <c r="E20" s="113" t="s">
        <v>19</v>
      </c>
      <c r="F20" s="175" t="s">
        <v>14</v>
      </c>
      <c r="G20" s="175" t="s">
        <v>41</v>
      </c>
      <c r="H20" s="176">
        <v>11.8</v>
      </c>
      <c r="I20" s="177">
        <v>11.7</v>
      </c>
      <c r="J20" s="178">
        <v>3</v>
      </c>
      <c r="K20" s="174">
        <f t="shared" si="3"/>
        <v>0.41417999999999999</v>
      </c>
      <c r="L20" s="118" t="s">
        <v>233</v>
      </c>
      <c r="M20" s="111">
        <v>3</v>
      </c>
      <c r="N20" s="117">
        <f t="shared" si="4"/>
        <v>0.41417999999999994</v>
      </c>
      <c r="O20" s="119">
        <f t="shared" si="5"/>
        <v>0</v>
      </c>
      <c r="P20" s="120">
        <f t="shared" si="6"/>
        <v>0</v>
      </c>
      <c r="Q20" s="111"/>
      <c r="R20" s="111"/>
      <c r="S20" s="250">
        <v>11.7</v>
      </c>
      <c r="T20" s="251">
        <v>3</v>
      </c>
    </row>
    <row r="21" spans="1:23">
      <c r="A21" s="110" t="s">
        <v>280</v>
      </c>
      <c r="B21" s="111" t="s">
        <v>232</v>
      </c>
      <c r="C21" s="112" t="s">
        <v>228</v>
      </c>
      <c r="D21" s="112"/>
      <c r="E21" s="113" t="s">
        <v>19</v>
      </c>
      <c r="F21" s="175" t="s">
        <v>14</v>
      </c>
      <c r="G21" s="175" t="s">
        <v>41</v>
      </c>
      <c r="H21" s="176">
        <v>11.8</v>
      </c>
      <c r="I21" s="177">
        <v>11.5</v>
      </c>
      <c r="J21" s="178">
        <v>6</v>
      </c>
      <c r="K21" s="174">
        <f t="shared" si="3"/>
        <v>0.81420000000000003</v>
      </c>
      <c r="L21" s="118" t="s">
        <v>233</v>
      </c>
      <c r="M21" s="111">
        <v>6</v>
      </c>
      <c r="N21" s="117">
        <f t="shared" si="4"/>
        <v>0.81420000000000003</v>
      </c>
      <c r="O21" s="119">
        <f t="shared" si="5"/>
        <v>0</v>
      </c>
      <c r="P21" s="120">
        <f t="shared" si="6"/>
        <v>0</v>
      </c>
      <c r="Q21" s="111"/>
      <c r="R21" s="111"/>
      <c r="S21" s="250">
        <v>6.7</v>
      </c>
      <c r="T21" s="251">
        <v>5</v>
      </c>
      <c r="U21" s="182">
        <f>I21-S21</f>
        <v>4.8</v>
      </c>
      <c r="V21">
        <v>5</v>
      </c>
      <c r="W21" s="182">
        <f>U21*V21*H21/1000</f>
        <v>0.28320000000000006</v>
      </c>
    </row>
    <row r="22" spans="1:23">
      <c r="A22" s="110" t="s">
        <v>280</v>
      </c>
      <c r="B22" s="111" t="s">
        <v>232</v>
      </c>
      <c r="C22" s="112" t="s">
        <v>228</v>
      </c>
      <c r="D22" s="112"/>
      <c r="E22" s="113" t="s">
        <v>19</v>
      </c>
      <c r="F22" s="175" t="s">
        <v>14</v>
      </c>
      <c r="G22" s="175" t="s">
        <v>41</v>
      </c>
      <c r="H22" s="176">
        <v>11.8</v>
      </c>
      <c r="I22" s="177">
        <v>11.3</v>
      </c>
      <c r="J22" s="178">
        <v>1</v>
      </c>
      <c r="K22" s="174">
        <f t="shared" ref="K22:K29" si="11">(H22*I22*J22/1000)</f>
        <v>0.13334000000000001</v>
      </c>
      <c r="L22" s="118" t="s">
        <v>233</v>
      </c>
      <c r="M22" s="111">
        <v>1</v>
      </c>
      <c r="N22" s="117">
        <f t="shared" ref="N22:N29" si="12">I22*M22*H22/1000</f>
        <v>0.13334000000000001</v>
      </c>
      <c r="O22" s="119">
        <f t="shared" ref="O22:O29" si="13">J22-M22</f>
        <v>0</v>
      </c>
      <c r="P22" s="120">
        <f t="shared" ref="P22:P29" si="14">I22*O22*H22/1000</f>
        <v>0</v>
      </c>
      <c r="Q22" s="111"/>
      <c r="R22" s="111"/>
      <c r="S22" s="130"/>
    </row>
    <row r="23" spans="1:23">
      <c r="A23" s="110" t="s">
        <v>280</v>
      </c>
      <c r="B23" s="111" t="s">
        <v>232</v>
      </c>
      <c r="C23" s="112" t="s">
        <v>228</v>
      </c>
      <c r="D23" s="112"/>
      <c r="E23" s="113" t="s">
        <v>19</v>
      </c>
      <c r="F23" s="175" t="s">
        <v>14</v>
      </c>
      <c r="G23" s="175" t="s">
        <v>41</v>
      </c>
      <c r="H23" s="176">
        <v>11.8</v>
      </c>
      <c r="I23" s="177">
        <v>7.95</v>
      </c>
      <c r="J23" s="178">
        <v>1</v>
      </c>
      <c r="K23" s="174">
        <f t="shared" si="11"/>
        <v>9.3810000000000004E-2</v>
      </c>
      <c r="L23" s="118" t="s">
        <v>233</v>
      </c>
      <c r="M23" s="111">
        <v>1</v>
      </c>
      <c r="N23" s="117">
        <f t="shared" si="12"/>
        <v>9.3810000000000004E-2</v>
      </c>
      <c r="O23" s="119">
        <f t="shared" si="13"/>
        <v>0</v>
      </c>
      <c r="P23" s="120">
        <f t="shared" si="14"/>
        <v>0</v>
      </c>
      <c r="Q23" s="111"/>
      <c r="R23" s="111"/>
      <c r="S23" s="250">
        <v>6.7</v>
      </c>
      <c r="T23" s="251">
        <v>1</v>
      </c>
      <c r="U23" s="182">
        <f>I23-S23</f>
        <v>1.25</v>
      </c>
      <c r="V23">
        <v>1</v>
      </c>
      <c r="W23" s="182">
        <f>U23*V23*H23/1000</f>
        <v>1.4749999999999999E-2</v>
      </c>
    </row>
    <row r="24" spans="1:23">
      <c r="A24" s="110" t="s">
        <v>280</v>
      </c>
      <c r="B24" s="111" t="s">
        <v>232</v>
      </c>
      <c r="C24" s="112" t="s">
        <v>228</v>
      </c>
      <c r="D24" s="112"/>
      <c r="E24" s="113" t="s">
        <v>19</v>
      </c>
      <c r="F24" s="175" t="s">
        <v>14</v>
      </c>
      <c r="G24" s="175" t="s">
        <v>41</v>
      </c>
      <c r="H24" s="176">
        <v>11.8</v>
      </c>
      <c r="I24" s="177">
        <v>7.8</v>
      </c>
      <c r="J24" s="178">
        <v>1</v>
      </c>
      <c r="K24" s="174">
        <f t="shared" si="11"/>
        <v>9.2040000000000011E-2</v>
      </c>
      <c r="L24" s="118" t="s">
        <v>233</v>
      </c>
      <c r="M24" s="111">
        <v>1</v>
      </c>
      <c r="N24" s="117">
        <f t="shared" si="12"/>
        <v>9.2040000000000011E-2</v>
      </c>
      <c r="O24" s="119">
        <f t="shared" si="13"/>
        <v>0</v>
      </c>
      <c r="P24" s="120">
        <f t="shared" si="14"/>
        <v>0</v>
      </c>
      <c r="Q24" s="111">
        <v>6.75</v>
      </c>
      <c r="R24" s="111">
        <v>1</v>
      </c>
      <c r="S24" s="130"/>
    </row>
    <row r="25" spans="1:23">
      <c r="A25" s="110" t="s">
        <v>280</v>
      </c>
      <c r="B25" s="111" t="s">
        <v>232</v>
      </c>
      <c r="C25" s="112" t="s">
        <v>228</v>
      </c>
      <c r="D25" s="112"/>
      <c r="E25" s="113" t="s">
        <v>19</v>
      </c>
      <c r="F25" s="175" t="s">
        <v>14</v>
      </c>
      <c r="G25" s="175" t="s">
        <v>41</v>
      </c>
      <c r="H25" s="176">
        <v>11.8</v>
      </c>
      <c r="I25" s="177">
        <v>8.1</v>
      </c>
      <c r="J25" s="178">
        <v>1</v>
      </c>
      <c r="K25" s="174">
        <f t="shared" si="11"/>
        <v>9.5579999999999998E-2</v>
      </c>
      <c r="L25" s="118" t="s">
        <v>233</v>
      </c>
      <c r="M25" s="111"/>
      <c r="N25" s="117">
        <f t="shared" si="12"/>
        <v>0</v>
      </c>
      <c r="O25" s="119">
        <f t="shared" si="13"/>
        <v>1</v>
      </c>
      <c r="P25" s="120">
        <f t="shared" si="14"/>
        <v>9.5579999999999998E-2</v>
      </c>
      <c r="Q25" s="111"/>
      <c r="R25" s="111"/>
      <c r="S25" s="250">
        <v>6.7</v>
      </c>
      <c r="T25" s="251">
        <v>1</v>
      </c>
      <c r="U25" s="182">
        <f>I25-S25</f>
        <v>1.3999999999999995</v>
      </c>
      <c r="V25">
        <v>1</v>
      </c>
      <c r="W25" s="182">
        <f>U25*V25*H25/1000</f>
        <v>1.6519999999999996E-2</v>
      </c>
    </row>
    <row r="26" spans="1:23">
      <c r="A26" s="110" t="s">
        <v>280</v>
      </c>
      <c r="B26" s="111" t="s">
        <v>232</v>
      </c>
      <c r="C26" s="112" t="s">
        <v>228</v>
      </c>
      <c r="D26" s="112"/>
      <c r="E26" s="113" t="s">
        <v>19</v>
      </c>
      <c r="F26" s="175" t="s">
        <v>14</v>
      </c>
      <c r="G26" s="175" t="s">
        <v>41</v>
      </c>
      <c r="H26" s="176">
        <v>11.8</v>
      </c>
      <c r="I26" s="177">
        <v>10</v>
      </c>
      <c r="J26" s="178">
        <v>2</v>
      </c>
      <c r="K26" s="174">
        <f t="shared" si="11"/>
        <v>0.23599999999999999</v>
      </c>
      <c r="L26" s="118" t="s">
        <v>233</v>
      </c>
      <c r="M26" s="111"/>
      <c r="N26" s="117">
        <f t="shared" si="12"/>
        <v>0</v>
      </c>
      <c r="O26" s="119">
        <f t="shared" si="13"/>
        <v>2</v>
      </c>
      <c r="P26" s="120">
        <f t="shared" si="14"/>
        <v>0.23599999999999999</v>
      </c>
      <c r="Q26" s="111"/>
      <c r="R26" s="111"/>
      <c r="S26" s="130"/>
    </row>
    <row r="27" spans="1:23">
      <c r="A27" s="110" t="s">
        <v>280</v>
      </c>
      <c r="B27" s="111" t="s">
        <v>232</v>
      </c>
      <c r="C27" s="112" t="s">
        <v>228</v>
      </c>
      <c r="D27" s="112"/>
      <c r="E27" s="113" t="s">
        <v>19</v>
      </c>
      <c r="F27" s="175" t="s">
        <v>14</v>
      </c>
      <c r="G27" s="175" t="s">
        <v>41</v>
      </c>
      <c r="H27" s="176">
        <v>11.8</v>
      </c>
      <c r="I27" s="177">
        <v>11.8</v>
      </c>
      <c r="J27" s="178">
        <v>4</v>
      </c>
      <c r="K27" s="174">
        <f t="shared" si="11"/>
        <v>0.55696000000000001</v>
      </c>
      <c r="L27" s="118" t="s">
        <v>233</v>
      </c>
      <c r="M27" s="111">
        <v>4</v>
      </c>
      <c r="N27" s="117">
        <f t="shared" si="12"/>
        <v>0.55696000000000001</v>
      </c>
      <c r="O27" s="119">
        <f t="shared" si="13"/>
        <v>0</v>
      </c>
      <c r="P27" s="120">
        <f t="shared" si="14"/>
        <v>0</v>
      </c>
      <c r="Q27" s="111"/>
      <c r="R27" s="111"/>
      <c r="S27" s="250">
        <v>6.7</v>
      </c>
      <c r="T27" s="251">
        <v>4</v>
      </c>
      <c r="U27" s="182">
        <f>I27-S27</f>
        <v>5.1000000000000005</v>
      </c>
      <c r="V27">
        <v>4</v>
      </c>
      <c r="W27" s="182">
        <f>U27*V27*H27/1000</f>
        <v>0.24072000000000002</v>
      </c>
    </row>
    <row r="28" spans="1:23">
      <c r="A28" s="110" t="s">
        <v>280</v>
      </c>
      <c r="B28" s="111" t="s">
        <v>232</v>
      </c>
      <c r="C28" s="112" t="s">
        <v>228</v>
      </c>
      <c r="D28" s="112"/>
      <c r="E28" s="113" t="s">
        <v>19</v>
      </c>
      <c r="F28" s="175" t="s">
        <v>14</v>
      </c>
      <c r="G28" s="175" t="s">
        <v>41</v>
      </c>
      <c r="H28" s="176">
        <v>11.8</v>
      </c>
      <c r="I28" s="177">
        <v>11.7</v>
      </c>
      <c r="J28" s="178">
        <v>5</v>
      </c>
      <c r="K28" s="174">
        <f t="shared" si="11"/>
        <v>0.69029999999999991</v>
      </c>
      <c r="L28" s="118" t="s">
        <v>233</v>
      </c>
      <c r="M28" s="111">
        <f>4+1</f>
        <v>5</v>
      </c>
      <c r="N28" s="117">
        <f t="shared" si="12"/>
        <v>0.69030000000000002</v>
      </c>
      <c r="O28" s="119">
        <f t="shared" si="13"/>
        <v>0</v>
      </c>
      <c r="P28" s="120">
        <f t="shared" si="14"/>
        <v>0</v>
      </c>
      <c r="Q28" s="111"/>
      <c r="R28" s="111"/>
      <c r="S28" s="250" t="s">
        <v>337</v>
      </c>
      <c r="T28" s="251">
        <v>5</v>
      </c>
      <c r="U28" s="158">
        <v>5</v>
      </c>
      <c r="V28">
        <v>1</v>
      </c>
      <c r="W28" s="182">
        <f>U28*V28*H28/1000</f>
        <v>5.8999999999999997E-2</v>
      </c>
    </row>
    <row r="29" spans="1:23">
      <c r="A29" s="110" t="s">
        <v>280</v>
      </c>
      <c r="B29" s="111" t="s">
        <v>232</v>
      </c>
      <c r="C29" s="112" t="s">
        <v>228</v>
      </c>
      <c r="D29" s="112"/>
      <c r="E29" s="113" t="s">
        <v>19</v>
      </c>
      <c r="F29" s="175" t="s">
        <v>14</v>
      </c>
      <c r="G29" s="175" t="s">
        <v>41</v>
      </c>
      <c r="H29" s="176">
        <v>11.8</v>
      </c>
      <c r="I29" s="177">
        <v>11.5</v>
      </c>
      <c r="J29" s="178">
        <v>3</v>
      </c>
      <c r="K29" s="174">
        <f t="shared" si="11"/>
        <v>0.40710000000000002</v>
      </c>
      <c r="L29" s="118" t="s">
        <v>233</v>
      </c>
      <c r="M29" s="111">
        <v>1</v>
      </c>
      <c r="N29" s="117">
        <f t="shared" si="12"/>
        <v>0.13570000000000002</v>
      </c>
      <c r="O29" s="119">
        <f t="shared" si="13"/>
        <v>2</v>
      </c>
      <c r="P29" s="120">
        <f t="shared" si="14"/>
        <v>0.27140000000000003</v>
      </c>
      <c r="Q29" s="111"/>
      <c r="R29" s="111"/>
      <c r="S29" s="111"/>
    </row>
    <row r="30" spans="1:23">
      <c r="A30" s="32"/>
      <c r="B30" s="32"/>
      <c r="C30" s="32"/>
      <c r="D30" s="32"/>
      <c r="E30" s="32"/>
      <c r="F30" s="32"/>
      <c r="G30" s="32"/>
      <c r="H30" s="32"/>
      <c r="I30" s="32"/>
      <c r="J30" s="131">
        <f>SUM(J4:J29)</f>
        <v>1145</v>
      </c>
      <c r="K30" s="124">
        <f>SUM(K4:K29)</f>
        <v>150.39984999999999</v>
      </c>
      <c r="L30" s="32"/>
      <c r="M30" s="171">
        <f>SUM(M4:M29)</f>
        <v>1181</v>
      </c>
      <c r="N30" s="124">
        <f>SUM(N4:N29)</f>
        <v>155.22959</v>
      </c>
      <c r="O30" s="131">
        <f>SUM(O4:O29)</f>
        <v>-36</v>
      </c>
      <c r="P30" s="132">
        <f>SUM(P4:P29)</f>
        <v>-4.8297400000000019</v>
      </c>
      <c r="Q30" s="32"/>
      <c r="R30" s="32"/>
      <c r="S30" s="32"/>
      <c r="T30" s="171">
        <f>SUM(T4:T29)</f>
        <v>61</v>
      </c>
      <c r="W30" s="252">
        <f>SUM(W4:W29)</f>
        <v>2.3570500000000001</v>
      </c>
    </row>
    <row r="32" spans="1:23">
      <c r="A32" s="110" t="s">
        <v>280</v>
      </c>
      <c r="B32" s="111" t="s">
        <v>232</v>
      </c>
      <c r="C32" s="112" t="s">
        <v>228</v>
      </c>
      <c r="D32" s="112"/>
      <c r="E32" s="113" t="s">
        <v>19</v>
      </c>
      <c r="F32" s="175" t="s">
        <v>14</v>
      </c>
      <c r="G32" s="175" t="s">
        <v>36</v>
      </c>
      <c r="H32" s="176">
        <v>10.199999999999999</v>
      </c>
      <c r="I32" s="177">
        <v>11.5</v>
      </c>
      <c r="J32" s="178">
        <f>20+16+7</f>
        <v>43</v>
      </c>
      <c r="K32" s="174">
        <f t="shared" ref="K32" si="15">(H32*I32*J32/1000)</f>
        <v>5.0438999999999998</v>
      </c>
      <c r="L32" s="118"/>
      <c r="M32" s="111">
        <f>7+36</f>
        <v>43</v>
      </c>
      <c r="N32" s="117">
        <f t="shared" ref="N32" si="16">I32*M32*H32/1000</f>
        <v>5.0438999999999998</v>
      </c>
      <c r="O32" s="119">
        <f t="shared" ref="O32" si="17">J32-M32</f>
        <v>0</v>
      </c>
      <c r="P32" s="120">
        <f t="shared" ref="P32" si="18">I32*O32*H32/1000</f>
        <v>0</v>
      </c>
      <c r="Q32" s="111"/>
      <c r="R32" s="111"/>
      <c r="S32" s="111"/>
    </row>
    <row r="33" spans="1:19">
      <c r="A33" s="110" t="s">
        <v>280</v>
      </c>
      <c r="B33" s="111" t="s">
        <v>232</v>
      </c>
      <c r="C33" s="112" t="s">
        <v>228</v>
      </c>
      <c r="D33" s="112"/>
      <c r="E33" s="113" t="s">
        <v>19</v>
      </c>
      <c r="F33" s="175" t="s">
        <v>14</v>
      </c>
      <c r="G33" s="175" t="s">
        <v>36</v>
      </c>
      <c r="H33" s="176">
        <v>10.199999999999999</v>
      </c>
      <c r="I33" s="177">
        <v>12</v>
      </c>
      <c r="J33" s="178">
        <v>6</v>
      </c>
      <c r="K33" s="174">
        <f t="shared" ref="K33:K40" si="19">(H33*I33*J33/1000)</f>
        <v>0.73439999999999994</v>
      </c>
      <c r="L33" s="118"/>
      <c r="M33" s="111">
        <v>6</v>
      </c>
      <c r="N33" s="117">
        <f t="shared" ref="N33:N40" si="20">I33*M33*H33/1000</f>
        <v>0.73439999999999994</v>
      </c>
      <c r="O33" s="119">
        <f t="shared" ref="O33:O40" si="21">J33-M33</f>
        <v>0</v>
      </c>
      <c r="P33" s="120">
        <f t="shared" ref="P33:P40" si="22">I33*O33*H33/1000</f>
        <v>0</v>
      </c>
      <c r="Q33" s="159">
        <v>11.5</v>
      </c>
      <c r="R33" s="111">
        <v>6</v>
      </c>
      <c r="S33" s="111"/>
    </row>
    <row r="34" spans="1:19">
      <c r="A34" s="110" t="s">
        <v>280</v>
      </c>
      <c r="B34" s="111" t="s">
        <v>232</v>
      </c>
      <c r="C34" s="112" t="s">
        <v>228</v>
      </c>
      <c r="D34" s="112"/>
      <c r="E34" s="113" t="s">
        <v>19</v>
      </c>
      <c r="F34" s="175" t="s">
        <v>14</v>
      </c>
      <c r="G34" s="175" t="s">
        <v>36</v>
      </c>
      <c r="H34" s="176">
        <v>10.199999999999999</v>
      </c>
      <c r="I34" s="177">
        <v>7.2</v>
      </c>
      <c r="J34" s="178">
        <v>4</v>
      </c>
      <c r="K34" s="174">
        <f t="shared" si="19"/>
        <v>0.29375999999999997</v>
      </c>
      <c r="L34" s="118"/>
      <c r="M34" s="111">
        <v>4</v>
      </c>
      <c r="N34" s="117">
        <f t="shared" si="20"/>
        <v>0.29375999999999997</v>
      </c>
      <c r="O34" s="119">
        <f t="shared" si="21"/>
        <v>0</v>
      </c>
      <c r="P34" s="120">
        <f t="shared" si="22"/>
        <v>0</v>
      </c>
      <c r="Q34" s="159"/>
      <c r="R34" s="111"/>
      <c r="S34" s="111"/>
    </row>
    <row r="35" spans="1:19">
      <c r="A35" s="110" t="s">
        <v>280</v>
      </c>
      <c r="B35" s="111" t="s">
        <v>232</v>
      </c>
      <c r="C35" s="112" t="s">
        <v>228</v>
      </c>
      <c r="D35" s="112"/>
      <c r="E35" s="113" t="s">
        <v>19</v>
      </c>
      <c r="F35" s="175" t="s">
        <v>14</v>
      </c>
      <c r="G35" s="175" t="s">
        <v>36</v>
      </c>
      <c r="H35" s="176">
        <v>10.199999999999999</v>
      </c>
      <c r="I35" s="177">
        <v>6.5</v>
      </c>
      <c r="J35" s="178">
        <v>1</v>
      </c>
      <c r="K35" s="174">
        <f t="shared" si="19"/>
        <v>6.6299999999999998E-2</v>
      </c>
      <c r="L35" s="118"/>
      <c r="M35" s="111"/>
      <c r="N35" s="117">
        <f t="shared" si="20"/>
        <v>0</v>
      </c>
      <c r="O35" s="119">
        <f t="shared" si="21"/>
        <v>1</v>
      </c>
      <c r="P35" s="120">
        <f t="shared" si="22"/>
        <v>6.6299999999999998E-2</v>
      </c>
      <c r="Q35" s="159"/>
      <c r="R35" s="111"/>
      <c r="S35" s="111"/>
    </row>
    <row r="36" spans="1:19">
      <c r="A36" s="110" t="s">
        <v>280</v>
      </c>
      <c r="B36" s="111" t="s">
        <v>232</v>
      </c>
      <c r="C36" s="112" t="s">
        <v>228</v>
      </c>
      <c r="D36" s="112"/>
      <c r="E36" s="113" t="s">
        <v>19</v>
      </c>
      <c r="F36" s="175" t="s">
        <v>14</v>
      </c>
      <c r="G36" s="175" t="s">
        <v>36</v>
      </c>
      <c r="H36" s="176">
        <v>10.199999999999999</v>
      </c>
      <c r="I36" s="177">
        <v>10</v>
      </c>
      <c r="J36" s="178">
        <v>1</v>
      </c>
      <c r="K36" s="174">
        <f t="shared" si="19"/>
        <v>0.10199999999999999</v>
      </c>
      <c r="L36" s="118"/>
      <c r="M36" s="111">
        <v>1</v>
      </c>
      <c r="N36" s="117">
        <f t="shared" si="20"/>
        <v>0.10199999999999999</v>
      </c>
      <c r="O36" s="119">
        <f t="shared" si="21"/>
        <v>0</v>
      </c>
      <c r="P36" s="120">
        <f t="shared" si="22"/>
        <v>0</v>
      </c>
      <c r="Q36" s="159">
        <v>7.2</v>
      </c>
      <c r="R36" s="111">
        <v>1</v>
      </c>
      <c r="S36" s="111"/>
    </row>
    <row r="37" spans="1:19">
      <c r="A37" s="110" t="s">
        <v>280</v>
      </c>
      <c r="B37" s="111" t="s">
        <v>232</v>
      </c>
      <c r="C37" s="112" t="s">
        <v>228</v>
      </c>
      <c r="D37" s="112"/>
      <c r="E37" s="113" t="s">
        <v>19</v>
      </c>
      <c r="F37" s="175" t="s">
        <v>14</v>
      </c>
      <c r="G37" s="175" t="s">
        <v>36</v>
      </c>
      <c r="H37" s="176">
        <v>10.199999999999999</v>
      </c>
      <c r="I37" s="177">
        <v>10.199999999999999</v>
      </c>
      <c r="J37" s="178">
        <v>2</v>
      </c>
      <c r="K37" s="174">
        <f t="shared" si="19"/>
        <v>0.20807999999999999</v>
      </c>
      <c r="L37" s="118"/>
      <c r="M37" s="111">
        <v>2</v>
      </c>
      <c r="N37" s="117">
        <f t="shared" si="20"/>
        <v>0.20807999999999999</v>
      </c>
      <c r="O37" s="119">
        <f t="shared" si="21"/>
        <v>0</v>
      </c>
      <c r="P37" s="120">
        <f t="shared" si="22"/>
        <v>0</v>
      </c>
      <c r="Q37" s="159">
        <v>7.2</v>
      </c>
      <c r="R37" s="111">
        <v>2</v>
      </c>
      <c r="S37" s="111"/>
    </row>
    <row r="38" spans="1:19">
      <c r="A38" s="110" t="s">
        <v>280</v>
      </c>
      <c r="B38" s="111" t="s">
        <v>232</v>
      </c>
      <c r="C38" s="112" t="s">
        <v>228</v>
      </c>
      <c r="D38" s="112"/>
      <c r="E38" s="113" t="s">
        <v>19</v>
      </c>
      <c r="F38" s="175" t="s">
        <v>14</v>
      </c>
      <c r="G38" s="175" t="s">
        <v>36</v>
      </c>
      <c r="H38" s="176">
        <v>10.199999999999999</v>
      </c>
      <c r="I38" s="177">
        <v>10.5</v>
      </c>
      <c r="J38" s="178">
        <v>3</v>
      </c>
      <c r="K38" s="174">
        <f t="shared" si="19"/>
        <v>0.32129999999999997</v>
      </c>
      <c r="L38" s="118"/>
      <c r="M38" s="111">
        <v>1</v>
      </c>
      <c r="N38" s="117">
        <f t="shared" si="20"/>
        <v>0.1071</v>
      </c>
      <c r="O38" s="119">
        <f t="shared" si="21"/>
        <v>2</v>
      </c>
      <c r="P38" s="120">
        <f t="shared" si="22"/>
        <v>0.2142</v>
      </c>
      <c r="Q38" s="159">
        <v>7.2</v>
      </c>
      <c r="R38" s="111">
        <v>1</v>
      </c>
      <c r="S38" s="111"/>
    </row>
    <row r="39" spans="1:19">
      <c r="A39" s="110" t="s">
        <v>280</v>
      </c>
      <c r="B39" s="111" t="s">
        <v>232</v>
      </c>
      <c r="C39" s="112" t="s">
        <v>228</v>
      </c>
      <c r="D39" s="112"/>
      <c r="E39" s="113" t="s">
        <v>19</v>
      </c>
      <c r="F39" s="175" t="s">
        <v>14</v>
      </c>
      <c r="G39" s="175" t="s">
        <v>36</v>
      </c>
      <c r="H39" s="176">
        <v>10.199999999999999</v>
      </c>
      <c r="I39" s="177">
        <v>11</v>
      </c>
      <c r="J39" s="178">
        <v>1</v>
      </c>
      <c r="K39" s="174">
        <f t="shared" si="19"/>
        <v>0.11219999999999999</v>
      </c>
      <c r="L39" s="118"/>
      <c r="M39" s="111"/>
      <c r="N39" s="117">
        <f t="shared" si="20"/>
        <v>0</v>
      </c>
      <c r="O39" s="119">
        <f t="shared" si="21"/>
        <v>1</v>
      </c>
      <c r="P39" s="120">
        <f t="shared" si="22"/>
        <v>0.11219999999999999</v>
      </c>
      <c r="Q39" s="111"/>
      <c r="R39" s="111"/>
      <c r="S39" s="111"/>
    </row>
    <row r="40" spans="1:19">
      <c r="A40" s="110" t="s">
        <v>280</v>
      </c>
      <c r="B40" s="111" t="s">
        <v>232</v>
      </c>
      <c r="C40" s="112" t="s">
        <v>228</v>
      </c>
      <c r="D40" s="112"/>
      <c r="E40" s="113" t="s">
        <v>19</v>
      </c>
      <c r="F40" s="175" t="s">
        <v>14</v>
      </c>
      <c r="G40" s="175" t="s">
        <v>36</v>
      </c>
      <c r="H40" s="176">
        <v>10.199999999999999</v>
      </c>
      <c r="I40" s="177">
        <v>7.2</v>
      </c>
      <c r="J40" s="178">
        <v>16</v>
      </c>
      <c r="K40" s="174">
        <f t="shared" si="19"/>
        <v>1.1750399999999999</v>
      </c>
      <c r="L40" s="118"/>
      <c r="M40" s="111">
        <v>16</v>
      </c>
      <c r="N40" s="117">
        <f t="shared" si="20"/>
        <v>1.1750399999999999</v>
      </c>
      <c r="O40" s="119">
        <f t="shared" si="21"/>
        <v>0</v>
      </c>
      <c r="P40" s="120">
        <f t="shared" si="22"/>
        <v>0</v>
      </c>
      <c r="Q40" s="111"/>
      <c r="R40" s="111"/>
      <c r="S40" s="111"/>
    </row>
    <row r="41" spans="1:19">
      <c r="J41" s="78">
        <f>SUM(J32:J40)</f>
        <v>77</v>
      </c>
      <c r="K41" s="5">
        <f>SUM(K32:K40)</f>
        <v>8.0569799999999994</v>
      </c>
      <c r="M41" s="80">
        <f>SUM(M32:M40)</f>
        <v>73</v>
      </c>
      <c r="N41" s="5">
        <f>SUM(N32:N40)</f>
        <v>7.6642799999999998</v>
      </c>
      <c r="O41" s="78">
        <f>SUM(O32:O40)</f>
        <v>4</v>
      </c>
      <c r="P41" s="5">
        <f>SUM(P32:P40)</f>
        <v>0.39269999999999994</v>
      </c>
    </row>
    <row r="43" spans="1:19">
      <c r="A43" s="110" t="s">
        <v>280</v>
      </c>
      <c r="B43" s="111" t="s">
        <v>232</v>
      </c>
      <c r="C43" s="112" t="s">
        <v>228</v>
      </c>
      <c r="D43" s="112"/>
      <c r="E43" s="113" t="s">
        <v>20</v>
      </c>
      <c r="F43" s="175" t="s">
        <v>15</v>
      </c>
      <c r="G43" s="175" t="s">
        <v>36</v>
      </c>
      <c r="H43" s="176">
        <v>10.199999999999999</v>
      </c>
      <c r="I43" s="177">
        <v>6</v>
      </c>
      <c r="J43" s="178">
        <f>21+14+5+22+3</f>
        <v>65</v>
      </c>
      <c r="K43" s="174">
        <f t="shared" ref="K43" si="23">(H43*I43*J43/1000)</f>
        <v>3.9779999999999998</v>
      </c>
      <c r="L43" s="118"/>
      <c r="M43" s="111">
        <v>65</v>
      </c>
      <c r="N43" s="117">
        <f t="shared" ref="N43" si="24">I43*M43*H43/1000</f>
        <v>3.9779999999999998</v>
      </c>
      <c r="O43" s="119">
        <f t="shared" ref="O43" si="25">J43-M43</f>
        <v>0</v>
      </c>
      <c r="P43" s="120">
        <f t="shared" ref="P43" si="26">I43*O43*H43/1000</f>
        <v>0</v>
      </c>
      <c r="Q43" s="111"/>
      <c r="R43" s="111"/>
      <c r="S43" s="111"/>
    </row>
    <row r="44" spans="1:19">
      <c r="A44" s="110" t="s">
        <v>280</v>
      </c>
      <c r="B44" s="111" t="s">
        <v>232</v>
      </c>
      <c r="C44" s="112" t="s">
        <v>228</v>
      </c>
      <c r="D44" s="112"/>
      <c r="E44" s="113" t="s">
        <v>20</v>
      </c>
      <c r="F44" s="175" t="s">
        <v>15</v>
      </c>
      <c r="G44" s="175" t="s">
        <v>36</v>
      </c>
      <c r="H44" s="176">
        <v>10.199999999999999</v>
      </c>
      <c r="I44" s="177">
        <v>7.5</v>
      </c>
      <c r="J44" s="178">
        <f>30+33+35+3+9+38+38+32+33+6+14+33+27</f>
        <v>331</v>
      </c>
      <c r="K44" s="174">
        <f t="shared" ref="K44:K57" si="27">(H44*I44*J44/1000)</f>
        <v>25.3215</v>
      </c>
      <c r="L44" s="118"/>
      <c r="M44" s="111">
        <f>320+11</f>
        <v>331</v>
      </c>
      <c r="N44" s="117">
        <f t="shared" ref="N44:N57" si="28">I44*M44*H44/1000</f>
        <v>25.3215</v>
      </c>
      <c r="O44" s="119">
        <f t="shared" ref="O44:O57" si="29">J44-M44</f>
        <v>0</v>
      </c>
      <c r="P44" s="120">
        <f t="shared" ref="P44:P57" si="30">I44*O44*H44/1000</f>
        <v>0</v>
      </c>
      <c r="Q44" s="159">
        <v>6</v>
      </c>
      <c r="R44" s="111">
        <v>11</v>
      </c>
      <c r="S44" s="111"/>
    </row>
    <row r="45" spans="1:19">
      <c r="A45" s="110" t="s">
        <v>280</v>
      </c>
      <c r="B45" s="111" t="s">
        <v>232</v>
      </c>
      <c r="C45" s="112" t="s">
        <v>228</v>
      </c>
      <c r="D45" s="112"/>
      <c r="E45" s="113" t="s">
        <v>20</v>
      </c>
      <c r="F45" s="175" t="s">
        <v>15</v>
      </c>
      <c r="G45" s="175" t="s">
        <v>36</v>
      </c>
      <c r="H45" s="176">
        <v>10.199999999999999</v>
      </c>
      <c r="I45" s="177">
        <v>8</v>
      </c>
      <c r="J45" s="178">
        <f>33+36+38+33+5+35+38+36+33+32+23+8+30+15</f>
        <v>395</v>
      </c>
      <c r="K45" s="174">
        <f t="shared" si="27"/>
        <v>32.231999999999999</v>
      </c>
      <c r="L45" s="118"/>
      <c r="M45" s="111">
        <v>395</v>
      </c>
      <c r="N45" s="117">
        <f t="shared" si="28"/>
        <v>32.231999999999999</v>
      </c>
      <c r="O45" s="119">
        <f t="shared" si="29"/>
        <v>0</v>
      </c>
      <c r="P45" s="120">
        <f t="shared" si="30"/>
        <v>0</v>
      </c>
      <c r="Q45" s="159"/>
      <c r="R45" s="111"/>
      <c r="S45" s="111"/>
    </row>
    <row r="46" spans="1:19">
      <c r="A46" s="110" t="s">
        <v>280</v>
      </c>
      <c r="B46" s="111" t="s">
        <v>232</v>
      </c>
      <c r="C46" s="112" t="s">
        <v>228</v>
      </c>
      <c r="D46" s="112"/>
      <c r="E46" s="113" t="s">
        <v>20</v>
      </c>
      <c r="F46" s="175" t="s">
        <v>15</v>
      </c>
      <c r="G46" s="175" t="s">
        <v>36</v>
      </c>
      <c r="H46" s="176">
        <v>10.199999999999999</v>
      </c>
      <c r="I46" s="177">
        <v>11.25</v>
      </c>
      <c r="J46" s="178">
        <f>30+29+33+17+4+10+27+9</f>
        <v>159</v>
      </c>
      <c r="K46" s="174">
        <f t="shared" si="27"/>
        <v>18.245249999999995</v>
      </c>
      <c r="L46" s="118"/>
      <c r="M46" s="111">
        <f>143+1+15</f>
        <v>159</v>
      </c>
      <c r="N46" s="117">
        <f t="shared" si="28"/>
        <v>18.245249999999999</v>
      </c>
      <c r="O46" s="119">
        <f t="shared" si="29"/>
        <v>0</v>
      </c>
      <c r="P46" s="120">
        <f t="shared" si="30"/>
        <v>0</v>
      </c>
      <c r="Q46" s="159">
        <v>9.75</v>
      </c>
      <c r="R46" s="111">
        <v>15</v>
      </c>
      <c r="S46" s="111" t="s">
        <v>486</v>
      </c>
    </row>
    <row r="47" spans="1:19">
      <c r="A47" s="110" t="s">
        <v>280</v>
      </c>
      <c r="B47" s="111" t="s">
        <v>232</v>
      </c>
      <c r="C47" s="112" t="s">
        <v>228</v>
      </c>
      <c r="D47" s="112"/>
      <c r="E47" s="113" t="s">
        <v>20</v>
      </c>
      <c r="F47" s="175" t="s">
        <v>15</v>
      </c>
      <c r="G47" s="175" t="s">
        <v>36</v>
      </c>
      <c r="H47" s="176">
        <v>10.199999999999999</v>
      </c>
      <c r="I47" s="177">
        <v>10</v>
      </c>
      <c r="J47" s="178">
        <v>2</v>
      </c>
      <c r="K47" s="174">
        <f t="shared" si="27"/>
        <v>0.20399999999999999</v>
      </c>
      <c r="L47" s="118"/>
      <c r="M47" s="111">
        <v>2</v>
      </c>
      <c r="N47" s="117">
        <f t="shared" si="28"/>
        <v>0.20399999999999999</v>
      </c>
      <c r="O47" s="119">
        <f t="shared" si="29"/>
        <v>0</v>
      </c>
      <c r="P47" s="120">
        <f t="shared" si="30"/>
        <v>0</v>
      </c>
      <c r="Q47" s="159">
        <v>8</v>
      </c>
      <c r="R47" s="111">
        <v>2</v>
      </c>
      <c r="S47" s="111"/>
    </row>
    <row r="48" spans="1:19">
      <c r="A48" s="110" t="s">
        <v>280</v>
      </c>
      <c r="B48" s="111" t="s">
        <v>232</v>
      </c>
      <c r="C48" s="112" t="s">
        <v>228</v>
      </c>
      <c r="D48" s="112"/>
      <c r="E48" s="113" t="s">
        <v>20</v>
      </c>
      <c r="F48" s="175" t="s">
        <v>15</v>
      </c>
      <c r="G48" s="175" t="s">
        <v>36</v>
      </c>
      <c r="H48" s="176">
        <v>10.199999999999999</v>
      </c>
      <c r="I48" s="177">
        <v>11</v>
      </c>
      <c r="J48" s="178">
        <v>4</v>
      </c>
      <c r="K48" s="174">
        <f t="shared" si="27"/>
        <v>0.44879999999999998</v>
      </c>
      <c r="L48" s="118"/>
      <c r="M48" s="111">
        <v>4</v>
      </c>
      <c r="N48" s="117">
        <f t="shared" si="28"/>
        <v>0.44879999999999998</v>
      </c>
      <c r="O48" s="119">
        <f t="shared" si="29"/>
        <v>0</v>
      </c>
      <c r="P48" s="120">
        <f t="shared" si="30"/>
        <v>0</v>
      </c>
      <c r="Q48" s="159">
        <v>8</v>
      </c>
      <c r="R48" s="111">
        <v>4</v>
      </c>
      <c r="S48" s="111"/>
    </row>
    <row r="49" spans="1:19">
      <c r="A49" s="110" t="s">
        <v>280</v>
      </c>
      <c r="B49" s="111" t="s">
        <v>232</v>
      </c>
      <c r="C49" s="112" t="s">
        <v>228</v>
      </c>
      <c r="D49" s="112"/>
      <c r="E49" s="113" t="s">
        <v>20</v>
      </c>
      <c r="F49" s="175" t="s">
        <v>15</v>
      </c>
      <c r="G49" s="175" t="s">
        <v>36</v>
      </c>
      <c r="H49" s="176">
        <v>10.199999999999999</v>
      </c>
      <c r="I49" s="177">
        <v>12</v>
      </c>
      <c r="J49" s="178">
        <v>3</v>
      </c>
      <c r="K49" s="174">
        <f t="shared" si="27"/>
        <v>0.36719999999999997</v>
      </c>
      <c r="L49" s="118"/>
      <c r="M49" s="111">
        <v>3</v>
      </c>
      <c r="N49" s="117">
        <f t="shared" si="28"/>
        <v>0.36719999999999997</v>
      </c>
      <c r="O49" s="119">
        <f t="shared" si="29"/>
        <v>0</v>
      </c>
      <c r="P49" s="120">
        <f t="shared" si="30"/>
        <v>0</v>
      </c>
      <c r="Q49" s="159" t="s">
        <v>282</v>
      </c>
      <c r="R49" s="111">
        <v>6</v>
      </c>
      <c r="S49" s="111"/>
    </row>
    <row r="50" spans="1:19">
      <c r="A50" s="110" t="s">
        <v>280</v>
      </c>
      <c r="B50" s="111" t="s">
        <v>232</v>
      </c>
      <c r="C50" s="112" t="s">
        <v>228</v>
      </c>
      <c r="D50" s="112"/>
      <c r="E50" s="113" t="s">
        <v>20</v>
      </c>
      <c r="F50" s="175" t="s">
        <v>15</v>
      </c>
      <c r="G50" s="175" t="s">
        <v>36</v>
      </c>
      <c r="H50" s="176">
        <v>10.199999999999999</v>
      </c>
      <c r="I50" s="177">
        <v>11</v>
      </c>
      <c r="J50" s="178">
        <v>5</v>
      </c>
      <c r="K50" s="174">
        <f t="shared" si="27"/>
        <v>0.56100000000000005</v>
      </c>
      <c r="L50" s="118"/>
      <c r="M50" s="111">
        <v>5</v>
      </c>
      <c r="N50" s="117">
        <f t="shared" si="28"/>
        <v>0.56100000000000005</v>
      </c>
      <c r="O50" s="119">
        <f t="shared" si="29"/>
        <v>0</v>
      </c>
      <c r="P50" s="120">
        <f t="shared" si="30"/>
        <v>0</v>
      </c>
      <c r="Q50" s="159">
        <v>8</v>
      </c>
      <c r="R50" s="111">
        <v>5</v>
      </c>
      <c r="S50" s="111"/>
    </row>
    <row r="51" spans="1:19">
      <c r="A51" s="110" t="s">
        <v>280</v>
      </c>
      <c r="B51" s="111" t="s">
        <v>232</v>
      </c>
      <c r="C51" s="112" t="s">
        <v>228</v>
      </c>
      <c r="D51" s="112"/>
      <c r="E51" s="113" t="s">
        <v>20</v>
      </c>
      <c r="F51" s="175" t="s">
        <v>15</v>
      </c>
      <c r="G51" s="175" t="s">
        <v>36</v>
      </c>
      <c r="H51" s="176">
        <v>10.199999999999999</v>
      </c>
      <c r="I51" s="177">
        <v>10.8</v>
      </c>
      <c r="J51" s="178">
        <v>1</v>
      </c>
      <c r="K51" s="174">
        <f t="shared" si="27"/>
        <v>0.11015999999999999</v>
      </c>
      <c r="L51" s="118"/>
      <c r="M51" s="111">
        <v>1</v>
      </c>
      <c r="N51" s="117">
        <f t="shared" si="28"/>
        <v>0.11015999999999999</v>
      </c>
      <c r="O51" s="119">
        <f t="shared" si="29"/>
        <v>0</v>
      </c>
      <c r="P51" s="120">
        <f t="shared" si="30"/>
        <v>0</v>
      </c>
      <c r="Q51" s="159">
        <v>8</v>
      </c>
      <c r="R51" s="111">
        <v>1</v>
      </c>
      <c r="S51" s="111"/>
    </row>
    <row r="52" spans="1:19">
      <c r="A52" s="110" t="s">
        <v>280</v>
      </c>
      <c r="B52" s="111" t="s">
        <v>232</v>
      </c>
      <c r="C52" s="112" t="s">
        <v>228</v>
      </c>
      <c r="D52" s="112"/>
      <c r="E52" s="113" t="s">
        <v>20</v>
      </c>
      <c r="F52" s="175" t="s">
        <v>15</v>
      </c>
      <c r="G52" s="175" t="s">
        <v>36</v>
      </c>
      <c r="H52" s="176">
        <v>10.199999999999999</v>
      </c>
      <c r="I52" s="177">
        <v>10.5</v>
      </c>
      <c r="J52" s="178">
        <v>3</v>
      </c>
      <c r="K52" s="174">
        <f t="shared" si="27"/>
        <v>0.32129999999999997</v>
      </c>
      <c r="L52" s="118"/>
      <c r="M52" s="111">
        <v>3</v>
      </c>
      <c r="N52" s="117">
        <f t="shared" si="28"/>
        <v>0.32129999999999997</v>
      </c>
      <c r="O52" s="119">
        <f t="shared" si="29"/>
        <v>0</v>
      </c>
      <c r="P52" s="120">
        <f t="shared" si="30"/>
        <v>0</v>
      </c>
      <c r="Q52" s="159">
        <v>8</v>
      </c>
      <c r="R52" s="111">
        <v>3</v>
      </c>
      <c r="S52" s="111"/>
    </row>
    <row r="53" spans="1:19">
      <c r="A53" s="110" t="s">
        <v>280</v>
      </c>
      <c r="B53" s="111" t="s">
        <v>232</v>
      </c>
      <c r="C53" s="112" t="s">
        <v>228</v>
      </c>
      <c r="D53" s="112"/>
      <c r="E53" s="113" t="s">
        <v>20</v>
      </c>
      <c r="F53" s="175" t="s">
        <v>15</v>
      </c>
      <c r="G53" s="175" t="s">
        <v>36</v>
      </c>
      <c r="H53" s="176">
        <v>10.199999999999999</v>
      </c>
      <c r="I53" s="177">
        <v>7.8</v>
      </c>
      <c r="J53" s="178">
        <v>1</v>
      </c>
      <c r="K53" s="174">
        <f t="shared" si="27"/>
        <v>7.9559999999999992E-2</v>
      </c>
      <c r="L53" s="118"/>
      <c r="M53" s="111">
        <v>1</v>
      </c>
      <c r="N53" s="117">
        <f t="shared" si="28"/>
        <v>7.9559999999999992E-2</v>
      </c>
      <c r="O53" s="119">
        <f t="shared" si="29"/>
        <v>0</v>
      </c>
      <c r="P53" s="120">
        <f t="shared" si="30"/>
        <v>0</v>
      </c>
      <c r="Q53" s="159">
        <v>6</v>
      </c>
      <c r="R53" s="111">
        <v>1</v>
      </c>
      <c r="S53" s="111"/>
    </row>
    <row r="54" spans="1:19">
      <c r="A54" s="110" t="s">
        <v>280</v>
      </c>
      <c r="B54" s="111" t="s">
        <v>232</v>
      </c>
      <c r="C54" s="112" t="s">
        <v>228</v>
      </c>
      <c r="D54" s="112"/>
      <c r="E54" s="113" t="s">
        <v>20</v>
      </c>
      <c r="F54" s="175" t="s">
        <v>15</v>
      </c>
      <c r="G54" s="175" t="s">
        <v>36</v>
      </c>
      <c r="H54" s="176">
        <v>10.199999999999999</v>
      </c>
      <c r="I54" s="177">
        <v>10.5</v>
      </c>
      <c r="J54" s="178">
        <v>1</v>
      </c>
      <c r="K54" s="174">
        <f t="shared" si="27"/>
        <v>0.1071</v>
      </c>
      <c r="L54" s="118"/>
      <c r="M54" s="111">
        <v>1</v>
      </c>
      <c r="N54" s="117">
        <f t="shared" si="28"/>
        <v>0.1071</v>
      </c>
      <c r="O54" s="119">
        <f t="shared" si="29"/>
        <v>0</v>
      </c>
      <c r="P54" s="120">
        <f t="shared" si="30"/>
        <v>0</v>
      </c>
      <c r="Q54" s="159">
        <v>8</v>
      </c>
      <c r="R54" s="111">
        <v>1</v>
      </c>
      <c r="S54" s="111"/>
    </row>
    <row r="55" spans="1:19">
      <c r="A55" s="110" t="s">
        <v>280</v>
      </c>
      <c r="B55" s="111" t="s">
        <v>232</v>
      </c>
      <c r="C55" s="112" t="s">
        <v>228</v>
      </c>
      <c r="D55" s="112"/>
      <c r="E55" s="113" t="s">
        <v>20</v>
      </c>
      <c r="F55" s="175" t="s">
        <v>15</v>
      </c>
      <c r="G55" s="175" t="s">
        <v>36</v>
      </c>
      <c r="H55" s="176">
        <v>10.199999999999999</v>
      </c>
      <c r="I55" s="177">
        <v>7.7</v>
      </c>
      <c r="J55" s="178">
        <v>1</v>
      </c>
      <c r="K55" s="174">
        <f t="shared" si="27"/>
        <v>7.8539999999999999E-2</v>
      </c>
      <c r="L55" s="118"/>
      <c r="M55" s="111">
        <v>1</v>
      </c>
      <c r="N55" s="117">
        <f t="shared" si="28"/>
        <v>7.8539999999999999E-2</v>
      </c>
      <c r="O55" s="119">
        <f t="shared" si="29"/>
        <v>0</v>
      </c>
      <c r="P55" s="120">
        <f t="shared" si="30"/>
        <v>0</v>
      </c>
      <c r="Q55" s="159">
        <v>6</v>
      </c>
      <c r="R55" s="111">
        <v>1</v>
      </c>
      <c r="S55" s="111"/>
    </row>
    <row r="56" spans="1:19">
      <c r="A56" s="110" t="s">
        <v>280</v>
      </c>
      <c r="B56" s="111" t="s">
        <v>232</v>
      </c>
      <c r="C56" s="112" t="s">
        <v>228</v>
      </c>
      <c r="D56" s="112"/>
      <c r="E56" s="113" t="s">
        <v>20</v>
      </c>
      <c r="F56" s="175" t="s">
        <v>15</v>
      </c>
      <c r="G56" s="175" t="s">
        <v>36</v>
      </c>
      <c r="H56" s="176">
        <v>10.199999999999999</v>
      </c>
      <c r="I56" s="177">
        <v>9.3000000000000007</v>
      </c>
      <c r="J56" s="178">
        <v>1</v>
      </c>
      <c r="K56" s="174">
        <f t="shared" si="27"/>
        <v>9.486E-2</v>
      </c>
      <c r="L56" s="118"/>
      <c r="M56" s="111">
        <v>1</v>
      </c>
      <c r="N56" s="117">
        <f t="shared" si="28"/>
        <v>9.486E-2</v>
      </c>
      <c r="O56" s="119">
        <f t="shared" si="29"/>
        <v>0</v>
      </c>
      <c r="P56" s="120">
        <f t="shared" si="30"/>
        <v>0</v>
      </c>
      <c r="Q56" s="159">
        <v>8</v>
      </c>
      <c r="R56" s="111">
        <v>1</v>
      </c>
      <c r="S56" s="111"/>
    </row>
    <row r="57" spans="1:19">
      <c r="A57" s="110" t="s">
        <v>280</v>
      </c>
      <c r="B57" s="111" t="s">
        <v>232</v>
      </c>
      <c r="C57" s="112" t="s">
        <v>228</v>
      </c>
      <c r="D57" s="112"/>
      <c r="E57" s="113" t="s">
        <v>20</v>
      </c>
      <c r="F57" s="175" t="s">
        <v>15</v>
      </c>
      <c r="G57" s="175" t="s">
        <v>36</v>
      </c>
      <c r="H57" s="176">
        <v>10.199999999999999</v>
      </c>
      <c r="I57" s="177">
        <v>9</v>
      </c>
      <c r="J57" s="178">
        <v>1</v>
      </c>
      <c r="K57" s="174">
        <f t="shared" si="27"/>
        <v>9.1799999999999993E-2</v>
      </c>
      <c r="L57" s="118"/>
      <c r="M57" s="111">
        <v>1</v>
      </c>
      <c r="N57" s="117">
        <f t="shared" si="28"/>
        <v>9.1799999999999993E-2</v>
      </c>
      <c r="O57" s="119">
        <f t="shared" si="29"/>
        <v>0</v>
      </c>
      <c r="P57" s="120">
        <f t="shared" si="30"/>
        <v>0</v>
      </c>
      <c r="Q57" s="159">
        <v>6</v>
      </c>
      <c r="R57" s="111">
        <v>1</v>
      </c>
      <c r="S57" s="111"/>
    </row>
    <row r="58" spans="1:19">
      <c r="A58" s="110" t="s">
        <v>280</v>
      </c>
      <c r="B58" s="111" t="s">
        <v>232</v>
      </c>
      <c r="C58" s="112" t="s">
        <v>228</v>
      </c>
      <c r="D58" s="112"/>
      <c r="E58" s="113" t="s">
        <v>20</v>
      </c>
      <c r="F58" s="175" t="s">
        <v>15</v>
      </c>
      <c r="G58" s="175" t="s">
        <v>36</v>
      </c>
      <c r="H58" s="176">
        <v>10.199999999999999</v>
      </c>
      <c r="I58" s="179">
        <v>7</v>
      </c>
      <c r="J58" s="178">
        <v>2</v>
      </c>
      <c r="K58" s="174">
        <f t="shared" ref="K58:K60" si="31">(H58*I58*J58/1000)</f>
        <v>0.14279999999999998</v>
      </c>
      <c r="L58" s="118"/>
      <c r="M58" s="111">
        <v>2</v>
      </c>
      <c r="N58" s="117">
        <f t="shared" ref="N58:N60" si="32">I58*M58*H58/1000</f>
        <v>0.14279999999999998</v>
      </c>
      <c r="O58" s="119">
        <f t="shared" ref="O58:O60" si="33">J58-M58</f>
        <v>0</v>
      </c>
      <c r="P58" s="120">
        <f t="shared" ref="P58:P59" si="34">I58*O58*H58/1000</f>
        <v>0</v>
      </c>
      <c r="Q58" s="159">
        <v>6</v>
      </c>
      <c r="R58" s="111">
        <v>2</v>
      </c>
      <c r="S58" s="111"/>
    </row>
    <row r="59" spans="1:19">
      <c r="A59" s="110" t="s">
        <v>280</v>
      </c>
      <c r="B59" s="111" t="s">
        <v>232</v>
      </c>
      <c r="C59" s="112" t="s">
        <v>228</v>
      </c>
      <c r="D59" s="112"/>
      <c r="E59" s="113" t="s">
        <v>20</v>
      </c>
      <c r="F59" s="175" t="s">
        <v>15</v>
      </c>
      <c r="G59" s="175" t="s">
        <v>36</v>
      </c>
      <c r="H59" s="176">
        <v>10.199999999999999</v>
      </c>
      <c r="I59" s="179">
        <v>7.1</v>
      </c>
      <c r="J59" s="178">
        <v>2</v>
      </c>
      <c r="K59" s="174">
        <f t="shared" si="31"/>
        <v>0.14483999999999997</v>
      </c>
      <c r="L59" s="118"/>
      <c r="M59" s="111">
        <v>2</v>
      </c>
      <c r="N59" s="117">
        <f t="shared" si="32"/>
        <v>0.14483999999999997</v>
      </c>
      <c r="O59" s="119">
        <f t="shared" si="33"/>
        <v>0</v>
      </c>
      <c r="P59" s="120">
        <f t="shared" si="34"/>
        <v>0</v>
      </c>
      <c r="Q59" s="159">
        <v>6</v>
      </c>
      <c r="R59" s="111">
        <v>2</v>
      </c>
      <c r="S59" s="111"/>
    </row>
    <row r="60" spans="1:19">
      <c r="A60" s="110" t="s">
        <v>280</v>
      </c>
      <c r="B60" s="111" t="s">
        <v>232</v>
      </c>
      <c r="C60" s="112" t="s">
        <v>228</v>
      </c>
      <c r="D60" s="112"/>
      <c r="E60" s="113" t="s">
        <v>20</v>
      </c>
      <c r="F60" s="175" t="s">
        <v>15</v>
      </c>
      <c r="G60" s="175" t="s">
        <v>36</v>
      </c>
      <c r="H60" s="176">
        <v>10.199999999999999</v>
      </c>
      <c r="I60" s="179">
        <v>6.1</v>
      </c>
      <c r="J60" s="178">
        <v>1</v>
      </c>
      <c r="K60" s="174">
        <f t="shared" si="31"/>
        <v>6.2219999999999991E-2</v>
      </c>
      <c r="L60" s="118"/>
      <c r="M60" s="111">
        <v>1</v>
      </c>
      <c r="N60" s="117">
        <f t="shared" si="32"/>
        <v>6.2219999999999991E-2</v>
      </c>
      <c r="O60" s="119">
        <f t="shared" si="33"/>
        <v>0</v>
      </c>
      <c r="P60" s="120">
        <f>I60*O60*H60/1000</f>
        <v>0</v>
      </c>
      <c r="Q60" s="159">
        <v>6</v>
      </c>
      <c r="R60" s="111">
        <v>1</v>
      </c>
      <c r="S60" s="111"/>
    </row>
    <row r="61" spans="1:19">
      <c r="J61" s="78">
        <f>SUM(J43:J60)</f>
        <v>978</v>
      </c>
      <c r="K61" s="245">
        <f>SUM(K43:K60)</f>
        <v>82.590929999999986</v>
      </c>
      <c r="M61" s="80">
        <f>SUM(M43:M60)</f>
        <v>978</v>
      </c>
      <c r="N61" s="128">
        <f>SUM(N43:N60)</f>
        <v>82.590929999999986</v>
      </c>
      <c r="O61" s="78">
        <f>SUM(O43:O60)</f>
        <v>0</v>
      </c>
      <c r="P61" s="128">
        <f>SUM(P43:P60)</f>
        <v>0</v>
      </c>
    </row>
    <row r="63" spans="1:19">
      <c r="A63" s="110" t="s">
        <v>280</v>
      </c>
      <c r="B63" s="111" t="s">
        <v>232</v>
      </c>
      <c r="C63" s="112" t="s">
        <v>228</v>
      </c>
      <c r="D63" s="112"/>
      <c r="E63" s="113" t="s">
        <v>20</v>
      </c>
      <c r="F63" s="175" t="s">
        <v>15</v>
      </c>
      <c r="G63" s="175" t="s">
        <v>41</v>
      </c>
      <c r="H63" s="176">
        <v>11.8</v>
      </c>
      <c r="I63" s="177">
        <v>7.5</v>
      </c>
      <c r="J63" s="178">
        <f>25+25+26+13+32+11</f>
        <v>132</v>
      </c>
      <c r="K63" s="174">
        <f t="shared" ref="K63:K64" si="35">(H63*I63*J63/1000)</f>
        <v>11.682</v>
      </c>
      <c r="L63" s="118"/>
      <c r="M63" s="111">
        <v>132</v>
      </c>
      <c r="N63" s="117">
        <f t="shared" ref="N63:N64" si="36">I63*M63*H63/1000</f>
        <v>11.682</v>
      </c>
      <c r="O63" s="119">
        <f t="shared" ref="O63:O64" si="37">J63-M63</f>
        <v>0</v>
      </c>
      <c r="P63" s="120">
        <f t="shared" ref="P63:P64" si="38">I63*O63*H63/1000</f>
        <v>0</v>
      </c>
      <c r="Q63" s="159"/>
      <c r="R63" s="111"/>
      <c r="S63" s="111"/>
    </row>
    <row r="64" spans="1:19">
      <c r="A64" s="110" t="s">
        <v>280</v>
      </c>
      <c r="B64" s="111" t="s">
        <v>232</v>
      </c>
      <c r="C64" s="112" t="s">
        <v>228</v>
      </c>
      <c r="D64" s="112"/>
      <c r="E64" s="113" t="s">
        <v>20</v>
      </c>
      <c r="F64" s="175" t="s">
        <v>15</v>
      </c>
      <c r="G64" s="175" t="s">
        <v>41</v>
      </c>
      <c r="H64" s="176">
        <v>11.8</v>
      </c>
      <c r="I64" s="177">
        <v>11.5</v>
      </c>
      <c r="J64" s="178">
        <f>20+20+22+8</f>
        <v>70</v>
      </c>
      <c r="K64" s="174">
        <f t="shared" si="35"/>
        <v>9.4990000000000023</v>
      </c>
      <c r="L64" s="118"/>
      <c r="M64" s="111">
        <f>70+10+1</f>
        <v>81</v>
      </c>
      <c r="N64" s="117">
        <f t="shared" si="36"/>
        <v>10.991700000000002</v>
      </c>
      <c r="O64" s="228">
        <f t="shared" si="37"/>
        <v>-11</v>
      </c>
      <c r="P64" s="229">
        <f t="shared" si="38"/>
        <v>-1.4927000000000001</v>
      </c>
      <c r="Q64" s="44" t="s">
        <v>322</v>
      </c>
      <c r="R64" s="111"/>
      <c r="S64" s="111"/>
    </row>
    <row r="65" spans="1:20">
      <c r="A65" s="110" t="s">
        <v>280</v>
      </c>
      <c r="B65" s="111" t="s">
        <v>232</v>
      </c>
      <c r="C65" s="112" t="s">
        <v>228</v>
      </c>
      <c r="D65" s="112"/>
      <c r="E65" s="113" t="s">
        <v>20</v>
      </c>
      <c r="F65" s="175" t="s">
        <v>15</v>
      </c>
      <c r="G65" s="175" t="s">
        <v>41</v>
      </c>
      <c r="H65" s="176">
        <v>11.8</v>
      </c>
      <c r="I65" s="177">
        <v>7.1</v>
      </c>
      <c r="J65" s="178">
        <v>3</v>
      </c>
      <c r="K65" s="174">
        <f t="shared" ref="K65:K78" si="39">(H65*I65*J65/1000)</f>
        <v>0.25134000000000001</v>
      </c>
      <c r="L65" s="118"/>
      <c r="M65" s="111"/>
      <c r="N65" s="117">
        <f t="shared" ref="N65:N78" si="40">I65*M65*H65/1000</f>
        <v>0</v>
      </c>
      <c r="O65" s="119">
        <f t="shared" ref="O65:O78" si="41">J65-M65</f>
        <v>3</v>
      </c>
      <c r="P65" s="120">
        <f t="shared" ref="P65:P78" si="42">I65*O65*H65/1000</f>
        <v>0.25133999999999995</v>
      </c>
      <c r="Q65" s="159"/>
      <c r="R65" s="111"/>
      <c r="S65" s="111"/>
    </row>
    <row r="66" spans="1:20">
      <c r="A66" s="110" t="s">
        <v>280</v>
      </c>
      <c r="B66" s="111" t="s">
        <v>232</v>
      </c>
      <c r="C66" s="112" t="s">
        <v>228</v>
      </c>
      <c r="D66" s="112"/>
      <c r="E66" s="113" t="s">
        <v>20</v>
      </c>
      <c r="F66" s="175" t="s">
        <v>15</v>
      </c>
      <c r="G66" s="175" t="s">
        <v>41</v>
      </c>
      <c r="H66" s="176">
        <v>11.8</v>
      </c>
      <c r="I66" s="177">
        <v>7</v>
      </c>
      <c r="J66" s="178">
        <v>4</v>
      </c>
      <c r="K66" s="174">
        <f t="shared" si="39"/>
        <v>0.33040000000000003</v>
      </c>
      <c r="L66" s="118"/>
      <c r="M66" s="111"/>
      <c r="N66" s="117">
        <f t="shared" si="40"/>
        <v>0</v>
      </c>
      <c r="O66" s="119">
        <f t="shared" si="41"/>
        <v>4</v>
      </c>
      <c r="P66" s="120">
        <f t="shared" si="42"/>
        <v>0.33040000000000003</v>
      </c>
      <c r="Q66" s="159"/>
      <c r="R66" s="111"/>
      <c r="S66" s="111"/>
    </row>
    <row r="67" spans="1:20">
      <c r="A67" s="110" t="s">
        <v>280</v>
      </c>
      <c r="B67" s="111" t="s">
        <v>232</v>
      </c>
      <c r="C67" s="112" t="s">
        <v>228</v>
      </c>
      <c r="D67" s="112"/>
      <c r="E67" s="113" t="s">
        <v>20</v>
      </c>
      <c r="F67" s="175" t="s">
        <v>15</v>
      </c>
      <c r="G67" s="175" t="s">
        <v>41</v>
      </c>
      <c r="H67" s="176">
        <v>11.8</v>
      </c>
      <c r="I67" s="177">
        <v>6.8</v>
      </c>
      <c r="J67" s="178">
        <v>2</v>
      </c>
      <c r="K67" s="174">
        <f t="shared" si="39"/>
        <v>0.16048000000000001</v>
      </c>
      <c r="L67" s="118"/>
      <c r="M67" s="111"/>
      <c r="N67" s="117">
        <f t="shared" si="40"/>
        <v>0</v>
      </c>
      <c r="O67" s="119">
        <f t="shared" si="41"/>
        <v>2</v>
      </c>
      <c r="P67" s="120">
        <f t="shared" si="42"/>
        <v>0.16048000000000001</v>
      </c>
      <c r="Q67" s="159"/>
      <c r="R67" s="111"/>
      <c r="S67" s="111"/>
    </row>
    <row r="68" spans="1:20">
      <c r="A68" s="110" t="s">
        <v>280</v>
      </c>
      <c r="B68" s="111" t="s">
        <v>232</v>
      </c>
      <c r="C68" s="112" t="s">
        <v>228</v>
      </c>
      <c r="D68" s="112"/>
      <c r="E68" s="113" t="s">
        <v>20</v>
      </c>
      <c r="F68" s="175" t="s">
        <v>15</v>
      </c>
      <c r="G68" s="175" t="s">
        <v>41</v>
      </c>
      <c r="H68" s="176">
        <v>11.8</v>
      </c>
      <c r="I68" s="177">
        <v>11.3</v>
      </c>
      <c r="J68" s="178">
        <v>1</v>
      </c>
      <c r="K68" s="174">
        <f t="shared" si="39"/>
        <v>0.13334000000000001</v>
      </c>
      <c r="L68" s="118"/>
      <c r="M68" s="111">
        <v>1</v>
      </c>
      <c r="N68" s="117">
        <f t="shared" si="40"/>
        <v>0.13334000000000001</v>
      </c>
      <c r="O68" s="119">
        <f t="shared" si="41"/>
        <v>0</v>
      </c>
      <c r="P68" s="120">
        <f t="shared" si="42"/>
        <v>0</v>
      </c>
      <c r="Q68" s="159"/>
      <c r="R68" s="111"/>
      <c r="S68" s="172">
        <v>7.3</v>
      </c>
      <c r="T68" s="226">
        <v>1</v>
      </c>
    </row>
    <row r="69" spans="1:20">
      <c r="A69" s="110" t="s">
        <v>280</v>
      </c>
      <c r="B69" s="111" t="s">
        <v>232</v>
      </c>
      <c r="C69" s="112" t="s">
        <v>228</v>
      </c>
      <c r="D69" s="112"/>
      <c r="E69" s="113" t="s">
        <v>20</v>
      </c>
      <c r="F69" s="175" t="s">
        <v>15</v>
      </c>
      <c r="G69" s="175" t="s">
        <v>41</v>
      </c>
      <c r="H69" s="176">
        <v>11.8</v>
      </c>
      <c r="I69" s="177">
        <v>11.1</v>
      </c>
      <c r="J69" s="178">
        <v>2</v>
      </c>
      <c r="K69" s="174">
        <f t="shared" si="39"/>
        <v>0.26195999999999997</v>
      </c>
      <c r="L69" s="118"/>
      <c r="M69" s="111"/>
      <c r="N69" s="117">
        <f t="shared" si="40"/>
        <v>0</v>
      </c>
      <c r="O69" s="119">
        <f t="shared" si="41"/>
        <v>2</v>
      </c>
      <c r="P69" s="120">
        <f t="shared" si="42"/>
        <v>0.26195999999999997</v>
      </c>
      <c r="Q69" s="159"/>
      <c r="R69" s="111"/>
      <c r="S69" s="111"/>
      <c r="T69" s="186"/>
    </row>
    <row r="70" spans="1:20">
      <c r="A70" s="110" t="s">
        <v>280</v>
      </c>
      <c r="B70" s="111" t="s">
        <v>232</v>
      </c>
      <c r="C70" s="112" t="s">
        <v>228</v>
      </c>
      <c r="D70" s="112"/>
      <c r="E70" s="113" t="s">
        <v>20</v>
      </c>
      <c r="F70" s="175" t="s">
        <v>15</v>
      </c>
      <c r="G70" s="175" t="s">
        <v>41</v>
      </c>
      <c r="H70" s="176">
        <v>11.8</v>
      </c>
      <c r="I70" s="177">
        <v>11</v>
      </c>
      <c r="J70" s="178">
        <v>3</v>
      </c>
      <c r="K70" s="174">
        <f t="shared" si="39"/>
        <v>0.38940000000000002</v>
      </c>
      <c r="L70" s="118"/>
      <c r="M70" s="111">
        <v>3</v>
      </c>
      <c r="N70" s="117">
        <f t="shared" si="40"/>
        <v>0.38940000000000002</v>
      </c>
      <c r="O70" s="119">
        <f t="shared" si="41"/>
        <v>0</v>
      </c>
      <c r="P70" s="120">
        <f t="shared" si="42"/>
        <v>0</v>
      </c>
      <c r="Q70" s="159">
        <v>7.5</v>
      </c>
      <c r="R70" s="111">
        <v>3</v>
      </c>
      <c r="S70" s="111"/>
      <c r="T70" s="186"/>
    </row>
    <row r="71" spans="1:20">
      <c r="A71" s="110" t="s">
        <v>280</v>
      </c>
      <c r="B71" s="111" t="s">
        <v>232</v>
      </c>
      <c r="C71" s="112" t="s">
        <v>228</v>
      </c>
      <c r="D71" s="112"/>
      <c r="E71" s="113" t="s">
        <v>20</v>
      </c>
      <c r="F71" s="175" t="s">
        <v>15</v>
      </c>
      <c r="G71" s="175" t="s">
        <v>41</v>
      </c>
      <c r="H71" s="176">
        <v>11.8</v>
      </c>
      <c r="I71" s="177">
        <v>10.7</v>
      </c>
      <c r="J71" s="178">
        <v>2</v>
      </c>
      <c r="K71" s="174">
        <f t="shared" si="39"/>
        <v>0.25252000000000002</v>
      </c>
      <c r="L71" s="118"/>
      <c r="M71" s="111">
        <v>2</v>
      </c>
      <c r="N71" s="117">
        <f t="shared" si="40"/>
        <v>0.25252000000000002</v>
      </c>
      <c r="O71" s="119">
        <f t="shared" si="41"/>
        <v>0</v>
      </c>
      <c r="P71" s="120">
        <f t="shared" si="42"/>
        <v>0</v>
      </c>
      <c r="Q71" s="159">
        <v>7.5</v>
      </c>
      <c r="R71" s="111">
        <v>2</v>
      </c>
      <c r="S71" s="111"/>
      <c r="T71" s="186"/>
    </row>
    <row r="72" spans="1:20">
      <c r="A72" s="110" t="s">
        <v>280</v>
      </c>
      <c r="B72" s="111" t="s">
        <v>232</v>
      </c>
      <c r="C72" s="112" t="s">
        <v>228</v>
      </c>
      <c r="D72" s="112"/>
      <c r="E72" s="113" t="s">
        <v>20</v>
      </c>
      <c r="F72" s="175" t="s">
        <v>15</v>
      </c>
      <c r="G72" s="175" t="s">
        <v>41</v>
      </c>
      <c r="H72" s="176">
        <v>11.8</v>
      </c>
      <c r="I72" s="177">
        <v>10.199999999999999</v>
      </c>
      <c r="J72" s="178">
        <v>1</v>
      </c>
      <c r="K72" s="174">
        <f t="shared" si="39"/>
        <v>0.12035999999999999</v>
      </c>
      <c r="L72" s="118"/>
      <c r="M72" s="111">
        <v>1</v>
      </c>
      <c r="N72" s="117">
        <f t="shared" si="40"/>
        <v>0.12035999999999999</v>
      </c>
      <c r="O72" s="119">
        <f t="shared" si="41"/>
        <v>0</v>
      </c>
      <c r="P72" s="120">
        <f t="shared" si="42"/>
        <v>0</v>
      </c>
      <c r="Q72" s="159">
        <v>7.5</v>
      </c>
      <c r="R72" s="111">
        <v>1</v>
      </c>
      <c r="S72" s="111"/>
      <c r="T72" s="186"/>
    </row>
    <row r="73" spans="1:20">
      <c r="A73" s="110" t="s">
        <v>280</v>
      </c>
      <c r="B73" s="111" t="s">
        <v>232</v>
      </c>
      <c r="C73" s="112" t="s">
        <v>228</v>
      </c>
      <c r="D73" s="112"/>
      <c r="E73" s="113" t="s">
        <v>20</v>
      </c>
      <c r="F73" s="175" t="s">
        <v>15</v>
      </c>
      <c r="G73" s="175" t="s">
        <v>41</v>
      </c>
      <c r="H73" s="176">
        <v>11.8</v>
      </c>
      <c r="I73" s="177">
        <v>7.3</v>
      </c>
      <c r="J73" s="178">
        <v>1</v>
      </c>
      <c r="K73" s="174">
        <f t="shared" si="39"/>
        <v>8.6139999999999994E-2</v>
      </c>
      <c r="L73" s="118"/>
      <c r="M73" s="111">
        <v>1</v>
      </c>
      <c r="N73" s="117">
        <f t="shared" si="40"/>
        <v>8.6139999999999994E-2</v>
      </c>
      <c r="O73" s="119">
        <f t="shared" si="41"/>
        <v>0</v>
      </c>
      <c r="P73" s="120">
        <f t="shared" si="42"/>
        <v>0</v>
      </c>
      <c r="Q73" s="159"/>
      <c r="R73" s="111"/>
      <c r="S73" s="172">
        <v>7.3</v>
      </c>
      <c r="T73" s="226">
        <v>1</v>
      </c>
    </row>
    <row r="74" spans="1:20">
      <c r="A74" s="110" t="s">
        <v>280</v>
      </c>
      <c r="B74" s="111" t="s">
        <v>232</v>
      </c>
      <c r="C74" s="112" t="s">
        <v>228</v>
      </c>
      <c r="D74" s="112"/>
      <c r="E74" s="113" t="s">
        <v>20</v>
      </c>
      <c r="F74" s="175" t="s">
        <v>15</v>
      </c>
      <c r="G74" s="175" t="s">
        <v>41</v>
      </c>
      <c r="H74" s="176">
        <v>11.8</v>
      </c>
      <c r="I74" s="177">
        <v>11.3</v>
      </c>
      <c r="J74" s="178">
        <v>6</v>
      </c>
      <c r="K74" s="174">
        <f t="shared" si="39"/>
        <v>0.80003999999999997</v>
      </c>
      <c r="L74" s="118"/>
      <c r="M74" s="111">
        <v>6</v>
      </c>
      <c r="N74" s="117">
        <f t="shared" si="40"/>
        <v>0.8000400000000002</v>
      </c>
      <c r="O74" s="119">
        <f t="shared" si="41"/>
        <v>0</v>
      </c>
      <c r="P74" s="120">
        <f t="shared" si="42"/>
        <v>0</v>
      </c>
      <c r="Q74" s="159"/>
      <c r="R74" s="111"/>
      <c r="S74" s="227" t="s">
        <v>321</v>
      </c>
      <c r="T74" s="226">
        <f>2+4</f>
        <v>6</v>
      </c>
    </row>
    <row r="75" spans="1:20">
      <c r="A75" s="110" t="s">
        <v>280</v>
      </c>
      <c r="B75" s="111" t="s">
        <v>232</v>
      </c>
      <c r="C75" s="112" t="s">
        <v>228</v>
      </c>
      <c r="D75" s="112"/>
      <c r="E75" s="113" t="s">
        <v>20</v>
      </c>
      <c r="F75" s="175" t="s">
        <v>15</v>
      </c>
      <c r="G75" s="175" t="s">
        <v>41</v>
      </c>
      <c r="H75" s="176">
        <v>11.8</v>
      </c>
      <c r="I75" s="177">
        <v>11</v>
      </c>
      <c r="J75" s="178">
        <v>4</v>
      </c>
      <c r="K75" s="174">
        <f t="shared" si="39"/>
        <v>0.51919999999999999</v>
      </c>
      <c r="L75" s="118"/>
      <c r="M75" s="111">
        <v>4</v>
      </c>
      <c r="N75" s="117">
        <f t="shared" si="40"/>
        <v>0.51919999999999999</v>
      </c>
      <c r="O75" s="119">
        <f t="shared" si="41"/>
        <v>0</v>
      </c>
      <c r="P75" s="120">
        <f t="shared" si="42"/>
        <v>0</v>
      </c>
      <c r="Q75" s="159"/>
      <c r="R75" s="111"/>
      <c r="S75" s="94">
        <v>8.8000000000000007</v>
      </c>
      <c r="T75" s="226">
        <v>4</v>
      </c>
    </row>
    <row r="76" spans="1:20">
      <c r="A76" s="110" t="s">
        <v>280</v>
      </c>
      <c r="B76" s="111" t="s">
        <v>232</v>
      </c>
      <c r="C76" s="112" t="s">
        <v>228</v>
      </c>
      <c r="D76" s="112"/>
      <c r="E76" s="113" t="s">
        <v>20</v>
      </c>
      <c r="F76" s="175" t="s">
        <v>15</v>
      </c>
      <c r="G76" s="175" t="s">
        <v>41</v>
      </c>
      <c r="H76" s="176">
        <v>11.8</v>
      </c>
      <c r="I76" s="177">
        <v>10.5</v>
      </c>
      <c r="J76" s="178">
        <v>1</v>
      </c>
      <c r="K76" s="174">
        <f t="shared" si="39"/>
        <v>0.12390000000000001</v>
      </c>
      <c r="L76" s="118"/>
      <c r="M76" s="111">
        <v>1</v>
      </c>
      <c r="N76" s="117">
        <f t="shared" si="40"/>
        <v>0.12390000000000001</v>
      </c>
      <c r="O76" s="119">
        <f t="shared" si="41"/>
        <v>0</v>
      </c>
      <c r="P76" s="120">
        <f t="shared" si="42"/>
        <v>0</v>
      </c>
      <c r="Q76" s="159">
        <v>7.5</v>
      </c>
      <c r="R76" s="111">
        <v>1</v>
      </c>
      <c r="S76" s="111"/>
      <c r="T76" s="186"/>
    </row>
    <row r="77" spans="1:20">
      <c r="A77" s="110" t="s">
        <v>280</v>
      </c>
      <c r="B77" s="111" t="s">
        <v>232</v>
      </c>
      <c r="C77" s="112" t="s">
        <v>228</v>
      </c>
      <c r="D77" s="112"/>
      <c r="E77" s="113" t="s">
        <v>20</v>
      </c>
      <c r="F77" s="175" t="s">
        <v>15</v>
      </c>
      <c r="G77" s="175" t="s">
        <v>41</v>
      </c>
      <c r="H77" s="176">
        <v>11.8</v>
      </c>
      <c r="I77" s="177">
        <v>9.8000000000000007</v>
      </c>
      <c r="J77" s="178">
        <v>1</v>
      </c>
      <c r="K77" s="174">
        <f t="shared" si="39"/>
        <v>0.11564000000000002</v>
      </c>
      <c r="L77" s="118"/>
      <c r="M77" s="111">
        <v>1</v>
      </c>
      <c r="N77" s="117">
        <f t="shared" si="40"/>
        <v>0.11564000000000002</v>
      </c>
      <c r="O77" s="119">
        <f t="shared" si="41"/>
        <v>0</v>
      </c>
      <c r="P77" s="120">
        <f t="shared" si="42"/>
        <v>0</v>
      </c>
      <c r="Q77" s="159">
        <v>7.5</v>
      </c>
      <c r="R77" s="111">
        <v>1</v>
      </c>
      <c r="S77" s="111"/>
      <c r="T77" s="186"/>
    </row>
    <row r="78" spans="1:20">
      <c r="A78" s="110" t="s">
        <v>280</v>
      </c>
      <c r="B78" s="111" t="s">
        <v>232</v>
      </c>
      <c r="C78" s="112" t="s">
        <v>228</v>
      </c>
      <c r="D78" s="112"/>
      <c r="E78" s="113" t="s">
        <v>20</v>
      </c>
      <c r="F78" s="175" t="s">
        <v>15</v>
      </c>
      <c r="G78" s="175" t="s">
        <v>41</v>
      </c>
      <c r="H78" s="176">
        <v>11.8</v>
      </c>
      <c r="I78" s="177">
        <v>7.3</v>
      </c>
      <c r="J78" s="178">
        <v>5</v>
      </c>
      <c r="K78" s="174">
        <f t="shared" si="39"/>
        <v>0.43069999999999997</v>
      </c>
      <c r="L78" s="118"/>
      <c r="M78" s="111">
        <v>5</v>
      </c>
      <c r="N78" s="117">
        <f t="shared" si="40"/>
        <v>0.43070000000000003</v>
      </c>
      <c r="O78" s="119">
        <f t="shared" si="41"/>
        <v>0</v>
      </c>
      <c r="P78" s="120">
        <f t="shared" si="42"/>
        <v>0</v>
      </c>
      <c r="Q78" s="159"/>
      <c r="R78" s="111"/>
      <c r="S78" s="172">
        <v>7.3</v>
      </c>
      <c r="T78" s="226">
        <v>5</v>
      </c>
    </row>
    <row r="79" spans="1:20">
      <c r="A79" s="110" t="s">
        <v>280</v>
      </c>
      <c r="B79" s="111" t="s">
        <v>232</v>
      </c>
      <c r="C79" s="112" t="s">
        <v>228</v>
      </c>
      <c r="D79" s="112"/>
      <c r="E79" s="113" t="s">
        <v>20</v>
      </c>
      <c r="F79" s="175" t="s">
        <v>15</v>
      </c>
      <c r="G79" s="175" t="s">
        <v>41</v>
      </c>
      <c r="H79" s="176">
        <v>11.8</v>
      </c>
      <c r="I79" s="179">
        <v>6.7</v>
      </c>
      <c r="J79" s="178">
        <v>1</v>
      </c>
      <c r="K79" s="174">
        <f t="shared" ref="K79:K83" si="43">(H79*I79*J79/1000)</f>
        <v>7.9060000000000005E-2</v>
      </c>
      <c r="L79" s="118"/>
      <c r="M79" s="111"/>
      <c r="N79" s="117">
        <f t="shared" ref="N79:N83" si="44">I79*M79*H79/1000</f>
        <v>0</v>
      </c>
      <c r="O79" s="119">
        <f t="shared" ref="O79:O83" si="45">J79-M79</f>
        <v>1</v>
      </c>
      <c r="P79" s="120">
        <f t="shared" ref="P79:P83" si="46">I79*O79*H79/1000</f>
        <v>7.9060000000000005E-2</v>
      </c>
      <c r="Q79" s="159"/>
      <c r="R79" s="111"/>
      <c r="S79" s="111"/>
      <c r="T79" s="186"/>
    </row>
    <row r="80" spans="1:20">
      <c r="A80" s="110" t="s">
        <v>280</v>
      </c>
      <c r="B80" s="111" t="s">
        <v>232</v>
      </c>
      <c r="C80" s="112" t="s">
        <v>228</v>
      </c>
      <c r="D80" s="112"/>
      <c r="E80" s="113" t="s">
        <v>20</v>
      </c>
      <c r="F80" s="175" t="s">
        <v>15</v>
      </c>
      <c r="G80" s="175" t="s">
        <v>41</v>
      </c>
      <c r="H80" s="176">
        <v>11.8</v>
      </c>
      <c r="I80" s="179">
        <v>6.5</v>
      </c>
      <c r="J80" s="178">
        <v>1</v>
      </c>
      <c r="K80" s="174">
        <f t="shared" si="43"/>
        <v>7.6700000000000004E-2</v>
      </c>
      <c r="L80" s="118"/>
      <c r="M80" s="111"/>
      <c r="N80" s="117">
        <f t="shared" si="44"/>
        <v>0</v>
      </c>
      <c r="O80" s="119">
        <f t="shared" si="45"/>
        <v>1</v>
      </c>
      <c r="P80" s="120">
        <f t="shared" si="46"/>
        <v>7.6700000000000004E-2</v>
      </c>
      <c r="Q80" s="159"/>
      <c r="R80" s="111"/>
      <c r="S80" s="111"/>
      <c r="T80" s="186"/>
    </row>
    <row r="81" spans="1:20">
      <c r="A81" s="110" t="s">
        <v>280</v>
      </c>
      <c r="B81" s="111" t="s">
        <v>232</v>
      </c>
      <c r="C81" s="112" t="s">
        <v>228</v>
      </c>
      <c r="D81" s="112"/>
      <c r="E81" s="113" t="s">
        <v>20</v>
      </c>
      <c r="F81" s="175" t="s">
        <v>15</v>
      </c>
      <c r="G81" s="175" t="s">
        <v>41</v>
      </c>
      <c r="H81" s="176">
        <v>11.8</v>
      </c>
      <c r="I81" s="179">
        <v>10.3</v>
      </c>
      <c r="J81" s="178">
        <v>2</v>
      </c>
      <c r="K81" s="174">
        <f t="shared" si="43"/>
        <v>0.24308000000000005</v>
      </c>
      <c r="L81" s="118"/>
      <c r="M81" s="111">
        <v>2</v>
      </c>
      <c r="N81" s="117">
        <f t="shared" si="44"/>
        <v>0.24308000000000005</v>
      </c>
      <c r="O81" s="119">
        <f t="shared" si="45"/>
        <v>0</v>
      </c>
      <c r="P81" s="120">
        <f t="shared" si="46"/>
        <v>0</v>
      </c>
      <c r="Q81" s="159">
        <v>7.5</v>
      </c>
      <c r="R81" s="111">
        <v>2</v>
      </c>
      <c r="S81" s="111"/>
      <c r="T81" s="186"/>
    </row>
    <row r="82" spans="1:20">
      <c r="A82" s="110" t="s">
        <v>280</v>
      </c>
      <c r="B82" s="111" t="s">
        <v>232</v>
      </c>
      <c r="C82" s="112" t="s">
        <v>228</v>
      </c>
      <c r="D82" s="112"/>
      <c r="E82" s="113" t="s">
        <v>20</v>
      </c>
      <c r="F82" s="175" t="s">
        <v>15</v>
      </c>
      <c r="G82" s="175" t="s">
        <v>41</v>
      </c>
      <c r="H82" s="176">
        <v>11.8</v>
      </c>
      <c r="I82" s="179">
        <v>7.1</v>
      </c>
      <c r="J82" s="178">
        <v>1</v>
      </c>
      <c r="K82" s="174">
        <f t="shared" si="43"/>
        <v>8.3780000000000007E-2</v>
      </c>
      <c r="L82" s="118"/>
      <c r="M82" s="111"/>
      <c r="N82" s="117">
        <f t="shared" si="44"/>
        <v>0</v>
      </c>
      <c r="O82" s="119">
        <f t="shared" si="45"/>
        <v>1</v>
      </c>
      <c r="P82" s="120">
        <f t="shared" si="46"/>
        <v>8.3780000000000007E-2</v>
      </c>
      <c r="Q82" s="159"/>
      <c r="R82" s="111"/>
      <c r="S82" s="111"/>
      <c r="T82" s="186"/>
    </row>
    <row r="83" spans="1:20">
      <c r="A83" s="110" t="s">
        <v>280</v>
      </c>
      <c r="B83" s="111" t="s">
        <v>232</v>
      </c>
      <c r="C83" s="112" t="s">
        <v>228</v>
      </c>
      <c r="D83" s="112"/>
      <c r="E83" s="113" t="s">
        <v>20</v>
      </c>
      <c r="F83" s="175" t="s">
        <v>15</v>
      </c>
      <c r="G83" s="175" t="s">
        <v>41</v>
      </c>
      <c r="H83" s="176">
        <v>11.8</v>
      </c>
      <c r="I83" s="179">
        <v>7.5</v>
      </c>
      <c r="J83" s="178">
        <v>1</v>
      </c>
      <c r="K83" s="174">
        <f t="shared" si="43"/>
        <v>8.8499999999999995E-2</v>
      </c>
      <c r="L83" s="118"/>
      <c r="M83" s="111">
        <v>1</v>
      </c>
      <c r="N83" s="117">
        <f t="shared" si="44"/>
        <v>8.8499999999999995E-2</v>
      </c>
      <c r="O83" s="119">
        <f t="shared" si="45"/>
        <v>0</v>
      </c>
      <c r="P83" s="120">
        <f t="shared" si="46"/>
        <v>0</v>
      </c>
      <c r="Q83" s="159"/>
      <c r="R83" s="111"/>
      <c r="S83" s="111"/>
      <c r="T83" s="186"/>
    </row>
    <row r="84" spans="1:20">
      <c r="J84" s="78">
        <f>SUM(J63:J83)</f>
        <v>244</v>
      </c>
      <c r="K84" s="5">
        <f>SUM(K63:K83)</f>
        <v>25.727540000000001</v>
      </c>
      <c r="M84" s="78">
        <f>SUM(M63:M83)</f>
        <v>241</v>
      </c>
      <c r="N84" s="128">
        <f>SUM(N63:N83)</f>
        <v>25.976520000000004</v>
      </c>
      <c r="O84" s="78">
        <f>SUM(O63:O83)</f>
        <v>3</v>
      </c>
      <c r="P84" s="128">
        <f>SUM(P63:P83)</f>
        <v>-0.24898000000000026</v>
      </c>
      <c r="T84" s="78">
        <f>SUM(T63:T83)</f>
        <v>17</v>
      </c>
    </row>
    <row r="87" spans="1:20">
      <c r="A87" s="110" t="s">
        <v>280</v>
      </c>
      <c r="B87" s="111" t="s">
        <v>232</v>
      </c>
      <c r="C87" s="112" t="s">
        <v>228</v>
      </c>
      <c r="D87" s="112"/>
      <c r="E87" s="113" t="s">
        <v>17</v>
      </c>
      <c r="F87" s="175" t="s">
        <v>15</v>
      </c>
      <c r="G87" s="175" t="s">
        <v>41</v>
      </c>
      <c r="H87" s="176">
        <v>11.8</v>
      </c>
      <c r="I87" s="177">
        <v>7.6</v>
      </c>
      <c r="J87" s="178">
        <v>5</v>
      </c>
      <c r="K87" s="174">
        <f t="shared" ref="K87:K90" si="47">(H87*I87*J87/1000)</f>
        <v>0.44840000000000002</v>
      </c>
      <c r="L87" s="118"/>
      <c r="M87" s="111">
        <v>5</v>
      </c>
      <c r="N87" s="117">
        <f t="shared" ref="N87:N90" si="48">I87*M87*H87/1000</f>
        <v>0.44840000000000002</v>
      </c>
      <c r="O87" s="119">
        <f t="shared" ref="O87:O90" si="49">J87-M87</f>
        <v>0</v>
      </c>
      <c r="P87" s="120">
        <f t="shared" ref="P87:P90" si="50">I87*O87*H87/1000</f>
        <v>0</v>
      </c>
      <c r="Q87" s="159"/>
      <c r="R87" s="111"/>
      <c r="S87" s="111"/>
    </row>
    <row r="88" spans="1:20">
      <c r="A88" s="110" t="s">
        <v>280</v>
      </c>
      <c r="B88" s="111" t="s">
        <v>232</v>
      </c>
      <c r="C88" s="112" t="s">
        <v>228</v>
      </c>
      <c r="D88" s="112"/>
      <c r="E88" s="113" t="s">
        <v>17</v>
      </c>
      <c r="F88" s="175" t="s">
        <v>15</v>
      </c>
      <c r="G88" s="175" t="s">
        <v>41</v>
      </c>
      <c r="H88" s="176">
        <v>11.8</v>
      </c>
      <c r="I88" s="179">
        <v>8.1</v>
      </c>
      <c r="J88" s="178">
        <f>36+9+29+22</f>
        <v>96</v>
      </c>
      <c r="K88" s="174">
        <f t="shared" si="47"/>
        <v>9.1756799999999998</v>
      </c>
      <c r="L88" s="118"/>
      <c r="M88" s="111">
        <f>90+6</f>
        <v>96</v>
      </c>
      <c r="N88" s="117">
        <f t="shared" si="48"/>
        <v>9.1756799999999998</v>
      </c>
      <c r="O88" s="119">
        <f t="shared" si="49"/>
        <v>0</v>
      </c>
      <c r="P88" s="120">
        <f t="shared" si="50"/>
        <v>0</v>
      </c>
      <c r="Q88" s="159">
        <v>7.6</v>
      </c>
      <c r="R88" s="111">
        <v>6</v>
      </c>
      <c r="S88" s="111"/>
    </row>
    <row r="89" spans="1:20">
      <c r="A89" s="110" t="s">
        <v>280</v>
      </c>
      <c r="B89" s="111" t="s">
        <v>232</v>
      </c>
      <c r="C89" s="112" t="s">
        <v>228</v>
      </c>
      <c r="D89" s="112"/>
      <c r="E89" s="113" t="s">
        <v>17</v>
      </c>
      <c r="F89" s="175" t="s">
        <v>15</v>
      </c>
      <c r="G89" s="175" t="s">
        <v>41</v>
      </c>
      <c r="H89" s="176">
        <v>11.8</v>
      </c>
      <c r="I89" s="179">
        <v>8.25</v>
      </c>
      <c r="J89" s="178">
        <f>15+25</f>
        <v>40</v>
      </c>
      <c r="K89" s="174">
        <f t="shared" si="47"/>
        <v>3.8940000000000006</v>
      </c>
      <c r="L89" s="118"/>
      <c r="M89" s="111">
        <v>40</v>
      </c>
      <c r="N89" s="117">
        <f t="shared" si="48"/>
        <v>3.8940000000000006</v>
      </c>
      <c r="O89" s="119">
        <f t="shared" si="49"/>
        <v>0</v>
      </c>
      <c r="P89" s="120">
        <f t="shared" si="50"/>
        <v>0</v>
      </c>
      <c r="Q89" s="159"/>
      <c r="R89" s="111"/>
      <c r="S89" s="111"/>
    </row>
    <row r="90" spans="1:20">
      <c r="A90" s="110" t="s">
        <v>280</v>
      </c>
      <c r="B90" s="111" t="s">
        <v>232</v>
      </c>
      <c r="C90" s="112" t="s">
        <v>228</v>
      </c>
      <c r="D90" s="112"/>
      <c r="E90" s="113" t="s">
        <v>17</v>
      </c>
      <c r="F90" s="175" t="s">
        <v>15</v>
      </c>
      <c r="G90" s="175" t="s">
        <v>41</v>
      </c>
      <c r="H90" s="176">
        <v>11.8</v>
      </c>
      <c r="I90" s="179">
        <v>10.5</v>
      </c>
      <c r="J90" s="178">
        <f>14+17</f>
        <v>31</v>
      </c>
      <c r="K90" s="174">
        <f t="shared" si="47"/>
        <v>3.8409</v>
      </c>
      <c r="L90" s="118"/>
      <c r="M90" s="111">
        <f>19+6+1+5</f>
        <v>31</v>
      </c>
      <c r="N90" s="117">
        <f t="shared" si="48"/>
        <v>3.8409</v>
      </c>
      <c r="O90" s="119">
        <f t="shared" si="49"/>
        <v>0</v>
      </c>
      <c r="P90" s="120">
        <f t="shared" si="50"/>
        <v>0</v>
      </c>
      <c r="Q90" s="159">
        <v>7.2</v>
      </c>
      <c r="R90" s="111">
        <v>1</v>
      </c>
      <c r="S90" s="111">
        <v>5</v>
      </c>
      <c r="T90" t="s">
        <v>283</v>
      </c>
    </row>
    <row r="91" spans="1:20">
      <c r="A91" s="110" t="s">
        <v>280</v>
      </c>
      <c r="B91" s="111" t="s">
        <v>232</v>
      </c>
      <c r="C91" s="112" t="s">
        <v>228</v>
      </c>
      <c r="D91" s="112"/>
      <c r="E91" s="113" t="s">
        <v>17</v>
      </c>
      <c r="F91" s="175" t="s">
        <v>15</v>
      </c>
      <c r="G91" s="175" t="s">
        <v>41</v>
      </c>
      <c r="H91" s="176">
        <v>11.8</v>
      </c>
      <c r="I91" s="179">
        <v>12</v>
      </c>
      <c r="J91" s="178">
        <f>21+14+23</f>
        <v>58</v>
      </c>
      <c r="K91" s="174">
        <f t="shared" ref="K91:K103" si="51">(H91*I91*J91/1000)</f>
        <v>8.2128000000000014</v>
      </c>
      <c r="L91" s="118"/>
      <c r="M91" s="111">
        <f>57+1</f>
        <v>58</v>
      </c>
      <c r="N91" s="117">
        <f t="shared" ref="N91:N103" si="52">I91*M91*H91/1000</f>
        <v>8.2128000000000014</v>
      </c>
      <c r="O91" s="119">
        <f t="shared" ref="O91:O103" si="53">J91-M91</f>
        <v>0</v>
      </c>
      <c r="P91" s="120">
        <f t="shared" ref="P91:P103" si="54">I91*O91*H91/1000</f>
        <v>0</v>
      </c>
      <c r="Q91" s="159"/>
      <c r="R91" s="111"/>
      <c r="S91" s="111"/>
    </row>
    <row r="92" spans="1:20">
      <c r="A92" s="110" t="s">
        <v>280</v>
      </c>
      <c r="B92" s="111" t="s">
        <v>232</v>
      </c>
      <c r="C92" s="112" t="s">
        <v>228</v>
      </c>
      <c r="D92" s="112"/>
      <c r="E92" s="113" t="s">
        <v>17</v>
      </c>
      <c r="F92" s="175" t="s">
        <v>15</v>
      </c>
      <c r="G92" s="175" t="s">
        <v>41</v>
      </c>
      <c r="H92" s="176">
        <v>11.8</v>
      </c>
      <c r="I92" s="179">
        <v>6.2</v>
      </c>
      <c r="J92" s="178"/>
      <c r="K92" s="174">
        <f t="shared" si="51"/>
        <v>0</v>
      </c>
      <c r="L92" s="118"/>
      <c r="M92" s="111"/>
      <c r="N92" s="117">
        <f t="shared" si="52"/>
        <v>0</v>
      </c>
      <c r="O92" s="119">
        <f t="shared" si="53"/>
        <v>0</v>
      </c>
      <c r="P92" s="120">
        <f t="shared" si="54"/>
        <v>0</v>
      </c>
      <c r="Q92" s="159"/>
      <c r="R92" s="111"/>
      <c r="S92" s="111"/>
    </row>
    <row r="93" spans="1:20">
      <c r="A93" s="110" t="s">
        <v>280</v>
      </c>
      <c r="B93" s="111" t="s">
        <v>232</v>
      </c>
      <c r="C93" s="112" t="s">
        <v>228</v>
      </c>
      <c r="D93" s="112"/>
      <c r="E93" s="113" t="s">
        <v>17</v>
      </c>
      <c r="F93" s="175" t="s">
        <v>15</v>
      </c>
      <c r="G93" s="175" t="s">
        <v>41</v>
      </c>
      <c r="H93" s="176">
        <v>11.8</v>
      </c>
      <c r="I93" s="179">
        <v>7.1</v>
      </c>
      <c r="J93" s="178">
        <f>6+10</f>
        <v>16</v>
      </c>
      <c r="K93" s="174">
        <f t="shared" si="51"/>
        <v>1.3404800000000001</v>
      </c>
      <c r="L93" s="118"/>
      <c r="M93" s="111">
        <v>16</v>
      </c>
      <c r="N93" s="117">
        <f t="shared" si="52"/>
        <v>1.3404800000000001</v>
      </c>
      <c r="O93" s="119">
        <f t="shared" si="53"/>
        <v>0</v>
      </c>
      <c r="P93" s="120">
        <f t="shared" si="54"/>
        <v>0</v>
      </c>
      <c r="Q93" s="159"/>
      <c r="R93" s="111"/>
      <c r="S93" s="111"/>
    </row>
    <row r="94" spans="1:20">
      <c r="A94" s="110" t="s">
        <v>280</v>
      </c>
      <c r="B94" s="111" t="s">
        <v>232</v>
      </c>
      <c r="C94" s="112" t="s">
        <v>228</v>
      </c>
      <c r="D94" s="112"/>
      <c r="E94" s="113" t="s">
        <v>17</v>
      </c>
      <c r="F94" s="175" t="s">
        <v>15</v>
      </c>
      <c r="G94" s="175" t="s">
        <v>41</v>
      </c>
      <c r="H94" s="176">
        <v>11.8</v>
      </c>
      <c r="I94" s="179">
        <v>7.2</v>
      </c>
      <c r="J94" s="178">
        <f>10+13</f>
        <v>23</v>
      </c>
      <c r="K94" s="174">
        <f t="shared" si="51"/>
        <v>1.9540800000000003</v>
      </c>
      <c r="L94" s="118"/>
      <c r="M94" s="111">
        <v>23</v>
      </c>
      <c r="N94" s="117">
        <f t="shared" si="52"/>
        <v>1.9540800000000003</v>
      </c>
      <c r="O94" s="119">
        <f t="shared" si="53"/>
        <v>0</v>
      </c>
      <c r="P94" s="120">
        <f t="shared" si="54"/>
        <v>0</v>
      </c>
      <c r="Q94" s="159"/>
      <c r="R94" s="111"/>
      <c r="S94" s="111"/>
    </row>
    <row r="95" spans="1:20">
      <c r="A95" s="110" t="s">
        <v>280</v>
      </c>
      <c r="B95" s="111" t="s">
        <v>232</v>
      </c>
      <c r="C95" s="112" t="s">
        <v>228</v>
      </c>
      <c r="D95" s="112"/>
      <c r="E95" s="113" t="s">
        <v>17</v>
      </c>
      <c r="F95" s="175" t="s">
        <v>15</v>
      </c>
      <c r="G95" s="175" t="s">
        <v>41</v>
      </c>
      <c r="H95" s="176">
        <v>11.8</v>
      </c>
      <c r="I95" s="179">
        <v>7.4</v>
      </c>
      <c r="J95" s="178">
        <f>5+15</f>
        <v>20</v>
      </c>
      <c r="K95" s="174">
        <f t="shared" si="51"/>
        <v>1.7464000000000002</v>
      </c>
      <c r="L95" s="118"/>
      <c r="M95" s="111">
        <v>20</v>
      </c>
      <c r="N95" s="117">
        <f t="shared" si="52"/>
        <v>1.7464000000000002</v>
      </c>
      <c r="O95" s="119">
        <f t="shared" si="53"/>
        <v>0</v>
      </c>
      <c r="P95" s="120">
        <f t="shared" si="54"/>
        <v>0</v>
      </c>
      <c r="Q95" s="159"/>
      <c r="R95" s="111"/>
      <c r="S95" s="111"/>
    </row>
    <row r="96" spans="1:20">
      <c r="A96" s="110" t="s">
        <v>280</v>
      </c>
      <c r="B96" s="111" t="s">
        <v>232</v>
      </c>
      <c r="C96" s="112" t="s">
        <v>228</v>
      </c>
      <c r="D96" s="112"/>
      <c r="E96" s="113" t="s">
        <v>17</v>
      </c>
      <c r="F96" s="175" t="s">
        <v>15</v>
      </c>
      <c r="G96" s="175" t="s">
        <v>41</v>
      </c>
      <c r="H96" s="176">
        <v>11.8</v>
      </c>
      <c r="I96" s="179">
        <v>10.5</v>
      </c>
      <c r="J96" s="178"/>
      <c r="K96" s="174">
        <f t="shared" si="51"/>
        <v>0</v>
      </c>
      <c r="L96" s="118"/>
      <c r="M96" s="111"/>
      <c r="N96" s="117">
        <f t="shared" si="52"/>
        <v>0</v>
      </c>
      <c r="O96" s="119">
        <f t="shared" si="53"/>
        <v>0</v>
      </c>
      <c r="P96" s="120">
        <f t="shared" si="54"/>
        <v>0</v>
      </c>
      <c r="Q96" s="159"/>
      <c r="R96" s="111"/>
      <c r="S96" s="111"/>
    </row>
    <row r="97" spans="1:19">
      <c r="A97" s="110" t="s">
        <v>280</v>
      </c>
      <c r="B97" s="111" t="s">
        <v>232</v>
      </c>
      <c r="C97" s="112" t="s">
        <v>228</v>
      </c>
      <c r="D97" s="112"/>
      <c r="E97" s="113" t="s">
        <v>17</v>
      </c>
      <c r="F97" s="175" t="s">
        <v>15</v>
      </c>
      <c r="G97" s="175" t="s">
        <v>41</v>
      </c>
      <c r="H97" s="176">
        <v>11.8</v>
      </c>
      <c r="I97" s="179">
        <v>11</v>
      </c>
      <c r="J97" s="178">
        <f>6+11</f>
        <v>17</v>
      </c>
      <c r="K97" s="174">
        <f t="shared" si="51"/>
        <v>2.2066000000000003</v>
      </c>
      <c r="L97" s="118"/>
      <c r="M97" s="111">
        <v>17</v>
      </c>
      <c r="N97" s="117">
        <f t="shared" si="52"/>
        <v>2.2065999999999999</v>
      </c>
      <c r="O97" s="119">
        <f t="shared" si="53"/>
        <v>0</v>
      </c>
      <c r="P97" s="120">
        <f t="shared" si="54"/>
        <v>0</v>
      </c>
      <c r="Q97" s="159"/>
      <c r="R97" s="111"/>
      <c r="S97" s="111"/>
    </row>
    <row r="98" spans="1:19">
      <c r="A98" s="110" t="s">
        <v>280</v>
      </c>
      <c r="B98" s="111" t="s">
        <v>232</v>
      </c>
      <c r="C98" s="112" t="s">
        <v>228</v>
      </c>
      <c r="D98" s="112"/>
      <c r="E98" s="113" t="s">
        <v>17</v>
      </c>
      <c r="F98" s="175" t="s">
        <v>15</v>
      </c>
      <c r="G98" s="175" t="s">
        <v>41</v>
      </c>
      <c r="H98" s="176">
        <v>11.8</v>
      </c>
      <c r="I98" s="179">
        <v>11.2</v>
      </c>
      <c r="J98" s="178">
        <f>18+20</f>
        <v>38</v>
      </c>
      <c r="K98" s="174">
        <f t="shared" si="51"/>
        <v>5.0220799999999999</v>
      </c>
      <c r="L98" s="118"/>
      <c r="M98" s="111">
        <v>32</v>
      </c>
      <c r="N98" s="117">
        <f t="shared" si="52"/>
        <v>4.22912</v>
      </c>
      <c r="O98" s="119">
        <f t="shared" si="53"/>
        <v>6</v>
      </c>
      <c r="P98" s="120">
        <f t="shared" si="54"/>
        <v>0.79295999999999989</v>
      </c>
      <c r="Q98" s="159"/>
      <c r="R98" s="111"/>
      <c r="S98" s="111"/>
    </row>
    <row r="99" spans="1:19">
      <c r="A99" s="110" t="s">
        <v>280</v>
      </c>
      <c r="B99" s="111" t="s">
        <v>232</v>
      </c>
      <c r="C99" s="112" t="s">
        <v>228</v>
      </c>
      <c r="D99" s="112"/>
      <c r="E99" s="113" t="s">
        <v>17</v>
      </c>
      <c r="F99" s="175" t="s">
        <v>15</v>
      </c>
      <c r="G99" s="175" t="s">
        <v>41</v>
      </c>
      <c r="H99" s="176">
        <v>11.8</v>
      </c>
      <c r="I99" s="179">
        <v>12</v>
      </c>
      <c r="J99" s="178">
        <v>7</v>
      </c>
      <c r="K99" s="174">
        <f t="shared" si="51"/>
        <v>0.99120000000000019</v>
      </c>
      <c r="L99" s="118"/>
      <c r="M99" s="111">
        <v>7</v>
      </c>
      <c r="N99" s="117">
        <f t="shared" si="52"/>
        <v>0.99120000000000008</v>
      </c>
      <c r="O99" s="119">
        <f t="shared" si="53"/>
        <v>0</v>
      </c>
      <c r="P99" s="120">
        <f t="shared" si="54"/>
        <v>0</v>
      </c>
      <c r="Q99" s="159"/>
      <c r="R99" s="111"/>
      <c r="S99" s="111"/>
    </row>
    <row r="100" spans="1:19">
      <c r="A100" s="110" t="s">
        <v>280</v>
      </c>
      <c r="B100" s="111" t="s">
        <v>232</v>
      </c>
      <c r="C100" s="112" t="s">
        <v>228</v>
      </c>
      <c r="D100" s="112"/>
      <c r="E100" s="113" t="s">
        <v>17</v>
      </c>
      <c r="F100" s="175" t="s">
        <v>15</v>
      </c>
      <c r="G100" s="175" t="s">
        <v>41</v>
      </c>
      <c r="H100" s="176">
        <v>11.8</v>
      </c>
      <c r="I100" s="179">
        <v>10.199999999999999</v>
      </c>
      <c r="J100" s="178">
        <v>2</v>
      </c>
      <c r="K100" s="174">
        <f t="shared" si="51"/>
        <v>0.24071999999999999</v>
      </c>
      <c r="L100" s="118"/>
      <c r="M100" s="111">
        <v>2</v>
      </c>
      <c r="N100" s="117">
        <f t="shared" si="52"/>
        <v>0.24071999999999999</v>
      </c>
      <c r="O100" s="119">
        <f t="shared" si="53"/>
        <v>0</v>
      </c>
      <c r="P100" s="120">
        <f t="shared" si="54"/>
        <v>0</v>
      </c>
      <c r="Q100" s="159">
        <v>7.2</v>
      </c>
      <c r="R100" s="111">
        <v>2</v>
      </c>
      <c r="S100" s="111"/>
    </row>
    <row r="101" spans="1:19">
      <c r="A101" s="110" t="s">
        <v>280</v>
      </c>
      <c r="B101" s="111" t="s">
        <v>232</v>
      </c>
      <c r="C101" s="112" t="s">
        <v>228</v>
      </c>
      <c r="D101" s="112"/>
      <c r="E101" s="113" t="s">
        <v>17</v>
      </c>
      <c r="F101" s="175" t="s">
        <v>15</v>
      </c>
      <c r="G101" s="175" t="s">
        <v>41</v>
      </c>
      <c r="H101" s="176">
        <v>11.8</v>
      </c>
      <c r="I101" s="179">
        <v>10</v>
      </c>
      <c r="J101" s="178">
        <v>2</v>
      </c>
      <c r="K101" s="174">
        <f t="shared" si="51"/>
        <v>0.23599999999999999</v>
      </c>
      <c r="L101" s="118"/>
      <c r="M101" s="111">
        <v>2</v>
      </c>
      <c r="N101" s="117">
        <f t="shared" si="52"/>
        <v>0.23599999999999999</v>
      </c>
      <c r="O101" s="119">
        <f t="shared" si="53"/>
        <v>0</v>
      </c>
      <c r="P101" s="120">
        <f t="shared" si="54"/>
        <v>0</v>
      </c>
      <c r="Q101" s="159">
        <v>7.4</v>
      </c>
      <c r="R101" s="111">
        <v>2</v>
      </c>
      <c r="S101" s="111"/>
    </row>
    <row r="102" spans="1:19">
      <c r="A102" s="110" t="s">
        <v>280</v>
      </c>
      <c r="B102" s="111" t="s">
        <v>232</v>
      </c>
      <c r="C102" s="112" t="s">
        <v>228</v>
      </c>
      <c r="D102" s="112"/>
      <c r="E102" s="113" t="s">
        <v>17</v>
      </c>
      <c r="F102" s="175" t="s">
        <v>15</v>
      </c>
      <c r="G102" s="175" t="s">
        <v>41</v>
      </c>
      <c r="H102" s="176">
        <v>11.8</v>
      </c>
      <c r="I102" s="179">
        <v>9.5</v>
      </c>
      <c r="J102" s="178">
        <v>2</v>
      </c>
      <c r="K102" s="174">
        <f t="shared" si="51"/>
        <v>0.22420000000000001</v>
      </c>
      <c r="L102" s="118"/>
      <c r="M102" s="111">
        <v>2</v>
      </c>
      <c r="N102" s="117">
        <f t="shared" si="52"/>
        <v>0.22420000000000001</v>
      </c>
      <c r="O102" s="119">
        <f t="shared" si="53"/>
        <v>0</v>
      </c>
      <c r="P102" s="120">
        <f t="shared" si="54"/>
        <v>0</v>
      </c>
      <c r="Q102" s="159">
        <v>7.6</v>
      </c>
      <c r="R102" s="111">
        <v>2</v>
      </c>
      <c r="S102" s="111"/>
    </row>
    <row r="103" spans="1:19">
      <c r="A103" s="110" t="s">
        <v>280</v>
      </c>
      <c r="B103" s="111" t="s">
        <v>232</v>
      </c>
      <c r="C103" s="112" t="s">
        <v>228</v>
      </c>
      <c r="D103" s="112"/>
      <c r="E103" s="113" t="s">
        <v>17</v>
      </c>
      <c r="F103" s="175" t="s">
        <v>15</v>
      </c>
      <c r="G103" s="175" t="s">
        <v>41</v>
      </c>
      <c r="H103" s="176">
        <v>11.8</v>
      </c>
      <c r="I103" s="179">
        <v>7.6</v>
      </c>
      <c r="J103" s="178">
        <v>3</v>
      </c>
      <c r="K103" s="174">
        <f t="shared" si="51"/>
        <v>0.26904</v>
      </c>
      <c r="L103" s="118"/>
      <c r="M103" s="111">
        <v>3</v>
      </c>
      <c r="N103" s="117">
        <f t="shared" si="52"/>
        <v>0.26903999999999995</v>
      </c>
      <c r="O103" s="119">
        <f t="shared" si="53"/>
        <v>0</v>
      </c>
      <c r="P103" s="120">
        <f t="shared" si="54"/>
        <v>0</v>
      </c>
      <c r="Q103" s="159"/>
      <c r="R103" s="111"/>
      <c r="S103" s="111"/>
    </row>
    <row r="104" spans="1:19">
      <c r="A104" s="110" t="s">
        <v>280</v>
      </c>
      <c r="B104" s="111" t="s">
        <v>232</v>
      </c>
      <c r="C104" s="112" t="s">
        <v>228</v>
      </c>
      <c r="D104" s="112"/>
      <c r="E104" s="113" t="s">
        <v>17</v>
      </c>
      <c r="F104" s="175" t="s">
        <v>15</v>
      </c>
      <c r="G104" s="175" t="s">
        <v>41</v>
      </c>
      <c r="H104" s="176">
        <v>11.8</v>
      </c>
      <c r="I104" s="179">
        <v>10</v>
      </c>
      <c r="J104" s="178">
        <v>2</v>
      </c>
      <c r="K104" s="174">
        <f t="shared" ref="K104:K105" si="55">(H104*I104*J104/1000)</f>
        <v>0.23599999999999999</v>
      </c>
      <c r="L104" s="118"/>
      <c r="M104" s="111">
        <v>2</v>
      </c>
      <c r="N104" s="117">
        <f t="shared" ref="N104:N105" si="56">I104*M104*H104/1000</f>
        <v>0.23599999999999999</v>
      </c>
      <c r="O104" s="119">
        <f t="shared" ref="O104:O105" si="57">J104-M104</f>
        <v>0</v>
      </c>
      <c r="P104" s="120">
        <f t="shared" ref="P104:P105" si="58">I104*O104*H104/1000</f>
        <v>0</v>
      </c>
      <c r="Q104" s="159">
        <v>7.2</v>
      </c>
      <c r="R104" s="111">
        <v>2</v>
      </c>
      <c r="S104" s="111"/>
    </row>
    <row r="105" spans="1:19">
      <c r="A105" s="110" t="s">
        <v>280</v>
      </c>
      <c r="B105" s="111" t="s">
        <v>232</v>
      </c>
      <c r="C105" s="112" t="s">
        <v>228</v>
      </c>
      <c r="D105" s="112"/>
      <c r="E105" s="113" t="s">
        <v>17</v>
      </c>
      <c r="F105" s="175" t="s">
        <v>15</v>
      </c>
      <c r="G105" s="175" t="s">
        <v>41</v>
      </c>
      <c r="H105" s="176">
        <v>11.8</v>
      </c>
      <c r="I105" s="179">
        <v>11.2</v>
      </c>
      <c r="J105" s="178">
        <v>2</v>
      </c>
      <c r="K105" s="174">
        <f t="shared" si="55"/>
        <v>0.26432</v>
      </c>
      <c r="L105" s="118"/>
      <c r="M105" s="111"/>
      <c r="N105" s="117">
        <f t="shared" si="56"/>
        <v>0</v>
      </c>
      <c r="O105" s="119">
        <f t="shared" si="57"/>
        <v>2</v>
      </c>
      <c r="P105" s="120">
        <f t="shared" si="58"/>
        <v>0.26432</v>
      </c>
      <c r="Q105" s="159"/>
      <c r="R105" s="111"/>
      <c r="S105" s="111"/>
    </row>
    <row r="106" spans="1:19">
      <c r="J106" s="78">
        <f>SUM(J87:J105)</f>
        <v>364</v>
      </c>
      <c r="K106" s="5">
        <f>SUM(K87:K105)</f>
        <v>40.302900000000001</v>
      </c>
      <c r="M106" s="80">
        <f>SUM(M87:M105)</f>
        <v>356</v>
      </c>
      <c r="N106" s="128">
        <f>SUM(N87:N105)</f>
        <v>39.245620000000002</v>
      </c>
      <c r="O106" s="78">
        <f>SUM(O87:O105)</f>
        <v>8</v>
      </c>
      <c r="P106" s="5">
        <f>SUM(P87:P105)</f>
        <v>1.05728</v>
      </c>
    </row>
    <row r="108" spans="1:19">
      <c r="A108" s="110" t="s">
        <v>303</v>
      </c>
      <c r="B108" s="111" t="s">
        <v>232</v>
      </c>
      <c r="C108" s="112" t="s">
        <v>228</v>
      </c>
      <c r="D108" s="112"/>
      <c r="E108" s="113" t="s">
        <v>17</v>
      </c>
      <c r="F108" s="175" t="s">
        <v>15</v>
      </c>
      <c r="G108" s="175" t="s">
        <v>36</v>
      </c>
      <c r="H108" s="176">
        <v>10.199999999999999</v>
      </c>
      <c r="I108" s="179">
        <v>7.25</v>
      </c>
      <c r="J108" s="178">
        <v>15</v>
      </c>
      <c r="K108" s="174">
        <f t="shared" ref="K108" si="59">(H108*I108*J108/1000)</f>
        <v>1.1092499999999998</v>
      </c>
      <c r="L108" s="118"/>
      <c r="M108" s="111">
        <f>11+2</f>
        <v>13</v>
      </c>
      <c r="N108" s="117">
        <f t="shared" ref="N108" si="60">I108*M108*H108/1000</f>
        <v>0.96134999999999993</v>
      </c>
      <c r="O108" s="145">
        <f t="shared" ref="O108" si="61">J108-M108</f>
        <v>2</v>
      </c>
      <c r="P108" s="146">
        <f t="shared" ref="P108" si="62">I108*O108*H108/1000</f>
        <v>0.14789999999999998</v>
      </c>
      <c r="Q108" s="159">
        <v>6.6</v>
      </c>
      <c r="R108" s="111">
        <v>2</v>
      </c>
      <c r="S108" s="111"/>
    </row>
    <row r="109" spans="1:19">
      <c r="A109" s="110" t="s">
        <v>303</v>
      </c>
      <c r="B109" s="111" t="s">
        <v>232</v>
      </c>
      <c r="C109" s="112" t="s">
        <v>228</v>
      </c>
      <c r="D109" s="112"/>
      <c r="E109" s="113" t="s">
        <v>17</v>
      </c>
      <c r="F109" s="175" t="s">
        <v>15</v>
      </c>
      <c r="G109" s="175" t="s">
        <v>36</v>
      </c>
      <c r="H109" s="176">
        <v>10.199999999999999</v>
      </c>
      <c r="I109" s="179">
        <v>8.25</v>
      </c>
      <c r="J109" s="178">
        <v>10</v>
      </c>
      <c r="K109" s="174">
        <f t="shared" ref="K109:K120" si="63">(H109*I109*J109/1000)</f>
        <v>0.84149999999999991</v>
      </c>
      <c r="L109" s="118"/>
      <c r="M109" s="111">
        <v>4</v>
      </c>
      <c r="N109" s="117">
        <f t="shared" ref="N109:N120" si="64">I109*M109*H109/1000</f>
        <v>0.33659999999999995</v>
      </c>
      <c r="O109" s="145">
        <f t="shared" ref="O109:O120" si="65">J109-M109</f>
        <v>6</v>
      </c>
      <c r="P109" s="146">
        <f t="shared" ref="P109:P119" si="66">I109*O109*H109/1000</f>
        <v>0.50490000000000002</v>
      </c>
      <c r="Q109" s="159"/>
      <c r="R109" s="111"/>
      <c r="S109" s="111"/>
    </row>
    <row r="110" spans="1:19">
      <c r="A110" s="110" t="s">
        <v>303</v>
      </c>
      <c r="B110" s="111" t="s">
        <v>232</v>
      </c>
      <c r="C110" s="112" t="s">
        <v>228</v>
      </c>
      <c r="D110" s="112"/>
      <c r="E110" s="113" t="s">
        <v>17</v>
      </c>
      <c r="F110" s="175" t="s">
        <v>15</v>
      </c>
      <c r="G110" s="175" t="s">
        <v>36</v>
      </c>
      <c r="H110" s="176">
        <v>10.199999999999999</v>
      </c>
      <c r="I110" s="179">
        <v>10</v>
      </c>
      <c r="J110" s="178">
        <v>19</v>
      </c>
      <c r="K110" s="174">
        <f t="shared" si="63"/>
        <v>1.9379999999999999</v>
      </c>
      <c r="L110" s="118"/>
      <c r="M110" s="111">
        <v>19</v>
      </c>
      <c r="N110" s="117">
        <f t="shared" si="64"/>
        <v>1.9379999999999997</v>
      </c>
      <c r="O110" s="145">
        <f t="shared" si="65"/>
        <v>0</v>
      </c>
      <c r="P110" s="146">
        <f t="shared" si="66"/>
        <v>0</v>
      </c>
      <c r="Q110" s="159"/>
      <c r="R110" s="111"/>
      <c r="S110" s="111"/>
    </row>
    <row r="111" spans="1:19">
      <c r="A111" s="110" t="s">
        <v>303</v>
      </c>
      <c r="B111" s="111" t="s">
        <v>232</v>
      </c>
      <c r="C111" s="112" t="s">
        <v>228</v>
      </c>
      <c r="D111" s="112"/>
      <c r="E111" s="113" t="s">
        <v>17</v>
      </c>
      <c r="F111" s="175" t="s">
        <v>15</v>
      </c>
      <c r="G111" s="175" t="s">
        <v>36</v>
      </c>
      <c r="H111" s="176">
        <v>10.199999999999999</v>
      </c>
      <c r="I111" s="179">
        <v>12</v>
      </c>
      <c r="J111" s="178">
        <v>15</v>
      </c>
      <c r="K111" s="174">
        <f t="shared" si="63"/>
        <v>1.8359999999999999</v>
      </c>
      <c r="L111" s="118"/>
      <c r="M111" s="111">
        <v>15</v>
      </c>
      <c r="N111" s="117">
        <f t="shared" si="64"/>
        <v>1.8359999999999999</v>
      </c>
      <c r="O111" s="145">
        <f t="shared" si="65"/>
        <v>0</v>
      </c>
      <c r="P111" s="146">
        <f t="shared" si="66"/>
        <v>0</v>
      </c>
      <c r="Q111" s="159"/>
      <c r="R111" s="111"/>
      <c r="S111" s="111"/>
    </row>
    <row r="112" spans="1:19">
      <c r="A112" s="110" t="s">
        <v>303</v>
      </c>
      <c r="B112" s="111" t="s">
        <v>232</v>
      </c>
      <c r="C112" s="112" t="s">
        <v>228</v>
      </c>
      <c r="D112" s="112"/>
      <c r="E112" s="113" t="s">
        <v>17</v>
      </c>
      <c r="F112" s="175" t="s">
        <v>15</v>
      </c>
      <c r="G112" s="175" t="s">
        <v>36</v>
      </c>
      <c r="H112" s="176">
        <v>10.199999999999999</v>
      </c>
      <c r="I112" s="179">
        <v>6.6</v>
      </c>
      <c r="J112" s="178">
        <v>13</v>
      </c>
      <c r="K112" s="174">
        <f t="shared" si="63"/>
        <v>0.87515999999999983</v>
      </c>
      <c r="L112" s="118"/>
      <c r="M112" s="111">
        <v>13</v>
      </c>
      <c r="N112" s="117">
        <f t="shared" si="64"/>
        <v>0.87515999999999983</v>
      </c>
      <c r="O112" s="145">
        <f t="shared" si="65"/>
        <v>0</v>
      </c>
      <c r="P112" s="146">
        <f t="shared" si="66"/>
        <v>0</v>
      </c>
      <c r="Q112" s="159"/>
      <c r="R112" s="111"/>
      <c r="S112" s="111"/>
    </row>
    <row r="113" spans="1:19">
      <c r="A113" s="110" t="s">
        <v>303</v>
      </c>
      <c r="B113" s="111" t="s">
        <v>232</v>
      </c>
      <c r="C113" s="112" t="s">
        <v>228</v>
      </c>
      <c r="D113" s="112"/>
      <c r="E113" s="113" t="s">
        <v>17</v>
      </c>
      <c r="F113" s="175" t="s">
        <v>15</v>
      </c>
      <c r="G113" s="175" t="s">
        <v>36</v>
      </c>
      <c r="H113" s="176">
        <v>10.199999999999999</v>
      </c>
      <c r="I113" s="179">
        <v>11.8</v>
      </c>
      <c r="J113" s="178">
        <v>6</v>
      </c>
      <c r="K113" s="174">
        <f t="shared" si="63"/>
        <v>0.72215999999999991</v>
      </c>
      <c r="L113" s="118"/>
      <c r="M113" s="111">
        <f>6+5</f>
        <v>11</v>
      </c>
      <c r="N113" s="117">
        <f t="shared" si="64"/>
        <v>1.32396</v>
      </c>
      <c r="O113" s="145">
        <f t="shared" si="65"/>
        <v>-5</v>
      </c>
      <c r="P113" s="415">
        <f t="shared" si="66"/>
        <v>-0.6018</v>
      </c>
      <c r="Q113" s="191" t="s">
        <v>304</v>
      </c>
      <c r="R113" s="192"/>
      <c r="S113" s="111"/>
    </row>
    <row r="114" spans="1:19">
      <c r="A114" s="110" t="s">
        <v>303</v>
      </c>
      <c r="B114" s="111" t="s">
        <v>232</v>
      </c>
      <c r="C114" s="112" t="s">
        <v>228</v>
      </c>
      <c r="D114" s="112"/>
      <c r="E114" s="113" t="s">
        <v>17</v>
      </c>
      <c r="F114" s="175" t="s">
        <v>15</v>
      </c>
      <c r="G114" s="175" t="s">
        <v>36</v>
      </c>
      <c r="H114" s="176">
        <v>10.199999999999999</v>
      </c>
      <c r="I114" s="179">
        <v>11.4</v>
      </c>
      <c r="J114" s="178">
        <v>1</v>
      </c>
      <c r="K114" s="174">
        <f t="shared" si="63"/>
        <v>0.11627999999999999</v>
      </c>
      <c r="L114" s="118"/>
      <c r="M114" s="111"/>
      <c r="N114" s="117">
        <f t="shared" si="64"/>
        <v>0</v>
      </c>
      <c r="O114" s="145">
        <f t="shared" si="65"/>
        <v>1</v>
      </c>
      <c r="P114" s="146">
        <f t="shared" si="66"/>
        <v>0.11627999999999999</v>
      </c>
      <c r="Q114" s="159"/>
      <c r="R114" s="111"/>
      <c r="S114" s="111"/>
    </row>
    <row r="115" spans="1:19">
      <c r="A115" s="110" t="s">
        <v>303</v>
      </c>
      <c r="B115" s="111" t="s">
        <v>232</v>
      </c>
      <c r="C115" s="112" t="s">
        <v>228</v>
      </c>
      <c r="D115" s="112"/>
      <c r="E115" s="113" t="s">
        <v>17</v>
      </c>
      <c r="F115" s="175" t="s">
        <v>15</v>
      </c>
      <c r="G115" s="175" t="s">
        <v>36</v>
      </c>
      <c r="H115" s="176">
        <v>10.199999999999999</v>
      </c>
      <c r="I115" s="179">
        <v>11</v>
      </c>
      <c r="J115" s="178">
        <v>2</v>
      </c>
      <c r="K115" s="174">
        <f t="shared" si="63"/>
        <v>0.22439999999999999</v>
      </c>
      <c r="L115" s="118"/>
      <c r="M115" s="111"/>
      <c r="N115" s="117">
        <f t="shared" si="64"/>
        <v>0</v>
      </c>
      <c r="O115" s="145">
        <f t="shared" si="65"/>
        <v>2</v>
      </c>
      <c r="P115" s="146">
        <f t="shared" si="66"/>
        <v>0.22439999999999999</v>
      </c>
      <c r="Q115" s="159"/>
      <c r="R115" s="111"/>
      <c r="S115" s="111"/>
    </row>
    <row r="116" spans="1:19">
      <c r="A116" s="110" t="s">
        <v>303</v>
      </c>
      <c r="B116" s="111" t="s">
        <v>232</v>
      </c>
      <c r="C116" s="112" t="s">
        <v>228</v>
      </c>
      <c r="D116" s="112"/>
      <c r="E116" s="113" t="s">
        <v>17</v>
      </c>
      <c r="F116" s="175" t="s">
        <v>15</v>
      </c>
      <c r="G116" s="175" t="s">
        <v>36</v>
      </c>
      <c r="H116" s="176">
        <v>10.199999999999999</v>
      </c>
      <c r="I116" s="179">
        <v>10</v>
      </c>
      <c r="J116" s="178">
        <v>1</v>
      </c>
      <c r="K116" s="174">
        <f t="shared" si="63"/>
        <v>0.10199999999999999</v>
      </c>
      <c r="L116" s="118"/>
      <c r="M116" s="111">
        <v>1</v>
      </c>
      <c r="N116" s="117">
        <f t="shared" si="64"/>
        <v>0.10199999999999999</v>
      </c>
      <c r="O116" s="145">
        <f t="shared" si="65"/>
        <v>0</v>
      </c>
      <c r="P116" s="146">
        <f t="shared" si="66"/>
        <v>0</v>
      </c>
      <c r="Q116" s="159">
        <v>9.75</v>
      </c>
      <c r="R116" s="111">
        <v>1</v>
      </c>
      <c r="S116" s="111" t="s">
        <v>487</v>
      </c>
    </row>
    <row r="117" spans="1:19">
      <c r="A117" s="110" t="s">
        <v>303</v>
      </c>
      <c r="B117" s="111" t="s">
        <v>232</v>
      </c>
      <c r="C117" s="112" t="s">
        <v>228</v>
      </c>
      <c r="D117" s="112"/>
      <c r="E117" s="113" t="s">
        <v>17</v>
      </c>
      <c r="F117" s="175" t="s">
        <v>15</v>
      </c>
      <c r="G117" s="175" t="s">
        <v>36</v>
      </c>
      <c r="H117" s="176">
        <v>10.199999999999999</v>
      </c>
      <c r="I117" s="179">
        <v>9.5</v>
      </c>
      <c r="J117" s="178">
        <v>1</v>
      </c>
      <c r="K117" s="174">
        <f t="shared" si="63"/>
        <v>9.6899999999999986E-2</v>
      </c>
      <c r="L117" s="118"/>
      <c r="M117" s="111"/>
      <c r="N117" s="117">
        <f t="shared" si="64"/>
        <v>0</v>
      </c>
      <c r="O117" s="145">
        <f t="shared" si="65"/>
        <v>1</v>
      </c>
      <c r="P117" s="146">
        <f t="shared" si="66"/>
        <v>9.6899999999999986E-2</v>
      </c>
      <c r="Q117" s="159"/>
      <c r="R117" s="111"/>
      <c r="S117" s="111"/>
    </row>
    <row r="118" spans="1:19">
      <c r="A118" s="110" t="s">
        <v>303</v>
      </c>
      <c r="B118" s="111" t="s">
        <v>232</v>
      </c>
      <c r="C118" s="112" t="s">
        <v>228</v>
      </c>
      <c r="D118" s="112"/>
      <c r="E118" s="113" t="s">
        <v>17</v>
      </c>
      <c r="F118" s="175" t="s">
        <v>15</v>
      </c>
      <c r="G118" s="175" t="s">
        <v>36</v>
      </c>
      <c r="H118" s="176">
        <v>10.199999999999999</v>
      </c>
      <c r="I118" s="179">
        <v>9</v>
      </c>
      <c r="J118" s="178">
        <v>1</v>
      </c>
      <c r="K118" s="174">
        <f t="shared" si="63"/>
        <v>9.1799999999999993E-2</v>
      </c>
      <c r="L118" s="118"/>
      <c r="M118" s="111"/>
      <c r="N118" s="117">
        <f t="shared" si="64"/>
        <v>0</v>
      </c>
      <c r="O118" s="145">
        <f t="shared" si="65"/>
        <v>1</v>
      </c>
      <c r="P118" s="146">
        <f t="shared" si="66"/>
        <v>9.1799999999999993E-2</v>
      </c>
      <c r="Q118" s="159"/>
      <c r="R118" s="111"/>
      <c r="S118" s="111"/>
    </row>
    <row r="119" spans="1:19">
      <c r="A119" s="110" t="s">
        <v>303</v>
      </c>
      <c r="B119" s="111" t="s">
        <v>232</v>
      </c>
      <c r="C119" s="112" t="s">
        <v>228</v>
      </c>
      <c r="D119" s="112"/>
      <c r="E119" s="113" t="s">
        <v>17</v>
      </c>
      <c r="F119" s="175" t="s">
        <v>15</v>
      </c>
      <c r="G119" s="175" t="s">
        <v>36</v>
      </c>
      <c r="H119" s="176">
        <v>10.199999999999999</v>
      </c>
      <c r="I119" s="179">
        <v>6.25</v>
      </c>
      <c r="J119" s="178">
        <v>1</v>
      </c>
      <c r="K119" s="174">
        <f t="shared" si="63"/>
        <v>6.3749999999999987E-2</v>
      </c>
      <c r="L119" s="118"/>
      <c r="M119" s="111"/>
      <c r="N119" s="117">
        <f t="shared" si="64"/>
        <v>0</v>
      </c>
      <c r="O119" s="145">
        <f t="shared" si="65"/>
        <v>1</v>
      </c>
      <c r="P119" s="146">
        <f t="shared" si="66"/>
        <v>6.3749999999999987E-2</v>
      </c>
      <c r="Q119" s="159"/>
      <c r="R119" s="111"/>
      <c r="S119" s="111"/>
    </row>
    <row r="120" spans="1:19">
      <c r="A120" s="110" t="s">
        <v>303</v>
      </c>
      <c r="B120" s="111" t="s">
        <v>232</v>
      </c>
      <c r="C120" s="112" t="s">
        <v>228</v>
      </c>
      <c r="D120" s="112"/>
      <c r="E120" s="113" t="s">
        <v>17</v>
      </c>
      <c r="F120" s="175" t="s">
        <v>15</v>
      </c>
      <c r="G120" s="175" t="s">
        <v>36</v>
      </c>
      <c r="H120" s="176">
        <v>10.199999999999999</v>
      </c>
      <c r="I120" s="179">
        <v>6</v>
      </c>
      <c r="J120" s="178">
        <v>1</v>
      </c>
      <c r="K120" s="174">
        <f t="shared" si="63"/>
        <v>6.1199999999999997E-2</v>
      </c>
      <c r="L120" s="118"/>
      <c r="M120" s="111">
        <v>1</v>
      </c>
      <c r="N120" s="117">
        <f t="shared" si="64"/>
        <v>6.1199999999999997E-2</v>
      </c>
      <c r="O120" s="145">
        <f t="shared" si="65"/>
        <v>0</v>
      </c>
      <c r="P120" s="146">
        <f>I120*O120*H120/1000</f>
        <v>0</v>
      </c>
      <c r="Q120" s="159">
        <v>6</v>
      </c>
      <c r="R120" s="111">
        <v>1</v>
      </c>
      <c r="S120" s="111" t="s">
        <v>485</v>
      </c>
    </row>
    <row r="121" spans="1:19">
      <c r="J121" s="78">
        <f>SUM(J108:J120)</f>
        <v>86</v>
      </c>
      <c r="K121" s="5">
        <f>SUM(K108:K120)</f>
        <v>8.0784000000000002</v>
      </c>
      <c r="M121" s="78">
        <f>SUM(M108:M120)</f>
        <v>77</v>
      </c>
      <c r="N121" s="128">
        <f>SUM(N108:N120)</f>
        <v>7.4342700000000006</v>
      </c>
      <c r="O121" s="78">
        <f>SUM(O108:O120)</f>
        <v>9</v>
      </c>
      <c r="P121" s="5">
        <f>SUM(P108:P120)</f>
        <v>0.64412999999999998</v>
      </c>
    </row>
    <row r="123" spans="1:19">
      <c r="A123" s="110" t="s">
        <v>303</v>
      </c>
      <c r="B123" s="111" t="s">
        <v>232</v>
      </c>
      <c r="C123" s="112" t="s">
        <v>228</v>
      </c>
      <c r="D123" s="112"/>
      <c r="E123" s="113" t="s">
        <v>17</v>
      </c>
      <c r="F123" s="175" t="s">
        <v>15</v>
      </c>
      <c r="G123" s="175" t="s">
        <v>41</v>
      </c>
      <c r="H123" s="176">
        <v>11.8</v>
      </c>
      <c r="I123" s="177">
        <v>7.6</v>
      </c>
      <c r="J123" s="178">
        <v>5</v>
      </c>
      <c r="K123" s="174">
        <f t="shared" ref="K123" si="67">(H123*I123*J123/1000)</f>
        <v>0.44840000000000002</v>
      </c>
      <c r="L123" s="118"/>
      <c r="M123" s="111">
        <v>5</v>
      </c>
      <c r="N123" s="117">
        <f t="shared" ref="N123" si="68">I123*M123*H123/1000</f>
        <v>0.44840000000000002</v>
      </c>
      <c r="O123" s="119">
        <f t="shared" ref="O123" si="69">J123-M123</f>
        <v>0</v>
      </c>
      <c r="P123" s="120">
        <f t="shared" ref="P123" si="70">I123*O123*H123/1000</f>
        <v>0</v>
      </c>
      <c r="Q123" s="159"/>
      <c r="R123" s="111"/>
      <c r="S123" s="111"/>
    </row>
    <row r="124" spans="1:19">
      <c r="A124" s="110" t="s">
        <v>303</v>
      </c>
      <c r="B124" s="111" t="s">
        <v>232</v>
      </c>
      <c r="C124" s="112" t="s">
        <v>228</v>
      </c>
      <c r="D124" s="112"/>
      <c r="E124" s="113" t="s">
        <v>17</v>
      </c>
      <c r="F124" s="175" t="s">
        <v>15</v>
      </c>
      <c r="G124" s="175" t="s">
        <v>41</v>
      </c>
      <c r="H124" s="176">
        <v>11.8</v>
      </c>
      <c r="I124" s="177">
        <v>8.1</v>
      </c>
      <c r="J124" s="178">
        <f>36+9+29+22</f>
        <v>96</v>
      </c>
      <c r="K124" s="174">
        <f t="shared" ref="K124:K137" si="71">(H124*I124*J124/1000)</f>
        <v>9.1756799999999998</v>
      </c>
      <c r="L124" s="118"/>
      <c r="M124" s="111">
        <f>90+6</f>
        <v>96</v>
      </c>
      <c r="N124" s="117">
        <f t="shared" ref="N124:N139" si="72">I124*M124*H124/1000</f>
        <v>9.1756799999999998</v>
      </c>
      <c r="O124" s="119">
        <f t="shared" ref="O124:O139" si="73">J124-M124</f>
        <v>0</v>
      </c>
      <c r="P124" s="120">
        <f t="shared" ref="P124:P138" si="74">I124*O124*H124/1000</f>
        <v>0</v>
      </c>
      <c r="Q124" s="159">
        <v>7.6</v>
      </c>
      <c r="R124" s="111">
        <v>6</v>
      </c>
      <c r="S124" s="111"/>
    </row>
    <row r="125" spans="1:19">
      <c r="A125" s="110" t="s">
        <v>303</v>
      </c>
      <c r="B125" s="111" t="s">
        <v>232</v>
      </c>
      <c r="C125" s="112" t="s">
        <v>228</v>
      </c>
      <c r="D125" s="112"/>
      <c r="E125" s="113" t="s">
        <v>17</v>
      </c>
      <c r="F125" s="175" t="s">
        <v>15</v>
      </c>
      <c r="G125" s="175" t="s">
        <v>41</v>
      </c>
      <c r="H125" s="176">
        <v>11.8</v>
      </c>
      <c r="I125" s="177">
        <v>8.25</v>
      </c>
      <c r="J125" s="178">
        <f>15+25</f>
        <v>40</v>
      </c>
      <c r="K125" s="174">
        <f t="shared" si="71"/>
        <v>3.8940000000000006</v>
      </c>
      <c r="L125" s="118"/>
      <c r="M125" s="111">
        <v>40</v>
      </c>
      <c r="N125" s="117">
        <f t="shared" si="72"/>
        <v>3.8940000000000006</v>
      </c>
      <c r="O125" s="119">
        <f t="shared" si="73"/>
        <v>0</v>
      </c>
      <c r="P125" s="120">
        <f t="shared" si="74"/>
        <v>0</v>
      </c>
      <c r="Q125" s="159"/>
      <c r="R125" s="111"/>
      <c r="S125" s="111"/>
    </row>
    <row r="126" spans="1:19">
      <c r="A126" s="110" t="s">
        <v>303</v>
      </c>
      <c r="B126" s="111" t="s">
        <v>232</v>
      </c>
      <c r="C126" s="112" t="s">
        <v>228</v>
      </c>
      <c r="D126" s="112"/>
      <c r="E126" s="113" t="s">
        <v>17</v>
      </c>
      <c r="F126" s="175" t="s">
        <v>15</v>
      </c>
      <c r="G126" s="175" t="s">
        <v>41</v>
      </c>
      <c r="H126" s="176">
        <v>11.8</v>
      </c>
      <c r="I126" s="177">
        <v>10.5</v>
      </c>
      <c r="J126" s="178">
        <f>14+17</f>
        <v>31</v>
      </c>
      <c r="K126" s="174">
        <f t="shared" si="71"/>
        <v>3.8409</v>
      </c>
      <c r="L126" s="118"/>
      <c r="M126" s="111">
        <f>19+6+1+5</f>
        <v>31</v>
      </c>
      <c r="N126" s="117">
        <f t="shared" si="72"/>
        <v>3.8409</v>
      </c>
      <c r="O126" s="119">
        <f t="shared" si="73"/>
        <v>0</v>
      </c>
      <c r="P126" s="120">
        <f t="shared" si="74"/>
        <v>0</v>
      </c>
      <c r="Q126" s="159">
        <v>7.2</v>
      </c>
      <c r="R126" s="111">
        <v>1</v>
      </c>
      <c r="S126" s="111"/>
    </row>
    <row r="127" spans="1:19">
      <c r="A127" s="110" t="s">
        <v>303</v>
      </c>
      <c r="B127" s="111" t="s">
        <v>232</v>
      </c>
      <c r="C127" s="112" t="s">
        <v>228</v>
      </c>
      <c r="D127" s="112"/>
      <c r="E127" s="113" t="s">
        <v>17</v>
      </c>
      <c r="F127" s="175" t="s">
        <v>15</v>
      </c>
      <c r="G127" s="175" t="s">
        <v>41</v>
      </c>
      <c r="H127" s="176">
        <v>11.8</v>
      </c>
      <c r="I127" s="177">
        <v>12</v>
      </c>
      <c r="J127" s="178">
        <f>21+14+23</f>
        <v>58</v>
      </c>
      <c r="K127" s="174">
        <f t="shared" si="71"/>
        <v>8.2128000000000014</v>
      </c>
      <c r="L127" s="118"/>
      <c r="M127" s="111">
        <f>57+1</f>
        <v>58</v>
      </c>
      <c r="N127" s="117">
        <f t="shared" si="72"/>
        <v>8.2128000000000014</v>
      </c>
      <c r="O127" s="119">
        <f t="shared" si="73"/>
        <v>0</v>
      </c>
      <c r="P127" s="120">
        <f t="shared" si="74"/>
        <v>0</v>
      </c>
      <c r="Q127" s="159"/>
      <c r="R127" s="111"/>
      <c r="S127" s="111"/>
    </row>
    <row r="128" spans="1:19">
      <c r="A128" s="110" t="s">
        <v>303</v>
      </c>
      <c r="B128" s="111" t="s">
        <v>232</v>
      </c>
      <c r="C128" s="112" t="s">
        <v>228</v>
      </c>
      <c r="D128" s="112"/>
      <c r="E128" s="113" t="s">
        <v>17</v>
      </c>
      <c r="F128" s="175" t="s">
        <v>15</v>
      </c>
      <c r="G128" s="175" t="s">
        <v>41</v>
      </c>
      <c r="H128" s="176">
        <v>11.8</v>
      </c>
      <c r="I128" s="177">
        <v>7.1</v>
      </c>
      <c r="J128" s="178">
        <f>6+10</f>
        <v>16</v>
      </c>
      <c r="K128" s="174">
        <f t="shared" si="71"/>
        <v>1.3404800000000001</v>
      </c>
      <c r="L128" s="118"/>
      <c r="M128" s="111">
        <v>16</v>
      </c>
      <c r="N128" s="117">
        <f t="shared" si="72"/>
        <v>1.3404800000000001</v>
      </c>
      <c r="O128" s="119">
        <f t="shared" si="73"/>
        <v>0</v>
      </c>
      <c r="P128" s="120">
        <f t="shared" si="74"/>
        <v>0</v>
      </c>
      <c r="Q128" s="159"/>
      <c r="R128" s="111"/>
      <c r="S128" s="111"/>
    </row>
    <row r="129" spans="1:20">
      <c r="A129" s="110" t="s">
        <v>303</v>
      </c>
      <c r="B129" s="111" t="s">
        <v>232</v>
      </c>
      <c r="C129" s="112" t="s">
        <v>228</v>
      </c>
      <c r="D129" s="112"/>
      <c r="E129" s="113" t="s">
        <v>17</v>
      </c>
      <c r="F129" s="175" t="s">
        <v>15</v>
      </c>
      <c r="G129" s="175" t="s">
        <v>41</v>
      </c>
      <c r="H129" s="176">
        <v>11.8</v>
      </c>
      <c r="I129" s="177">
        <v>7.2</v>
      </c>
      <c r="J129" s="178">
        <f>10+13</f>
        <v>23</v>
      </c>
      <c r="K129" s="174">
        <f t="shared" si="71"/>
        <v>1.9540800000000003</v>
      </c>
      <c r="L129" s="118"/>
      <c r="M129" s="111">
        <v>23</v>
      </c>
      <c r="N129" s="117">
        <f t="shared" si="72"/>
        <v>1.9540800000000003</v>
      </c>
      <c r="O129" s="119">
        <f t="shared" si="73"/>
        <v>0</v>
      </c>
      <c r="P129" s="120">
        <f t="shared" si="74"/>
        <v>0</v>
      </c>
      <c r="Q129" s="159"/>
      <c r="R129" s="111"/>
      <c r="S129" s="111"/>
    </row>
    <row r="130" spans="1:20">
      <c r="A130" s="110" t="s">
        <v>303</v>
      </c>
      <c r="B130" s="111" t="s">
        <v>232</v>
      </c>
      <c r="C130" s="112" t="s">
        <v>228</v>
      </c>
      <c r="D130" s="112"/>
      <c r="E130" s="113" t="s">
        <v>17</v>
      </c>
      <c r="F130" s="175" t="s">
        <v>15</v>
      </c>
      <c r="G130" s="175" t="s">
        <v>41</v>
      </c>
      <c r="H130" s="176">
        <v>11.8</v>
      </c>
      <c r="I130" s="177">
        <v>7.4</v>
      </c>
      <c r="J130" s="178">
        <f>5+15</f>
        <v>20</v>
      </c>
      <c r="K130" s="174">
        <f t="shared" si="71"/>
        <v>1.7464000000000002</v>
      </c>
      <c r="L130" s="118"/>
      <c r="M130" s="111">
        <v>20</v>
      </c>
      <c r="N130" s="117">
        <f t="shared" si="72"/>
        <v>1.7464000000000002</v>
      </c>
      <c r="O130" s="119">
        <f t="shared" si="73"/>
        <v>0</v>
      </c>
      <c r="P130" s="120">
        <f t="shared" si="74"/>
        <v>0</v>
      </c>
      <c r="Q130" s="159"/>
      <c r="R130" s="111"/>
      <c r="S130" s="111"/>
    </row>
    <row r="131" spans="1:20">
      <c r="A131" s="110" t="s">
        <v>303</v>
      </c>
      <c r="B131" s="111" t="s">
        <v>232</v>
      </c>
      <c r="C131" s="112" t="s">
        <v>228</v>
      </c>
      <c r="D131" s="112"/>
      <c r="E131" s="113" t="s">
        <v>17</v>
      </c>
      <c r="F131" s="175" t="s">
        <v>15</v>
      </c>
      <c r="G131" s="175" t="s">
        <v>41</v>
      </c>
      <c r="H131" s="176">
        <v>11.8</v>
      </c>
      <c r="I131" s="177">
        <v>11</v>
      </c>
      <c r="J131" s="178">
        <f>6+11</f>
        <v>17</v>
      </c>
      <c r="K131" s="174">
        <f t="shared" si="71"/>
        <v>2.2066000000000003</v>
      </c>
      <c r="L131" s="118"/>
      <c r="M131" s="111">
        <v>17</v>
      </c>
      <c r="N131" s="117">
        <f t="shared" si="72"/>
        <v>2.2065999999999999</v>
      </c>
      <c r="O131" s="119">
        <f t="shared" si="73"/>
        <v>0</v>
      </c>
      <c r="P131" s="120">
        <f t="shared" si="74"/>
        <v>0</v>
      </c>
      <c r="Q131" s="159"/>
      <c r="R131" s="111"/>
      <c r="S131" s="111"/>
    </row>
    <row r="132" spans="1:20">
      <c r="A132" s="110" t="s">
        <v>303</v>
      </c>
      <c r="B132" s="111" t="s">
        <v>232</v>
      </c>
      <c r="C132" s="112" t="s">
        <v>228</v>
      </c>
      <c r="D132" s="112"/>
      <c r="E132" s="113" t="s">
        <v>17</v>
      </c>
      <c r="F132" s="175" t="s">
        <v>15</v>
      </c>
      <c r="G132" s="175" t="s">
        <v>41</v>
      </c>
      <c r="H132" s="176">
        <v>11.8</v>
      </c>
      <c r="I132" s="177">
        <v>11.2</v>
      </c>
      <c r="J132" s="178">
        <f>18+20</f>
        <v>38</v>
      </c>
      <c r="K132" s="174">
        <f t="shared" si="71"/>
        <v>5.0220799999999999</v>
      </c>
      <c r="L132" s="118"/>
      <c r="M132" s="111">
        <f>32+6</f>
        <v>38</v>
      </c>
      <c r="N132" s="117">
        <f t="shared" si="72"/>
        <v>5.0220799999999999</v>
      </c>
      <c r="O132" s="119">
        <f t="shared" si="73"/>
        <v>0</v>
      </c>
      <c r="P132" s="120">
        <f t="shared" si="74"/>
        <v>0</v>
      </c>
      <c r="Q132" s="159"/>
      <c r="R132" s="111"/>
      <c r="S132" s="111"/>
    </row>
    <row r="133" spans="1:20">
      <c r="A133" s="110" t="s">
        <v>303</v>
      </c>
      <c r="B133" s="111" t="s">
        <v>232</v>
      </c>
      <c r="C133" s="112" t="s">
        <v>228</v>
      </c>
      <c r="D133" s="112"/>
      <c r="E133" s="113" t="s">
        <v>17</v>
      </c>
      <c r="F133" s="175" t="s">
        <v>15</v>
      </c>
      <c r="G133" s="175" t="s">
        <v>41</v>
      </c>
      <c r="H133" s="176">
        <v>11.8</v>
      </c>
      <c r="I133" s="177">
        <v>12</v>
      </c>
      <c r="J133" s="178">
        <v>7</v>
      </c>
      <c r="K133" s="174">
        <f t="shared" si="71"/>
        <v>0.99120000000000019</v>
      </c>
      <c r="L133" s="118"/>
      <c r="M133" s="111">
        <v>7</v>
      </c>
      <c r="N133" s="117">
        <f t="shared" si="72"/>
        <v>0.99120000000000008</v>
      </c>
      <c r="O133" s="119">
        <f t="shared" si="73"/>
        <v>0</v>
      </c>
      <c r="P133" s="120">
        <f t="shared" si="74"/>
        <v>0</v>
      </c>
      <c r="Q133" s="159"/>
      <c r="R133" s="111"/>
      <c r="S133" s="111"/>
    </row>
    <row r="134" spans="1:20">
      <c r="A134" s="110" t="s">
        <v>303</v>
      </c>
      <c r="B134" s="111" t="s">
        <v>232</v>
      </c>
      <c r="C134" s="112" t="s">
        <v>228</v>
      </c>
      <c r="D134" s="112"/>
      <c r="E134" s="113" t="s">
        <v>17</v>
      </c>
      <c r="F134" s="175" t="s">
        <v>15</v>
      </c>
      <c r="G134" s="175" t="s">
        <v>41</v>
      </c>
      <c r="H134" s="176">
        <v>11.8</v>
      </c>
      <c r="I134" s="177">
        <v>10.199999999999999</v>
      </c>
      <c r="J134" s="178">
        <v>2</v>
      </c>
      <c r="K134" s="174">
        <f t="shared" si="71"/>
        <v>0.24071999999999999</v>
      </c>
      <c r="L134" s="118"/>
      <c r="M134" s="111">
        <v>2</v>
      </c>
      <c r="N134" s="117">
        <f t="shared" si="72"/>
        <v>0.24071999999999999</v>
      </c>
      <c r="O134" s="119">
        <f t="shared" si="73"/>
        <v>0</v>
      </c>
      <c r="P134" s="120">
        <f t="shared" si="74"/>
        <v>0</v>
      </c>
      <c r="Q134" s="159">
        <v>7.2</v>
      </c>
      <c r="R134" s="111">
        <v>2</v>
      </c>
      <c r="S134" s="111"/>
    </row>
    <row r="135" spans="1:20">
      <c r="A135" s="110" t="s">
        <v>303</v>
      </c>
      <c r="B135" s="111" t="s">
        <v>232</v>
      </c>
      <c r="C135" s="112" t="s">
        <v>228</v>
      </c>
      <c r="D135" s="112"/>
      <c r="E135" s="113" t="s">
        <v>17</v>
      </c>
      <c r="F135" s="175" t="s">
        <v>15</v>
      </c>
      <c r="G135" s="175" t="s">
        <v>41</v>
      </c>
      <c r="H135" s="176">
        <v>11.8</v>
      </c>
      <c r="I135" s="177">
        <v>10</v>
      </c>
      <c r="J135" s="178">
        <v>2</v>
      </c>
      <c r="K135" s="174">
        <f t="shared" si="71"/>
        <v>0.23599999999999999</v>
      </c>
      <c r="L135" s="118"/>
      <c r="M135" s="111">
        <v>2</v>
      </c>
      <c r="N135" s="117">
        <f t="shared" si="72"/>
        <v>0.23599999999999999</v>
      </c>
      <c r="O135" s="119">
        <f t="shared" si="73"/>
        <v>0</v>
      </c>
      <c r="P135" s="120">
        <f t="shared" si="74"/>
        <v>0</v>
      </c>
      <c r="Q135" s="159">
        <v>7.2</v>
      </c>
      <c r="R135" s="111">
        <v>2</v>
      </c>
      <c r="S135" s="111"/>
    </row>
    <row r="136" spans="1:20">
      <c r="A136" s="110" t="s">
        <v>303</v>
      </c>
      <c r="B136" s="111" t="s">
        <v>232</v>
      </c>
      <c r="C136" s="112" t="s">
        <v>228</v>
      </c>
      <c r="D136" s="112"/>
      <c r="E136" s="113" t="s">
        <v>17</v>
      </c>
      <c r="F136" s="175" t="s">
        <v>15</v>
      </c>
      <c r="G136" s="175" t="s">
        <v>41</v>
      </c>
      <c r="H136" s="176">
        <v>11.8</v>
      </c>
      <c r="I136" s="177">
        <v>9.5</v>
      </c>
      <c r="J136" s="178">
        <v>2</v>
      </c>
      <c r="K136" s="174">
        <f t="shared" si="71"/>
        <v>0.22420000000000001</v>
      </c>
      <c r="L136" s="118"/>
      <c r="M136" s="111">
        <v>2</v>
      </c>
      <c r="N136" s="117">
        <f t="shared" si="72"/>
        <v>0.22420000000000001</v>
      </c>
      <c r="O136" s="119">
        <f t="shared" si="73"/>
        <v>0</v>
      </c>
      <c r="P136" s="120">
        <f t="shared" si="74"/>
        <v>0</v>
      </c>
      <c r="Q136" s="159">
        <v>7.4</v>
      </c>
      <c r="R136" s="111">
        <v>2</v>
      </c>
      <c r="S136" s="111"/>
    </row>
    <row r="137" spans="1:20">
      <c r="A137" s="110" t="s">
        <v>303</v>
      </c>
      <c r="B137" s="111" t="s">
        <v>232</v>
      </c>
      <c r="C137" s="112" t="s">
        <v>228</v>
      </c>
      <c r="D137" s="112"/>
      <c r="E137" s="113" t="s">
        <v>17</v>
      </c>
      <c r="F137" s="175" t="s">
        <v>15</v>
      </c>
      <c r="G137" s="175" t="s">
        <v>41</v>
      </c>
      <c r="H137" s="176">
        <v>11.8</v>
      </c>
      <c r="I137" s="177">
        <v>7.6</v>
      </c>
      <c r="J137" s="178">
        <v>3</v>
      </c>
      <c r="K137" s="174">
        <f t="shared" si="71"/>
        <v>0.26904</v>
      </c>
      <c r="L137" s="118"/>
      <c r="M137" s="111">
        <v>3</v>
      </c>
      <c r="N137" s="117">
        <f t="shared" si="72"/>
        <v>0.26903999999999995</v>
      </c>
      <c r="O137" s="119">
        <f t="shared" si="73"/>
        <v>0</v>
      </c>
      <c r="P137" s="120">
        <f t="shared" si="74"/>
        <v>0</v>
      </c>
      <c r="Q137" s="159"/>
      <c r="R137" s="111"/>
      <c r="S137" s="111"/>
    </row>
    <row r="138" spans="1:20">
      <c r="A138" s="110" t="s">
        <v>303</v>
      </c>
      <c r="B138" s="111" t="s">
        <v>232</v>
      </c>
      <c r="C138" s="112" t="s">
        <v>228</v>
      </c>
      <c r="D138" s="112"/>
      <c r="E138" s="113" t="s">
        <v>17</v>
      </c>
      <c r="F138" s="175" t="s">
        <v>15</v>
      </c>
      <c r="G138" s="175" t="s">
        <v>41</v>
      </c>
      <c r="H138" s="176">
        <v>11.8</v>
      </c>
      <c r="I138" s="177">
        <v>10</v>
      </c>
      <c r="J138" s="178">
        <v>2</v>
      </c>
      <c r="K138" s="174">
        <f>(H138*I138*J138/1000)</f>
        <v>0.23599999999999999</v>
      </c>
      <c r="L138" s="118"/>
      <c r="M138" s="111">
        <v>2</v>
      </c>
      <c r="N138" s="117">
        <f t="shared" si="72"/>
        <v>0.23599999999999999</v>
      </c>
      <c r="O138" s="119">
        <f t="shared" si="73"/>
        <v>0</v>
      </c>
      <c r="P138" s="120">
        <f t="shared" si="74"/>
        <v>0</v>
      </c>
      <c r="Q138" s="159">
        <v>7.6</v>
      </c>
      <c r="R138" s="111">
        <v>2</v>
      </c>
      <c r="S138" s="111"/>
    </row>
    <row r="139" spans="1:20">
      <c r="A139" s="110" t="s">
        <v>303</v>
      </c>
      <c r="B139" s="111" t="s">
        <v>232</v>
      </c>
      <c r="C139" s="112" t="s">
        <v>228</v>
      </c>
      <c r="D139" s="112"/>
      <c r="E139" s="113" t="s">
        <v>17</v>
      </c>
      <c r="F139" s="175" t="s">
        <v>15</v>
      </c>
      <c r="G139" s="175" t="s">
        <v>41</v>
      </c>
      <c r="H139" s="176">
        <v>11.8</v>
      </c>
      <c r="I139" s="177">
        <v>11.2</v>
      </c>
      <c r="J139" s="178">
        <v>2</v>
      </c>
      <c r="K139" s="174">
        <f>(H139*I139*J139/1000)</f>
        <v>0.26432</v>
      </c>
      <c r="L139" s="118"/>
      <c r="M139" s="111"/>
      <c r="N139" s="117">
        <f t="shared" si="72"/>
        <v>0</v>
      </c>
      <c r="O139" s="119">
        <f t="shared" si="73"/>
        <v>2</v>
      </c>
      <c r="P139" s="120">
        <f>I139*O139*H139/1000</f>
        <v>0.26432</v>
      </c>
      <c r="Q139" s="159"/>
      <c r="R139" s="111"/>
      <c r="S139" s="111"/>
    </row>
    <row r="140" spans="1:20">
      <c r="J140" s="78">
        <f>SUM(J123:J139)</f>
        <v>364</v>
      </c>
      <c r="K140" s="5">
        <f>SUM(K123:K139)</f>
        <v>40.302900000000001</v>
      </c>
      <c r="M140" s="80">
        <f>SUM(M123:M139)</f>
        <v>362</v>
      </c>
      <c r="N140" s="5">
        <f>SUM(N123:N139)</f>
        <v>40.038580000000003</v>
      </c>
      <c r="O140" s="78">
        <f>SUM(O123:O139)</f>
        <v>2</v>
      </c>
      <c r="P140" s="128">
        <f>SUM(P123:P139)</f>
        <v>0.26432</v>
      </c>
    </row>
    <row r="142" spans="1:20">
      <c r="A142" s="110" t="s">
        <v>303</v>
      </c>
      <c r="B142" s="111" t="s">
        <v>232</v>
      </c>
      <c r="C142" s="112" t="s">
        <v>228</v>
      </c>
      <c r="D142" s="112"/>
      <c r="E142" s="113" t="s">
        <v>17</v>
      </c>
      <c r="F142" s="175" t="s">
        <v>15</v>
      </c>
      <c r="G142" s="175" t="s">
        <v>44</v>
      </c>
      <c r="H142" s="176">
        <v>13.4</v>
      </c>
      <c r="I142" s="177">
        <v>7.5</v>
      </c>
      <c r="J142" s="178">
        <f>24+11</f>
        <v>35</v>
      </c>
      <c r="K142" s="174">
        <f t="shared" ref="K142" si="75">(H142*I142*J142/1000)</f>
        <v>3.5175000000000001</v>
      </c>
      <c r="L142" s="118"/>
      <c r="M142" s="111">
        <f>24+3+8</f>
        <v>35</v>
      </c>
      <c r="N142" s="117">
        <f t="shared" ref="N142" si="76">I142*M142*H142/1000</f>
        <v>3.5175000000000001</v>
      </c>
      <c r="O142" s="119">
        <f t="shared" ref="O142" si="77">J142-M142</f>
        <v>0</v>
      </c>
      <c r="P142" s="120">
        <f t="shared" ref="P142" si="78">I142*O142*H142/1000</f>
        <v>0</v>
      </c>
      <c r="Q142" s="159"/>
      <c r="R142" s="111"/>
      <c r="S142" s="111"/>
    </row>
    <row r="143" spans="1:20">
      <c r="A143" s="110" t="s">
        <v>303</v>
      </c>
      <c r="B143" s="111" t="s">
        <v>232</v>
      </c>
      <c r="C143" s="112" t="s">
        <v>228</v>
      </c>
      <c r="D143" s="112"/>
      <c r="E143" s="113" t="s">
        <v>17</v>
      </c>
      <c r="F143" s="175" t="s">
        <v>15</v>
      </c>
      <c r="G143" s="175" t="s">
        <v>44</v>
      </c>
      <c r="H143" s="176">
        <v>13.4</v>
      </c>
      <c r="I143" s="177">
        <v>10.5</v>
      </c>
      <c r="J143" s="178">
        <f>22+19</f>
        <v>41</v>
      </c>
      <c r="K143" s="174">
        <f t="shared" ref="K143:K158" si="79">(H143*I143*J143/1000)</f>
        <v>5.7687000000000008</v>
      </c>
      <c r="L143" s="118"/>
      <c r="M143" s="111">
        <v>41</v>
      </c>
      <c r="N143" s="117">
        <f t="shared" ref="N143:N158" si="80">I143*M143*H143/1000</f>
        <v>5.7686999999999999</v>
      </c>
      <c r="O143" s="119">
        <f t="shared" ref="O143:O158" si="81">J143-M143</f>
        <v>0</v>
      </c>
      <c r="P143" s="120">
        <f t="shared" ref="P143:P158" si="82">I143*O143*H143/1000</f>
        <v>0</v>
      </c>
      <c r="Q143" s="159"/>
      <c r="R143" s="111"/>
      <c r="S143" s="111"/>
    </row>
    <row r="144" spans="1:20">
      <c r="A144" s="110" t="s">
        <v>303</v>
      </c>
      <c r="B144" s="111" t="s">
        <v>232</v>
      </c>
      <c r="C144" s="112" t="s">
        <v>228</v>
      </c>
      <c r="D144" s="112"/>
      <c r="E144" s="113" t="s">
        <v>17</v>
      </c>
      <c r="F144" s="175" t="s">
        <v>15</v>
      </c>
      <c r="G144" s="175" t="s">
        <v>44</v>
      </c>
      <c r="H144" s="176">
        <v>13.4</v>
      </c>
      <c r="I144" s="177">
        <v>12</v>
      </c>
      <c r="J144" s="178">
        <v>14</v>
      </c>
      <c r="K144" s="174">
        <f t="shared" si="79"/>
        <v>2.2512000000000003</v>
      </c>
      <c r="L144" s="118"/>
      <c r="M144" s="111">
        <f>9+4+1</f>
        <v>14</v>
      </c>
      <c r="N144" s="117">
        <f t="shared" si="80"/>
        <v>2.2512000000000003</v>
      </c>
      <c r="O144" s="119">
        <f t="shared" si="81"/>
        <v>0</v>
      </c>
      <c r="P144" s="120">
        <f t="shared" si="82"/>
        <v>0</v>
      </c>
      <c r="Q144" s="159"/>
      <c r="R144" s="111">
        <v>12</v>
      </c>
      <c r="S144" s="111">
        <v>1</v>
      </c>
      <c r="T144" s="213" t="s">
        <v>801</v>
      </c>
    </row>
    <row r="145" spans="1:19">
      <c r="A145" s="110" t="s">
        <v>303</v>
      </c>
      <c r="B145" s="111" t="s">
        <v>232</v>
      </c>
      <c r="C145" s="112" t="s">
        <v>228</v>
      </c>
      <c r="D145" s="112"/>
      <c r="E145" s="113" t="s">
        <v>17</v>
      </c>
      <c r="F145" s="175" t="s">
        <v>15</v>
      </c>
      <c r="G145" s="175" t="s">
        <v>44</v>
      </c>
      <c r="H145" s="176">
        <v>13.4</v>
      </c>
      <c r="I145" s="177">
        <v>7.8</v>
      </c>
      <c r="J145" s="178">
        <v>14</v>
      </c>
      <c r="K145" s="174">
        <f t="shared" si="79"/>
        <v>1.4632799999999999</v>
      </c>
      <c r="L145" s="118"/>
      <c r="M145" s="111">
        <f>4+10</f>
        <v>14</v>
      </c>
      <c r="N145" s="117">
        <f t="shared" si="80"/>
        <v>1.4632799999999999</v>
      </c>
      <c r="O145" s="119">
        <f t="shared" si="81"/>
        <v>0</v>
      </c>
      <c r="P145" s="120">
        <f t="shared" si="82"/>
        <v>0</v>
      </c>
      <c r="Q145" s="159"/>
      <c r="R145" s="111"/>
      <c r="S145" s="111"/>
    </row>
    <row r="146" spans="1:19">
      <c r="A146" s="110" t="s">
        <v>303</v>
      </c>
      <c r="B146" s="111" t="s">
        <v>232</v>
      </c>
      <c r="C146" s="112" t="s">
        <v>228</v>
      </c>
      <c r="D146" s="112"/>
      <c r="E146" s="113" t="s">
        <v>17</v>
      </c>
      <c r="F146" s="175" t="s">
        <v>15</v>
      </c>
      <c r="G146" s="175" t="s">
        <v>44</v>
      </c>
      <c r="H146" s="176">
        <v>13.4</v>
      </c>
      <c r="I146" s="177">
        <v>8.6</v>
      </c>
      <c r="J146" s="178">
        <v>7</v>
      </c>
      <c r="K146" s="174">
        <f t="shared" si="79"/>
        <v>0.80667999999999995</v>
      </c>
      <c r="L146" s="118"/>
      <c r="M146" s="111">
        <v>7</v>
      </c>
      <c r="N146" s="117">
        <f t="shared" si="80"/>
        <v>0.80667999999999995</v>
      </c>
      <c r="O146" s="119">
        <f t="shared" si="81"/>
        <v>0</v>
      </c>
      <c r="P146" s="120">
        <f t="shared" si="82"/>
        <v>0</v>
      </c>
      <c r="Q146" s="159"/>
      <c r="R146" s="111"/>
      <c r="S146" s="111"/>
    </row>
    <row r="147" spans="1:19">
      <c r="A147" s="110" t="s">
        <v>303</v>
      </c>
      <c r="B147" s="111" t="s">
        <v>232</v>
      </c>
      <c r="C147" s="112" t="s">
        <v>228</v>
      </c>
      <c r="D147" s="112"/>
      <c r="E147" s="113" t="s">
        <v>17</v>
      </c>
      <c r="F147" s="175" t="s">
        <v>15</v>
      </c>
      <c r="G147" s="175" t="s">
        <v>44</v>
      </c>
      <c r="H147" s="176">
        <v>13.4</v>
      </c>
      <c r="I147" s="177">
        <v>11.8</v>
      </c>
      <c r="J147" s="178">
        <v>11</v>
      </c>
      <c r="K147" s="174">
        <f t="shared" si="79"/>
        <v>1.7393200000000002</v>
      </c>
      <c r="L147" s="118"/>
      <c r="M147" s="111">
        <v>11</v>
      </c>
      <c r="N147" s="117">
        <f t="shared" si="80"/>
        <v>1.7393200000000002</v>
      </c>
      <c r="O147" s="119">
        <f t="shared" si="81"/>
        <v>0</v>
      </c>
      <c r="P147" s="120">
        <f t="shared" si="82"/>
        <v>0</v>
      </c>
      <c r="Q147" s="159"/>
      <c r="R147" s="111"/>
      <c r="S147" s="111"/>
    </row>
    <row r="148" spans="1:19">
      <c r="A148" s="110" t="s">
        <v>303</v>
      </c>
      <c r="B148" s="111" t="s">
        <v>232</v>
      </c>
      <c r="C148" s="112" t="s">
        <v>228</v>
      </c>
      <c r="D148" s="112"/>
      <c r="E148" s="113" t="s">
        <v>17</v>
      </c>
      <c r="F148" s="175" t="s">
        <v>15</v>
      </c>
      <c r="G148" s="175" t="s">
        <v>44</v>
      </c>
      <c r="H148" s="176">
        <v>13.4</v>
      </c>
      <c r="I148" s="177">
        <v>11.9</v>
      </c>
      <c r="J148" s="178">
        <v>14</v>
      </c>
      <c r="K148" s="174">
        <f t="shared" si="79"/>
        <v>2.23244</v>
      </c>
      <c r="L148" s="118"/>
      <c r="M148" s="111">
        <v>14</v>
      </c>
      <c r="N148" s="117">
        <f t="shared" si="80"/>
        <v>2.23244</v>
      </c>
      <c r="O148" s="119">
        <f t="shared" si="81"/>
        <v>0</v>
      </c>
      <c r="P148" s="120">
        <f t="shared" si="82"/>
        <v>0</v>
      </c>
      <c r="Q148" s="159"/>
      <c r="R148" s="111"/>
      <c r="S148" s="111"/>
    </row>
    <row r="149" spans="1:19">
      <c r="A149" s="110" t="s">
        <v>303</v>
      </c>
      <c r="B149" s="111" t="s">
        <v>232</v>
      </c>
      <c r="C149" s="112" t="s">
        <v>228</v>
      </c>
      <c r="D149" s="112"/>
      <c r="E149" s="113" t="s">
        <v>17</v>
      </c>
      <c r="F149" s="175" t="s">
        <v>15</v>
      </c>
      <c r="G149" s="175" t="s">
        <v>44</v>
      </c>
      <c r="H149" s="176">
        <v>13.4</v>
      </c>
      <c r="I149" s="177">
        <v>10</v>
      </c>
      <c r="J149" s="178">
        <v>3</v>
      </c>
      <c r="K149" s="174">
        <f t="shared" si="79"/>
        <v>0.40200000000000002</v>
      </c>
      <c r="L149" s="118"/>
      <c r="M149" s="111">
        <f>2+1</f>
        <v>3</v>
      </c>
      <c r="N149" s="117">
        <f t="shared" si="80"/>
        <v>0.40200000000000002</v>
      </c>
      <c r="O149" s="119">
        <f t="shared" si="81"/>
        <v>0</v>
      </c>
      <c r="P149" s="120">
        <f t="shared" si="82"/>
        <v>0</v>
      </c>
      <c r="Q149" s="159">
        <v>8.6</v>
      </c>
      <c r="R149" s="111">
        <v>2</v>
      </c>
      <c r="S149" s="111"/>
    </row>
    <row r="150" spans="1:19">
      <c r="A150" s="110" t="s">
        <v>303</v>
      </c>
      <c r="B150" s="111" t="s">
        <v>232</v>
      </c>
      <c r="C150" s="112" t="s">
        <v>228</v>
      </c>
      <c r="D150" s="112"/>
      <c r="E150" s="113" t="s">
        <v>17</v>
      </c>
      <c r="F150" s="175" t="s">
        <v>15</v>
      </c>
      <c r="G150" s="175" t="s">
        <v>44</v>
      </c>
      <c r="H150" s="176">
        <v>13.4</v>
      </c>
      <c r="I150" s="177">
        <v>12</v>
      </c>
      <c r="J150" s="178">
        <v>2</v>
      </c>
      <c r="K150" s="174">
        <f t="shared" si="79"/>
        <v>0.3216</v>
      </c>
      <c r="L150" s="118"/>
      <c r="M150" s="111"/>
      <c r="N150" s="117">
        <f t="shared" si="80"/>
        <v>0</v>
      </c>
      <c r="O150" s="119">
        <f t="shared" si="81"/>
        <v>2</v>
      </c>
      <c r="P150" s="120">
        <f t="shared" si="82"/>
        <v>0.3216</v>
      </c>
      <c r="Q150" s="159"/>
      <c r="R150" s="111"/>
      <c r="S150" s="111"/>
    </row>
    <row r="151" spans="1:19">
      <c r="A151" s="110" t="s">
        <v>303</v>
      </c>
      <c r="B151" s="111" t="s">
        <v>232</v>
      </c>
      <c r="C151" s="112" t="s">
        <v>228</v>
      </c>
      <c r="D151" s="112"/>
      <c r="E151" s="113" t="s">
        <v>17</v>
      </c>
      <c r="F151" s="175" t="s">
        <v>15</v>
      </c>
      <c r="G151" s="175" t="s">
        <v>44</v>
      </c>
      <c r="H151" s="176">
        <v>13.4</v>
      </c>
      <c r="I151" s="177">
        <v>11.6</v>
      </c>
      <c r="J151" s="178">
        <v>1</v>
      </c>
      <c r="K151" s="174">
        <f t="shared" si="79"/>
        <v>0.15543999999999999</v>
      </c>
      <c r="L151" s="118"/>
      <c r="M151" s="111">
        <v>1</v>
      </c>
      <c r="N151" s="117">
        <f t="shared" si="80"/>
        <v>0.15543999999999999</v>
      </c>
      <c r="O151" s="119">
        <f t="shared" si="81"/>
        <v>0</v>
      </c>
      <c r="P151" s="120">
        <f t="shared" si="82"/>
        <v>0</v>
      </c>
      <c r="Q151" s="159">
        <v>11.5</v>
      </c>
      <c r="R151" s="111">
        <v>1</v>
      </c>
      <c r="S151" s="111" t="s">
        <v>551</v>
      </c>
    </row>
    <row r="152" spans="1:19">
      <c r="A152" s="110" t="s">
        <v>303</v>
      </c>
      <c r="B152" s="111" t="s">
        <v>232</v>
      </c>
      <c r="C152" s="112" t="s">
        <v>228</v>
      </c>
      <c r="D152" s="112"/>
      <c r="E152" s="113" t="s">
        <v>17</v>
      </c>
      <c r="F152" s="175" t="s">
        <v>15</v>
      </c>
      <c r="G152" s="175" t="s">
        <v>44</v>
      </c>
      <c r="H152" s="176">
        <v>13.4</v>
      </c>
      <c r="I152" s="177">
        <v>11.5</v>
      </c>
      <c r="J152" s="178">
        <v>1</v>
      </c>
      <c r="K152" s="174">
        <f t="shared" si="79"/>
        <v>0.15409999999999999</v>
      </c>
      <c r="L152" s="118"/>
      <c r="M152" s="111">
        <v>1</v>
      </c>
      <c r="N152" s="117">
        <f t="shared" si="80"/>
        <v>0.15409999999999999</v>
      </c>
      <c r="O152" s="119">
        <f t="shared" si="81"/>
        <v>0</v>
      </c>
      <c r="P152" s="120">
        <f t="shared" si="82"/>
        <v>0</v>
      </c>
      <c r="Q152" s="159">
        <v>11.5</v>
      </c>
      <c r="R152" s="111">
        <v>1</v>
      </c>
      <c r="S152" s="111" t="s">
        <v>551</v>
      </c>
    </row>
    <row r="153" spans="1:19">
      <c r="A153" s="110" t="s">
        <v>303</v>
      </c>
      <c r="B153" s="111" t="s">
        <v>232</v>
      </c>
      <c r="C153" s="112" t="s">
        <v>228</v>
      </c>
      <c r="D153" s="112"/>
      <c r="E153" s="113" t="s">
        <v>17</v>
      </c>
      <c r="F153" s="175" t="s">
        <v>15</v>
      </c>
      <c r="G153" s="175" t="s">
        <v>44</v>
      </c>
      <c r="H153" s="176">
        <v>13.4</v>
      </c>
      <c r="I153" s="177">
        <v>10.5</v>
      </c>
      <c r="J153" s="178">
        <v>2</v>
      </c>
      <c r="K153" s="174">
        <f t="shared" si="79"/>
        <v>0.28140000000000004</v>
      </c>
      <c r="L153" s="118"/>
      <c r="M153" s="111">
        <v>1</v>
      </c>
      <c r="N153" s="117">
        <f t="shared" si="80"/>
        <v>0.14070000000000002</v>
      </c>
      <c r="O153" s="119">
        <f t="shared" si="81"/>
        <v>1</v>
      </c>
      <c r="P153" s="120">
        <f t="shared" si="82"/>
        <v>0.14070000000000002</v>
      </c>
      <c r="Q153" s="159"/>
      <c r="R153" s="111"/>
      <c r="S153" s="111"/>
    </row>
    <row r="154" spans="1:19">
      <c r="A154" s="110" t="s">
        <v>303</v>
      </c>
      <c r="B154" s="111" t="s">
        <v>232</v>
      </c>
      <c r="C154" s="112" t="s">
        <v>228</v>
      </c>
      <c r="D154" s="112"/>
      <c r="E154" s="113" t="s">
        <v>17</v>
      </c>
      <c r="F154" s="175" t="s">
        <v>15</v>
      </c>
      <c r="G154" s="175" t="s">
        <v>44</v>
      </c>
      <c r="H154" s="176">
        <v>13.4</v>
      </c>
      <c r="I154" s="177">
        <v>10.4</v>
      </c>
      <c r="J154" s="178">
        <v>1</v>
      </c>
      <c r="K154" s="174">
        <f t="shared" si="79"/>
        <v>0.13936000000000001</v>
      </c>
      <c r="L154" s="118"/>
      <c r="M154" s="111">
        <v>1</v>
      </c>
      <c r="N154" s="117">
        <f t="shared" si="80"/>
        <v>0.13936000000000001</v>
      </c>
      <c r="O154" s="119">
        <f t="shared" si="81"/>
        <v>0</v>
      </c>
      <c r="P154" s="120">
        <f t="shared" si="82"/>
        <v>0</v>
      </c>
      <c r="Q154" s="159">
        <v>7.5</v>
      </c>
      <c r="R154" s="111">
        <v>1</v>
      </c>
      <c r="S154" s="111" t="s">
        <v>613</v>
      </c>
    </row>
    <row r="155" spans="1:19">
      <c r="A155" s="110" t="s">
        <v>303</v>
      </c>
      <c r="B155" s="111" t="s">
        <v>232</v>
      </c>
      <c r="C155" s="112" t="s">
        <v>228</v>
      </c>
      <c r="D155" s="112"/>
      <c r="E155" s="113" t="s">
        <v>17</v>
      </c>
      <c r="F155" s="175" t="s">
        <v>15</v>
      </c>
      <c r="G155" s="175" t="s">
        <v>44</v>
      </c>
      <c r="H155" s="176">
        <v>13.4</v>
      </c>
      <c r="I155" s="177">
        <v>6.9</v>
      </c>
      <c r="J155" s="178">
        <v>1</v>
      </c>
      <c r="K155" s="174">
        <f t="shared" si="79"/>
        <v>9.2460000000000014E-2</v>
      </c>
      <c r="L155" s="118"/>
      <c r="M155" s="111">
        <v>1</v>
      </c>
      <c r="N155" s="117">
        <f t="shared" si="80"/>
        <v>9.2460000000000014E-2</v>
      </c>
      <c r="O155" s="119">
        <f t="shared" si="81"/>
        <v>0</v>
      </c>
      <c r="P155" s="120">
        <f t="shared" si="82"/>
        <v>0</v>
      </c>
      <c r="Q155" s="159"/>
      <c r="R155" s="111"/>
      <c r="S155" s="111"/>
    </row>
    <row r="156" spans="1:19">
      <c r="A156" s="110" t="s">
        <v>303</v>
      </c>
      <c r="B156" s="111" t="s">
        <v>232</v>
      </c>
      <c r="C156" s="112" t="s">
        <v>228</v>
      </c>
      <c r="D156" s="112"/>
      <c r="E156" s="113" t="s">
        <v>17</v>
      </c>
      <c r="F156" s="175" t="s">
        <v>15</v>
      </c>
      <c r="G156" s="175" t="s">
        <v>44</v>
      </c>
      <c r="H156" s="176">
        <v>13.4</v>
      </c>
      <c r="I156" s="177">
        <v>6.5</v>
      </c>
      <c r="J156" s="178">
        <v>1</v>
      </c>
      <c r="K156" s="174">
        <f t="shared" si="79"/>
        <v>8.7100000000000011E-2</v>
      </c>
      <c r="L156" s="118"/>
      <c r="M156" s="111">
        <v>1</v>
      </c>
      <c r="N156" s="117">
        <f t="shared" si="80"/>
        <v>8.7100000000000011E-2</v>
      </c>
      <c r="O156" s="119">
        <f t="shared" si="81"/>
        <v>0</v>
      </c>
      <c r="P156" s="120">
        <f t="shared" si="82"/>
        <v>0</v>
      </c>
      <c r="Q156" s="159"/>
      <c r="R156" s="111"/>
      <c r="S156" s="111"/>
    </row>
    <row r="157" spans="1:19">
      <c r="A157" s="110" t="s">
        <v>303</v>
      </c>
      <c r="B157" s="111" t="s">
        <v>232</v>
      </c>
      <c r="C157" s="112" t="s">
        <v>228</v>
      </c>
      <c r="D157" s="112"/>
      <c r="E157" s="113" t="s">
        <v>17</v>
      </c>
      <c r="F157" s="175" t="s">
        <v>15</v>
      </c>
      <c r="G157" s="175" t="s">
        <v>44</v>
      </c>
      <c r="H157" s="176">
        <v>13.4</v>
      </c>
      <c r="I157" s="177">
        <v>7.2</v>
      </c>
      <c r="J157" s="178">
        <v>1</v>
      </c>
      <c r="K157" s="174">
        <f t="shared" si="79"/>
        <v>9.648000000000001E-2</v>
      </c>
      <c r="L157" s="118"/>
      <c r="M157" s="111">
        <v>1</v>
      </c>
      <c r="N157" s="117">
        <f t="shared" si="80"/>
        <v>9.648000000000001E-2</v>
      </c>
      <c r="O157" s="119">
        <f t="shared" si="81"/>
        <v>0</v>
      </c>
      <c r="P157" s="120">
        <f t="shared" si="82"/>
        <v>0</v>
      </c>
      <c r="Q157" s="159"/>
      <c r="R157" s="45">
        <v>1</v>
      </c>
      <c r="S157" s="45" t="s">
        <v>774</v>
      </c>
    </row>
    <row r="158" spans="1:19">
      <c r="A158" s="110" t="s">
        <v>303</v>
      </c>
      <c r="B158" s="111" t="s">
        <v>232</v>
      </c>
      <c r="C158" s="112" t="s">
        <v>228</v>
      </c>
      <c r="D158" s="112"/>
      <c r="E158" s="113" t="s">
        <v>17</v>
      </c>
      <c r="F158" s="175" t="s">
        <v>15</v>
      </c>
      <c r="G158" s="175" t="s">
        <v>44</v>
      </c>
      <c r="H158" s="176">
        <v>13.4</v>
      </c>
      <c r="I158" s="177">
        <v>7.2</v>
      </c>
      <c r="J158" s="178">
        <v>1</v>
      </c>
      <c r="K158" s="174">
        <f t="shared" si="79"/>
        <v>9.648000000000001E-2</v>
      </c>
      <c r="L158" s="118"/>
      <c r="M158" s="111">
        <v>1</v>
      </c>
      <c r="N158" s="117">
        <f t="shared" si="80"/>
        <v>9.648000000000001E-2</v>
      </c>
      <c r="O158" s="119">
        <f t="shared" si="81"/>
        <v>0</v>
      </c>
      <c r="P158" s="120">
        <f t="shared" si="82"/>
        <v>0</v>
      </c>
      <c r="Q158" s="159"/>
      <c r="R158" s="45">
        <v>1</v>
      </c>
      <c r="S158" s="45" t="s">
        <v>774</v>
      </c>
    </row>
    <row r="159" spans="1:19">
      <c r="J159" s="78">
        <f>SUM(J142:J158)</f>
        <v>150</v>
      </c>
      <c r="K159" s="5">
        <f>SUM(K142:K158)</f>
        <v>19.605540000000001</v>
      </c>
      <c r="M159" s="78">
        <f>SUM(M142:M158)</f>
        <v>147</v>
      </c>
      <c r="N159" s="128">
        <f>SUM(N142:N158)</f>
        <v>19.143239999999999</v>
      </c>
      <c r="O159" s="78">
        <f>SUM(O142:O158)</f>
        <v>3</v>
      </c>
      <c r="P159" s="128">
        <f>SUM(P142:P158)</f>
        <v>0.46230000000000004</v>
      </c>
    </row>
    <row r="161" spans="1:19">
      <c r="A161" s="110" t="s">
        <v>303</v>
      </c>
      <c r="B161" s="111" t="s">
        <v>232</v>
      </c>
      <c r="C161" s="112" t="s">
        <v>228</v>
      </c>
      <c r="D161" s="112"/>
      <c r="E161" s="113" t="s">
        <v>17</v>
      </c>
      <c r="F161" s="175" t="s">
        <v>15</v>
      </c>
      <c r="G161" s="175" t="s">
        <v>35</v>
      </c>
      <c r="H161" s="176">
        <v>16.579999999999998</v>
      </c>
      <c r="I161" s="177">
        <v>8.1999999999999993</v>
      </c>
      <c r="J161" s="178">
        <v>21</v>
      </c>
      <c r="K161" s="174">
        <f t="shared" ref="K161" si="83">(H161*I161*J161/1000)</f>
        <v>2.8550759999999991</v>
      </c>
      <c r="L161" s="118"/>
      <c r="M161" s="111">
        <v>21</v>
      </c>
      <c r="N161" s="117">
        <f t="shared" ref="N161" si="84">I161*M161*H161/1000</f>
        <v>2.8550759999999995</v>
      </c>
      <c r="O161" s="119">
        <f t="shared" ref="O161" si="85">J161-M161</f>
        <v>0</v>
      </c>
      <c r="P161" s="120">
        <f t="shared" ref="P161" si="86">I161*O161*H161/1000</f>
        <v>0</v>
      </c>
      <c r="Q161" s="159"/>
      <c r="R161" s="111"/>
      <c r="S161" s="111"/>
    </row>
    <row r="162" spans="1:19">
      <c r="A162" s="110" t="s">
        <v>303</v>
      </c>
      <c r="B162" s="111" t="s">
        <v>232</v>
      </c>
      <c r="C162" s="112" t="s">
        <v>228</v>
      </c>
      <c r="D162" s="112"/>
      <c r="E162" s="113" t="s">
        <v>17</v>
      </c>
      <c r="F162" s="175" t="s">
        <v>15</v>
      </c>
      <c r="G162" s="175" t="s">
        <v>35</v>
      </c>
      <c r="H162" s="176">
        <v>16.579999999999998</v>
      </c>
      <c r="I162" s="177">
        <v>9</v>
      </c>
      <c r="J162" s="178">
        <v>13</v>
      </c>
      <c r="K162" s="174">
        <f t="shared" ref="K162:K166" si="87">(H162*I162*J162/1000)</f>
        <v>1.9398599999999997</v>
      </c>
      <c r="L162" s="118"/>
      <c r="M162" s="111">
        <v>13</v>
      </c>
      <c r="N162" s="117">
        <f t="shared" ref="N162:N166" si="88">I162*M162*H162/1000</f>
        <v>1.9398599999999999</v>
      </c>
      <c r="O162" s="119">
        <f t="shared" ref="O162:O166" si="89">J162-M162</f>
        <v>0</v>
      </c>
      <c r="P162" s="120">
        <f t="shared" ref="P162:P166" si="90">I162*O162*H162/1000</f>
        <v>0</v>
      </c>
      <c r="Q162" s="159"/>
      <c r="R162" s="111"/>
      <c r="S162" s="111"/>
    </row>
    <row r="163" spans="1:19">
      <c r="A163" s="110" t="s">
        <v>303</v>
      </c>
      <c r="B163" s="111" t="s">
        <v>232</v>
      </c>
      <c r="C163" s="112" t="s">
        <v>228</v>
      </c>
      <c r="D163" s="112"/>
      <c r="E163" s="113" t="s">
        <v>17</v>
      </c>
      <c r="F163" s="175" t="s">
        <v>15</v>
      </c>
      <c r="G163" s="175" t="s">
        <v>35</v>
      </c>
      <c r="H163" s="176">
        <v>16.579999999999998</v>
      </c>
      <c r="I163" s="177">
        <v>11.5</v>
      </c>
      <c r="J163" s="178">
        <v>13</v>
      </c>
      <c r="K163" s="174">
        <f t="shared" si="87"/>
        <v>2.47871</v>
      </c>
      <c r="L163" s="118"/>
      <c r="M163" s="111">
        <f>10+3</f>
        <v>13</v>
      </c>
      <c r="N163" s="117">
        <f t="shared" si="88"/>
        <v>2.4787099999999995</v>
      </c>
      <c r="O163" s="119">
        <f t="shared" si="89"/>
        <v>0</v>
      </c>
      <c r="P163" s="120">
        <f t="shared" si="90"/>
        <v>0</v>
      </c>
      <c r="Q163" s="159">
        <v>11.5</v>
      </c>
      <c r="R163" s="45">
        <v>3</v>
      </c>
      <c r="S163" s="111" t="s">
        <v>389</v>
      </c>
    </row>
    <row r="164" spans="1:19">
      <c r="A164" s="110" t="s">
        <v>303</v>
      </c>
      <c r="B164" s="111" t="s">
        <v>232</v>
      </c>
      <c r="C164" s="112" t="s">
        <v>228</v>
      </c>
      <c r="D164" s="112"/>
      <c r="E164" s="113" t="s">
        <v>17</v>
      </c>
      <c r="F164" s="175" t="s">
        <v>15</v>
      </c>
      <c r="G164" s="175" t="s">
        <v>35</v>
      </c>
      <c r="H164" s="176">
        <v>16.579999999999998</v>
      </c>
      <c r="I164" s="177">
        <v>6</v>
      </c>
      <c r="J164" s="178">
        <v>3</v>
      </c>
      <c r="K164" s="174">
        <f t="shared" si="87"/>
        <v>0.29843999999999993</v>
      </c>
      <c r="L164" s="118"/>
      <c r="M164" s="111"/>
      <c r="N164" s="117">
        <f t="shared" si="88"/>
        <v>0</v>
      </c>
      <c r="O164" s="119">
        <f t="shared" si="89"/>
        <v>3</v>
      </c>
      <c r="P164" s="120">
        <f t="shared" si="90"/>
        <v>0.29843999999999993</v>
      </c>
      <c r="Q164" s="159"/>
      <c r="R164" s="111"/>
      <c r="S164" s="111"/>
    </row>
    <row r="165" spans="1:19">
      <c r="A165" s="110" t="s">
        <v>303</v>
      </c>
      <c r="B165" s="111" t="s">
        <v>232</v>
      </c>
      <c r="C165" s="112" t="s">
        <v>228</v>
      </c>
      <c r="D165" s="112"/>
      <c r="E165" s="113" t="s">
        <v>17</v>
      </c>
      <c r="F165" s="175" t="s">
        <v>15</v>
      </c>
      <c r="G165" s="175" t="s">
        <v>35</v>
      </c>
      <c r="H165" s="176">
        <v>16.579999999999998</v>
      </c>
      <c r="I165" s="177">
        <v>11.1</v>
      </c>
      <c r="J165" s="178">
        <v>1</v>
      </c>
      <c r="K165" s="174">
        <f t="shared" si="87"/>
        <v>0.18403799999999998</v>
      </c>
      <c r="L165" s="118"/>
      <c r="M165" s="111">
        <v>1</v>
      </c>
      <c r="N165" s="117">
        <f t="shared" si="88"/>
        <v>0.18403799999999998</v>
      </c>
      <c r="O165" s="119">
        <f t="shared" si="89"/>
        <v>0</v>
      </c>
      <c r="P165" s="120">
        <f t="shared" si="90"/>
        <v>0</v>
      </c>
      <c r="Q165" s="159">
        <v>11.1</v>
      </c>
      <c r="R165" s="45">
        <v>1</v>
      </c>
      <c r="S165" s="111" t="s">
        <v>389</v>
      </c>
    </row>
    <row r="166" spans="1:19">
      <c r="A166" s="110" t="s">
        <v>303</v>
      </c>
      <c r="B166" s="111" t="s">
        <v>232</v>
      </c>
      <c r="C166" s="112" t="s">
        <v>228</v>
      </c>
      <c r="D166" s="112"/>
      <c r="E166" s="113" t="s">
        <v>17</v>
      </c>
      <c r="F166" s="175" t="s">
        <v>15</v>
      </c>
      <c r="G166" s="175" t="s">
        <v>35</v>
      </c>
      <c r="H166" s="176">
        <v>16.579999999999998</v>
      </c>
      <c r="I166" s="177">
        <v>11.2</v>
      </c>
      <c r="J166" s="178">
        <v>2</v>
      </c>
      <c r="K166" s="174">
        <f t="shared" si="87"/>
        <v>0.37139199999999994</v>
      </c>
      <c r="L166" s="118"/>
      <c r="M166" s="111">
        <v>2</v>
      </c>
      <c r="N166" s="117">
        <f t="shared" si="88"/>
        <v>0.37139199999999994</v>
      </c>
      <c r="O166" s="119">
        <f t="shared" si="89"/>
        <v>0</v>
      </c>
      <c r="P166" s="120">
        <f t="shared" si="90"/>
        <v>0</v>
      </c>
      <c r="Q166" s="159">
        <v>11.2</v>
      </c>
      <c r="R166" s="45">
        <v>2</v>
      </c>
      <c r="S166" s="111" t="s">
        <v>389</v>
      </c>
    </row>
    <row r="167" spans="1:19">
      <c r="J167" s="78">
        <f>SUM(J161:J166)</f>
        <v>53</v>
      </c>
      <c r="K167" s="5">
        <f>SUM(K161:K166)</f>
        <v>8.127516</v>
      </c>
      <c r="M167" s="80">
        <f>SUM(M161:M166)</f>
        <v>50</v>
      </c>
      <c r="N167" s="5">
        <f>SUM(N161:N166)</f>
        <v>7.8290759999999997</v>
      </c>
      <c r="O167" s="78">
        <f>SUM(O161:O166)</f>
        <v>3</v>
      </c>
      <c r="P167" s="5">
        <f>SUM(P161:P166)</f>
        <v>0.29843999999999993</v>
      </c>
    </row>
    <row r="169" spans="1:19">
      <c r="A169" s="110" t="s">
        <v>303</v>
      </c>
      <c r="B169" s="111" t="s">
        <v>232</v>
      </c>
      <c r="C169" s="112" t="s">
        <v>228</v>
      </c>
      <c r="D169" s="112"/>
      <c r="E169" s="113" t="s">
        <v>24</v>
      </c>
      <c r="F169" s="175" t="s">
        <v>14</v>
      </c>
      <c r="G169" s="175" t="s">
        <v>35</v>
      </c>
      <c r="H169" s="176">
        <v>16.579999999999998</v>
      </c>
      <c r="I169" s="177">
        <v>6.75</v>
      </c>
      <c r="J169" s="178">
        <v>7</v>
      </c>
      <c r="K169" s="174">
        <f t="shared" ref="K169:K174" si="91">(H169*I169*J169/1000)</f>
        <v>0.78340500000000002</v>
      </c>
      <c r="L169" s="118"/>
      <c r="M169" s="111">
        <v>5</v>
      </c>
      <c r="N169" s="117">
        <f t="shared" ref="N169:N174" si="92">I169*M169*H169/1000</f>
        <v>0.55957499999999993</v>
      </c>
      <c r="O169" s="119">
        <f t="shared" ref="O169:O174" si="93">J169-M169</f>
        <v>2</v>
      </c>
      <c r="P169" s="120">
        <f t="shared" ref="P169:P174" si="94">I169*O169*H169/1000</f>
        <v>0.22382999999999997</v>
      </c>
      <c r="Q169" s="159"/>
      <c r="R169" s="111"/>
      <c r="S169" s="111"/>
    </row>
    <row r="170" spans="1:19">
      <c r="A170" s="110" t="s">
        <v>303</v>
      </c>
      <c r="B170" s="111" t="s">
        <v>232</v>
      </c>
      <c r="C170" s="112" t="s">
        <v>228</v>
      </c>
      <c r="D170" s="112"/>
      <c r="E170" s="113" t="s">
        <v>24</v>
      </c>
      <c r="F170" s="175" t="s">
        <v>14</v>
      </c>
      <c r="G170" s="175" t="s">
        <v>35</v>
      </c>
      <c r="H170" s="176">
        <v>16.579999999999998</v>
      </c>
      <c r="I170" s="177">
        <v>8</v>
      </c>
      <c r="J170" s="178">
        <v>5</v>
      </c>
      <c r="K170" s="174">
        <f t="shared" si="91"/>
        <v>0.6631999999999999</v>
      </c>
      <c r="L170" s="118"/>
      <c r="M170" s="111">
        <v>4</v>
      </c>
      <c r="N170" s="117">
        <f t="shared" si="92"/>
        <v>0.53055999999999992</v>
      </c>
      <c r="O170" s="119">
        <f t="shared" si="93"/>
        <v>1</v>
      </c>
      <c r="P170" s="120">
        <f t="shared" si="94"/>
        <v>0.13263999999999998</v>
      </c>
      <c r="Q170" s="159"/>
      <c r="R170" s="111"/>
      <c r="S170" s="111"/>
    </row>
    <row r="171" spans="1:19">
      <c r="A171" s="110" t="s">
        <v>303</v>
      </c>
      <c r="B171" s="111" t="s">
        <v>232</v>
      </c>
      <c r="C171" s="112" t="s">
        <v>228</v>
      </c>
      <c r="D171" s="112"/>
      <c r="E171" s="113" t="s">
        <v>24</v>
      </c>
      <c r="F171" s="175" t="s">
        <v>14</v>
      </c>
      <c r="G171" s="175" t="s">
        <v>35</v>
      </c>
      <c r="H171" s="176">
        <v>16.579999999999998</v>
      </c>
      <c r="I171" s="177">
        <v>10</v>
      </c>
      <c r="J171" s="178">
        <v>8</v>
      </c>
      <c r="K171" s="174">
        <f t="shared" si="91"/>
        <v>1.3263999999999998</v>
      </c>
      <c r="L171" s="118"/>
      <c r="M171" s="111">
        <f>7</f>
        <v>7</v>
      </c>
      <c r="N171" s="117">
        <f t="shared" si="92"/>
        <v>1.1605999999999999</v>
      </c>
      <c r="O171" s="119">
        <f t="shared" si="93"/>
        <v>1</v>
      </c>
      <c r="P171" s="120">
        <f t="shared" si="94"/>
        <v>0.16579999999999998</v>
      </c>
      <c r="Q171" s="159"/>
      <c r="R171" s="111"/>
      <c r="S171" s="111"/>
    </row>
    <row r="172" spans="1:19">
      <c r="A172" s="110" t="s">
        <v>303</v>
      </c>
      <c r="B172" s="111" t="s">
        <v>232</v>
      </c>
      <c r="C172" s="112" t="s">
        <v>228</v>
      </c>
      <c r="D172" s="112"/>
      <c r="E172" s="113" t="s">
        <v>24</v>
      </c>
      <c r="F172" s="175" t="s">
        <v>14</v>
      </c>
      <c r="G172" s="175" t="s">
        <v>35</v>
      </c>
      <c r="H172" s="176">
        <v>16.579999999999998</v>
      </c>
      <c r="I172" s="177">
        <v>11</v>
      </c>
      <c r="J172" s="178">
        <v>3</v>
      </c>
      <c r="K172" s="174">
        <f t="shared" si="91"/>
        <v>0.54713999999999996</v>
      </c>
      <c r="L172" s="118"/>
      <c r="M172" s="111">
        <f>1+1</f>
        <v>2</v>
      </c>
      <c r="N172" s="117">
        <f t="shared" si="92"/>
        <v>0.36475999999999997</v>
      </c>
      <c r="O172" s="119">
        <f t="shared" si="93"/>
        <v>1</v>
      </c>
      <c r="P172" s="120">
        <f t="shared" si="94"/>
        <v>0.18237999999999999</v>
      </c>
      <c r="Q172" s="159"/>
      <c r="R172" s="111">
        <v>1</v>
      </c>
      <c r="S172" s="111" t="s">
        <v>670</v>
      </c>
    </row>
    <row r="173" spans="1:19">
      <c r="A173" s="110" t="s">
        <v>303</v>
      </c>
      <c r="B173" s="111" t="s">
        <v>232</v>
      </c>
      <c r="C173" s="112" t="s">
        <v>228</v>
      </c>
      <c r="D173" s="112"/>
      <c r="E173" s="113" t="s">
        <v>24</v>
      </c>
      <c r="F173" s="175" t="s">
        <v>14</v>
      </c>
      <c r="G173" s="175" t="s">
        <v>35</v>
      </c>
      <c r="H173" s="176">
        <v>16.579999999999998</v>
      </c>
      <c r="I173" s="177">
        <v>12</v>
      </c>
      <c r="J173" s="178">
        <v>3</v>
      </c>
      <c r="K173" s="174">
        <f t="shared" si="91"/>
        <v>0.59687999999999986</v>
      </c>
      <c r="L173" s="118"/>
      <c r="M173" s="111">
        <f>1+1</f>
        <v>2</v>
      </c>
      <c r="N173" s="117">
        <f t="shared" si="92"/>
        <v>0.39791999999999994</v>
      </c>
      <c r="O173" s="119">
        <f t="shared" si="93"/>
        <v>1</v>
      </c>
      <c r="P173" s="120">
        <f t="shared" si="94"/>
        <v>0.19895999999999997</v>
      </c>
      <c r="Q173" s="159"/>
      <c r="R173" s="111"/>
      <c r="S173" s="111"/>
    </row>
    <row r="174" spans="1:19">
      <c r="A174" s="110" t="s">
        <v>303</v>
      </c>
      <c r="B174" s="111" t="s">
        <v>232</v>
      </c>
      <c r="C174" s="112" t="s">
        <v>228</v>
      </c>
      <c r="D174" s="112"/>
      <c r="E174" s="113" t="s">
        <v>24</v>
      </c>
      <c r="F174" s="175" t="s">
        <v>14</v>
      </c>
      <c r="G174" s="175" t="s">
        <v>35</v>
      </c>
      <c r="H174" s="176">
        <v>16.579999999999998</v>
      </c>
      <c r="I174" s="177">
        <v>12</v>
      </c>
      <c r="J174" s="178">
        <v>1</v>
      </c>
      <c r="K174" s="174">
        <f t="shared" si="91"/>
        <v>0.19895999999999997</v>
      </c>
      <c r="L174" s="118" t="s">
        <v>235</v>
      </c>
      <c r="M174" s="111"/>
      <c r="N174" s="117">
        <f t="shared" si="92"/>
        <v>0</v>
      </c>
      <c r="O174" s="119">
        <f t="shared" si="93"/>
        <v>1</v>
      </c>
      <c r="P174" s="120">
        <f t="shared" si="94"/>
        <v>0.19895999999999997</v>
      </c>
      <c r="Q174" s="159"/>
      <c r="R174" s="111"/>
      <c r="S174" s="111"/>
    </row>
    <row r="175" spans="1:19">
      <c r="J175" s="78">
        <f>SUM(J169:J174)</f>
        <v>27</v>
      </c>
      <c r="K175" s="5">
        <f>SUM(K169:K174)</f>
        <v>4.1159849999999985</v>
      </c>
      <c r="M175" s="80">
        <f>SUM(M169:M174)</f>
        <v>20</v>
      </c>
      <c r="N175" s="128">
        <f>SUM(N169:N174)</f>
        <v>3.0134149999999997</v>
      </c>
      <c r="O175" s="78">
        <f>SUM(O169:O174)</f>
        <v>7</v>
      </c>
      <c r="P175" s="5">
        <f>SUM(P169:P174)</f>
        <v>1.1025699999999998</v>
      </c>
      <c r="R175" s="78">
        <f>SUM(R169:R174)</f>
        <v>1</v>
      </c>
    </row>
    <row r="177" spans="1:19">
      <c r="A177" s="110" t="s">
        <v>303</v>
      </c>
      <c r="B177" s="111" t="s">
        <v>232</v>
      </c>
      <c r="C177" s="112" t="s">
        <v>228</v>
      </c>
      <c r="D177" s="112"/>
      <c r="E177" s="113" t="s">
        <v>24</v>
      </c>
      <c r="F177" s="175" t="s">
        <v>14</v>
      </c>
      <c r="G177" s="175" t="s">
        <v>44</v>
      </c>
      <c r="H177" s="176">
        <v>13.4</v>
      </c>
      <c r="I177" s="177">
        <v>6.25</v>
      </c>
      <c r="J177" s="178">
        <v>15</v>
      </c>
      <c r="K177" s="174">
        <f t="shared" ref="K177" si="95">(H177*I177*J177/1000)</f>
        <v>1.2562500000000001</v>
      </c>
      <c r="L177" s="118"/>
      <c r="M177" s="111">
        <v>15</v>
      </c>
      <c r="N177" s="117">
        <f t="shared" ref="N177" si="96">I177*M177*H177/1000</f>
        <v>1.2562500000000001</v>
      </c>
      <c r="O177" s="119">
        <f t="shared" ref="O177" si="97">J177-M177</f>
        <v>0</v>
      </c>
      <c r="P177" s="120">
        <f t="shared" ref="P177" si="98">I177*O177*H177/1000</f>
        <v>0</v>
      </c>
      <c r="Q177" s="159"/>
      <c r="R177" s="111"/>
      <c r="S177" s="111"/>
    </row>
    <row r="178" spans="1:19">
      <c r="A178" s="110" t="s">
        <v>303</v>
      </c>
      <c r="B178" s="111" t="s">
        <v>232</v>
      </c>
      <c r="C178" s="112" t="s">
        <v>228</v>
      </c>
      <c r="D178" s="112"/>
      <c r="E178" s="113" t="s">
        <v>24</v>
      </c>
      <c r="F178" s="175" t="s">
        <v>14</v>
      </c>
      <c r="G178" s="175" t="s">
        <v>44</v>
      </c>
      <c r="H178" s="176">
        <v>13.4</v>
      </c>
      <c r="I178" s="177">
        <v>6.8</v>
      </c>
      <c r="J178" s="178">
        <v>8</v>
      </c>
      <c r="K178" s="174">
        <f t="shared" ref="K178:K183" si="99">(H178*I178*J178/1000)</f>
        <v>0.72896000000000005</v>
      </c>
      <c r="L178" s="118"/>
      <c r="M178" s="111">
        <v>8</v>
      </c>
      <c r="N178" s="117">
        <f t="shared" ref="N178:N183" si="100">I178*M178*H178/1000</f>
        <v>0.72896000000000005</v>
      </c>
      <c r="O178" s="119">
        <f t="shared" ref="O178:O183" si="101">J178-M178</f>
        <v>0</v>
      </c>
      <c r="P178" s="120">
        <f t="shared" ref="P178:P181" si="102">I178*O178*H178/1000</f>
        <v>0</v>
      </c>
      <c r="Q178" s="159"/>
      <c r="R178" s="111"/>
      <c r="S178" s="111"/>
    </row>
    <row r="179" spans="1:19">
      <c r="A179" s="110" t="s">
        <v>303</v>
      </c>
      <c r="B179" s="111" t="s">
        <v>232</v>
      </c>
      <c r="C179" s="112" t="s">
        <v>228</v>
      </c>
      <c r="D179" s="112"/>
      <c r="E179" s="113" t="s">
        <v>24</v>
      </c>
      <c r="F179" s="175" t="s">
        <v>14</v>
      </c>
      <c r="G179" s="175" t="s">
        <v>44</v>
      </c>
      <c r="H179" s="176">
        <v>13.4</v>
      </c>
      <c r="I179" s="177">
        <v>12</v>
      </c>
      <c r="J179" s="178">
        <v>9</v>
      </c>
      <c r="K179" s="174">
        <f t="shared" si="99"/>
        <v>1.4472</v>
      </c>
      <c r="L179" s="118"/>
      <c r="M179" s="111">
        <f>8+1</f>
        <v>9</v>
      </c>
      <c r="N179" s="117">
        <f t="shared" si="100"/>
        <v>1.4472</v>
      </c>
      <c r="O179" s="119">
        <f t="shared" si="101"/>
        <v>0</v>
      </c>
      <c r="P179" s="120">
        <f t="shared" si="102"/>
        <v>0</v>
      </c>
      <c r="Q179" s="159"/>
      <c r="R179" s="111"/>
      <c r="S179" s="111"/>
    </row>
    <row r="180" spans="1:19">
      <c r="A180" s="110" t="s">
        <v>303</v>
      </c>
      <c r="B180" s="111" t="s">
        <v>232</v>
      </c>
      <c r="C180" s="112" t="s">
        <v>228</v>
      </c>
      <c r="D180" s="112"/>
      <c r="E180" s="113" t="s">
        <v>24</v>
      </c>
      <c r="F180" s="175" t="s">
        <v>14</v>
      </c>
      <c r="G180" s="175" t="s">
        <v>44</v>
      </c>
      <c r="H180" s="176">
        <v>13.4</v>
      </c>
      <c r="I180" s="177">
        <v>6</v>
      </c>
      <c r="J180" s="178">
        <v>1</v>
      </c>
      <c r="K180" s="174">
        <f t="shared" si="99"/>
        <v>8.0399999999999999E-2</v>
      </c>
      <c r="L180" s="118"/>
      <c r="M180" s="111">
        <v>1</v>
      </c>
      <c r="N180" s="117">
        <f t="shared" si="100"/>
        <v>8.0399999999999999E-2</v>
      </c>
      <c r="O180" s="119">
        <f t="shared" si="101"/>
        <v>0</v>
      </c>
      <c r="P180" s="120">
        <f t="shared" si="102"/>
        <v>0</v>
      </c>
      <c r="Q180" s="75">
        <v>6</v>
      </c>
      <c r="R180" s="72">
        <v>1</v>
      </c>
      <c r="S180" s="72" t="s">
        <v>528</v>
      </c>
    </row>
    <row r="181" spans="1:19">
      <c r="A181" s="110" t="s">
        <v>303</v>
      </c>
      <c r="B181" s="111" t="s">
        <v>232</v>
      </c>
      <c r="C181" s="112" t="s">
        <v>228</v>
      </c>
      <c r="D181" s="112"/>
      <c r="E181" s="113" t="s">
        <v>24</v>
      </c>
      <c r="F181" s="175" t="s">
        <v>14</v>
      </c>
      <c r="G181" s="175" t="s">
        <v>44</v>
      </c>
      <c r="H181" s="176">
        <v>13.4</v>
      </c>
      <c r="I181" s="177">
        <v>10.9</v>
      </c>
      <c r="J181" s="178">
        <v>1</v>
      </c>
      <c r="K181" s="174">
        <f t="shared" si="99"/>
        <v>0.14606</v>
      </c>
      <c r="L181" s="118"/>
      <c r="M181" s="111">
        <v>1</v>
      </c>
      <c r="N181" s="117">
        <f t="shared" si="100"/>
        <v>0.14606</v>
      </c>
      <c r="O181" s="119">
        <f t="shared" si="101"/>
        <v>0</v>
      </c>
      <c r="P181" s="120">
        <f t="shared" si="102"/>
        <v>0</v>
      </c>
      <c r="Q181" s="75"/>
      <c r="R181" s="72">
        <v>1</v>
      </c>
      <c r="S181" s="72" t="s">
        <v>539</v>
      </c>
    </row>
    <row r="182" spans="1:19">
      <c r="A182" s="110" t="s">
        <v>303</v>
      </c>
      <c r="B182" s="111" t="s">
        <v>232</v>
      </c>
      <c r="C182" s="112" t="s">
        <v>228</v>
      </c>
      <c r="D182" s="112"/>
      <c r="E182" s="113" t="s">
        <v>24</v>
      </c>
      <c r="F182" s="175" t="s">
        <v>14</v>
      </c>
      <c r="G182" s="175" t="s">
        <v>44</v>
      </c>
      <c r="H182" s="176">
        <v>13.4</v>
      </c>
      <c r="I182" s="177">
        <v>6.8</v>
      </c>
      <c r="J182" s="178">
        <v>2</v>
      </c>
      <c r="K182" s="174">
        <f t="shared" si="99"/>
        <v>0.18224000000000001</v>
      </c>
      <c r="L182" s="118"/>
      <c r="M182" s="111">
        <v>2</v>
      </c>
      <c r="N182" s="117">
        <f t="shared" si="100"/>
        <v>0.18224000000000001</v>
      </c>
      <c r="O182" s="119">
        <f t="shared" si="101"/>
        <v>0</v>
      </c>
      <c r="P182" s="120">
        <f>I182*O182*H182/1000</f>
        <v>0</v>
      </c>
      <c r="Q182" s="75"/>
      <c r="R182" s="72">
        <v>2</v>
      </c>
      <c r="S182" s="72" t="s">
        <v>539</v>
      </c>
    </row>
    <row r="183" spans="1:19">
      <c r="A183" s="110" t="s">
        <v>303</v>
      </c>
      <c r="B183" s="111" t="s">
        <v>232</v>
      </c>
      <c r="C183" s="112" t="s">
        <v>228</v>
      </c>
      <c r="D183" s="112"/>
      <c r="E183" s="113" t="s">
        <v>24</v>
      </c>
      <c r="F183" s="175" t="s">
        <v>14</v>
      </c>
      <c r="G183" s="175" t="s">
        <v>44</v>
      </c>
      <c r="H183" s="176">
        <v>13.4</v>
      </c>
      <c r="I183" s="177">
        <v>12</v>
      </c>
      <c r="J183" s="178">
        <v>4</v>
      </c>
      <c r="K183" s="174">
        <f t="shared" si="99"/>
        <v>0.64319999999999999</v>
      </c>
      <c r="L183" s="118"/>
      <c r="M183" s="111">
        <v>4</v>
      </c>
      <c r="N183" s="117">
        <f t="shared" si="100"/>
        <v>0.64319999999999999</v>
      </c>
      <c r="O183" s="119">
        <f t="shared" si="101"/>
        <v>0</v>
      </c>
      <c r="P183" s="120">
        <f>I183*O183*H183/1000</f>
        <v>0</v>
      </c>
      <c r="Q183" s="75">
        <v>12</v>
      </c>
      <c r="R183" s="72">
        <v>1</v>
      </c>
      <c r="S183" s="72" t="s">
        <v>539</v>
      </c>
    </row>
    <row r="184" spans="1:19">
      <c r="A184" s="32"/>
      <c r="B184" s="32"/>
      <c r="C184" s="32"/>
      <c r="D184" s="32"/>
      <c r="E184" s="32"/>
      <c r="F184" s="32"/>
      <c r="G184" s="32"/>
      <c r="H184" s="32"/>
      <c r="I184" s="32"/>
      <c r="J184" s="131">
        <f>SUM(J177:J183)</f>
        <v>40</v>
      </c>
      <c r="K184" s="124">
        <f>SUM(K177:K183)</f>
        <v>4.4843099999999998</v>
      </c>
      <c r="L184" s="123"/>
      <c r="M184" s="171">
        <f>SUM(M177:M183)</f>
        <v>40</v>
      </c>
      <c r="N184" s="124">
        <f>SUM(N177:N183)</f>
        <v>4.4843099999999998</v>
      </c>
      <c r="O184" s="131">
        <f>SUM(O177:O183)</f>
        <v>0</v>
      </c>
      <c r="P184" s="124">
        <f>SUM(P177:P183)</f>
        <v>0</v>
      </c>
      <c r="Q184" s="32"/>
      <c r="R184" s="131">
        <f>SUM(R177:R183)</f>
        <v>5</v>
      </c>
      <c r="S184" s="32"/>
    </row>
    <row r="185" spans="1:19">
      <c r="M185" s="194"/>
    </row>
    <row r="186" spans="1:19">
      <c r="A186" s="110" t="s">
        <v>303</v>
      </c>
      <c r="B186" s="111" t="s">
        <v>232</v>
      </c>
      <c r="C186" s="112" t="s">
        <v>228</v>
      </c>
      <c r="D186" s="112"/>
      <c r="E186" s="113" t="s">
        <v>24</v>
      </c>
      <c r="F186" s="175" t="s">
        <v>14</v>
      </c>
      <c r="G186" s="175" t="s">
        <v>36</v>
      </c>
      <c r="H186" s="176">
        <v>10.199999999999999</v>
      </c>
      <c r="I186" s="177">
        <v>7.75</v>
      </c>
      <c r="J186" s="178">
        <v>22</v>
      </c>
      <c r="K186" s="174">
        <f t="shared" ref="K186" si="103">(H186*I186*J186/1000)</f>
        <v>1.7390999999999999</v>
      </c>
      <c r="L186" s="118"/>
      <c r="M186" s="195">
        <v>22</v>
      </c>
      <c r="N186" s="117">
        <f t="shared" ref="N186" si="104">I186*M186*H186/1000</f>
        <v>1.7390999999999999</v>
      </c>
      <c r="O186" s="119">
        <f t="shared" ref="O186" si="105">J186-M186</f>
        <v>0</v>
      </c>
      <c r="P186" s="120">
        <f t="shared" ref="P186" si="106">I186*O186*H186/1000</f>
        <v>0</v>
      </c>
      <c r="Q186" s="159"/>
      <c r="R186" s="111"/>
      <c r="S186" s="111"/>
    </row>
    <row r="187" spans="1:19">
      <c r="A187" s="110" t="s">
        <v>303</v>
      </c>
      <c r="B187" s="111" t="s">
        <v>232</v>
      </c>
      <c r="C187" s="112" t="s">
        <v>228</v>
      </c>
      <c r="D187" s="112"/>
      <c r="E187" s="113" t="s">
        <v>24</v>
      </c>
      <c r="F187" s="175" t="s">
        <v>14</v>
      </c>
      <c r="G187" s="175" t="s">
        <v>36</v>
      </c>
      <c r="H187" s="176">
        <v>10.199999999999999</v>
      </c>
      <c r="I187" s="177">
        <v>10.5</v>
      </c>
      <c r="J187" s="178">
        <v>23</v>
      </c>
      <c r="K187" s="174">
        <f t="shared" ref="K187:K190" si="107">(H187*I187*J187/1000)</f>
        <v>2.4632999999999998</v>
      </c>
      <c r="L187" s="118"/>
      <c r="M187" s="195">
        <f>23+6</f>
        <v>29</v>
      </c>
      <c r="N187" s="117">
        <f t="shared" ref="N187:N190" si="108">I187*M187*H187/1000</f>
        <v>3.1058999999999997</v>
      </c>
      <c r="O187" s="230">
        <f t="shared" ref="O187:O190" si="109">J187-M187</f>
        <v>-6</v>
      </c>
      <c r="P187" s="231">
        <f t="shared" ref="P187:P190" si="110">I187*O187*H187/1000</f>
        <v>-0.64259999999999995</v>
      </c>
      <c r="Q187" s="371" t="s">
        <v>478</v>
      </c>
      <c r="R187" s="111"/>
      <c r="S187" s="111"/>
    </row>
    <row r="188" spans="1:19">
      <c r="A188" s="110" t="s">
        <v>303</v>
      </c>
      <c r="B188" s="111" t="s">
        <v>232</v>
      </c>
      <c r="C188" s="112" t="s">
        <v>228</v>
      </c>
      <c r="D188" s="112"/>
      <c r="E188" s="113" t="s">
        <v>24</v>
      </c>
      <c r="F188" s="175" t="s">
        <v>14</v>
      </c>
      <c r="G188" s="175" t="s">
        <v>36</v>
      </c>
      <c r="H188" s="176">
        <v>10.199999999999999</v>
      </c>
      <c r="I188" s="177">
        <v>11.5</v>
      </c>
      <c r="J188" s="178">
        <f>22+23</f>
        <v>45</v>
      </c>
      <c r="K188" s="174">
        <f t="shared" si="107"/>
        <v>5.2785000000000002</v>
      </c>
      <c r="L188" s="118"/>
      <c r="M188" s="195">
        <f>44+1</f>
        <v>45</v>
      </c>
      <c r="N188" s="117">
        <f t="shared" si="108"/>
        <v>5.2785000000000002</v>
      </c>
      <c r="O188" s="119">
        <f t="shared" si="109"/>
        <v>0</v>
      </c>
      <c r="P188" s="120">
        <f t="shared" si="110"/>
        <v>0</v>
      </c>
      <c r="Q188" s="159">
        <v>10.5</v>
      </c>
      <c r="R188" s="111">
        <v>1</v>
      </c>
      <c r="S188" s="111"/>
    </row>
    <row r="189" spans="1:19">
      <c r="A189" s="110" t="s">
        <v>303</v>
      </c>
      <c r="B189" s="111" t="s">
        <v>232</v>
      </c>
      <c r="C189" s="112" t="s">
        <v>228</v>
      </c>
      <c r="D189" s="112"/>
      <c r="E189" s="113" t="s">
        <v>24</v>
      </c>
      <c r="F189" s="175" t="s">
        <v>14</v>
      </c>
      <c r="G189" s="175" t="s">
        <v>36</v>
      </c>
      <c r="H189" s="176">
        <v>10.199999999999999</v>
      </c>
      <c r="I189" s="177">
        <v>9.5</v>
      </c>
      <c r="J189" s="178">
        <v>1</v>
      </c>
      <c r="K189" s="174">
        <f t="shared" si="107"/>
        <v>9.6899999999999986E-2</v>
      </c>
      <c r="L189" s="118"/>
      <c r="M189" s="195">
        <v>1</v>
      </c>
      <c r="N189" s="117">
        <f t="shared" si="108"/>
        <v>9.6899999999999986E-2</v>
      </c>
      <c r="O189" s="119">
        <f t="shared" si="109"/>
        <v>0</v>
      </c>
      <c r="P189" s="120">
        <f t="shared" si="110"/>
        <v>0</v>
      </c>
      <c r="Q189" s="159">
        <v>7.75</v>
      </c>
      <c r="R189" s="111">
        <v>1</v>
      </c>
      <c r="S189" s="111"/>
    </row>
    <row r="190" spans="1:19">
      <c r="A190" s="110" t="s">
        <v>303</v>
      </c>
      <c r="B190" s="111" t="s">
        <v>232</v>
      </c>
      <c r="C190" s="112" t="s">
        <v>228</v>
      </c>
      <c r="D190" s="112"/>
      <c r="E190" s="113" t="s">
        <v>24</v>
      </c>
      <c r="F190" s="175" t="s">
        <v>14</v>
      </c>
      <c r="G190" s="175" t="s">
        <v>36</v>
      </c>
      <c r="H190" s="176">
        <v>10.199999999999999</v>
      </c>
      <c r="I190" s="177">
        <v>10</v>
      </c>
      <c r="J190" s="178">
        <v>1</v>
      </c>
      <c r="K190" s="174">
        <f t="shared" si="107"/>
        <v>0.10199999999999999</v>
      </c>
      <c r="L190" s="118"/>
      <c r="M190" s="195">
        <v>1</v>
      </c>
      <c r="N190" s="117">
        <f t="shared" si="108"/>
        <v>0.10199999999999999</v>
      </c>
      <c r="O190" s="119">
        <f t="shared" si="109"/>
        <v>0</v>
      </c>
      <c r="P190" s="120">
        <f t="shared" si="110"/>
        <v>0</v>
      </c>
      <c r="Q190" s="159">
        <v>7.75</v>
      </c>
      <c r="R190" s="111">
        <v>1</v>
      </c>
      <c r="S190" s="111"/>
    </row>
    <row r="191" spans="1:19">
      <c r="A191" s="32"/>
      <c r="B191" s="32"/>
      <c r="C191" s="32"/>
      <c r="D191" s="32"/>
      <c r="E191" s="32"/>
      <c r="F191" s="32"/>
      <c r="G191" s="32"/>
      <c r="H191" s="32"/>
      <c r="I191" s="32"/>
      <c r="J191" s="131">
        <f>SUM(J186:J190)</f>
        <v>92</v>
      </c>
      <c r="K191" s="124">
        <f>SUM(K186:K190)</f>
        <v>9.6798000000000002</v>
      </c>
      <c r="L191" s="32"/>
      <c r="M191" s="171">
        <f>SUM(M186:M190)</f>
        <v>98</v>
      </c>
      <c r="N191" s="132">
        <f>SUM(N186:N190)</f>
        <v>10.3224</v>
      </c>
      <c r="O191" s="131">
        <f>SUM(O186:O190)</f>
        <v>-6</v>
      </c>
      <c r="P191" s="132">
        <f>SUM(P186:P190)</f>
        <v>-0.64259999999999995</v>
      </c>
      <c r="Q191" s="32"/>
      <c r="R191" s="32"/>
      <c r="S191" s="32"/>
    </row>
    <row r="194" spans="1:19">
      <c r="A194" s="110" t="s">
        <v>446</v>
      </c>
      <c r="B194" s="111" t="s">
        <v>232</v>
      </c>
      <c r="C194" s="112" t="s">
        <v>447</v>
      </c>
      <c r="D194" s="112"/>
      <c r="E194" s="113" t="s">
        <v>20</v>
      </c>
      <c r="F194" s="175" t="s">
        <v>15</v>
      </c>
      <c r="G194" s="175" t="s">
        <v>44</v>
      </c>
      <c r="H194" s="176">
        <v>13.4</v>
      </c>
      <c r="I194" s="177">
        <v>11.3</v>
      </c>
      <c r="J194" s="178">
        <v>20</v>
      </c>
      <c r="K194" s="174">
        <f t="shared" ref="K194" si="111">(H194*I194*J194/1000)</f>
        <v>3.0284000000000004</v>
      </c>
      <c r="L194" s="118"/>
      <c r="M194" s="111">
        <v>20</v>
      </c>
      <c r="N194" s="117">
        <f t="shared" ref="N194" si="112">I194*M194*H194/1000</f>
        <v>3.0284</v>
      </c>
      <c r="O194" s="119">
        <f t="shared" ref="O194" si="113">J194-M194</f>
        <v>0</v>
      </c>
      <c r="P194" s="120">
        <f t="shared" ref="P194" si="114">I194*O194*H194/1000</f>
        <v>0</v>
      </c>
      <c r="Q194" s="159"/>
      <c r="R194" s="111"/>
      <c r="S194" s="111"/>
    </row>
    <row r="195" spans="1:19">
      <c r="A195" s="110" t="s">
        <v>446</v>
      </c>
      <c r="B195" s="111" t="s">
        <v>232</v>
      </c>
      <c r="C195" s="112" t="s">
        <v>447</v>
      </c>
      <c r="D195" s="112"/>
      <c r="E195" s="113" t="s">
        <v>20</v>
      </c>
      <c r="F195" s="175" t="s">
        <v>15</v>
      </c>
      <c r="G195" s="175" t="s">
        <v>44</v>
      </c>
      <c r="H195" s="176">
        <v>13.4</v>
      </c>
      <c r="I195" s="177">
        <v>11.3</v>
      </c>
      <c r="J195" s="178">
        <v>20</v>
      </c>
      <c r="K195" s="174">
        <f t="shared" ref="K195:K214" si="115">(H195*I195*J195/1000)</f>
        <v>3.0284000000000004</v>
      </c>
      <c r="L195" s="118"/>
      <c r="M195" s="111">
        <v>20</v>
      </c>
      <c r="N195" s="117">
        <f t="shared" ref="N195:N214" si="116">I195*M195*H195/1000</f>
        <v>3.0284</v>
      </c>
      <c r="O195" s="119">
        <f t="shared" ref="O195:O214" si="117">J195-M195</f>
        <v>0</v>
      </c>
      <c r="P195" s="120">
        <f t="shared" ref="P195:P214" si="118">I195*O195*H195/1000</f>
        <v>0</v>
      </c>
      <c r="Q195" s="159"/>
      <c r="R195" s="111"/>
      <c r="S195" s="111"/>
    </row>
    <row r="196" spans="1:19">
      <c r="A196" s="110" t="s">
        <v>446</v>
      </c>
      <c r="B196" s="111" t="s">
        <v>232</v>
      </c>
      <c r="C196" s="112" t="s">
        <v>447</v>
      </c>
      <c r="D196" s="112"/>
      <c r="E196" s="113" t="s">
        <v>20</v>
      </c>
      <c r="F196" s="175" t="s">
        <v>15</v>
      </c>
      <c r="G196" s="175" t="s">
        <v>44</v>
      </c>
      <c r="H196" s="176">
        <v>13.4</v>
      </c>
      <c r="I196" s="177">
        <v>10.5</v>
      </c>
      <c r="J196" s="178">
        <v>20</v>
      </c>
      <c r="K196" s="174">
        <f t="shared" si="115"/>
        <v>2.8140000000000005</v>
      </c>
      <c r="L196" s="118"/>
      <c r="M196" s="111">
        <v>20</v>
      </c>
      <c r="N196" s="117">
        <f t="shared" si="116"/>
        <v>2.8140000000000001</v>
      </c>
      <c r="O196" s="119">
        <f t="shared" si="117"/>
        <v>0</v>
      </c>
      <c r="P196" s="120">
        <f t="shared" si="118"/>
        <v>0</v>
      </c>
      <c r="Q196" s="159"/>
      <c r="R196" s="111"/>
      <c r="S196" s="111"/>
    </row>
    <row r="197" spans="1:19">
      <c r="A197" s="110" t="s">
        <v>446</v>
      </c>
      <c r="B197" s="111" t="s">
        <v>232</v>
      </c>
      <c r="C197" s="112" t="s">
        <v>447</v>
      </c>
      <c r="D197" s="112"/>
      <c r="E197" s="113" t="s">
        <v>20</v>
      </c>
      <c r="F197" s="175" t="s">
        <v>15</v>
      </c>
      <c r="G197" s="175" t="s">
        <v>44</v>
      </c>
      <c r="H197" s="176">
        <v>13.4</v>
      </c>
      <c r="I197" s="177">
        <v>11.3</v>
      </c>
      <c r="J197" s="178">
        <v>20</v>
      </c>
      <c r="K197" s="174">
        <f t="shared" si="115"/>
        <v>3.0284000000000004</v>
      </c>
      <c r="L197" s="118"/>
      <c r="M197" s="111">
        <v>20</v>
      </c>
      <c r="N197" s="117">
        <f t="shared" si="116"/>
        <v>3.0284</v>
      </c>
      <c r="O197" s="119">
        <f t="shared" si="117"/>
        <v>0</v>
      </c>
      <c r="P197" s="120">
        <f t="shared" si="118"/>
        <v>0</v>
      </c>
      <c r="Q197" s="159"/>
      <c r="R197" s="111"/>
      <c r="S197" s="111"/>
    </row>
    <row r="198" spans="1:19">
      <c r="A198" s="110" t="s">
        <v>446</v>
      </c>
      <c r="B198" s="111" t="s">
        <v>232</v>
      </c>
      <c r="C198" s="112" t="s">
        <v>447</v>
      </c>
      <c r="D198" s="112"/>
      <c r="E198" s="113" t="s">
        <v>20</v>
      </c>
      <c r="F198" s="175" t="s">
        <v>15</v>
      </c>
      <c r="G198" s="175" t="s">
        <v>44</v>
      </c>
      <c r="H198" s="176">
        <v>13.4</v>
      </c>
      <c r="I198" s="177">
        <v>11.3</v>
      </c>
      <c r="J198" s="178">
        <v>20</v>
      </c>
      <c r="K198" s="174">
        <f t="shared" si="115"/>
        <v>3.0284000000000004</v>
      </c>
      <c r="L198" s="118"/>
      <c r="M198" s="111">
        <v>20</v>
      </c>
      <c r="N198" s="117">
        <f t="shared" si="116"/>
        <v>3.0284</v>
      </c>
      <c r="O198" s="119">
        <f t="shared" si="117"/>
        <v>0</v>
      </c>
      <c r="P198" s="120">
        <f t="shared" si="118"/>
        <v>0</v>
      </c>
      <c r="Q198" s="159"/>
      <c r="R198" s="111"/>
      <c r="S198" s="111"/>
    </row>
    <row r="199" spans="1:19">
      <c r="A199" s="110" t="s">
        <v>446</v>
      </c>
      <c r="B199" s="111" t="s">
        <v>232</v>
      </c>
      <c r="C199" s="112" t="s">
        <v>447</v>
      </c>
      <c r="D199" s="112"/>
      <c r="E199" s="113" t="s">
        <v>20</v>
      </c>
      <c r="F199" s="175" t="s">
        <v>15</v>
      </c>
      <c r="G199" s="175" t="s">
        <v>44</v>
      </c>
      <c r="H199" s="176">
        <v>13.4</v>
      </c>
      <c r="I199" s="177">
        <v>11.3</v>
      </c>
      <c r="J199" s="178">
        <v>19</v>
      </c>
      <c r="K199" s="174">
        <f t="shared" si="115"/>
        <v>2.8769800000000005</v>
      </c>
      <c r="L199" s="118"/>
      <c r="M199" s="111">
        <f>19+22</f>
        <v>41</v>
      </c>
      <c r="N199" s="117">
        <f t="shared" si="116"/>
        <v>6.2082199999999998</v>
      </c>
      <c r="O199" s="230">
        <f t="shared" si="117"/>
        <v>-22</v>
      </c>
      <c r="P199" s="231">
        <f t="shared" si="118"/>
        <v>-3.3312400000000002</v>
      </c>
      <c r="Q199" s="371" t="s">
        <v>541</v>
      </c>
      <c r="R199" s="111"/>
      <c r="S199" s="111"/>
    </row>
    <row r="200" spans="1:19">
      <c r="A200" s="110" t="s">
        <v>446</v>
      </c>
      <c r="B200" s="111" t="s">
        <v>232</v>
      </c>
      <c r="C200" s="112" t="s">
        <v>447</v>
      </c>
      <c r="D200" s="112"/>
      <c r="E200" s="113" t="s">
        <v>20</v>
      </c>
      <c r="F200" s="175" t="s">
        <v>15</v>
      </c>
      <c r="G200" s="175" t="s">
        <v>44</v>
      </c>
      <c r="H200" s="176">
        <v>13.4</v>
      </c>
      <c r="I200" s="177">
        <v>10.5</v>
      </c>
      <c r="J200" s="178">
        <v>18</v>
      </c>
      <c r="K200" s="174">
        <f t="shared" si="115"/>
        <v>2.5326000000000004</v>
      </c>
      <c r="L200" s="118"/>
      <c r="M200" s="111">
        <v>18</v>
      </c>
      <c r="N200" s="117">
        <f t="shared" si="116"/>
        <v>2.5326</v>
      </c>
      <c r="O200" s="119">
        <f t="shared" si="117"/>
        <v>0</v>
      </c>
      <c r="P200" s="120">
        <f t="shared" si="118"/>
        <v>0</v>
      </c>
      <c r="Q200" s="159"/>
      <c r="R200" s="111"/>
      <c r="S200" s="111"/>
    </row>
    <row r="201" spans="1:19">
      <c r="A201" s="110" t="s">
        <v>446</v>
      </c>
      <c r="B201" s="111" t="s">
        <v>232</v>
      </c>
      <c r="C201" s="112" t="s">
        <v>447</v>
      </c>
      <c r="D201" s="112"/>
      <c r="E201" s="113" t="s">
        <v>20</v>
      </c>
      <c r="F201" s="175" t="s">
        <v>15</v>
      </c>
      <c r="G201" s="175" t="s">
        <v>44</v>
      </c>
      <c r="H201" s="176">
        <v>13.4</v>
      </c>
      <c r="I201" s="177">
        <v>12</v>
      </c>
      <c r="J201" s="178">
        <v>8</v>
      </c>
      <c r="K201" s="174">
        <f t="shared" si="115"/>
        <v>1.2864</v>
      </c>
      <c r="L201" s="118"/>
      <c r="M201" s="111">
        <v>8</v>
      </c>
      <c r="N201" s="117">
        <f t="shared" si="116"/>
        <v>1.2864</v>
      </c>
      <c r="O201" s="119">
        <f t="shared" si="117"/>
        <v>0</v>
      </c>
      <c r="P201" s="120">
        <f t="shared" si="118"/>
        <v>0</v>
      </c>
      <c r="Q201" s="159"/>
      <c r="R201" s="111"/>
      <c r="S201" s="111"/>
    </row>
    <row r="202" spans="1:19">
      <c r="A202" s="110" t="s">
        <v>446</v>
      </c>
      <c r="B202" s="111" t="s">
        <v>232</v>
      </c>
      <c r="C202" s="112" t="s">
        <v>447</v>
      </c>
      <c r="D202" s="112"/>
      <c r="E202" s="113" t="s">
        <v>20</v>
      </c>
      <c r="F202" s="175" t="s">
        <v>15</v>
      </c>
      <c r="G202" s="175" t="s">
        <v>44</v>
      </c>
      <c r="H202" s="176">
        <v>13.4</v>
      </c>
      <c r="I202" s="177">
        <v>9.5</v>
      </c>
      <c r="J202" s="178">
        <v>1</v>
      </c>
      <c r="K202" s="174">
        <f t="shared" si="115"/>
        <v>0.1273</v>
      </c>
      <c r="L202" s="118"/>
      <c r="M202" s="111">
        <v>1</v>
      </c>
      <c r="N202" s="117">
        <f t="shared" si="116"/>
        <v>0.1273</v>
      </c>
      <c r="O202" s="228">
        <f t="shared" si="117"/>
        <v>0</v>
      </c>
      <c r="P202" s="229">
        <f t="shared" si="118"/>
        <v>0</v>
      </c>
      <c r="Q202" s="159" t="s">
        <v>465</v>
      </c>
      <c r="R202" s="111"/>
      <c r="S202" s="111"/>
    </row>
    <row r="203" spans="1:19">
      <c r="A203" s="110" t="s">
        <v>446</v>
      </c>
      <c r="B203" s="111" t="s">
        <v>232</v>
      </c>
      <c r="C203" s="112" t="s">
        <v>447</v>
      </c>
      <c r="D203" s="112"/>
      <c r="E203" s="113" t="s">
        <v>20</v>
      </c>
      <c r="F203" s="175" t="s">
        <v>15</v>
      </c>
      <c r="G203" s="175" t="s">
        <v>44</v>
      </c>
      <c r="H203" s="176">
        <v>13.4</v>
      </c>
      <c r="I203" s="177">
        <v>10.4</v>
      </c>
      <c r="J203" s="178">
        <v>1</v>
      </c>
      <c r="K203" s="174">
        <f t="shared" si="115"/>
        <v>0.13936000000000001</v>
      </c>
      <c r="L203" s="118"/>
      <c r="M203" s="111">
        <v>1</v>
      </c>
      <c r="N203" s="117">
        <f t="shared" si="116"/>
        <v>0.13936000000000001</v>
      </c>
      <c r="O203" s="228">
        <f t="shared" si="117"/>
        <v>0</v>
      </c>
      <c r="P203" s="229">
        <f t="shared" si="118"/>
        <v>0</v>
      </c>
      <c r="Q203" s="159" t="s">
        <v>465</v>
      </c>
      <c r="R203" s="111"/>
      <c r="S203" s="111"/>
    </row>
    <row r="204" spans="1:19">
      <c r="A204" s="110" t="s">
        <v>446</v>
      </c>
      <c r="B204" s="111" t="s">
        <v>232</v>
      </c>
      <c r="C204" s="112" t="s">
        <v>447</v>
      </c>
      <c r="D204" s="112"/>
      <c r="E204" s="113" t="s">
        <v>20</v>
      </c>
      <c r="F204" s="175" t="s">
        <v>15</v>
      </c>
      <c r="G204" s="175" t="s">
        <v>44</v>
      </c>
      <c r="H204" s="176">
        <v>13.4</v>
      </c>
      <c r="I204" s="177">
        <v>11.2</v>
      </c>
      <c r="J204" s="178">
        <v>4</v>
      </c>
      <c r="K204" s="174">
        <f t="shared" si="115"/>
        <v>0.60031999999999996</v>
      </c>
      <c r="L204" s="118"/>
      <c r="M204" s="111">
        <v>4</v>
      </c>
      <c r="N204" s="117">
        <f t="shared" si="116"/>
        <v>0.60031999999999996</v>
      </c>
      <c r="O204" s="228">
        <f t="shared" si="117"/>
        <v>0</v>
      </c>
      <c r="P204" s="229">
        <f t="shared" si="118"/>
        <v>0</v>
      </c>
      <c r="Q204" s="159" t="s">
        <v>465</v>
      </c>
      <c r="R204" s="111"/>
      <c r="S204" s="111"/>
    </row>
    <row r="205" spans="1:19">
      <c r="A205" s="110" t="s">
        <v>446</v>
      </c>
      <c r="B205" s="111" t="s">
        <v>232</v>
      </c>
      <c r="C205" s="112" t="s">
        <v>447</v>
      </c>
      <c r="D205" s="112"/>
      <c r="E205" s="113" t="s">
        <v>20</v>
      </c>
      <c r="F205" s="175" t="s">
        <v>15</v>
      </c>
      <c r="G205" s="175" t="s">
        <v>44</v>
      </c>
      <c r="H205" s="176">
        <v>13.4</v>
      </c>
      <c r="I205" s="177">
        <v>11</v>
      </c>
      <c r="J205" s="178">
        <v>8</v>
      </c>
      <c r="K205" s="174">
        <f t="shared" si="115"/>
        <v>1.1792</v>
      </c>
      <c r="L205" s="118"/>
      <c r="M205" s="111">
        <v>8</v>
      </c>
      <c r="N205" s="117">
        <f t="shared" si="116"/>
        <v>1.1792</v>
      </c>
      <c r="O205" s="228">
        <f t="shared" si="117"/>
        <v>0</v>
      </c>
      <c r="P205" s="229">
        <f t="shared" si="118"/>
        <v>0</v>
      </c>
      <c r="Q205" s="159" t="s">
        <v>465</v>
      </c>
      <c r="R205" s="111"/>
      <c r="S205" s="111"/>
    </row>
    <row r="206" spans="1:19">
      <c r="A206" s="110" t="s">
        <v>446</v>
      </c>
      <c r="B206" s="111" t="s">
        <v>232</v>
      </c>
      <c r="C206" s="112" t="s">
        <v>447</v>
      </c>
      <c r="D206" s="112"/>
      <c r="E206" s="113" t="s">
        <v>20</v>
      </c>
      <c r="F206" s="175" t="s">
        <v>15</v>
      </c>
      <c r="G206" s="175" t="s">
        <v>44</v>
      </c>
      <c r="H206" s="176">
        <v>13.4</v>
      </c>
      <c r="I206" s="177">
        <v>12</v>
      </c>
      <c r="J206" s="178">
        <v>1</v>
      </c>
      <c r="K206" s="174">
        <f t="shared" si="115"/>
        <v>0.1608</v>
      </c>
      <c r="L206" s="118"/>
      <c r="M206" s="111">
        <v>1</v>
      </c>
      <c r="N206" s="117">
        <f t="shared" si="116"/>
        <v>0.1608</v>
      </c>
      <c r="O206" s="119">
        <f t="shared" si="117"/>
        <v>0</v>
      </c>
      <c r="P206" s="120">
        <f t="shared" si="118"/>
        <v>0</v>
      </c>
      <c r="Q206" s="159">
        <v>11.3</v>
      </c>
      <c r="R206" s="111">
        <v>1</v>
      </c>
      <c r="S206" s="111"/>
    </row>
    <row r="207" spans="1:19">
      <c r="A207" s="110" t="s">
        <v>446</v>
      </c>
      <c r="B207" s="111" t="s">
        <v>232</v>
      </c>
      <c r="C207" s="112" t="s">
        <v>447</v>
      </c>
      <c r="D207" s="112"/>
      <c r="E207" s="113" t="s">
        <v>20</v>
      </c>
      <c r="F207" s="175" t="s">
        <v>15</v>
      </c>
      <c r="G207" s="175" t="s">
        <v>44</v>
      </c>
      <c r="H207" s="176">
        <v>13.4</v>
      </c>
      <c r="I207" s="177">
        <v>11.3</v>
      </c>
      <c r="J207" s="178">
        <v>4</v>
      </c>
      <c r="K207" s="174">
        <f t="shared" si="115"/>
        <v>0.60568000000000011</v>
      </c>
      <c r="L207" s="118"/>
      <c r="M207" s="111">
        <v>4</v>
      </c>
      <c r="N207" s="117">
        <f t="shared" si="116"/>
        <v>0.60568000000000011</v>
      </c>
      <c r="O207" s="119">
        <f t="shared" si="117"/>
        <v>0</v>
      </c>
      <c r="P207" s="120">
        <f t="shared" si="118"/>
        <v>0</v>
      </c>
      <c r="Q207" s="159"/>
      <c r="R207" s="111"/>
      <c r="S207" s="111"/>
    </row>
    <row r="208" spans="1:19">
      <c r="A208" s="110" t="s">
        <v>446</v>
      </c>
      <c r="B208" s="111" t="s">
        <v>232</v>
      </c>
      <c r="C208" s="112" t="s">
        <v>447</v>
      </c>
      <c r="D208" s="112"/>
      <c r="E208" s="113" t="s">
        <v>20</v>
      </c>
      <c r="F208" s="175" t="s">
        <v>15</v>
      </c>
      <c r="G208" s="175" t="s">
        <v>44</v>
      </c>
      <c r="H208" s="176">
        <v>13.4</v>
      </c>
      <c r="I208" s="177">
        <v>11.3</v>
      </c>
      <c r="J208" s="178">
        <v>20</v>
      </c>
      <c r="K208" s="174">
        <f t="shared" si="115"/>
        <v>3.0284000000000004</v>
      </c>
      <c r="L208" s="118"/>
      <c r="M208" s="111">
        <v>20</v>
      </c>
      <c r="N208" s="117">
        <f t="shared" si="116"/>
        <v>3.0284</v>
      </c>
      <c r="O208" s="119">
        <f t="shared" si="117"/>
        <v>0</v>
      </c>
      <c r="P208" s="120">
        <f t="shared" si="118"/>
        <v>0</v>
      </c>
      <c r="Q208" s="159"/>
      <c r="R208" s="111"/>
      <c r="S208" s="111"/>
    </row>
    <row r="209" spans="1:19">
      <c r="A209" s="110" t="s">
        <v>446</v>
      </c>
      <c r="B209" s="111" t="s">
        <v>232</v>
      </c>
      <c r="C209" s="112" t="s">
        <v>447</v>
      </c>
      <c r="D209" s="112"/>
      <c r="E209" s="113" t="s">
        <v>20</v>
      </c>
      <c r="F209" s="175" t="s">
        <v>15</v>
      </c>
      <c r="G209" s="175" t="s">
        <v>44</v>
      </c>
      <c r="H209" s="176">
        <v>13.4</v>
      </c>
      <c r="I209" s="177">
        <v>11.3</v>
      </c>
      <c r="J209" s="178">
        <v>20</v>
      </c>
      <c r="K209" s="174">
        <f t="shared" si="115"/>
        <v>3.0284000000000004</v>
      </c>
      <c r="L209" s="118"/>
      <c r="M209" s="111">
        <v>20</v>
      </c>
      <c r="N209" s="117">
        <f t="shared" si="116"/>
        <v>3.0284</v>
      </c>
      <c r="O209" s="119">
        <f t="shared" si="117"/>
        <v>0</v>
      </c>
      <c r="P209" s="120">
        <f t="shared" si="118"/>
        <v>0</v>
      </c>
      <c r="Q209" s="159"/>
      <c r="R209" s="111"/>
      <c r="S209" s="111"/>
    </row>
    <row r="210" spans="1:19">
      <c r="A210" s="110" t="s">
        <v>446</v>
      </c>
      <c r="B210" s="111" t="s">
        <v>232</v>
      </c>
      <c r="C210" s="112" t="s">
        <v>447</v>
      </c>
      <c r="D210" s="112"/>
      <c r="E210" s="113" t="s">
        <v>20</v>
      </c>
      <c r="F210" s="175" t="s">
        <v>15</v>
      </c>
      <c r="G210" s="175" t="s">
        <v>44</v>
      </c>
      <c r="H210" s="176">
        <v>13.4</v>
      </c>
      <c r="I210" s="177">
        <v>11.3</v>
      </c>
      <c r="J210" s="178">
        <v>20</v>
      </c>
      <c r="K210" s="174">
        <f t="shared" si="115"/>
        <v>3.0284000000000004</v>
      </c>
      <c r="L210" s="118"/>
      <c r="M210" s="111">
        <v>20</v>
      </c>
      <c r="N210" s="117">
        <f t="shared" si="116"/>
        <v>3.0284</v>
      </c>
      <c r="O210" s="119">
        <f t="shared" si="117"/>
        <v>0</v>
      </c>
      <c r="P210" s="120">
        <f t="shared" si="118"/>
        <v>0</v>
      </c>
      <c r="Q210" s="159"/>
      <c r="R210" s="111"/>
      <c r="S210" s="111"/>
    </row>
    <row r="211" spans="1:19">
      <c r="A211" s="110" t="s">
        <v>446</v>
      </c>
      <c r="B211" s="111" t="s">
        <v>232</v>
      </c>
      <c r="C211" s="112" t="s">
        <v>447</v>
      </c>
      <c r="D211" s="112"/>
      <c r="E211" s="113" t="s">
        <v>20</v>
      </c>
      <c r="F211" s="175" t="s">
        <v>15</v>
      </c>
      <c r="G211" s="175" t="s">
        <v>44</v>
      </c>
      <c r="H211" s="176">
        <v>13.4</v>
      </c>
      <c r="I211" s="177">
        <v>11.3</v>
      </c>
      <c r="J211" s="178">
        <v>20</v>
      </c>
      <c r="K211" s="174">
        <f t="shared" si="115"/>
        <v>3.0284000000000004</v>
      </c>
      <c r="L211" s="118"/>
      <c r="M211" s="111">
        <v>20</v>
      </c>
      <c r="N211" s="117">
        <f t="shared" si="116"/>
        <v>3.0284</v>
      </c>
      <c r="O211" s="119">
        <f t="shared" si="117"/>
        <v>0</v>
      </c>
      <c r="P211" s="120">
        <f t="shared" si="118"/>
        <v>0</v>
      </c>
      <c r="Q211" s="159"/>
      <c r="R211" s="111"/>
      <c r="S211" s="111"/>
    </row>
    <row r="212" spans="1:19">
      <c r="A212" s="110" t="s">
        <v>446</v>
      </c>
      <c r="B212" s="111" t="s">
        <v>232</v>
      </c>
      <c r="C212" s="112" t="s">
        <v>447</v>
      </c>
      <c r="D212" s="112"/>
      <c r="E212" s="113" t="s">
        <v>20</v>
      </c>
      <c r="F212" s="175" t="s">
        <v>15</v>
      </c>
      <c r="G212" s="175" t="s">
        <v>44</v>
      </c>
      <c r="H212" s="176">
        <v>13.4</v>
      </c>
      <c r="I212" s="177">
        <v>11.3</v>
      </c>
      <c r="J212" s="178">
        <v>20</v>
      </c>
      <c r="K212" s="174">
        <f t="shared" si="115"/>
        <v>3.0284000000000004</v>
      </c>
      <c r="L212" s="118"/>
      <c r="M212" s="111">
        <v>20</v>
      </c>
      <c r="N212" s="117">
        <f t="shared" si="116"/>
        <v>3.0284</v>
      </c>
      <c r="O212" s="119">
        <f t="shared" si="117"/>
        <v>0</v>
      </c>
      <c r="P212" s="120">
        <f t="shared" si="118"/>
        <v>0</v>
      </c>
      <c r="Q212" s="159"/>
      <c r="R212" s="111"/>
      <c r="S212" s="111"/>
    </row>
    <row r="213" spans="1:19">
      <c r="A213" s="110" t="s">
        <v>446</v>
      </c>
      <c r="B213" s="111" t="s">
        <v>232</v>
      </c>
      <c r="C213" s="112" t="s">
        <v>447</v>
      </c>
      <c r="D213" s="112"/>
      <c r="E213" s="113" t="s">
        <v>20</v>
      </c>
      <c r="F213" s="175" t="s">
        <v>15</v>
      </c>
      <c r="G213" s="175" t="s">
        <v>44</v>
      </c>
      <c r="H213" s="176">
        <v>13.4</v>
      </c>
      <c r="I213" s="177">
        <v>11.3</v>
      </c>
      <c r="J213" s="178">
        <v>20</v>
      </c>
      <c r="K213" s="174">
        <f t="shared" si="115"/>
        <v>3.0284000000000004</v>
      </c>
      <c r="L213" s="118"/>
      <c r="M213" s="111">
        <v>20</v>
      </c>
      <c r="N213" s="117">
        <f t="shared" si="116"/>
        <v>3.0284</v>
      </c>
      <c r="O213" s="119">
        <f t="shared" si="117"/>
        <v>0</v>
      </c>
      <c r="P213" s="120">
        <f t="shared" si="118"/>
        <v>0</v>
      </c>
      <c r="Q213" s="159"/>
      <c r="R213" s="111"/>
      <c r="S213" s="111"/>
    </row>
    <row r="214" spans="1:19">
      <c r="A214" s="110" t="s">
        <v>446</v>
      </c>
      <c r="B214" s="111" t="s">
        <v>232</v>
      </c>
      <c r="C214" s="112" t="s">
        <v>447</v>
      </c>
      <c r="D214" s="112"/>
      <c r="E214" s="113" t="s">
        <v>20</v>
      </c>
      <c r="F214" s="175" t="s">
        <v>15</v>
      </c>
      <c r="G214" s="175" t="s">
        <v>44</v>
      </c>
      <c r="H214" s="176">
        <v>13.4</v>
      </c>
      <c r="I214" s="177">
        <v>11.3</v>
      </c>
      <c r="J214" s="178">
        <v>20</v>
      </c>
      <c r="K214" s="174">
        <f t="shared" si="115"/>
        <v>3.0284000000000004</v>
      </c>
      <c r="L214" s="118"/>
      <c r="M214" s="111">
        <v>20</v>
      </c>
      <c r="N214" s="117">
        <f t="shared" si="116"/>
        <v>3.0284</v>
      </c>
      <c r="O214" s="119">
        <f t="shared" si="117"/>
        <v>0</v>
      </c>
      <c r="P214" s="120">
        <f t="shared" si="118"/>
        <v>0</v>
      </c>
      <c r="Q214" s="159"/>
      <c r="R214" s="111"/>
      <c r="S214" s="111"/>
    </row>
    <row r="215" spans="1:19">
      <c r="A215" s="110" t="s">
        <v>446</v>
      </c>
      <c r="B215" s="111" t="s">
        <v>232</v>
      </c>
      <c r="C215" s="112" t="s">
        <v>447</v>
      </c>
      <c r="D215" s="112"/>
      <c r="E215" s="113" t="s">
        <v>20</v>
      </c>
      <c r="F215" s="175" t="s">
        <v>15</v>
      </c>
      <c r="G215" s="175" t="s">
        <v>44</v>
      </c>
      <c r="H215" s="176">
        <v>13.4</v>
      </c>
      <c r="I215" s="177">
        <v>11.3</v>
      </c>
      <c r="J215" s="178">
        <v>20</v>
      </c>
      <c r="K215" s="174">
        <f t="shared" ref="K215" si="119">(H215*I215*J215/1000)</f>
        <v>3.0284000000000004</v>
      </c>
      <c r="L215" s="118"/>
      <c r="M215" s="111">
        <v>20</v>
      </c>
      <c r="N215" s="117">
        <f t="shared" ref="N215" si="120">I215*M215*H215/1000</f>
        <v>3.0284</v>
      </c>
      <c r="O215" s="119">
        <f t="shared" ref="O215" si="121">J215-M215</f>
        <v>0</v>
      </c>
      <c r="P215" s="120">
        <f t="shared" ref="P215" si="122">I215*O215*H215/1000</f>
        <v>0</v>
      </c>
      <c r="Q215" s="159"/>
      <c r="R215" s="111"/>
      <c r="S215" s="111"/>
    </row>
    <row r="216" spans="1:19">
      <c r="A216" s="110" t="s">
        <v>446</v>
      </c>
      <c r="B216" s="111" t="s">
        <v>232</v>
      </c>
      <c r="C216" s="112" t="s">
        <v>447</v>
      </c>
      <c r="D216" s="112"/>
      <c r="E216" s="113" t="s">
        <v>20</v>
      </c>
      <c r="F216" s="175" t="s">
        <v>15</v>
      </c>
      <c r="G216" s="175" t="s">
        <v>44</v>
      </c>
      <c r="H216" s="176">
        <v>13.4</v>
      </c>
      <c r="I216" s="177">
        <v>10.5</v>
      </c>
      <c r="J216" s="178">
        <v>21</v>
      </c>
      <c r="K216" s="174">
        <f t="shared" ref="K216:K228" si="123">(H216*I216*J216/1000)</f>
        <v>2.9547000000000003</v>
      </c>
      <c r="L216" s="118"/>
      <c r="M216" s="111">
        <f>15+6</f>
        <v>21</v>
      </c>
      <c r="N216" s="117">
        <f t="shared" ref="N216:N228" si="124">I216*M216*H216/1000</f>
        <v>2.9547000000000003</v>
      </c>
      <c r="O216" s="228">
        <f t="shared" ref="O216:O228" si="125">J216-M216</f>
        <v>0</v>
      </c>
      <c r="P216" s="229">
        <f t="shared" ref="P216:P228" si="126">I216*O216*H216/1000</f>
        <v>0</v>
      </c>
      <c r="Q216" s="159" t="s">
        <v>465</v>
      </c>
      <c r="R216" s="111"/>
      <c r="S216" s="111"/>
    </row>
    <row r="217" spans="1:19">
      <c r="A217" s="110" t="s">
        <v>446</v>
      </c>
      <c r="B217" s="111" t="s">
        <v>232</v>
      </c>
      <c r="C217" s="112" t="s">
        <v>447</v>
      </c>
      <c r="D217" s="112"/>
      <c r="E217" s="113" t="s">
        <v>20</v>
      </c>
      <c r="F217" s="175" t="s">
        <v>15</v>
      </c>
      <c r="G217" s="175" t="s">
        <v>44</v>
      </c>
      <c r="H217" s="176">
        <v>13.4</v>
      </c>
      <c r="I217" s="177">
        <v>11.3</v>
      </c>
      <c r="J217" s="178">
        <v>20</v>
      </c>
      <c r="K217" s="174">
        <f t="shared" si="123"/>
        <v>3.0284000000000004</v>
      </c>
      <c r="L217" s="118"/>
      <c r="M217" s="111">
        <v>20</v>
      </c>
      <c r="N217" s="117">
        <f t="shared" si="124"/>
        <v>3.0284</v>
      </c>
      <c r="O217" s="119">
        <f t="shared" si="125"/>
        <v>0</v>
      </c>
      <c r="P217" s="120">
        <f t="shared" si="126"/>
        <v>0</v>
      </c>
      <c r="Q217" s="159"/>
      <c r="R217" s="111"/>
      <c r="S217" s="111"/>
    </row>
    <row r="218" spans="1:19">
      <c r="A218" s="110" t="s">
        <v>446</v>
      </c>
      <c r="B218" s="111" t="s">
        <v>232</v>
      </c>
      <c r="C218" s="112" t="s">
        <v>447</v>
      </c>
      <c r="D218" s="112"/>
      <c r="E218" s="113" t="s">
        <v>20</v>
      </c>
      <c r="F218" s="175" t="s">
        <v>15</v>
      </c>
      <c r="G218" s="175" t="s">
        <v>44</v>
      </c>
      <c r="H218" s="176">
        <v>13.4</v>
      </c>
      <c r="I218" s="177">
        <v>11.3</v>
      </c>
      <c r="J218" s="178">
        <v>20</v>
      </c>
      <c r="K218" s="174">
        <f t="shared" si="123"/>
        <v>3.0284000000000004</v>
      </c>
      <c r="L218" s="118"/>
      <c r="M218" s="111">
        <v>20</v>
      </c>
      <c r="N218" s="117">
        <f t="shared" si="124"/>
        <v>3.0284</v>
      </c>
      <c r="O218" s="119">
        <f t="shared" si="125"/>
        <v>0</v>
      </c>
      <c r="P218" s="120">
        <f t="shared" si="126"/>
        <v>0</v>
      </c>
      <c r="Q218" s="159"/>
      <c r="R218" s="111"/>
      <c r="S218" s="111"/>
    </row>
    <row r="219" spans="1:19">
      <c r="A219" s="110" t="s">
        <v>446</v>
      </c>
      <c r="B219" s="111" t="s">
        <v>232</v>
      </c>
      <c r="C219" s="112" t="s">
        <v>447</v>
      </c>
      <c r="D219" s="112"/>
      <c r="E219" s="113" t="s">
        <v>20</v>
      </c>
      <c r="F219" s="175" t="s">
        <v>15</v>
      </c>
      <c r="G219" s="175" t="s">
        <v>44</v>
      </c>
      <c r="H219" s="176">
        <v>13.4</v>
      </c>
      <c r="I219" s="177">
        <v>11.3</v>
      </c>
      <c r="J219" s="178">
        <v>20</v>
      </c>
      <c r="K219" s="174">
        <f t="shared" si="123"/>
        <v>3.0284000000000004</v>
      </c>
      <c r="L219" s="118"/>
      <c r="M219" s="111">
        <v>20</v>
      </c>
      <c r="N219" s="117">
        <f t="shared" si="124"/>
        <v>3.0284</v>
      </c>
      <c r="O219" s="119">
        <f t="shared" si="125"/>
        <v>0</v>
      </c>
      <c r="P219" s="120">
        <f t="shared" si="126"/>
        <v>0</v>
      </c>
      <c r="Q219" s="159"/>
      <c r="R219" s="111"/>
      <c r="S219" s="111"/>
    </row>
    <row r="220" spans="1:19">
      <c r="A220" s="110" t="s">
        <v>446</v>
      </c>
      <c r="B220" s="111" t="s">
        <v>232</v>
      </c>
      <c r="C220" s="112" t="s">
        <v>447</v>
      </c>
      <c r="D220" s="112"/>
      <c r="E220" s="113" t="s">
        <v>20</v>
      </c>
      <c r="F220" s="175" t="s">
        <v>15</v>
      </c>
      <c r="G220" s="175" t="s">
        <v>44</v>
      </c>
      <c r="H220" s="176">
        <v>13.4</v>
      </c>
      <c r="I220" s="177">
        <v>11.3</v>
      </c>
      <c r="J220" s="178">
        <v>20</v>
      </c>
      <c r="K220" s="174">
        <f t="shared" si="123"/>
        <v>3.0284000000000004</v>
      </c>
      <c r="L220" s="118"/>
      <c r="M220" s="111">
        <v>20</v>
      </c>
      <c r="N220" s="117">
        <f t="shared" si="124"/>
        <v>3.0284</v>
      </c>
      <c r="O220" s="119">
        <f t="shared" si="125"/>
        <v>0</v>
      </c>
      <c r="P220" s="120">
        <f t="shared" si="126"/>
        <v>0</v>
      </c>
      <c r="Q220" s="159"/>
      <c r="R220" s="111"/>
      <c r="S220" s="111"/>
    </row>
    <row r="221" spans="1:19">
      <c r="A221" s="110" t="s">
        <v>446</v>
      </c>
      <c r="B221" s="111" t="s">
        <v>232</v>
      </c>
      <c r="C221" s="112" t="s">
        <v>447</v>
      </c>
      <c r="D221" s="112"/>
      <c r="E221" s="113" t="s">
        <v>20</v>
      </c>
      <c r="F221" s="175" t="s">
        <v>15</v>
      </c>
      <c r="G221" s="175" t="s">
        <v>44</v>
      </c>
      <c r="H221" s="176">
        <v>13.4</v>
      </c>
      <c r="I221" s="177">
        <v>11.3</v>
      </c>
      <c r="J221" s="178">
        <v>20</v>
      </c>
      <c r="K221" s="174">
        <f t="shared" si="123"/>
        <v>3.0284000000000004</v>
      </c>
      <c r="L221" s="118"/>
      <c r="M221" s="111">
        <v>20</v>
      </c>
      <c r="N221" s="117">
        <f t="shared" si="124"/>
        <v>3.0284</v>
      </c>
      <c r="O221" s="119">
        <f t="shared" si="125"/>
        <v>0</v>
      </c>
      <c r="P221" s="120">
        <f t="shared" si="126"/>
        <v>0</v>
      </c>
      <c r="Q221" s="159"/>
      <c r="R221" s="111"/>
      <c r="S221" s="111"/>
    </row>
    <row r="222" spans="1:19">
      <c r="A222" s="110" t="s">
        <v>446</v>
      </c>
      <c r="B222" s="111" t="s">
        <v>232</v>
      </c>
      <c r="C222" s="112" t="s">
        <v>447</v>
      </c>
      <c r="D222" s="112"/>
      <c r="E222" s="113" t="s">
        <v>20</v>
      </c>
      <c r="F222" s="175" t="s">
        <v>15</v>
      </c>
      <c r="G222" s="175" t="s">
        <v>44</v>
      </c>
      <c r="H222" s="176">
        <v>13.4</v>
      </c>
      <c r="I222" s="177">
        <v>11.3</v>
      </c>
      <c r="J222" s="178">
        <v>18</v>
      </c>
      <c r="K222" s="174">
        <f t="shared" si="123"/>
        <v>2.7255600000000002</v>
      </c>
      <c r="L222" s="118"/>
      <c r="M222" s="111">
        <v>18</v>
      </c>
      <c r="N222" s="117">
        <f t="shared" si="124"/>
        <v>2.7255599999999998</v>
      </c>
      <c r="O222" s="119">
        <f t="shared" si="125"/>
        <v>0</v>
      </c>
      <c r="P222" s="120">
        <f t="shared" si="126"/>
        <v>0</v>
      </c>
      <c r="Q222" s="159"/>
      <c r="R222" s="111"/>
      <c r="S222" s="111"/>
    </row>
    <row r="223" spans="1:19">
      <c r="A223" s="110" t="s">
        <v>446</v>
      </c>
      <c r="B223" s="111" t="s">
        <v>232</v>
      </c>
      <c r="C223" s="112" t="s">
        <v>447</v>
      </c>
      <c r="D223" s="112"/>
      <c r="E223" s="113" t="s">
        <v>20</v>
      </c>
      <c r="F223" s="175" t="s">
        <v>15</v>
      </c>
      <c r="G223" s="175" t="s">
        <v>44</v>
      </c>
      <c r="H223" s="176">
        <v>13.4</v>
      </c>
      <c r="I223" s="177">
        <v>11.3</v>
      </c>
      <c r="J223" s="178">
        <v>20</v>
      </c>
      <c r="K223" s="174">
        <f t="shared" si="123"/>
        <v>3.0284000000000004</v>
      </c>
      <c r="L223" s="118"/>
      <c r="M223" s="111">
        <v>20</v>
      </c>
      <c r="N223" s="117">
        <f t="shared" si="124"/>
        <v>3.0284</v>
      </c>
      <c r="O223" s="119">
        <f t="shared" si="125"/>
        <v>0</v>
      </c>
      <c r="P223" s="120">
        <f t="shared" si="126"/>
        <v>0</v>
      </c>
      <c r="Q223" s="159"/>
      <c r="R223" s="111"/>
      <c r="S223" s="111"/>
    </row>
    <row r="224" spans="1:19">
      <c r="A224" s="110" t="s">
        <v>446</v>
      </c>
      <c r="B224" s="111" t="s">
        <v>232</v>
      </c>
      <c r="C224" s="112" t="s">
        <v>447</v>
      </c>
      <c r="D224" s="112"/>
      <c r="E224" s="113" t="s">
        <v>20</v>
      </c>
      <c r="F224" s="175" t="s">
        <v>15</v>
      </c>
      <c r="G224" s="175" t="s">
        <v>44</v>
      </c>
      <c r="H224" s="176">
        <v>13.4</v>
      </c>
      <c r="I224" s="177">
        <v>11.3</v>
      </c>
      <c r="J224" s="178">
        <v>20</v>
      </c>
      <c r="K224" s="174">
        <f t="shared" si="123"/>
        <v>3.0284000000000004</v>
      </c>
      <c r="L224" s="118"/>
      <c r="M224" s="111">
        <v>20</v>
      </c>
      <c r="N224" s="117">
        <f t="shared" si="124"/>
        <v>3.0284</v>
      </c>
      <c r="O224" s="119">
        <f t="shared" si="125"/>
        <v>0</v>
      </c>
      <c r="P224" s="120">
        <f t="shared" si="126"/>
        <v>0</v>
      </c>
      <c r="Q224" s="159"/>
      <c r="R224" s="111"/>
      <c r="S224" s="111"/>
    </row>
    <row r="225" spans="1:19">
      <c r="A225" s="110" t="s">
        <v>446</v>
      </c>
      <c r="B225" s="111" t="s">
        <v>232</v>
      </c>
      <c r="C225" s="112" t="s">
        <v>447</v>
      </c>
      <c r="D225" s="112"/>
      <c r="E225" s="113" t="s">
        <v>20</v>
      </c>
      <c r="F225" s="175" t="s">
        <v>15</v>
      </c>
      <c r="G225" s="175" t="s">
        <v>44</v>
      </c>
      <c r="H225" s="176">
        <v>13.4</v>
      </c>
      <c r="I225" s="177">
        <v>11.3</v>
      </c>
      <c r="J225" s="178">
        <v>20</v>
      </c>
      <c r="K225" s="174">
        <f t="shared" si="123"/>
        <v>3.0284000000000004</v>
      </c>
      <c r="L225" s="118"/>
      <c r="M225" s="111">
        <v>20</v>
      </c>
      <c r="N225" s="117">
        <f t="shared" si="124"/>
        <v>3.0284</v>
      </c>
      <c r="O225" s="119">
        <f t="shared" si="125"/>
        <v>0</v>
      </c>
      <c r="P225" s="120">
        <f t="shared" si="126"/>
        <v>0</v>
      </c>
      <c r="Q225" s="159"/>
      <c r="R225" s="111"/>
      <c r="S225" s="111"/>
    </row>
    <row r="226" spans="1:19">
      <c r="A226" s="110" t="s">
        <v>446</v>
      </c>
      <c r="B226" s="111" t="s">
        <v>232</v>
      </c>
      <c r="C226" s="112" t="s">
        <v>447</v>
      </c>
      <c r="D226" s="112"/>
      <c r="E226" s="113" t="s">
        <v>20</v>
      </c>
      <c r="F226" s="175" t="s">
        <v>15</v>
      </c>
      <c r="G226" s="175" t="s">
        <v>44</v>
      </c>
      <c r="H226" s="176">
        <v>13.4</v>
      </c>
      <c r="I226" s="177">
        <v>11.3</v>
      </c>
      <c r="J226" s="178">
        <v>20</v>
      </c>
      <c r="K226" s="174">
        <f t="shared" si="123"/>
        <v>3.0284000000000004</v>
      </c>
      <c r="L226" s="118"/>
      <c r="M226" s="111">
        <v>20</v>
      </c>
      <c r="N226" s="117">
        <f t="shared" si="124"/>
        <v>3.0284</v>
      </c>
      <c r="O226" s="119">
        <f t="shared" si="125"/>
        <v>0</v>
      </c>
      <c r="P226" s="120">
        <f t="shared" si="126"/>
        <v>0</v>
      </c>
      <c r="Q226" s="159"/>
      <c r="R226" s="111"/>
      <c r="S226" s="111"/>
    </row>
    <row r="227" spans="1:19">
      <c r="A227" s="110" t="s">
        <v>446</v>
      </c>
      <c r="B227" s="111" t="s">
        <v>232</v>
      </c>
      <c r="C227" s="112" t="s">
        <v>447</v>
      </c>
      <c r="D227" s="112"/>
      <c r="E227" s="113" t="s">
        <v>20</v>
      </c>
      <c r="F227" s="175" t="s">
        <v>15</v>
      </c>
      <c r="G227" s="175" t="s">
        <v>44</v>
      </c>
      <c r="H227" s="176">
        <v>13.4</v>
      </c>
      <c r="I227" s="177">
        <v>11.3</v>
      </c>
      <c r="J227" s="178">
        <v>21</v>
      </c>
      <c r="K227" s="174">
        <f t="shared" si="123"/>
        <v>3.1798200000000003</v>
      </c>
      <c r="L227" s="118"/>
      <c r="M227" s="111">
        <v>21</v>
      </c>
      <c r="N227" s="117">
        <f t="shared" si="124"/>
        <v>3.1798200000000003</v>
      </c>
      <c r="O227" s="119">
        <f t="shared" si="125"/>
        <v>0</v>
      </c>
      <c r="P227" s="120">
        <f t="shared" si="126"/>
        <v>0</v>
      </c>
      <c r="Q227" s="159"/>
      <c r="R227" s="111"/>
      <c r="S227" s="111"/>
    </row>
    <row r="228" spans="1:19">
      <c r="A228" s="110" t="s">
        <v>446</v>
      </c>
      <c r="B228" s="111" t="s">
        <v>232</v>
      </c>
      <c r="C228" s="112" t="s">
        <v>447</v>
      </c>
      <c r="D228" s="112"/>
      <c r="E228" s="113" t="s">
        <v>20</v>
      </c>
      <c r="F228" s="175" t="s">
        <v>15</v>
      </c>
      <c r="G228" s="175" t="s">
        <v>44</v>
      </c>
      <c r="H228" s="176">
        <v>13.4</v>
      </c>
      <c r="I228" s="177">
        <v>10.5</v>
      </c>
      <c r="J228" s="178">
        <v>18</v>
      </c>
      <c r="K228" s="174">
        <f t="shared" si="123"/>
        <v>2.5326000000000004</v>
      </c>
      <c r="L228" s="118"/>
      <c r="M228" s="111">
        <v>18</v>
      </c>
      <c r="N228" s="117">
        <f t="shared" si="124"/>
        <v>2.5326</v>
      </c>
      <c r="O228" s="119">
        <f t="shared" si="125"/>
        <v>0</v>
      </c>
      <c r="P228" s="120">
        <f t="shared" si="126"/>
        <v>0</v>
      </c>
      <c r="Q228" s="159"/>
      <c r="R228" s="111"/>
      <c r="S228" s="111"/>
    </row>
    <row r="229" spans="1:19">
      <c r="A229" s="110" t="s">
        <v>446</v>
      </c>
      <c r="B229" s="111" t="s">
        <v>232</v>
      </c>
      <c r="C229" s="112" t="s">
        <v>447</v>
      </c>
      <c r="D229" s="112"/>
      <c r="E229" s="113" t="s">
        <v>20</v>
      </c>
      <c r="F229" s="175" t="s">
        <v>15</v>
      </c>
      <c r="G229" s="175" t="s">
        <v>44</v>
      </c>
      <c r="H229" s="176">
        <v>13.4</v>
      </c>
      <c r="I229" s="177">
        <v>11.3</v>
      </c>
      <c r="J229" s="178">
        <v>20</v>
      </c>
      <c r="K229" s="174">
        <f t="shared" ref="K229:K236" si="127">(H229*I229*J229/1000)</f>
        <v>3.0284000000000004</v>
      </c>
      <c r="L229" s="118"/>
      <c r="M229" s="111">
        <v>20</v>
      </c>
      <c r="N229" s="117">
        <f t="shared" ref="N229:N236" si="128">I229*M229*H229/1000</f>
        <v>3.0284</v>
      </c>
      <c r="O229" s="119">
        <f t="shared" ref="O229:O236" si="129">J229-M229</f>
        <v>0</v>
      </c>
      <c r="P229" s="120">
        <f t="shared" ref="P229:P235" si="130">I229*O229*H229/1000</f>
        <v>0</v>
      </c>
      <c r="Q229" s="159"/>
      <c r="R229" s="111"/>
      <c r="S229" s="111"/>
    </row>
    <row r="230" spans="1:19">
      <c r="A230" s="110" t="s">
        <v>446</v>
      </c>
      <c r="B230" s="111" t="s">
        <v>232</v>
      </c>
      <c r="C230" s="112" t="s">
        <v>447</v>
      </c>
      <c r="D230" s="112"/>
      <c r="E230" s="113" t="s">
        <v>20</v>
      </c>
      <c r="F230" s="175" t="s">
        <v>15</v>
      </c>
      <c r="G230" s="175" t="s">
        <v>44</v>
      </c>
      <c r="H230" s="176">
        <v>13.4</v>
      </c>
      <c r="I230" s="177">
        <v>11.3</v>
      </c>
      <c r="J230" s="178">
        <v>16</v>
      </c>
      <c r="K230" s="174">
        <f t="shared" si="127"/>
        <v>2.4227200000000004</v>
      </c>
      <c r="L230" s="118"/>
      <c r="M230" s="111">
        <v>16</v>
      </c>
      <c r="N230" s="117">
        <f t="shared" si="128"/>
        <v>2.4227200000000004</v>
      </c>
      <c r="O230" s="119">
        <f t="shared" si="129"/>
        <v>0</v>
      </c>
      <c r="P230" s="120">
        <f t="shared" si="130"/>
        <v>0</v>
      </c>
      <c r="Q230" s="159"/>
      <c r="R230" s="111"/>
      <c r="S230" s="111"/>
    </row>
    <row r="231" spans="1:19">
      <c r="A231" s="110" t="s">
        <v>446</v>
      </c>
      <c r="B231" s="111" t="s">
        <v>232</v>
      </c>
      <c r="C231" s="112" t="s">
        <v>447</v>
      </c>
      <c r="D231" s="112"/>
      <c r="E231" s="113" t="s">
        <v>20</v>
      </c>
      <c r="F231" s="175" t="s">
        <v>15</v>
      </c>
      <c r="G231" s="175" t="s">
        <v>44</v>
      </c>
      <c r="H231" s="176">
        <v>13.4</v>
      </c>
      <c r="I231" s="177">
        <v>12</v>
      </c>
      <c r="J231" s="178">
        <v>7</v>
      </c>
      <c r="K231" s="174">
        <f t="shared" si="127"/>
        <v>1.1256000000000002</v>
      </c>
      <c r="L231" s="118"/>
      <c r="M231" s="111">
        <v>7</v>
      </c>
      <c r="N231" s="117">
        <f t="shared" si="128"/>
        <v>1.1256000000000002</v>
      </c>
      <c r="O231" s="119">
        <f t="shared" si="129"/>
        <v>0</v>
      </c>
      <c r="P231" s="120">
        <f t="shared" si="130"/>
        <v>0</v>
      </c>
      <c r="Q231" s="159">
        <v>11.3</v>
      </c>
      <c r="R231" s="111">
        <v>7</v>
      </c>
      <c r="S231" s="111"/>
    </row>
    <row r="232" spans="1:19">
      <c r="A232" s="110" t="s">
        <v>446</v>
      </c>
      <c r="B232" s="111" t="s">
        <v>232</v>
      </c>
      <c r="C232" s="112" t="s">
        <v>447</v>
      </c>
      <c r="D232" s="112"/>
      <c r="E232" s="113" t="s">
        <v>20</v>
      </c>
      <c r="F232" s="175" t="s">
        <v>15</v>
      </c>
      <c r="G232" s="175" t="s">
        <v>44</v>
      </c>
      <c r="H232" s="176">
        <v>13.4</v>
      </c>
      <c r="I232" s="177">
        <v>10.5</v>
      </c>
      <c r="J232" s="178">
        <v>4</v>
      </c>
      <c r="K232" s="174">
        <f t="shared" si="127"/>
        <v>0.56280000000000008</v>
      </c>
      <c r="L232" s="118"/>
      <c r="M232" s="111">
        <v>4</v>
      </c>
      <c r="N232" s="117">
        <f t="shared" si="128"/>
        <v>0.56280000000000008</v>
      </c>
      <c r="O232" s="228">
        <f t="shared" si="129"/>
        <v>0</v>
      </c>
      <c r="P232" s="229">
        <f t="shared" si="130"/>
        <v>0</v>
      </c>
      <c r="Q232" s="159" t="s">
        <v>465</v>
      </c>
      <c r="R232" s="111"/>
      <c r="S232" s="111"/>
    </row>
    <row r="233" spans="1:19">
      <c r="A233" s="110" t="s">
        <v>446</v>
      </c>
      <c r="B233" s="111" t="s">
        <v>232</v>
      </c>
      <c r="C233" s="112" t="s">
        <v>447</v>
      </c>
      <c r="D233" s="112"/>
      <c r="E233" s="113" t="s">
        <v>20</v>
      </c>
      <c r="F233" s="175" t="s">
        <v>15</v>
      </c>
      <c r="G233" s="175" t="s">
        <v>44</v>
      </c>
      <c r="H233" s="176">
        <v>13.4</v>
      </c>
      <c r="I233" s="177">
        <v>9</v>
      </c>
      <c r="J233" s="178">
        <v>1</v>
      </c>
      <c r="K233" s="174">
        <f t="shared" si="127"/>
        <v>0.12060000000000001</v>
      </c>
      <c r="L233" s="118"/>
      <c r="M233" s="111">
        <v>1</v>
      </c>
      <c r="N233" s="117">
        <f t="shared" si="128"/>
        <v>0.12060000000000001</v>
      </c>
      <c r="O233" s="228">
        <f t="shared" si="129"/>
        <v>0</v>
      </c>
      <c r="P233" s="229">
        <f t="shared" si="130"/>
        <v>0</v>
      </c>
      <c r="Q233" s="159" t="s">
        <v>465</v>
      </c>
      <c r="R233" s="111"/>
      <c r="S233" s="111"/>
    </row>
    <row r="234" spans="1:19">
      <c r="A234" s="110" t="s">
        <v>446</v>
      </c>
      <c r="B234" s="111" t="s">
        <v>232</v>
      </c>
      <c r="C234" s="112" t="s">
        <v>447</v>
      </c>
      <c r="D234" s="112"/>
      <c r="E234" s="113" t="s">
        <v>20</v>
      </c>
      <c r="F234" s="175" t="s">
        <v>15</v>
      </c>
      <c r="G234" s="175" t="s">
        <v>44</v>
      </c>
      <c r="H234" s="176">
        <v>13.4</v>
      </c>
      <c r="I234" s="177">
        <v>8.6</v>
      </c>
      <c r="J234" s="178">
        <v>1</v>
      </c>
      <c r="K234" s="174">
        <f t="shared" si="127"/>
        <v>0.11524</v>
      </c>
      <c r="L234" s="118"/>
      <c r="M234" s="111">
        <v>1</v>
      </c>
      <c r="N234" s="117">
        <f t="shared" si="128"/>
        <v>0.11524</v>
      </c>
      <c r="O234" s="228">
        <f t="shared" si="129"/>
        <v>0</v>
      </c>
      <c r="P234" s="229">
        <f t="shared" si="130"/>
        <v>0</v>
      </c>
      <c r="Q234" s="159" t="s">
        <v>465</v>
      </c>
      <c r="R234" s="111"/>
      <c r="S234" s="111"/>
    </row>
    <row r="235" spans="1:19">
      <c r="A235" s="110" t="s">
        <v>446</v>
      </c>
      <c r="B235" s="111" t="s">
        <v>232</v>
      </c>
      <c r="C235" s="112" t="s">
        <v>447</v>
      </c>
      <c r="D235" s="112"/>
      <c r="E235" s="113" t="s">
        <v>20</v>
      </c>
      <c r="F235" s="175" t="s">
        <v>15</v>
      </c>
      <c r="G235" s="175" t="s">
        <v>44</v>
      </c>
      <c r="H235" s="176">
        <v>13.4</v>
      </c>
      <c r="I235" s="177">
        <v>8.1</v>
      </c>
      <c r="J235" s="178">
        <v>1</v>
      </c>
      <c r="K235" s="174">
        <f t="shared" si="127"/>
        <v>0.10854</v>
      </c>
      <c r="L235" s="118"/>
      <c r="M235" s="111"/>
      <c r="N235" s="117">
        <f t="shared" si="128"/>
        <v>0</v>
      </c>
      <c r="O235" s="119">
        <f t="shared" si="129"/>
        <v>1</v>
      </c>
      <c r="P235" s="120">
        <f t="shared" si="130"/>
        <v>0.10854</v>
      </c>
      <c r="Q235" s="159"/>
      <c r="R235" s="111"/>
      <c r="S235" s="111"/>
    </row>
    <row r="236" spans="1:19">
      <c r="A236" s="110" t="s">
        <v>446</v>
      </c>
      <c r="B236" s="111" t="s">
        <v>232</v>
      </c>
      <c r="C236" s="112" t="s">
        <v>447</v>
      </c>
      <c r="D236" s="112"/>
      <c r="E236" s="113" t="s">
        <v>20</v>
      </c>
      <c r="F236" s="175" t="s">
        <v>15</v>
      </c>
      <c r="G236" s="175" t="s">
        <v>44</v>
      </c>
      <c r="H236" s="176">
        <v>13.4</v>
      </c>
      <c r="I236" s="177">
        <v>8</v>
      </c>
      <c r="J236" s="178">
        <v>1</v>
      </c>
      <c r="K236" s="174">
        <f t="shared" si="127"/>
        <v>0.1072</v>
      </c>
      <c r="L236" s="118"/>
      <c r="M236" s="111">
        <v>1</v>
      </c>
      <c r="N236" s="117">
        <f t="shared" si="128"/>
        <v>0.1072</v>
      </c>
      <c r="O236" s="145">
        <f t="shared" si="129"/>
        <v>0</v>
      </c>
      <c r="P236" s="120">
        <f>I236*O236*H236/1000</f>
        <v>0</v>
      </c>
      <c r="Q236" s="159">
        <v>8</v>
      </c>
      <c r="R236" s="111">
        <v>1</v>
      </c>
      <c r="S236" s="111" t="s">
        <v>527</v>
      </c>
    </row>
    <row r="237" spans="1:19">
      <c r="A237" s="32"/>
      <c r="B237" s="32"/>
      <c r="C237" s="32"/>
      <c r="D237" s="32"/>
      <c r="E237" s="32"/>
      <c r="F237" s="32"/>
      <c r="G237" s="32"/>
      <c r="H237" s="32"/>
      <c r="I237" s="32"/>
      <c r="J237" s="131">
        <f>SUM(J194:J236)</f>
        <v>633</v>
      </c>
      <c r="K237" s="124">
        <f>SUM(K194:K236)</f>
        <v>94.902820000000034</v>
      </c>
      <c r="L237" s="32"/>
      <c r="M237" s="131">
        <f>SUM(M194:M236)</f>
        <v>654</v>
      </c>
      <c r="N237" s="124">
        <f>SUM(N194:N236)</f>
        <v>98.125520000000037</v>
      </c>
      <c r="O237" s="131">
        <f>SUM(O194:O236)</f>
        <v>-21</v>
      </c>
      <c r="P237" s="124">
        <f>SUM(P194:P236)</f>
        <v>-3.2227000000000001</v>
      </c>
      <c r="Q237" s="32"/>
      <c r="R237" s="32"/>
      <c r="S237" s="32"/>
    </row>
    <row r="239" spans="1:19">
      <c r="A239" s="110" t="s">
        <v>446</v>
      </c>
      <c r="B239" s="111" t="s">
        <v>232</v>
      </c>
      <c r="C239" s="112" t="s">
        <v>447</v>
      </c>
      <c r="D239" s="112"/>
      <c r="E239" s="113" t="s">
        <v>20</v>
      </c>
      <c r="F239" s="175" t="s">
        <v>15</v>
      </c>
      <c r="G239" s="175" t="s">
        <v>41</v>
      </c>
      <c r="H239" s="176">
        <v>11.8</v>
      </c>
      <c r="I239" s="177">
        <v>10</v>
      </c>
      <c r="J239" s="178">
        <v>30</v>
      </c>
      <c r="K239" s="174">
        <f t="shared" ref="K239" si="131">(H239*I239*J239/1000)</f>
        <v>3.54</v>
      </c>
      <c r="L239" s="118"/>
      <c r="M239" s="111">
        <v>30</v>
      </c>
      <c r="N239" s="117">
        <f t="shared" ref="N239" si="132">I239*M239*H239/1000</f>
        <v>3.54</v>
      </c>
      <c r="O239" s="119">
        <f t="shared" ref="O239" si="133">J239-M239</f>
        <v>0</v>
      </c>
      <c r="P239" s="120">
        <f t="shared" ref="P239" si="134">I239*O239*H239/1000</f>
        <v>0</v>
      </c>
      <c r="Q239" s="159"/>
      <c r="R239" s="111"/>
      <c r="S239" s="111"/>
    </row>
    <row r="240" spans="1:19">
      <c r="A240" s="110" t="s">
        <v>446</v>
      </c>
      <c r="B240" s="111" t="s">
        <v>232</v>
      </c>
      <c r="C240" s="112" t="s">
        <v>447</v>
      </c>
      <c r="D240" s="112"/>
      <c r="E240" s="113" t="s">
        <v>20</v>
      </c>
      <c r="F240" s="175" t="s">
        <v>15</v>
      </c>
      <c r="G240" s="175" t="s">
        <v>41</v>
      </c>
      <c r="H240" s="176">
        <v>11.8</v>
      </c>
      <c r="I240" s="177">
        <v>10</v>
      </c>
      <c r="J240" s="178">
        <v>30</v>
      </c>
      <c r="K240" s="174">
        <f t="shared" ref="K240:K255" si="135">(H240*I240*J240/1000)</f>
        <v>3.54</v>
      </c>
      <c r="L240" s="118"/>
      <c r="M240" s="111">
        <v>30</v>
      </c>
      <c r="N240" s="117">
        <f t="shared" ref="N240:N255" si="136">I240*M240*H240/1000</f>
        <v>3.54</v>
      </c>
      <c r="O240" s="119">
        <f t="shared" ref="O240:O255" si="137">J240-M240</f>
        <v>0</v>
      </c>
      <c r="P240" s="120">
        <f t="shared" ref="P240:P255" si="138">I240*O240*H240/1000</f>
        <v>0</v>
      </c>
      <c r="Q240" s="159"/>
      <c r="R240" s="111"/>
      <c r="S240" s="111"/>
    </row>
    <row r="241" spans="1:19">
      <c r="A241" s="110" t="s">
        <v>446</v>
      </c>
      <c r="B241" s="111" t="s">
        <v>232</v>
      </c>
      <c r="C241" s="112" t="s">
        <v>447</v>
      </c>
      <c r="D241" s="112"/>
      <c r="E241" s="113" t="s">
        <v>20</v>
      </c>
      <c r="F241" s="175" t="s">
        <v>15</v>
      </c>
      <c r="G241" s="175" t="s">
        <v>41</v>
      </c>
      <c r="H241" s="176">
        <v>11.8</v>
      </c>
      <c r="I241" s="177">
        <v>10</v>
      </c>
      <c r="J241" s="178">
        <v>30</v>
      </c>
      <c r="K241" s="174">
        <f t="shared" si="135"/>
        <v>3.54</v>
      </c>
      <c r="L241" s="118"/>
      <c r="M241" s="111">
        <v>30</v>
      </c>
      <c r="N241" s="117">
        <f t="shared" si="136"/>
        <v>3.54</v>
      </c>
      <c r="O241" s="119">
        <f t="shared" si="137"/>
        <v>0</v>
      </c>
      <c r="P241" s="120">
        <f t="shared" si="138"/>
        <v>0</v>
      </c>
      <c r="Q241" s="159"/>
      <c r="R241" s="111"/>
      <c r="S241" s="111"/>
    </row>
    <row r="242" spans="1:19">
      <c r="A242" s="110" t="s">
        <v>446</v>
      </c>
      <c r="B242" s="111" t="s">
        <v>232</v>
      </c>
      <c r="C242" s="112" t="s">
        <v>447</v>
      </c>
      <c r="D242" s="112"/>
      <c r="E242" s="113" t="s">
        <v>20</v>
      </c>
      <c r="F242" s="175" t="s">
        <v>15</v>
      </c>
      <c r="G242" s="175" t="s">
        <v>41</v>
      </c>
      <c r="H242" s="176">
        <v>11.8</v>
      </c>
      <c r="I242" s="177">
        <v>11</v>
      </c>
      <c r="J242" s="178">
        <v>30</v>
      </c>
      <c r="K242" s="174">
        <f t="shared" si="135"/>
        <v>3.8940000000000006</v>
      </c>
      <c r="L242" s="118"/>
      <c r="M242" s="111">
        <v>30</v>
      </c>
      <c r="N242" s="117">
        <f t="shared" si="136"/>
        <v>3.8940000000000006</v>
      </c>
      <c r="O242" s="119">
        <f t="shared" si="137"/>
        <v>0</v>
      </c>
      <c r="P242" s="120">
        <f t="shared" si="138"/>
        <v>0</v>
      </c>
      <c r="Q242" s="159"/>
      <c r="R242" s="111"/>
      <c r="S242" s="111"/>
    </row>
    <row r="243" spans="1:19">
      <c r="A243" s="110" t="s">
        <v>446</v>
      </c>
      <c r="B243" s="111" t="s">
        <v>232</v>
      </c>
      <c r="C243" s="112" t="s">
        <v>447</v>
      </c>
      <c r="D243" s="112"/>
      <c r="E243" s="113" t="s">
        <v>20</v>
      </c>
      <c r="F243" s="175" t="s">
        <v>15</v>
      </c>
      <c r="G243" s="175" t="s">
        <v>41</v>
      </c>
      <c r="H243" s="176">
        <v>11.8</v>
      </c>
      <c r="I243" s="177">
        <v>10</v>
      </c>
      <c r="J243" s="178">
        <v>30</v>
      </c>
      <c r="K243" s="174">
        <f t="shared" si="135"/>
        <v>3.54</v>
      </c>
      <c r="L243" s="118"/>
      <c r="M243" s="111">
        <v>30</v>
      </c>
      <c r="N243" s="117">
        <f t="shared" si="136"/>
        <v>3.54</v>
      </c>
      <c r="O243" s="119">
        <f t="shared" si="137"/>
        <v>0</v>
      </c>
      <c r="P243" s="120">
        <f t="shared" si="138"/>
        <v>0</v>
      </c>
      <c r="Q243" s="159"/>
      <c r="R243" s="111"/>
      <c r="S243" s="111"/>
    </row>
    <row r="244" spans="1:19">
      <c r="A244" s="110" t="s">
        <v>446</v>
      </c>
      <c r="B244" s="111" t="s">
        <v>232</v>
      </c>
      <c r="C244" s="112" t="s">
        <v>447</v>
      </c>
      <c r="D244" s="112"/>
      <c r="E244" s="113" t="s">
        <v>20</v>
      </c>
      <c r="F244" s="175" t="s">
        <v>15</v>
      </c>
      <c r="G244" s="175" t="s">
        <v>41</v>
      </c>
      <c r="H244" s="176">
        <v>11.8</v>
      </c>
      <c r="I244" s="177">
        <v>10</v>
      </c>
      <c r="J244" s="178">
        <v>30</v>
      </c>
      <c r="K244" s="174">
        <f t="shared" si="135"/>
        <v>3.54</v>
      </c>
      <c r="L244" s="118"/>
      <c r="M244" s="111">
        <v>30</v>
      </c>
      <c r="N244" s="117">
        <f t="shared" si="136"/>
        <v>3.54</v>
      </c>
      <c r="O244" s="119">
        <f t="shared" si="137"/>
        <v>0</v>
      </c>
      <c r="P244" s="120">
        <f t="shared" si="138"/>
        <v>0</v>
      </c>
      <c r="Q244" s="159"/>
      <c r="R244" s="111"/>
      <c r="S244" s="111"/>
    </row>
    <row r="245" spans="1:19">
      <c r="A245" s="110" t="s">
        <v>446</v>
      </c>
      <c r="B245" s="111" t="s">
        <v>232</v>
      </c>
      <c r="C245" s="112" t="s">
        <v>447</v>
      </c>
      <c r="D245" s="112"/>
      <c r="E245" s="113" t="s">
        <v>20</v>
      </c>
      <c r="F245" s="175" t="s">
        <v>15</v>
      </c>
      <c r="G245" s="175" t="s">
        <v>41</v>
      </c>
      <c r="H245" s="176">
        <v>11.8</v>
      </c>
      <c r="I245" s="177">
        <v>10</v>
      </c>
      <c r="J245" s="178">
        <v>30</v>
      </c>
      <c r="K245" s="174">
        <f t="shared" si="135"/>
        <v>3.54</v>
      </c>
      <c r="L245" s="118"/>
      <c r="M245" s="111">
        <v>30</v>
      </c>
      <c r="N245" s="117">
        <f t="shared" si="136"/>
        <v>3.54</v>
      </c>
      <c r="O245" s="119">
        <f t="shared" si="137"/>
        <v>0</v>
      </c>
      <c r="P245" s="120">
        <f t="shared" si="138"/>
        <v>0</v>
      </c>
      <c r="Q245" s="159"/>
      <c r="R245" s="111"/>
      <c r="S245" s="111"/>
    </row>
    <row r="246" spans="1:19">
      <c r="A246" s="110" t="s">
        <v>446</v>
      </c>
      <c r="B246" s="111" t="s">
        <v>232</v>
      </c>
      <c r="C246" s="112" t="s">
        <v>447</v>
      </c>
      <c r="D246" s="112"/>
      <c r="E246" s="113" t="s">
        <v>20</v>
      </c>
      <c r="F246" s="175" t="s">
        <v>15</v>
      </c>
      <c r="G246" s="175" t="s">
        <v>41</v>
      </c>
      <c r="H246" s="176">
        <v>11.8</v>
      </c>
      <c r="I246" s="177">
        <v>10</v>
      </c>
      <c r="J246" s="178">
        <v>30</v>
      </c>
      <c r="K246" s="174">
        <f t="shared" si="135"/>
        <v>3.54</v>
      </c>
      <c r="L246" s="118"/>
      <c r="M246" s="111">
        <v>30</v>
      </c>
      <c r="N246" s="117">
        <f t="shared" si="136"/>
        <v>3.54</v>
      </c>
      <c r="O246" s="119">
        <f t="shared" si="137"/>
        <v>0</v>
      </c>
      <c r="P246" s="120">
        <f t="shared" si="138"/>
        <v>0</v>
      </c>
      <c r="Q246" s="159"/>
      <c r="R246" s="111"/>
      <c r="S246" s="111"/>
    </row>
    <row r="247" spans="1:19">
      <c r="A247" s="110" t="s">
        <v>446</v>
      </c>
      <c r="B247" s="111" t="s">
        <v>232</v>
      </c>
      <c r="C247" s="112" t="s">
        <v>447</v>
      </c>
      <c r="D247" s="112"/>
      <c r="E247" s="113" t="s">
        <v>20</v>
      </c>
      <c r="F247" s="175" t="s">
        <v>15</v>
      </c>
      <c r="G247" s="175" t="s">
        <v>41</v>
      </c>
      <c r="H247" s="176">
        <v>11.8</v>
      </c>
      <c r="I247" s="177">
        <v>11</v>
      </c>
      <c r="J247" s="178">
        <v>18</v>
      </c>
      <c r="K247" s="174">
        <f t="shared" si="135"/>
        <v>2.3364000000000003</v>
      </c>
      <c r="L247" s="118"/>
      <c r="M247" s="111">
        <v>18</v>
      </c>
      <c r="N247" s="117">
        <f t="shared" si="136"/>
        <v>2.3364000000000003</v>
      </c>
      <c r="O247" s="119">
        <f t="shared" si="137"/>
        <v>0</v>
      </c>
      <c r="P247" s="120">
        <f t="shared" si="138"/>
        <v>0</v>
      </c>
      <c r="Q247" s="159"/>
      <c r="R247" s="111"/>
      <c r="S247" s="111"/>
    </row>
    <row r="248" spans="1:19">
      <c r="A248" s="110" t="s">
        <v>446</v>
      </c>
      <c r="B248" s="111" t="s">
        <v>232</v>
      </c>
      <c r="C248" s="112" t="s">
        <v>447</v>
      </c>
      <c r="D248" s="112"/>
      <c r="E248" s="113" t="s">
        <v>20</v>
      </c>
      <c r="F248" s="175" t="s">
        <v>15</v>
      </c>
      <c r="G248" s="175" t="s">
        <v>41</v>
      </c>
      <c r="H248" s="176">
        <v>11.8</v>
      </c>
      <c r="I248" s="177">
        <v>10</v>
      </c>
      <c r="J248" s="178">
        <v>12</v>
      </c>
      <c r="K248" s="174">
        <f t="shared" si="135"/>
        <v>1.4159999999999999</v>
      </c>
      <c r="L248" s="118"/>
      <c r="M248" s="111">
        <v>12</v>
      </c>
      <c r="N248" s="117">
        <f t="shared" si="136"/>
        <v>1.4159999999999999</v>
      </c>
      <c r="O248" s="119">
        <f t="shared" si="137"/>
        <v>0</v>
      </c>
      <c r="P248" s="120">
        <f t="shared" si="138"/>
        <v>0</v>
      </c>
      <c r="Q248" s="159"/>
      <c r="R248" s="111"/>
      <c r="S248" s="111"/>
    </row>
    <row r="249" spans="1:19">
      <c r="A249" s="110" t="s">
        <v>446</v>
      </c>
      <c r="B249" s="111" t="s">
        <v>232</v>
      </c>
      <c r="C249" s="112" t="s">
        <v>447</v>
      </c>
      <c r="D249" s="112"/>
      <c r="E249" s="113" t="s">
        <v>20</v>
      </c>
      <c r="F249" s="175" t="s">
        <v>15</v>
      </c>
      <c r="G249" s="175" t="s">
        <v>41</v>
      </c>
      <c r="H249" s="176">
        <v>11.8</v>
      </c>
      <c r="I249" s="177">
        <v>11</v>
      </c>
      <c r="J249" s="178">
        <v>3</v>
      </c>
      <c r="K249" s="174">
        <f t="shared" si="135"/>
        <v>0.38940000000000002</v>
      </c>
      <c r="L249" s="118"/>
      <c r="M249" s="111">
        <v>3</v>
      </c>
      <c r="N249" s="117">
        <f t="shared" si="136"/>
        <v>0.38940000000000002</v>
      </c>
      <c r="O249" s="119">
        <f t="shared" si="137"/>
        <v>0</v>
      </c>
      <c r="P249" s="120">
        <f t="shared" si="138"/>
        <v>0</v>
      </c>
      <c r="Q249" s="159"/>
      <c r="R249" s="111"/>
      <c r="S249" s="111"/>
    </row>
    <row r="250" spans="1:19">
      <c r="A250" s="110" t="s">
        <v>446</v>
      </c>
      <c r="B250" s="111" t="s">
        <v>232</v>
      </c>
      <c r="C250" s="112" t="s">
        <v>447</v>
      </c>
      <c r="D250" s="112"/>
      <c r="E250" s="113" t="s">
        <v>20</v>
      </c>
      <c r="F250" s="175" t="s">
        <v>15</v>
      </c>
      <c r="G250" s="175" t="s">
        <v>41</v>
      </c>
      <c r="H250" s="176">
        <v>11.8</v>
      </c>
      <c r="I250" s="177">
        <v>12</v>
      </c>
      <c r="J250" s="178">
        <v>1</v>
      </c>
      <c r="K250" s="174">
        <f t="shared" si="135"/>
        <v>0.14160000000000003</v>
      </c>
      <c r="L250" s="118"/>
      <c r="M250" s="111">
        <v>1</v>
      </c>
      <c r="N250" s="117">
        <f t="shared" si="136"/>
        <v>0.14160000000000003</v>
      </c>
      <c r="O250" s="119">
        <f t="shared" si="137"/>
        <v>0</v>
      </c>
      <c r="P250" s="120">
        <f t="shared" si="138"/>
        <v>0</v>
      </c>
      <c r="Q250" s="159"/>
      <c r="R250" s="111"/>
      <c r="S250" s="111"/>
    </row>
    <row r="251" spans="1:19">
      <c r="A251" s="110" t="s">
        <v>446</v>
      </c>
      <c r="B251" s="111" t="s">
        <v>232</v>
      </c>
      <c r="C251" s="112" t="s">
        <v>447</v>
      </c>
      <c r="D251" s="112"/>
      <c r="E251" s="113" t="s">
        <v>20</v>
      </c>
      <c r="F251" s="175" t="s">
        <v>15</v>
      </c>
      <c r="G251" s="175" t="s">
        <v>41</v>
      </c>
      <c r="H251" s="176">
        <v>11.8</v>
      </c>
      <c r="I251" s="177">
        <v>7.1</v>
      </c>
      <c r="J251" s="178">
        <v>1</v>
      </c>
      <c r="K251" s="174">
        <f t="shared" si="135"/>
        <v>8.3780000000000007E-2</v>
      </c>
      <c r="L251" s="118"/>
      <c r="M251" s="111"/>
      <c r="N251" s="117">
        <f t="shared" si="136"/>
        <v>0</v>
      </c>
      <c r="O251" s="119">
        <f t="shared" si="137"/>
        <v>1</v>
      </c>
      <c r="P251" s="120">
        <f t="shared" si="138"/>
        <v>8.3780000000000007E-2</v>
      </c>
      <c r="Q251" s="159"/>
      <c r="R251" s="111"/>
      <c r="S251" s="111"/>
    </row>
    <row r="252" spans="1:19">
      <c r="A252" s="110" t="s">
        <v>446</v>
      </c>
      <c r="B252" s="111" t="s">
        <v>232</v>
      </c>
      <c r="C252" s="112" t="s">
        <v>447</v>
      </c>
      <c r="D252" s="112"/>
      <c r="E252" s="113" t="s">
        <v>20</v>
      </c>
      <c r="F252" s="175" t="s">
        <v>15</v>
      </c>
      <c r="G252" s="175" t="s">
        <v>41</v>
      </c>
      <c r="H252" s="176">
        <v>11.8</v>
      </c>
      <c r="I252" s="177">
        <v>9.3000000000000007</v>
      </c>
      <c r="J252" s="178">
        <v>3</v>
      </c>
      <c r="K252" s="174">
        <f t="shared" si="135"/>
        <v>0.32922000000000001</v>
      </c>
      <c r="L252" s="118"/>
      <c r="M252" s="111"/>
      <c r="N252" s="117">
        <f t="shared" si="136"/>
        <v>0</v>
      </c>
      <c r="O252" s="119">
        <f t="shared" si="137"/>
        <v>3</v>
      </c>
      <c r="P252" s="120">
        <f t="shared" si="138"/>
        <v>0.32922000000000001</v>
      </c>
      <c r="Q252" s="159"/>
      <c r="R252" s="111"/>
      <c r="S252" s="111"/>
    </row>
    <row r="253" spans="1:19">
      <c r="A253" s="110" t="s">
        <v>446</v>
      </c>
      <c r="B253" s="111" t="s">
        <v>232</v>
      </c>
      <c r="C253" s="112" t="s">
        <v>447</v>
      </c>
      <c r="D253" s="112"/>
      <c r="E253" s="113" t="s">
        <v>20</v>
      </c>
      <c r="F253" s="175" t="s">
        <v>15</v>
      </c>
      <c r="G253" s="175" t="s">
        <v>41</v>
      </c>
      <c r="H253" s="176">
        <v>11.8</v>
      </c>
      <c r="I253" s="177">
        <v>9.5</v>
      </c>
      <c r="J253" s="178">
        <v>5</v>
      </c>
      <c r="K253" s="174">
        <f t="shared" si="135"/>
        <v>0.5605</v>
      </c>
      <c r="L253" s="118"/>
      <c r="M253" s="111"/>
      <c r="N253" s="117">
        <f t="shared" si="136"/>
        <v>0</v>
      </c>
      <c r="O253" s="119">
        <f t="shared" si="137"/>
        <v>5</v>
      </c>
      <c r="P253" s="120">
        <f t="shared" si="138"/>
        <v>0.5605</v>
      </c>
      <c r="Q253" s="159"/>
      <c r="R253" s="111"/>
      <c r="S253" s="111"/>
    </row>
    <row r="254" spans="1:19">
      <c r="A254" s="110" t="s">
        <v>446</v>
      </c>
      <c r="B254" s="111" t="s">
        <v>232</v>
      </c>
      <c r="C254" s="112" t="s">
        <v>447</v>
      </c>
      <c r="D254" s="112"/>
      <c r="E254" s="113" t="s">
        <v>20</v>
      </c>
      <c r="F254" s="175" t="s">
        <v>15</v>
      </c>
      <c r="G254" s="175" t="s">
        <v>41</v>
      </c>
      <c r="H254" s="176">
        <v>11.8</v>
      </c>
      <c r="I254" s="177">
        <v>9.6999999999999993</v>
      </c>
      <c r="J254" s="178">
        <v>4</v>
      </c>
      <c r="K254" s="174">
        <f t="shared" si="135"/>
        <v>0.45783999999999997</v>
      </c>
      <c r="L254" s="118"/>
      <c r="M254" s="111"/>
      <c r="N254" s="117">
        <f t="shared" si="136"/>
        <v>0</v>
      </c>
      <c r="O254" s="119">
        <f t="shared" si="137"/>
        <v>4</v>
      </c>
      <c r="P254" s="120">
        <f t="shared" si="138"/>
        <v>0.45783999999999997</v>
      </c>
      <c r="Q254" s="159"/>
      <c r="R254" s="111"/>
      <c r="S254" s="111"/>
    </row>
    <row r="255" spans="1:19">
      <c r="A255" s="110" t="s">
        <v>446</v>
      </c>
      <c r="B255" s="111" t="s">
        <v>232</v>
      </c>
      <c r="C255" s="112" t="s">
        <v>447</v>
      </c>
      <c r="D255" s="112"/>
      <c r="E255" s="113" t="s">
        <v>20</v>
      </c>
      <c r="F255" s="175" t="s">
        <v>15</v>
      </c>
      <c r="G255" s="175" t="s">
        <v>41</v>
      </c>
      <c r="H255" s="176">
        <v>11.8</v>
      </c>
      <c r="I255" s="177">
        <v>9.85</v>
      </c>
      <c r="J255" s="178">
        <v>1</v>
      </c>
      <c r="K255" s="174">
        <f t="shared" si="135"/>
        <v>0.11623</v>
      </c>
      <c r="L255" s="118"/>
      <c r="M255" s="111"/>
      <c r="N255" s="117">
        <f t="shared" si="136"/>
        <v>0</v>
      </c>
      <c r="O255" s="119">
        <f t="shared" si="137"/>
        <v>1</v>
      </c>
      <c r="P255" s="120">
        <f t="shared" si="138"/>
        <v>0.11623</v>
      </c>
      <c r="Q255" s="159"/>
      <c r="R255" s="111"/>
      <c r="S255" s="111"/>
    </row>
    <row r="256" spans="1:19">
      <c r="A256" s="110" t="s">
        <v>446</v>
      </c>
      <c r="B256" s="111" t="s">
        <v>232</v>
      </c>
      <c r="C256" s="112" t="s">
        <v>447</v>
      </c>
      <c r="D256" s="112"/>
      <c r="E256" s="113" t="s">
        <v>20</v>
      </c>
      <c r="F256" s="175" t="s">
        <v>15</v>
      </c>
      <c r="G256" s="175" t="s">
        <v>41</v>
      </c>
      <c r="H256" s="176">
        <v>11.8</v>
      </c>
      <c r="I256" s="177">
        <v>10.199999999999999</v>
      </c>
      <c r="J256" s="178">
        <v>1</v>
      </c>
      <c r="K256" s="174">
        <f t="shared" ref="K256:K257" si="139">(H256*I256*J256/1000)</f>
        <v>0.12035999999999999</v>
      </c>
      <c r="L256" s="118"/>
      <c r="M256" s="111"/>
      <c r="N256" s="117">
        <f t="shared" ref="N256:N257" si="140">I256*M256*H256/1000</f>
        <v>0</v>
      </c>
      <c r="O256" s="119">
        <f t="shared" ref="O256:O257" si="141">J256-M256</f>
        <v>1</v>
      </c>
      <c r="P256" s="120">
        <f t="shared" ref="P256:P257" si="142">I256*O256*H256/1000</f>
        <v>0.12035999999999999</v>
      </c>
      <c r="Q256" s="159"/>
      <c r="R256" s="111"/>
      <c r="S256" s="111"/>
    </row>
    <row r="257" spans="1:19">
      <c r="A257" s="110" t="s">
        <v>446</v>
      </c>
      <c r="B257" s="111" t="s">
        <v>232</v>
      </c>
      <c r="C257" s="112" t="s">
        <v>447</v>
      </c>
      <c r="D257" s="112"/>
      <c r="E257" s="113" t="s">
        <v>20</v>
      </c>
      <c r="F257" s="175" t="s">
        <v>15</v>
      </c>
      <c r="G257" s="175" t="s">
        <v>41</v>
      </c>
      <c r="H257" s="176">
        <v>11.8</v>
      </c>
      <c r="I257" s="177">
        <v>10.7</v>
      </c>
      <c r="J257" s="178">
        <v>1</v>
      </c>
      <c r="K257" s="174">
        <f t="shared" si="139"/>
        <v>0.12626000000000001</v>
      </c>
      <c r="L257" s="118"/>
      <c r="M257" s="111"/>
      <c r="N257" s="117">
        <f t="shared" si="140"/>
        <v>0</v>
      </c>
      <c r="O257" s="119">
        <f t="shared" si="141"/>
        <v>1</v>
      </c>
      <c r="P257" s="120">
        <f t="shared" si="142"/>
        <v>0.12626000000000001</v>
      </c>
      <c r="Q257" s="159"/>
      <c r="R257" s="111"/>
      <c r="S257" s="111"/>
    </row>
    <row r="258" spans="1:19">
      <c r="A258" s="110" t="s">
        <v>446</v>
      </c>
      <c r="B258" s="111" t="s">
        <v>232</v>
      </c>
      <c r="C258" s="112" t="s">
        <v>447</v>
      </c>
      <c r="D258" s="112"/>
      <c r="E258" s="113" t="s">
        <v>20</v>
      </c>
      <c r="F258" s="175" t="s">
        <v>15</v>
      </c>
      <c r="G258" s="175" t="s">
        <v>41</v>
      </c>
      <c r="H258" s="176">
        <v>11.8</v>
      </c>
      <c r="I258" s="177">
        <v>10</v>
      </c>
      <c r="J258" s="178">
        <v>24</v>
      </c>
      <c r="K258" s="174">
        <f t="shared" ref="K258:K272" si="143">(H258*I258*J258/1000)</f>
        <v>2.8319999999999999</v>
      </c>
      <c r="L258" s="118"/>
      <c r="M258" s="111">
        <v>24</v>
      </c>
      <c r="N258" s="117">
        <f t="shared" ref="N258:N272" si="144">I258*M258*H258/1000</f>
        <v>2.8319999999999999</v>
      </c>
      <c r="O258" s="119">
        <f t="shared" ref="O258:O272" si="145">J258-M258</f>
        <v>0</v>
      </c>
      <c r="P258" s="120">
        <f t="shared" ref="P258:P272" si="146">I258*O258*H258/1000</f>
        <v>0</v>
      </c>
      <c r="Q258" s="159"/>
      <c r="R258" s="111"/>
      <c r="S258" s="111"/>
    </row>
    <row r="259" spans="1:19">
      <c r="A259" s="110" t="s">
        <v>446</v>
      </c>
      <c r="B259" s="111" t="s">
        <v>232</v>
      </c>
      <c r="C259" s="112" t="s">
        <v>447</v>
      </c>
      <c r="D259" s="112"/>
      <c r="E259" s="113" t="s">
        <v>20</v>
      </c>
      <c r="F259" s="175" t="s">
        <v>15</v>
      </c>
      <c r="G259" s="175" t="s">
        <v>41</v>
      </c>
      <c r="H259" s="176">
        <v>11.8</v>
      </c>
      <c r="I259" s="177">
        <v>10</v>
      </c>
      <c r="J259" s="178">
        <v>24</v>
      </c>
      <c r="K259" s="174">
        <f t="shared" si="143"/>
        <v>2.8319999999999999</v>
      </c>
      <c r="L259" s="118"/>
      <c r="M259" s="111">
        <v>24</v>
      </c>
      <c r="N259" s="117">
        <f t="shared" si="144"/>
        <v>2.8319999999999999</v>
      </c>
      <c r="O259" s="119">
        <f t="shared" si="145"/>
        <v>0</v>
      </c>
      <c r="P259" s="120">
        <f t="shared" si="146"/>
        <v>0</v>
      </c>
      <c r="Q259" s="159"/>
      <c r="R259" s="111"/>
      <c r="S259" s="111"/>
    </row>
    <row r="260" spans="1:19">
      <c r="A260" s="110" t="s">
        <v>446</v>
      </c>
      <c r="B260" s="111" t="s">
        <v>232</v>
      </c>
      <c r="C260" s="112" t="s">
        <v>447</v>
      </c>
      <c r="D260" s="112"/>
      <c r="E260" s="113" t="s">
        <v>20</v>
      </c>
      <c r="F260" s="175" t="s">
        <v>15</v>
      </c>
      <c r="G260" s="175" t="s">
        <v>41</v>
      </c>
      <c r="H260" s="176">
        <v>11.8</v>
      </c>
      <c r="I260" s="177">
        <v>10</v>
      </c>
      <c r="J260" s="178">
        <v>26</v>
      </c>
      <c r="K260" s="174">
        <f t="shared" si="143"/>
        <v>3.0680000000000001</v>
      </c>
      <c r="L260" s="118"/>
      <c r="M260" s="111">
        <v>26</v>
      </c>
      <c r="N260" s="117">
        <f t="shared" si="144"/>
        <v>3.0680000000000001</v>
      </c>
      <c r="O260" s="119">
        <f t="shared" si="145"/>
        <v>0</v>
      </c>
      <c r="P260" s="120">
        <f t="shared" si="146"/>
        <v>0</v>
      </c>
      <c r="Q260" s="159"/>
      <c r="R260" s="111"/>
      <c r="S260" s="111"/>
    </row>
    <row r="261" spans="1:19">
      <c r="A261" s="110" t="s">
        <v>446</v>
      </c>
      <c r="B261" s="111" t="s">
        <v>232</v>
      </c>
      <c r="C261" s="112" t="s">
        <v>447</v>
      </c>
      <c r="D261" s="112"/>
      <c r="E261" s="113" t="s">
        <v>20</v>
      </c>
      <c r="F261" s="175" t="s">
        <v>15</v>
      </c>
      <c r="G261" s="175" t="s">
        <v>41</v>
      </c>
      <c r="H261" s="176">
        <v>11.8</v>
      </c>
      <c r="I261" s="177">
        <v>10</v>
      </c>
      <c r="J261" s="178">
        <v>26</v>
      </c>
      <c r="K261" s="174">
        <f t="shared" si="143"/>
        <v>3.0680000000000001</v>
      </c>
      <c r="L261" s="118"/>
      <c r="M261" s="111">
        <v>26</v>
      </c>
      <c r="N261" s="117">
        <f t="shared" si="144"/>
        <v>3.0680000000000001</v>
      </c>
      <c r="O261" s="119">
        <f t="shared" si="145"/>
        <v>0</v>
      </c>
      <c r="P261" s="120">
        <f t="shared" si="146"/>
        <v>0</v>
      </c>
      <c r="Q261" s="159"/>
      <c r="R261" s="111"/>
      <c r="S261" s="111"/>
    </row>
    <row r="262" spans="1:19">
      <c r="A262" s="110" t="s">
        <v>446</v>
      </c>
      <c r="B262" s="111" t="s">
        <v>232</v>
      </c>
      <c r="C262" s="112" t="s">
        <v>447</v>
      </c>
      <c r="D262" s="112"/>
      <c r="E262" s="113" t="s">
        <v>20</v>
      </c>
      <c r="F262" s="175" t="s">
        <v>15</v>
      </c>
      <c r="G262" s="175" t="s">
        <v>41</v>
      </c>
      <c r="H262" s="176">
        <v>11.8</v>
      </c>
      <c r="I262" s="177">
        <v>10</v>
      </c>
      <c r="J262" s="178">
        <v>26</v>
      </c>
      <c r="K262" s="174">
        <f t="shared" si="143"/>
        <v>3.0680000000000001</v>
      </c>
      <c r="L262" s="118"/>
      <c r="M262" s="111">
        <v>26</v>
      </c>
      <c r="N262" s="117">
        <f t="shared" si="144"/>
        <v>3.0680000000000001</v>
      </c>
      <c r="O262" s="119">
        <f t="shared" si="145"/>
        <v>0</v>
      </c>
      <c r="P262" s="120">
        <f t="shared" si="146"/>
        <v>0</v>
      </c>
      <c r="Q262" s="159"/>
      <c r="R262" s="111"/>
      <c r="S262" s="111"/>
    </row>
    <row r="263" spans="1:19">
      <c r="A263" s="110" t="s">
        <v>446</v>
      </c>
      <c r="B263" s="111" t="s">
        <v>232</v>
      </c>
      <c r="C263" s="112" t="s">
        <v>447</v>
      </c>
      <c r="D263" s="112"/>
      <c r="E263" s="113" t="s">
        <v>20</v>
      </c>
      <c r="F263" s="175" t="s">
        <v>15</v>
      </c>
      <c r="G263" s="175" t="s">
        <v>41</v>
      </c>
      <c r="H263" s="176">
        <v>11.8</v>
      </c>
      <c r="I263" s="177">
        <v>10</v>
      </c>
      <c r="J263" s="178">
        <v>26</v>
      </c>
      <c r="K263" s="174">
        <f t="shared" si="143"/>
        <v>3.0680000000000001</v>
      </c>
      <c r="L263" s="118"/>
      <c r="M263" s="111">
        <v>26</v>
      </c>
      <c r="N263" s="117">
        <f t="shared" si="144"/>
        <v>3.0680000000000001</v>
      </c>
      <c r="O263" s="119">
        <f t="shared" si="145"/>
        <v>0</v>
      </c>
      <c r="P263" s="120">
        <f t="shared" si="146"/>
        <v>0</v>
      </c>
      <c r="Q263" s="159"/>
      <c r="R263" s="111"/>
      <c r="S263" s="111"/>
    </row>
    <row r="264" spans="1:19">
      <c r="A264" s="110" t="s">
        <v>446</v>
      </c>
      <c r="B264" s="111" t="s">
        <v>232</v>
      </c>
      <c r="C264" s="112" t="s">
        <v>447</v>
      </c>
      <c r="D264" s="112"/>
      <c r="E264" s="113" t="s">
        <v>20</v>
      </c>
      <c r="F264" s="175" t="s">
        <v>15</v>
      </c>
      <c r="G264" s="175" t="s">
        <v>41</v>
      </c>
      <c r="H264" s="176">
        <v>11.8</v>
      </c>
      <c r="I264" s="177">
        <v>10</v>
      </c>
      <c r="J264" s="178">
        <v>26</v>
      </c>
      <c r="K264" s="174">
        <f t="shared" si="143"/>
        <v>3.0680000000000001</v>
      </c>
      <c r="L264" s="118"/>
      <c r="M264" s="111">
        <v>26</v>
      </c>
      <c r="N264" s="117">
        <f t="shared" si="144"/>
        <v>3.0680000000000001</v>
      </c>
      <c r="O264" s="119">
        <f t="shared" si="145"/>
        <v>0</v>
      </c>
      <c r="P264" s="120">
        <f t="shared" si="146"/>
        <v>0</v>
      </c>
      <c r="Q264" s="159"/>
      <c r="R264" s="111"/>
      <c r="S264" s="111"/>
    </row>
    <row r="265" spans="1:19">
      <c r="A265" s="110" t="s">
        <v>446</v>
      </c>
      <c r="B265" s="111" t="s">
        <v>232</v>
      </c>
      <c r="C265" s="112" t="s">
        <v>447</v>
      </c>
      <c r="D265" s="112"/>
      <c r="E265" s="113" t="s">
        <v>20</v>
      </c>
      <c r="F265" s="175" t="s">
        <v>15</v>
      </c>
      <c r="G265" s="175" t="s">
        <v>41</v>
      </c>
      <c r="H265" s="176">
        <v>11.8</v>
      </c>
      <c r="I265" s="177">
        <v>10</v>
      </c>
      <c r="J265" s="178">
        <v>19</v>
      </c>
      <c r="K265" s="174">
        <f t="shared" si="143"/>
        <v>2.242</v>
      </c>
      <c r="L265" s="118"/>
      <c r="M265" s="111">
        <v>19</v>
      </c>
      <c r="N265" s="117">
        <f t="shared" si="144"/>
        <v>2.242</v>
      </c>
      <c r="O265" s="119">
        <f t="shared" si="145"/>
        <v>0</v>
      </c>
      <c r="P265" s="120">
        <f t="shared" si="146"/>
        <v>0</v>
      </c>
      <c r="Q265" s="159"/>
      <c r="R265" s="111"/>
      <c r="S265" s="111"/>
    </row>
    <row r="266" spans="1:19">
      <c r="A266" s="110" t="s">
        <v>446</v>
      </c>
      <c r="B266" s="111" t="s">
        <v>232</v>
      </c>
      <c r="C266" s="112" t="s">
        <v>447</v>
      </c>
      <c r="D266" s="112"/>
      <c r="E266" s="113" t="s">
        <v>20</v>
      </c>
      <c r="F266" s="175" t="s">
        <v>15</v>
      </c>
      <c r="G266" s="175" t="s">
        <v>41</v>
      </c>
      <c r="H266" s="176">
        <v>11.8</v>
      </c>
      <c r="I266" s="177">
        <v>11</v>
      </c>
      <c r="J266" s="178">
        <v>23</v>
      </c>
      <c r="K266" s="174">
        <f t="shared" si="143"/>
        <v>2.9854000000000003</v>
      </c>
      <c r="L266" s="118"/>
      <c r="M266" s="111">
        <v>23</v>
      </c>
      <c r="N266" s="117">
        <f t="shared" si="144"/>
        <v>2.9854000000000003</v>
      </c>
      <c r="O266" s="119">
        <f t="shared" si="145"/>
        <v>0</v>
      </c>
      <c r="P266" s="120">
        <f t="shared" si="146"/>
        <v>0</v>
      </c>
      <c r="Q266" s="159"/>
      <c r="R266" s="111"/>
      <c r="S266" s="111"/>
    </row>
    <row r="267" spans="1:19">
      <c r="A267" s="110" t="s">
        <v>446</v>
      </c>
      <c r="B267" s="111" t="s">
        <v>232</v>
      </c>
      <c r="C267" s="112" t="s">
        <v>447</v>
      </c>
      <c r="D267" s="112"/>
      <c r="E267" s="113" t="s">
        <v>20</v>
      </c>
      <c r="F267" s="175" t="s">
        <v>15</v>
      </c>
      <c r="G267" s="175" t="s">
        <v>41</v>
      </c>
      <c r="H267" s="176">
        <v>11.8</v>
      </c>
      <c r="I267" s="177">
        <v>11</v>
      </c>
      <c r="J267" s="178">
        <v>21</v>
      </c>
      <c r="K267" s="174">
        <f t="shared" si="143"/>
        <v>2.7258</v>
      </c>
      <c r="L267" s="118"/>
      <c r="M267" s="111">
        <v>21</v>
      </c>
      <c r="N267" s="117">
        <f t="shared" si="144"/>
        <v>2.7258</v>
      </c>
      <c r="O267" s="119">
        <f t="shared" si="145"/>
        <v>0</v>
      </c>
      <c r="P267" s="120">
        <f t="shared" si="146"/>
        <v>0</v>
      </c>
      <c r="Q267" s="159"/>
      <c r="R267" s="111"/>
      <c r="S267" s="111"/>
    </row>
    <row r="268" spans="1:19">
      <c r="A268" s="110" t="s">
        <v>446</v>
      </c>
      <c r="B268" s="111" t="s">
        <v>232</v>
      </c>
      <c r="C268" s="112" t="s">
        <v>447</v>
      </c>
      <c r="D268" s="112"/>
      <c r="E268" s="113" t="s">
        <v>20</v>
      </c>
      <c r="F268" s="175" t="s">
        <v>15</v>
      </c>
      <c r="G268" s="175" t="s">
        <v>41</v>
      </c>
      <c r="H268" s="176">
        <v>11.8</v>
      </c>
      <c r="I268" s="177">
        <v>12</v>
      </c>
      <c r="J268" s="178">
        <v>6</v>
      </c>
      <c r="K268" s="174">
        <f t="shared" si="143"/>
        <v>0.84960000000000013</v>
      </c>
      <c r="L268" s="118"/>
      <c r="M268" s="111">
        <v>6</v>
      </c>
      <c r="N268" s="117">
        <f t="shared" si="144"/>
        <v>0.84960000000000002</v>
      </c>
      <c r="O268" s="119">
        <f t="shared" si="145"/>
        <v>0</v>
      </c>
      <c r="P268" s="120">
        <f t="shared" si="146"/>
        <v>0</v>
      </c>
      <c r="Q268" s="159"/>
      <c r="R268" s="111"/>
      <c r="S268" s="111"/>
    </row>
    <row r="269" spans="1:19">
      <c r="A269" s="110" t="s">
        <v>446</v>
      </c>
      <c r="B269" s="111" t="s">
        <v>232</v>
      </c>
      <c r="C269" s="112" t="s">
        <v>447</v>
      </c>
      <c r="D269" s="112"/>
      <c r="E269" s="113" t="s">
        <v>20</v>
      </c>
      <c r="F269" s="175" t="s">
        <v>15</v>
      </c>
      <c r="G269" s="175" t="s">
        <v>41</v>
      </c>
      <c r="H269" s="176">
        <v>11.8</v>
      </c>
      <c r="I269" s="177">
        <v>9.6999999999999993</v>
      </c>
      <c r="J269" s="178">
        <v>4</v>
      </c>
      <c r="K269" s="174">
        <f t="shared" si="143"/>
        <v>0.45783999999999997</v>
      </c>
      <c r="L269" s="118"/>
      <c r="M269" s="111"/>
      <c r="N269" s="117">
        <f t="shared" si="144"/>
        <v>0</v>
      </c>
      <c r="O269" s="119">
        <f t="shared" si="145"/>
        <v>4</v>
      </c>
      <c r="P269" s="120">
        <f t="shared" si="146"/>
        <v>0.45783999999999997</v>
      </c>
      <c r="Q269" s="159"/>
      <c r="R269" s="111"/>
      <c r="S269" s="111"/>
    </row>
    <row r="270" spans="1:19">
      <c r="A270" s="110" t="s">
        <v>446</v>
      </c>
      <c r="B270" s="111" t="s">
        <v>232</v>
      </c>
      <c r="C270" s="112" t="s">
        <v>447</v>
      </c>
      <c r="D270" s="112"/>
      <c r="E270" s="113" t="s">
        <v>20</v>
      </c>
      <c r="F270" s="175" t="s">
        <v>15</v>
      </c>
      <c r="G270" s="175" t="s">
        <v>41</v>
      </c>
      <c r="H270" s="176">
        <v>11.8</v>
      </c>
      <c r="I270" s="177">
        <v>9.5</v>
      </c>
      <c r="J270" s="178">
        <v>14</v>
      </c>
      <c r="K270" s="174">
        <f t="shared" si="143"/>
        <v>1.5694000000000001</v>
      </c>
      <c r="L270" s="118"/>
      <c r="M270" s="111"/>
      <c r="N270" s="117">
        <f t="shared" si="144"/>
        <v>0</v>
      </c>
      <c r="O270" s="119">
        <f t="shared" si="145"/>
        <v>14</v>
      </c>
      <c r="P270" s="120">
        <f t="shared" si="146"/>
        <v>1.5694000000000001</v>
      </c>
      <c r="Q270" s="159"/>
      <c r="R270" s="111"/>
      <c r="S270" s="111"/>
    </row>
    <row r="271" spans="1:19">
      <c r="A271" s="110" t="s">
        <v>446</v>
      </c>
      <c r="B271" s="111" t="s">
        <v>232</v>
      </c>
      <c r="C271" s="112" t="s">
        <v>447</v>
      </c>
      <c r="D271" s="112"/>
      <c r="E271" s="113" t="s">
        <v>20</v>
      </c>
      <c r="F271" s="175" t="s">
        <v>15</v>
      </c>
      <c r="G271" s="175" t="s">
        <v>41</v>
      </c>
      <c r="H271" s="176">
        <v>11.8</v>
      </c>
      <c r="I271" s="177">
        <v>9.1</v>
      </c>
      <c r="J271" s="178">
        <v>1</v>
      </c>
      <c r="K271" s="174">
        <f t="shared" si="143"/>
        <v>0.10737999999999999</v>
      </c>
      <c r="L271" s="118"/>
      <c r="M271" s="111"/>
      <c r="N271" s="117">
        <f t="shared" si="144"/>
        <v>0</v>
      </c>
      <c r="O271" s="119">
        <f t="shared" si="145"/>
        <v>1</v>
      </c>
      <c r="P271" s="120">
        <f t="shared" si="146"/>
        <v>0.10737999999999999</v>
      </c>
      <c r="Q271" s="159"/>
      <c r="R271" s="111"/>
      <c r="S271" s="111"/>
    </row>
    <row r="272" spans="1:19">
      <c r="A272" s="110" t="s">
        <v>446</v>
      </c>
      <c r="B272" s="111" t="s">
        <v>232</v>
      </c>
      <c r="C272" s="112" t="s">
        <v>447</v>
      </c>
      <c r="D272" s="112"/>
      <c r="E272" s="113" t="s">
        <v>20</v>
      </c>
      <c r="F272" s="175" t="s">
        <v>15</v>
      </c>
      <c r="G272" s="175" t="s">
        <v>41</v>
      </c>
      <c r="H272" s="176">
        <v>11.8</v>
      </c>
      <c r="I272" s="177">
        <v>9</v>
      </c>
      <c r="J272" s="178">
        <v>2</v>
      </c>
      <c r="K272" s="174">
        <f t="shared" si="143"/>
        <v>0.21240000000000001</v>
      </c>
      <c r="L272" s="118"/>
      <c r="M272" s="111"/>
      <c r="N272" s="117">
        <f t="shared" si="144"/>
        <v>0</v>
      </c>
      <c r="O272" s="119">
        <f t="shared" si="145"/>
        <v>2</v>
      </c>
      <c r="P272" s="120">
        <f t="shared" si="146"/>
        <v>0.21240000000000001</v>
      </c>
      <c r="Q272" s="159"/>
      <c r="R272" s="111"/>
      <c r="S272" s="111"/>
    </row>
    <row r="273" spans="1:19">
      <c r="A273" s="110" t="s">
        <v>446</v>
      </c>
      <c r="B273" s="111" t="s">
        <v>232</v>
      </c>
      <c r="C273" s="112" t="s">
        <v>447</v>
      </c>
      <c r="D273" s="112"/>
      <c r="E273" s="113" t="s">
        <v>20</v>
      </c>
      <c r="F273" s="175" t="s">
        <v>15</v>
      </c>
      <c r="G273" s="175" t="s">
        <v>41</v>
      </c>
      <c r="H273" s="176">
        <v>11.8</v>
      </c>
      <c r="I273" s="177">
        <v>10</v>
      </c>
      <c r="J273" s="178">
        <v>23</v>
      </c>
      <c r="K273" s="174">
        <f t="shared" ref="K273:K280" si="147">(H273*I273*J273/1000)</f>
        <v>2.714</v>
      </c>
      <c r="L273" s="118"/>
      <c r="M273" s="111">
        <v>23</v>
      </c>
      <c r="N273" s="117">
        <f t="shared" ref="N273:N280" si="148">I273*M273*H273/1000</f>
        <v>2.714</v>
      </c>
      <c r="O273" s="119">
        <f t="shared" ref="O273:O280" si="149">J273-M273</f>
        <v>0</v>
      </c>
      <c r="P273" s="120">
        <f t="shared" ref="P273:P280" si="150">I273*O273*H273/1000</f>
        <v>0</v>
      </c>
      <c r="Q273" s="159"/>
      <c r="R273" s="111"/>
      <c r="S273" s="111"/>
    </row>
    <row r="274" spans="1:19">
      <c r="A274" s="110" t="s">
        <v>446</v>
      </c>
      <c r="B274" s="111" t="s">
        <v>232</v>
      </c>
      <c r="C274" s="112" t="s">
        <v>447</v>
      </c>
      <c r="D274" s="112"/>
      <c r="E274" s="113" t="s">
        <v>20</v>
      </c>
      <c r="F274" s="175" t="s">
        <v>15</v>
      </c>
      <c r="G274" s="175" t="s">
        <v>41</v>
      </c>
      <c r="H274" s="176">
        <v>11.8</v>
      </c>
      <c r="I274" s="177">
        <v>10</v>
      </c>
      <c r="J274" s="178">
        <v>24</v>
      </c>
      <c r="K274" s="174">
        <f t="shared" si="147"/>
        <v>2.8319999999999999</v>
      </c>
      <c r="L274" s="118"/>
      <c r="M274" s="111">
        <v>24</v>
      </c>
      <c r="N274" s="117">
        <f t="shared" si="148"/>
        <v>2.8319999999999999</v>
      </c>
      <c r="O274" s="119">
        <f t="shared" si="149"/>
        <v>0</v>
      </c>
      <c r="P274" s="120">
        <f t="shared" si="150"/>
        <v>0</v>
      </c>
      <c r="Q274" s="159"/>
      <c r="R274" s="111"/>
      <c r="S274" s="111"/>
    </row>
    <row r="275" spans="1:19">
      <c r="A275" s="110" t="s">
        <v>446</v>
      </c>
      <c r="B275" s="111" t="s">
        <v>232</v>
      </c>
      <c r="C275" s="112" t="s">
        <v>447</v>
      </c>
      <c r="D275" s="112"/>
      <c r="E275" s="113" t="s">
        <v>20</v>
      </c>
      <c r="F275" s="175" t="s">
        <v>15</v>
      </c>
      <c r="G275" s="175" t="s">
        <v>41</v>
      </c>
      <c r="H275" s="176">
        <v>11.8</v>
      </c>
      <c r="I275" s="177">
        <v>10</v>
      </c>
      <c r="J275" s="178">
        <v>25</v>
      </c>
      <c r="K275" s="174">
        <f t="shared" si="147"/>
        <v>2.95</v>
      </c>
      <c r="L275" s="118"/>
      <c r="M275" s="111">
        <v>25</v>
      </c>
      <c r="N275" s="117">
        <f t="shared" si="148"/>
        <v>2.95</v>
      </c>
      <c r="O275" s="119">
        <f t="shared" si="149"/>
        <v>0</v>
      </c>
      <c r="P275" s="120">
        <f t="shared" si="150"/>
        <v>0</v>
      </c>
      <c r="Q275" s="159"/>
      <c r="R275" s="111"/>
      <c r="S275" s="111"/>
    </row>
    <row r="276" spans="1:19">
      <c r="A276" s="110" t="s">
        <v>446</v>
      </c>
      <c r="B276" s="111" t="s">
        <v>232</v>
      </c>
      <c r="C276" s="112" t="s">
        <v>447</v>
      </c>
      <c r="D276" s="112"/>
      <c r="E276" s="113" t="s">
        <v>20</v>
      </c>
      <c r="F276" s="175" t="s">
        <v>15</v>
      </c>
      <c r="G276" s="175" t="s">
        <v>41</v>
      </c>
      <c r="H276" s="176">
        <v>11.8</v>
      </c>
      <c r="I276" s="177">
        <v>10</v>
      </c>
      <c r="J276" s="178">
        <v>25</v>
      </c>
      <c r="K276" s="174">
        <f t="shared" si="147"/>
        <v>2.95</v>
      </c>
      <c r="L276" s="118"/>
      <c r="M276" s="111">
        <v>25</v>
      </c>
      <c r="N276" s="117">
        <f t="shared" si="148"/>
        <v>2.95</v>
      </c>
      <c r="O276" s="119">
        <f t="shared" si="149"/>
        <v>0</v>
      </c>
      <c r="P276" s="120">
        <f t="shared" si="150"/>
        <v>0</v>
      </c>
      <c r="Q276" s="159"/>
      <c r="R276" s="111"/>
      <c r="S276" s="111"/>
    </row>
    <row r="277" spans="1:19">
      <c r="A277" s="110" t="s">
        <v>446</v>
      </c>
      <c r="B277" s="111" t="s">
        <v>232</v>
      </c>
      <c r="C277" s="112" t="s">
        <v>447</v>
      </c>
      <c r="D277" s="112"/>
      <c r="E277" s="113" t="s">
        <v>20</v>
      </c>
      <c r="F277" s="175" t="s">
        <v>15</v>
      </c>
      <c r="G277" s="175" t="s">
        <v>41</v>
      </c>
      <c r="H277" s="176">
        <v>11.8</v>
      </c>
      <c r="I277" s="177">
        <v>10</v>
      </c>
      <c r="J277" s="178">
        <v>25</v>
      </c>
      <c r="K277" s="174">
        <f t="shared" si="147"/>
        <v>2.95</v>
      </c>
      <c r="L277" s="118"/>
      <c r="M277" s="111">
        <v>25</v>
      </c>
      <c r="N277" s="117">
        <f t="shared" si="148"/>
        <v>2.95</v>
      </c>
      <c r="O277" s="119">
        <f t="shared" si="149"/>
        <v>0</v>
      </c>
      <c r="P277" s="120">
        <f t="shared" si="150"/>
        <v>0</v>
      </c>
      <c r="Q277" s="159"/>
      <c r="R277" s="111"/>
      <c r="S277" s="111"/>
    </row>
    <row r="278" spans="1:19">
      <c r="A278" s="110" t="s">
        <v>446</v>
      </c>
      <c r="B278" s="111" t="s">
        <v>232</v>
      </c>
      <c r="C278" s="112" t="s">
        <v>447</v>
      </c>
      <c r="D278" s="112"/>
      <c r="E278" s="113" t="s">
        <v>20</v>
      </c>
      <c r="F278" s="175" t="s">
        <v>15</v>
      </c>
      <c r="G278" s="175" t="s">
        <v>41</v>
      </c>
      <c r="H278" s="176">
        <v>11.8</v>
      </c>
      <c r="I278" s="177">
        <v>10</v>
      </c>
      <c r="J278" s="178">
        <v>24</v>
      </c>
      <c r="K278" s="174">
        <f t="shared" si="147"/>
        <v>2.8319999999999999</v>
      </c>
      <c r="L278" s="118"/>
      <c r="M278" s="111">
        <v>24</v>
      </c>
      <c r="N278" s="117">
        <f t="shared" si="148"/>
        <v>2.8319999999999999</v>
      </c>
      <c r="O278" s="119">
        <f t="shared" si="149"/>
        <v>0</v>
      </c>
      <c r="P278" s="120">
        <f t="shared" si="150"/>
        <v>0</v>
      </c>
      <c r="Q278" s="159"/>
      <c r="R278" s="111"/>
      <c r="S278" s="111"/>
    </row>
    <row r="279" spans="1:19">
      <c r="A279" s="110" t="s">
        <v>446</v>
      </c>
      <c r="B279" s="111" t="s">
        <v>232</v>
      </c>
      <c r="C279" s="112" t="s">
        <v>447</v>
      </c>
      <c r="D279" s="112"/>
      <c r="E279" s="113" t="s">
        <v>20</v>
      </c>
      <c r="F279" s="175" t="s">
        <v>15</v>
      </c>
      <c r="G279" s="175" t="s">
        <v>41</v>
      </c>
      <c r="H279" s="176">
        <v>11.8</v>
      </c>
      <c r="I279" s="177">
        <v>10</v>
      </c>
      <c r="J279" s="178">
        <v>24</v>
      </c>
      <c r="K279" s="174">
        <f t="shared" si="147"/>
        <v>2.8319999999999999</v>
      </c>
      <c r="L279" s="118"/>
      <c r="M279" s="111">
        <v>24</v>
      </c>
      <c r="N279" s="117">
        <f t="shared" si="148"/>
        <v>2.8319999999999999</v>
      </c>
      <c r="O279" s="119">
        <f t="shared" si="149"/>
        <v>0</v>
      </c>
      <c r="P279" s="120">
        <f t="shared" si="150"/>
        <v>0</v>
      </c>
      <c r="Q279" s="159"/>
      <c r="R279" s="111"/>
      <c r="S279" s="111"/>
    </row>
    <row r="280" spans="1:19">
      <c r="A280" s="110" t="s">
        <v>446</v>
      </c>
      <c r="B280" s="111" t="s">
        <v>232</v>
      </c>
      <c r="C280" s="112" t="s">
        <v>447</v>
      </c>
      <c r="D280" s="112"/>
      <c r="E280" s="113" t="s">
        <v>20</v>
      </c>
      <c r="F280" s="175" t="s">
        <v>15</v>
      </c>
      <c r="G280" s="175" t="s">
        <v>41</v>
      </c>
      <c r="H280" s="176">
        <v>11.8</v>
      </c>
      <c r="I280" s="177">
        <v>10</v>
      </c>
      <c r="J280" s="178">
        <v>24</v>
      </c>
      <c r="K280" s="174">
        <f t="shared" si="147"/>
        <v>2.8319999999999999</v>
      </c>
      <c r="L280" s="118"/>
      <c r="M280" s="111">
        <v>24</v>
      </c>
      <c r="N280" s="117">
        <f t="shared" si="148"/>
        <v>2.8319999999999999</v>
      </c>
      <c r="O280" s="119">
        <f t="shared" si="149"/>
        <v>0</v>
      </c>
      <c r="P280" s="120">
        <f t="shared" si="150"/>
        <v>0</v>
      </c>
      <c r="Q280" s="159"/>
      <c r="R280" s="111"/>
      <c r="S280" s="111"/>
    </row>
    <row r="281" spans="1:19">
      <c r="J281" s="215">
        <f>SUM(J239:J280)</f>
        <v>752</v>
      </c>
      <c r="K281" s="214">
        <f>SUM(K239:K280)</f>
        <v>89.797409999999971</v>
      </c>
      <c r="M281" s="215">
        <f>SUM(M239:M280)</f>
        <v>715</v>
      </c>
      <c r="N281" s="214">
        <f>SUM(N239:N280)</f>
        <v>85.65619999999997</v>
      </c>
      <c r="O281" s="215">
        <f>SUM(O239:O280)</f>
        <v>37</v>
      </c>
      <c r="P281" s="214">
        <f>SUM(P239:P280)</f>
        <v>4.1412100000000001</v>
      </c>
    </row>
    <row r="283" spans="1:19">
      <c r="A283" s="110" t="s">
        <v>549</v>
      </c>
      <c r="B283" s="111" t="s">
        <v>232</v>
      </c>
      <c r="C283" s="112" t="s">
        <v>449</v>
      </c>
      <c r="D283" s="112"/>
      <c r="E283" s="113" t="s">
        <v>326</v>
      </c>
      <c r="F283" s="175" t="s">
        <v>14</v>
      </c>
      <c r="G283" s="175" t="s">
        <v>36</v>
      </c>
      <c r="H283" s="176">
        <v>10.199999999999999</v>
      </c>
      <c r="I283" s="177">
        <v>11.5</v>
      </c>
      <c r="J283" s="178">
        <v>24</v>
      </c>
      <c r="K283" s="174">
        <f t="shared" ref="K283" si="151">(H283*I283*J283/1000)</f>
        <v>2.8151999999999999</v>
      </c>
      <c r="L283" s="118"/>
      <c r="M283" s="195">
        <f>24+7</f>
        <v>31</v>
      </c>
      <c r="N283" s="117">
        <f t="shared" ref="N283" si="152">I283*M283*H283/1000</f>
        <v>3.6362999999999999</v>
      </c>
      <c r="O283" s="228">
        <f t="shared" ref="O283" si="153">J283-M283</f>
        <v>-7</v>
      </c>
      <c r="P283" s="456">
        <f t="shared" ref="P283" si="154">I283*O283*H283/1000</f>
        <v>-0.82109999999999994</v>
      </c>
      <c r="Q283" s="371" t="s">
        <v>620</v>
      </c>
      <c r="R283" s="44"/>
      <c r="S283" s="111"/>
    </row>
    <row r="284" spans="1:19">
      <c r="A284" s="110" t="s">
        <v>549</v>
      </c>
      <c r="B284" s="111" t="s">
        <v>232</v>
      </c>
      <c r="C284" s="112" t="s">
        <v>449</v>
      </c>
      <c r="D284" s="112"/>
      <c r="E284" s="113" t="s">
        <v>326</v>
      </c>
      <c r="F284" s="175" t="s">
        <v>14</v>
      </c>
      <c r="G284" s="175" t="s">
        <v>36</v>
      </c>
      <c r="H284" s="176">
        <v>10.199999999999999</v>
      </c>
      <c r="I284" s="177">
        <v>11.5</v>
      </c>
      <c r="J284" s="178">
        <v>24</v>
      </c>
      <c r="K284" s="174">
        <f t="shared" ref="K284:K297" si="155">(H284*I284*J284/1000)</f>
        <v>2.8151999999999999</v>
      </c>
      <c r="L284" s="118"/>
      <c r="M284" s="195">
        <v>24</v>
      </c>
      <c r="N284" s="117">
        <f t="shared" ref="N284:N297" si="156">I284*M284*H284/1000</f>
        <v>2.8151999999999999</v>
      </c>
      <c r="O284" s="119">
        <f t="shared" ref="O284:O297" si="157">J284-M284</f>
        <v>0</v>
      </c>
      <c r="P284" s="120">
        <f t="shared" ref="P284:P297" si="158">I284*O284*H284/1000</f>
        <v>0</v>
      </c>
      <c r="Q284" s="159"/>
      <c r="R284" s="111"/>
      <c r="S284" s="111"/>
    </row>
    <row r="285" spans="1:19">
      <c r="A285" s="110" t="s">
        <v>549</v>
      </c>
      <c r="B285" s="111" t="s">
        <v>232</v>
      </c>
      <c r="C285" s="112" t="s">
        <v>449</v>
      </c>
      <c r="D285" s="112"/>
      <c r="E285" s="113" t="s">
        <v>326</v>
      </c>
      <c r="F285" s="175" t="s">
        <v>14</v>
      </c>
      <c r="G285" s="175" t="s">
        <v>36</v>
      </c>
      <c r="H285" s="176">
        <v>10.199999999999999</v>
      </c>
      <c r="I285" s="177">
        <v>11.5</v>
      </c>
      <c r="J285" s="178">
        <v>24</v>
      </c>
      <c r="K285" s="174">
        <f t="shared" si="155"/>
        <v>2.8151999999999999</v>
      </c>
      <c r="L285" s="118"/>
      <c r="M285" s="195">
        <v>24</v>
      </c>
      <c r="N285" s="117">
        <f t="shared" si="156"/>
        <v>2.8151999999999999</v>
      </c>
      <c r="O285" s="119">
        <f t="shared" si="157"/>
        <v>0</v>
      </c>
      <c r="P285" s="120">
        <f t="shared" si="158"/>
        <v>0</v>
      </c>
      <c r="Q285" s="159"/>
      <c r="R285" s="111"/>
      <c r="S285" s="111"/>
    </row>
    <row r="286" spans="1:19">
      <c r="A286" s="110" t="s">
        <v>549</v>
      </c>
      <c r="B286" s="111" t="s">
        <v>232</v>
      </c>
      <c r="C286" s="112" t="s">
        <v>449</v>
      </c>
      <c r="D286" s="112"/>
      <c r="E286" s="113" t="s">
        <v>326</v>
      </c>
      <c r="F286" s="175" t="s">
        <v>14</v>
      </c>
      <c r="G286" s="175" t="s">
        <v>36</v>
      </c>
      <c r="H286" s="176">
        <v>10.199999999999999</v>
      </c>
      <c r="I286" s="177">
        <v>11.5</v>
      </c>
      <c r="J286" s="178">
        <v>23</v>
      </c>
      <c r="K286" s="174">
        <f t="shared" si="155"/>
        <v>2.6979000000000002</v>
      </c>
      <c r="L286" s="118"/>
      <c r="M286" s="195">
        <v>23</v>
      </c>
      <c r="N286" s="117">
        <f t="shared" si="156"/>
        <v>2.6978999999999997</v>
      </c>
      <c r="O286" s="119">
        <f t="shared" si="157"/>
        <v>0</v>
      </c>
      <c r="P286" s="120">
        <f t="shared" si="158"/>
        <v>0</v>
      </c>
      <c r="Q286" s="159"/>
      <c r="R286" s="111"/>
      <c r="S286" s="111"/>
    </row>
    <row r="287" spans="1:19">
      <c r="A287" s="110" t="s">
        <v>549</v>
      </c>
      <c r="B287" s="111" t="s">
        <v>232</v>
      </c>
      <c r="C287" s="112" t="s">
        <v>449</v>
      </c>
      <c r="D287" s="112"/>
      <c r="E287" s="113" t="s">
        <v>326</v>
      </c>
      <c r="F287" s="175" t="s">
        <v>14</v>
      </c>
      <c r="G287" s="175" t="s">
        <v>36</v>
      </c>
      <c r="H287" s="176">
        <v>10.199999999999999</v>
      </c>
      <c r="I287" s="177">
        <v>11.5</v>
      </c>
      <c r="J287" s="178">
        <v>25</v>
      </c>
      <c r="K287" s="174">
        <f t="shared" si="155"/>
        <v>2.9325000000000001</v>
      </c>
      <c r="L287" s="118"/>
      <c r="M287" s="195">
        <v>25</v>
      </c>
      <c r="N287" s="117">
        <f t="shared" si="156"/>
        <v>2.9325000000000001</v>
      </c>
      <c r="O287" s="119">
        <f t="shared" si="157"/>
        <v>0</v>
      </c>
      <c r="P287" s="120">
        <f t="shared" si="158"/>
        <v>0</v>
      </c>
      <c r="Q287" s="159"/>
      <c r="R287" s="111"/>
      <c r="S287" s="111"/>
    </row>
    <row r="288" spans="1:19">
      <c r="A288" s="110" t="s">
        <v>549</v>
      </c>
      <c r="B288" s="111" t="s">
        <v>232</v>
      </c>
      <c r="C288" s="112" t="s">
        <v>449</v>
      </c>
      <c r="D288" s="112"/>
      <c r="E288" s="113" t="s">
        <v>326</v>
      </c>
      <c r="F288" s="175" t="s">
        <v>14</v>
      </c>
      <c r="G288" s="175" t="s">
        <v>36</v>
      </c>
      <c r="H288" s="176">
        <v>10.199999999999999</v>
      </c>
      <c r="I288" s="177">
        <v>11.5</v>
      </c>
      <c r="J288" s="178">
        <v>23</v>
      </c>
      <c r="K288" s="174">
        <f t="shared" si="155"/>
        <v>2.6979000000000002</v>
      </c>
      <c r="L288" s="118"/>
      <c r="M288" s="195">
        <v>23</v>
      </c>
      <c r="N288" s="117">
        <f t="shared" si="156"/>
        <v>2.6978999999999997</v>
      </c>
      <c r="O288" s="119">
        <f t="shared" si="157"/>
        <v>0</v>
      </c>
      <c r="P288" s="120">
        <f t="shared" si="158"/>
        <v>0</v>
      </c>
      <c r="Q288" s="159"/>
      <c r="R288" s="111"/>
      <c r="S288" s="111"/>
    </row>
    <row r="289" spans="1:19">
      <c r="A289" s="110" t="s">
        <v>549</v>
      </c>
      <c r="B289" s="111" t="s">
        <v>232</v>
      </c>
      <c r="C289" s="112" t="s">
        <v>449</v>
      </c>
      <c r="D289" s="112"/>
      <c r="E289" s="113" t="s">
        <v>326</v>
      </c>
      <c r="F289" s="175" t="s">
        <v>14</v>
      </c>
      <c r="G289" s="175" t="s">
        <v>36</v>
      </c>
      <c r="H289" s="176">
        <v>10.199999999999999</v>
      </c>
      <c r="I289" s="177">
        <v>11.5</v>
      </c>
      <c r="J289" s="178">
        <v>23</v>
      </c>
      <c r="K289" s="174">
        <f t="shared" si="155"/>
        <v>2.6979000000000002</v>
      </c>
      <c r="L289" s="118"/>
      <c r="M289" s="195">
        <v>23</v>
      </c>
      <c r="N289" s="117">
        <f t="shared" si="156"/>
        <v>2.6978999999999997</v>
      </c>
      <c r="O289" s="119">
        <f t="shared" si="157"/>
        <v>0</v>
      </c>
      <c r="P289" s="120">
        <f t="shared" si="158"/>
        <v>0</v>
      </c>
      <c r="Q289" s="159"/>
      <c r="R289" s="111"/>
      <c r="S289" s="111"/>
    </row>
    <row r="290" spans="1:19">
      <c r="A290" s="110" t="s">
        <v>549</v>
      </c>
      <c r="B290" s="111" t="s">
        <v>232</v>
      </c>
      <c r="C290" s="112" t="s">
        <v>449</v>
      </c>
      <c r="D290" s="112"/>
      <c r="E290" s="113" t="s">
        <v>326</v>
      </c>
      <c r="F290" s="175" t="s">
        <v>14</v>
      </c>
      <c r="G290" s="175" t="s">
        <v>36</v>
      </c>
      <c r="H290" s="176">
        <v>10.199999999999999</v>
      </c>
      <c r="I290" s="177">
        <v>10</v>
      </c>
      <c r="J290" s="178">
        <v>1</v>
      </c>
      <c r="K290" s="174">
        <f t="shared" si="155"/>
        <v>0.10199999999999999</v>
      </c>
      <c r="L290" s="118"/>
      <c r="M290" s="195">
        <v>1</v>
      </c>
      <c r="N290" s="117">
        <f t="shared" si="156"/>
        <v>0.10199999999999999</v>
      </c>
      <c r="O290" s="119">
        <f t="shared" si="157"/>
        <v>0</v>
      </c>
      <c r="P290" s="120">
        <f t="shared" si="158"/>
        <v>0</v>
      </c>
      <c r="Q290" s="159">
        <v>8.6999999999999993</v>
      </c>
      <c r="R290" s="45">
        <v>1</v>
      </c>
      <c r="S290" s="111" t="s">
        <v>615</v>
      </c>
    </row>
    <row r="291" spans="1:19">
      <c r="A291" s="110" t="s">
        <v>549</v>
      </c>
      <c r="B291" s="111" t="s">
        <v>232</v>
      </c>
      <c r="C291" s="112" t="s">
        <v>449</v>
      </c>
      <c r="D291" s="112"/>
      <c r="E291" s="113" t="s">
        <v>326</v>
      </c>
      <c r="F291" s="175" t="s">
        <v>14</v>
      </c>
      <c r="G291" s="175" t="s">
        <v>36</v>
      </c>
      <c r="H291" s="176">
        <v>10.199999999999999</v>
      </c>
      <c r="I291" s="177">
        <v>10.8</v>
      </c>
      <c r="J291" s="178">
        <v>1</v>
      </c>
      <c r="K291" s="174">
        <f t="shared" si="155"/>
        <v>0.11015999999999999</v>
      </c>
      <c r="L291" s="118"/>
      <c r="M291" s="195">
        <v>1</v>
      </c>
      <c r="N291" s="117">
        <f t="shared" si="156"/>
        <v>0.11015999999999999</v>
      </c>
      <c r="O291" s="119">
        <f t="shared" si="157"/>
        <v>0</v>
      </c>
      <c r="P291" s="120">
        <f t="shared" si="158"/>
        <v>0</v>
      </c>
      <c r="Q291" s="159">
        <v>7.2</v>
      </c>
      <c r="R291" s="45">
        <v>1</v>
      </c>
      <c r="S291" s="111" t="s">
        <v>615</v>
      </c>
    </row>
    <row r="292" spans="1:19">
      <c r="A292" s="110" t="s">
        <v>549</v>
      </c>
      <c r="B292" s="111" t="s">
        <v>232</v>
      </c>
      <c r="C292" s="112" t="s">
        <v>449</v>
      </c>
      <c r="D292" s="112"/>
      <c r="E292" s="113" t="s">
        <v>326</v>
      </c>
      <c r="F292" s="175" t="s">
        <v>14</v>
      </c>
      <c r="G292" s="175" t="s">
        <v>36</v>
      </c>
      <c r="H292" s="176">
        <v>10.199999999999999</v>
      </c>
      <c r="I292" s="177">
        <v>11</v>
      </c>
      <c r="J292" s="178">
        <v>1</v>
      </c>
      <c r="K292" s="174">
        <f t="shared" si="155"/>
        <v>0.11219999999999999</v>
      </c>
      <c r="L292" s="118"/>
      <c r="M292" s="195">
        <v>1</v>
      </c>
      <c r="N292" s="117">
        <f t="shared" si="156"/>
        <v>0.11219999999999999</v>
      </c>
      <c r="O292" s="119">
        <f t="shared" si="157"/>
        <v>0</v>
      </c>
      <c r="P292" s="120">
        <f t="shared" si="158"/>
        <v>0</v>
      </c>
      <c r="Q292" s="159">
        <v>7.2</v>
      </c>
      <c r="R292" s="45">
        <v>1</v>
      </c>
      <c r="S292" s="111" t="s">
        <v>615</v>
      </c>
    </row>
    <row r="293" spans="1:19">
      <c r="A293" s="110" t="s">
        <v>549</v>
      </c>
      <c r="B293" s="111" t="s">
        <v>232</v>
      </c>
      <c r="C293" s="112" t="s">
        <v>449</v>
      </c>
      <c r="D293" s="112"/>
      <c r="E293" s="113" t="s">
        <v>326</v>
      </c>
      <c r="F293" s="175" t="s">
        <v>14</v>
      </c>
      <c r="G293" s="175" t="s">
        <v>36</v>
      </c>
      <c r="H293" s="176">
        <v>10.199999999999999</v>
      </c>
      <c r="I293" s="177">
        <v>11.3</v>
      </c>
      <c r="J293" s="178">
        <v>5</v>
      </c>
      <c r="K293" s="174">
        <f t="shared" si="155"/>
        <v>0.57630000000000003</v>
      </c>
      <c r="L293" s="118"/>
      <c r="M293" s="195">
        <v>5</v>
      </c>
      <c r="N293" s="117">
        <f t="shared" si="156"/>
        <v>0.57629999999999992</v>
      </c>
      <c r="O293" s="119">
        <f t="shared" si="157"/>
        <v>0</v>
      </c>
      <c r="P293" s="120">
        <f t="shared" si="158"/>
        <v>0</v>
      </c>
      <c r="Q293" s="159">
        <v>7.2</v>
      </c>
      <c r="R293" s="45">
        <v>5</v>
      </c>
      <c r="S293" s="111" t="s">
        <v>615</v>
      </c>
    </row>
    <row r="294" spans="1:19">
      <c r="A294" s="110" t="s">
        <v>549</v>
      </c>
      <c r="B294" s="111" t="s">
        <v>232</v>
      </c>
      <c r="C294" s="112" t="s">
        <v>449</v>
      </c>
      <c r="D294" s="112"/>
      <c r="E294" s="113" t="s">
        <v>326</v>
      </c>
      <c r="F294" s="175" t="s">
        <v>14</v>
      </c>
      <c r="G294" s="175" t="s">
        <v>36</v>
      </c>
      <c r="H294" s="176">
        <v>10.199999999999999</v>
      </c>
      <c r="I294" s="177">
        <v>11.5</v>
      </c>
      <c r="J294" s="178">
        <v>29</v>
      </c>
      <c r="K294" s="174">
        <f t="shared" si="155"/>
        <v>3.4016999999999999</v>
      </c>
      <c r="L294" s="118"/>
      <c r="M294" s="195">
        <v>29</v>
      </c>
      <c r="N294" s="117">
        <f t="shared" si="156"/>
        <v>3.4016999999999999</v>
      </c>
      <c r="O294" s="119">
        <f t="shared" si="157"/>
        <v>0</v>
      </c>
      <c r="P294" s="120">
        <f t="shared" si="158"/>
        <v>0</v>
      </c>
      <c r="Q294" s="159"/>
      <c r="R294" s="111"/>
      <c r="S294" s="111"/>
    </row>
    <row r="295" spans="1:19">
      <c r="A295" s="110" t="s">
        <v>549</v>
      </c>
      <c r="B295" s="111" t="s">
        <v>232</v>
      </c>
      <c r="C295" s="112" t="s">
        <v>449</v>
      </c>
      <c r="D295" s="112"/>
      <c r="E295" s="113" t="s">
        <v>326</v>
      </c>
      <c r="F295" s="175" t="s">
        <v>14</v>
      </c>
      <c r="G295" s="175" t="s">
        <v>36</v>
      </c>
      <c r="H295" s="176">
        <v>10.199999999999999</v>
      </c>
      <c r="I295" s="177">
        <v>11.5</v>
      </c>
      <c r="J295" s="178">
        <v>30</v>
      </c>
      <c r="K295" s="174">
        <f t="shared" si="155"/>
        <v>3.5190000000000001</v>
      </c>
      <c r="L295" s="118"/>
      <c r="M295" s="195">
        <v>30</v>
      </c>
      <c r="N295" s="117">
        <f t="shared" si="156"/>
        <v>3.5189999999999997</v>
      </c>
      <c r="O295" s="119">
        <f t="shared" si="157"/>
        <v>0</v>
      </c>
      <c r="P295" s="120">
        <f t="shared" si="158"/>
        <v>0</v>
      </c>
      <c r="Q295" s="159"/>
      <c r="R295" s="111"/>
      <c r="S295" s="111"/>
    </row>
    <row r="296" spans="1:19">
      <c r="A296" s="110" t="s">
        <v>549</v>
      </c>
      <c r="B296" s="111" t="s">
        <v>232</v>
      </c>
      <c r="C296" s="112" t="s">
        <v>449</v>
      </c>
      <c r="D296" s="112"/>
      <c r="E296" s="113" t="s">
        <v>326</v>
      </c>
      <c r="F296" s="175" t="s">
        <v>14</v>
      </c>
      <c r="G296" s="175" t="s">
        <v>36</v>
      </c>
      <c r="H296" s="176">
        <v>10.199999999999999</v>
      </c>
      <c r="I296" s="177">
        <v>11.5</v>
      </c>
      <c r="J296" s="178">
        <v>25</v>
      </c>
      <c r="K296" s="174">
        <f t="shared" si="155"/>
        <v>2.9325000000000001</v>
      </c>
      <c r="L296" s="118"/>
      <c r="M296" s="195">
        <v>25</v>
      </c>
      <c r="N296" s="117">
        <f t="shared" si="156"/>
        <v>2.9325000000000001</v>
      </c>
      <c r="O296" s="119">
        <f t="shared" si="157"/>
        <v>0</v>
      </c>
      <c r="P296" s="120">
        <f t="shared" si="158"/>
        <v>0</v>
      </c>
      <c r="Q296" s="159"/>
      <c r="R296" s="111"/>
      <c r="S296" s="111"/>
    </row>
    <row r="297" spans="1:19">
      <c r="A297" s="110" t="s">
        <v>549</v>
      </c>
      <c r="B297" s="111" t="s">
        <v>232</v>
      </c>
      <c r="C297" s="112" t="s">
        <v>449</v>
      </c>
      <c r="D297" s="112"/>
      <c r="E297" s="113" t="s">
        <v>326</v>
      </c>
      <c r="F297" s="175" t="s">
        <v>14</v>
      </c>
      <c r="G297" s="175" t="s">
        <v>36</v>
      </c>
      <c r="H297" s="176">
        <v>10.199999999999999</v>
      </c>
      <c r="I297" s="177">
        <v>11.5</v>
      </c>
      <c r="J297" s="178">
        <v>25</v>
      </c>
      <c r="K297" s="174">
        <f t="shared" si="155"/>
        <v>2.9325000000000001</v>
      </c>
      <c r="L297" s="118"/>
      <c r="M297" s="195">
        <v>25</v>
      </c>
      <c r="N297" s="117">
        <f t="shared" si="156"/>
        <v>2.9325000000000001</v>
      </c>
      <c r="O297" s="119">
        <f t="shared" si="157"/>
        <v>0</v>
      </c>
      <c r="P297" s="120">
        <f t="shared" si="158"/>
        <v>0</v>
      </c>
      <c r="Q297" s="159"/>
      <c r="R297" s="111"/>
      <c r="S297" s="111"/>
    </row>
    <row r="298" spans="1:19">
      <c r="A298" s="110" t="s">
        <v>549</v>
      </c>
      <c r="B298" s="111" t="s">
        <v>232</v>
      </c>
      <c r="C298" s="112" t="s">
        <v>449</v>
      </c>
      <c r="D298" s="112"/>
      <c r="E298" s="113" t="s">
        <v>326</v>
      </c>
      <c r="F298" s="175" t="s">
        <v>14</v>
      </c>
      <c r="G298" s="175" t="s">
        <v>36</v>
      </c>
      <c r="H298" s="176">
        <v>10.199999999999999</v>
      </c>
      <c r="I298" s="177">
        <v>11.5</v>
      </c>
      <c r="J298" s="178">
        <v>25</v>
      </c>
      <c r="K298" s="174">
        <f t="shared" ref="K298:K302" si="159">(H298*I298*J298/1000)</f>
        <v>2.9325000000000001</v>
      </c>
      <c r="L298" s="118"/>
      <c r="M298" s="195">
        <v>25</v>
      </c>
      <c r="N298" s="117">
        <f t="shared" ref="N298:N302" si="160">I298*M298*H298/1000</f>
        <v>2.9325000000000001</v>
      </c>
      <c r="O298" s="119">
        <f t="shared" ref="O298:O302" si="161">J298-M298</f>
        <v>0</v>
      </c>
      <c r="P298" s="120">
        <f t="shared" ref="P298:P299" si="162">I298*O298*H298/1000</f>
        <v>0</v>
      </c>
      <c r="Q298" s="159"/>
      <c r="R298" s="111"/>
      <c r="S298" s="111"/>
    </row>
    <row r="299" spans="1:19">
      <c r="A299" s="110" t="s">
        <v>549</v>
      </c>
      <c r="B299" s="111" t="s">
        <v>232</v>
      </c>
      <c r="C299" s="112" t="s">
        <v>449</v>
      </c>
      <c r="D299" s="112"/>
      <c r="E299" s="113" t="s">
        <v>326</v>
      </c>
      <c r="F299" s="175" t="s">
        <v>14</v>
      </c>
      <c r="G299" s="175" t="s">
        <v>36</v>
      </c>
      <c r="H299" s="176">
        <v>10.199999999999999</v>
      </c>
      <c r="I299" s="177">
        <v>11.5</v>
      </c>
      <c r="J299" s="178">
        <v>25</v>
      </c>
      <c r="K299" s="174">
        <f t="shared" si="159"/>
        <v>2.9325000000000001</v>
      </c>
      <c r="L299" s="118"/>
      <c r="M299" s="195">
        <v>25</v>
      </c>
      <c r="N299" s="117">
        <f t="shared" si="160"/>
        <v>2.9325000000000001</v>
      </c>
      <c r="O299" s="119">
        <f t="shared" si="161"/>
        <v>0</v>
      </c>
      <c r="P299" s="120">
        <f t="shared" si="162"/>
        <v>0</v>
      </c>
      <c r="Q299" s="159"/>
      <c r="R299" s="111"/>
      <c r="S299" s="111"/>
    </row>
    <row r="300" spans="1:19">
      <c r="A300" s="110" t="s">
        <v>549</v>
      </c>
      <c r="B300" s="111" t="s">
        <v>232</v>
      </c>
      <c r="C300" s="112" t="s">
        <v>449</v>
      </c>
      <c r="D300" s="112"/>
      <c r="E300" s="113" t="s">
        <v>326</v>
      </c>
      <c r="F300" s="175" t="s">
        <v>14</v>
      </c>
      <c r="G300" s="175" t="s">
        <v>36</v>
      </c>
      <c r="H300" s="176">
        <v>10.199999999999999</v>
      </c>
      <c r="I300" s="177">
        <v>11.5</v>
      </c>
      <c r="J300" s="178">
        <v>26</v>
      </c>
      <c r="K300" s="174">
        <f t="shared" si="159"/>
        <v>3.0497999999999998</v>
      </c>
      <c r="L300" s="118"/>
      <c r="M300" s="195">
        <v>26</v>
      </c>
      <c r="N300" s="117">
        <f t="shared" si="160"/>
        <v>3.0497999999999998</v>
      </c>
      <c r="O300" s="119">
        <f t="shared" si="161"/>
        <v>0</v>
      </c>
      <c r="P300" s="120">
        <f>I300*O300*H300/1000</f>
        <v>0</v>
      </c>
      <c r="Q300" s="159"/>
      <c r="R300" s="111"/>
      <c r="S300" s="111"/>
    </row>
    <row r="301" spans="1:19">
      <c r="A301" s="110" t="s">
        <v>549</v>
      </c>
      <c r="B301" s="111" t="s">
        <v>232</v>
      </c>
      <c r="C301" s="112" t="s">
        <v>449</v>
      </c>
      <c r="D301" s="112"/>
      <c r="E301" s="113" t="s">
        <v>326</v>
      </c>
      <c r="F301" s="175" t="s">
        <v>14</v>
      </c>
      <c r="G301" s="175" t="s">
        <v>36</v>
      </c>
      <c r="H301" s="176">
        <v>10.199999999999999</v>
      </c>
      <c r="I301" s="177">
        <v>10.7</v>
      </c>
      <c r="J301" s="178">
        <v>1</v>
      </c>
      <c r="K301" s="174">
        <f t="shared" si="159"/>
        <v>0.10913999999999999</v>
      </c>
      <c r="L301" s="118"/>
      <c r="M301" s="195"/>
      <c r="N301" s="117">
        <f t="shared" si="160"/>
        <v>0</v>
      </c>
      <c r="O301" s="119">
        <f t="shared" si="161"/>
        <v>1</v>
      </c>
      <c r="P301" s="120">
        <f>I301*O301*H301/1000</f>
        <v>0.10913999999999999</v>
      </c>
      <c r="Q301" s="159"/>
      <c r="R301" s="111"/>
      <c r="S301" s="111"/>
    </row>
    <row r="302" spans="1:19">
      <c r="A302" s="110" t="s">
        <v>549</v>
      </c>
      <c r="B302" s="111" t="s">
        <v>232</v>
      </c>
      <c r="C302" s="112" t="s">
        <v>449</v>
      </c>
      <c r="D302" s="112"/>
      <c r="E302" s="113" t="s">
        <v>326</v>
      </c>
      <c r="F302" s="175" t="s">
        <v>14</v>
      </c>
      <c r="G302" s="175" t="s">
        <v>36</v>
      </c>
      <c r="H302" s="176">
        <v>10.199999999999999</v>
      </c>
      <c r="I302" s="177">
        <v>11.2</v>
      </c>
      <c r="J302" s="178">
        <v>3</v>
      </c>
      <c r="K302" s="174">
        <f t="shared" si="159"/>
        <v>0.34271999999999991</v>
      </c>
      <c r="L302" s="118"/>
      <c r="M302" s="195">
        <v>3</v>
      </c>
      <c r="N302" s="117">
        <f t="shared" si="160"/>
        <v>0.34271999999999991</v>
      </c>
      <c r="O302" s="119">
        <f t="shared" si="161"/>
        <v>0</v>
      </c>
      <c r="P302" s="120">
        <f>I302*O302*H302/1000</f>
        <v>0</v>
      </c>
      <c r="Q302" s="159">
        <v>8.6999999999999993</v>
      </c>
      <c r="R302" s="45">
        <v>3</v>
      </c>
      <c r="S302" s="111" t="s">
        <v>615</v>
      </c>
    </row>
    <row r="303" spans="1:19">
      <c r="A303" s="32"/>
      <c r="B303" s="32"/>
      <c r="C303" s="32"/>
      <c r="D303" s="32"/>
      <c r="E303" s="32"/>
      <c r="F303" s="32"/>
      <c r="G303" s="32"/>
      <c r="H303" s="32"/>
      <c r="I303" s="32"/>
      <c r="J303" s="131">
        <f>SUM(J283:J302)</f>
        <v>363</v>
      </c>
      <c r="K303" s="124">
        <f>SUM(K283:K302)</f>
        <v>42.524819999999991</v>
      </c>
      <c r="L303" s="32"/>
      <c r="M303" s="131">
        <f>SUM(M283:M302)</f>
        <v>369</v>
      </c>
      <c r="N303" s="124">
        <f>SUM(N283:N302)</f>
        <v>43.236779999999996</v>
      </c>
      <c r="O303" s="131">
        <f>SUM(O283:O302)</f>
        <v>-6</v>
      </c>
      <c r="P303" s="124">
        <f>SUM(P283:P302)</f>
        <v>-0.71195999999999993</v>
      </c>
      <c r="Q303" s="32"/>
      <c r="R303" s="32"/>
      <c r="S303" s="32"/>
    </row>
    <row r="306" spans="1:19">
      <c r="A306" s="110" t="s">
        <v>549</v>
      </c>
      <c r="B306" s="111" t="s">
        <v>505</v>
      </c>
      <c r="C306" s="112" t="s">
        <v>449</v>
      </c>
      <c r="D306" s="112"/>
      <c r="E306" s="113" t="s">
        <v>130</v>
      </c>
      <c r="F306" s="175" t="s">
        <v>15</v>
      </c>
      <c r="G306" s="175" t="s">
        <v>41</v>
      </c>
      <c r="H306" s="176">
        <v>11.8</v>
      </c>
      <c r="I306" s="177">
        <v>10</v>
      </c>
      <c r="J306" s="178">
        <v>22</v>
      </c>
      <c r="K306" s="174">
        <f t="shared" ref="K306" si="163">(H306*I306*J306/1000)</f>
        <v>2.5960000000000001</v>
      </c>
      <c r="L306" s="118"/>
      <c r="M306" s="178">
        <v>22</v>
      </c>
      <c r="N306" s="117">
        <f t="shared" ref="N306" si="164">I306*M306*H306/1000</f>
        <v>2.5960000000000001</v>
      </c>
      <c r="O306" s="119">
        <f t="shared" ref="O306" si="165">J306-M306</f>
        <v>0</v>
      </c>
      <c r="P306" s="120">
        <f t="shared" ref="P306" si="166">I306*O306*H306/1000</f>
        <v>0</v>
      </c>
      <c r="Q306" s="159"/>
      <c r="R306" s="111"/>
      <c r="S306" s="111"/>
    </row>
    <row r="307" spans="1:19">
      <c r="A307" s="110" t="s">
        <v>549</v>
      </c>
      <c r="B307" s="111" t="s">
        <v>505</v>
      </c>
      <c r="C307" s="112" t="s">
        <v>449</v>
      </c>
      <c r="D307" s="112"/>
      <c r="E307" s="113" t="s">
        <v>130</v>
      </c>
      <c r="F307" s="175" t="s">
        <v>15</v>
      </c>
      <c r="G307" s="175" t="s">
        <v>41</v>
      </c>
      <c r="H307" s="176">
        <v>11.8</v>
      </c>
      <c r="I307" s="177">
        <v>10</v>
      </c>
      <c r="J307" s="178">
        <v>24</v>
      </c>
      <c r="K307" s="174">
        <f t="shared" ref="K307:K315" si="167">(H307*I307*J307/1000)</f>
        <v>2.8319999999999999</v>
      </c>
      <c r="L307" s="118"/>
      <c r="M307" s="178">
        <v>24</v>
      </c>
      <c r="N307" s="117">
        <f t="shared" ref="N307:N315" si="168">I307*M307*H307/1000</f>
        <v>2.8319999999999999</v>
      </c>
      <c r="O307" s="119">
        <f t="shared" ref="O307:O315" si="169">J307-M307</f>
        <v>0</v>
      </c>
      <c r="P307" s="120">
        <f t="shared" ref="P307:P312" si="170">I307*O307*H307/1000</f>
        <v>0</v>
      </c>
      <c r="Q307" s="159"/>
      <c r="R307" s="111"/>
      <c r="S307" s="111"/>
    </row>
    <row r="308" spans="1:19">
      <c r="A308" s="110" t="s">
        <v>549</v>
      </c>
      <c r="B308" s="111" t="s">
        <v>505</v>
      </c>
      <c r="C308" s="112" t="s">
        <v>449</v>
      </c>
      <c r="D308" s="112"/>
      <c r="E308" s="113" t="s">
        <v>130</v>
      </c>
      <c r="F308" s="175" t="s">
        <v>15</v>
      </c>
      <c r="G308" s="175" t="s">
        <v>41</v>
      </c>
      <c r="H308" s="176">
        <v>11.8</v>
      </c>
      <c r="I308" s="177">
        <v>11</v>
      </c>
      <c r="J308" s="178">
        <v>11</v>
      </c>
      <c r="K308" s="174">
        <f t="shared" si="167"/>
        <v>1.4278000000000002</v>
      </c>
      <c r="L308" s="118"/>
      <c r="M308" s="417">
        <v>11</v>
      </c>
      <c r="N308" s="117">
        <f t="shared" si="168"/>
        <v>1.4278000000000002</v>
      </c>
      <c r="O308" s="119">
        <f t="shared" si="169"/>
        <v>0</v>
      </c>
      <c r="P308" s="120">
        <f t="shared" si="170"/>
        <v>0</v>
      </c>
      <c r="Q308" s="159"/>
      <c r="R308" s="111"/>
      <c r="S308" s="111"/>
    </row>
    <row r="309" spans="1:19">
      <c r="A309" s="110" t="s">
        <v>549</v>
      </c>
      <c r="B309" s="111" t="s">
        <v>505</v>
      </c>
      <c r="C309" s="112" t="s">
        <v>449</v>
      </c>
      <c r="D309" s="112"/>
      <c r="E309" s="113" t="s">
        <v>130</v>
      </c>
      <c r="F309" s="175" t="s">
        <v>15</v>
      </c>
      <c r="G309" s="175" t="s">
        <v>41</v>
      </c>
      <c r="H309" s="176">
        <v>11.8</v>
      </c>
      <c r="I309" s="177">
        <v>10</v>
      </c>
      <c r="J309" s="178">
        <v>27</v>
      </c>
      <c r="K309" s="174">
        <f t="shared" si="167"/>
        <v>3.1859999999999999</v>
      </c>
      <c r="L309" s="118"/>
      <c r="M309" s="417">
        <v>27</v>
      </c>
      <c r="N309" s="117">
        <f t="shared" si="168"/>
        <v>3.1859999999999999</v>
      </c>
      <c r="O309" s="119">
        <f t="shared" si="169"/>
        <v>0</v>
      </c>
      <c r="P309" s="120">
        <f t="shared" si="170"/>
        <v>0</v>
      </c>
      <c r="Q309" s="159"/>
      <c r="R309" s="111"/>
      <c r="S309" s="111"/>
    </row>
    <row r="310" spans="1:19">
      <c r="A310" s="110" t="s">
        <v>549</v>
      </c>
      <c r="B310" s="111" t="s">
        <v>505</v>
      </c>
      <c r="C310" s="112" t="s">
        <v>449</v>
      </c>
      <c r="D310" s="112"/>
      <c r="E310" s="113" t="s">
        <v>130</v>
      </c>
      <c r="F310" s="175" t="s">
        <v>15</v>
      </c>
      <c r="G310" s="175" t="s">
        <v>41</v>
      </c>
      <c r="H310" s="176">
        <v>11.8</v>
      </c>
      <c r="I310" s="177">
        <v>10</v>
      </c>
      <c r="J310" s="178">
        <v>2</v>
      </c>
      <c r="K310" s="174">
        <f t="shared" si="167"/>
        <v>0.23599999999999999</v>
      </c>
      <c r="L310" s="118" t="s">
        <v>252</v>
      </c>
      <c r="M310" s="417">
        <v>1</v>
      </c>
      <c r="N310" s="117">
        <f t="shared" si="168"/>
        <v>0.11799999999999999</v>
      </c>
      <c r="O310" s="119">
        <f t="shared" si="169"/>
        <v>1</v>
      </c>
      <c r="P310" s="120">
        <f t="shared" si="170"/>
        <v>0.11799999999999999</v>
      </c>
      <c r="Q310" s="159"/>
      <c r="R310" s="111"/>
      <c r="S310" s="111"/>
    </row>
    <row r="311" spans="1:19">
      <c r="A311" s="110" t="s">
        <v>549</v>
      </c>
      <c r="B311" s="111" t="s">
        <v>505</v>
      </c>
      <c r="C311" s="112" t="s">
        <v>449</v>
      </c>
      <c r="D311" s="112"/>
      <c r="E311" s="113" t="s">
        <v>130</v>
      </c>
      <c r="F311" s="175" t="s">
        <v>15</v>
      </c>
      <c r="G311" s="175" t="s">
        <v>41</v>
      </c>
      <c r="H311" s="176">
        <v>11.8</v>
      </c>
      <c r="I311" s="177">
        <v>9.1999999999999993</v>
      </c>
      <c r="J311" s="178">
        <v>1</v>
      </c>
      <c r="K311" s="174">
        <f t="shared" si="167"/>
        <v>0.10856</v>
      </c>
      <c r="L311" s="118" t="s">
        <v>252</v>
      </c>
      <c r="M311" s="417"/>
      <c r="N311" s="117">
        <f t="shared" si="168"/>
        <v>0</v>
      </c>
      <c r="O311" s="119">
        <f t="shared" si="169"/>
        <v>1</v>
      </c>
      <c r="P311" s="120">
        <f t="shared" si="170"/>
        <v>0.10856</v>
      </c>
      <c r="Q311" s="159"/>
      <c r="R311" s="111"/>
      <c r="S311" s="111"/>
    </row>
    <row r="312" spans="1:19">
      <c r="A312" s="110" t="s">
        <v>549</v>
      </c>
      <c r="B312" s="111" t="s">
        <v>505</v>
      </c>
      <c r="C312" s="112" t="s">
        <v>449</v>
      </c>
      <c r="D312" s="112"/>
      <c r="E312" s="113" t="s">
        <v>130</v>
      </c>
      <c r="F312" s="175" t="s">
        <v>15</v>
      </c>
      <c r="G312" s="175" t="s">
        <v>41</v>
      </c>
      <c r="H312" s="176">
        <v>11.8</v>
      </c>
      <c r="I312" s="177">
        <v>10</v>
      </c>
      <c r="J312" s="178">
        <v>2</v>
      </c>
      <c r="K312" s="174">
        <f t="shared" si="167"/>
        <v>0.23599999999999999</v>
      </c>
      <c r="L312" s="118" t="s">
        <v>252</v>
      </c>
      <c r="M312" s="417"/>
      <c r="N312" s="117">
        <f t="shared" si="168"/>
        <v>0</v>
      </c>
      <c r="O312" s="119">
        <f t="shared" si="169"/>
        <v>2</v>
      </c>
      <c r="P312" s="120">
        <f t="shared" si="170"/>
        <v>0.23599999999999999</v>
      </c>
      <c r="Q312" s="159"/>
      <c r="R312" s="111"/>
      <c r="S312" s="111"/>
    </row>
    <row r="313" spans="1:19">
      <c r="A313" s="110" t="s">
        <v>549</v>
      </c>
      <c r="B313" s="111" t="s">
        <v>505</v>
      </c>
      <c r="C313" s="112" t="s">
        <v>449</v>
      </c>
      <c r="D313" s="112"/>
      <c r="E313" s="113" t="s">
        <v>130</v>
      </c>
      <c r="F313" s="175" t="s">
        <v>15</v>
      </c>
      <c r="G313" s="175" t="s">
        <v>41</v>
      </c>
      <c r="H313" s="176">
        <v>11.8</v>
      </c>
      <c r="I313" s="177">
        <v>12</v>
      </c>
      <c r="J313" s="178">
        <v>1</v>
      </c>
      <c r="K313" s="174">
        <f t="shared" si="167"/>
        <v>0.14160000000000003</v>
      </c>
      <c r="L313" s="118" t="s">
        <v>252</v>
      </c>
      <c r="M313" s="417"/>
      <c r="N313" s="117">
        <f t="shared" si="168"/>
        <v>0</v>
      </c>
      <c r="O313" s="119">
        <f t="shared" si="169"/>
        <v>1</v>
      </c>
      <c r="P313" s="120">
        <f>I313*O313*H313/1000</f>
        <v>0.14160000000000003</v>
      </c>
      <c r="Q313" s="159"/>
      <c r="R313" s="111"/>
      <c r="S313" s="111"/>
    </row>
    <row r="314" spans="1:19" s="213" customFormat="1">
      <c r="A314" s="110" t="s">
        <v>549</v>
      </c>
      <c r="B314" s="111" t="s">
        <v>505</v>
      </c>
      <c r="C314" s="112" t="s">
        <v>449</v>
      </c>
      <c r="D314" s="112"/>
      <c r="E314" s="113" t="s">
        <v>130</v>
      </c>
      <c r="F314" s="175" t="s">
        <v>15</v>
      </c>
      <c r="G314" s="175" t="s">
        <v>41</v>
      </c>
      <c r="H314" s="176">
        <v>11.8</v>
      </c>
      <c r="I314" s="177">
        <v>12</v>
      </c>
      <c r="J314" s="178">
        <v>6</v>
      </c>
      <c r="K314" s="174">
        <f t="shared" si="167"/>
        <v>0.84960000000000013</v>
      </c>
      <c r="L314" s="118"/>
      <c r="M314" s="417">
        <v>1</v>
      </c>
      <c r="N314" s="117">
        <f t="shared" si="168"/>
        <v>0.14160000000000003</v>
      </c>
      <c r="O314" s="119">
        <f t="shared" si="169"/>
        <v>5</v>
      </c>
      <c r="P314" s="120">
        <f t="shared" ref="P314:P315" si="171">I314*O314*H314/1000</f>
        <v>0.70799999999999996</v>
      </c>
      <c r="Q314" s="159"/>
      <c r="R314" s="111"/>
      <c r="S314" s="111"/>
    </row>
    <row r="315" spans="1:19" s="213" customFormat="1">
      <c r="A315" s="110" t="s">
        <v>549</v>
      </c>
      <c r="B315" s="111" t="s">
        <v>505</v>
      </c>
      <c r="C315" s="112" t="s">
        <v>449</v>
      </c>
      <c r="D315" s="112"/>
      <c r="E315" s="113" t="s">
        <v>130</v>
      </c>
      <c r="F315" s="175" t="s">
        <v>15</v>
      </c>
      <c r="G315" s="175" t="s">
        <v>41</v>
      </c>
      <c r="H315" s="176">
        <v>11.8</v>
      </c>
      <c r="I315" s="177">
        <v>11</v>
      </c>
      <c r="J315" s="178">
        <v>1</v>
      </c>
      <c r="K315" s="174">
        <f t="shared" si="167"/>
        <v>0.1298</v>
      </c>
      <c r="L315" s="118"/>
      <c r="M315" s="417"/>
      <c r="N315" s="117">
        <f t="shared" si="168"/>
        <v>0</v>
      </c>
      <c r="O315" s="119">
        <f t="shared" si="169"/>
        <v>1</v>
      </c>
      <c r="P315" s="120">
        <f t="shared" si="171"/>
        <v>0.1298</v>
      </c>
      <c r="Q315" s="159"/>
      <c r="R315" s="111"/>
      <c r="S315" s="111"/>
    </row>
    <row r="316" spans="1:19">
      <c r="J316" s="78">
        <f>SUM(J306:J315)</f>
        <v>97</v>
      </c>
      <c r="K316" s="245">
        <f>SUM(K306:K315)</f>
        <v>11.743360000000003</v>
      </c>
      <c r="M316" s="78">
        <f>SUM(M306:M315)</f>
        <v>86</v>
      </c>
      <c r="N316" s="245">
        <f>SUM(N306:N315)</f>
        <v>10.301400000000001</v>
      </c>
      <c r="O316" s="78">
        <f>SUM(O306:O315)</f>
        <v>11</v>
      </c>
      <c r="P316" s="245">
        <f>SUM(P306:P315)</f>
        <v>1.4419599999999999</v>
      </c>
    </row>
    <row r="318" spans="1:19">
      <c r="A318" s="110" t="s">
        <v>549</v>
      </c>
      <c r="B318" s="111" t="s">
        <v>232</v>
      </c>
      <c r="C318" s="112" t="s">
        <v>449</v>
      </c>
      <c r="D318" s="112"/>
      <c r="E318" s="113" t="s">
        <v>550</v>
      </c>
      <c r="F318" s="175" t="s">
        <v>15</v>
      </c>
      <c r="G318" s="175" t="s">
        <v>41</v>
      </c>
      <c r="H318" s="176">
        <v>11.8</v>
      </c>
      <c r="I318" s="177">
        <v>10.5</v>
      </c>
      <c r="J318" s="178">
        <v>17</v>
      </c>
      <c r="K318" s="174">
        <f t="shared" ref="K318" si="172">(H318*I318*J318/1000)</f>
        <v>2.1063000000000001</v>
      </c>
      <c r="L318" s="118"/>
      <c r="M318" s="178">
        <v>17</v>
      </c>
      <c r="N318" s="117">
        <f t="shared" ref="N318" si="173">I318*M318*H318/1000</f>
        <v>2.1063000000000001</v>
      </c>
      <c r="O318" s="119">
        <f t="shared" ref="O318" si="174">J318-M318</f>
        <v>0</v>
      </c>
      <c r="P318" s="120">
        <f t="shared" ref="P318" si="175">I318*O318*H318/1000</f>
        <v>0</v>
      </c>
      <c r="Q318" s="159"/>
      <c r="R318" s="111"/>
      <c r="S318" s="111"/>
    </row>
    <row r="319" spans="1:19">
      <c r="A319" s="110" t="s">
        <v>549</v>
      </c>
      <c r="B319" s="111" t="s">
        <v>232</v>
      </c>
      <c r="C319" s="112" t="s">
        <v>449</v>
      </c>
      <c r="D319" s="112"/>
      <c r="E319" s="113" t="s">
        <v>550</v>
      </c>
      <c r="F319" s="175" t="s">
        <v>15</v>
      </c>
      <c r="G319" s="175" t="s">
        <v>41</v>
      </c>
      <c r="H319" s="176">
        <v>11.8</v>
      </c>
      <c r="I319" s="177">
        <v>12</v>
      </c>
      <c r="J319" s="178">
        <v>10</v>
      </c>
      <c r="K319" s="174">
        <f t="shared" ref="K319:K321" si="176">(H319*I319*J319/1000)</f>
        <v>1.4160000000000001</v>
      </c>
      <c r="L319" s="118"/>
      <c r="M319" s="178">
        <v>10</v>
      </c>
      <c r="N319" s="117">
        <f t="shared" ref="N319:N321" si="177">I319*M319*H319/1000</f>
        <v>1.4159999999999999</v>
      </c>
      <c r="O319" s="119">
        <f t="shared" ref="O319:O321" si="178">J319-M319</f>
        <v>0</v>
      </c>
      <c r="P319" s="120">
        <f t="shared" ref="P319:P321" si="179">I319*O319*H319/1000</f>
        <v>0</v>
      </c>
      <c r="Q319" s="159"/>
      <c r="R319" s="111"/>
      <c r="S319" s="111"/>
    </row>
    <row r="320" spans="1:19">
      <c r="A320" s="110" t="s">
        <v>549</v>
      </c>
      <c r="B320" s="111" t="s">
        <v>232</v>
      </c>
      <c r="C320" s="112" t="s">
        <v>449</v>
      </c>
      <c r="D320" s="112"/>
      <c r="E320" s="113" t="s">
        <v>550</v>
      </c>
      <c r="F320" s="175" t="s">
        <v>15</v>
      </c>
      <c r="G320" s="175" t="s">
        <v>41</v>
      </c>
      <c r="H320" s="176">
        <v>11.8</v>
      </c>
      <c r="I320" s="177">
        <v>10.3</v>
      </c>
      <c r="J320" s="178">
        <v>2</v>
      </c>
      <c r="K320" s="174">
        <f t="shared" si="176"/>
        <v>0.24308000000000005</v>
      </c>
      <c r="L320" s="118"/>
      <c r="M320" s="178"/>
      <c r="N320" s="117">
        <f t="shared" si="177"/>
        <v>0</v>
      </c>
      <c r="O320" s="119">
        <f t="shared" si="178"/>
        <v>2</v>
      </c>
      <c r="P320" s="120">
        <f t="shared" si="179"/>
        <v>0.24308000000000005</v>
      </c>
      <c r="Q320" s="159"/>
      <c r="R320" s="111"/>
      <c r="S320" s="111"/>
    </row>
    <row r="321" spans="1:19">
      <c r="A321" s="110" t="s">
        <v>549</v>
      </c>
      <c r="B321" s="111" t="s">
        <v>232</v>
      </c>
      <c r="C321" s="112" t="s">
        <v>449</v>
      </c>
      <c r="D321" s="112"/>
      <c r="E321" s="113" t="s">
        <v>550</v>
      </c>
      <c r="F321" s="175" t="s">
        <v>15</v>
      </c>
      <c r="G321" s="175" t="s">
        <v>41</v>
      </c>
      <c r="H321" s="176">
        <v>11.8</v>
      </c>
      <c r="I321" s="177">
        <v>12</v>
      </c>
      <c r="J321" s="178">
        <v>1</v>
      </c>
      <c r="K321" s="174">
        <f t="shared" si="176"/>
        <v>0.14160000000000003</v>
      </c>
      <c r="L321" s="118"/>
      <c r="M321" s="178"/>
      <c r="N321" s="117">
        <f t="shared" si="177"/>
        <v>0</v>
      </c>
      <c r="O321" s="119">
        <f t="shared" si="178"/>
        <v>1</v>
      </c>
      <c r="P321" s="120">
        <f t="shared" si="179"/>
        <v>0.14160000000000003</v>
      </c>
      <c r="Q321" s="159"/>
      <c r="R321" s="111"/>
      <c r="S321" s="111"/>
    </row>
    <row r="322" spans="1:19">
      <c r="J322" s="78">
        <f>SUM(J318:J321)</f>
        <v>30</v>
      </c>
      <c r="K322" s="214">
        <f>SUM(K318:K321)</f>
        <v>3.9069800000000003</v>
      </c>
      <c r="M322" s="78">
        <f>SUM(M318:M321)</f>
        <v>27</v>
      </c>
      <c r="N322" s="214">
        <f>SUM(N318:N321)</f>
        <v>3.5223</v>
      </c>
      <c r="O322" s="78">
        <f>SUM(O318:O321)</f>
        <v>3</v>
      </c>
      <c r="P322" s="214">
        <f>SUM(P318:P321)</f>
        <v>0.38468000000000008</v>
      </c>
    </row>
    <row r="325" spans="1:19">
      <c r="A325" s="110" t="s">
        <v>549</v>
      </c>
      <c r="B325" s="111" t="s">
        <v>505</v>
      </c>
      <c r="C325" s="112" t="s">
        <v>449</v>
      </c>
      <c r="D325" s="112"/>
      <c r="E325" s="113" t="s">
        <v>17</v>
      </c>
      <c r="F325" s="175" t="s">
        <v>15</v>
      </c>
      <c r="G325" s="175" t="s">
        <v>44</v>
      </c>
      <c r="H325" s="176">
        <v>13.4</v>
      </c>
      <c r="I325" s="177">
        <v>10</v>
      </c>
      <c r="J325" s="178">
        <v>16</v>
      </c>
      <c r="K325" s="174">
        <f t="shared" ref="K325" si="180">(H325*I325*J325/1000)</f>
        <v>2.1440000000000001</v>
      </c>
      <c r="L325" s="118"/>
      <c r="M325" s="178">
        <v>16</v>
      </c>
      <c r="N325" s="117">
        <f t="shared" ref="N325" si="181">I325*M325*H325/1000</f>
        <v>2.1440000000000001</v>
      </c>
      <c r="O325" s="119">
        <f t="shared" ref="O325" si="182">J325-M325</f>
        <v>0</v>
      </c>
      <c r="P325" s="120">
        <f t="shared" ref="P325" si="183">I325*O325*H325/1000</f>
        <v>0</v>
      </c>
      <c r="Q325" s="159"/>
      <c r="R325" s="111"/>
      <c r="S325" s="111"/>
    </row>
    <row r="326" spans="1:19">
      <c r="A326" s="110" t="s">
        <v>549</v>
      </c>
      <c r="B326" s="111" t="s">
        <v>505</v>
      </c>
      <c r="C326" s="112" t="s">
        <v>449</v>
      </c>
      <c r="D326" s="112"/>
      <c r="E326" s="113" t="s">
        <v>17</v>
      </c>
      <c r="F326" s="175" t="s">
        <v>15</v>
      </c>
      <c r="G326" s="175" t="s">
        <v>44</v>
      </c>
      <c r="H326" s="176">
        <v>13.4</v>
      </c>
      <c r="I326" s="177">
        <v>10.5</v>
      </c>
      <c r="J326" s="178">
        <v>17</v>
      </c>
      <c r="K326" s="174">
        <f t="shared" ref="K326:K342" si="184">(H326*I326*J326/1000)</f>
        <v>2.3919000000000001</v>
      </c>
      <c r="L326" s="118"/>
      <c r="M326" s="178">
        <v>17</v>
      </c>
      <c r="N326" s="117">
        <f t="shared" ref="N326:N342" si="185">I326*M326*H326/1000</f>
        <v>2.3919000000000001</v>
      </c>
      <c r="O326" s="119">
        <f t="shared" ref="O326:O342" si="186">J326-M326</f>
        <v>0</v>
      </c>
      <c r="P326" s="120">
        <f t="shared" ref="P326:P342" si="187">I326*O326*H326/1000</f>
        <v>0</v>
      </c>
      <c r="Q326" s="159"/>
      <c r="R326" s="111"/>
      <c r="S326" s="111"/>
    </row>
    <row r="327" spans="1:19">
      <c r="A327" s="110" t="s">
        <v>549</v>
      </c>
      <c r="B327" s="111" t="s">
        <v>505</v>
      </c>
      <c r="C327" s="112" t="s">
        <v>449</v>
      </c>
      <c r="D327" s="112"/>
      <c r="E327" s="113" t="s">
        <v>17</v>
      </c>
      <c r="F327" s="175" t="s">
        <v>15</v>
      </c>
      <c r="G327" s="175" t="s">
        <v>44</v>
      </c>
      <c r="H327" s="176">
        <v>13.4</v>
      </c>
      <c r="I327" s="177">
        <v>11.5</v>
      </c>
      <c r="J327" s="178">
        <v>20</v>
      </c>
      <c r="K327" s="174">
        <f t="shared" si="184"/>
        <v>3.0819999999999999</v>
      </c>
      <c r="L327" s="118"/>
      <c r="M327" s="178">
        <v>20</v>
      </c>
      <c r="N327" s="117">
        <f t="shared" si="185"/>
        <v>3.0819999999999999</v>
      </c>
      <c r="O327" s="119">
        <f t="shared" si="186"/>
        <v>0</v>
      </c>
      <c r="P327" s="120">
        <f t="shared" si="187"/>
        <v>0</v>
      </c>
      <c r="Q327" s="159"/>
      <c r="R327" s="111"/>
      <c r="S327" s="111"/>
    </row>
    <row r="328" spans="1:19">
      <c r="A328" s="110" t="s">
        <v>549</v>
      </c>
      <c r="B328" s="111" t="s">
        <v>505</v>
      </c>
      <c r="C328" s="112" t="s">
        <v>449</v>
      </c>
      <c r="D328" s="112"/>
      <c r="E328" s="113" t="s">
        <v>17</v>
      </c>
      <c r="F328" s="175" t="s">
        <v>15</v>
      </c>
      <c r="G328" s="175" t="s">
        <v>44</v>
      </c>
      <c r="H328" s="176">
        <v>13.4</v>
      </c>
      <c r="I328" s="177">
        <v>11.5</v>
      </c>
      <c r="J328" s="178">
        <v>6</v>
      </c>
      <c r="K328" s="174">
        <f t="shared" si="184"/>
        <v>0.92459999999999987</v>
      </c>
      <c r="L328" s="118"/>
      <c r="M328" s="178">
        <v>6</v>
      </c>
      <c r="N328" s="117">
        <f t="shared" si="185"/>
        <v>0.92459999999999998</v>
      </c>
      <c r="O328" s="119">
        <f t="shared" si="186"/>
        <v>0</v>
      </c>
      <c r="P328" s="120">
        <f t="shared" si="187"/>
        <v>0</v>
      </c>
      <c r="Q328" s="159"/>
      <c r="R328" s="111"/>
      <c r="S328" s="111"/>
    </row>
    <row r="329" spans="1:19">
      <c r="A329" s="110" t="s">
        <v>549</v>
      </c>
      <c r="B329" s="111" t="s">
        <v>505</v>
      </c>
      <c r="C329" s="112" t="s">
        <v>449</v>
      </c>
      <c r="D329" s="112"/>
      <c r="E329" s="113" t="s">
        <v>17</v>
      </c>
      <c r="F329" s="175" t="s">
        <v>15</v>
      </c>
      <c r="G329" s="175" t="s">
        <v>44</v>
      </c>
      <c r="H329" s="176">
        <v>13.4</v>
      </c>
      <c r="I329" s="177">
        <v>12</v>
      </c>
      <c r="J329" s="178">
        <v>9</v>
      </c>
      <c r="K329" s="174">
        <f t="shared" si="184"/>
        <v>1.4472</v>
      </c>
      <c r="L329" s="118"/>
      <c r="M329" s="178">
        <v>9</v>
      </c>
      <c r="N329" s="117">
        <f t="shared" si="185"/>
        <v>1.4472</v>
      </c>
      <c r="O329" s="119">
        <f t="shared" si="186"/>
        <v>0</v>
      </c>
      <c r="P329" s="120">
        <f t="shared" si="187"/>
        <v>0</v>
      </c>
      <c r="Q329" s="159"/>
      <c r="R329" s="111"/>
      <c r="S329" s="111"/>
    </row>
    <row r="330" spans="1:19">
      <c r="A330" s="110" t="s">
        <v>549</v>
      </c>
      <c r="B330" s="111" t="s">
        <v>505</v>
      </c>
      <c r="C330" s="112" t="s">
        <v>449</v>
      </c>
      <c r="D330" s="112"/>
      <c r="E330" s="113" t="s">
        <v>17</v>
      </c>
      <c r="F330" s="175" t="s">
        <v>15</v>
      </c>
      <c r="G330" s="175" t="s">
        <v>44</v>
      </c>
      <c r="H330" s="176">
        <v>13.4</v>
      </c>
      <c r="I330" s="177">
        <v>12</v>
      </c>
      <c r="J330" s="178">
        <v>20</v>
      </c>
      <c r="K330" s="174">
        <f t="shared" si="184"/>
        <v>3.2160000000000002</v>
      </c>
      <c r="L330" s="118"/>
      <c r="M330" s="178">
        <v>20</v>
      </c>
      <c r="N330" s="117">
        <f t="shared" si="185"/>
        <v>3.2160000000000002</v>
      </c>
      <c r="O330" s="119">
        <f t="shared" si="186"/>
        <v>0</v>
      </c>
      <c r="P330" s="120">
        <f t="shared" si="187"/>
        <v>0</v>
      </c>
      <c r="Q330" s="159"/>
      <c r="R330" s="111"/>
      <c r="S330" s="111"/>
    </row>
    <row r="331" spans="1:19">
      <c r="A331" s="110" t="s">
        <v>549</v>
      </c>
      <c r="B331" s="111" t="s">
        <v>505</v>
      </c>
      <c r="C331" s="112" t="s">
        <v>449</v>
      </c>
      <c r="D331" s="112"/>
      <c r="E331" s="113" t="s">
        <v>17</v>
      </c>
      <c r="F331" s="175" t="s">
        <v>15</v>
      </c>
      <c r="G331" s="175" t="s">
        <v>44</v>
      </c>
      <c r="H331" s="176">
        <v>13.4</v>
      </c>
      <c r="I331" s="177">
        <v>12</v>
      </c>
      <c r="J331" s="178">
        <v>20</v>
      </c>
      <c r="K331" s="174">
        <f t="shared" si="184"/>
        <v>3.2160000000000002</v>
      </c>
      <c r="L331" s="118"/>
      <c r="M331" s="178">
        <v>20</v>
      </c>
      <c r="N331" s="117">
        <f t="shared" si="185"/>
        <v>3.2160000000000002</v>
      </c>
      <c r="O331" s="119">
        <f t="shared" si="186"/>
        <v>0</v>
      </c>
      <c r="P331" s="120">
        <f t="shared" si="187"/>
        <v>0</v>
      </c>
      <c r="Q331" s="159"/>
      <c r="R331" s="111"/>
      <c r="S331" s="111"/>
    </row>
    <row r="332" spans="1:19">
      <c r="A332" s="110" t="s">
        <v>549</v>
      </c>
      <c r="B332" s="111" t="s">
        <v>505</v>
      </c>
      <c r="C332" s="112" t="s">
        <v>449</v>
      </c>
      <c r="D332" s="112"/>
      <c r="E332" s="113" t="s">
        <v>17</v>
      </c>
      <c r="F332" s="175" t="s">
        <v>15</v>
      </c>
      <c r="G332" s="175" t="s">
        <v>44</v>
      </c>
      <c r="H332" s="176">
        <v>13.4</v>
      </c>
      <c r="I332" s="177">
        <v>11.5</v>
      </c>
      <c r="J332" s="178">
        <v>1</v>
      </c>
      <c r="K332" s="174">
        <f t="shared" si="184"/>
        <v>0.15409999999999999</v>
      </c>
      <c r="L332" s="118"/>
      <c r="M332" s="178">
        <v>1</v>
      </c>
      <c r="N332" s="117">
        <f t="shared" si="185"/>
        <v>0.15409999999999999</v>
      </c>
      <c r="O332" s="119">
        <f t="shared" si="186"/>
        <v>0</v>
      </c>
      <c r="P332" s="120">
        <f t="shared" si="187"/>
        <v>0</v>
      </c>
      <c r="Q332" s="159"/>
      <c r="R332" s="111"/>
      <c r="S332" s="111"/>
    </row>
    <row r="333" spans="1:19">
      <c r="A333" s="110" t="s">
        <v>549</v>
      </c>
      <c r="B333" s="111" t="s">
        <v>505</v>
      </c>
      <c r="C333" s="112" t="s">
        <v>449</v>
      </c>
      <c r="D333" s="112"/>
      <c r="E333" s="113" t="s">
        <v>17</v>
      </c>
      <c r="F333" s="175" t="s">
        <v>15</v>
      </c>
      <c r="G333" s="175" t="s">
        <v>44</v>
      </c>
      <c r="H333" s="176">
        <v>13.4</v>
      </c>
      <c r="I333" s="177">
        <v>6.9</v>
      </c>
      <c r="J333" s="178">
        <v>1</v>
      </c>
      <c r="K333" s="174">
        <f t="shared" si="184"/>
        <v>9.2460000000000014E-2</v>
      </c>
      <c r="L333" s="118"/>
      <c r="M333" s="178"/>
      <c r="N333" s="117">
        <f t="shared" si="185"/>
        <v>0</v>
      </c>
      <c r="O333" s="119">
        <f t="shared" si="186"/>
        <v>1</v>
      </c>
      <c r="P333" s="120">
        <f t="shared" si="187"/>
        <v>9.2460000000000014E-2</v>
      </c>
      <c r="Q333" s="159"/>
      <c r="R333" s="111"/>
      <c r="S333" s="111"/>
    </row>
    <row r="334" spans="1:19">
      <c r="A334" s="110" t="s">
        <v>549</v>
      </c>
      <c r="B334" s="111" t="s">
        <v>505</v>
      </c>
      <c r="C334" s="112" t="s">
        <v>449</v>
      </c>
      <c r="D334" s="112"/>
      <c r="E334" s="113" t="s">
        <v>17</v>
      </c>
      <c r="F334" s="175" t="s">
        <v>15</v>
      </c>
      <c r="G334" s="175" t="s">
        <v>44</v>
      </c>
      <c r="H334" s="176">
        <v>13.4</v>
      </c>
      <c r="I334" s="177">
        <v>7.1</v>
      </c>
      <c r="J334" s="178">
        <v>1</v>
      </c>
      <c r="K334" s="174">
        <f t="shared" si="184"/>
        <v>9.5140000000000002E-2</v>
      </c>
      <c r="L334" s="118"/>
      <c r="M334" s="178"/>
      <c r="N334" s="117">
        <f t="shared" si="185"/>
        <v>0</v>
      </c>
      <c r="O334" s="119">
        <f t="shared" si="186"/>
        <v>1</v>
      </c>
      <c r="P334" s="120">
        <f t="shared" si="187"/>
        <v>9.5140000000000002E-2</v>
      </c>
      <c r="Q334" s="159"/>
      <c r="R334" s="111"/>
      <c r="S334" s="111"/>
    </row>
    <row r="335" spans="1:19">
      <c r="A335" s="110" t="s">
        <v>549</v>
      </c>
      <c r="B335" s="111" t="s">
        <v>505</v>
      </c>
      <c r="C335" s="112" t="s">
        <v>449</v>
      </c>
      <c r="D335" s="112"/>
      <c r="E335" s="113" t="s">
        <v>17</v>
      </c>
      <c r="F335" s="175" t="s">
        <v>15</v>
      </c>
      <c r="G335" s="175" t="s">
        <v>44</v>
      </c>
      <c r="H335" s="176">
        <v>13.4</v>
      </c>
      <c r="I335" s="177">
        <v>11.5</v>
      </c>
      <c r="J335" s="178">
        <v>20</v>
      </c>
      <c r="K335" s="174">
        <f t="shared" si="184"/>
        <v>3.0819999999999999</v>
      </c>
      <c r="L335" s="118"/>
      <c r="M335" s="178">
        <v>20</v>
      </c>
      <c r="N335" s="117">
        <f t="shared" si="185"/>
        <v>3.0819999999999999</v>
      </c>
      <c r="O335" s="119">
        <f t="shared" si="186"/>
        <v>0</v>
      </c>
      <c r="P335" s="120">
        <f t="shared" si="187"/>
        <v>0</v>
      </c>
      <c r="Q335" s="159"/>
      <c r="R335" s="111"/>
      <c r="S335" s="111"/>
    </row>
    <row r="336" spans="1:19">
      <c r="A336" s="110" t="s">
        <v>549</v>
      </c>
      <c r="B336" s="111" t="s">
        <v>505</v>
      </c>
      <c r="C336" s="112" t="s">
        <v>449</v>
      </c>
      <c r="D336" s="112"/>
      <c r="E336" s="113" t="s">
        <v>17</v>
      </c>
      <c r="F336" s="175" t="s">
        <v>15</v>
      </c>
      <c r="G336" s="175" t="s">
        <v>44</v>
      </c>
      <c r="H336" s="176">
        <v>13.4</v>
      </c>
      <c r="I336" s="177">
        <v>11.5</v>
      </c>
      <c r="J336" s="178">
        <v>20</v>
      </c>
      <c r="K336" s="174">
        <f t="shared" si="184"/>
        <v>3.0819999999999999</v>
      </c>
      <c r="L336" s="118"/>
      <c r="M336" s="178">
        <v>20</v>
      </c>
      <c r="N336" s="117">
        <f t="shared" si="185"/>
        <v>3.0819999999999999</v>
      </c>
      <c r="O336" s="119">
        <f t="shared" si="186"/>
        <v>0</v>
      </c>
      <c r="P336" s="120">
        <f t="shared" si="187"/>
        <v>0</v>
      </c>
      <c r="Q336" s="159"/>
      <c r="R336" s="111"/>
      <c r="S336" s="111"/>
    </row>
    <row r="337" spans="1:19">
      <c r="A337" s="110" t="s">
        <v>549</v>
      </c>
      <c r="B337" s="111" t="s">
        <v>505</v>
      </c>
      <c r="C337" s="112" t="s">
        <v>449</v>
      </c>
      <c r="D337" s="112"/>
      <c r="E337" s="113" t="s">
        <v>17</v>
      </c>
      <c r="F337" s="175" t="s">
        <v>15</v>
      </c>
      <c r="G337" s="175" t="s">
        <v>44</v>
      </c>
      <c r="H337" s="176">
        <v>13.4</v>
      </c>
      <c r="I337" s="177">
        <v>10.5</v>
      </c>
      <c r="J337" s="178">
        <v>21</v>
      </c>
      <c r="K337" s="174">
        <f t="shared" si="184"/>
        <v>2.9547000000000003</v>
      </c>
      <c r="L337" s="118"/>
      <c r="M337" s="178">
        <v>21</v>
      </c>
      <c r="N337" s="117">
        <f t="shared" si="185"/>
        <v>2.9547000000000003</v>
      </c>
      <c r="O337" s="119">
        <f t="shared" si="186"/>
        <v>0</v>
      </c>
      <c r="P337" s="120">
        <f t="shared" si="187"/>
        <v>0</v>
      </c>
      <c r="Q337" s="159"/>
      <c r="R337" s="111"/>
      <c r="S337" s="111"/>
    </row>
    <row r="338" spans="1:19">
      <c r="A338" s="110" t="s">
        <v>549</v>
      </c>
      <c r="B338" s="111" t="s">
        <v>505</v>
      </c>
      <c r="C338" s="112" t="s">
        <v>449</v>
      </c>
      <c r="D338" s="112"/>
      <c r="E338" s="113" t="s">
        <v>17</v>
      </c>
      <c r="F338" s="175" t="s">
        <v>15</v>
      </c>
      <c r="G338" s="175" t="s">
        <v>44</v>
      </c>
      <c r="H338" s="176">
        <v>13.4</v>
      </c>
      <c r="I338" s="177">
        <v>12</v>
      </c>
      <c r="J338" s="178">
        <v>21</v>
      </c>
      <c r="K338" s="174">
        <f t="shared" si="184"/>
        <v>3.3768000000000002</v>
      </c>
      <c r="L338" s="118"/>
      <c r="M338" s="178">
        <v>21</v>
      </c>
      <c r="N338" s="117">
        <f t="shared" si="185"/>
        <v>3.3768000000000002</v>
      </c>
      <c r="O338" s="119">
        <f t="shared" si="186"/>
        <v>0</v>
      </c>
      <c r="P338" s="120">
        <f t="shared" si="187"/>
        <v>0</v>
      </c>
      <c r="Q338" s="159"/>
      <c r="R338" s="111"/>
      <c r="S338" s="111"/>
    </row>
    <row r="339" spans="1:19">
      <c r="A339" s="110" t="s">
        <v>549</v>
      </c>
      <c r="B339" s="111" t="s">
        <v>505</v>
      </c>
      <c r="C339" s="112" t="s">
        <v>449</v>
      </c>
      <c r="D339" s="112"/>
      <c r="E339" s="113" t="s">
        <v>17</v>
      </c>
      <c r="F339" s="175" t="s">
        <v>15</v>
      </c>
      <c r="G339" s="175" t="s">
        <v>44</v>
      </c>
      <c r="H339" s="176">
        <v>13.4</v>
      </c>
      <c r="I339" s="177">
        <v>12</v>
      </c>
      <c r="J339" s="178">
        <v>2</v>
      </c>
      <c r="K339" s="174">
        <f t="shared" si="184"/>
        <v>0.3216</v>
      </c>
      <c r="L339" s="118"/>
      <c r="M339" s="178">
        <v>2</v>
      </c>
      <c r="N339" s="117">
        <f t="shared" si="185"/>
        <v>0.3216</v>
      </c>
      <c r="O339" s="119">
        <f t="shared" si="186"/>
        <v>0</v>
      </c>
      <c r="P339" s="120">
        <f t="shared" si="187"/>
        <v>0</v>
      </c>
      <c r="Q339" s="159"/>
      <c r="R339" s="111"/>
      <c r="S339" s="111"/>
    </row>
    <row r="340" spans="1:19">
      <c r="A340" s="110" t="s">
        <v>549</v>
      </c>
      <c r="B340" s="111" t="s">
        <v>505</v>
      </c>
      <c r="C340" s="112" t="s">
        <v>449</v>
      </c>
      <c r="D340" s="112"/>
      <c r="E340" s="113" t="s">
        <v>17</v>
      </c>
      <c r="F340" s="175" t="s">
        <v>15</v>
      </c>
      <c r="G340" s="175" t="s">
        <v>44</v>
      </c>
      <c r="H340" s="176">
        <v>13.4</v>
      </c>
      <c r="I340" s="177">
        <v>11.5</v>
      </c>
      <c r="J340" s="178">
        <v>18</v>
      </c>
      <c r="K340" s="174">
        <f t="shared" si="184"/>
        <v>2.7737999999999996</v>
      </c>
      <c r="L340" s="118"/>
      <c r="M340" s="178">
        <v>18</v>
      </c>
      <c r="N340" s="117">
        <f t="shared" si="185"/>
        <v>2.7738</v>
      </c>
      <c r="O340" s="119">
        <f t="shared" si="186"/>
        <v>0</v>
      </c>
      <c r="P340" s="120">
        <f t="shared" si="187"/>
        <v>0</v>
      </c>
      <c r="Q340" s="159"/>
      <c r="R340" s="111"/>
      <c r="S340" s="111"/>
    </row>
    <row r="341" spans="1:19">
      <c r="A341" s="110" t="s">
        <v>549</v>
      </c>
      <c r="B341" s="111" t="s">
        <v>505</v>
      </c>
      <c r="C341" s="112" t="s">
        <v>449</v>
      </c>
      <c r="D341" s="112"/>
      <c r="E341" s="113" t="s">
        <v>17</v>
      </c>
      <c r="F341" s="175" t="s">
        <v>15</v>
      </c>
      <c r="G341" s="175" t="s">
        <v>44</v>
      </c>
      <c r="H341" s="176">
        <v>13.4</v>
      </c>
      <c r="I341" s="177">
        <v>10.5</v>
      </c>
      <c r="J341" s="178">
        <v>13</v>
      </c>
      <c r="K341" s="174">
        <f t="shared" si="184"/>
        <v>1.8291000000000002</v>
      </c>
      <c r="L341" s="118"/>
      <c r="M341" s="178">
        <v>10</v>
      </c>
      <c r="N341" s="117">
        <f t="shared" si="185"/>
        <v>1.407</v>
      </c>
      <c r="O341" s="119">
        <f t="shared" si="186"/>
        <v>3</v>
      </c>
      <c r="P341" s="120">
        <f t="shared" si="187"/>
        <v>0.42210000000000003</v>
      </c>
      <c r="Q341" s="159"/>
      <c r="R341" s="111"/>
      <c r="S341" s="111"/>
    </row>
    <row r="342" spans="1:19">
      <c r="A342" s="110" t="s">
        <v>549</v>
      </c>
      <c r="B342" s="111" t="s">
        <v>505</v>
      </c>
      <c r="C342" s="112" t="s">
        <v>449</v>
      </c>
      <c r="D342" s="112"/>
      <c r="E342" s="113" t="s">
        <v>17</v>
      </c>
      <c r="F342" s="175" t="s">
        <v>15</v>
      </c>
      <c r="G342" s="175" t="s">
        <v>44</v>
      </c>
      <c r="H342" s="176">
        <v>13.4</v>
      </c>
      <c r="I342" s="177">
        <v>10</v>
      </c>
      <c r="J342" s="178">
        <v>10</v>
      </c>
      <c r="K342" s="174">
        <f t="shared" si="184"/>
        <v>1.34</v>
      </c>
      <c r="L342" s="118"/>
      <c r="M342" s="178">
        <v>9</v>
      </c>
      <c r="N342" s="117">
        <f t="shared" si="185"/>
        <v>1.206</v>
      </c>
      <c r="O342" s="119">
        <f t="shared" si="186"/>
        <v>1</v>
      </c>
      <c r="P342" s="120">
        <f t="shared" si="187"/>
        <v>0.13400000000000001</v>
      </c>
      <c r="Q342" s="159"/>
      <c r="R342" s="111"/>
      <c r="S342" s="111"/>
    </row>
    <row r="343" spans="1:19">
      <c r="A343" s="110" t="s">
        <v>549</v>
      </c>
      <c r="B343" s="111" t="s">
        <v>505</v>
      </c>
      <c r="C343" s="112" t="s">
        <v>449</v>
      </c>
      <c r="D343" s="112"/>
      <c r="E343" s="113" t="s">
        <v>17</v>
      </c>
      <c r="F343" s="175" t="s">
        <v>15</v>
      </c>
      <c r="G343" s="175" t="s">
        <v>44</v>
      </c>
      <c r="H343" s="176">
        <v>13.4</v>
      </c>
      <c r="I343" s="179">
        <v>11.5</v>
      </c>
      <c r="J343" s="416">
        <v>1</v>
      </c>
      <c r="K343" s="174">
        <f t="shared" ref="K343:K345" si="188">(H343*I343*J343/1000)</f>
        <v>0.15409999999999999</v>
      </c>
      <c r="L343" s="118"/>
      <c r="M343" s="178">
        <v>1</v>
      </c>
      <c r="N343" s="117">
        <f t="shared" ref="N343:N345" si="189">I343*M343*H343/1000</f>
        <v>0.15409999999999999</v>
      </c>
      <c r="O343" s="119">
        <f t="shared" ref="O343:O345" si="190">J343-M343</f>
        <v>0</v>
      </c>
      <c r="P343" s="120">
        <f t="shared" ref="P343:P345" si="191">I343*O343*H343/1000</f>
        <v>0</v>
      </c>
      <c r="Q343" s="159"/>
      <c r="R343" s="111"/>
      <c r="S343" s="111"/>
    </row>
    <row r="344" spans="1:19">
      <c r="A344" s="110" t="s">
        <v>549</v>
      </c>
      <c r="B344" s="111" t="s">
        <v>505</v>
      </c>
      <c r="C344" s="112" t="s">
        <v>449</v>
      </c>
      <c r="D344" s="112"/>
      <c r="E344" s="113" t="s">
        <v>17</v>
      </c>
      <c r="F344" s="175" t="s">
        <v>15</v>
      </c>
      <c r="G344" s="175" t="s">
        <v>44</v>
      </c>
      <c r="H344" s="176">
        <v>13.4</v>
      </c>
      <c r="I344" s="179">
        <v>11.3</v>
      </c>
      <c r="J344" s="416">
        <v>1</v>
      </c>
      <c r="K344" s="174">
        <f t="shared" si="188"/>
        <v>0.15142000000000003</v>
      </c>
      <c r="L344" s="118"/>
      <c r="M344" s="178">
        <v>1</v>
      </c>
      <c r="N344" s="117">
        <f t="shared" si="189"/>
        <v>0.15142000000000003</v>
      </c>
      <c r="O344" s="119">
        <f t="shared" si="190"/>
        <v>0</v>
      </c>
      <c r="P344" s="120">
        <f t="shared" si="191"/>
        <v>0</v>
      </c>
      <c r="Q344" s="159">
        <v>11.5</v>
      </c>
      <c r="R344" s="111">
        <v>1</v>
      </c>
      <c r="S344" s="111"/>
    </row>
    <row r="345" spans="1:19">
      <c r="A345" s="110" t="s">
        <v>549</v>
      </c>
      <c r="B345" s="111" t="s">
        <v>505</v>
      </c>
      <c r="C345" s="112" t="s">
        <v>449</v>
      </c>
      <c r="D345" s="112"/>
      <c r="E345" s="113" t="s">
        <v>17</v>
      </c>
      <c r="F345" s="175" t="s">
        <v>15</v>
      </c>
      <c r="G345" s="175" t="s">
        <v>44</v>
      </c>
      <c r="H345" s="176">
        <v>13.4</v>
      </c>
      <c r="I345" s="179">
        <v>9.8000000000000007</v>
      </c>
      <c r="J345" s="416">
        <v>1</v>
      </c>
      <c r="K345" s="174">
        <f t="shared" si="188"/>
        <v>0.13132000000000002</v>
      </c>
      <c r="L345" s="118"/>
      <c r="M345" s="178"/>
      <c r="N345" s="117">
        <f t="shared" si="189"/>
        <v>0</v>
      </c>
      <c r="O345" s="119">
        <f t="shared" si="190"/>
        <v>1</v>
      </c>
      <c r="P345" s="120">
        <f t="shared" si="191"/>
        <v>0.13132000000000002</v>
      </c>
      <c r="Q345" s="159"/>
      <c r="R345" s="111"/>
      <c r="S345" s="111"/>
    </row>
    <row r="346" spans="1:19">
      <c r="J346" s="215">
        <f>SUM(J325:J345)</f>
        <v>239</v>
      </c>
      <c r="K346" s="214">
        <f>SUM(K325:K345)</f>
        <v>35.960240000000006</v>
      </c>
      <c r="M346" s="215">
        <f>SUM(M325:M345)</f>
        <v>232</v>
      </c>
      <c r="N346" s="214">
        <f>SUM(N325:N345)</f>
        <v>35.085220000000007</v>
      </c>
      <c r="O346" s="78">
        <f>SUM(O325:O345)</f>
        <v>7</v>
      </c>
      <c r="P346" s="128">
        <f>SUM(P325:P345)</f>
        <v>0.87502000000000002</v>
      </c>
    </row>
    <row r="348" spans="1:19">
      <c r="A348" s="110" t="s">
        <v>549</v>
      </c>
      <c r="B348" s="111" t="s">
        <v>505</v>
      </c>
      <c r="C348" s="112" t="s">
        <v>449</v>
      </c>
      <c r="D348" s="112"/>
      <c r="E348" s="113" t="s">
        <v>17</v>
      </c>
      <c r="F348" s="175" t="s">
        <v>15</v>
      </c>
      <c r="G348" s="175" t="s">
        <v>41</v>
      </c>
      <c r="H348" s="176">
        <v>11.8</v>
      </c>
      <c r="I348" s="177">
        <v>10.5</v>
      </c>
      <c r="J348" s="178">
        <v>2</v>
      </c>
      <c r="K348" s="174">
        <f t="shared" ref="K348" si="192">(H348*I348*J348/1000)</f>
        <v>0.24780000000000002</v>
      </c>
      <c r="L348" s="118"/>
      <c r="M348" s="178">
        <v>2</v>
      </c>
      <c r="N348" s="117">
        <f t="shared" ref="N348" si="193">I348*M348*H348/1000</f>
        <v>0.24780000000000002</v>
      </c>
      <c r="O348" s="119">
        <f t="shared" ref="O348" si="194">J348-M348</f>
        <v>0</v>
      </c>
      <c r="P348" s="120">
        <f t="shared" ref="P348" si="195">I348*O348*H348/1000</f>
        <v>0</v>
      </c>
      <c r="Q348" s="159"/>
      <c r="R348" s="111"/>
      <c r="S348" s="111"/>
    </row>
    <row r="349" spans="1:19">
      <c r="A349" s="110" t="s">
        <v>549</v>
      </c>
      <c r="B349" s="111" t="s">
        <v>505</v>
      </c>
      <c r="C349" s="112" t="s">
        <v>449</v>
      </c>
      <c r="D349" s="112"/>
      <c r="E349" s="113" t="s">
        <v>17</v>
      </c>
      <c r="F349" s="175" t="s">
        <v>15</v>
      </c>
      <c r="G349" s="175" t="s">
        <v>41</v>
      </c>
      <c r="H349" s="176">
        <v>11.8</v>
      </c>
      <c r="I349" s="177">
        <v>10.8</v>
      </c>
      <c r="J349" s="178">
        <v>12</v>
      </c>
      <c r="K349" s="174">
        <f t="shared" ref="K349:K362" si="196">(H349*I349*J349/1000)</f>
        <v>1.5292800000000002</v>
      </c>
      <c r="L349" s="118"/>
      <c r="M349" s="178">
        <v>12</v>
      </c>
      <c r="N349" s="117">
        <f t="shared" ref="N349:N362" si="197">I349*M349*H349/1000</f>
        <v>1.5292800000000004</v>
      </c>
      <c r="O349" s="119">
        <f t="shared" ref="O349:O362" si="198">J349-M349</f>
        <v>0</v>
      </c>
      <c r="P349" s="120">
        <f t="shared" ref="P349:P362" si="199">I349*O349*H349/1000</f>
        <v>0</v>
      </c>
      <c r="Q349" s="159"/>
      <c r="R349" s="111"/>
      <c r="S349" s="111"/>
    </row>
    <row r="350" spans="1:19">
      <c r="A350" s="110" t="s">
        <v>549</v>
      </c>
      <c r="B350" s="111" t="s">
        <v>505</v>
      </c>
      <c r="C350" s="112" t="s">
        <v>449</v>
      </c>
      <c r="D350" s="112"/>
      <c r="E350" s="113" t="s">
        <v>17</v>
      </c>
      <c r="F350" s="175" t="s">
        <v>15</v>
      </c>
      <c r="G350" s="175" t="s">
        <v>41</v>
      </c>
      <c r="H350" s="176">
        <v>11.8</v>
      </c>
      <c r="I350" s="177">
        <v>10.8</v>
      </c>
      <c r="J350" s="178">
        <v>20</v>
      </c>
      <c r="K350" s="174">
        <f t="shared" si="196"/>
        <v>2.5488000000000004</v>
      </c>
      <c r="L350" s="118"/>
      <c r="M350" s="178">
        <v>20</v>
      </c>
      <c r="N350" s="117">
        <f t="shared" si="197"/>
        <v>2.5488000000000004</v>
      </c>
      <c r="O350" s="119">
        <f t="shared" si="198"/>
        <v>0</v>
      </c>
      <c r="P350" s="120">
        <f t="shared" si="199"/>
        <v>0</v>
      </c>
      <c r="Q350" s="159"/>
      <c r="R350" s="111"/>
      <c r="S350" s="111"/>
    </row>
    <row r="351" spans="1:19">
      <c r="A351" s="110" t="s">
        <v>549</v>
      </c>
      <c r="B351" s="111" t="s">
        <v>505</v>
      </c>
      <c r="C351" s="112" t="s">
        <v>449</v>
      </c>
      <c r="D351" s="112"/>
      <c r="E351" s="113" t="s">
        <v>17</v>
      </c>
      <c r="F351" s="175" t="s">
        <v>15</v>
      </c>
      <c r="G351" s="175" t="s">
        <v>41</v>
      </c>
      <c r="H351" s="176">
        <v>11.8</v>
      </c>
      <c r="I351" s="177">
        <v>11.7</v>
      </c>
      <c r="J351" s="178">
        <v>26</v>
      </c>
      <c r="K351" s="174">
        <f t="shared" si="196"/>
        <v>3.5895600000000001</v>
      </c>
      <c r="L351" s="118"/>
      <c r="M351" s="178">
        <v>26</v>
      </c>
      <c r="N351" s="117">
        <f t="shared" si="197"/>
        <v>3.5895600000000001</v>
      </c>
      <c r="O351" s="119">
        <f t="shared" si="198"/>
        <v>0</v>
      </c>
      <c r="P351" s="120">
        <f t="shared" si="199"/>
        <v>0</v>
      </c>
      <c r="Q351" s="159"/>
      <c r="R351" s="111"/>
      <c r="S351" s="111"/>
    </row>
    <row r="352" spans="1:19">
      <c r="A352" s="110" t="s">
        <v>549</v>
      </c>
      <c r="B352" s="111" t="s">
        <v>505</v>
      </c>
      <c r="C352" s="112" t="s">
        <v>449</v>
      </c>
      <c r="D352" s="112"/>
      <c r="E352" s="113" t="s">
        <v>17</v>
      </c>
      <c r="F352" s="175" t="s">
        <v>15</v>
      </c>
      <c r="G352" s="175" t="s">
        <v>41</v>
      </c>
      <c r="H352" s="176">
        <v>11.8</v>
      </c>
      <c r="I352" s="177">
        <v>10.5</v>
      </c>
      <c r="J352" s="178">
        <v>24</v>
      </c>
      <c r="K352" s="174">
        <f t="shared" si="196"/>
        <v>2.9736000000000002</v>
      </c>
      <c r="L352" s="118"/>
      <c r="M352" s="178">
        <v>24</v>
      </c>
      <c r="N352" s="117">
        <f t="shared" si="197"/>
        <v>2.9736000000000002</v>
      </c>
      <c r="O352" s="119">
        <f t="shared" si="198"/>
        <v>0</v>
      </c>
      <c r="P352" s="120">
        <f t="shared" si="199"/>
        <v>0</v>
      </c>
      <c r="Q352" s="159"/>
      <c r="R352" s="111"/>
      <c r="S352" s="111"/>
    </row>
    <row r="353" spans="1:21">
      <c r="A353" s="110" t="s">
        <v>549</v>
      </c>
      <c r="B353" s="111" t="s">
        <v>505</v>
      </c>
      <c r="C353" s="112" t="s">
        <v>449</v>
      </c>
      <c r="D353" s="112"/>
      <c r="E353" s="113" t="s">
        <v>17</v>
      </c>
      <c r="F353" s="175" t="s">
        <v>15</v>
      </c>
      <c r="G353" s="175" t="s">
        <v>41</v>
      </c>
      <c r="H353" s="176">
        <v>11.8</v>
      </c>
      <c r="I353" s="177">
        <v>10.5</v>
      </c>
      <c r="J353" s="178">
        <v>24</v>
      </c>
      <c r="K353" s="174">
        <f t="shared" si="196"/>
        <v>2.9736000000000002</v>
      </c>
      <c r="L353" s="118"/>
      <c r="M353" s="178">
        <v>24</v>
      </c>
      <c r="N353" s="117">
        <f t="shared" si="197"/>
        <v>2.9736000000000002</v>
      </c>
      <c r="O353" s="119">
        <f t="shared" si="198"/>
        <v>0</v>
      </c>
      <c r="P353" s="120">
        <f t="shared" si="199"/>
        <v>0</v>
      </c>
      <c r="Q353" s="159"/>
      <c r="R353" s="111"/>
      <c r="S353" s="111"/>
    </row>
    <row r="354" spans="1:21">
      <c r="A354" s="110" t="s">
        <v>549</v>
      </c>
      <c r="B354" s="111" t="s">
        <v>505</v>
      </c>
      <c r="C354" s="112" t="s">
        <v>449</v>
      </c>
      <c r="D354" s="112"/>
      <c r="E354" s="113" t="s">
        <v>17</v>
      </c>
      <c r="F354" s="175" t="s">
        <v>15</v>
      </c>
      <c r="G354" s="175" t="s">
        <v>41</v>
      </c>
      <c r="H354" s="176">
        <v>11.8</v>
      </c>
      <c r="I354" s="177">
        <v>10.8</v>
      </c>
      <c r="J354" s="178">
        <v>8</v>
      </c>
      <c r="K354" s="174">
        <f t="shared" si="196"/>
        <v>1.0195200000000002</v>
      </c>
      <c r="L354" s="118"/>
      <c r="M354" s="178">
        <f>7+1</f>
        <v>8</v>
      </c>
      <c r="N354" s="117">
        <f t="shared" si="197"/>
        <v>1.0195200000000002</v>
      </c>
      <c r="O354" s="119">
        <f t="shared" si="198"/>
        <v>0</v>
      </c>
      <c r="P354" s="120">
        <f t="shared" si="199"/>
        <v>0</v>
      </c>
      <c r="Q354" s="159">
        <v>10.5</v>
      </c>
      <c r="R354" s="111">
        <v>1</v>
      </c>
      <c r="S354" s="111"/>
    </row>
    <row r="355" spans="1:21">
      <c r="A355" s="110" t="s">
        <v>549</v>
      </c>
      <c r="B355" s="111" t="s">
        <v>505</v>
      </c>
      <c r="C355" s="112" t="s">
        <v>449</v>
      </c>
      <c r="D355" s="112"/>
      <c r="E355" s="113" t="s">
        <v>17</v>
      </c>
      <c r="F355" s="175" t="s">
        <v>15</v>
      </c>
      <c r="G355" s="175" t="s">
        <v>41</v>
      </c>
      <c r="H355" s="176">
        <v>11.8</v>
      </c>
      <c r="I355" s="177">
        <v>11.7</v>
      </c>
      <c r="J355" s="178">
        <v>17</v>
      </c>
      <c r="K355" s="174">
        <f t="shared" si="196"/>
        <v>2.3470200000000001</v>
      </c>
      <c r="L355" s="118"/>
      <c r="M355" s="178">
        <v>17</v>
      </c>
      <c r="N355" s="117">
        <f t="shared" si="197"/>
        <v>2.3470200000000001</v>
      </c>
      <c r="O355" s="119">
        <f t="shared" si="198"/>
        <v>0</v>
      </c>
      <c r="P355" s="120">
        <f t="shared" si="199"/>
        <v>0</v>
      </c>
      <c r="Q355" s="159"/>
      <c r="R355" s="111"/>
      <c r="S355" s="111"/>
    </row>
    <row r="356" spans="1:21">
      <c r="A356" s="110" t="s">
        <v>549</v>
      </c>
      <c r="B356" s="111" t="s">
        <v>505</v>
      </c>
      <c r="C356" s="112" t="s">
        <v>449</v>
      </c>
      <c r="D356" s="112"/>
      <c r="E356" s="113" t="s">
        <v>17</v>
      </c>
      <c r="F356" s="175" t="s">
        <v>15</v>
      </c>
      <c r="G356" s="175" t="s">
        <v>41</v>
      </c>
      <c r="H356" s="176">
        <v>11.8</v>
      </c>
      <c r="I356" s="177">
        <v>8.1999999999999993</v>
      </c>
      <c r="J356" s="178">
        <v>10</v>
      </c>
      <c r="K356" s="174">
        <f t="shared" si="196"/>
        <v>0.9675999999999999</v>
      </c>
      <c r="L356" s="118"/>
      <c r="M356" s="178">
        <f>7+3</f>
        <v>10</v>
      </c>
      <c r="N356" s="117">
        <f t="shared" si="197"/>
        <v>0.96760000000000002</v>
      </c>
      <c r="O356" s="119">
        <f t="shared" si="198"/>
        <v>0</v>
      </c>
      <c r="P356" s="120">
        <f t="shared" si="199"/>
        <v>0</v>
      </c>
      <c r="Q356" s="159"/>
      <c r="R356" s="111"/>
      <c r="S356" s="366">
        <v>7.55</v>
      </c>
      <c r="T356" s="354">
        <v>3</v>
      </c>
      <c r="U356" s="354" t="s">
        <v>614</v>
      </c>
    </row>
    <row r="357" spans="1:21">
      <c r="A357" s="110" t="s">
        <v>549</v>
      </c>
      <c r="B357" s="111" t="s">
        <v>505</v>
      </c>
      <c r="C357" s="112" t="s">
        <v>449</v>
      </c>
      <c r="D357" s="112"/>
      <c r="E357" s="113" t="s">
        <v>17</v>
      </c>
      <c r="F357" s="175" t="s">
        <v>15</v>
      </c>
      <c r="G357" s="175" t="s">
        <v>41</v>
      </c>
      <c r="H357" s="176">
        <v>11.8</v>
      </c>
      <c r="I357" s="177">
        <v>10.5</v>
      </c>
      <c r="J357" s="178">
        <v>10</v>
      </c>
      <c r="K357" s="174">
        <f t="shared" si="196"/>
        <v>1.2390000000000001</v>
      </c>
      <c r="L357" s="118"/>
      <c r="M357" s="178">
        <v>10</v>
      </c>
      <c r="N357" s="117">
        <f t="shared" si="197"/>
        <v>1.2390000000000001</v>
      </c>
      <c r="O357" s="119">
        <f t="shared" si="198"/>
        <v>0</v>
      </c>
      <c r="P357" s="120">
        <f t="shared" si="199"/>
        <v>0</v>
      </c>
      <c r="Q357" s="159"/>
      <c r="R357" s="111"/>
      <c r="S357" s="130"/>
    </row>
    <row r="358" spans="1:21">
      <c r="A358" s="110" t="s">
        <v>549</v>
      </c>
      <c r="B358" s="111" t="s">
        <v>505</v>
      </c>
      <c r="C358" s="112" t="s">
        <v>449</v>
      </c>
      <c r="D358" s="112"/>
      <c r="E358" s="113" t="s">
        <v>17</v>
      </c>
      <c r="F358" s="175" t="s">
        <v>15</v>
      </c>
      <c r="G358" s="175" t="s">
        <v>41</v>
      </c>
      <c r="H358" s="176">
        <v>11.8</v>
      </c>
      <c r="I358" s="177">
        <v>10</v>
      </c>
      <c r="J358" s="178">
        <v>1</v>
      </c>
      <c r="K358" s="174">
        <f t="shared" si="196"/>
        <v>0.11799999999999999</v>
      </c>
      <c r="L358" s="118"/>
      <c r="M358" s="178">
        <v>1</v>
      </c>
      <c r="N358" s="117">
        <f t="shared" si="197"/>
        <v>0.11799999999999999</v>
      </c>
      <c r="O358" s="119">
        <f t="shared" si="198"/>
        <v>0</v>
      </c>
      <c r="P358" s="120">
        <f t="shared" si="199"/>
        <v>0</v>
      </c>
      <c r="Q358" s="159"/>
      <c r="R358" s="111"/>
      <c r="S358" s="366">
        <v>10</v>
      </c>
      <c r="T358" s="354">
        <v>1</v>
      </c>
      <c r="U358" s="354" t="s">
        <v>614</v>
      </c>
    </row>
    <row r="359" spans="1:21">
      <c r="A359" s="110" t="s">
        <v>549</v>
      </c>
      <c r="B359" s="111" t="s">
        <v>505</v>
      </c>
      <c r="C359" s="112" t="s">
        <v>449</v>
      </c>
      <c r="D359" s="112"/>
      <c r="E359" s="113" t="s">
        <v>17</v>
      </c>
      <c r="F359" s="175" t="s">
        <v>15</v>
      </c>
      <c r="G359" s="175" t="s">
        <v>41</v>
      </c>
      <c r="H359" s="176">
        <v>11.8</v>
      </c>
      <c r="I359" s="177">
        <v>10.5</v>
      </c>
      <c r="J359" s="178">
        <v>24</v>
      </c>
      <c r="K359" s="174">
        <f t="shared" si="196"/>
        <v>2.9736000000000002</v>
      </c>
      <c r="L359" s="118"/>
      <c r="M359" s="178">
        <v>24</v>
      </c>
      <c r="N359" s="117">
        <f t="shared" si="197"/>
        <v>2.9736000000000002</v>
      </c>
      <c r="O359" s="119">
        <f t="shared" si="198"/>
        <v>0</v>
      </c>
      <c r="P359" s="120">
        <f t="shared" si="199"/>
        <v>0</v>
      </c>
      <c r="Q359" s="159"/>
      <c r="R359" s="111"/>
      <c r="S359" s="130"/>
    </row>
    <row r="360" spans="1:21">
      <c r="A360" s="110" t="s">
        <v>549</v>
      </c>
      <c r="B360" s="111" t="s">
        <v>505</v>
      </c>
      <c r="C360" s="112" t="s">
        <v>449</v>
      </c>
      <c r="D360" s="112"/>
      <c r="E360" s="113" t="s">
        <v>17</v>
      </c>
      <c r="F360" s="175" t="s">
        <v>15</v>
      </c>
      <c r="G360" s="175" t="s">
        <v>41</v>
      </c>
      <c r="H360" s="176">
        <v>11.8</v>
      </c>
      <c r="I360" s="177">
        <v>11.7</v>
      </c>
      <c r="J360" s="178">
        <v>28</v>
      </c>
      <c r="K360" s="174">
        <f t="shared" si="196"/>
        <v>3.8656800000000002</v>
      </c>
      <c r="L360" s="118"/>
      <c r="M360" s="178">
        <v>28</v>
      </c>
      <c r="N360" s="117">
        <f t="shared" si="197"/>
        <v>3.8656799999999998</v>
      </c>
      <c r="O360" s="119">
        <f t="shared" si="198"/>
        <v>0</v>
      </c>
      <c r="P360" s="120">
        <f t="shared" si="199"/>
        <v>0</v>
      </c>
      <c r="Q360" s="159"/>
      <c r="R360" s="111"/>
      <c r="S360" s="130"/>
    </row>
    <row r="361" spans="1:21">
      <c r="A361" s="110" t="s">
        <v>549</v>
      </c>
      <c r="B361" s="111" t="s">
        <v>505</v>
      </c>
      <c r="C361" s="112" t="s">
        <v>449</v>
      </c>
      <c r="D361" s="112"/>
      <c r="E361" s="113" t="s">
        <v>17</v>
      </c>
      <c r="F361" s="175" t="s">
        <v>15</v>
      </c>
      <c r="G361" s="175" t="s">
        <v>41</v>
      </c>
      <c r="H361" s="176">
        <v>11.8</v>
      </c>
      <c r="I361" s="177">
        <v>10.8</v>
      </c>
      <c r="J361" s="178">
        <v>21</v>
      </c>
      <c r="K361" s="174">
        <f t="shared" si="196"/>
        <v>2.6762400000000004</v>
      </c>
      <c r="L361" s="118"/>
      <c r="M361" s="178">
        <v>21</v>
      </c>
      <c r="N361" s="117">
        <f t="shared" si="197"/>
        <v>2.6762400000000004</v>
      </c>
      <c r="O361" s="119">
        <f t="shared" si="198"/>
        <v>0</v>
      </c>
      <c r="P361" s="120">
        <f t="shared" si="199"/>
        <v>0</v>
      </c>
      <c r="Q361" s="159"/>
      <c r="R361" s="111"/>
      <c r="S361" s="130"/>
    </row>
    <row r="362" spans="1:21">
      <c r="A362" s="110" t="s">
        <v>549</v>
      </c>
      <c r="B362" s="111" t="s">
        <v>505</v>
      </c>
      <c r="C362" s="112" t="s">
        <v>449</v>
      </c>
      <c r="D362" s="112"/>
      <c r="E362" s="113" t="s">
        <v>17</v>
      </c>
      <c r="F362" s="175" t="s">
        <v>15</v>
      </c>
      <c r="G362" s="175" t="s">
        <v>41</v>
      </c>
      <c r="H362" s="176">
        <v>11.8</v>
      </c>
      <c r="I362" s="177">
        <v>10.5</v>
      </c>
      <c r="J362" s="178">
        <v>16</v>
      </c>
      <c r="K362" s="174">
        <f t="shared" si="196"/>
        <v>1.9824000000000002</v>
      </c>
      <c r="L362" s="118"/>
      <c r="M362" s="178">
        <v>16</v>
      </c>
      <c r="N362" s="117">
        <f t="shared" si="197"/>
        <v>1.9824000000000002</v>
      </c>
      <c r="O362" s="119">
        <f t="shared" si="198"/>
        <v>0</v>
      </c>
      <c r="P362" s="120">
        <f t="shared" si="199"/>
        <v>0</v>
      </c>
      <c r="Q362" s="159"/>
      <c r="R362" s="111"/>
      <c r="S362" s="130"/>
    </row>
    <row r="363" spans="1:21">
      <c r="A363" s="110" t="s">
        <v>549</v>
      </c>
      <c r="B363" s="111" t="s">
        <v>505</v>
      </c>
      <c r="C363" s="112" t="s">
        <v>449</v>
      </c>
      <c r="D363" s="112"/>
      <c r="E363" s="113" t="s">
        <v>17</v>
      </c>
      <c r="F363" s="175" t="s">
        <v>15</v>
      </c>
      <c r="G363" s="175" t="s">
        <v>41</v>
      </c>
      <c r="H363" s="176">
        <v>11.8</v>
      </c>
      <c r="I363" s="177">
        <v>8.1999999999999993</v>
      </c>
      <c r="J363" s="178">
        <v>20</v>
      </c>
      <c r="K363" s="174">
        <f t="shared" ref="K363:K369" si="200">(H363*I363*J363/1000)</f>
        <v>1.9351999999999998</v>
      </c>
      <c r="L363" s="118"/>
      <c r="M363" s="178">
        <v>20</v>
      </c>
      <c r="N363" s="117">
        <f t="shared" ref="N363:N369" si="201">I363*M363*H363/1000</f>
        <v>1.9352</v>
      </c>
      <c r="O363" s="119">
        <f t="shared" ref="O363:O369" si="202">J363-M363</f>
        <v>0</v>
      </c>
      <c r="P363" s="120">
        <f t="shared" ref="P363:P368" si="203">I363*O363*H363/1000</f>
        <v>0</v>
      </c>
      <c r="Q363" s="159"/>
      <c r="R363" s="111"/>
      <c r="S363" s="130"/>
    </row>
    <row r="364" spans="1:21">
      <c r="A364" s="110" t="s">
        <v>549</v>
      </c>
      <c r="B364" s="111" t="s">
        <v>505</v>
      </c>
      <c r="C364" s="112" t="s">
        <v>449</v>
      </c>
      <c r="D364" s="112"/>
      <c r="E364" s="113" t="s">
        <v>17</v>
      </c>
      <c r="F364" s="175" t="s">
        <v>15</v>
      </c>
      <c r="G364" s="175" t="s">
        <v>41</v>
      </c>
      <c r="H364" s="176">
        <v>11.8</v>
      </c>
      <c r="I364" s="177">
        <v>10</v>
      </c>
      <c r="J364" s="178">
        <v>1</v>
      </c>
      <c r="K364" s="174">
        <f t="shared" si="200"/>
        <v>0.11799999999999999</v>
      </c>
      <c r="L364" s="118"/>
      <c r="M364" s="178">
        <v>1</v>
      </c>
      <c r="N364" s="117">
        <f t="shared" si="201"/>
        <v>0.11799999999999999</v>
      </c>
      <c r="O364" s="119">
        <f t="shared" si="202"/>
        <v>0</v>
      </c>
      <c r="P364" s="120">
        <f t="shared" si="203"/>
        <v>0</v>
      </c>
      <c r="Q364" s="159"/>
      <c r="R364" s="111"/>
      <c r="S364" s="366">
        <v>10</v>
      </c>
      <c r="T364" s="354">
        <v>1</v>
      </c>
      <c r="U364" s="354" t="s">
        <v>614</v>
      </c>
    </row>
    <row r="365" spans="1:21">
      <c r="A365" s="110" t="s">
        <v>549</v>
      </c>
      <c r="B365" s="111" t="s">
        <v>505</v>
      </c>
      <c r="C365" s="112" t="s">
        <v>449</v>
      </c>
      <c r="D365" s="112"/>
      <c r="E365" s="113" t="s">
        <v>17</v>
      </c>
      <c r="F365" s="175" t="s">
        <v>15</v>
      </c>
      <c r="G365" s="175" t="s">
        <v>41</v>
      </c>
      <c r="H365" s="176">
        <v>11.8</v>
      </c>
      <c r="I365" s="177">
        <v>9.9</v>
      </c>
      <c r="J365" s="178">
        <v>1</v>
      </c>
      <c r="K365" s="174">
        <f t="shared" si="200"/>
        <v>0.11682000000000001</v>
      </c>
      <c r="L365" s="118"/>
      <c r="M365" s="178">
        <v>1</v>
      </c>
      <c r="N365" s="117">
        <f t="shared" si="201"/>
        <v>0.11682000000000001</v>
      </c>
      <c r="O365" s="119">
        <f t="shared" si="202"/>
        <v>0</v>
      </c>
      <c r="P365" s="120">
        <f t="shared" si="203"/>
        <v>0</v>
      </c>
      <c r="Q365" s="159"/>
      <c r="R365" s="111"/>
      <c r="S365" s="366">
        <v>7.55</v>
      </c>
      <c r="T365" s="354">
        <v>1</v>
      </c>
      <c r="U365" s="354" t="s">
        <v>614</v>
      </c>
    </row>
    <row r="366" spans="1:21">
      <c r="A366" s="110" t="s">
        <v>549</v>
      </c>
      <c r="B366" s="111" t="s">
        <v>505</v>
      </c>
      <c r="C366" s="112" t="s">
        <v>449</v>
      </c>
      <c r="D366" s="112"/>
      <c r="E366" s="113" t="s">
        <v>17</v>
      </c>
      <c r="F366" s="175" t="s">
        <v>15</v>
      </c>
      <c r="G366" s="175" t="s">
        <v>41</v>
      </c>
      <c r="H366" s="176">
        <v>11.8</v>
      </c>
      <c r="I366" s="177">
        <v>11.7</v>
      </c>
      <c r="J366" s="178">
        <v>25</v>
      </c>
      <c r="K366" s="174">
        <f t="shared" si="200"/>
        <v>3.4514999999999998</v>
      </c>
      <c r="L366" s="118"/>
      <c r="M366" s="178">
        <f>9+13+3</f>
        <v>25</v>
      </c>
      <c r="N366" s="117">
        <f t="shared" si="201"/>
        <v>3.4514999999999998</v>
      </c>
      <c r="O366" s="119">
        <f t="shared" si="202"/>
        <v>0</v>
      </c>
      <c r="P366" s="120">
        <f t="shared" si="203"/>
        <v>0</v>
      </c>
      <c r="Q366" s="159">
        <v>10.5</v>
      </c>
      <c r="R366" s="111">
        <v>13</v>
      </c>
      <c r="S366" s="366">
        <v>11.7</v>
      </c>
      <c r="T366" s="354">
        <v>3</v>
      </c>
      <c r="U366" s="354" t="s">
        <v>614</v>
      </c>
    </row>
    <row r="367" spans="1:21">
      <c r="A367" s="110" t="s">
        <v>549</v>
      </c>
      <c r="B367" s="111" t="s">
        <v>505</v>
      </c>
      <c r="C367" s="112" t="s">
        <v>449</v>
      </c>
      <c r="D367" s="112"/>
      <c r="E367" s="113" t="s">
        <v>17</v>
      </c>
      <c r="F367" s="175" t="s">
        <v>15</v>
      </c>
      <c r="G367" s="175" t="s">
        <v>41</v>
      </c>
      <c r="H367" s="176">
        <v>11.8</v>
      </c>
      <c r="I367" s="177">
        <v>11.7</v>
      </c>
      <c r="J367" s="178">
        <v>3</v>
      </c>
      <c r="K367" s="174">
        <f t="shared" si="200"/>
        <v>0.41417999999999999</v>
      </c>
      <c r="L367" s="118"/>
      <c r="M367" s="178">
        <v>3</v>
      </c>
      <c r="N367" s="117">
        <f t="shared" si="201"/>
        <v>0.41417999999999994</v>
      </c>
      <c r="O367" s="119">
        <f t="shared" si="202"/>
        <v>0</v>
      </c>
      <c r="P367" s="120">
        <f t="shared" si="203"/>
        <v>0</v>
      </c>
      <c r="Q367" s="159"/>
      <c r="R367" s="111"/>
      <c r="S367" s="366">
        <v>11.7</v>
      </c>
      <c r="T367" s="354">
        <v>3</v>
      </c>
      <c r="U367" s="354" t="s">
        <v>614</v>
      </c>
    </row>
    <row r="368" spans="1:21">
      <c r="A368" s="110" t="s">
        <v>549</v>
      </c>
      <c r="B368" s="111" t="s">
        <v>505</v>
      </c>
      <c r="C368" s="112" t="s">
        <v>449</v>
      </c>
      <c r="D368" s="112"/>
      <c r="E368" s="113" t="s">
        <v>17</v>
      </c>
      <c r="F368" s="175" t="s">
        <v>15</v>
      </c>
      <c r="G368" s="175" t="s">
        <v>41</v>
      </c>
      <c r="H368" s="176">
        <v>11.8</v>
      </c>
      <c r="I368" s="177">
        <v>10.8</v>
      </c>
      <c r="J368" s="178">
        <v>24</v>
      </c>
      <c r="K368" s="174">
        <f t="shared" si="200"/>
        <v>3.0585600000000004</v>
      </c>
      <c r="L368" s="118"/>
      <c r="M368" s="178">
        <v>24</v>
      </c>
      <c r="N368" s="117">
        <f t="shared" si="201"/>
        <v>3.0585600000000008</v>
      </c>
      <c r="O368" s="119">
        <f t="shared" si="202"/>
        <v>0</v>
      </c>
      <c r="P368" s="120">
        <f t="shared" si="203"/>
        <v>0</v>
      </c>
      <c r="Q368" s="159"/>
      <c r="R368" s="111"/>
      <c r="S368" s="111"/>
    </row>
    <row r="369" spans="1:20">
      <c r="A369" s="110" t="s">
        <v>549</v>
      </c>
      <c r="B369" s="111" t="s">
        <v>505</v>
      </c>
      <c r="C369" s="112" t="s">
        <v>449</v>
      </c>
      <c r="D369" s="112"/>
      <c r="E369" s="113" t="s">
        <v>17</v>
      </c>
      <c r="F369" s="175" t="s">
        <v>15</v>
      </c>
      <c r="G369" s="175" t="s">
        <v>41</v>
      </c>
      <c r="H369" s="176">
        <v>11.8</v>
      </c>
      <c r="I369" s="177">
        <v>10.5</v>
      </c>
      <c r="J369" s="178">
        <v>2</v>
      </c>
      <c r="K369" s="174">
        <f t="shared" si="200"/>
        <v>0.24780000000000002</v>
      </c>
      <c r="L369" s="118"/>
      <c r="M369" s="178">
        <v>2</v>
      </c>
      <c r="N369" s="117">
        <f t="shared" si="201"/>
        <v>0.24780000000000002</v>
      </c>
      <c r="O369" s="119">
        <f t="shared" si="202"/>
        <v>0</v>
      </c>
      <c r="P369" s="120">
        <f>I369*O369*H369/1000</f>
        <v>0</v>
      </c>
      <c r="Q369" s="159"/>
      <c r="R369" s="111"/>
      <c r="S369" s="111"/>
    </row>
    <row r="370" spans="1:20">
      <c r="A370" s="32"/>
      <c r="B370" s="32"/>
      <c r="C370" s="32"/>
      <c r="D370" s="32"/>
      <c r="E370" s="32"/>
      <c r="F370" s="32"/>
      <c r="G370" s="32"/>
      <c r="H370" s="32"/>
      <c r="I370" s="32"/>
      <c r="J370" s="131">
        <f>SUM(J348:J369)</f>
        <v>319</v>
      </c>
      <c r="K370" s="124">
        <f>SUM(K348:K369)</f>
        <v>40.393760000000007</v>
      </c>
      <c r="L370" s="32"/>
      <c r="M370" s="131">
        <f>SUM(M348:M369)</f>
        <v>319</v>
      </c>
      <c r="N370" s="124">
        <f>SUM(N348:N369)</f>
        <v>40.393760000000007</v>
      </c>
      <c r="O370" s="131">
        <f>SUM(O348:O369)</f>
        <v>0</v>
      </c>
      <c r="P370" s="124">
        <f>SUM(P348:P369)</f>
        <v>0</v>
      </c>
      <c r="Q370" s="32"/>
      <c r="R370" s="32"/>
      <c r="S370" s="32"/>
      <c r="T370" s="131">
        <f>SUM(T348:T369)</f>
        <v>12</v>
      </c>
    </row>
    <row r="373" spans="1:20">
      <c r="A373" s="110" t="s">
        <v>549</v>
      </c>
      <c r="B373" s="111" t="s">
        <v>232</v>
      </c>
      <c r="C373" s="112" t="s">
        <v>449</v>
      </c>
      <c r="D373" s="112"/>
      <c r="E373" s="113" t="s">
        <v>326</v>
      </c>
      <c r="F373" s="175" t="s">
        <v>14</v>
      </c>
      <c r="G373" s="175" t="s">
        <v>41</v>
      </c>
      <c r="H373" s="176">
        <v>11.8</v>
      </c>
      <c r="I373" s="177">
        <v>11.5</v>
      </c>
      <c r="J373" s="178">
        <v>24</v>
      </c>
      <c r="K373" s="174">
        <f t="shared" ref="K373" si="204">(H373*I373*J373/1000)</f>
        <v>3.2568000000000001</v>
      </c>
      <c r="L373" s="118"/>
      <c r="M373" s="178">
        <v>24</v>
      </c>
      <c r="N373" s="117">
        <f t="shared" ref="N373" si="205">I373*M373*H373/1000</f>
        <v>3.2568000000000001</v>
      </c>
      <c r="O373" s="119">
        <f t="shared" ref="O373" si="206">J373-M373</f>
        <v>0</v>
      </c>
      <c r="P373" s="120">
        <f t="shared" ref="P373" si="207">I373*O373*H373/1000</f>
        <v>0</v>
      </c>
      <c r="Q373" s="159"/>
      <c r="R373" s="111"/>
      <c r="S373" s="111"/>
    </row>
    <row r="374" spans="1:20">
      <c r="A374" s="110" t="s">
        <v>549</v>
      </c>
      <c r="B374" s="111" t="s">
        <v>232</v>
      </c>
      <c r="C374" s="112" t="s">
        <v>449</v>
      </c>
      <c r="D374" s="112"/>
      <c r="E374" s="113" t="s">
        <v>326</v>
      </c>
      <c r="F374" s="175" t="s">
        <v>14</v>
      </c>
      <c r="G374" s="175" t="s">
        <v>41</v>
      </c>
      <c r="H374" s="176">
        <v>11.8</v>
      </c>
      <c r="I374" s="177">
        <v>11.5</v>
      </c>
      <c r="J374" s="178">
        <v>24</v>
      </c>
      <c r="K374" s="174">
        <f t="shared" ref="K374:K391" si="208">(H374*I374*J374/1000)</f>
        <v>3.2568000000000001</v>
      </c>
      <c r="L374" s="118"/>
      <c r="M374" s="178">
        <v>24</v>
      </c>
      <c r="N374" s="117">
        <f t="shared" ref="N374:N391" si="209">I374*M374*H374/1000</f>
        <v>3.2568000000000001</v>
      </c>
      <c r="O374" s="119">
        <f t="shared" ref="O374:O391" si="210">J374-M374</f>
        <v>0</v>
      </c>
      <c r="P374" s="120">
        <f t="shared" ref="P374:P391" si="211">I374*O374*H374/1000</f>
        <v>0</v>
      </c>
      <c r="Q374" s="159"/>
      <c r="R374" s="111"/>
      <c r="S374" s="111"/>
    </row>
    <row r="375" spans="1:20">
      <c r="A375" s="110" t="s">
        <v>549</v>
      </c>
      <c r="B375" s="111" t="s">
        <v>232</v>
      </c>
      <c r="C375" s="112" t="s">
        <v>449</v>
      </c>
      <c r="D375" s="112"/>
      <c r="E375" s="113" t="s">
        <v>326</v>
      </c>
      <c r="F375" s="175" t="s">
        <v>14</v>
      </c>
      <c r="G375" s="175" t="s">
        <v>41</v>
      </c>
      <c r="H375" s="176">
        <v>11.8</v>
      </c>
      <c r="I375" s="177">
        <v>11.5</v>
      </c>
      <c r="J375" s="178">
        <v>24</v>
      </c>
      <c r="K375" s="174">
        <f t="shared" si="208"/>
        <v>3.2568000000000001</v>
      </c>
      <c r="L375" s="118"/>
      <c r="M375" s="178">
        <v>24</v>
      </c>
      <c r="N375" s="117">
        <f t="shared" si="209"/>
        <v>3.2568000000000001</v>
      </c>
      <c r="O375" s="119">
        <f t="shared" si="210"/>
        <v>0</v>
      </c>
      <c r="P375" s="120">
        <f t="shared" si="211"/>
        <v>0</v>
      </c>
      <c r="Q375" s="159"/>
      <c r="R375" s="111"/>
      <c r="S375" s="111"/>
    </row>
    <row r="376" spans="1:20">
      <c r="A376" s="110" t="s">
        <v>549</v>
      </c>
      <c r="B376" s="111" t="s">
        <v>232</v>
      </c>
      <c r="C376" s="112" t="s">
        <v>449</v>
      </c>
      <c r="D376" s="112"/>
      <c r="E376" s="113" t="s">
        <v>326</v>
      </c>
      <c r="F376" s="175" t="s">
        <v>14</v>
      </c>
      <c r="G376" s="175" t="s">
        <v>41</v>
      </c>
      <c r="H376" s="176">
        <v>11.8</v>
      </c>
      <c r="I376" s="177">
        <v>11.5</v>
      </c>
      <c r="J376" s="178">
        <v>24</v>
      </c>
      <c r="K376" s="174">
        <f t="shared" si="208"/>
        <v>3.2568000000000001</v>
      </c>
      <c r="L376" s="118"/>
      <c r="M376" s="178">
        <v>24</v>
      </c>
      <c r="N376" s="117">
        <f t="shared" si="209"/>
        <v>3.2568000000000001</v>
      </c>
      <c r="O376" s="119">
        <f t="shared" si="210"/>
        <v>0</v>
      </c>
      <c r="P376" s="120">
        <f t="shared" si="211"/>
        <v>0</v>
      </c>
      <c r="Q376" s="159"/>
      <c r="R376" s="111"/>
      <c r="S376" s="111"/>
    </row>
    <row r="377" spans="1:20">
      <c r="A377" s="110" t="s">
        <v>549</v>
      </c>
      <c r="B377" s="111" t="s">
        <v>232</v>
      </c>
      <c r="C377" s="112" t="s">
        <v>449</v>
      </c>
      <c r="D377" s="112"/>
      <c r="E377" s="113" t="s">
        <v>326</v>
      </c>
      <c r="F377" s="175" t="s">
        <v>14</v>
      </c>
      <c r="G377" s="175" t="s">
        <v>41</v>
      </c>
      <c r="H377" s="176">
        <v>11.8</v>
      </c>
      <c r="I377" s="177">
        <v>11.5</v>
      </c>
      <c r="J377" s="178">
        <v>10</v>
      </c>
      <c r="K377" s="174">
        <f t="shared" si="208"/>
        <v>1.3570000000000002</v>
      </c>
      <c r="L377" s="118"/>
      <c r="M377" s="178">
        <v>10</v>
      </c>
      <c r="N377" s="117">
        <f t="shared" si="209"/>
        <v>1.357</v>
      </c>
      <c r="O377" s="119">
        <f t="shared" si="210"/>
        <v>0</v>
      </c>
      <c r="P377" s="120">
        <f t="shared" si="211"/>
        <v>0</v>
      </c>
      <c r="Q377" s="159"/>
      <c r="R377" s="111"/>
      <c r="S377" s="111"/>
    </row>
    <row r="378" spans="1:20">
      <c r="A378" s="110" t="s">
        <v>549</v>
      </c>
      <c r="B378" s="111" t="s">
        <v>232</v>
      </c>
      <c r="C378" s="112" t="s">
        <v>449</v>
      </c>
      <c r="D378" s="112"/>
      <c r="E378" s="113" t="s">
        <v>326</v>
      </c>
      <c r="F378" s="175" t="s">
        <v>14</v>
      </c>
      <c r="G378" s="175" t="s">
        <v>41</v>
      </c>
      <c r="H378" s="176">
        <v>11.8</v>
      </c>
      <c r="I378" s="177">
        <v>11.1</v>
      </c>
      <c r="J378" s="178">
        <v>1</v>
      </c>
      <c r="K378" s="174">
        <f t="shared" si="208"/>
        <v>0.13097999999999999</v>
      </c>
      <c r="L378" s="118"/>
      <c r="M378" s="195"/>
      <c r="N378" s="117">
        <f t="shared" si="209"/>
        <v>0</v>
      </c>
      <c r="O378" s="119">
        <f t="shared" si="210"/>
        <v>1</v>
      </c>
      <c r="P378" s="120">
        <f t="shared" si="211"/>
        <v>0.13097999999999999</v>
      </c>
      <c r="Q378" s="159"/>
      <c r="R378" s="111"/>
      <c r="S378" s="111"/>
    </row>
    <row r="379" spans="1:20">
      <c r="A379" s="110" t="s">
        <v>549</v>
      </c>
      <c r="B379" s="111" t="s">
        <v>232</v>
      </c>
      <c r="C379" s="112" t="s">
        <v>449</v>
      </c>
      <c r="D379" s="112"/>
      <c r="E379" s="113" t="s">
        <v>326</v>
      </c>
      <c r="F379" s="175" t="s">
        <v>14</v>
      </c>
      <c r="G379" s="175" t="s">
        <v>41</v>
      </c>
      <c r="H379" s="176">
        <v>11.8</v>
      </c>
      <c r="I379" s="177">
        <v>11.5</v>
      </c>
      <c r="J379" s="178">
        <v>24</v>
      </c>
      <c r="K379" s="174">
        <f t="shared" si="208"/>
        <v>3.2568000000000001</v>
      </c>
      <c r="L379" s="118"/>
      <c r="M379" s="178">
        <v>24</v>
      </c>
      <c r="N379" s="117">
        <f t="shared" si="209"/>
        <v>3.2568000000000001</v>
      </c>
      <c r="O379" s="119">
        <f t="shared" si="210"/>
        <v>0</v>
      </c>
      <c r="P379" s="120">
        <f t="shared" si="211"/>
        <v>0</v>
      </c>
      <c r="Q379" s="159"/>
      <c r="R379" s="111"/>
      <c r="S379" s="111"/>
    </row>
    <row r="380" spans="1:20">
      <c r="A380" s="110" t="s">
        <v>549</v>
      </c>
      <c r="B380" s="111" t="s">
        <v>232</v>
      </c>
      <c r="C380" s="112" t="s">
        <v>449</v>
      </c>
      <c r="D380" s="112"/>
      <c r="E380" s="113" t="s">
        <v>326</v>
      </c>
      <c r="F380" s="175" t="s">
        <v>14</v>
      </c>
      <c r="G380" s="175" t="s">
        <v>41</v>
      </c>
      <c r="H380" s="176">
        <v>11.8</v>
      </c>
      <c r="I380" s="177">
        <v>11.5</v>
      </c>
      <c r="J380" s="178">
        <v>24</v>
      </c>
      <c r="K380" s="174">
        <f t="shared" si="208"/>
        <v>3.2568000000000001</v>
      </c>
      <c r="L380" s="118"/>
      <c r="M380" s="178">
        <v>24</v>
      </c>
      <c r="N380" s="117">
        <f t="shared" si="209"/>
        <v>3.2568000000000001</v>
      </c>
      <c r="O380" s="119">
        <f t="shared" si="210"/>
        <v>0</v>
      </c>
      <c r="P380" s="120">
        <f t="shared" si="211"/>
        <v>0</v>
      </c>
      <c r="Q380" s="159"/>
      <c r="R380" s="111"/>
      <c r="S380" s="111"/>
    </row>
    <row r="381" spans="1:20">
      <c r="A381" s="110" t="s">
        <v>549</v>
      </c>
      <c r="B381" s="111" t="s">
        <v>232</v>
      </c>
      <c r="C381" s="112" t="s">
        <v>449</v>
      </c>
      <c r="D381" s="112"/>
      <c r="E381" s="113" t="s">
        <v>326</v>
      </c>
      <c r="F381" s="175" t="s">
        <v>14</v>
      </c>
      <c r="G381" s="175" t="s">
        <v>41</v>
      </c>
      <c r="H381" s="176">
        <v>11.8</v>
      </c>
      <c r="I381" s="177">
        <v>11.5</v>
      </c>
      <c r="J381" s="178">
        <v>24</v>
      </c>
      <c r="K381" s="174">
        <f t="shared" si="208"/>
        <v>3.2568000000000001</v>
      </c>
      <c r="L381" s="118"/>
      <c r="M381" s="178">
        <v>24</v>
      </c>
      <c r="N381" s="117">
        <f t="shared" si="209"/>
        <v>3.2568000000000001</v>
      </c>
      <c r="O381" s="119">
        <f t="shared" si="210"/>
        <v>0</v>
      </c>
      <c r="P381" s="120">
        <f t="shared" si="211"/>
        <v>0</v>
      </c>
      <c r="Q381" s="159"/>
      <c r="R381" s="111"/>
      <c r="S381" s="111"/>
    </row>
    <row r="382" spans="1:20">
      <c r="A382" s="110" t="s">
        <v>549</v>
      </c>
      <c r="B382" s="111" t="s">
        <v>232</v>
      </c>
      <c r="C382" s="112" t="s">
        <v>449</v>
      </c>
      <c r="D382" s="112"/>
      <c r="E382" s="113" t="s">
        <v>326</v>
      </c>
      <c r="F382" s="175" t="s">
        <v>14</v>
      </c>
      <c r="G382" s="175" t="s">
        <v>41</v>
      </c>
      <c r="H382" s="176">
        <v>11.8</v>
      </c>
      <c r="I382" s="177">
        <v>11.5</v>
      </c>
      <c r="J382" s="178">
        <v>24</v>
      </c>
      <c r="K382" s="174">
        <f t="shared" si="208"/>
        <v>3.2568000000000001</v>
      </c>
      <c r="L382" s="118"/>
      <c r="M382" s="178">
        <v>24</v>
      </c>
      <c r="N382" s="117">
        <f t="shared" si="209"/>
        <v>3.2568000000000001</v>
      </c>
      <c r="O382" s="119">
        <f t="shared" si="210"/>
        <v>0</v>
      </c>
      <c r="P382" s="120">
        <f t="shared" si="211"/>
        <v>0</v>
      </c>
      <c r="Q382" s="159"/>
      <c r="R382" s="111"/>
      <c r="S382" s="111"/>
    </row>
    <row r="383" spans="1:20">
      <c r="A383" s="110" t="s">
        <v>549</v>
      </c>
      <c r="B383" s="111" t="s">
        <v>232</v>
      </c>
      <c r="C383" s="112" t="s">
        <v>449</v>
      </c>
      <c r="D383" s="112"/>
      <c r="E383" s="113" t="s">
        <v>326</v>
      </c>
      <c r="F383" s="175" t="s">
        <v>14</v>
      </c>
      <c r="G383" s="175" t="s">
        <v>41</v>
      </c>
      <c r="H383" s="176">
        <v>11.8</v>
      </c>
      <c r="I383" s="177">
        <v>11.5</v>
      </c>
      <c r="J383" s="178">
        <v>24</v>
      </c>
      <c r="K383" s="174">
        <f t="shared" si="208"/>
        <v>3.2568000000000001</v>
      </c>
      <c r="L383" s="118"/>
      <c r="M383" s="178">
        <v>24</v>
      </c>
      <c r="N383" s="117">
        <f t="shared" si="209"/>
        <v>3.2568000000000001</v>
      </c>
      <c r="O383" s="119">
        <f t="shared" si="210"/>
        <v>0</v>
      </c>
      <c r="P383" s="120">
        <f t="shared" si="211"/>
        <v>0</v>
      </c>
      <c r="Q383" s="159"/>
      <c r="R383" s="111"/>
      <c r="S383" s="111"/>
    </row>
    <row r="384" spans="1:20">
      <c r="A384" s="110" t="s">
        <v>549</v>
      </c>
      <c r="B384" s="111" t="s">
        <v>232</v>
      </c>
      <c r="C384" s="112" t="s">
        <v>449</v>
      </c>
      <c r="D384" s="112"/>
      <c r="E384" s="113" t="s">
        <v>326</v>
      </c>
      <c r="F384" s="175" t="s">
        <v>14</v>
      </c>
      <c r="G384" s="175" t="s">
        <v>41</v>
      </c>
      <c r="H384" s="176">
        <v>11.8</v>
      </c>
      <c r="I384" s="177">
        <v>11.5</v>
      </c>
      <c r="J384" s="178">
        <v>24</v>
      </c>
      <c r="K384" s="174">
        <f t="shared" si="208"/>
        <v>3.2568000000000001</v>
      </c>
      <c r="L384" s="118"/>
      <c r="M384" s="178">
        <v>24</v>
      </c>
      <c r="N384" s="117">
        <f t="shared" si="209"/>
        <v>3.2568000000000001</v>
      </c>
      <c r="O384" s="119">
        <f t="shared" si="210"/>
        <v>0</v>
      </c>
      <c r="P384" s="120">
        <f t="shared" si="211"/>
        <v>0</v>
      </c>
      <c r="Q384" s="159"/>
      <c r="R384" s="111"/>
      <c r="S384" s="111"/>
    </row>
    <row r="385" spans="1:19">
      <c r="A385" s="110" t="s">
        <v>549</v>
      </c>
      <c r="B385" s="111" t="s">
        <v>232</v>
      </c>
      <c r="C385" s="112" t="s">
        <v>449</v>
      </c>
      <c r="D385" s="112"/>
      <c r="E385" s="113" t="s">
        <v>326</v>
      </c>
      <c r="F385" s="175" t="s">
        <v>14</v>
      </c>
      <c r="G385" s="175" t="s">
        <v>41</v>
      </c>
      <c r="H385" s="176">
        <v>11.8</v>
      </c>
      <c r="I385" s="177">
        <v>11.5</v>
      </c>
      <c r="J385" s="178">
        <v>24</v>
      </c>
      <c r="K385" s="174">
        <f t="shared" si="208"/>
        <v>3.2568000000000001</v>
      </c>
      <c r="L385" s="118"/>
      <c r="M385" s="178">
        <v>24</v>
      </c>
      <c r="N385" s="117">
        <f t="shared" si="209"/>
        <v>3.2568000000000001</v>
      </c>
      <c r="O385" s="119">
        <f t="shared" si="210"/>
        <v>0</v>
      </c>
      <c r="P385" s="120">
        <f t="shared" si="211"/>
        <v>0</v>
      </c>
      <c r="Q385" s="159"/>
      <c r="R385" s="111"/>
      <c r="S385" s="111"/>
    </row>
    <row r="386" spans="1:19">
      <c r="A386" s="110" t="s">
        <v>549</v>
      </c>
      <c r="B386" s="111" t="s">
        <v>232</v>
      </c>
      <c r="C386" s="112" t="s">
        <v>449</v>
      </c>
      <c r="D386" s="112"/>
      <c r="E386" s="113" t="s">
        <v>326</v>
      </c>
      <c r="F386" s="175" t="s">
        <v>14</v>
      </c>
      <c r="G386" s="175" t="s">
        <v>41</v>
      </c>
      <c r="H386" s="176">
        <v>11.8</v>
      </c>
      <c r="I386" s="177">
        <v>11.5</v>
      </c>
      <c r="J386" s="178">
        <v>24</v>
      </c>
      <c r="K386" s="174">
        <f t="shared" si="208"/>
        <v>3.2568000000000001</v>
      </c>
      <c r="L386" s="118"/>
      <c r="M386" s="178">
        <v>24</v>
      </c>
      <c r="N386" s="117">
        <f t="shared" si="209"/>
        <v>3.2568000000000001</v>
      </c>
      <c r="O386" s="119">
        <f t="shared" si="210"/>
        <v>0</v>
      </c>
      <c r="P386" s="120">
        <f t="shared" si="211"/>
        <v>0</v>
      </c>
      <c r="Q386" s="159"/>
      <c r="R386" s="111"/>
      <c r="S386" s="111"/>
    </row>
    <row r="387" spans="1:19">
      <c r="A387" s="110" t="s">
        <v>549</v>
      </c>
      <c r="B387" s="111" t="s">
        <v>232</v>
      </c>
      <c r="C387" s="112" t="s">
        <v>449</v>
      </c>
      <c r="D387" s="112"/>
      <c r="E387" s="113" t="s">
        <v>326</v>
      </c>
      <c r="F387" s="175" t="s">
        <v>14</v>
      </c>
      <c r="G387" s="175" t="s">
        <v>41</v>
      </c>
      <c r="H387" s="176">
        <v>11.8</v>
      </c>
      <c r="I387" s="177">
        <v>11.5</v>
      </c>
      <c r="J387" s="178">
        <v>24</v>
      </c>
      <c r="K387" s="174">
        <f t="shared" si="208"/>
        <v>3.2568000000000001</v>
      </c>
      <c r="L387" s="118"/>
      <c r="M387" s="178">
        <v>24</v>
      </c>
      <c r="N387" s="117">
        <f t="shared" si="209"/>
        <v>3.2568000000000001</v>
      </c>
      <c r="O387" s="119">
        <f t="shared" si="210"/>
        <v>0</v>
      </c>
      <c r="P387" s="120">
        <f t="shared" si="211"/>
        <v>0</v>
      </c>
      <c r="Q387" s="159"/>
      <c r="R387" s="111"/>
      <c r="S387" s="111"/>
    </row>
    <row r="388" spans="1:19">
      <c r="A388" s="110" t="s">
        <v>549</v>
      </c>
      <c r="B388" s="111" t="s">
        <v>232</v>
      </c>
      <c r="C388" s="112" t="s">
        <v>449</v>
      </c>
      <c r="D388" s="112"/>
      <c r="E388" s="113" t="s">
        <v>326</v>
      </c>
      <c r="F388" s="175" t="s">
        <v>14</v>
      </c>
      <c r="G388" s="175" t="s">
        <v>41</v>
      </c>
      <c r="H388" s="176">
        <v>11.8</v>
      </c>
      <c r="I388" s="177">
        <v>11.5</v>
      </c>
      <c r="J388" s="178">
        <v>24</v>
      </c>
      <c r="K388" s="174">
        <f t="shared" si="208"/>
        <v>3.2568000000000001</v>
      </c>
      <c r="L388" s="118"/>
      <c r="M388" s="178">
        <v>24</v>
      </c>
      <c r="N388" s="117">
        <f t="shared" si="209"/>
        <v>3.2568000000000001</v>
      </c>
      <c r="O388" s="119">
        <f t="shared" si="210"/>
        <v>0</v>
      </c>
      <c r="P388" s="120">
        <f t="shared" si="211"/>
        <v>0</v>
      </c>
      <c r="Q388" s="159"/>
      <c r="R388" s="111"/>
      <c r="S388" s="111"/>
    </row>
    <row r="389" spans="1:19">
      <c r="A389" s="110" t="s">
        <v>549</v>
      </c>
      <c r="B389" s="111" t="s">
        <v>232</v>
      </c>
      <c r="C389" s="112" t="s">
        <v>449</v>
      </c>
      <c r="D389" s="112"/>
      <c r="E389" s="113" t="s">
        <v>326</v>
      </c>
      <c r="F389" s="175" t="s">
        <v>14</v>
      </c>
      <c r="G389" s="175" t="s">
        <v>41</v>
      </c>
      <c r="H389" s="176">
        <v>11.8</v>
      </c>
      <c r="I389" s="177">
        <v>11.5</v>
      </c>
      <c r="J389" s="178">
        <v>24</v>
      </c>
      <c r="K389" s="174">
        <f t="shared" si="208"/>
        <v>3.2568000000000001</v>
      </c>
      <c r="L389" s="118"/>
      <c r="M389" s="178">
        <v>24</v>
      </c>
      <c r="N389" s="117">
        <f t="shared" si="209"/>
        <v>3.2568000000000001</v>
      </c>
      <c r="O389" s="119">
        <f t="shared" si="210"/>
        <v>0</v>
      </c>
      <c r="P389" s="120">
        <f t="shared" si="211"/>
        <v>0</v>
      </c>
      <c r="Q389" s="159"/>
      <c r="R389" s="111"/>
      <c r="S389" s="111"/>
    </row>
    <row r="390" spans="1:19">
      <c r="A390" s="110" t="s">
        <v>549</v>
      </c>
      <c r="B390" s="111" t="s">
        <v>232</v>
      </c>
      <c r="C390" s="112" t="s">
        <v>449</v>
      </c>
      <c r="D390" s="112"/>
      <c r="E390" s="113" t="s">
        <v>326</v>
      </c>
      <c r="F390" s="175" t="s">
        <v>14</v>
      </c>
      <c r="G390" s="175" t="s">
        <v>41</v>
      </c>
      <c r="H390" s="176">
        <v>11.8</v>
      </c>
      <c r="I390" s="177">
        <v>11.5</v>
      </c>
      <c r="J390" s="178">
        <v>24</v>
      </c>
      <c r="K390" s="174">
        <f t="shared" si="208"/>
        <v>3.2568000000000001</v>
      </c>
      <c r="L390" s="118"/>
      <c r="M390" s="178">
        <v>24</v>
      </c>
      <c r="N390" s="117">
        <f t="shared" si="209"/>
        <v>3.2568000000000001</v>
      </c>
      <c r="O390" s="119">
        <f t="shared" si="210"/>
        <v>0</v>
      </c>
      <c r="P390" s="120">
        <f t="shared" si="211"/>
        <v>0</v>
      </c>
      <c r="Q390" s="159"/>
      <c r="R390" s="111"/>
      <c r="S390" s="111"/>
    </row>
    <row r="391" spans="1:19">
      <c r="A391" s="110" t="s">
        <v>549</v>
      </c>
      <c r="B391" s="111" t="s">
        <v>232</v>
      </c>
      <c r="C391" s="112" t="s">
        <v>449</v>
      </c>
      <c r="D391" s="112"/>
      <c r="E391" s="113" t="s">
        <v>326</v>
      </c>
      <c r="F391" s="175" t="s">
        <v>14</v>
      </c>
      <c r="G391" s="175" t="s">
        <v>41</v>
      </c>
      <c r="H391" s="176">
        <v>11.8</v>
      </c>
      <c r="I391" s="177">
        <v>11.5</v>
      </c>
      <c r="J391" s="178">
        <v>6</v>
      </c>
      <c r="K391" s="174">
        <f t="shared" si="208"/>
        <v>0.81420000000000003</v>
      </c>
      <c r="L391" s="118"/>
      <c r="M391" s="178">
        <v>6</v>
      </c>
      <c r="N391" s="117">
        <f t="shared" si="209"/>
        <v>0.81420000000000003</v>
      </c>
      <c r="O391" s="119">
        <f t="shared" si="210"/>
        <v>0</v>
      </c>
      <c r="P391" s="120">
        <f t="shared" si="211"/>
        <v>0</v>
      </c>
      <c r="Q391" s="159"/>
      <c r="R391" s="111"/>
      <c r="S391" s="111"/>
    </row>
    <row r="392" spans="1:19">
      <c r="A392" s="110" t="s">
        <v>549</v>
      </c>
      <c r="B392" s="111" t="s">
        <v>232</v>
      </c>
      <c r="C392" s="112" t="s">
        <v>449</v>
      </c>
      <c r="D392" s="112"/>
      <c r="E392" s="113" t="s">
        <v>326</v>
      </c>
      <c r="F392" s="175" t="s">
        <v>14</v>
      </c>
      <c r="G392" s="175" t="s">
        <v>41</v>
      </c>
      <c r="H392" s="176">
        <v>11.8</v>
      </c>
      <c r="I392" s="177">
        <v>9.3000000000000007</v>
      </c>
      <c r="J392" s="178">
        <v>2</v>
      </c>
      <c r="K392" s="174">
        <f t="shared" ref="K392:K397" si="212">(H392*I392*J392/1000)</f>
        <v>0.21948000000000001</v>
      </c>
      <c r="L392" s="118"/>
      <c r="M392" s="417">
        <v>2</v>
      </c>
      <c r="N392" s="117">
        <f t="shared" ref="N392:N397" si="213">I392*M392*H392/1000</f>
        <v>0.21948000000000001</v>
      </c>
      <c r="O392" s="119">
        <f t="shared" ref="O392:O397" si="214">J392-M392</f>
        <v>0</v>
      </c>
      <c r="P392" s="120">
        <f t="shared" ref="P392:P396" si="215">I392*O392*H392/1000</f>
        <v>0</v>
      </c>
      <c r="Q392" s="159"/>
      <c r="R392" s="111"/>
      <c r="S392" s="111"/>
    </row>
    <row r="393" spans="1:19">
      <c r="A393" s="110" t="s">
        <v>549</v>
      </c>
      <c r="B393" s="111" t="s">
        <v>232</v>
      </c>
      <c r="C393" s="112" t="s">
        <v>449</v>
      </c>
      <c r="D393" s="112"/>
      <c r="E393" s="113" t="s">
        <v>326</v>
      </c>
      <c r="F393" s="175" t="s">
        <v>14</v>
      </c>
      <c r="G393" s="175" t="s">
        <v>41</v>
      </c>
      <c r="H393" s="176">
        <v>11.8</v>
      </c>
      <c r="I393" s="177">
        <v>9</v>
      </c>
      <c r="J393" s="178">
        <v>2</v>
      </c>
      <c r="K393" s="174">
        <f t="shared" si="212"/>
        <v>0.21240000000000001</v>
      </c>
      <c r="L393" s="118"/>
      <c r="M393" s="417"/>
      <c r="N393" s="117">
        <f t="shared" si="213"/>
        <v>0</v>
      </c>
      <c r="O393" s="119">
        <f t="shared" si="214"/>
        <v>2</v>
      </c>
      <c r="P393" s="120">
        <f t="shared" si="215"/>
        <v>0.21240000000000001</v>
      </c>
      <c r="Q393" s="159"/>
      <c r="R393" s="111"/>
      <c r="S393" s="111"/>
    </row>
    <row r="394" spans="1:19">
      <c r="A394" s="110" t="s">
        <v>549</v>
      </c>
      <c r="B394" s="111" t="s">
        <v>232</v>
      </c>
      <c r="C394" s="112" t="s">
        <v>449</v>
      </c>
      <c r="D394" s="112"/>
      <c r="E394" s="113" t="s">
        <v>326</v>
      </c>
      <c r="F394" s="175" t="s">
        <v>14</v>
      </c>
      <c r="G394" s="175" t="s">
        <v>41</v>
      </c>
      <c r="H394" s="176">
        <v>11.8</v>
      </c>
      <c r="I394" s="177">
        <v>11</v>
      </c>
      <c r="J394" s="178">
        <v>1</v>
      </c>
      <c r="K394" s="174">
        <f t="shared" si="212"/>
        <v>0.1298</v>
      </c>
      <c r="L394" s="118"/>
      <c r="M394" s="417">
        <v>1</v>
      </c>
      <c r="N394" s="117">
        <f t="shared" si="213"/>
        <v>0.1298</v>
      </c>
      <c r="O394" s="119">
        <f t="shared" si="214"/>
        <v>0</v>
      </c>
      <c r="P394" s="120">
        <f t="shared" si="215"/>
        <v>0</v>
      </c>
      <c r="Q394" s="159">
        <v>9.3000000000000007</v>
      </c>
      <c r="R394" s="111">
        <v>1</v>
      </c>
      <c r="S394" s="111"/>
    </row>
    <row r="395" spans="1:19">
      <c r="A395" s="110" t="s">
        <v>549</v>
      </c>
      <c r="B395" s="111" t="s">
        <v>232</v>
      </c>
      <c r="C395" s="112" t="s">
        <v>449</v>
      </c>
      <c r="D395" s="112"/>
      <c r="E395" s="113" t="s">
        <v>326</v>
      </c>
      <c r="F395" s="175" t="s">
        <v>14</v>
      </c>
      <c r="G395" s="175" t="s">
        <v>41</v>
      </c>
      <c r="H395" s="176">
        <v>11.8</v>
      </c>
      <c r="I395" s="177">
        <v>11.1</v>
      </c>
      <c r="J395" s="178">
        <v>2</v>
      </c>
      <c r="K395" s="174">
        <f t="shared" si="212"/>
        <v>0.26195999999999997</v>
      </c>
      <c r="L395" s="118"/>
      <c r="M395" s="417">
        <v>1</v>
      </c>
      <c r="N395" s="117">
        <f t="shared" si="213"/>
        <v>0.13097999999999999</v>
      </c>
      <c r="O395" s="119">
        <f t="shared" si="214"/>
        <v>1</v>
      </c>
      <c r="P395" s="120">
        <f t="shared" si="215"/>
        <v>0.13097999999999999</v>
      </c>
      <c r="Q395" s="159">
        <v>9.3000000000000007</v>
      </c>
      <c r="R395" s="111">
        <v>1</v>
      </c>
      <c r="S395" s="111"/>
    </row>
    <row r="396" spans="1:19">
      <c r="A396" s="110" t="s">
        <v>549</v>
      </c>
      <c r="B396" s="111" t="s">
        <v>232</v>
      </c>
      <c r="C396" s="112" t="s">
        <v>449</v>
      </c>
      <c r="D396" s="112"/>
      <c r="E396" s="113" t="s">
        <v>326</v>
      </c>
      <c r="F396" s="175" t="s">
        <v>14</v>
      </c>
      <c r="G396" s="175" t="s">
        <v>41</v>
      </c>
      <c r="H396" s="176">
        <v>11.8</v>
      </c>
      <c r="I396" s="177">
        <v>11.25</v>
      </c>
      <c r="J396" s="178">
        <v>2</v>
      </c>
      <c r="K396" s="174">
        <f t="shared" si="212"/>
        <v>0.26550000000000001</v>
      </c>
      <c r="L396" s="118"/>
      <c r="M396" s="417"/>
      <c r="N396" s="117">
        <f t="shared" si="213"/>
        <v>0</v>
      </c>
      <c r="O396" s="119">
        <f t="shared" si="214"/>
        <v>2</v>
      </c>
      <c r="P396" s="120">
        <f t="shared" si="215"/>
        <v>0.26550000000000001</v>
      </c>
      <c r="Q396" s="159"/>
      <c r="R396" s="111"/>
      <c r="S396" s="111"/>
    </row>
    <row r="397" spans="1:19">
      <c r="A397" s="110" t="s">
        <v>549</v>
      </c>
      <c r="B397" s="111" t="s">
        <v>232</v>
      </c>
      <c r="C397" s="112" t="s">
        <v>449</v>
      </c>
      <c r="D397" s="112"/>
      <c r="E397" s="113" t="s">
        <v>326</v>
      </c>
      <c r="F397" s="175" t="s">
        <v>14</v>
      </c>
      <c r="G397" s="175" t="s">
        <v>41</v>
      </c>
      <c r="H397" s="176">
        <v>11.8</v>
      </c>
      <c r="I397" s="177">
        <v>11.3</v>
      </c>
      <c r="J397" s="178">
        <v>1</v>
      </c>
      <c r="K397" s="174">
        <f t="shared" si="212"/>
        <v>0.13334000000000001</v>
      </c>
      <c r="L397" s="118"/>
      <c r="M397" s="417"/>
      <c r="N397" s="117">
        <f t="shared" si="213"/>
        <v>0</v>
      </c>
      <c r="O397" s="119">
        <f t="shared" si="214"/>
        <v>1</v>
      </c>
      <c r="P397" s="120">
        <f>I397*O397*H397/1000</f>
        <v>0.13334000000000001</v>
      </c>
      <c r="Q397" s="159"/>
      <c r="R397" s="111"/>
      <c r="S397" s="111"/>
    </row>
    <row r="398" spans="1:19">
      <c r="A398" s="32"/>
      <c r="B398" s="32"/>
      <c r="C398" s="32"/>
      <c r="D398" s="32"/>
      <c r="E398" s="32"/>
      <c r="F398" s="32"/>
      <c r="G398" s="32"/>
      <c r="H398" s="32"/>
      <c r="I398" s="32"/>
      <c r="J398" s="131">
        <f>SUM(J373:J397)</f>
        <v>411</v>
      </c>
      <c r="K398" s="124">
        <f>SUM(K373:K397)</f>
        <v>55.633459999999985</v>
      </c>
      <c r="L398" s="32"/>
      <c r="M398" s="131">
        <f>SUM(M373:M397)</f>
        <v>404</v>
      </c>
      <c r="N398" s="124">
        <f>SUM(N373:N397)</f>
        <v>54.760259999999981</v>
      </c>
      <c r="O398" s="131">
        <f>SUM(O373:O397)</f>
        <v>7</v>
      </c>
      <c r="P398" s="124">
        <f>SUM(P373:P397)</f>
        <v>0.87319999999999998</v>
      </c>
      <c r="Q398" s="32"/>
      <c r="R398" s="32"/>
      <c r="S398" s="32"/>
    </row>
    <row r="401" spans="1:19">
      <c r="A401" s="110" t="s">
        <v>549</v>
      </c>
      <c r="B401" s="111" t="s">
        <v>505</v>
      </c>
      <c r="C401" s="112" t="s">
        <v>449</v>
      </c>
      <c r="D401" s="112"/>
      <c r="E401" s="113" t="s">
        <v>17</v>
      </c>
      <c r="F401" s="175" t="s">
        <v>15</v>
      </c>
      <c r="G401" s="175" t="s">
        <v>36</v>
      </c>
      <c r="H401" s="176">
        <v>10.199999999999999</v>
      </c>
      <c r="I401" s="177">
        <v>11.7</v>
      </c>
      <c r="J401" s="178">
        <v>26</v>
      </c>
      <c r="K401" s="174">
        <f t="shared" ref="K401:K408" si="216">(H401*I401*J401/1000)</f>
        <v>3.1028399999999996</v>
      </c>
      <c r="L401" s="118"/>
      <c r="M401" s="178">
        <v>26</v>
      </c>
      <c r="N401" s="117">
        <f t="shared" ref="N401:N408" si="217">I401*M401*H401/1000</f>
        <v>3.1028399999999996</v>
      </c>
      <c r="O401" s="119">
        <f t="shared" ref="O401:O408" si="218">J401-M401</f>
        <v>0</v>
      </c>
      <c r="P401" s="120">
        <f t="shared" ref="P401:P408" si="219">I401*O401*H401/1000</f>
        <v>0</v>
      </c>
      <c r="Q401" s="159"/>
      <c r="R401" s="111"/>
      <c r="S401" s="111"/>
    </row>
    <row r="402" spans="1:19">
      <c r="A402" s="110" t="s">
        <v>549</v>
      </c>
      <c r="B402" s="111" t="s">
        <v>505</v>
      </c>
      <c r="C402" s="112" t="s">
        <v>449</v>
      </c>
      <c r="D402" s="112"/>
      <c r="E402" s="113" t="s">
        <v>17</v>
      </c>
      <c r="F402" s="175" t="s">
        <v>15</v>
      </c>
      <c r="G402" s="175" t="s">
        <v>36</v>
      </c>
      <c r="H402" s="176">
        <v>10.199999999999999</v>
      </c>
      <c r="I402" s="177">
        <v>11.7</v>
      </c>
      <c r="J402" s="178">
        <v>15</v>
      </c>
      <c r="K402" s="174">
        <f t="shared" si="216"/>
        <v>1.7900999999999998</v>
      </c>
      <c r="L402" s="118"/>
      <c r="M402" s="178">
        <v>15</v>
      </c>
      <c r="N402" s="117">
        <f t="shared" si="217"/>
        <v>1.7900999999999998</v>
      </c>
      <c r="O402" s="119">
        <f t="shared" si="218"/>
        <v>0</v>
      </c>
      <c r="P402" s="120">
        <f t="shared" si="219"/>
        <v>0</v>
      </c>
      <c r="Q402" s="159"/>
      <c r="R402" s="111"/>
      <c r="S402" s="111"/>
    </row>
    <row r="403" spans="1:19">
      <c r="A403" s="110" t="s">
        <v>549</v>
      </c>
      <c r="B403" s="111" t="s">
        <v>505</v>
      </c>
      <c r="C403" s="112" t="s">
        <v>449</v>
      </c>
      <c r="D403" s="112"/>
      <c r="E403" s="113" t="s">
        <v>17</v>
      </c>
      <c r="F403" s="175" t="s">
        <v>15</v>
      </c>
      <c r="G403" s="175" t="s">
        <v>36</v>
      </c>
      <c r="H403" s="176">
        <v>10.199999999999999</v>
      </c>
      <c r="I403" s="177">
        <v>10.85</v>
      </c>
      <c r="J403" s="178">
        <v>1</v>
      </c>
      <c r="K403" s="174">
        <f t="shared" si="216"/>
        <v>0.11066999999999999</v>
      </c>
      <c r="L403" s="118"/>
      <c r="M403" s="178">
        <v>1</v>
      </c>
      <c r="N403" s="117">
        <f t="shared" si="217"/>
        <v>0.11066999999999999</v>
      </c>
      <c r="O403" s="119">
        <f t="shared" si="218"/>
        <v>0</v>
      </c>
      <c r="P403" s="120">
        <f t="shared" si="219"/>
        <v>0</v>
      </c>
      <c r="Q403" s="159">
        <v>9.1999999999999993</v>
      </c>
      <c r="R403" s="111">
        <v>1</v>
      </c>
      <c r="S403" s="111"/>
    </row>
    <row r="404" spans="1:19">
      <c r="A404" s="110" t="s">
        <v>549</v>
      </c>
      <c r="B404" s="111" t="s">
        <v>505</v>
      </c>
      <c r="C404" s="112" t="s">
        <v>449</v>
      </c>
      <c r="D404" s="112"/>
      <c r="E404" s="113" t="s">
        <v>17</v>
      </c>
      <c r="F404" s="175" t="s">
        <v>15</v>
      </c>
      <c r="G404" s="175" t="s">
        <v>36</v>
      </c>
      <c r="H404" s="176">
        <v>10.199999999999999</v>
      </c>
      <c r="I404" s="177">
        <v>11</v>
      </c>
      <c r="J404" s="178">
        <v>17</v>
      </c>
      <c r="K404" s="174">
        <f t="shared" si="216"/>
        <v>1.9073999999999998</v>
      </c>
      <c r="L404" s="118"/>
      <c r="M404" s="178">
        <v>17</v>
      </c>
      <c r="N404" s="117">
        <f t="shared" si="217"/>
        <v>1.9073999999999998</v>
      </c>
      <c r="O404" s="119">
        <f t="shared" si="218"/>
        <v>0</v>
      </c>
      <c r="P404" s="120">
        <f t="shared" si="219"/>
        <v>0</v>
      </c>
      <c r="Q404" s="159"/>
      <c r="R404" s="111"/>
      <c r="S404" s="111"/>
    </row>
    <row r="405" spans="1:19">
      <c r="A405" s="110" t="s">
        <v>549</v>
      </c>
      <c r="B405" s="111" t="s">
        <v>505</v>
      </c>
      <c r="C405" s="112" t="s">
        <v>449</v>
      </c>
      <c r="D405" s="112"/>
      <c r="E405" s="113" t="s">
        <v>17</v>
      </c>
      <c r="F405" s="175" t="s">
        <v>15</v>
      </c>
      <c r="G405" s="175" t="s">
        <v>36</v>
      </c>
      <c r="H405" s="176">
        <v>10.199999999999999</v>
      </c>
      <c r="I405" s="177">
        <v>9.8000000000000007</v>
      </c>
      <c r="J405" s="178">
        <v>13</v>
      </c>
      <c r="K405" s="174">
        <f t="shared" si="216"/>
        <v>1.29948</v>
      </c>
      <c r="L405" s="118"/>
      <c r="M405" s="178">
        <v>13</v>
      </c>
      <c r="N405" s="117">
        <f t="shared" si="217"/>
        <v>1.29948</v>
      </c>
      <c r="O405" s="119">
        <f t="shared" si="218"/>
        <v>0</v>
      </c>
      <c r="P405" s="120">
        <f t="shared" si="219"/>
        <v>0</v>
      </c>
      <c r="Q405" s="159"/>
      <c r="R405" s="111"/>
      <c r="S405" s="111"/>
    </row>
    <row r="406" spans="1:19">
      <c r="A406" s="110" t="s">
        <v>549</v>
      </c>
      <c r="B406" s="111" t="s">
        <v>505</v>
      </c>
      <c r="C406" s="112" t="s">
        <v>449</v>
      </c>
      <c r="D406" s="112"/>
      <c r="E406" s="113" t="s">
        <v>17</v>
      </c>
      <c r="F406" s="175" t="s">
        <v>15</v>
      </c>
      <c r="G406" s="175" t="s">
        <v>36</v>
      </c>
      <c r="H406" s="176">
        <v>10.199999999999999</v>
      </c>
      <c r="I406" s="177">
        <v>9.1999999999999993</v>
      </c>
      <c r="J406" s="178">
        <v>14</v>
      </c>
      <c r="K406" s="174">
        <f t="shared" si="216"/>
        <v>1.3137599999999998</v>
      </c>
      <c r="L406" s="118"/>
      <c r="M406" s="178">
        <v>14</v>
      </c>
      <c r="N406" s="117">
        <f t="shared" si="217"/>
        <v>1.3137599999999998</v>
      </c>
      <c r="O406" s="119">
        <f t="shared" si="218"/>
        <v>0</v>
      </c>
      <c r="P406" s="120">
        <f t="shared" si="219"/>
        <v>0</v>
      </c>
      <c r="Q406" s="159"/>
      <c r="R406" s="111"/>
      <c r="S406" s="111"/>
    </row>
    <row r="407" spans="1:19">
      <c r="A407" s="110" t="s">
        <v>549</v>
      </c>
      <c r="B407" s="111" t="s">
        <v>505</v>
      </c>
      <c r="C407" s="112" t="s">
        <v>449</v>
      </c>
      <c r="D407" s="112"/>
      <c r="E407" s="113" t="s">
        <v>17</v>
      </c>
      <c r="F407" s="175" t="s">
        <v>15</v>
      </c>
      <c r="G407" s="175" t="s">
        <v>36</v>
      </c>
      <c r="H407" s="176">
        <v>10.199999999999999</v>
      </c>
      <c r="I407" s="177">
        <v>8.3000000000000007</v>
      </c>
      <c r="J407" s="178">
        <v>17</v>
      </c>
      <c r="K407" s="174">
        <f t="shared" si="216"/>
        <v>1.4392199999999999</v>
      </c>
      <c r="L407" s="118"/>
      <c r="M407" s="178">
        <v>17</v>
      </c>
      <c r="N407" s="117">
        <f t="shared" si="217"/>
        <v>1.4392199999999999</v>
      </c>
      <c r="O407" s="119">
        <f t="shared" si="218"/>
        <v>0</v>
      </c>
      <c r="P407" s="120">
        <f t="shared" si="219"/>
        <v>0</v>
      </c>
      <c r="Q407" s="159"/>
      <c r="R407" s="111"/>
      <c r="S407" s="111"/>
    </row>
    <row r="408" spans="1:19">
      <c r="A408" s="110" t="s">
        <v>549</v>
      </c>
      <c r="B408" s="111" t="s">
        <v>505</v>
      </c>
      <c r="C408" s="112" t="s">
        <v>449</v>
      </c>
      <c r="D408" s="112"/>
      <c r="E408" s="113" t="s">
        <v>17</v>
      </c>
      <c r="F408" s="175" t="s">
        <v>15</v>
      </c>
      <c r="G408" s="175" t="s">
        <v>36</v>
      </c>
      <c r="H408" s="176">
        <v>10.199999999999999</v>
      </c>
      <c r="I408" s="177">
        <v>11.7</v>
      </c>
      <c r="J408" s="178">
        <v>26</v>
      </c>
      <c r="K408" s="174">
        <f t="shared" si="216"/>
        <v>3.1028399999999996</v>
      </c>
      <c r="L408" s="118"/>
      <c r="M408" s="178">
        <v>26</v>
      </c>
      <c r="N408" s="117">
        <f t="shared" si="217"/>
        <v>3.1028399999999996</v>
      </c>
      <c r="O408" s="119">
        <f t="shared" si="218"/>
        <v>0</v>
      </c>
      <c r="P408" s="120">
        <f t="shared" si="219"/>
        <v>0</v>
      </c>
      <c r="Q408" s="159"/>
      <c r="R408" s="111"/>
      <c r="S408" s="111"/>
    </row>
    <row r="409" spans="1:19">
      <c r="A409" s="110" t="s">
        <v>549</v>
      </c>
      <c r="B409" s="111" t="s">
        <v>505</v>
      </c>
      <c r="C409" s="112" t="s">
        <v>449</v>
      </c>
      <c r="D409" s="112"/>
      <c r="E409" s="113" t="s">
        <v>17</v>
      </c>
      <c r="F409" s="175" t="s">
        <v>15</v>
      </c>
      <c r="G409" s="175" t="s">
        <v>36</v>
      </c>
      <c r="H409" s="176">
        <v>10.199999999999999</v>
      </c>
      <c r="I409" s="177">
        <v>8.3000000000000007</v>
      </c>
      <c r="J409" s="178">
        <v>8</v>
      </c>
      <c r="K409" s="174">
        <f t="shared" ref="K409:K414" si="220">(H409*I409*J409/1000)</f>
        <v>0.67727999999999999</v>
      </c>
      <c r="L409" s="118"/>
      <c r="M409" s="178">
        <v>8</v>
      </c>
      <c r="N409" s="117">
        <f t="shared" ref="N409:N414" si="221">I409*M409*H409/1000</f>
        <v>0.67727999999999999</v>
      </c>
      <c r="O409" s="119">
        <f t="shared" ref="O409:O414" si="222">J409-M409</f>
        <v>0</v>
      </c>
      <c r="P409" s="120">
        <f t="shared" ref="P409:P412" si="223">I409*O409*H409/1000</f>
        <v>0</v>
      </c>
      <c r="Q409" s="159"/>
      <c r="R409" s="111"/>
      <c r="S409" s="111"/>
    </row>
    <row r="410" spans="1:19">
      <c r="A410" s="110" t="s">
        <v>549</v>
      </c>
      <c r="B410" s="111" t="s">
        <v>505</v>
      </c>
      <c r="C410" s="112" t="s">
        <v>449</v>
      </c>
      <c r="D410" s="112"/>
      <c r="E410" s="113" t="s">
        <v>17</v>
      </c>
      <c r="F410" s="175" t="s">
        <v>15</v>
      </c>
      <c r="G410" s="175" t="s">
        <v>36</v>
      </c>
      <c r="H410" s="176">
        <v>10.199999999999999</v>
      </c>
      <c r="I410" s="177">
        <v>9.1999999999999993</v>
      </c>
      <c r="J410" s="178">
        <v>9</v>
      </c>
      <c r="K410" s="174">
        <f t="shared" si="220"/>
        <v>0.84455999999999998</v>
      </c>
      <c r="L410" s="118"/>
      <c r="M410" s="178">
        <v>9</v>
      </c>
      <c r="N410" s="117">
        <f t="shared" si="221"/>
        <v>0.84455999999999998</v>
      </c>
      <c r="O410" s="119">
        <f t="shared" si="222"/>
        <v>0</v>
      </c>
      <c r="P410" s="120">
        <f t="shared" si="223"/>
        <v>0</v>
      </c>
      <c r="Q410" s="159"/>
      <c r="R410" s="111"/>
      <c r="S410" s="111"/>
    </row>
    <row r="411" spans="1:19">
      <c r="A411" s="110" t="s">
        <v>549</v>
      </c>
      <c r="B411" s="111" t="s">
        <v>505</v>
      </c>
      <c r="C411" s="112" t="s">
        <v>449</v>
      </c>
      <c r="D411" s="112"/>
      <c r="E411" s="113" t="s">
        <v>17</v>
      </c>
      <c r="F411" s="175" t="s">
        <v>15</v>
      </c>
      <c r="G411" s="175" t="s">
        <v>36</v>
      </c>
      <c r="H411" s="176">
        <v>10.199999999999999</v>
      </c>
      <c r="I411" s="177">
        <v>9.8000000000000007</v>
      </c>
      <c r="J411" s="178">
        <v>13</v>
      </c>
      <c r="K411" s="174">
        <f t="shared" si="220"/>
        <v>1.29948</v>
      </c>
      <c r="L411" s="118"/>
      <c r="M411" s="178">
        <f>12+1</f>
        <v>13</v>
      </c>
      <c r="N411" s="117">
        <f t="shared" si="221"/>
        <v>1.29948</v>
      </c>
      <c r="O411" s="119">
        <f t="shared" si="222"/>
        <v>0</v>
      </c>
      <c r="P411" s="120">
        <f t="shared" si="223"/>
        <v>0</v>
      </c>
      <c r="Q411" s="159">
        <v>8.3000000000000007</v>
      </c>
      <c r="R411" s="111">
        <v>1</v>
      </c>
      <c r="S411" s="111"/>
    </row>
    <row r="412" spans="1:19">
      <c r="A412" s="110" t="s">
        <v>549</v>
      </c>
      <c r="B412" s="111" t="s">
        <v>505</v>
      </c>
      <c r="C412" s="112" t="s">
        <v>449</v>
      </c>
      <c r="D412" s="112"/>
      <c r="E412" s="113" t="s">
        <v>17</v>
      </c>
      <c r="F412" s="175" t="s">
        <v>15</v>
      </c>
      <c r="G412" s="175" t="s">
        <v>36</v>
      </c>
      <c r="H412" s="176">
        <v>10.199999999999999</v>
      </c>
      <c r="I412" s="177">
        <v>11</v>
      </c>
      <c r="J412" s="178">
        <v>9</v>
      </c>
      <c r="K412" s="174">
        <f t="shared" si="220"/>
        <v>1.0098</v>
      </c>
      <c r="L412" s="118"/>
      <c r="M412" s="178">
        <v>7</v>
      </c>
      <c r="N412" s="117">
        <f t="shared" si="221"/>
        <v>0.78539999999999999</v>
      </c>
      <c r="O412" s="228">
        <f t="shared" si="222"/>
        <v>2</v>
      </c>
      <c r="P412" s="229">
        <f t="shared" si="223"/>
        <v>0.22439999999999999</v>
      </c>
      <c r="Q412" s="159" t="s">
        <v>419</v>
      </c>
      <c r="R412" s="111">
        <v>2</v>
      </c>
      <c r="S412" s="111"/>
    </row>
    <row r="413" spans="1:19">
      <c r="A413" s="110" t="s">
        <v>549</v>
      </c>
      <c r="B413" s="111" t="s">
        <v>505</v>
      </c>
      <c r="C413" s="112" t="s">
        <v>449</v>
      </c>
      <c r="D413" s="112"/>
      <c r="E413" s="113" t="s">
        <v>17</v>
      </c>
      <c r="F413" s="175" t="s">
        <v>15</v>
      </c>
      <c r="G413" s="175" t="s">
        <v>36</v>
      </c>
      <c r="H413" s="176">
        <v>10.199999999999999</v>
      </c>
      <c r="I413" s="177">
        <v>11.7</v>
      </c>
      <c r="J413" s="178">
        <v>30</v>
      </c>
      <c r="K413" s="174">
        <f t="shared" si="220"/>
        <v>3.5801999999999996</v>
      </c>
      <c r="L413" s="118"/>
      <c r="M413" s="178">
        <v>29</v>
      </c>
      <c r="N413" s="117">
        <f t="shared" si="221"/>
        <v>3.4608599999999994</v>
      </c>
      <c r="O413" s="228">
        <f t="shared" si="222"/>
        <v>1</v>
      </c>
      <c r="P413" s="229">
        <f>I413*O413*H413/1000</f>
        <v>0.11933999999999999</v>
      </c>
      <c r="Q413" s="159" t="s">
        <v>419</v>
      </c>
      <c r="R413" s="111">
        <v>1</v>
      </c>
      <c r="S413" s="111"/>
    </row>
    <row r="414" spans="1:19">
      <c r="A414" s="110" t="s">
        <v>549</v>
      </c>
      <c r="B414" s="111" t="s">
        <v>505</v>
      </c>
      <c r="C414" s="112" t="s">
        <v>449</v>
      </c>
      <c r="D414" s="112"/>
      <c r="E414" s="113" t="s">
        <v>17</v>
      </c>
      <c r="F414" s="175" t="s">
        <v>15</v>
      </c>
      <c r="G414" s="175" t="s">
        <v>36</v>
      </c>
      <c r="H414" s="176">
        <v>10.199999999999999</v>
      </c>
      <c r="I414" s="177">
        <v>11.7</v>
      </c>
      <c r="J414" s="178">
        <v>6</v>
      </c>
      <c r="K414" s="174">
        <f t="shared" si="220"/>
        <v>0.71604000000000001</v>
      </c>
      <c r="L414" s="118"/>
      <c r="M414" s="178"/>
      <c r="N414" s="117">
        <f t="shared" si="221"/>
        <v>0</v>
      </c>
      <c r="O414" s="228">
        <f t="shared" si="222"/>
        <v>6</v>
      </c>
      <c r="P414" s="229">
        <f>I414*O414*H414/1000</f>
        <v>0.7160399999999999</v>
      </c>
      <c r="Q414" s="159" t="s">
        <v>419</v>
      </c>
      <c r="R414" s="111">
        <v>6</v>
      </c>
      <c r="S414" s="111"/>
    </row>
    <row r="415" spans="1:19">
      <c r="A415" s="32"/>
      <c r="B415" s="32"/>
      <c r="C415" s="32"/>
      <c r="D415" s="32"/>
      <c r="E415" s="32"/>
      <c r="F415" s="32"/>
      <c r="G415" s="32"/>
      <c r="H415" s="32"/>
      <c r="I415" s="32"/>
      <c r="J415" s="131">
        <f>SUM(J401:J414)</f>
        <v>204</v>
      </c>
      <c r="K415" s="124">
        <f>SUM(K401:K414)</f>
        <v>22.193669999999997</v>
      </c>
      <c r="L415" s="32"/>
      <c r="M415" s="131">
        <f>SUM(M401:M414)</f>
        <v>195</v>
      </c>
      <c r="N415" s="124">
        <f>SUM(N401:N414)</f>
        <v>21.133890000000001</v>
      </c>
      <c r="O415" s="131">
        <f>SUM(O401:O414)</f>
        <v>9</v>
      </c>
      <c r="P415" s="124">
        <f>SUM(P401:P414)</f>
        <v>1.0597799999999999</v>
      </c>
      <c r="Q415" s="32"/>
      <c r="R415" s="32"/>
      <c r="S415" s="32"/>
    </row>
    <row r="418" spans="1:19">
      <c r="A418" s="110" t="s">
        <v>649</v>
      </c>
      <c r="B418" s="111" t="s">
        <v>505</v>
      </c>
      <c r="C418" s="112" t="s">
        <v>449</v>
      </c>
      <c r="D418" s="112"/>
      <c r="E418" s="113" t="s">
        <v>17</v>
      </c>
      <c r="F418" s="175" t="s">
        <v>15</v>
      </c>
      <c r="G418" s="175" t="s">
        <v>44</v>
      </c>
      <c r="H418" s="176">
        <v>13.4</v>
      </c>
      <c r="I418" s="177">
        <v>12</v>
      </c>
      <c r="J418" s="178">
        <v>20</v>
      </c>
      <c r="K418" s="174">
        <f t="shared" ref="K418:K425" si="224">(H418*I418*J418/1000)</f>
        <v>3.2160000000000002</v>
      </c>
      <c r="L418" s="118"/>
      <c r="M418" s="178">
        <v>20</v>
      </c>
      <c r="N418" s="117">
        <f t="shared" ref="N418:N425" si="225">I418*M418*H418/1000</f>
        <v>3.2160000000000002</v>
      </c>
      <c r="O418" s="119">
        <f t="shared" ref="O418:O425" si="226">J418-M418</f>
        <v>0</v>
      </c>
      <c r="P418" s="120">
        <f t="shared" ref="P418:P425" si="227">I418*O418*H418/1000</f>
        <v>0</v>
      </c>
      <c r="Q418" s="159"/>
      <c r="R418" s="111"/>
      <c r="S418" s="111"/>
    </row>
    <row r="419" spans="1:19">
      <c r="A419" s="110" t="s">
        <v>649</v>
      </c>
      <c r="B419" s="111" t="s">
        <v>505</v>
      </c>
      <c r="C419" s="112" t="s">
        <v>449</v>
      </c>
      <c r="D419" s="112"/>
      <c r="E419" s="113" t="s">
        <v>17</v>
      </c>
      <c r="F419" s="175" t="s">
        <v>15</v>
      </c>
      <c r="G419" s="175" t="s">
        <v>44</v>
      </c>
      <c r="H419" s="176">
        <v>13.4</v>
      </c>
      <c r="I419" s="177">
        <v>12</v>
      </c>
      <c r="J419" s="178">
        <v>20</v>
      </c>
      <c r="K419" s="174">
        <f t="shared" si="224"/>
        <v>3.2160000000000002</v>
      </c>
      <c r="L419" s="118"/>
      <c r="M419" s="178">
        <v>20</v>
      </c>
      <c r="N419" s="117">
        <f t="shared" si="225"/>
        <v>3.2160000000000002</v>
      </c>
      <c r="O419" s="119">
        <f t="shared" si="226"/>
        <v>0</v>
      </c>
      <c r="P419" s="120">
        <f t="shared" si="227"/>
        <v>0</v>
      </c>
      <c r="Q419" s="159"/>
      <c r="R419" s="111"/>
      <c r="S419" s="111"/>
    </row>
    <row r="420" spans="1:19">
      <c r="A420" s="110" t="s">
        <v>649</v>
      </c>
      <c r="B420" s="111" t="s">
        <v>505</v>
      </c>
      <c r="C420" s="112" t="s">
        <v>449</v>
      </c>
      <c r="D420" s="112"/>
      <c r="E420" s="113" t="s">
        <v>17</v>
      </c>
      <c r="F420" s="175" t="s">
        <v>15</v>
      </c>
      <c r="G420" s="175" t="s">
        <v>44</v>
      </c>
      <c r="H420" s="176">
        <v>13.4</v>
      </c>
      <c r="I420" s="177">
        <v>12</v>
      </c>
      <c r="J420" s="178">
        <v>20</v>
      </c>
      <c r="K420" s="174">
        <f t="shared" si="224"/>
        <v>3.2160000000000002</v>
      </c>
      <c r="L420" s="118"/>
      <c r="M420" s="178">
        <v>20</v>
      </c>
      <c r="N420" s="117">
        <f t="shared" si="225"/>
        <v>3.2160000000000002</v>
      </c>
      <c r="O420" s="119">
        <f t="shared" si="226"/>
        <v>0</v>
      </c>
      <c r="P420" s="120">
        <f t="shared" si="227"/>
        <v>0</v>
      </c>
      <c r="Q420" s="159"/>
      <c r="R420" s="111"/>
      <c r="S420" s="111"/>
    </row>
    <row r="421" spans="1:19">
      <c r="A421" s="110" t="s">
        <v>649</v>
      </c>
      <c r="B421" s="111" t="s">
        <v>505</v>
      </c>
      <c r="C421" s="112" t="s">
        <v>449</v>
      </c>
      <c r="D421" s="112"/>
      <c r="E421" s="113" t="s">
        <v>17</v>
      </c>
      <c r="F421" s="175" t="s">
        <v>15</v>
      </c>
      <c r="G421" s="175" t="s">
        <v>44</v>
      </c>
      <c r="H421" s="176">
        <v>13.4</v>
      </c>
      <c r="I421" s="177">
        <v>12</v>
      </c>
      <c r="J421" s="178">
        <v>20</v>
      </c>
      <c r="K421" s="174">
        <f t="shared" si="224"/>
        <v>3.2160000000000002</v>
      </c>
      <c r="L421" s="118"/>
      <c r="M421" s="178">
        <v>20</v>
      </c>
      <c r="N421" s="117">
        <f t="shared" si="225"/>
        <v>3.2160000000000002</v>
      </c>
      <c r="O421" s="119">
        <f t="shared" si="226"/>
        <v>0</v>
      </c>
      <c r="P421" s="120">
        <f t="shared" si="227"/>
        <v>0</v>
      </c>
      <c r="Q421" s="159"/>
      <c r="R421" s="111"/>
      <c r="S421" s="111"/>
    </row>
    <row r="422" spans="1:19">
      <c r="A422" s="110" t="s">
        <v>649</v>
      </c>
      <c r="B422" s="111" t="s">
        <v>505</v>
      </c>
      <c r="C422" s="112" t="s">
        <v>449</v>
      </c>
      <c r="D422" s="112"/>
      <c r="E422" s="113" t="s">
        <v>17</v>
      </c>
      <c r="F422" s="175" t="s">
        <v>15</v>
      </c>
      <c r="G422" s="175" t="s">
        <v>44</v>
      </c>
      <c r="H422" s="176">
        <v>13.4</v>
      </c>
      <c r="I422" s="177">
        <v>12</v>
      </c>
      <c r="J422" s="178">
        <v>21</v>
      </c>
      <c r="K422" s="174">
        <f t="shared" si="224"/>
        <v>3.3768000000000002</v>
      </c>
      <c r="L422" s="118"/>
      <c r="M422" s="178">
        <v>21</v>
      </c>
      <c r="N422" s="117">
        <f t="shared" si="225"/>
        <v>3.3768000000000002</v>
      </c>
      <c r="O422" s="119">
        <f t="shared" si="226"/>
        <v>0</v>
      </c>
      <c r="P422" s="120">
        <f t="shared" si="227"/>
        <v>0</v>
      </c>
      <c r="Q422" s="159"/>
      <c r="R422" s="111"/>
      <c r="S422" s="111"/>
    </row>
    <row r="423" spans="1:19">
      <c r="A423" s="110" t="s">
        <v>649</v>
      </c>
      <c r="B423" s="111" t="s">
        <v>505</v>
      </c>
      <c r="C423" s="112" t="s">
        <v>449</v>
      </c>
      <c r="D423" s="112"/>
      <c r="E423" s="113" t="s">
        <v>17</v>
      </c>
      <c r="F423" s="175" t="s">
        <v>15</v>
      </c>
      <c r="G423" s="175" t="s">
        <v>44</v>
      </c>
      <c r="H423" s="176">
        <v>13.4</v>
      </c>
      <c r="I423" s="177">
        <v>10.85</v>
      </c>
      <c r="J423" s="178">
        <v>25</v>
      </c>
      <c r="K423" s="174">
        <f t="shared" si="224"/>
        <v>3.6347499999999995</v>
      </c>
      <c r="L423" s="118"/>
      <c r="M423" s="178">
        <v>25</v>
      </c>
      <c r="N423" s="117">
        <f t="shared" si="225"/>
        <v>3.6347499999999999</v>
      </c>
      <c r="O423" s="119">
        <f t="shared" si="226"/>
        <v>0</v>
      </c>
      <c r="P423" s="120">
        <f t="shared" si="227"/>
        <v>0</v>
      </c>
      <c r="Q423" s="159"/>
      <c r="R423" s="111"/>
      <c r="S423" s="111"/>
    </row>
    <row r="424" spans="1:19">
      <c r="A424" s="110" t="s">
        <v>649</v>
      </c>
      <c r="B424" s="111" t="s">
        <v>505</v>
      </c>
      <c r="C424" s="112" t="s">
        <v>449</v>
      </c>
      <c r="D424" s="112"/>
      <c r="E424" s="113" t="s">
        <v>17</v>
      </c>
      <c r="F424" s="175" t="s">
        <v>15</v>
      </c>
      <c r="G424" s="175" t="s">
        <v>44</v>
      </c>
      <c r="H424" s="176">
        <v>13.4</v>
      </c>
      <c r="I424" s="177">
        <v>10.85</v>
      </c>
      <c r="J424" s="178">
        <v>23</v>
      </c>
      <c r="K424" s="174">
        <f t="shared" si="224"/>
        <v>3.3439699999999997</v>
      </c>
      <c r="L424" s="118"/>
      <c r="M424" s="178">
        <v>23</v>
      </c>
      <c r="N424" s="117">
        <f t="shared" si="225"/>
        <v>3.3439699999999997</v>
      </c>
      <c r="O424" s="119">
        <f t="shared" si="226"/>
        <v>0</v>
      </c>
      <c r="P424" s="120">
        <f t="shared" si="227"/>
        <v>0</v>
      </c>
      <c r="Q424" s="159"/>
      <c r="R424" s="111"/>
      <c r="S424" s="111"/>
    </row>
    <row r="425" spans="1:19">
      <c r="A425" s="110" t="s">
        <v>649</v>
      </c>
      <c r="B425" s="111" t="s">
        <v>505</v>
      </c>
      <c r="C425" s="112" t="s">
        <v>449</v>
      </c>
      <c r="D425" s="112"/>
      <c r="E425" s="113" t="s">
        <v>17</v>
      </c>
      <c r="F425" s="175" t="s">
        <v>15</v>
      </c>
      <c r="G425" s="175" t="s">
        <v>44</v>
      </c>
      <c r="H425" s="176">
        <v>13.4</v>
      </c>
      <c r="I425" s="177">
        <v>10.85</v>
      </c>
      <c r="J425" s="178">
        <v>23</v>
      </c>
      <c r="K425" s="174">
        <f t="shared" si="224"/>
        <v>3.3439699999999997</v>
      </c>
      <c r="L425" s="118"/>
      <c r="M425" s="178">
        <v>23</v>
      </c>
      <c r="N425" s="117">
        <f t="shared" si="225"/>
        <v>3.3439699999999997</v>
      </c>
      <c r="O425" s="119">
        <f t="shared" si="226"/>
        <v>0</v>
      </c>
      <c r="P425" s="120">
        <f t="shared" si="227"/>
        <v>0</v>
      </c>
      <c r="Q425" s="159"/>
      <c r="R425" s="111"/>
      <c r="S425" s="111"/>
    </row>
    <row r="426" spans="1:19">
      <c r="A426" s="110" t="s">
        <v>649</v>
      </c>
      <c r="B426" s="111" t="s">
        <v>505</v>
      </c>
      <c r="C426" s="112" t="s">
        <v>449</v>
      </c>
      <c r="D426" s="112"/>
      <c r="E426" s="113" t="s">
        <v>17</v>
      </c>
      <c r="F426" s="175" t="s">
        <v>15</v>
      </c>
      <c r="G426" s="175" t="s">
        <v>44</v>
      </c>
      <c r="H426" s="176">
        <v>13.4</v>
      </c>
      <c r="I426" s="177">
        <v>10.85</v>
      </c>
      <c r="J426" s="178">
        <v>23</v>
      </c>
      <c r="K426" s="174">
        <f t="shared" ref="K426:K428" si="228">(H426*I426*J426/1000)</f>
        <v>3.3439699999999997</v>
      </c>
      <c r="L426" s="118"/>
      <c r="M426" s="178">
        <v>23</v>
      </c>
      <c r="N426" s="117">
        <f t="shared" ref="N426:N428" si="229">I426*M426*H426/1000</f>
        <v>3.3439699999999997</v>
      </c>
      <c r="O426" s="119">
        <f t="shared" ref="O426:O428" si="230">J426-M426</f>
        <v>0</v>
      </c>
      <c r="P426" s="120">
        <f t="shared" ref="P426:P428" si="231">I426*O426*H426/1000</f>
        <v>0</v>
      </c>
      <c r="Q426" s="159"/>
      <c r="R426" s="111"/>
      <c r="S426" s="111"/>
    </row>
    <row r="427" spans="1:19">
      <c r="A427" s="110" t="s">
        <v>649</v>
      </c>
      <c r="B427" s="111" t="s">
        <v>505</v>
      </c>
      <c r="C427" s="112" t="s">
        <v>449</v>
      </c>
      <c r="D427" s="112"/>
      <c r="E427" s="113" t="s">
        <v>17</v>
      </c>
      <c r="F427" s="175" t="s">
        <v>15</v>
      </c>
      <c r="G427" s="175" t="s">
        <v>44</v>
      </c>
      <c r="H427" s="176">
        <v>13.4</v>
      </c>
      <c r="I427" s="177">
        <v>10.85</v>
      </c>
      <c r="J427" s="178">
        <v>23</v>
      </c>
      <c r="K427" s="174">
        <f t="shared" si="228"/>
        <v>3.3439699999999997</v>
      </c>
      <c r="L427" s="118"/>
      <c r="M427" s="178">
        <v>23</v>
      </c>
      <c r="N427" s="117">
        <f t="shared" si="229"/>
        <v>3.3439699999999997</v>
      </c>
      <c r="O427" s="119">
        <f t="shared" si="230"/>
        <v>0</v>
      </c>
      <c r="P427" s="120">
        <f t="shared" si="231"/>
        <v>0</v>
      </c>
      <c r="Q427" s="159"/>
      <c r="R427" s="111"/>
      <c r="S427" s="111"/>
    </row>
    <row r="428" spans="1:19">
      <c r="A428" s="110" t="s">
        <v>649</v>
      </c>
      <c r="B428" s="111" t="s">
        <v>505</v>
      </c>
      <c r="C428" s="112" t="s">
        <v>449</v>
      </c>
      <c r="D428" s="112"/>
      <c r="E428" s="113" t="s">
        <v>17</v>
      </c>
      <c r="F428" s="175" t="s">
        <v>15</v>
      </c>
      <c r="G428" s="175" t="s">
        <v>44</v>
      </c>
      <c r="H428" s="176">
        <v>13.4</v>
      </c>
      <c r="I428" s="177">
        <v>10.85</v>
      </c>
      <c r="J428" s="178">
        <v>23</v>
      </c>
      <c r="K428" s="174">
        <f t="shared" si="228"/>
        <v>3.3439699999999997</v>
      </c>
      <c r="L428" s="118"/>
      <c r="M428" s="178">
        <v>23</v>
      </c>
      <c r="N428" s="117">
        <f t="shared" si="229"/>
        <v>3.3439699999999997</v>
      </c>
      <c r="O428" s="119">
        <f t="shared" si="230"/>
        <v>0</v>
      </c>
      <c r="P428" s="120">
        <f t="shared" si="231"/>
        <v>0</v>
      </c>
      <c r="Q428" s="159"/>
      <c r="R428" s="111"/>
      <c r="S428" s="111"/>
    </row>
    <row r="429" spans="1:19">
      <c r="A429" s="110" t="s">
        <v>649</v>
      </c>
      <c r="B429" s="111" t="s">
        <v>505</v>
      </c>
      <c r="C429" s="112" t="s">
        <v>449</v>
      </c>
      <c r="D429" s="112"/>
      <c r="E429" s="113" t="s">
        <v>17</v>
      </c>
      <c r="F429" s="175" t="s">
        <v>15</v>
      </c>
      <c r="G429" s="175" t="s">
        <v>44</v>
      </c>
      <c r="H429" s="176">
        <v>13.4</v>
      </c>
      <c r="I429" s="177">
        <v>10.85</v>
      </c>
      <c r="J429" s="178">
        <v>20</v>
      </c>
      <c r="K429" s="174">
        <f t="shared" ref="K429:K449" si="232">(H429*I429*J429/1000)</f>
        <v>2.9077999999999999</v>
      </c>
      <c r="L429" s="118"/>
      <c r="M429" s="178">
        <v>20</v>
      </c>
      <c r="N429" s="117">
        <f t="shared" ref="N429:N449" si="233">I429*M429*H429/1000</f>
        <v>2.9078000000000004</v>
      </c>
      <c r="O429" s="119">
        <f t="shared" ref="O429:O449" si="234">J429-M429</f>
        <v>0</v>
      </c>
      <c r="P429" s="120">
        <f t="shared" ref="P429:P449" si="235">I429*O429*H429/1000</f>
        <v>0</v>
      </c>
      <c r="Q429" s="159"/>
      <c r="R429" s="111"/>
      <c r="S429" s="111"/>
    </row>
    <row r="430" spans="1:19">
      <c r="A430" s="110" t="s">
        <v>649</v>
      </c>
      <c r="B430" s="111" t="s">
        <v>505</v>
      </c>
      <c r="C430" s="112" t="s">
        <v>449</v>
      </c>
      <c r="D430" s="112"/>
      <c r="E430" s="113" t="s">
        <v>17</v>
      </c>
      <c r="F430" s="175" t="s">
        <v>15</v>
      </c>
      <c r="G430" s="175" t="s">
        <v>44</v>
      </c>
      <c r="H430" s="176">
        <v>13.4</v>
      </c>
      <c r="I430" s="177">
        <v>10.85</v>
      </c>
      <c r="J430" s="178">
        <v>20</v>
      </c>
      <c r="K430" s="174">
        <f t="shared" si="232"/>
        <v>2.9077999999999999</v>
      </c>
      <c r="L430" s="118"/>
      <c r="M430" s="178">
        <v>20</v>
      </c>
      <c r="N430" s="117">
        <f t="shared" si="233"/>
        <v>2.9078000000000004</v>
      </c>
      <c r="O430" s="119">
        <f t="shared" si="234"/>
        <v>0</v>
      </c>
      <c r="P430" s="120">
        <f t="shared" si="235"/>
        <v>0</v>
      </c>
      <c r="Q430" s="159"/>
      <c r="R430" s="111"/>
      <c r="S430" s="111"/>
    </row>
    <row r="431" spans="1:19">
      <c r="A431" s="110" t="s">
        <v>649</v>
      </c>
      <c r="B431" s="111" t="s">
        <v>505</v>
      </c>
      <c r="C431" s="112" t="s">
        <v>449</v>
      </c>
      <c r="D431" s="112"/>
      <c r="E431" s="113" t="s">
        <v>17</v>
      </c>
      <c r="F431" s="175" t="s">
        <v>15</v>
      </c>
      <c r="G431" s="175" t="s">
        <v>44</v>
      </c>
      <c r="H431" s="176">
        <v>13.4</v>
      </c>
      <c r="I431" s="177">
        <v>10.85</v>
      </c>
      <c r="J431" s="178">
        <v>20</v>
      </c>
      <c r="K431" s="174">
        <f t="shared" si="232"/>
        <v>2.9077999999999999</v>
      </c>
      <c r="L431" s="118"/>
      <c r="M431" s="178">
        <v>20</v>
      </c>
      <c r="N431" s="117">
        <f t="shared" si="233"/>
        <v>2.9078000000000004</v>
      </c>
      <c r="O431" s="119">
        <f t="shared" si="234"/>
        <v>0</v>
      </c>
      <c r="P431" s="120">
        <f t="shared" si="235"/>
        <v>0</v>
      </c>
      <c r="Q431" s="159"/>
      <c r="R431" s="111"/>
      <c r="S431" s="111"/>
    </row>
    <row r="432" spans="1:19">
      <c r="A432" s="110" t="s">
        <v>649</v>
      </c>
      <c r="B432" s="111" t="s">
        <v>505</v>
      </c>
      <c r="C432" s="112" t="s">
        <v>449</v>
      </c>
      <c r="D432" s="112"/>
      <c r="E432" s="113" t="s">
        <v>17</v>
      </c>
      <c r="F432" s="175" t="s">
        <v>15</v>
      </c>
      <c r="G432" s="175" t="s">
        <v>44</v>
      </c>
      <c r="H432" s="176">
        <v>13.4</v>
      </c>
      <c r="I432" s="177">
        <v>10.85</v>
      </c>
      <c r="J432" s="178">
        <v>20</v>
      </c>
      <c r="K432" s="174">
        <f t="shared" si="232"/>
        <v>2.9077999999999999</v>
      </c>
      <c r="L432" s="118"/>
      <c r="M432" s="178">
        <v>20</v>
      </c>
      <c r="N432" s="117">
        <f t="shared" si="233"/>
        <v>2.9078000000000004</v>
      </c>
      <c r="O432" s="119">
        <f t="shared" si="234"/>
        <v>0</v>
      </c>
      <c r="P432" s="120">
        <f t="shared" si="235"/>
        <v>0</v>
      </c>
      <c r="Q432" s="159"/>
      <c r="R432" s="111"/>
      <c r="S432" s="111"/>
    </row>
    <row r="433" spans="1:19">
      <c r="A433" s="110" t="s">
        <v>649</v>
      </c>
      <c r="B433" s="111" t="s">
        <v>505</v>
      </c>
      <c r="C433" s="112" t="s">
        <v>449</v>
      </c>
      <c r="D433" s="112"/>
      <c r="E433" s="113" t="s">
        <v>17</v>
      </c>
      <c r="F433" s="175" t="s">
        <v>15</v>
      </c>
      <c r="G433" s="175" t="s">
        <v>44</v>
      </c>
      <c r="H433" s="176">
        <v>13.4</v>
      </c>
      <c r="I433" s="177">
        <v>10.85</v>
      </c>
      <c r="J433" s="178">
        <v>19</v>
      </c>
      <c r="K433" s="174">
        <f t="shared" si="232"/>
        <v>2.76241</v>
      </c>
      <c r="L433" s="118"/>
      <c r="M433" s="178">
        <v>19</v>
      </c>
      <c r="N433" s="117">
        <f t="shared" si="233"/>
        <v>2.7624100000000005</v>
      </c>
      <c r="O433" s="119">
        <f t="shared" si="234"/>
        <v>0</v>
      </c>
      <c r="P433" s="120">
        <f t="shared" si="235"/>
        <v>0</v>
      </c>
      <c r="Q433" s="159"/>
      <c r="R433" s="111"/>
      <c r="S433" s="111"/>
    </row>
    <row r="434" spans="1:19">
      <c r="A434" s="110" t="s">
        <v>649</v>
      </c>
      <c r="B434" s="111" t="s">
        <v>505</v>
      </c>
      <c r="C434" s="112" t="s">
        <v>449</v>
      </c>
      <c r="D434" s="112"/>
      <c r="E434" s="113" t="s">
        <v>17</v>
      </c>
      <c r="F434" s="175" t="s">
        <v>15</v>
      </c>
      <c r="G434" s="175" t="s">
        <v>44</v>
      </c>
      <c r="H434" s="176">
        <v>13.4</v>
      </c>
      <c r="I434" s="177">
        <v>11.8</v>
      </c>
      <c r="J434" s="178">
        <v>18</v>
      </c>
      <c r="K434" s="174">
        <f t="shared" si="232"/>
        <v>2.8461599999999998</v>
      </c>
      <c r="L434" s="118"/>
      <c r="M434" s="178">
        <v>18</v>
      </c>
      <c r="N434" s="117">
        <f t="shared" si="233"/>
        <v>2.8461600000000002</v>
      </c>
      <c r="O434" s="119">
        <f t="shared" si="234"/>
        <v>0</v>
      </c>
      <c r="P434" s="120">
        <f t="shared" si="235"/>
        <v>0</v>
      </c>
      <c r="Q434" s="159"/>
      <c r="R434" s="111"/>
      <c r="S434" s="111"/>
    </row>
    <row r="435" spans="1:19">
      <c r="A435" s="110" t="s">
        <v>649</v>
      </c>
      <c r="B435" s="111" t="s">
        <v>505</v>
      </c>
      <c r="C435" s="112" t="s">
        <v>449</v>
      </c>
      <c r="D435" s="112"/>
      <c r="E435" s="113" t="s">
        <v>17</v>
      </c>
      <c r="F435" s="175" t="s">
        <v>15</v>
      </c>
      <c r="G435" s="175" t="s">
        <v>44</v>
      </c>
      <c r="H435" s="176">
        <v>13.4</v>
      </c>
      <c r="I435" s="177">
        <v>11.8</v>
      </c>
      <c r="J435" s="178">
        <v>18</v>
      </c>
      <c r="K435" s="174">
        <f t="shared" si="232"/>
        <v>2.8461599999999998</v>
      </c>
      <c r="L435" s="118"/>
      <c r="M435" s="178">
        <v>18</v>
      </c>
      <c r="N435" s="117">
        <f t="shared" si="233"/>
        <v>2.8461600000000002</v>
      </c>
      <c r="O435" s="119">
        <f t="shared" si="234"/>
        <v>0</v>
      </c>
      <c r="P435" s="120">
        <f t="shared" si="235"/>
        <v>0</v>
      </c>
      <c r="Q435" s="159"/>
      <c r="R435" s="111"/>
      <c r="S435" s="111"/>
    </row>
    <row r="436" spans="1:19">
      <c r="A436" s="110" t="s">
        <v>649</v>
      </c>
      <c r="B436" s="111" t="s">
        <v>505</v>
      </c>
      <c r="C436" s="112" t="s">
        <v>449</v>
      </c>
      <c r="D436" s="112"/>
      <c r="E436" s="113" t="s">
        <v>17</v>
      </c>
      <c r="F436" s="175" t="s">
        <v>15</v>
      </c>
      <c r="G436" s="175" t="s">
        <v>44</v>
      </c>
      <c r="H436" s="176">
        <v>13.4</v>
      </c>
      <c r="I436" s="177">
        <v>11.5</v>
      </c>
      <c r="J436" s="178">
        <v>20</v>
      </c>
      <c r="K436" s="174">
        <f t="shared" si="232"/>
        <v>3.0819999999999999</v>
      </c>
      <c r="L436" s="118"/>
      <c r="M436" s="178">
        <v>20</v>
      </c>
      <c r="N436" s="117">
        <f t="shared" si="233"/>
        <v>3.0819999999999999</v>
      </c>
      <c r="O436" s="119">
        <f t="shared" si="234"/>
        <v>0</v>
      </c>
      <c r="P436" s="120">
        <f t="shared" si="235"/>
        <v>0</v>
      </c>
      <c r="Q436" s="159"/>
      <c r="R436" s="111"/>
      <c r="S436" s="111"/>
    </row>
    <row r="437" spans="1:19">
      <c r="A437" s="110" t="s">
        <v>649</v>
      </c>
      <c r="B437" s="111" t="s">
        <v>505</v>
      </c>
      <c r="C437" s="112" t="s">
        <v>449</v>
      </c>
      <c r="D437" s="112"/>
      <c r="E437" s="113" t="s">
        <v>17</v>
      </c>
      <c r="F437" s="175" t="s">
        <v>15</v>
      </c>
      <c r="G437" s="175" t="s">
        <v>44</v>
      </c>
      <c r="H437" s="176">
        <v>13.4</v>
      </c>
      <c r="I437" s="177">
        <v>11.5</v>
      </c>
      <c r="J437" s="178">
        <v>20</v>
      </c>
      <c r="K437" s="174">
        <f t="shared" si="232"/>
        <v>3.0819999999999999</v>
      </c>
      <c r="L437" s="118"/>
      <c r="M437" s="178">
        <v>20</v>
      </c>
      <c r="N437" s="117">
        <f t="shared" si="233"/>
        <v>3.0819999999999999</v>
      </c>
      <c r="O437" s="119">
        <f t="shared" si="234"/>
        <v>0</v>
      </c>
      <c r="P437" s="120">
        <f t="shared" si="235"/>
        <v>0</v>
      </c>
      <c r="Q437" s="159"/>
      <c r="R437" s="111"/>
      <c r="S437" s="111"/>
    </row>
    <row r="438" spans="1:19">
      <c r="A438" s="110" t="s">
        <v>649</v>
      </c>
      <c r="B438" s="111" t="s">
        <v>505</v>
      </c>
      <c r="C438" s="112" t="s">
        <v>449</v>
      </c>
      <c r="D438" s="112"/>
      <c r="E438" s="113" t="s">
        <v>17</v>
      </c>
      <c r="F438" s="175" t="s">
        <v>15</v>
      </c>
      <c r="G438" s="175" t="s">
        <v>44</v>
      </c>
      <c r="H438" s="176">
        <v>13.4</v>
      </c>
      <c r="I438" s="177">
        <v>11.5</v>
      </c>
      <c r="J438" s="178">
        <v>20</v>
      </c>
      <c r="K438" s="174">
        <f t="shared" si="232"/>
        <v>3.0819999999999999</v>
      </c>
      <c r="L438" s="118"/>
      <c r="M438" s="178">
        <v>20</v>
      </c>
      <c r="N438" s="117">
        <f t="shared" si="233"/>
        <v>3.0819999999999999</v>
      </c>
      <c r="O438" s="119">
        <f t="shared" si="234"/>
        <v>0</v>
      </c>
      <c r="P438" s="120">
        <f t="shared" si="235"/>
        <v>0</v>
      </c>
      <c r="Q438" s="159"/>
      <c r="R438" s="111"/>
      <c r="S438" s="111"/>
    </row>
    <row r="439" spans="1:19">
      <c r="A439" s="110" t="s">
        <v>649</v>
      </c>
      <c r="B439" s="111" t="s">
        <v>505</v>
      </c>
      <c r="C439" s="112" t="s">
        <v>449</v>
      </c>
      <c r="D439" s="112"/>
      <c r="E439" s="113" t="s">
        <v>17</v>
      </c>
      <c r="F439" s="175" t="s">
        <v>15</v>
      </c>
      <c r="G439" s="175" t="s">
        <v>44</v>
      </c>
      <c r="H439" s="176">
        <v>13.4</v>
      </c>
      <c r="I439" s="177">
        <v>11.5</v>
      </c>
      <c r="J439" s="178">
        <v>20</v>
      </c>
      <c r="K439" s="174">
        <f t="shared" si="232"/>
        <v>3.0819999999999999</v>
      </c>
      <c r="L439" s="118"/>
      <c r="M439" s="178">
        <v>20</v>
      </c>
      <c r="N439" s="117">
        <f t="shared" si="233"/>
        <v>3.0819999999999999</v>
      </c>
      <c r="O439" s="119">
        <f t="shared" si="234"/>
        <v>0</v>
      </c>
      <c r="P439" s="120">
        <f t="shared" si="235"/>
        <v>0</v>
      </c>
      <c r="Q439" s="159"/>
      <c r="R439" s="111"/>
      <c r="S439" s="111"/>
    </row>
    <row r="440" spans="1:19">
      <c r="A440" s="110" t="s">
        <v>649</v>
      </c>
      <c r="B440" s="111" t="s">
        <v>505</v>
      </c>
      <c r="C440" s="112" t="s">
        <v>449</v>
      </c>
      <c r="D440" s="112"/>
      <c r="E440" s="113" t="s">
        <v>17</v>
      </c>
      <c r="F440" s="175" t="s">
        <v>15</v>
      </c>
      <c r="G440" s="175" t="s">
        <v>44</v>
      </c>
      <c r="H440" s="176">
        <v>13.4</v>
      </c>
      <c r="I440" s="177">
        <v>12</v>
      </c>
      <c r="J440" s="178">
        <v>20</v>
      </c>
      <c r="K440" s="174">
        <f t="shared" si="232"/>
        <v>3.2160000000000002</v>
      </c>
      <c r="L440" s="118"/>
      <c r="M440" s="178">
        <v>20</v>
      </c>
      <c r="N440" s="117">
        <f t="shared" si="233"/>
        <v>3.2160000000000002</v>
      </c>
      <c r="O440" s="119">
        <f t="shared" si="234"/>
        <v>0</v>
      </c>
      <c r="P440" s="120">
        <f t="shared" si="235"/>
        <v>0</v>
      </c>
      <c r="Q440" s="159"/>
      <c r="R440" s="111"/>
      <c r="S440" s="111"/>
    </row>
    <row r="441" spans="1:19">
      <c r="A441" s="110" t="s">
        <v>649</v>
      </c>
      <c r="B441" s="111" t="s">
        <v>505</v>
      </c>
      <c r="C441" s="112" t="s">
        <v>449</v>
      </c>
      <c r="D441" s="112"/>
      <c r="E441" s="113" t="s">
        <v>17</v>
      </c>
      <c r="F441" s="175" t="s">
        <v>15</v>
      </c>
      <c r="G441" s="175" t="s">
        <v>44</v>
      </c>
      <c r="H441" s="176">
        <v>13.4</v>
      </c>
      <c r="I441" s="177">
        <v>12</v>
      </c>
      <c r="J441" s="178">
        <v>20</v>
      </c>
      <c r="K441" s="174">
        <f t="shared" si="232"/>
        <v>3.2160000000000002</v>
      </c>
      <c r="L441" s="118"/>
      <c r="M441" s="178">
        <v>20</v>
      </c>
      <c r="N441" s="117">
        <f t="shared" si="233"/>
        <v>3.2160000000000002</v>
      </c>
      <c r="O441" s="119">
        <f t="shared" si="234"/>
        <v>0</v>
      </c>
      <c r="P441" s="120">
        <f t="shared" si="235"/>
        <v>0</v>
      </c>
      <c r="Q441" s="159"/>
      <c r="R441" s="111"/>
      <c r="S441" s="111"/>
    </row>
    <row r="442" spans="1:19">
      <c r="A442" s="110" t="s">
        <v>649</v>
      </c>
      <c r="B442" s="111" t="s">
        <v>505</v>
      </c>
      <c r="C442" s="112" t="s">
        <v>449</v>
      </c>
      <c r="D442" s="112"/>
      <c r="E442" s="113" t="s">
        <v>17</v>
      </c>
      <c r="F442" s="175" t="s">
        <v>15</v>
      </c>
      <c r="G442" s="175" t="s">
        <v>44</v>
      </c>
      <c r="H442" s="176">
        <v>13.4</v>
      </c>
      <c r="I442" s="177">
        <v>12</v>
      </c>
      <c r="J442" s="178">
        <v>20</v>
      </c>
      <c r="K442" s="174">
        <f t="shared" si="232"/>
        <v>3.2160000000000002</v>
      </c>
      <c r="L442" s="118"/>
      <c r="M442" s="178">
        <v>20</v>
      </c>
      <c r="N442" s="117">
        <f t="shared" si="233"/>
        <v>3.2160000000000002</v>
      </c>
      <c r="O442" s="119">
        <f t="shared" si="234"/>
        <v>0</v>
      </c>
      <c r="P442" s="120">
        <f t="shared" si="235"/>
        <v>0</v>
      </c>
      <c r="Q442" s="159"/>
      <c r="R442" s="111"/>
      <c r="S442" s="111"/>
    </row>
    <row r="443" spans="1:19">
      <c r="A443" s="110" t="s">
        <v>649</v>
      </c>
      <c r="B443" s="111" t="s">
        <v>505</v>
      </c>
      <c r="C443" s="112" t="s">
        <v>449</v>
      </c>
      <c r="D443" s="112"/>
      <c r="E443" s="113" t="s">
        <v>17</v>
      </c>
      <c r="F443" s="175" t="s">
        <v>15</v>
      </c>
      <c r="G443" s="175" t="s">
        <v>44</v>
      </c>
      <c r="H443" s="176">
        <v>13.4</v>
      </c>
      <c r="I443" s="177">
        <v>11.6</v>
      </c>
      <c r="J443" s="178">
        <v>19</v>
      </c>
      <c r="K443" s="174">
        <f t="shared" si="232"/>
        <v>2.95336</v>
      </c>
      <c r="L443" s="118"/>
      <c r="M443" s="178">
        <v>19</v>
      </c>
      <c r="N443" s="117">
        <f t="shared" si="233"/>
        <v>2.95336</v>
      </c>
      <c r="O443" s="119">
        <f t="shared" si="234"/>
        <v>0</v>
      </c>
      <c r="P443" s="120">
        <f t="shared" si="235"/>
        <v>0</v>
      </c>
      <c r="Q443" s="159"/>
      <c r="R443" s="111"/>
      <c r="S443" s="111"/>
    </row>
    <row r="444" spans="1:19">
      <c r="A444" s="110" t="s">
        <v>649</v>
      </c>
      <c r="B444" s="111" t="s">
        <v>505</v>
      </c>
      <c r="C444" s="112" t="s">
        <v>449</v>
      </c>
      <c r="D444" s="112"/>
      <c r="E444" s="113" t="s">
        <v>17</v>
      </c>
      <c r="F444" s="175" t="s">
        <v>15</v>
      </c>
      <c r="G444" s="175" t="s">
        <v>44</v>
      </c>
      <c r="H444" s="176">
        <v>13.4</v>
      </c>
      <c r="I444" s="177">
        <v>12</v>
      </c>
      <c r="J444" s="178">
        <v>20</v>
      </c>
      <c r="K444" s="174">
        <f t="shared" si="232"/>
        <v>3.2160000000000002</v>
      </c>
      <c r="L444" s="118"/>
      <c r="M444" s="178">
        <v>20</v>
      </c>
      <c r="N444" s="117">
        <f t="shared" si="233"/>
        <v>3.2160000000000002</v>
      </c>
      <c r="O444" s="119">
        <f t="shared" si="234"/>
        <v>0</v>
      </c>
      <c r="P444" s="120">
        <f t="shared" si="235"/>
        <v>0</v>
      </c>
      <c r="Q444" s="159"/>
      <c r="R444" s="111"/>
      <c r="S444" s="111"/>
    </row>
    <row r="445" spans="1:19">
      <c r="A445" s="110" t="s">
        <v>649</v>
      </c>
      <c r="B445" s="111" t="s">
        <v>505</v>
      </c>
      <c r="C445" s="112" t="s">
        <v>449</v>
      </c>
      <c r="D445" s="112"/>
      <c r="E445" s="113" t="s">
        <v>17</v>
      </c>
      <c r="F445" s="175" t="s">
        <v>15</v>
      </c>
      <c r="G445" s="175" t="s">
        <v>44</v>
      </c>
      <c r="H445" s="176">
        <v>13.4</v>
      </c>
      <c r="I445" s="177">
        <v>10.85</v>
      </c>
      <c r="J445" s="178">
        <v>22</v>
      </c>
      <c r="K445" s="174">
        <f t="shared" si="232"/>
        <v>3.1985799999999998</v>
      </c>
      <c r="L445" s="118"/>
      <c r="M445" s="178">
        <v>22</v>
      </c>
      <c r="N445" s="117">
        <f t="shared" si="233"/>
        <v>3.1985799999999998</v>
      </c>
      <c r="O445" s="119">
        <f t="shared" si="234"/>
        <v>0</v>
      </c>
      <c r="P445" s="120">
        <f t="shared" si="235"/>
        <v>0</v>
      </c>
      <c r="Q445" s="159"/>
      <c r="R445" s="111"/>
      <c r="S445" s="111"/>
    </row>
    <row r="446" spans="1:19">
      <c r="A446" s="110" t="s">
        <v>649</v>
      </c>
      <c r="B446" s="111" t="s">
        <v>505</v>
      </c>
      <c r="C446" s="112" t="s">
        <v>449</v>
      </c>
      <c r="D446" s="112"/>
      <c r="E446" s="113" t="s">
        <v>17</v>
      </c>
      <c r="F446" s="175" t="s">
        <v>15</v>
      </c>
      <c r="G446" s="175" t="s">
        <v>44</v>
      </c>
      <c r="H446" s="176">
        <v>13.4</v>
      </c>
      <c r="I446" s="177">
        <v>12</v>
      </c>
      <c r="J446" s="178">
        <v>20</v>
      </c>
      <c r="K446" s="174">
        <f t="shared" si="232"/>
        <v>3.2160000000000002</v>
      </c>
      <c r="L446" s="118"/>
      <c r="M446" s="178">
        <v>20</v>
      </c>
      <c r="N446" s="117">
        <f t="shared" si="233"/>
        <v>3.2160000000000002</v>
      </c>
      <c r="O446" s="119">
        <f t="shared" si="234"/>
        <v>0</v>
      </c>
      <c r="P446" s="120">
        <f t="shared" si="235"/>
        <v>0</v>
      </c>
      <c r="Q446" s="159"/>
      <c r="R446" s="111"/>
      <c r="S446" s="111"/>
    </row>
    <row r="447" spans="1:19">
      <c r="A447" s="110" t="s">
        <v>649</v>
      </c>
      <c r="B447" s="111" t="s">
        <v>505</v>
      </c>
      <c r="C447" s="112" t="s">
        <v>449</v>
      </c>
      <c r="D447" s="112"/>
      <c r="E447" s="113" t="s">
        <v>17</v>
      </c>
      <c r="F447" s="175" t="s">
        <v>15</v>
      </c>
      <c r="G447" s="175" t="s">
        <v>44</v>
      </c>
      <c r="H447" s="176">
        <v>13.4</v>
      </c>
      <c r="I447" s="177">
        <v>10.5</v>
      </c>
      <c r="J447" s="178">
        <v>18</v>
      </c>
      <c r="K447" s="174">
        <f t="shared" si="232"/>
        <v>2.5326000000000004</v>
      </c>
      <c r="L447" s="118"/>
      <c r="M447" s="178">
        <v>18</v>
      </c>
      <c r="N447" s="117">
        <f t="shared" si="233"/>
        <v>2.5326</v>
      </c>
      <c r="O447" s="119">
        <f t="shared" si="234"/>
        <v>0</v>
      </c>
      <c r="P447" s="120">
        <f t="shared" si="235"/>
        <v>0</v>
      </c>
      <c r="Q447" s="159"/>
      <c r="R447" s="111"/>
      <c r="S447" s="111"/>
    </row>
    <row r="448" spans="1:19">
      <c r="A448" s="110" t="s">
        <v>649</v>
      </c>
      <c r="B448" s="111" t="s">
        <v>505</v>
      </c>
      <c r="C448" s="112" t="s">
        <v>449</v>
      </c>
      <c r="D448" s="112"/>
      <c r="E448" s="113" t="s">
        <v>17</v>
      </c>
      <c r="F448" s="175" t="s">
        <v>15</v>
      </c>
      <c r="G448" s="175" t="s">
        <v>44</v>
      </c>
      <c r="H448" s="176">
        <v>13.4</v>
      </c>
      <c r="I448" s="177">
        <v>11.5</v>
      </c>
      <c r="J448" s="178">
        <v>16</v>
      </c>
      <c r="K448" s="174">
        <f t="shared" si="232"/>
        <v>2.4655999999999998</v>
      </c>
      <c r="L448" s="118"/>
      <c r="M448" s="178">
        <v>16</v>
      </c>
      <c r="N448" s="117">
        <f t="shared" si="233"/>
        <v>2.4655999999999998</v>
      </c>
      <c r="O448" s="119">
        <f t="shared" si="234"/>
        <v>0</v>
      </c>
      <c r="P448" s="120">
        <f t="shared" si="235"/>
        <v>0</v>
      </c>
      <c r="Q448" s="159"/>
      <c r="R448" s="111"/>
      <c r="S448" s="111"/>
    </row>
    <row r="449" spans="1:21">
      <c r="A449" s="110" t="s">
        <v>649</v>
      </c>
      <c r="B449" s="111" t="s">
        <v>505</v>
      </c>
      <c r="C449" s="112" t="s">
        <v>449</v>
      </c>
      <c r="D449" s="112"/>
      <c r="E449" s="113" t="s">
        <v>17</v>
      </c>
      <c r="F449" s="175" t="s">
        <v>15</v>
      </c>
      <c r="G449" s="175" t="s">
        <v>44</v>
      </c>
      <c r="H449" s="176">
        <v>13.4</v>
      </c>
      <c r="I449" s="177">
        <v>11.7</v>
      </c>
      <c r="J449" s="178">
        <v>16</v>
      </c>
      <c r="K449" s="174">
        <f t="shared" si="232"/>
        <v>2.50848</v>
      </c>
      <c r="L449" s="118"/>
      <c r="M449" s="178">
        <v>16</v>
      </c>
      <c r="N449" s="117">
        <f t="shared" si="233"/>
        <v>2.50848</v>
      </c>
      <c r="O449" s="119">
        <f t="shared" si="234"/>
        <v>0</v>
      </c>
      <c r="P449" s="120">
        <f t="shared" si="235"/>
        <v>0</v>
      </c>
      <c r="Q449" s="159"/>
      <c r="R449" s="111"/>
      <c r="S449" s="111"/>
    </row>
    <row r="450" spans="1:21">
      <c r="A450" s="110" t="s">
        <v>649</v>
      </c>
      <c r="B450" s="111" t="s">
        <v>505</v>
      </c>
      <c r="C450" s="112" t="s">
        <v>449</v>
      </c>
      <c r="D450" s="112"/>
      <c r="E450" s="113" t="s">
        <v>17</v>
      </c>
      <c r="F450" s="175" t="s">
        <v>15</v>
      </c>
      <c r="G450" s="175" t="s">
        <v>44</v>
      </c>
      <c r="H450" s="176">
        <v>13.4</v>
      </c>
      <c r="I450" s="177">
        <v>10.85</v>
      </c>
      <c r="J450" s="178">
        <v>20</v>
      </c>
      <c r="K450" s="174">
        <f t="shared" ref="K450:K467" si="236">(H450*I450*J450/1000)</f>
        <v>2.9077999999999999</v>
      </c>
      <c r="L450" s="118"/>
      <c r="M450" s="178">
        <v>20</v>
      </c>
      <c r="N450" s="117">
        <f t="shared" ref="N450:N467" si="237">I450*M450*H450/1000</f>
        <v>2.9078000000000004</v>
      </c>
      <c r="O450" s="119">
        <f t="shared" ref="O450:O467" si="238">J450-M450</f>
        <v>0</v>
      </c>
      <c r="P450" s="120">
        <f t="shared" ref="P450:P467" si="239">I450*O450*H450/1000</f>
        <v>0</v>
      </c>
      <c r="Q450" s="159"/>
      <c r="R450" s="111"/>
      <c r="S450" s="111"/>
    </row>
    <row r="451" spans="1:21">
      <c r="A451" s="110" t="s">
        <v>649</v>
      </c>
      <c r="B451" s="111" t="s">
        <v>505</v>
      </c>
      <c r="C451" s="112" t="s">
        <v>449</v>
      </c>
      <c r="D451" s="112"/>
      <c r="E451" s="113" t="s">
        <v>17</v>
      </c>
      <c r="F451" s="175" t="s">
        <v>15</v>
      </c>
      <c r="G451" s="175" t="s">
        <v>44</v>
      </c>
      <c r="H451" s="176">
        <v>13.4</v>
      </c>
      <c r="I451" s="177">
        <v>11.8</v>
      </c>
      <c r="J451" s="178">
        <v>21</v>
      </c>
      <c r="K451" s="174">
        <f t="shared" si="236"/>
        <v>3.3205200000000001</v>
      </c>
      <c r="L451" s="118"/>
      <c r="M451" s="178">
        <v>21</v>
      </c>
      <c r="N451" s="117">
        <f t="shared" si="237"/>
        <v>3.3205200000000006</v>
      </c>
      <c r="O451" s="119">
        <f t="shared" si="238"/>
        <v>0</v>
      </c>
      <c r="P451" s="120">
        <f t="shared" si="239"/>
        <v>0</v>
      </c>
      <c r="Q451" s="159"/>
      <c r="R451" s="111"/>
      <c r="S451" s="111"/>
    </row>
    <row r="452" spans="1:21">
      <c r="A452" s="110" t="s">
        <v>649</v>
      </c>
      <c r="B452" s="111" t="s">
        <v>505</v>
      </c>
      <c r="C452" s="112" t="s">
        <v>449</v>
      </c>
      <c r="D452" s="112"/>
      <c r="E452" s="113" t="s">
        <v>17</v>
      </c>
      <c r="F452" s="175" t="s">
        <v>15</v>
      </c>
      <c r="G452" s="175" t="s">
        <v>44</v>
      </c>
      <c r="H452" s="176">
        <v>13.4</v>
      </c>
      <c r="I452" s="177">
        <v>11.7</v>
      </c>
      <c r="J452" s="178">
        <v>19</v>
      </c>
      <c r="K452" s="174">
        <f t="shared" si="236"/>
        <v>2.9788200000000002</v>
      </c>
      <c r="L452" s="118"/>
      <c r="M452" s="178">
        <v>19</v>
      </c>
      <c r="N452" s="117">
        <f t="shared" si="237"/>
        <v>2.9788199999999998</v>
      </c>
      <c r="O452" s="119">
        <f t="shared" si="238"/>
        <v>0</v>
      </c>
      <c r="P452" s="120">
        <f t="shared" si="239"/>
        <v>0</v>
      </c>
      <c r="Q452" s="159"/>
      <c r="R452" s="111"/>
      <c r="S452" s="111"/>
    </row>
    <row r="453" spans="1:21">
      <c r="A453" s="110" t="s">
        <v>649</v>
      </c>
      <c r="B453" s="111" t="s">
        <v>505</v>
      </c>
      <c r="C453" s="112" t="s">
        <v>449</v>
      </c>
      <c r="D453" s="112"/>
      <c r="E453" s="113" t="s">
        <v>17</v>
      </c>
      <c r="F453" s="175" t="s">
        <v>15</v>
      </c>
      <c r="G453" s="175" t="s">
        <v>44</v>
      </c>
      <c r="H453" s="176">
        <v>13.4</v>
      </c>
      <c r="I453" s="177">
        <v>11.8</v>
      </c>
      <c r="J453" s="178">
        <v>18</v>
      </c>
      <c r="K453" s="174">
        <f t="shared" si="236"/>
        <v>2.8461599999999998</v>
      </c>
      <c r="L453" s="118"/>
      <c r="M453" s="178">
        <v>18</v>
      </c>
      <c r="N453" s="117">
        <f t="shared" si="237"/>
        <v>2.8461600000000002</v>
      </c>
      <c r="O453" s="119">
        <f t="shared" si="238"/>
        <v>0</v>
      </c>
      <c r="P453" s="120">
        <f t="shared" si="239"/>
        <v>0</v>
      </c>
      <c r="Q453" s="159"/>
      <c r="R453" s="111"/>
      <c r="S453" s="111"/>
    </row>
    <row r="454" spans="1:21">
      <c r="A454" s="110" t="s">
        <v>649</v>
      </c>
      <c r="B454" s="111" t="s">
        <v>505</v>
      </c>
      <c r="C454" s="112" t="s">
        <v>449</v>
      </c>
      <c r="D454" s="112"/>
      <c r="E454" s="113" t="s">
        <v>17</v>
      </c>
      <c r="F454" s="175" t="s">
        <v>15</v>
      </c>
      <c r="G454" s="175" t="s">
        <v>44</v>
      </c>
      <c r="H454" s="176">
        <v>13.4</v>
      </c>
      <c r="I454" s="177">
        <v>10.85</v>
      </c>
      <c r="J454" s="178">
        <v>19</v>
      </c>
      <c r="K454" s="174">
        <f t="shared" si="236"/>
        <v>2.76241</v>
      </c>
      <c r="L454" s="118"/>
      <c r="M454" s="178">
        <f>5+14</f>
        <v>19</v>
      </c>
      <c r="N454" s="117">
        <f t="shared" si="237"/>
        <v>2.7624100000000005</v>
      </c>
      <c r="O454" s="119">
        <f t="shared" si="238"/>
        <v>0</v>
      </c>
      <c r="P454" s="120">
        <f t="shared" si="239"/>
        <v>0</v>
      </c>
      <c r="Q454" s="159">
        <v>10</v>
      </c>
      <c r="R454" s="111">
        <v>5</v>
      </c>
      <c r="S454" s="111">
        <v>10.85</v>
      </c>
      <c r="T454">
        <v>14</v>
      </c>
      <c r="U454" s="213" t="s">
        <v>663</v>
      </c>
    </row>
    <row r="455" spans="1:21">
      <c r="A455" s="110" t="s">
        <v>649</v>
      </c>
      <c r="B455" s="111" t="s">
        <v>505</v>
      </c>
      <c r="C455" s="112" t="s">
        <v>449</v>
      </c>
      <c r="D455" s="112"/>
      <c r="E455" s="113" t="s">
        <v>17</v>
      </c>
      <c r="F455" s="175" t="s">
        <v>15</v>
      </c>
      <c r="G455" s="175" t="s">
        <v>44</v>
      </c>
      <c r="H455" s="176">
        <v>13.4</v>
      </c>
      <c r="I455" s="177">
        <v>11.5</v>
      </c>
      <c r="J455" s="178">
        <v>20</v>
      </c>
      <c r="K455" s="174">
        <f t="shared" si="236"/>
        <v>3.0819999999999999</v>
      </c>
      <c r="L455" s="118"/>
      <c r="M455" s="178">
        <v>20</v>
      </c>
      <c r="N455" s="117">
        <f t="shared" si="237"/>
        <v>3.0819999999999999</v>
      </c>
      <c r="O455" s="119">
        <f t="shared" si="238"/>
        <v>0</v>
      </c>
      <c r="P455" s="120">
        <f t="shared" si="239"/>
        <v>0</v>
      </c>
      <c r="Q455" s="159"/>
      <c r="R455" s="111"/>
      <c r="S455" s="111"/>
    </row>
    <row r="456" spans="1:21">
      <c r="A456" s="110" t="s">
        <v>649</v>
      </c>
      <c r="B456" s="111" t="s">
        <v>505</v>
      </c>
      <c r="C456" s="112" t="s">
        <v>449</v>
      </c>
      <c r="D456" s="112"/>
      <c r="E456" s="113" t="s">
        <v>17</v>
      </c>
      <c r="F456" s="175" t="s">
        <v>15</v>
      </c>
      <c r="G456" s="175" t="s">
        <v>44</v>
      </c>
      <c r="H456" s="176">
        <v>13.4</v>
      </c>
      <c r="I456" s="177">
        <v>11.5</v>
      </c>
      <c r="J456" s="178">
        <v>20</v>
      </c>
      <c r="K456" s="174">
        <f t="shared" si="236"/>
        <v>3.0819999999999999</v>
      </c>
      <c r="L456" s="118"/>
      <c r="M456" s="178">
        <v>20</v>
      </c>
      <c r="N456" s="117">
        <f t="shared" si="237"/>
        <v>3.0819999999999999</v>
      </c>
      <c r="O456" s="119">
        <f t="shared" si="238"/>
        <v>0</v>
      </c>
      <c r="P456" s="120">
        <f t="shared" si="239"/>
        <v>0</v>
      </c>
      <c r="Q456" s="159"/>
      <c r="R456" s="111"/>
      <c r="S456" s="111"/>
    </row>
    <row r="457" spans="1:21">
      <c r="A457" s="110" t="s">
        <v>649</v>
      </c>
      <c r="B457" s="111" t="s">
        <v>505</v>
      </c>
      <c r="C457" s="112" t="s">
        <v>449</v>
      </c>
      <c r="D457" s="112"/>
      <c r="E457" s="113" t="s">
        <v>17</v>
      </c>
      <c r="F457" s="175" t="s">
        <v>15</v>
      </c>
      <c r="G457" s="175" t="s">
        <v>44</v>
      </c>
      <c r="H457" s="176">
        <v>13.4</v>
      </c>
      <c r="I457" s="177">
        <v>11.5</v>
      </c>
      <c r="J457" s="178">
        <v>20</v>
      </c>
      <c r="K457" s="174">
        <f t="shared" si="236"/>
        <v>3.0819999999999999</v>
      </c>
      <c r="L457" s="118"/>
      <c r="M457" s="178">
        <v>20</v>
      </c>
      <c r="N457" s="117">
        <f t="shared" si="237"/>
        <v>3.0819999999999999</v>
      </c>
      <c r="O457" s="119">
        <f t="shared" si="238"/>
        <v>0</v>
      </c>
      <c r="P457" s="120">
        <f t="shared" si="239"/>
        <v>0</v>
      </c>
      <c r="Q457" s="159"/>
      <c r="R457" s="111"/>
      <c r="S457" s="111"/>
    </row>
    <row r="458" spans="1:21">
      <c r="A458" s="110" t="s">
        <v>649</v>
      </c>
      <c r="B458" s="111" t="s">
        <v>505</v>
      </c>
      <c r="C458" s="112" t="s">
        <v>449</v>
      </c>
      <c r="D458" s="112"/>
      <c r="E458" s="113" t="s">
        <v>17</v>
      </c>
      <c r="F458" s="175" t="s">
        <v>15</v>
      </c>
      <c r="G458" s="175" t="s">
        <v>44</v>
      </c>
      <c r="H458" s="176">
        <v>13.4</v>
      </c>
      <c r="I458" s="177">
        <v>11.5</v>
      </c>
      <c r="J458" s="178">
        <v>23</v>
      </c>
      <c r="K458" s="174">
        <f t="shared" si="236"/>
        <v>3.5442999999999998</v>
      </c>
      <c r="L458" s="118"/>
      <c r="M458" s="178">
        <f>23</f>
        <v>23</v>
      </c>
      <c r="N458" s="117">
        <f t="shared" si="237"/>
        <v>3.5443000000000002</v>
      </c>
      <c r="O458" s="141">
        <f t="shared" si="238"/>
        <v>0</v>
      </c>
      <c r="P458" s="193">
        <f t="shared" si="239"/>
        <v>0</v>
      </c>
      <c r="Q458" s="159"/>
      <c r="R458" s="111"/>
      <c r="S458" s="111"/>
    </row>
    <row r="459" spans="1:21">
      <c r="A459" s="110" t="s">
        <v>649</v>
      </c>
      <c r="B459" s="111" t="s">
        <v>505</v>
      </c>
      <c r="C459" s="112" t="s">
        <v>449</v>
      </c>
      <c r="D459" s="112"/>
      <c r="E459" s="113" t="s">
        <v>17</v>
      </c>
      <c r="F459" s="175" t="s">
        <v>15</v>
      </c>
      <c r="G459" s="175" t="s">
        <v>44</v>
      </c>
      <c r="H459" s="176">
        <v>13.4</v>
      </c>
      <c r="I459" s="177">
        <v>11.6</v>
      </c>
      <c r="J459" s="178">
        <v>22</v>
      </c>
      <c r="K459" s="174">
        <f t="shared" si="236"/>
        <v>3.4196800000000001</v>
      </c>
      <c r="L459" s="118"/>
      <c r="M459" s="178">
        <v>22</v>
      </c>
      <c r="N459" s="117">
        <f t="shared" si="237"/>
        <v>3.4196800000000001</v>
      </c>
      <c r="O459" s="119">
        <f t="shared" si="238"/>
        <v>0</v>
      </c>
      <c r="P459" s="120">
        <f t="shared" si="239"/>
        <v>0</v>
      </c>
      <c r="Q459" s="159"/>
      <c r="R459" s="111"/>
      <c r="S459" s="111"/>
    </row>
    <row r="460" spans="1:21">
      <c r="A460" s="110" t="s">
        <v>649</v>
      </c>
      <c r="B460" s="111" t="s">
        <v>505</v>
      </c>
      <c r="C460" s="112" t="s">
        <v>449</v>
      </c>
      <c r="D460" s="112"/>
      <c r="E460" s="113" t="s">
        <v>17</v>
      </c>
      <c r="F460" s="175" t="s">
        <v>15</v>
      </c>
      <c r="G460" s="175" t="s">
        <v>44</v>
      </c>
      <c r="H460" s="176">
        <v>13.4</v>
      </c>
      <c r="I460" s="177">
        <v>11.7</v>
      </c>
      <c r="J460" s="178">
        <v>1</v>
      </c>
      <c r="K460" s="174">
        <f t="shared" si="236"/>
        <v>0.15678</v>
      </c>
      <c r="L460" s="118"/>
      <c r="M460" s="178">
        <v>1</v>
      </c>
      <c r="N460" s="117">
        <f t="shared" si="237"/>
        <v>0.15678</v>
      </c>
      <c r="O460" s="119">
        <f t="shared" si="238"/>
        <v>0</v>
      </c>
      <c r="P460" s="120">
        <f t="shared" si="239"/>
        <v>0</v>
      </c>
      <c r="Q460" s="159"/>
      <c r="R460" s="111"/>
      <c r="S460" s="111"/>
    </row>
    <row r="461" spans="1:21">
      <c r="A461" s="110" t="s">
        <v>649</v>
      </c>
      <c r="B461" s="111" t="s">
        <v>505</v>
      </c>
      <c r="C461" s="112" t="s">
        <v>449</v>
      </c>
      <c r="D461" s="112"/>
      <c r="E461" s="113" t="s">
        <v>17</v>
      </c>
      <c r="F461" s="175" t="s">
        <v>15</v>
      </c>
      <c r="G461" s="175" t="s">
        <v>44</v>
      </c>
      <c r="H461" s="176">
        <v>13.4</v>
      </c>
      <c r="I461" s="177">
        <v>12</v>
      </c>
      <c r="J461" s="178">
        <v>9</v>
      </c>
      <c r="K461" s="174">
        <f t="shared" si="236"/>
        <v>1.4472</v>
      </c>
      <c r="L461" s="118"/>
      <c r="M461" s="178">
        <f>7+2</f>
        <v>9</v>
      </c>
      <c r="N461" s="117">
        <f t="shared" si="237"/>
        <v>1.4472</v>
      </c>
      <c r="O461" s="119">
        <f t="shared" si="238"/>
        <v>0</v>
      </c>
      <c r="P461" s="120">
        <f t="shared" si="239"/>
        <v>0</v>
      </c>
      <c r="Q461" s="159">
        <v>11.7</v>
      </c>
      <c r="R461" s="111">
        <v>2</v>
      </c>
      <c r="S461" s="111"/>
    </row>
    <row r="462" spans="1:21">
      <c r="A462" s="110" t="s">
        <v>649</v>
      </c>
      <c r="B462" s="111" t="s">
        <v>505</v>
      </c>
      <c r="C462" s="112" t="s">
        <v>449</v>
      </c>
      <c r="D462" s="112"/>
      <c r="E462" s="113" t="s">
        <v>17</v>
      </c>
      <c r="F462" s="175" t="s">
        <v>15</v>
      </c>
      <c r="G462" s="175" t="s">
        <v>44</v>
      </c>
      <c r="H462" s="176">
        <v>13.4</v>
      </c>
      <c r="I462" s="177">
        <v>11.8</v>
      </c>
      <c r="J462" s="178">
        <v>3</v>
      </c>
      <c r="K462" s="174">
        <f t="shared" si="236"/>
        <v>0.47436</v>
      </c>
      <c r="L462" s="118"/>
      <c r="M462" s="178">
        <f>1+2</f>
        <v>3</v>
      </c>
      <c r="N462" s="117">
        <f t="shared" si="237"/>
        <v>0.47436000000000006</v>
      </c>
      <c r="O462" s="119">
        <f t="shared" si="238"/>
        <v>0</v>
      </c>
      <c r="P462" s="120">
        <f t="shared" si="239"/>
        <v>0</v>
      </c>
      <c r="Q462" s="159">
        <v>11.7</v>
      </c>
      <c r="R462" s="111">
        <v>2</v>
      </c>
      <c r="S462" s="111"/>
    </row>
    <row r="463" spans="1:21">
      <c r="A463" s="110" t="s">
        <v>649</v>
      </c>
      <c r="B463" s="111" t="s">
        <v>505</v>
      </c>
      <c r="C463" s="112" t="s">
        <v>449</v>
      </c>
      <c r="D463" s="112"/>
      <c r="E463" s="113" t="s">
        <v>17</v>
      </c>
      <c r="F463" s="175" t="s">
        <v>15</v>
      </c>
      <c r="G463" s="175" t="s">
        <v>44</v>
      </c>
      <c r="H463" s="176">
        <v>13.4</v>
      </c>
      <c r="I463" s="177">
        <v>10.85</v>
      </c>
      <c r="J463" s="178">
        <v>1</v>
      </c>
      <c r="K463" s="174">
        <f t="shared" si="236"/>
        <v>0.14538999999999999</v>
      </c>
      <c r="L463" s="118"/>
      <c r="M463" s="178"/>
      <c r="N463" s="117">
        <f t="shared" si="237"/>
        <v>0</v>
      </c>
      <c r="O463" s="119">
        <f t="shared" si="238"/>
        <v>1</v>
      </c>
      <c r="P463" s="120">
        <f t="shared" si="239"/>
        <v>0.14538999999999999</v>
      </c>
      <c r="Q463" s="159"/>
      <c r="R463" s="111"/>
      <c r="S463" s="111"/>
    </row>
    <row r="464" spans="1:21">
      <c r="A464" s="110" t="s">
        <v>649</v>
      </c>
      <c r="B464" s="111" t="s">
        <v>505</v>
      </c>
      <c r="C464" s="112" t="s">
        <v>449</v>
      </c>
      <c r="D464" s="112"/>
      <c r="E464" s="113" t="s">
        <v>17</v>
      </c>
      <c r="F464" s="175" t="s">
        <v>15</v>
      </c>
      <c r="G464" s="175" t="s">
        <v>44</v>
      </c>
      <c r="H464" s="176">
        <v>13.4</v>
      </c>
      <c r="I464" s="177">
        <v>10.5</v>
      </c>
      <c r="J464" s="178">
        <v>12</v>
      </c>
      <c r="K464" s="174">
        <f t="shared" si="236"/>
        <v>1.6884000000000001</v>
      </c>
      <c r="L464" s="118"/>
      <c r="M464" s="178">
        <v>12</v>
      </c>
      <c r="N464" s="117">
        <f t="shared" si="237"/>
        <v>1.6884000000000001</v>
      </c>
      <c r="O464" s="119">
        <f t="shared" si="238"/>
        <v>0</v>
      </c>
      <c r="P464" s="120">
        <f t="shared" si="239"/>
        <v>0</v>
      </c>
      <c r="Q464" s="159"/>
      <c r="R464" s="111"/>
      <c r="S464" s="111"/>
    </row>
    <row r="465" spans="1:19">
      <c r="A465" s="110" t="s">
        <v>649</v>
      </c>
      <c r="B465" s="111" t="s">
        <v>505</v>
      </c>
      <c r="C465" s="112" t="s">
        <v>449</v>
      </c>
      <c r="D465" s="112"/>
      <c r="E465" s="113" t="s">
        <v>17</v>
      </c>
      <c r="F465" s="175" t="s">
        <v>15</v>
      </c>
      <c r="G465" s="175" t="s">
        <v>44</v>
      </c>
      <c r="H465" s="176">
        <v>13.4</v>
      </c>
      <c r="I465" s="177">
        <v>10</v>
      </c>
      <c r="J465" s="178">
        <v>8</v>
      </c>
      <c r="K465" s="174">
        <f t="shared" si="236"/>
        <v>1.0720000000000001</v>
      </c>
      <c r="L465" s="118"/>
      <c r="M465" s="178">
        <v>8</v>
      </c>
      <c r="N465" s="117">
        <f t="shared" si="237"/>
        <v>1.0720000000000001</v>
      </c>
      <c r="O465" s="119">
        <f t="shared" si="238"/>
        <v>0</v>
      </c>
      <c r="P465" s="120">
        <f t="shared" si="239"/>
        <v>0</v>
      </c>
      <c r="Q465" s="159"/>
      <c r="R465" s="111"/>
      <c r="S465" s="111"/>
    </row>
    <row r="466" spans="1:19">
      <c r="A466" s="110" t="s">
        <v>649</v>
      </c>
      <c r="B466" s="111" t="s">
        <v>505</v>
      </c>
      <c r="C466" s="112" t="s">
        <v>449</v>
      </c>
      <c r="D466" s="112"/>
      <c r="E466" s="113" t="s">
        <v>17</v>
      </c>
      <c r="F466" s="175" t="s">
        <v>15</v>
      </c>
      <c r="G466" s="175" t="s">
        <v>44</v>
      </c>
      <c r="H466" s="176">
        <v>13.4</v>
      </c>
      <c r="I466" s="177">
        <v>11.3</v>
      </c>
      <c r="J466" s="178">
        <v>1</v>
      </c>
      <c r="K466" s="174">
        <f t="shared" si="236"/>
        <v>0.15142000000000003</v>
      </c>
      <c r="L466" s="118"/>
      <c r="M466" s="178">
        <v>1</v>
      </c>
      <c r="N466" s="117">
        <f t="shared" si="237"/>
        <v>0.15142000000000003</v>
      </c>
      <c r="O466" s="119">
        <f t="shared" si="238"/>
        <v>0</v>
      </c>
      <c r="P466" s="120">
        <f t="shared" si="239"/>
        <v>0</v>
      </c>
      <c r="Q466" s="159">
        <v>11.5</v>
      </c>
      <c r="R466" s="111">
        <v>1</v>
      </c>
      <c r="S466" s="111"/>
    </row>
    <row r="467" spans="1:19">
      <c r="A467" s="110" t="s">
        <v>649</v>
      </c>
      <c r="B467" s="111" t="s">
        <v>505</v>
      </c>
      <c r="C467" s="112" t="s">
        <v>449</v>
      </c>
      <c r="D467" s="112"/>
      <c r="E467" s="113" t="s">
        <v>17</v>
      </c>
      <c r="F467" s="175" t="s">
        <v>15</v>
      </c>
      <c r="G467" s="175" t="s">
        <v>44</v>
      </c>
      <c r="H467" s="176">
        <v>13.4</v>
      </c>
      <c r="I467" s="177">
        <v>11.2</v>
      </c>
      <c r="J467" s="178">
        <v>1</v>
      </c>
      <c r="K467" s="174">
        <f t="shared" si="236"/>
        <v>0.15007999999999999</v>
      </c>
      <c r="L467" s="118"/>
      <c r="M467" s="178"/>
      <c r="N467" s="117">
        <f t="shared" si="237"/>
        <v>0</v>
      </c>
      <c r="O467" s="119">
        <f t="shared" si="238"/>
        <v>1</v>
      </c>
      <c r="P467" s="120">
        <f t="shared" si="239"/>
        <v>0.15007999999999999</v>
      </c>
      <c r="Q467" s="159"/>
      <c r="R467" s="111"/>
      <c r="S467" s="111"/>
    </row>
    <row r="468" spans="1:19">
      <c r="A468" s="110" t="s">
        <v>649</v>
      </c>
      <c r="B468" s="111" t="s">
        <v>505</v>
      </c>
      <c r="C468" s="112" t="s">
        <v>449</v>
      </c>
      <c r="D468" s="112"/>
      <c r="E468" s="113" t="s">
        <v>17</v>
      </c>
      <c r="F468" s="175" t="s">
        <v>15</v>
      </c>
      <c r="G468" s="175" t="s">
        <v>44</v>
      </c>
      <c r="H468" s="176">
        <v>13.4</v>
      </c>
      <c r="I468" s="177">
        <v>12</v>
      </c>
      <c r="J468" s="178">
        <v>21</v>
      </c>
      <c r="K468" s="174">
        <f t="shared" ref="K468:K472" si="240">(H468*I468*J468/1000)</f>
        <v>3.3768000000000002</v>
      </c>
      <c r="L468" s="118"/>
      <c r="M468" s="178">
        <v>21</v>
      </c>
      <c r="N468" s="117">
        <f t="shared" ref="N468:N472" si="241">I468*M468*H468/1000</f>
        <v>3.3768000000000002</v>
      </c>
      <c r="O468" s="119">
        <f t="shared" ref="O468:O472" si="242">J468-M468</f>
        <v>0</v>
      </c>
      <c r="P468" s="120">
        <f t="shared" ref="P468:P472" si="243">I468*O468*H468/1000</f>
        <v>0</v>
      </c>
      <c r="Q468" s="159"/>
      <c r="R468" s="111"/>
      <c r="S468" s="111"/>
    </row>
    <row r="469" spans="1:19">
      <c r="A469" s="110" t="s">
        <v>649</v>
      </c>
      <c r="B469" s="111" t="s">
        <v>505</v>
      </c>
      <c r="C469" s="112" t="s">
        <v>449</v>
      </c>
      <c r="D469" s="112"/>
      <c r="E469" s="113" t="s">
        <v>17</v>
      </c>
      <c r="F469" s="175" t="s">
        <v>15</v>
      </c>
      <c r="G469" s="175" t="s">
        <v>44</v>
      </c>
      <c r="H469" s="176">
        <v>13.4</v>
      </c>
      <c r="I469" s="177">
        <v>11.8</v>
      </c>
      <c r="J469" s="178">
        <v>10</v>
      </c>
      <c r="K469" s="174">
        <f t="shared" si="240"/>
        <v>1.5811999999999999</v>
      </c>
      <c r="L469" s="118"/>
      <c r="M469" s="178">
        <v>10</v>
      </c>
      <c r="N469" s="117">
        <f t="shared" si="241"/>
        <v>1.5811999999999999</v>
      </c>
      <c r="O469" s="119">
        <f t="shared" si="242"/>
        <v>0</v>
      </c>
      <c r="P469" s="120">
        <f t="shared" si="243"/>
        <v>0</v>
      </c>
      <c r="Q469" s="159"/>
      <c r="R469" s="111"/>
      <c r="S469" s="111"/>
    </row>
    <row r="470" spans="1:19">
      <c r="A470" s="110" t="s">
        <v>649</v>
      </c>
      <c r="B470" s="111" t="s">
        <v>505</v>
      </c>
      <c r="C470" s="112" t="s">
        <v>449</v>
      </c>
      <c r="D470" s="112"/>
      <c r="E470" s="113" t="s">
        <v>17</v>
      </c>
      <c r="F470" s="175" t="s">
        <v>15</v>
      </c>
      <c r="G470" s="175" t="s">
        <v>44</v>
      </c>
      <c r="H470" s="176">
        <v>13.4</v>
      </c>
      <c r="I470" s="177">
        <v>11.6</v>
      </c>
      <c r="J470" s="178">
        <v>2</v>
      </c>
      <c r="K470" s="174">
        <f t="shared" si="240"/>
        <v>0.31087999999999999</v>
      </c>
      <c r="L470" s="118"/>
      <c r="M470" s="178">
        <v>2</v>
      </c>
      <c r="N470" s="117">
        <f t="shared" si="241"/>
        <v>0.31087999999999999</v>
      </c>
      <c r="O470" s="119">
        <f t="shared" si="242"/>
        <v>0</v>
      </c>
      <c r="P470" s="120">
        <f t="shared" si="243"/>
        <v>0</v>
      </c>
      <c r="Q470" s="159">
        <v>11.5</v>
      </c>
      <c r="R470" s="111">
        <v>2</v>
      </c>
      <c r="S470" s="111"/>
    </row>
    <row r="471" spans="1:19">
      <c r="A471" s="110" t="s">
        <v>649</v>
      </c>
      <c r="B471" s="111" t="s">
        <v>505</v>
      </c>
      <c r="C471" s="112" t="s">
        <v>449</v>
      </c>
      <c r="D471" s="112"/>
      <c r="E471" s="113" t="s">
        <v>17</v>
      </c>
      <c r="F471" s="175" t="s">
        <v>15</v>
      </c>
      <c r="G471" s="175" t="s">
        <v>44</v>
      </c>
      <c r="H471" s="176">
        <v>13.4</v>
      </c>
      <c r="I471" s="177">
        <v>10.5</v>
      </c>
      <c r="J471" s="178">
        <v>1</v>
      </c>
      <c r="K471" s="174">
        <f t="shared" si="240"/>
        <v>0.14070000000000002</v>
      </c>
      <c r="L471" s="118"/>
      <c r="M471" s="178">
        <v>1</v>
      </c>
      <c r="N471" s="117">
        <f t="shared" si="241"/>
        <v>0.14070000000000002</v>
      </c>
      <c r="O471" s="119">
        <f t="shared" si="242"/>
        <v>0</v>
      </c>
      <c r="P471" s="120">
        <f t="shared" si="243"/>
        <v>0</v>
      </c>
      <c r="Q471" s="159"/>
      <c r="R471" s="111"/>
      <c r="S471" s="111"/>
    </row>
    <row r="472" spans="1:19">
      <c r="A472" s="110" t="s">
        <v>649</v>
      </c>
      <c r="B472" s="111" t="s">
        <v>505</v>
      </c>
      <c r="C472" s="112" t="s">
        <v>449</v>
      </c>
      <c r="D472" s="112"/>
      <c r="E472" s="113" t="s">
        <v>17</v>
      </c>
      <c r="F472" s="175" t="s">
        <v>15</v>
      </c>
      <c r="G472" s="175" t="s">
        <v>44</v>
      </c>
      <c r="H472" s="176">
        <v>13.4</v>
      </c>
      <c r="I472" s="177">
        <v>10</v>
      </c>
      <c r="J472" s="178">
        <v>4</v>
      </c>
      <c r="K472" s="174">
        <f t="shared" si="240"/>
        <v>0.53600000000000003</v>
      </c>
      <c r="L472" s="118"/>
      <c r="M472" s="178">
        <v>4</v>
      </c>
      <c r="N472" s="117">
        <f t="shared" si="241"/>
        <v>0.53600000000000003</v>
      </c>
      <c r="O472" s="119">
        <f t="shared" si="242"/>
        <v>0</v>
      </c>
      <c r="P472" s="120">
        <f t="shared" si="243"/>
        <v>0</v>
      </c>
      <c r="Q472" s="159"/>
      <c r="R472" s="111"/>
      <c r="S472" s="111"/>
    </row>
    <row r="473" spans="1:19">
      <c r="J473" s="78">
        <f>SUM(J418:J472)</f>
        <v>923</v>
      </c>
      <c r="K473" s="214">
        <f>SUM(K418:K472)</f>
        <v>141.00484999999995</v>
      </c>
      <c r="M473" s="78">
        <f>SUM(M418:M472)</f>
        <v>921</v>
      </c>
      <c r="N473" s="214">
        <f>SUM(N418:N472)</f>
        <v>140.70937999999998</v>
      </c>
      <c r="O473" s="78">
        <f>SUM(O418:O472)</f>
        <v>2</v>
      </c>
      <c r="P473" s="214">
        <f>SUM(P418:P472)</f>
        <v>0.29547000000000001</v>
      </c>
    </row>
    <row r="475" spans="1:19">
      <c r="A475" s="110" t="s">
        <v>649</v>
      </c>
      <c r="B475" s="111" t="s">
        <v>505</v>
      </c>
      <c r="C475" s="112" t="s">
        <v>449</v>
      </c>
      <c r="D475" s="112"/>
      <c r="E475" s="113" t="s">
        <v>17</v>
      </c>
      <c r="F475" s="175" t="s">
        <v>15</v>
      </c>
      <c r="G475" s="175" t="s">
        <v>41</v>
      </c>
      <c r="H475" s="176">
        <v>11.8</v>
      </c>
      <c r="I475" s="177">
        <v>7.55</v>
      </c>
      <c r="J475" s="178">
        <v>14</v>
      </c>
      <c r="K475" s="174">
        <f t="shared" ref="K475" si="244">(H475*I475*J475/1000)</f>
        <v>1.24726</v>
      </c>
      <c r="L475" s="118"/>
      <c r="M475" s="178">
        <v>14</v>
      </c>
      <c r="N475" s="117">
        <f t="shared" ref="N475" si="245">I475*M475*H475/1000</f>
        <v>1.2472600000000003</v>
      </c>
      <c r="O475" s="119">
        <f t="shared" ref="O475" si="246">J475-M475</f>
        <v>0</v>
      </c>
      <c r="P475" s="120">
        <f t="shared" ref="P475" si="247">I475*O475*H475/1000</f>
        <v>0</v>
      </c>
      <c r="Q475" s="159"/>
      <c r="R475" s="111"/>
      <c r="S475" s="111"/>
    </row>
    <row r="476" spans="1:19">
      <c r="A476" s="110" t="s">
        <v>649</v>
      </c>
      <c r="B476" s="111" t="s">
        <v>505</v>
      </c>
      <c r="C476" s="112" t="s">
        <v>449</v>
      </c>
      <c r="D476" s="112"/>
      <c r="E476" s="113" t="s">
        <v>17</v>
      </c>
      <c r="F476" s="175" t="s">
        <v>15</v>
      </c>
      <c r="G476" s="175" t="s">
        <v>41</v>
      </c>
      <c r="H476" s="176">
        <v>11.8</v>
      </c>
      <c r="I476" s="177">
        <v>10</v>
      </c>
      <c r="J476" s="178">
        <v>7</v>
      </c>
      <c r="K476" s="174">
        <f t="shared" ref="K476:K495" si="248">(H476*I476*J476/1000)</f>
        <v>0.82599999999999996</v>
      </c>
      <c r="L476" s="118"/>
      <c r="M476" s="178">
        <v>4</v>
      </c>
      <c r="N476" s="117">
        <f t="shared" ref="N476:N495" si="249">I476*M476*H476/1000</f>
        <v>0.47199999999999998</v>
      </c>
      <c r="O476" s="119">
        <f t="shared" ref="O476:O495" si="250">J476-M476</f>
        <v>3</v>
      </c>
      <c r="P476" s="120">
        <f t="shared" ref="P476:P495" si="251">I476*O476*H476/1000</f>
        <v>0.35399999999999998</v>
      </c>
      <c r="Q476" s="159"/>
      <c r="R476" s="111"/>
      <c r="S476" s="111"/>
    </row>
    <row r="477" spans="1:19">
      <c r="A477" s="110" t="s">
        <v>649</v>
      </c>
      <c r="B477" s="111" t="s">
        <v>505</v>
      </c>
      <c r="C477" s="112" t="s">
        <v>449</v>
      </c>
      <c r="D477" s="112"/>
      <c r="E477" s="113" t="s">
        <v>17</v>
      </c>
      <c r="F477" s="175" t="s">
        <v>15</v>
      </c>
      <c r="G477" s="175" t="s">
        <v>41</v>
      </c>
      <c r="H477" s="176">
        <v>11.8</v>
      </c>
      <c r="I477" s="177">
        <v>11</v>
      </c>
      <c r="J477" s="178">
        <v>14</v>
      </c>
      <c r="K477" s="174">
        <f t="shared" si="248"/>
        <v>1.8172000000000004</v>
      </c>
      <c r="L477" s="118"/>
      <c r="M477" s="178">
        <v>14</v>
      </c>
      <c r="N477" s="117">
        <f t="shared" si="249"/>
        <v>1.8172000000000001</v>
      </c>
      <c r="O477" s="119">
        <f t="shared" si="250"/>
        <v>0</v>
      </c>
      <c r="P477" s="120">
        <f t="shared" si="251"/>
        <v>0</v>
      </c>
      <c r="Q477" s="159"/>
      <c r="R477" s="111"/>
      <c r="S477" s="111"/>
    </row>
    <row r="478" spans="1:19">
      <c r="A478" s="110" t="s">
        <v>649</v>
      </c>
      <c r="B478" s="111" t="s">
        <v>505</v>
      </c>
      <c r="C478" s="112" t="s">
        <v>449</v>
      </c>
      <c r="D478" s="112"/>
      <c r="E478" s="113" t="s">
        <v>17</v>
      </c>
      <c r="F478" s="175" t="s">
        <v>15</v>
      </c>
      <c r="G478" s="175" t="s">
        <v>41</v>
      </c>
      <c r="H478" s="176">
        <v>11.8</v>
      </c>
      <c r="I478" s="177">
        <v>11.7</v>
      </c>
      <c r="J478" s="178">
        <v>6</v>
      </c>
      <c r="K478" s="174">
        <f t="shared" si="248"/>
        <v>0.82835999999999999</v>
      </c>
      <c r="L478" s="118"/>
      <c r="M478" s="178">
        <v>6</v>
      </c>
      <c r="N478" s="117">
        <f t="shared" si="249"/>
        <v>0.82835999999999987</v>
      </c>
      <c r="O478" s="119">
        <f t="shared" si="250"/>
        <v>0</v>
      </c>
      <c r="P478" s="120">
        <f t="shared" si="251"/>
        <v>0</v>
      </c>
      <c r="Q478" s="159"/>
      <c r="R478" s="111"/>
      <c r="S478" s="111"/>
    </row>
    <row r="479" spans="1:19">
      <c r="A479" s="110" t="s">
        <v>649</v>
      </c>
      <c r="B479" s="111" t="s">
        <v>505</v>
      </c>
      <c r="C479" s="112" t="s">
        <v>449</v>
      </c>
      <c r="D479" s="112"/>
      <c r="E479" s="113" t="s">
        <v>17</v>
      </c>
      <c r="F479" s="175" t="s">
        <v>15</v>
      </c>
      <c r="G479" s="175" t="s">
        <v>41</v>
      </c>
      <c r="H479" s="176">
        <v>11.8</v>
      </c>
      <c r="I479" s="177">
        <v>12</v>
      </c>
      <c r="J479" s="178">
        <v>12</v>
      </c>
      <c r="K479" s="174">
        <f t="shared" si="248"/>
        <v>1.6992000000000003</v>
      </c>
      <c r="L479" s="118"/>
      <c r="M479" s="178">
        <v>12</v>
      </c>
      <c r="N479" s="117">
        <f t="shared" si="249"/>
        <v>1.6992</v>
      </c>
      <c r="O479" s="119">
        <f t="shared" si="250"/>
        <v>0</v>
      </c>
      <c r="P479" s="120">
        <f t="shared" si="251"/>
        <v>0</v>
      </c>
      <c r="Q479" s="159"/>
      <c r="R479" s="111"/>
      <c r="S479" s="111"/>
    </row>
    <row r="480" spans="1:19">
      <c r="A480" s="110" t="s">
        <v>649</v>
      </c>
      <c r="B480" s="111" t="s">
        <v>505</v>
      </c>
      <c r="C480" s="112" t="s">
        <v>449</v>
      </c>
      <c r="D480" s="112"/>
      <c r="E480" s="113" t="s">
        <v>17</v>
      </c>
      <c r="F480" s="175" t="s">
        <v>15</v>
      </c>
      <c r="G480" s="175" t="s">
        <v>41</v>
      </c>
      <c r="H480" s="176">
        <v>11.8</v>
      </c>
      <c r="I480" s="177">
        <v>7.55</v>
      </c>
      <c r="J480" s="178">
        <v>21</v>
      </c>
      <c r="K480" s="174">
        <f t="shared" si="248"/>
        <v>1.8708900000000002</v>
      </c>
      <c r="L480" s="118"/>
      <c r="M480" s="178">
        <v>21</v>
      </c>
      <c r="N480" s="117">
        <f t="shared" si="249"/>
        <v>1.8708899999999999</v>
      </c>
      <c r="O480" s="119">
        <f t="shared" si="250"/>
        <v>0</v>
      </c>
      <c r="P480" s="120">
        <f t="shared" si="251"/>
        <v>0</v>
      </c>
      <c r="Q480" s="159"/>
      <c r="R480" s="111"/>
      <c r="S480" s="111"/>
    </row>
    <row r="481" spans="1:19">
      <c r="A481" s="110" t="s">
        <v>649</v>
      </c>
      <c r="B481" s="111" t="s">
        <v>505</v>
      </c>
      <c r="C481" s="112" t="s">
        <v>449</v>
      </c>
      <c r="D481" s="112"/>
      <c r="E481" s="113" t="s">
        <v>17</v>
      </c>
      <c r="F481" s="175" t="s">
        <v>15</v>
      </c>
      <c r="G481" s="175" t="s">
        <v>41</v>
      </c>
      <c r="H481" s="176">
        <v>11.8</v>
      </c>
      <c r="I481" s="177">
        <v>10</v>
      </c>
      <c r="J481" s="178">
        <v>32</v>
      </c>
      <c r="K481" s="174">
        <f t="shared" si="248"/>
        <v>3.7759999999999998</v>
      </c>
      <c r="L481" s="118"/>
      <c r="M481" s="178">
        <v>32</v>
      </c>
      <c r="N481" s="117">
        <f t="shared" si="249"/>
        <v>3.7759999999999998</v>
      </c>
      <c r="O481" s="119">
        <f t="shared" si="250"/>
        <v>0</v>
      </c>
      <c r="P481" s="120">
        <f t="shared" si="251"/>
        <v>0</v>
      </c>
      <c r="Q481" s="159"/>
      <c r="R481" s="111"/>
      <c r="S481" s="111"/>
    </row>
    <row r="482" spans="1:19">
      <c r="A482" s="110" t="s">
        <v>649</v>
      </c>
      <c r="B482" s="111" t="s">
        <v>505</v>
      </c>
      <c r="C482" s="112" t="s">
        <v>449</v>
      </c>
      <c r="D482" s="112"/>
      <c r="E482" s="113" t="s">
        <v>17</v>
      </c>
      <c r="F482" s="175" t="s">
        <v>15</v>
      </c>
      <c r="G482" s="175" t="s">
        <v>41</v>
      </c>
      <c r="H482" s="176">
        <v>11.8</v>
      </c>
      <c r="I482" s="177">
        <v>11</v>
      </c>
      <c r="J482" s="178">
        <v>9</v>
      </c>
      <c r="K482" s="174">
        <f t="shared" si="248"/>
        <v>1.1682000000000001</v>
      </c>
      <c r="L482" s="118"/>
      <c r="M482" s="178">
        <v>9</v>
      </c>
      <c r="N482" s="117">
        <f t="shared" si="249"/>
        <v>1.1682000000000001</v>
      </c>
      <c r="O482" s="119">
        <f t="shared" si="250"/>
        <v>0</v>
      </c>
      <c r="P482" s="120">
        <f t="shared" si="251"/>
        <v>0</v>
      </c>
      <c r="Q482" s="159"/>
      <c r="R482" s="111"/>
      <c r="S482" s="111"/>
    </row>
    <row r="483" spans="1:19">
      <c r="A483" s="110" t="s">
        <v>649</v>
      </c>
      <c r="B483" s="111" t="s">
        <v>505</v>
      </c>
      <c r="C483" s="112" t="s">
        <v>449</v>
      </c>
      <c r="D483" s="112"/>
      <c r="E483" s="113" t="s">
        <v>17</v>
      </c>
      <c r="F483" s="175" t="s">
        <v>15</v>
      </c>
      <c r="G483" s="175" t="s">
        <v>41</v>
      </c>
      <c r="H483" s="176">
        <v>11.8</v>
      </c>
      <c r="I483" s="177">
        <v>11.7</v>
      </c>
      <c r="J483" s="178">
        <v>15</v>
      </c>
      <c r="K483" s="174">
        <f t="shared" si="248"/>
        <v>2.0709</v>
      </c>
      <c r="L483" s="118"/>
      <c r="M483" s="178">
        <v>15</v>
      </c>
      <c r="N483" s="117">
        <f t="shared" si="249"/>
        <v>2.0709</v>
      </c>
      <c r="O483" s="119">
        <f t="shared" si="250"/>
        <v>0</v>
      </c>
      <c r="P483" s="120">
        <f t="shared" si="251"/>
        <v>0</v>
      </c>
      <c r="Q483" s="159"/>
      <c r="R483" s="111"/>
      <c r="S483" s="111"/>
    </row>
    <row r="484" spans="1:19">
      <c r="A484" s="110" t="s">
        <v>649</v>
      </c>
      <c r="B484" s="111" t="s">
        <v>505</v>
      </c>
      <c r="C484" s="112" t="s">
        <v>449</v>
      </c>
      <c r="D484" s="112"/>
      <c r="E484" s="113" t="s">
        <v>17</v>
      </c>
      <c r="F484" s="175" t="s">
        <v>15</v>
      </c>
      <c r="G484" s="175" t="s">
        <v>41</v>
      </c>
      <c r="H484" s="176">
        <v>11.8</v>
      </c>
      <c r="I484" s="177">
        <v>8.6999999999999993</v>
      </c>
      <c r="J484" s="178">
        <v>2</v>
      </c>
      <c r="K484" s="174">
        <f t="shared" si="248"/>
        <v>0.20532</v>
      </c>
      <c r="L484" s="118"/>
      <c r="M484" s="178">
        <v>2</v>
      </c>
      <c r="N484" s="117">
        <f t="shared" si="249"/>
        <v>0.20532</v>
      </c>
      <c r="O484" s="119">
        <f t="shared" si="250"/>
        <v>0</v>
      </c>
      <c r="P484" s="120">
        <f t="shared" si="251"/>
        <v>0</v>
      </c>
      <c r="Q484" s="159">
        <v>7.55</v>
      </c>
      <c r="R484" s="111">
        <v>2</v>
      </c>
      <c r="S484" s="111"/>
    </row>
    <row r="485" spans="1:19">
      <c r="A485" s="110" t="s">
        <v>649</v>
      </c>
      <c r="B485" s="111" t="s">
        <v>505</v>
      </c>
      <c r="C485" s="112" t="s">
        <v>449</v>
      </c>
      <c r="D485" s="112"/>
      <c r="E485" s="113" t="s">
        <v>17</v>
      </c>
      <c r="F485" s="175" t="s">
        <v>15</v>
      </c>
      <c r="G485" s="175" t="s">
        <v>41</v>
      </c>
      <c r="H485" s="176">
        <v>11.8</v>
      </c>
      <c r="I485" s="177">
        <v>11</v>
      </c>
      <c r="J485" s="178">
        <v>20</v>
      </c>
      <c r="K485" s="174">
        <f t="shared" si="248"/>
        <v>2.5960000000000001</v>
      </c>
      <c r="L485" s="118"/>
      <c r="M485" s="178">
        <v>20</v>
      </c>
      <c r="N485" s="117">
        <f t="shared" si="249"/>
        <v>2.5960000000000001</v>
      </c>
      <c r="O485" s="119">
        <f t="shared" si="250"/>
        <v>0</v>
      </c>
      <c r="P485" s="120">
        <f t="shared" si="251"/>
        <v>0</v>
      </c>
      <c r="Q485" s="159"/>
      <c r="R485" s="111"/>
      <c r="S485" s="111"/>
    </row>
    <row r="486" spans="1:19">
      <c r="A486" s="110" t="s">
        <v>649</v>
      </c>
      <c r="B486" s="111" t="s">
        <v>505</v>
      </c>
      <c r="C486" s="112" t="s">
        <v>449</v>
      </c>
      <c r="D486" s="112"/>
      <c r="E486" s="113" t="s">
        <v>17</v>
      </c>
      <c r="F486" s="175" t="s">
        <v>15</v>
      </c>
      <c r="G486" s="175" t="s">
        <v>41</v>
      </c>
      <c r="H486" s="176">
        <v>11.8</v>
      </c>
      <c r="I486" s="177">
        <v>11</v>
      </c>
      <c r="J486" s="178">
        <v>20</v>
      </c>
      <c r="K486" s="174">
        <f t="shared" si="248"/>
        <v>2.5960000000000001</v>
      </c>
      <c r="L486" s="118"/>
      <c r="M486" s="178">
        <v>20</v>
      </c>
      <c r="N486" s="117">
        <f t="shared" si="249"/>
        <v>2.5960000000000001</v>
      </c>
      <c r="O486" s="119">
        <f t="shared" si="250"/>
        <v>0</v>
      </c>
      <c r="P486" s="120">
        <f t="shared" si="251"/>
        <v>0</v>
      </c>
      <c r="Q486" s="159"/>
      <c r="R486" s="111"/>
      <c r="S486" s="111"/>
    </row>
    <row r="487" spans="1:19">
      <c r="A487" s="110" t="s">
        <v>649</v>
      </c>
      <c r="B487" s="111" t="s">
        <v>505</v>
      </c>
      <c r="C487" s="112" t="s">
        <v>449</v>
      </c>
      <c r="D487" s="112"/>
      <c r="E487" s="113" t="s">
        <v>17</v>
      </c>
      <c r="F487" s="175" t="s">
        <v>15</v>
      </c>
      <c r="G487" s="175" t="s">
        <v>41</v>
      </c>
      <c r="H487" s="176">
        <v>11.8</v>
      </c>
      <c r="I487" s="177">
        <v>7.55</v>
      </c>
      <c r="J487" s="178">
        <v>10</v>
      </c>
      <c r="K487" s="174">
        <f t="shared" si="248"/>
        <v>0.89090000000000014</v>
      </c>
      <c r="L487" s="118"/>
      <c r="M487" s="178">
        <v>10</v>
      </c>
      <c r="N487" s="117">
        <f t="shared" si="249"/>
        <v>0.89090000000000014</v>
      </c>
      <c r="O487" s="119">
        <f t="shared" si="250"/>
        <v>0</v>
      </c>
      <c r="P487" s="120">
        <f t="shared" si="251"/>
        <v>0</v>
      </c>
      <c r="Q487" s="159"/>
      <c r="R487" s="111"/>
      <c r="S487" s="111"/>
    </row>
    <row r="488" spans="1:19">
      <c r="A488" s="110" t="s">
        <v>649</v>
      </c>
      <c r="B488" s="111" t="s">
        <v>505</v>
      </c>
      <c r="C488" s="112" t="s">
        <v>449</v>
      </c>
      <c r="D488" s="112"/>
      <c r="E488" s="113" t="s">
        <v>17</v>
      </c>
      <c r="F488" s="175" t="s">
        <v>15</v>
      </c>
      <c r="G488" s="175" t="s">
        <v>41</v>
      </c>
      <c r="H488" s="176">
        <v>11.8</v>
      </c>
      <c r="I488" s="177">
        <v>10</v>
      </c>
      <c r="J488" s="178">
        <v>7</v>
      </c>
      <c r="K488" s="174">
        <f t="shared" si="248"/>
        <v>0.82599999999999996</v>
      </c>
      <c r="L488" s="118"/>
      <c r="M488" s="178">
        <v>7</v>
      </c>
      <c r="N488" s="117">
        <f t="shared" si="249"/>
        <v>0.82599999999999996</v>
      </c>
      <c r="O488" s="119">
        <f t="shared" si="250"/>
        <v>0</v>
      </c>
      <c r="P488" s="120">
        <f t="shared" si="251"/>
        <v>0</v>
      </c>
      <c r="Q488" s="159"/>
      <c r="R488" s="111"/>
      <c r="S488" s="111"/>
    </row>
    <row r="489" spans="1:19">
      <c r="A489" s="110" t="s">
        <v>649</v>
      </c>
      <c r="B489" s="111" t="s">
        <v>505</v>
      </c>
      <c r="C489" s="112" t="s">
        <v>449</v>
      </c>
      <c r="D489" s="112"/>
      <c r="E489" s="113" t="s">
        <v>17</v>
      </c>
      <c r="F489" s="175" t="s">
        <v>15</v>
      </c>
      <c r="G489" s="175" t="s">
        <v>41</v>
      </c>
      <c r="H489" s="176">
        <v>11.8</v>
      </c>
      <c r="I489" s="177">
        <v>11</v>
      </c>
      <c r="J489" s="178">
        <v>10</v>
      </c>
      <c r="K489" s="174">
        <f t="shared" si="248"/>
        <v>1.298</v>
      </c>
      <c r="L489" s="118"/>
      <c r="M489" s="178">
        <v>10</v>
      </c>
      <c r="N489" s="117">
        <f t="shared" si="249"/>
        <v>1.298</v>
      </c>
      <c r="O489" s="119">
        <f t="shared" si="250"/>
        <v>0</v>
      </c>
      <c r="P489" s="120">
        <f t="shared" si="251"/>
        <v>0</v>
      </c>
      <c r="Q489" s="159"/>
      <c r="R489" s="111"/>
      <c r="S489" s="111"/>
    </row>
    <row r="490" spans="1:19">
      <c r="A490" s="110" t="s">
        <v>649</v>
      </c>
      <c r="B490" s="111" t="s">
        <v>505</v>
      </c>
      <c r="C490" s="112" t="s">
        <v>449</v>
      </c>
      <c r="D490" s="112"/>
      <c r="E490" s="113" t="s">
        <v>17</v>
      </c>
      <c r="F490" s="175" t="s">
        <v>15</v>
      </c>
      <c r="G490" s="175" t="s">
        <v>41</v>
      </c>
      <c r="H490" s="176">
        <v>11.8</v>
      </c>
      <c r="I490" s="177">
        <v>11.7</v>
      </c>
      <c r="J490" s="178">
        <f>11+12</f>
        <v>23</v>
      </c>
      <c r="K490" s="174">
        <f t="shared" si="248"/>
        <v>3.1753800000000001</v>
      </c>
      <c r="L490" s="118"/>
      <c r="M490" s="178">
        <f>11+12</f>
        <v>23</v>
      </c>
      <c r="N490" s="117">
        <f t="shared" si="249"/>
        <v>3.1753799999999996</v>
      </c>
      <c r="O490" s="119">
        <f t="shared" si="250"/>
        <v>0</v>
      </c>
      <c r="P490" s="120">
        <f t="shared" si="251"/>
        <v>0</v>
      </c>
      <c r="Q490" s="159"/>
      <c r="R490" s="111"/>
      <c r="S490" s="111"/>
    </row>
    <row r="491" spans="1:19">
      <c r="A491" s="110" t="s">
        <v>649</v>
      </c>
      <c r="B491" s="111" t="s">
        <v>505</v>
      </c>
      <c r="C491" s="112" t="s">
        <v>449</v>
      </c>
      <c r="D491" s="112"/>
      <c r="E491" s="113" t="s">
        <v>17</v>
      </c>
      <c r="F491" s="175" t="s">
        <v>15</v>
      </c>
      <c r="G491" s="175" t="s">
        <v>41</v>
      </c>
      <c r="H491" s="176">
        <v>11.8</v>
      </c>
      <c r="I491" s="177">
        <v>12</v>
      </c>
      <c r="J491" s="178">
        <v>10</v>
      </c>
      <c r="K491" s="174">
        <f t="shared" si="248"/>
        <v>1.4160000000000001</v>
      </c>
      <c r="L491" s="118"/>
      <c r="M491" s="178">
        <f>9+1</f>
        <v>10</v>
      </c>
      <c r="N491" s="117">
        <f t="shared" si="249"/>
        <v>1.4159999999999999</v>
      </c>
      <c r="O491" s="119">
        <f t="shared" si="250"/>
        <v>0</v>
      </c>
      <c r="P491" s="120">
        <f t="shared" si="251"/>
        <v>0</v>
      </c>
      <c r="Q491" s="159">
        <v>11.7</v>
      </c>
      <c r="R491" s="111">
        <v>1</v>
      </c>
      <c r="S491" s="111"/>
    </row>
    <row r="492" spans="1:19">
      <c r="A492" s="110" t="s">
        <v>649</v>
      </c>
      <c r="B492" s="111" t="s">
        <v>505</v>
      </c>
      <c r="C492" s="112" t="s">
        <v>449</v>
      </c>
      <c r="D492" s="112"/>
      <c r="E492" s="113" t="s">
        <v>17</v>
      </c>
      <c r="F492" s="175" t="s">
        <v>15</v>
      </c>
      <c r="G492" s="175" t="s">
        <v>41</v>
      </c>
      <c r="H492" s="176">
        <v>11.8</v>
      </c>
      <c r="I492" s="177">
        <v>9.5</v>
      </c>
      <c r="J492" s="178">
        <v>1</v>
      </c>
      <c r="K492" s="174">
        <f t="shared" si="248"/>
        <v>0.11210000000000001</v>
      </c>
      <c r="L492" s="118" t="s">
        <v>650</v>
      </c>
      <c r="M492" s="178"/>
      <c r="N492" s="117">
        <f t="shared" si="249"/>
        <v>0</v>
      </c>
      <c r="O492" s="119">
        <f t="shared" si="250"/>
        <v>1</v>
      </c>
      <c r="P492" s="120">
        <f t="shared" si="251"/>
        <v>0.11210000000000001</v>
      </c>
      <c r="Q492" s="159"/>
      <c r="R492" s="111"/>
      <c r="S492" s="111"/>
    </row>
    <row r="493" spans="1:19">
      <c r="A493" s="110" t="s">
        <v>649</v>
      </c>
      <c r="B493" s="111" t="s">
        <v>505</v>
      </c>
      <c r="C493" s="112" t="s">
        <v>449</v>
      </c>
      <c r="D493" s="112"/>
      <c r="E493" s="113" t="s">
        <v>17</v>
      </c>
      <c r="F493" s="175" t="s">
        <v>15</v>
      </c>
      <c r="G493" s="175" t="s">
        <v>41</v>
      </c>
      <c r="H493" s="176">
        <v>11.8</v>
      </c>
      <c r="I493" s="177">
        <v>11</v>
      </c>
      <c r="J493" s="178">
        <v>2</v>
      </c>
      <c r="K493" s="174">
        <f t="shared" si="248"/>
        <v>0.2596</v>
      </c>
      <c r="L493" s="118" t="s">
        <v>650</v>
      </c>
      <c r="M493" s="178"/>
      <c r="N493" s="117">
        <f t="shared" si="249"/>
        <v>0</v>
      </c>
      <c r="O493" s="119">
        <f t="shared" si="250"/>
        <v>2</v>
      </c>
      <c r="P493" s="120">
        <f t="shared" si="251"/>
        <v>0.2596</v>
      </c>
      <c r="Q493" s="159"/>
      <c r="R493" s="111"/>
      <c r="S493" s="111"/>
    </row>
    <row r="494" spans="1:19">
      <c r="A494" s="110" t="s">
        <v>649</v>
      </c>
      <c r="B494" s="111" t="s">
        <v>505</v>
      </c>
      <c r="C494" s="112" t="s">
        <v>449</v>
      </c>
      <c r="D494" s="112"/>
      <c r="E494" s="113" t="s">
        <v>17</v>
      </c>
      <c r="F494" s="175" t="s">
        <v>15</v>
      </c>
      <c r="G494" s="175" t="s">
        <v>41</v>
      </c>
      <c r="H494" s="176">
        <v>11.8</v>
      </c>
      <c r="I494" s="177">
        <v>11.7</v>
      </c>
      <c r="J494" s="178">
        <v>1</v>
      </c>
      <c r="K494" s="174">
        <f t="shared" si="248"/>
        <v>0.13806000000000002</v>
      </c>
      <c r="L494" s="118" t="s">
        <v>650</v>
      </c>
      <c r="M494" s="178">
        <v>1</v>
      </c>
      <c r="N494" s="117">
        <f t="shared" si="249"/>
        <v>0.13806000000000002</v>
      </c>
      <c r="O494" s="119">
        <f t="shared" si="250"/>
        <v>0</v>
      </c>
      <c r="P494" s="120">
        <f t="shared" si="251"/>
        <v>0</v>
      </c>
      <c r="Q494" s="159"/>
      <c r="R494" s="111"/>
      <c r="S494" s="111"/>
    </row>
    <row r="495" spans="1:19">
      <c r="A495" s="110" t="s">
        <v>649</v>
      </c>
      <c r="B495" s="111" t="s">
        <v>505</v>
      </c>
      <c r="C495" s="112" t="s">
        <v>449</v>
      </c>
      <c r="D495" s="112"/>
      <c r="E495" s="113" t="s">
        <v>17</v>
      </c>
      <c r="F495" s="175" t="s">
        <v>15</v>
      </c>
      <c r="G495" s="175" t="s">
        <v>41</v>
      </c>
      <c r="H495" s="176">
        <v>11.8</v>
      </c>
      <c r="I495" s="177">
        <v>10</v>
      </c>
      <c r="J495" s="178">
        <v>26</v>
      </c>
      <c r="K495" s="174">
        <f t="shared" si="248"/>
        <v>3.0680000000000001</v>
      </c>
      <c r="L495" s="118"/>
      <c r="M495" s="178">
        <v>26</v>
      </c>
      <c r="N495" s="117">
        <f t="shared" si="249"/>
        <v>3.0680000000000001</v>
      </c>
      <c r="O495" s="119">
        <f t="shared" si="250"/>
        <v>0</v>
      </c>
      <c r="P495" s="120">
        <f t="shared" si="251"/>
        <v>0</v>
      </c>
      <c r="Q495" s="159"/>
      <c r="R495" s="111"/>
      <c r="S495" s="111"/>
    </row>
    <row r="496" spans="1:19">
      <c r="A496" s="110" t="s">
        <v>649</v>
      </c>
      <c r="B496" s="111" t="s">
        <v>505</v>
      </c>
      <c r="C496" s="112" t="s">
        <v>449</v>
      </c>
      <c r="D496" s="112"/>
      <c r="E496" s="113" t="s">
        <v>17</v>
      </c>
      <c r="F496" s="175" t="s">
        <v>15</v>
      </c>
      <c r="G496" s="175" t="s">
        <v>41</v>
      </c>
      <c r="H496" s="176">
        <v>11.8</v>
      </c>
      <c r="I496" s="177">
        <v>10</v>
      </c>
      <c r="J496" s="178">
        <v>23</v>
      </c>
      <c r="K496" s="174">
        <f t="shared" ref="K496:K501" si="252">(H496*I496*J496/1000)</f>
        <v>2.714</v>
      </c>
      <c r="L496" s="118"/>
      <c r="M496" s="178">
        <v>23</v>
      </c>
      <c r="N496" s="117">
        <f t="shared" ref="N496:N502" si="253">I496*M496*H496/1000</f>
        <v>2.714</v>
      </c>
      <c r="O496" s="119">
        <f t="shared" ref="O496:O502" si="254">J496-M496</f>
        <v>0</v>
      </c>
      <c r="P496" s="120">
        <f t="shared" ref="P496:P502" si="255">I496*O496*H496/1000</f>
        <v>0</v>
      </c>
      <c r="Q496" s="159"/>
      <c r="R496" s="111"/>
      <c r="S496" s="111"/>
    </row>
    <row r="497" spans="1:22">
      <c r="A497" s="110" t="s">
        <v>649</v>
      </c>
      <c r="B497" s="111" t="s">
        <v>505</v>
      </c>
      <c r="C497" s="112" t="s">
        <v>449</v>
      </c>
      <c r="D497" s="112"/>
      <c r="E497" s="113" t="s">
        <v>17</v>
      </c>
      <c r="F497" s="175" t="s">
        <v>15</v>
      </c>
      <c r="G497" s="175" t="s">
        <v>41</v>
      </c>
      <c r="H497" s="176">
        <v>11.8</v>
      </c>
      <c r="I497" s="177">
        <v>7.55</v>
      </c>
      <c r="J497" s="178">
        <f>9</f>
        <v>9</v>
      </c>
      <c r="K497" s="174">
        <f t="shared" si="252"/>
        <v>0.80181000000000002</v>
      </c>
      <c r="L497" s="118"/>
      <c r="M497" s="178">
        <f>9</f>
        <v>9</v>
      </c>
      <c r="N497" s="117">
        <f t="shared" si="253"/>
        <v>0.80181000000000002</v>
      </c>
      <c r="O497" s="119">
        <f t="shared" si="254"/>
        <v>0</v>
      </c>
      <c r="P497" s="120">
        <f t="shared" si="255"/>
        <v>0</v>
      </c>
      <c r="Q497" s="159"/>
      <c r="R497" s="111"/>
      <c r="S497" s="111"/>
    </row>
    <row r="498" spans="1:22">
      <c r="A498" s="110" t="s">
        <v>649</v>
      </c>
      <c r="B498" s="111" t="s">
        <v>505</v>
      </c>
      <c r="C498" s="112" t="s">
        <v>449</v>
      </c>
      <c r="D498" s="112"/>
      <c r="E498" s="113" t="s">
        <v>17</v>
      </c>
      <c r="F498" s="175" t="s">
        <v>15</v>
      </c>
      <c r="G498" s="175" t="s">
        <v>41</v>
      </c>
      <c r="H498" s="176">
        <v>11.8</v>
      </c>
      <c r="I498" s="177">
        <v>11</v>
      </c>
      <c r="J498" s="178">
        <f>1+2</f>
        <v>3</v>
      </c>
      <c r="K498" s="174">
        <f t="shared" si="252"/>
        <v>0.38940000000000002</v>
      </c>
      <c r="L498" s="118"/>
      <c r="M498" s="178">
        <v>3</v>
      </c>
      <c r="N498" s="117">
        <f t="shared" si="253"/>
        <v>0.38940000000000002</v>
      </c>
      <c r="O498" s="119">
        <f t="shared" si="254"/>
        <v>0</v>
      </c>
      <c r="P498" s="120">
        <f t="shared" si="255"/>
        <v>0</v>
      </c>
      <c r="Q498" s="159">
        <v>10.5</v>
      </c>
      <c r="R498" s="111">
        <v>3</v>
      </c>
      <c r="S498" s="354" t="s">
        <v>693</v>
      </c>
      <c r="T498" s="354"/>
    </row>
    <row r="499" spans="1:22">
      <c r="A499" s="110" t="s">
        <v>649</v>
      </c>
      <c r="B499" s="111" t="s">
        <v>505</v>
      </c>
      <c r="C499" s="112" t="s">
        <v>449</v>
      </c>
      <c r="D499" s="112"/>
      <c r="E499" s="113" t="s">
        <v>17</v>
      </c>
      <c r="F499" s="175" t="s">
        <v>15</v>
      </c>
      <c r="G499" s="175" t="s">
        <v>41</v>
      </c>
      <c r="H499" s="176">
        <v>11.8</v>
      </c>
      <c r="I499" s="177">
        <v>11.7</v>
      </c>
      <c r="J499" s="178">
        <v>7</v>
      </c>
      <c r="K499" s="174">
        <f t="shared" si="252"/>
        <v>0.96642000000000006</v>
      </c>
      <c r="L499" s="118"/>
      <c r="M499" s="178">
        <v>7</v>
      </c>
      <c r="N499" s="117">
        <f t="shared" si="253"/>
        <v>0.96641999999999995</v>
      </c>
      <c r="O499" s="119">
        <f t="shared" si="254"/>
        <v>0</v>
      </c>
      <c r="P499" s="120">
        <f t="shared" si="255"/>
        <v>0</v>
      </c>
      <c r="Q499" s="159"/>
      <c r="R499" s="111"/>
      <c r="S499" s="111"/>
    </row>
    <row r="500" spans="1:22">
      <c r="A500" s="110" t="s">
        <v>649</v>
      </c>
      <c r="B500" s="111" t="s">
        <v>505</v>
      </c>
      <c r="C500" s="112" t="s">
        <v>449</v>
      </c>
      <c r="D500" s="112"/>
      <c r="E500" s="113" t="s">
        <v>17</v>
      </c>
      <c r="F500" s="175" t="s">
        <v>15</v>
      </c>
      <c r="G500" s="175" t="s">
        <v>41</v>
      </c>
      <c r="H500" s="176">
        <v>11.8</v>
      </c>
      <c r="I500" s="177">
        <v>12</v>
      </c>
      <c r="J500" s="178">
        <f>5+2</f>
        <v>7</v>
      </c>
      <c r="K500" s="174">
        <f t="shared" si="252"/>
        <v>0.99120000000000019</v>
      </c>
      <c r="L500" s="118"/>
      <c r="M500" s="178">
        <f>1+1</f>
        <v>2</v>
      </c>
      <c r="N500" s="117">
        <f t="shared" si="253"/>
        <v>0.28320000000000006</v>
      </c>
      <c r="O500" s="119">
        <f t="shared" si="254"/>
        <v>5</v>
      </c>
      <c r="P500" s="120">
        <f t="shared" si="255"/>
        <v>0.70799999999999996</v>
      </c>
      <c r="Q500" s="159">
        <v>11.7</v>
      </c>
      <c r="R500" s="111">
        <v>1</v>
      </c>
      <c r="S500" s="111">
        <v>10.5</v>
      </c>
      <c r="T500">
        <v>1</v>
      </c>
      <c r="U500" s="354" t="s">
        <v>693</v>
      </c>
      <c r="V500" s="354"/>
    </row>
    <row r="501" spans="1:22">
      <c r="A501" s="110" t="s">
        <v>649</v>
      </c>
      <c r="B501" s="111" t="s">
        <v>505</v>
      </c>
      <c r="C501" s="112" t="s">
        <v>449</v>
      </c>
      <c r="D501" s="112"/>
      <c r="E501" s="113" t="s">
        <v>17</v>
      </c>
      <c r="F501" s="175" t="s">
        <v>15</v>
      </c>
      <c r="G501" s="175" t="s">
        <v>41</v>
      </c>
      <c r="H501" s="176">
        <v>11.8</v>
      </c>
      <c r="I501" s="177">
        <v>7.2</v>
      </c>
      <c r="J501" s="178">
        <v>1</v>
      </c>
      <c r="K501" s="174">
        <f t="shared" si="252"/>
        <v>8.4960000000000008E-2</v>
      </c>
      <c r="L501" s="118"/>
      <c r="M501" s="178"/>
      <c r="N501" s="117">
        <f t="shared" si="253"/>
        <v>0</v>
      </c>
      <c r="O501" s="119">
        <f t="shared" si="254"/>
        <v>1</v>
      </c>
      <c r="P501" s="120">
        <f t="shared" si="255"/>
        <v>8.4960000000000008E-2</v>
      </c>
      <c r="Q501" s="159"/>
      <c r="R501" s="111"/>
      <c r="S501" s="111"/>
    </row>
    <row r="502" spans="1:22">
      <c r="A502" s="110" t="s">
        <v>649</v>
      </c>
      <c r="B502" s="111" t="s">
        <v>505</v>
      </c>
      <c r="C502" s="112" t="s">
        <v>449</v>
      </c>
      <c r="D502" s="112"/>
      <c r="E502" s="113" t="s">
        <v>17</v>
      </c>
      <c r="F502" s="175" t="s">
        <v>15</v>
      </c>
      <c r="G502" s="175" t="s">
        <v>41</v>
      </c>
      <c r="H502" s="176">
        <v>11.8</v>
      </c>
      <c r="I502" s="177">
        <v>9.6999999999999993</v>
      </c>
      <c r="J502" s="178">
        <v>2</v>
      </c>
      <c r="K502" s="174">
        <f>(H502*I502*J502/1000)</f>
        <v>0.22891999999999998</v>
      </c>
      <c r="L502" s="118"/>
      <c r="M502" s="178"/>
      <c r="N502" s="117">
        <f t="shared" si="253"/>
        <v>0</v>
      </c>
      <c r="O502" s="119">
        <f t="shared" si="254"/>
        <v>2</v>
      </c>
      <c r="P502" s="120">
        <f t="shared" si="255"/>
        <v>0.22891999999999998</v>
      </c>
      <c r="Q502" s="159"/>
      <c r="R502" s="111"/>
      <c r="S502" s="111"/>
    </row>
    <row r="503" spans="1:22">
      <c r="A503" s="32"/>
      <c r="B503" s="32"/>
      <c r="C503" s="32"/>
      <c r="D503" s="32"/>
      <c r="E503" s="32"/>
      <c r="F503" s="32"/>
      <c r="G503" s="32"/>
      <c r="H503" s="32"/>
      <c r="I503" s="32"/>
      <c r="J503" s="473">
        <f>SUM(J475:J502)</f>
        <v>314</v>
      </c>
      <c r="K503" s="474">
        <f>SUM(K475:K502)</f>
        <v>38.062080000000016</v>
      </c>
      <c r="L503" s="111"/>
      <c r="M503" s="473">
        <f>SUM(M475:M502)</f>
        <v>300</v>
      </c>
      <c r="N503" s="474">
        <f>SUM(N475:N502)</f>
        <v>36.31450000000001</v>
      </c>
      <c r="O503" s="473">
        <f>SUM(O475:O502)</f>
        <v>14</v>
      </c>
      <c r="P503" s="474">
        <f>SUM(P475:P502)</f>
        <v>1.7475799999999999</v>
      </c>
      <c r="Q503" s="32"/>
      <c r="R503" s="32"/>
      <c r="S503" s="32"/>
    </row>
    <row r="506" spans="1:22">
      <c r="A506" s="110" t="s">
        <v>667</v>
      </c>
      <c r="B506" s="111" t="s">
        <v>505</v>
      </c>
      <c r="C506" s="112" t="s">
        <v>449</v>
      </c>
      <c r="D506" s="112"/>
      <c r="E506" s="113" t="s">
        <v>17</v>
      </c>
      <c r="F506" s="175" t="s">
        <v>15</v>
      </c>
      <c r="G506" s="175" t="s">
        <v>36</v>
      </c>
      <c r="H506" s="176">
        <v>10.199999999999999</v>
      </c>
      <c r="I506" s="177">
        <v>7.1</v>
      </c>
      <c r="J506" s="178">
        <v>14</v>
      </c>
      <c r="K506" s="174">
        <f t="shared" ref="K506" si="256">(H506*I506*J506/1000)</f>
        <v>1.0138799999999999</v>
      </c>
      <c r="L506" s="118"/>
      <c r="M506" s="178">
        <v>14</v>
      </c>
      <c r="N506" s="117">
        <f t="shared" ref="N506" si="257">I506*M506*H506/1000</f>
        <v>1.0138799999999999</v>
      </c>
      <c r="O506" s="119">
        <f t="shared" ref="O506" si="258">J506-M506</f>
        <v>0</v>
      </c>
      <c r="P506" s="120">
        <f t="shared" ref="P506" si="259">I506*O506*H506/1000</f>
        <v>0</v>
      </c>
      <c r="Q506" s="159"/>
      <c r="R506" s="111"/>
      <c r="S506" s="111"/>
    </row>
    <row r="507" spans="1:22">
      <c r="A507" s="110" t="s">
        <v>667</v>
      </c>
      <c r="B507" s="111" t="s">
        <v>505</v>
      </c>
      <c r="C507" s="112" t="s">
        <v>449</v>
      </c>
      <c r="D507" s="112"/>
      <c r="E507" s="113" t="s">
        <v>17</v>
      </c>
      <c r="F507" s="175" t="s">
        <v>15</v>
      </c>
      <c r="G507" s="175" t="s">
        <v>36</v>
      </c>
      <c r="H507" s="176">
        <v>10.199999999999999</v>
      </c>
      <c r="I507" s="177">
        <v>8</v>
      </c>
      <c r="J507" s="178">
        <v>10</v>
      </c>
      <c r="K507" s="174">
        <f t="shared" ref="K507:K527" si="260">(H507*I507*J507/1000)</f>
        <v>0.81599999999999995</v>
      </c>
      <c r="L507" s="118"/>
      <c r="M507" s="178">
        <v>10</v>
      </c>
      <c r="N507" s="117">
        <f t="shared" ref="N507:N527" si="261">I507*M507*H507/1000</f>
        <v>0.81599999999999995</v>
      </c>
      <c r="O507" s="119">
        <f t="shared" ref="O507:O527" si="262">J507-M507</f>
        <v>0</v>
      </c>
      <c r="P507" s="120">
        <f t="shared" ref="P507:P527" si="263">I507*O507*H507/1000</f>
        <v>0</v>
      </c>
      <c r="Q507" s="159"/>
      <c r="R507" s="111"/>
      <c r="S507" s="111"/>
    </row>
    <row r="508" spans="1:22">
      <c r="A508" s="110" t="s">
        <v>667</v>
      </c>
      <c r="B508" s="111" t="s">
        <v>505</v>
      </c>
      <c r="C508" s="112" t="s">
        <v>449</v>
      </c>
      <c r="D508" s="112"/>
      <c r="E508" s="113" t="s">
        <v>17</v>
      </c>
      <c r="F508" s="175" t="s">
        <v>15</v>
      </c>
      <c r="G508" s="175" t="s">
        <v>36</v>
      </c>
      <c r="H508" s="176">
        <v>10.199999999999999</v>
      </c>
      <c r="I508" s="177">
        <v>9.6999999999999993</v>
      </c>
      <c r="J508" s="178">
        <v>1</v>
      </c>
      <c r="K508" s="174">
        <f t="shared" si="260"/>
        <v>9.8939999999999986E-2</v>
      </c>
      <c r="L508" s="118"/>
      <c r="M508" s="178">
        <v>1</v>
      </c>
      <c r="N508" s="117">
        <f t="shared" si="261"/>
        <v>9.8939999999999986E-2</v>
      </c>
      <c r="O508" s="119">
        <f t="shared" si="262"/>
        <v>0</v>
      </c>
      <c r="P508" s="120">
        <f t="shared" si="263"/>
        <v>0</v>
      </c>
      <c r="Q508" s="159">
        <v>8</v>
      </c>
      <c r="R508" s="111">
        <v>1</v>
      </c>
      <c r="S508" s="111"/>
    </row>
    <row r="509" spans="1:22">
      <c r="A509" s="110" t="s">
        <v>667</v>
      </c>
      <c r="B509" s="111" t="s">
        <v>505</v>
      </c>
      <c r="C509" s="112" t="s">
        <v>449</v>
      </c>
      <c r="D509" s="112"/>
      <c r="E509" s="113" t="s">
        <v>17</v>
      </c>
      <c r="F509" s="175" t="s">
        <v>15</v>
      </c>
      <c r="G509" s="175" t="s">
        <v>36</v>
      </c>
      <c r="H509" s="176">
        <v>10.199999999999999</v>
      </c>
      <c r="I509" s="177">
        <v>10</v>
      </c>
      <c r="J509" s="178">
        <v>1</v>
      </c>
      <c r="K509" s="174">
        <f t="shared" si="260"/>
        <v>0.10199999999999999</v>
      </c>
      <c r="L509" s="118"/>
      <c r="M509" s="178">
        <v>1</v>
      </c>
      <c r="N509" s="117">
        <f t="shared" si="261"/>
        <v>0.10199999999999999</v>
      </c>
      <c r="O509" s="119">
        <f t="shared" si="262"/>
        <v>0</v>
      </c>
      <c r="P509" s="120">
        <f t="shared" si="263"/>
        <v>0</v>
      </c>
      <c r="Q509" s="159"/>
      <c r="R509" s="111"/>
      <c r="S509" s="111"/>
    </row>
    <row r="510" spans="1:22">
      <c r="A510" s="110" t="s">
        <v>667</v>
      </c>
      <c r="B510" s="111" t="s">
        <v>505</v>
      </c>
      <c r="C510" s="112" t="s">
        <v>449</v>
      </c>
      <c r="D510" s="112"/>
      <c r="E510" s="113" t="s">
        <v>17</v>
      </c>
      <c r="F510" s="175" t="s">
        <v>15</v>
      </c>
      <c r="G510" s="175" t="s">
        <v>36</v>
      </c>
      <c r="H510" s="176">
        <v>10.199999999999999</v>
      </c>
      <c r="I510" s="177">
        <v>10.7</v>
      </c>
      <c r="J510" s="178">
        <v>5</v>
      </c>
      <c r="K510" s="174">
        <f t="shared" si="260"/>
        <v>0.54569999999999996</v>
      </c>
      <c r="L510" s="118"/>
      <c r="M510" s="178">
        <v>5</v>
      </c>
      <c r="N510" s="117">
        <f t="shared" si="261"/>
        <v>0.54569999999999996</v>
      </c>
      <c r="O510" s="119">
        <f t="shared" si="262"/>
        <v>0</v>
      </c>
      <c r="P510" s="120">
        <f t="shared" si="263"/>
        <v>0</v>
      </c>
      <c r="Q510" s="159"/>
      <c r="R510" s="111"/>
      <c r="S510" s="111"/>
    </row>
    <row r="511" spans="1:22">
      <c r="A511" s="110" t="s">
        <v>667</v>
      </c>
      <c r="B511" s="111" t="s">
        <v>505</v>
      </c>
      <c r="C511" s="112" t="s">
        <v>449</v>
      </c>
      <c r="D511" s="112"/>
      <c r="E511" s="113" t="s">
        <v>17</v>
      </c>
      <c r="F511" s="175" t="s">
        <v>15</v>
      </c>
      <c r="G511" s="175" t="s">
        <v>36</v>
      </c>
      <c r="H511" s="176">
        <v>10.199999999999999</v>
      </c>
      <c r="I511" s="177">
        <v>11</v>
      </c>
      <c r="J511" s="178">
        <v>3</v>
      </c>
      <c r="K511" s="174">
        <f t="shared" si="260"/>
        <v>0.33659999999999995</v>
      </c>
      <c r="L511" s="118"/>
      <c r="M511" s="178">
        <v>3</v>
      </c>
      <c r="N511" s="117">
        <f t="shared" si="261"/>
        <v>0.33659999999999995</v>
      </c>
      <c r="O511" s="119">
        <f t="shared" si="262"/>
        <v>0</v>
      </c>
      <c r="P511" s="120">
        <f t="shared" si="263"/>
        <v>0</v>
      </c>
      <c r="Q511" s="159"/>
      <c r="R511" s="111"/>
      <c r="S511" s="111"/>
    </row>
    <row r="512" spans="1:22">
      <c r="A512" s="110" t="s">
        <v>667</v>
      </c>
      <c r="B512" s="111" t="s">
        <v>505</v>
      </c>
      <c r="C512" s="112" t="s">
        <v>449</v>
      </c>
      <c r="D512" s="112"/>
      <c r="E512" s="113" t="s">
        <v>17</v>
      </c>
      <c r="F512" s="175" t="s">
        <v>15</v>
      </c>
      <c r="G512" s="175" t="s">
        <v>36</v>
      </c>
      <c r="H512" s="176">
        <v>10.199999999999999</v>
      </c>
      <c r="I512" s="177">
        <v>12</v>
      </c>
      <c r="J512" s="178">
        <v>1</v>
      </c>
      <c r="K512" s="174">
        <f t="shared" si="260"/>
        <v>0.12239999999999999</v>
      </c>
      <c r="L512" s="118"/>
      <c r="M512" s="178">
        <v>1</v>
      </c>
      <c r="N512" s="117">
        <f t="shared" si="261"/>
        <v>0.12239999999999999</v>
      </c>
      <c r="O512" s="119">
        <f t="shared" si="262"/>
        <v>0</v>
      </c>
      <c r="P512" s="120">
        <f t="shared" si="263"/>
        <v>0</v>
      </c>
      <c r="Q512" s="159">
        <v>8</v>
      </c>
      <c r="R512" s="111">
        <v>1</v>
      </c>
      <c r="S512" s="111"/>
    </row>
    <row r="513" spans="1:20">
      <c r="A513" s="110" t="s">
        <v>667</v>
      </c>
      <c r="B513" s="111" t="s">
        <v>505</v>
      </c>
      <c r="C513" s="112" t="s">
        <v>449</v>
      </c>
      <c r="D513" s="112"/>
      <c r="E513" s="113" t="s">
        <v>17</v>
      </c>
      <c r="F513" s="175" t="s">
        <v>15</v>
      </c>
      <c r="G513" s="175" t="s">
        <v>36</v>
      </c>
      <c r="H513" s="176">
        <v>10.199999999999999</v>
      </c>
      <c r="I513" s="177">
        <v>8</v>
      </c>
      <c r="J513" s="178">
        <v>2</v>
      </c>
      <c r="K513" s="174">
        <f t="shared" si="260"/>
        <v>0.16319999999999998</v>
      </c>
      <c r="L513" s="118"/>
      <c r="M513" s="178">
        <v>2</v>
      </c>
      <c r="N513" s="117">
        <f t="shared" si="261"/>
        <v>0.16319999999999998</v>
      </c>
      <c r="O513" s="119">
        <f t="shared" si="262"/>
        <v>0</v>
      </c>
      <c r="P513" s="120">
        <f t="shared" si="263"/>
        <v>0</v>
      </c>
      <c r="Q513" s="159"/>
      <c r="R513" s="111"/>
      <c r="S513" s="111"/>
    </row>
    <row r="514" spans="1:20">
      <c r="A514" s="110" t="s">
        <v>667</v>
      </c>
      <c r="B514" s="111" t="s">
        <v>505</v>
      </c>
      <c r="C514" s="112" t="s">
        <v>449</v>
      </c>
      <c r="D514" s="112"/>
      <c r="E514" s="113" t="s">
        <v>17</v>
      </c>
      <c r="F514" s="175" t="s">
        <v>15</v>
      </c>
      <c r="G514" s="175" t="s">
        <v>36</v>
      </c>
      <c r="H514" s="176">
        <v>10.199999999999999</v>
      </c>
      <c r="I514" s="177">
        <v>10</v>
      </c>
      <c r="J514" s="178">
        <v>2</v>
      </c>
      <c r="K514" s="174">
        <f t="shared" si="260"/>
        <v>0.20399999999999999</v>
      </c>
      <c r="L514" s="118"/>
      <c r="M514" s="178">
        <v>2</v>
      </c>
      <c r="N514" s="117">
        <f t="shared" si="261"/>
        <v>0.20399999999999999</v>
      </c>
      <c r="O514" s="119">
        <f t="shared" si="262"/>
        <v>0</v>
      </c>
      <c r="P514" s="120">
        <f t="shared" si="263"/>
        <v>0</v>
      </c>
      <c r="Q514" s="159"/>
      <c r="R514" s="111"/>
      <c r="S514" s="111"/>
    </row>
    <row r="515" spans="1:20">
      <c r="A515" s="110" t="s">
        <v>667</v>
      </c>
      <c r="B515" s="111" t="s">
        <v>505</v>
      </c>
      <c r="C515" s="112" t="s">
        <v>449</v>
      </c>
      <c r="D515" s="112"/>
      <c r="E515" s="113" t="s">
        <v>17</v>
      </c>
      <c r="F515" s="175" t="s">
        <v>15</v>
      </c>
      <c r="G515" s="175" t="s">
        <v>36</v>
      </c>
      <c r="H515" s="176">
        <v>10.199999999999999</v>
      </c>
      <c r="I515" s="177">
        <v>10.7</v>
      </c>
      <c r="J515" s="178">
        <v>1</v>
      </c>
      <c r="K515" s="174">
        <f t="shared" si="260"/>
        <v>0.10913999999999999</v>
      </c>
      <c r="L515" s="118"/>
      <c r="M515" s="178">
        <v>1</v>
      </c>
      <c r="N515" s="117">
        <f t="shared" si="261"/>
        <v>0.10913999999999999</v>
      </c>
      <c r="O515" s="119">
        <f t="shared" si="262"/>
        <v>0</v>
      </c>
      <c r="P515" s="120">
        <f t="shared" si="263"/>
        <v>0</v>
      </c>
      <c r="Q515" s="159"/>
      <c r="R515" s="111"/>
      <c r="S515" s="111"/>
    </row>
    <row r="516" spans="1:20">
      <c r="A516" s="110" t="s">
        <v>667</v>
      </c>
      <c r="B516" s="111" t="s">
        <v>505</v>
      </c>
      <c r="C516" s="112" t="s">
        <v>449</v>
      </c>
      <c r="D516" s="112"/>
      <c r="E516" s="113" t="s">
        <v>17</v>
      </c>
      <c r="F516" s="175" t="s">
        <v>15</v>
      </c>
      <c r="G516" s="175" t="s">
        <v>36</v>
      </c>
      <c r="H516" s="176">
        <v>10.199999999999999</v>
      </c>
      <c r="I516" s="177">
        <v>12</v>
      </c>
      <c r="J516" s="178">
        <v>1</v>
      </c>
      <c r="K516" s="174">
        <f t="shared" si="260"/>
        <v>0.12239999999999999</v>
      </c>
      <c r="L516" s="118"/>
      <c r="M516" s="178"/>
      <c r="N516" s="117">
        <f t="shared" si="261"/>
        <v>0</v>
      </c>
      <c r="O516" s="119">
        <f t="shared" si="262"/>
        <v>1</v>
      </c>
      <c r="P516" s="120">
        <f t="shared" si="263"/>
        <v>0.12239999999999999</v>
      </c>
      <c r="Q516" s="159"/>
      <c r="R516" s="111"/>
      <c r="S516" s="111"/>
    </row>
    <row r="517" spans="1:20">
      <c r="A517" s="110" t="s">
        <v>667</v>
      </c>
      <c r="B517" s="111" t="s">
        <v>505</v>
      </c>
      <c r="C517" s="112" t="s">
        <v>449</v>
      </c>
      <c r="D517" s="112"/>
      <c r="E517" s="113" t="s">
        <v>17</v>
      </c>
      <c r="F517" s="175" t="s">
        <v>15</v>
      </c>
      <c r="G517" s="175" t="s">
        <v>36</v>
      </c>
      <c r="H517" s="176">
        <v>10.199999999999999</v>
      </c>
      <c r="I517" s="177">
        <v>12</v>
      </c>
      <c r="J517" s="178">
        <v>4</v>
      </c>
      <c r="K517" s="174">
        <f t="shared" si="260"/>
        <v>0.48959999999999998</v>
      </c>
      <c r="L517" s="118"/>
      <c r="M517" s="178">
        <f>2+2</f>
        <v>4</v>
      </c>
      <c r="N517" s="117">
        <f t="shared" si="261"/>
        <v>0.48959999999999998</v>
      </c>
      <c r="O517" s="119">
        <f t="shared" si="262"/>
        <v>0</v>
      </c>
      <c r="P517" s="120">
        <f t="shared" si="263"/>
        <v>0</v>
      </c>
      <c r="Q517" s="159">
        <v>10.7</v>
      </c>
      <c r="R517" s="111">
        <v>2</v>
      </c>
      <c r="S517" s="111">
        <v>10</v>
      </c>
      <c r="T517">
        <v>2</v>
      </c>
    </row>
    <row r="518" spans="1:20">
      <c r="A518" s="110" t="s">
        <v>667</v>
      </c>
      <c r="B518" s="111" t="s">
        <v>505</v>
      </c>
      <c r="C518" s="112" t="s">
        <v>449</v>
      </c>
      <c r="D518" s="112"/>
      <c r="E518" s="113" t="s">
        <v>17</v>
      </c>
      <c r="F518" s="175" t="s">
        <v>15</v>
      </c>
      <c r="G518" s="175" t="s">
        <v>36</v>
      </c>
      <c r="H518" s="176">
        <v>10.199999999999999</v>
      </c>
      <c r="I518" s="177">
        <v>11</v>
      </c>
      <c r="J518" s="178">
        <v>19</v>
      </c>
      <c r="K518" s="174">
        <f t="shared" si="260"/>
        <v>2.1317999999999997</v>
      </c>
      <c r="L518" s="118"/>
      <c r="M518" s="178">
        <v>19</v>
      </c>
      <c r="N518" s="117">
        <f t="shared" si="261"/>
        <v>2.1317999999999997</v>
      </c>
      <c r="O518" s="119">
        <f t="shared" si="262"/>
        <v>0</v>
      </c>
      <c r="P518" s="120">
        <f t="shared" si="263"/>
        <v>0</v>
      </c>
      <c r="Q518" s="159"/>
      <c r="R518" s="111"/>
      <c r="S518" s="111"/>
    </row>
    <row r="519" spans="1:20">
      <c r="A519" s="110" t="s">
        <v>667</v>
      </c>
      <c r="B519" s="111" t="s">
        <v>505</v>
      </c>
      <c r="C519" s="112" t="s">
        <v>449</v>
      </c>
      <c r="D519" s="112"/>
      <c r="E519" s="113" t="s">
        <v>17</v>
      </c>
      <c r="F519" s="175" t="s">
        <v>15</v>
      </c>
      <c r="G519" s="175" t="s">
        <v>36</v>
      </c>
      <c r="H519" s="176">
        <v>10.199999999999999</v>
      </c>
      <c r="I519" s="177">
        <v>10.7</v>
      </c>
      <c r="J519" s="178">
        <v>10</v>
      </c>
      <c r="K519" s="174">
        <f t="shared" si="260"/>
        <v>1.0913999999999999</v>
      </c>
      <c r="L519" s="118"/>
      <c r="M519" s="178">
        <v>10</v>
      </c>
      <c r="N519" s="117">
        <f t="shared" si="261"/>
        <v>1.0913999999999999</v>
      </c>
      <c r="O519" s="119">
        <f t="shared" si="262"/>
        <v>0</v>
      </c>
      <c r="P519" s="120">
        <f t="shared" si="263"/>
        <v>0</v>
      </c>
      <c r="Q519" s="159"/>
      <c r="R519" s="111"/>
      <c r="S519" s="111"/>
    </row>
    <row r="520" spans="1:20">
      <c r="A520" s="110" t="s">
        <v>667</v>
      </c>
      <c r="B520" s="111" t="s">
        <v>505</v>
      </c>
      <c r="C520" s="112" t="s">
        <v>449</v>
      </c>
      <c r="D520" s="112"/>
      <c r="E520" s="113" t="s">
        <v>17</v>
      </c>
      <c r="F520" s="175" t="s">
        <v>15</v>
      </c>
      <c r="G520" s="175" t="s">
        <v>36</v>
      </c>
      <c r="H520" s="176">
        <v>10.199999999999999</v>
      </c>
      <c r="I520" s="177">
        <v>10</v>
      </c>
      <c r="J520" s="178">
        <v>7</v>
      </c>
      <c r="K520" s="174">
        <f t="shared" si="260"/>
        <v>0.71399999999999997</v>
      </c>
      <c r="L520" s="118"/>
      <c r="M520" s="178">
        <v>7</v>
      </c>
      <c r="N520" s="117">
        <f t="shared" si="261"/>
        <v>0.71399999999999997</v>
      </c>
      <c r="O520" s="119">
        <f t="shared" si="262"/>
        <v>0</v>
      </c>
      <c r="P520" s="120">
        <f t="shared" si="263"/>
        <v>0</v>
      </c>
      <c r="Q520" s="159"/>
      <c r="R520" s="111"/>
      <c r="S520" s="111"/>
    </row>
    <row r="521" spans="1:20">
      <c r="A521" s="110" t="s">
        <v>667</v>
      </c>
      <c r="B521" s="111" t="s">
        <v>505</v>
      </c>
      <c r="C521" s="112" t="s">
        <v>449</v>
      </c>
      <c r="D521" s="112"/>
      <c r="E521" s="113" t="s">
        <v>17</v>
      </c>
      <c r="F521" s="175" t="s">
        <v>15</v>
      </c>
      <c r="G521" s="175" t="s">
        <v>36</v>
      </c>
      <c r="H521" s="176">
        <v>10.199999999999999</v>
      </c>
      <c r="I521" s="177">
        <v>8.3000000000000007</v>
      </c>
      <c r="J521" s="178">
        <v>38</v>
      </c>
      <c r="K521" s="174">
        <f t="shared" si="260"/>
        <v>3.2170799999999997</v>
      </c>
      <c r="L521" s="118"/>
      <c r="M521" s="178">
        <v>38</v>
      </c>
      <c r="N521" s="117">
        <f t="shared" si="261"/>
        <v>3.2170799999999997</v>
      </c>
      <c r="O521" s="119">
        <f t="shared" si="262"/>
        <v>0</v>
      </c>
      <c r="P521" s="120">
        <f t="shared" si="263"/>
        <v>0</v>
      </c>
      <c r="Q521" s="159"/>
      <c r="R521" s="111"/>
      <c r="S521" s="111"/>
    </row>
    <row r="522" spans="1:20">
      <c r="A522" s="110" t="s">
        <v>667</v>
      </c>
      <c r="B522" s="111" t="s">
        <v>505</v>
      </c>
      <c r="C522" s="112" t="s">
        <v>449</v>
      </c>
      <c r="D522" s="112"/>
      <c r="E522" s="113" t="s">
        <v>17</v>
      </c>
      <c r="F522" s="175" t="s">
        <v>15</v>
      </c>
      <c r="G522" s="175" t="s">
        <v>36</v>
      </c>
      <c r="H522" s="176">
        <v>10.199999999999999</v>
      </c>
      <c r="I522" s="177">
        <v>8</v>
      </c>
      <c r="J522" s="178">
        <v>34</v>
      </c>
      <c r="K522" s="174">
        <f t="shared" si="260"/>
        <v>2.7743999999999995</v>
      </c>
      <c r="L522" s="118"/>
      <c r="M522" s="178">
        <v>34</v>
      </c>
      <c r="N522" s="117">
        <f t="shared" si="261"/>
        <v>2.7743999999999995</v>
      </c>
      <c r="O522" s="119">
        <f t="shared" si="262"/>
        <v>0</v>
      </c>
      <c r="P522" s="120">
        <f t="shared" si="263"/>
        <v>0</v>
      </c>
      <c r="Q522" s="159"/>
      <c r="R522" s="111"/>
      <c r="S522" s="111"/>
    </row>
    <row r="523" spans="1:20">
      <c r="A523" s="110" t="s">
        <v>667</v>
      </c>
      <c r="B523" s="111" t="s">
        <v>505</v>
      </c>
      <c r="C523" s="112" t="s">
        <v>449</v>
      </c>
      <c r="D523" s="112"/>
      <c r="E523" s="113" t="s">
        <v>17</v>
      </c>
      <c r="F523" s="175" t="s">
        <v>15</v>
      </c>
      <c r="G523" s="175" t="s">
        <v>36</v>
      </c>
      <c r="H523" s="176">
        <v>10.199999999999999</v>
      </c>
      <c r="I523" s="177">
        <v>11.7</v>
      </c>
      <c r="J523" s="178">
        <v>2</v>
      </c>
      <c r="K523" s="174">
        <f t="shared" si="260"/>
        <v>0.23867999999999998</v>
      </c>
      <c r="L523" s="118"/>
      <c r="M523" s="178">
        <v>2</v>
      </c>
      <c r="N523" s="117">
        <f t="shared" si="261"/>
        <v>0.23867999999999998</v>
      </c>
      <c r="O523" s="119">
        <f t="shared" si="262"/>
        <v>0</v>
      </c>
      <c r="P523" s="120">
        <f t="shared" si="263"/>
        <v>0</v>
      </c>
      <c r="Q523" s="159">
        <v>10.7</v>
      </c>
      <c r="R523" s="111">
        <v>2</v>
      </c>
      <c r="S523" s="111"/>
    </row>
    <row r="524" spans="1:20">
      <c r="A524" s="110" t="s">
        <v>667</v>
      </c>
      <c r="B524" s="111" t="s">
        <v>505</v>
      </c>
      <c r="C524" s="112" t="s">
        <v>449</v>
      </c>
      <c r="D524" s="112"/>
      <c r="E524" s="113" t="s">
        <v>17</v>
      </c>
      <c r="F524" s="175" t="s">
        <v>15</v>
      </c>
      <c r="G524" s="175" t="s">
        <v>36</v>
      </c>
      <c r="H524" s="176">
        <v>10.199999999999999</v>
      </c>
      <c r="I524" s="177">
        <v>11.1</v>
      </c>
      <c r="J524" s="178">
        <v>3</v>
      </c>
      <c r="K524" s="174">
        <f t="shared" si="260"/>
        <v>0.33965999999999996</v>
      </c>
      <c r="L524" s="118"/>
      <c r="M524" s="178">
        <v>3</v>
      </c>
      <c r="N524" s="117">
        <f t="shared" si="261"/>
        <v>0.33965999999999996</v>
      </c>
      <c r="O524" s="119">
        <f t="shared" si="262"/>
        <v>0</v>
      </c>
      <c r="P524" s="120">
        <f t="shared" si="263"/>
        <v>0</v>
      </c>
      <c r="Q524" s="159">
        <v>10.7</v>
      </c>
      <c r="R524" s="111">
        <v>3</v>
      </c>
      <c r="S524" s="111"/>
    </row>
    <row r="525" spans="1:20">
      <c r="A525" s="110" t="s">
        <v>667</v>
      </c>
      <c r="B525" s="111" t="s">
        <v>505</v>
      </c>
      <c r="C525" s="112" t="s">
        <v>449</v>
      </c>
      <c r="D525" s="112"/>
      <c r="E525" s="113" t="s">
        <v>17</v>
      </c>
      <c r="F525" s="175" t="s">
        <v>15</v>
      </c>
      <c r="G525" s="175" t="s">
        <v>36</v>
      </c>
      <c r="H525" s="176">
        <v>10.199999999999999</v>
      </c>
      <c r="I525" s="177">
        <v>10.6</v>
      </c>
      <c r="J525" s="178">
        <v>2</v>
      </c>
      <c r="K525" s="174">
        <f t="shared" si="260"/>
        <v>0.21623999999999999</v>
      </c>
      <c r="L525" s="118"/>
      <c r="M525" s="178">
        <v>2</v>
      </c>
      <c r="N525" s="117">
        <f t="shared" si="261"/>
        <v>0.21623999999999999</v>
      </c>
      <c r="O525" s="119">
        <f t="shared" si="262"/>
        <v>0</v>
      </c>
      <c r="P525" s="120">
        <f t="shared" si="263"/>
        <v>0</v>
      </c>
      <c r="Q525" s="159">
        <v>10</v>
      </c>
      <c r="R525" s="111">
        <v>2</v>
      </c>
      <c r="S525" s="111"/>
    </row>
    <row r="526" spans="1:20">
      <c r="A526" s="110" t="s">
        <v>667</v>
      </c>
      <c r="B526" s="111" t="s">
        <v>505</v>
      </c>
      <c r="C526" s="112" t="s">
        <v>449</v>
      </c>
      <c r="D526" s="112"/>
      <c r="E526" s="113" t="s">
        <v>17</v>
      </c>
      <c r="F526" s="175" t="s">
        <v>15</v>
      </c>
      <c r="G526" s="175" t="s">
        <v>36</v>
      </c>
      <c r="H526" s="176">
        <v>10.199999999999999</v>
      </c>
      <c r="I526" s="177">
        <v>9.6999999999999993</v>
      </c>
      <c r="J526" s="178">
        <v>4</v>
      </c>
      <c r="K526" s="174">
        <f t="shared" si="260"/>
        <v>0.39575999999999995</v>
      </c>
      <c r="L526" s="118"/>
      <c r="M526" s="178">
        <v>4</v>
      </c>
      <c r="N526" s="117">
        <f t="shared" si="261"/>
        <v>0.39575999999999995</v>
      </c>
      <c r="O526" s="119">
        <f t="shared" si="262"/>
        <v>0</v>
      </c>
      <c r="P526" s="120">
        <f t="shared" si="263"/>
        <v>0</v>
      </c>
      <c r="Q526" s="159">
        <v>8</v>
      </c>
      <c r="R526" s="111">
        <v>3</v>
      </c>
      <c r="S526" s="111"/>
    </row>
    <row r="527" spans="1:20">
      <c r="A527" s="110" t="s">
        <v>667</v>
      </c>
      <c r="B527" s="111" t="s">
        <v>505</v>
      </c>
      <c r="C527" s="112" t="s">
        <v>449</v>
      </c>
      <c r="D527" s="112"/>
      <c r="E527" s="113" t="s">
        <v>17</v>
      </c>
      <c r="F527" s="175" t="s">
        <v>15</v>
      </c>
      <c r="G527" s="175" t="s">
        <v>36</v>
      </c>
      <c r="H527" s="176">
        <v>10.199999999999999</v>
      </c>
      <c r="I527" s="177">
        <v>11</v>
      </c>
      <c r="J527" s="178">
        <v>2</v>
      </c>
      <c r="K527" s="174">
        <f t="shared" si="260"/>
        <v>0.22439999999999999</v>
      </c>
      <c r="L527" s="118"/>
      <c r="M527" s="178">
        <v>2</v>
      </c>
      <c r="N527" s="117">
        <f t="shared" si="261"/>
        <v>0.22439999999999999</v>
      </c>
      <c r="O527" s="119">
        <f t="shared" si="262"/>
        <v>0</v>
      </c>
      <c r="P527" s="120">
        <f t="shared" si="263"/>
        <v>0</v>
      </c>
      <c r="Q527" s="159"/>
      <c r="R527" s="111"/>
      <c r="S527" s="111"/>
    </row>
    <row r="528" spans="1:20">
      <c r="A528" s="110" t="s">
        <v>667</v>
      </c>
      <c r="B528" s="111" t="s">
        <v>505</v>
      </c>
      <c r="C528" s="112" t="s">
        <v>449</v>
      </c>
      <c r="D528" s="112"/>
      <c r="E528" s="113" t="s">
        <v>17</v>
      </c>
      <c r="F528" s="175" t="s">
        <v>15</v>
      </c>
      <c r="G528" s="175" t="s">
        <v>36</v>
      </c>
      <c r="H528" s="176">
        <v>10.199999999999999</v>
      </c>
      <c r="I528" s="177">
        <v>12</v>
      </c>
      <c r="J528" s="178">
        <v>11</v>
      </c>
      <c r="K528" s="174">
        <f t="shared" ref="K528:K533" si="264">(H528*I528*J528/1000)</f>
        <v>1.3463999999999998</v>
      </c>
      <c r="L528" s="118"/>
      <c r="M528" s="178">
        <v>11</v>
      </c>
      <c r="N528" s="117">
        <f t="shared" ref="N528:N533" si="265">I528*M528*H528/1000</f>
        <v>1.3463999999999998</v>
      </c>
      <c r="O528" s="119">
        <f t="shared" ref="O528:O533" si="266">J528-M528</f>
        <v>0</v>
      </c>
      <c r="P528" s="120">
        <f t="shared" ref="P528:P533" si="267">I528*O528*H528/1000</f>
        <v>0</v>
      </c>
      <c r="Q528" s="159"/>
      <c r="R528" s="111"/>
      <c r="S528" s="111"/>
    </row>
    <row r="529" spans="1:19">
      <c r="A529" s="110" t="s">
        <v>667</v>
      </c>
      <c r="B529" s="111" t="s">
        <v>505</v>
      </c>
      <c r="C529" s="112" t="s">
        <v>449</v>
      </c>
      <c r="D529" s="112"/>
      <c r="E529" s="113" t="s">
        <v>17</v>
      </c>
      <c r="F529" s="175" t="s">
        <v>15</v>
      </c>
      <c r="G529" s="175" t="s">
        <v>36</v>
      </c>
      <c r="H529" s="176">
        <v>10.199999999999999</v>
      </c>
      <c r="I529" s="177">
        <v>10.7</v>
      </c>
      <c r="J529" s="178">
        <v>19</v>
      </c>
      <c r="K529" s="174">
        <f t="shared" si="264"/>
        <v>2.0736599999999998</v>
      </c>
      <c r="L529" s="118"/>
      <c r="M529" s="178">
        <v>19</v>
      </c>
      <c r="N529" s="117">
        <f t="shared" si="265"/>
        <v>2.0736599999999998</v>
      </c>
      <c r="O529" s="119">
        <f t="shared" si="266"/>
        <v>0</v>
      </c>
      <c r="P529" s="120">
        <f t="shared" si="267"/>
        <v>0</v>
      </c>
      <c r="Q529" s="159"/>
      <c r="R529" s="111"/>
      <c r="S529" s="111"/>
    </row>
    <row r="530" spans="1:19">
      <c r="A530" s="110" t="s">
        <v>667</v>
      </c>
      <c r="B530" s="111" t="s">
        <v>505</v>
      </c>
      <c r="C530" s="112" t="s">
        <v>449</v>
      </c>
      <c r="D530" s="112"/>
      <c r="E530" s="113" t="s">
        <v>17</v>
      </c>
      <c r="F530" s="175" t="s">
        <v>15</v>
      </c>
      <c r="G530" s="175" t="s">
        <v>36</v>
      </c>
      <c r="H530" s="176">
        <v>10.199999999999999</v>
      </c>
      <c r="I530" s="177">
        <v>8.3000000000000007</v>
      </c>
      <c r="J530" s="178">
        <v>37</v>
      </c>
      <c r="K530" s="174">
        <f t="shared" si="264"/>
        <v>3.1324200000000002</v>
      </c>
      <c r="L530" s="118"/>
      <c r="M530" s="178">
        <v>37</v>
      </c>
      <c r="N530" s="117">
        <f t="shared" si="265"/>
        <v>3.1324200000000002</v>
      </c>
      <c r="O530" s="119">
        <f t="shared" si="266"/>
        <v>0</v>
      </c>
      <c r="P530" s="120">
        <f t="shared" si="267"/>
        <v>0</v>
      </c>
      <c r="Q530" s="159"/>
      <c r="R530" s="111"/>
      <c r="S530" s="111"/>
    </row>
    <row r="531" spans="1:19">
      <c r="A531" s="110" t="s">
        <v>667</v>
      </c>
      <c r="B531" s="111" t="s">
        <v>505</v>
      </c>
      <c r="C531" s="112" t="s">
        <v>449</v>
      </c>
      <c r="D531" s="112"/>
      <c r="E531" s="113" t="s">
        <v>17</v>
      </c>
      <c r="F531" s="175" t="s">
        <v>15</v>
      </c>
      <c r="G531" s="175" t="s">
        <v>36</v>
      </c>
      <c r="H531" s="176">
        <v>10.199999999999999</v>
      </c>
      <c r="I531" s="177">
        <v>7.1</v>
      </c>
      <c r="J531" s="178">
        <v>6</v>
      </c>
      <c r="K531" s="174">
        <f t="shared" si="264"/>
        <v>0.43451999999999991</v>
      </c>
      <c r="L531" s="118"/>
      <c r="M531" s="178">
        <v>6</v>
      </c>
      <c r="N531" s="117">
        <f t="shared" si="265"/>
        <v>0.43451999999999991</v>
      </c>
      <c r="O531" s="119">
        <f t="shared" si="266"/>
        <v>0</v>
      </c>
      <c r="P531" s="120">
        <f t="shared" si="267"/>
        <v>0</v>
      </c>
      <c r="Q531" s="159"/>
      <c r="R531" s="111"/>
      <c r="S531" s="111"/>
    </row>
    <row r="532" spans="1:19">
      <c r="A532" s="110" t="s">
        <v>667</v>
      </c>
      <c r="B532" s="111" t="s">
        <v>505</v>
      </c>
      <c r="C532" s="112" t="s">
        <v>449</v>
      </c>
      <c r="D532" s="112"/>
      <c r="E532" s="113" t="s">
        <v>17</v>
      </c>
      <c r="F532" s="175" t="s">
        <v>15</v>
      </c>
      <c r="G532" s="175" t="s">
        <v>36</v>
      </c>
      <c r="H532" s="176">
        <v>10.199999999999999</v>
      </c>
      <c r="I532" s="177">
        <v>8.3000000000000007</v>
      </c>
      <c r="J532" s="178">
        <v>2</v>
      </c>
      <c r="K532" s="174">
        <f t="shared" si="264"/>
        <v>0.16932</v>
      </c>
      <c r="L532" s="118"/>
      <c r="M532" s="178">
        <v>2</v>
      </c>
      <c r="N532" s="117">
        <f t="shared" si="265"/>
        <v>0.16932</v>
      </c>
      <c r="O532" s="119">
        <f t="shared" si="266"/>
        <v>0</v>
      </c>
      <c r="P532" s="120">
        <f t="shared" si="267"/>
        <v>0</v>
      </c>
      <c r="Q532" s="159"/>
      <c r="R532" s="111"/>
      <c r="S532" s="111"/>
    </row>
    <row r="533" spans="1:19">
      <c r="A533" s="110" t="s">
        <v>667</v>
      </c>
      <c r="B533" s="111" t="s">
        <v>505</v>
      </c>
      <c r="C533" s="112" t="s">
        <v>449</v>
      </c>
      <c r="D533" s="112"/>
      <c r="E533" s="113" t="s">
        <v>17</v>
      </c>
      <c r="F533" s="175" t="s">
        <v>15</v>
      </c>
      <c r="G533" s="175" t="s">
        <v>36</v>
      </c>
      <c r="H533" s="176">
        <v>10.199999999999999</v>
      </c>
      <c r="I533" s="177">
        <v>10</v>
      </c>
      <c r="J533" s="178">
        <v>10</v>
      </c>
      <c r="K533" s="174">
        <f t="shared" si="264"/>
        <v>1.02</v>
      </c>
      <c r="L533" s="118"/>
      <c r="M533" s="178">
        <v>10</v>
      </c>
      <c r="N533" s="117">
        <f t="shared" si="265"/>
        <v>1.0199999999999998</v>
      </c>
      <c r="O533" s="119">
        <f t="shared" si="266"/>
        <v>0</v>
      </c>
      <c r="P533" s="120">
        <f t="shared" si="267"/>
        <v>0</v>
      </c>
      <c r="Q533" s="159"/>
      <c r="R533" s="111"/>
      <c r="S533" s="111"/>
    </row>
    <row r="534" spans="1:19">
      <c r="A534" s="110" t="s">
        <v>667</v>
      </c>
      <c r="B534" s="111" t="s">
        <v>505</v>
      </c>
      <c r="C534" s="112" t="s">
        <v>449</v>
      </c>
      <c r="D534" s="112"/>
      <c r="E534" s="113" t="s">
        <v>17</v>
      </c>
      <c r="F534" s="175" t="s">
        <v>15</v>
      </c>
      <c r="G534" s="175" t="s">
        <v>36</v>
      </c>
      <c r="H534" s="176">
        <v>10.199999999999999</v>
      </c>
      <c r="I534" s="177">
        <v>8</v>
      </c>
      <c r="J534" s="178">
        <v>40</v>
      </c>
      <c r="K534" s="174">
        <f t="shared" ref="K534:K556" si="268">(H534*I534*J534/1000)</f>
        <v>3.2639999999999998</v>
      </c>
      <c r="L534" s="118"/>
      <c r="M534" s="178">
        <v>40</v>
      </c>
      <c r="N534" s="117">
        <f t="shared" ref="N534:N556" si="269">I534*M534*H534/1000</f>
        <v>3.2639999999999998</v>
      </c>
      <c r="O534" s="119">
        <f t="shared" ref="O534:O556" si="270">J534-M534</f>
        <v>0</v>
      </c>
      <c r="P534" s="120">
        <f t="shared" ref="P534:P556" si="271">I534*O534*H534/1000</f>
        <v>0</v>
      </c>
      <c r="Q534" s="159"/>
      <c r="R534" s="111"/>
      <c r="S534" s="111"/>
    </row>
    <row r="535" spans="1:19">
      <c r="A535" s="110" t="s">
        <v>667</v>
      </c>
      <c r="B535" s="111" t="s">
        <v>505</v>
      </c>
      <c r="C535" s="112" t="s">
        <v>449</v>
      </c>
      <c r="D535" s="112"/>
      <c r="E535" s="113" t="s">
        <v>17</v>
      </c>
      <c r="F535" s="175" t="s">
        <v>15</v>
      </c>
      <c r="G535" s="175" t="s">
        <v>36</v>
      </c>
      <c r="H535" s="176">
        <v>10.199999999999999</v>
      </c>
      <c r="I535" s="177">
        <v>8</v>
      </c>
      <c r="J535" s="178">
        <v>40</v>
      </c>
      <c r="K535" s="174">
        <f t="shared" si="268"/>
        <v>3.2639999999999998</v>
      </c>
      <c r="L535" s="118"/>
      <c r="M535" s="178">
        <v>40</v>
      </c>
      <c r="N535" s="117">
        <f t="shared" si="269"/>
        <v>3.2639999999999998</v>
      </c>
      <c r="O535" s="119">
        <f t="shared" si="270"/>
        <v>0</v>
      </c>
      <c r="P535" s="120">
        <f t="shared" si="271"/>
        <v>0</v>
      </c>
      <c r="Q535" s="159"/>
      <c r="R535" s="111"/>
      <c r="S535" s="111"/>
    </row>
    <row r="536" spans="1:19">
      <c r="A536" s="110" t="s">
        <v>667</v>
      </c>
      <c r="B536" s="111" t="s">
        <v>505</v>
      </c>
      <c r="C536" s="112" t="s">
        <v>449</v>
      </c>
      <c r="D536" s="112"/>
      <c r="E536" s="113" t="s">
        <v>17</v>
      </c>
      <c r="F536" s="175" t="s">
        <v>15</v>
      </c>
      <c r="G536" s="175" t="s">
        <v>36</v>
      </c>
      <c r="H536" s="176">
        <v>10.199999999999999</v>
      </c>
      <c r="I536" s="177">
        <v>8</v>
      </c>
      <c r="J536" s="178">
        <v>40</v>
      </c>
      <c r="K536" s="174">
        <f t="shared" si="268"/>
        <v>3.2639999999999998</v>
      </c>
      <c r="L536" s="118"/>
      <c r="M536" s="178">
        <v>40</v>
      </c>
      <c r="N536" s="117">
        <f t="shared" si="269"/>
        <v>3.2639999999999998</v>
      </c>
      <c r="O536" s="119">
        <f t="shared" si="270"/>
        <v>0</v>
      </c>
      <c r="P536" s="120">
        <f t="shared" si="271"/>
        <v>0</v>
      </c>
      <c r="Q536" s="159"/>
      <c r="R536" s="111"/>
      <c r="S536" s="111"/>
    </row>
    <row r="537" spans="1:19">
      <c r="A537" s="110" t="s">
        <v>667</v>
      </c>
      <c r="B537" s="111" t="s">
        <v>505</v>
      </c>
      <c r="C537" s="112" t="s">
        <v>449</v>
      </c>
      <c r="D537" s="112"/>
      <c r="E537" s="113" t="s">
        <v>17</v>
      </c>
      <c r="F537" s="175" t="s">
        <v>15</v>
      </c>
      <c r="G537" s="175" t="s">
        <v>36</v>
      </c>
      <c r="H537" s="176">
        <v>10.199999999999999</v>
      </c>
      <c r="I537" s="177">
        <v>8</v>
      </c>
      <c r="J537" s="178">
        <v>32</v>
      </c>
      <c r="K537" s="174">
        <f t="shared" si="268"/>
        <v>2.6111999999999997</v>
      </c>
      <c r="L537" s="118"/>
      <c r="M537" s="178">
        <v>32</v>
      </c>
      <c r="N537" s="117">
        <f t="shared" si="269"/>
        <v>2.6111999999999997</v>
      </c>
      <c r="O537" s="119">
        <f t="shared" si="270"/>
        <v>0</v>
      </c>
      <c r="P537" s="120">
        <f t="shared" si="271"/>
        <v>0</v>
      </c>
      <c r="Q537" s="159"/>
      <c r="R537" s="111"/>
      <c r="S537" s="111"/>
    </row>
    <row r="538" spans="1:19">
      <c r="A538" s="110" t="s">
        <v>667</v>
      </c>
      <c r="B538" s="111" t="s">
        <v>505</v>
      </c>
      <c r="C538" s="112" t="s">
        <v>449</v>
      </c>
      <c r="D538" s="112"/>
      <c r="E538" s="113" t="s">
        <v>17</v>
      </c>
      <c r="F538" s="175" t="s">
        <v>15</v>
      </c>
      <c r="G538" s="175" t="s">
        <v>36</v>
      </c>
      <c r="H538" s="176">
        <v>10.199999999999999</v>
      </c>
      <c r="I538" s="177">
        <v>8</v>
      </c>
      <c r="J538" s="178">
        <v>32</v>
      </c>
      <c r="K538" s="174">
        <f t="shared" si="268"/>
        <v>2.6111999999999997</v>
      </c>
      <c r="L538" s="118"/>
      <c r="M538" s="178">
        <v>32</v>
      </c>
      <c r="N538" s="117">
        <f t="shared" si="269"/>
        <v>2.6111999999999997</v>
      </c>
      <c r="O538" s="119">
        <f t="shared" si="270"/>
        <v>0</v>
      </c>
      <c r="P538" s="120">
        <f t="shared" si="271"/>
        <v>0</v>
      </c>
      <c r="Q538" s="159"/>
      <c r="R538" s="111"/>
      <c r="S538" s="111"/>
    </row>
    <row r="539" spans="1:19">
      <c r="A539" s="110" t="s">
        <v>667</v>
      </c>
      <c r="B539" s="111" t="s">
        <v>505</v>
      </c>
      <c r="C539" s="112" t="s">
        <v>449</v>
      </c>
      <c r="D539" s="112"/>
      <c r="E539" s="113" t="s">
        <v>17</v>
      </c>
      <c r="F539" s="175" t="s">
        <v>15</v>
      </c>
      <c r="G539" s="175" t="s">
        <v>36</v>
      </c>
      <c r="H539" s="176">
        <v>10.199999999999999</v>
      </c>
      <c r="I539" s="177">
        <v>8</v>
      </c>
      <c r="J539" s="178">
        <v>32</v>
      </c>
      <c r="K539" s="174">
        <f t="shared" si="268"/>
        <v>2.6111999999999997</v>
      </c>
      <c r="L539" s="118"/>
      <c r="M539" s="178">
        <v>32</v>
      </c>
      <c r="N539" s="117">
        <f t="shared" si="269"/>
        <v>2.6111999999999997</v>
      </c>
      <c r="O539" s="119">
        <f t="shared" si="270"/>
        <v>0</v>
      </c>
      <c r="P539" s="120">
        <f t="shared" si="271"/>
        <v>0</v>
      </c>
      <c r="Q539" s="159"/>
      <c r="R539" s="111"/>
      <c r="S539" s="111"/>
    </row>
    <row r="540" spans="1:19">
      <c r="A540" s="110" t="s">
        <v>667</v>
      </c>
      <c r="B540" s="111" t="s">
        <v>505</v>
      </c>
      <c r="C540" s="112" t="s">
        <v>449</v>
      </c>
      <c r="D540" s="112"/>
      <c r="E540" s="113" t="s">
        <v>17</v>
      </c>
      <c r="F540" s="175" t="s">
        <v>15</v>
      </c>
      <c r="G540" s="175" t="s">
        <v>36</v>
      </c>
      <c r="H540" s="176">
        <v>10.199999999999999</v>
      </c>
      <c r="I540" s="177">
        <v>11</v>
      </c>
      <c r="J540" s="178">
        <v>32</v>
      </c>
      <c r="K540" s="174">
        <f t="shared" si="268"/>
        <v>3.5903999999999998</v>
      </c>
      <c r="L540" s="118"/>
      <c r="M540" s="178">
        <v>32</v>
      </c>
      <c r="N540" s="117">
        <f t="shared" si="269"/>
        <v>3.5903999999999998</v>
      </c>
      <c r="O540" s="119">
        <f t="shared" si="270"/>
        <v>0</v>
      </c>
      <c r="P540" s="120">
        <f t="shared" si="271"/>
        <v>0</v>
      </c>
      <c r="Q540" s="159"/>
      <c r="R540" s="111"/>
      <c r="S540" s="111"/>
    </row>
    <row r="541" spans="1:19">
      <c r="A541" s="110" t="s">
        <v>667</v>
      </c>
      <c r="B541" s="111" t="s">
        <v>505</v>
      </c>
      <c r="C541" s="112" t="s">
        <v>449</v>
      </c>
      <c r="D541" s="112"/>
      <c r="E541" s="113" t="s">
        <v>17</v>
      </c>
      <c r="F541" s="175" t="s">
        <v>15</v>
      </c>
      <c r="G541" s="175" t="s">
        <v>36</v>
      </c>
      <c r="H541" s="176">
        <v>10.199999999999999</v>
      </c>
      <c r="I541" s="177">
        <v>8.3000000000000007</v>
      </c>
      <c r="J541" s="178">
        <v>21</v>
      </c>
      <c r="K541" s="174">
        <f t="shared" si="268"/>
        <v>1.77786</v>
      </c>
      <c r="L541" s="118"/>
      <c r="M541" s="178">
        <v>21</v>
      </c>
      <c r="N541" s="117">
        <f t="shared" si="269"/>
        <v>1.77786</v>
      </c>
      <c r="O541" s="119">
        <f t="shared" si="270"/>
        <v>0</v>
      </c>
      <c r="P541" s="120">
        <f t="shared" si="271"/>
        <v>0</v>
      </c>
      <c r="Q541" s="159">
        <v>8</v>
      </c>
      <c r="R541" s="111">
        <v>21</v>
      </c>
      <c r="S541" s="111"/>
    </row>
    <row r="542" spans="1:19">
      <c r="A542" s="110" t="s">
        <v>667</v>
      </c>
      <c r="B542" s="111" t="s">
        <v>505</v>
      </c>
      <c r="C542" s="112" t="s">
        <v>449</v>
      </c>
      <c r="D542" s="112"/>
      <c r="E542" s="113" t="s">
        <v>17</v>
      </c>
      <c r="F542" s="175" t="s">
        <v>15</v>
      </c>
      <c r="G542" s="175" t="s">
        <v>36</v>
      </c>
      <c r="H542" s="176">
        <v>10.199999999999999</v>
      </c>
      <c r="I542" s="177">
        <v>7.1</v>
      </c>
      <c r="J542" s="178">
        <v>4</v>
      </c>
      <c r="K542" s="174">
        <f t="shared" si="268"/>
        <v>0.28967999999999994</v>
      </c>
      <c r="L542" s="118"/>
      <c r="M542" s="178">
        <v>4</v>
      </c>
      <c r="N542" s="117">
        <f t="shared" si="269"/>
        <v>0.28967999999999994</v>
      </c>
      <c r="O542" s="119">
        <f t="shared" si="270"/>
        <v>0</v>
      </c>
      <c r="P542" s="120">
        <f t="shared" si="271"/>
        <v>0</v>
      </c>
      <c r="Q542" s="159"/>
      <c r="R542" s="111"/>
      <c r="S542" s="111"/>
    </row>
    <row r="543" spans="1:19">
      <c r="A543" s="110" t="s">
        <v>667</v>
      </c>
      <c r="B543" s="111" t="s">
        <v>505</v>
      </c>
      <c r="C543" s="112" t="s">
        <v>449</v>
      </c>
      <c r="D543" s="112"/>
      <c r="E543" s="113" t="s">
        <v>17</v>
      </c>
      <c r="F543" s="175" t="s">
        <v>15</v>
      </c>
      <c r="G543" s="175" t="s">
        <v>36</v>
      </c>
      <c r="H543" s="176">
        <v>10.199999999999999</v>
      </c>
      <c r="I543" s="177">
        <v>8</v>
      </c>
      <c r="J543" s="178">
        <v>14</v>
      </c>
      <c r="K543" s="174">
        <f t="shared" si="268"/>
        <v>1.1423999999999999</v>
      </c>
      <c r="L543" s="118"/>
      <c r="M543" s="178">
        <v>14</v>
      </c>
      <c r="N543" s="117">
        <f t="shared" si="269"/>
        <v>1.1423999999999999</v>
      </c>
      <c r="O543" s="119">
        <f t="shared" si="270"/>
        <v>0</v>
      </c>
      <c r="P543" s="120">
        <f t="shared" si="271"/>
        <v>0</v>
      </c>
      <c r="Q543" s="159"/>
      <c r="R543" s="111"/>
      <c r="S543" s="111"/>
    </row>
    <row r="544" spans="1:19">
      <c r="A544" s="110" t="s">
        <v>667</v>
      </c>
      <c r="B544" s="111" t="s">
        <v>505</v>
      </c>
      <c r="C544" s="112" t="s">
        <v>449</v>
      </c>
      <c r="D544" s="112"/>
      <c r="E544" s="113" t="s">
        <v>17</v>
      </c>
      <c r="F544" s="175" t="s">
        <v>15</v>
      </c>
      <c r="G544" s="175" t="s">
        <v>36</v>
      </c>
      <c r="H544" s="176">
        <v>10.199999999999999</v>
      </c>
      <c r="I544" s="177">
        <v>10</v>
      </c>
      <c r="J544" s="178">
        <v>2</v>
      </c>
      <c r="K544" s="174">
        <f t="shared" si="268"/>
        <v>0.20399999999999999</v>
      </c>
      <c r="L544" s="118"/>
      <c r="M544" s="178">
        <v>2</v>
      </c>
      <c r="N544" s="117">
        <f t="shared" si="269"/>
        <v>0.20399999999999999</v>
      </c>
      <c r="O544" s="119">
        <f t="shared" si="270"/>
        <v>0</v>
      </c>
      <c r="P544" s="120">
        <f t="shared" si="271"/>
        <v>0</v>
      </c>
      <c r="Q544" s="159"/>
      <c r="R544" s="111"/>
      <c r="S544" s="111"/>
    </row>
    <row r="545" spans="1:19">
      <c r="A545" s="110" t="s">
        <v>667</v>
      </c>
      <c r="B545" s="111" t="s">
        <v>505</v>
      </c>
      <c r="C545" s="112" t="s">
        <v>449</v>
      </c>
      <c r="D545" s="112"/>
      <c r="E545" s="113" t="s">
        <v>17</v>
      </c>
      <c r="F545" s="175" t="s">
        <v>15</v>
      </c>
      <c r="G545" s="175" t="s">
        <v>36</v>
      </c>
      <c r="H545" s="176">
        <v>10.199999999999999</v>
      </c>
      <c r="I545" s="177">
        <v>10.7</v>
      </c>
      <c r="J545" s="178">
        <v>15</v>
      </c>
      <c r="K545" s="174">
        <f t="shared" si="268"/>
        <v>1.6371</v>
      </c>
      <c r="L545" s="118"/>
      <c r="M545" s="178">
        <v>15</v>
      </c>
      <c r="N545" s="117">
        <f t="shared" si="269"/>
        <v>1.6371</v>
      </c>
      <c r="O545" s="119">
        <f t="shared" si="270"/>
        <v>0</v>
      </c>
      <c r="P545" s="120">
        <f t="shared" si="271"/>
        <v>0</v>
      </c>
      <c r="Q545" s="159"/>
      <c r="R545" s="111"/>
      <c r="S545" s="111"/>
    </row>
    <row r="546" spans="1:19">
      <c r="A546" s="110" t="s">
        <v>667</v>
      </c>
      <c r="B546" s="111" t="s">
        <v>505</v>
      </c>
      <c r="C546" s="112" t="s">
        <v>449</v>
      </c>
      <c r="D546" s="112"/>
      <c r="E546" s="113" t="s">
        <v>17</v>
      </c>
      <c r="F546" s="175" t="s">
        <v>15</v>
      </c>
      <c r="G546" s="175" t="s">
        <v>36</v>
      </c>
      <c r="H546" s="176">
        <v>10.199999999999999</v>
      </c>
      <c r="I546" s="177">
        <v>11</v>
      </c>
      <c r="J546" s="178">
        <v>16</v>
      </c>
      <c r="K546" s="174">
        <f t="shared" si="268"/>
        <v>1.7951999999999999</v>
      </c>
      <c r="L546" s="118"/>
      <c r="M546" s="178">
        <v>16</v>
      </c>
      <c r="N546" s="117">
        <f t="shared" si="269"/>
        <v>1.7951999999999999</v>
      </c>
      <c r="O546" s="119">
        <f t="shared" si="270"/>
        <v>0</v>
      </c>
      <c r="P546" s="120">
        <f t="shared" si="271"/>
        <v>0</v>
      </c>
      <c r="Q546" s="159"/>
      <c r="R546" s="111"/>
      <c r="S546" s="111"/>
    </row>
    <row r="547" spans="1:19">
      <c r="A547" s="110" t="s">
        <v>667</v>
      </c>
      <c r="B547" s="111" t="s">
        <v>505</v>
      </c>
      <c r="C547" s="112" t="s">
        <v>449</v>
      </c>
      <c r="D547" s="112"/>
      <c r="E547" s="113" t="s">
        <v>17</v>
      </c>
      <c r="F547" s="175" t="s">
        <v>15</v>
      </c>
      <c r="G547" s="175" t="s">
        <v>36</v>
      </c>
      <c r="H547" s="176">
        <v>10.199999999999999</v>
      </c>
      <c r="I547" s="177">
        <v>12</v>
      </c>
      <c r="J547" s="178">
        <v>9</v>
      </c>
      <c r="K547" s="174">
        <f t="shared" si="268"/>
        <v>1.1015999999999999</v>
      </c>
      <c r="L547" s="118"/>
      <c r="M547" s="178">
        <v>9</v>
      </c>
      <c r="N547" s="117">
        <f t="shared" si="269"/>
        <v>1.1015999999999999</v>
      </c>
      <c r="O547" s="119">
        <f t="shared" si="270"/>
        <v>0</v>
      </c>
      <c r="P547" s="120">
        <f t="shared" si="271"/>
        <v>0</v>
      </c>
      <c r="Q547" s="159"/>
      <c r="R547" s="111"/>
      <c r="S547" s="111"/>
    </row>
    <row r="548" spans="1:19">
      <c r="A548" s="110" t="s">
        <v>667</v>
      </c>
      <c r="B548" s="111" t="s">
        <v>505</v>
      </c>
      <c r="C548" s="112" t="s">
        <v>449</v>
      </c>
      <c r="D548" s="112"/>
      <c r="E548" s="113" t="s">
        <v>17</v>
      </c>
      <c r="F548" s="175" t="s">
        <v>15</v>
      </c>
      <c r="G548" s="175" t="s">
        <v>36</v>
      </c>
      <c r="H548" s="176">
        <v>10.199999999999999</v>
      </c>
      <c r="I548" s="177">
        <v>11.15</v>
      </c>
      <c r="J548" s="178">
        <v>3</v>
      </c>
      <c r="K548" s="174">
        <f t="shared" si="268"/>
        <v>0.34118999999999994</v>
      </c>
      <c r="L548" s="118"/>
      <c r="M548" s="178">
        <v>3</v>
      </c>
      <c r="N548" s="117">
        <f t="shared" si="269"/>
        <v>0.34118999999999999</v>
      </c>
      <c r="O548" s="119">
        <f t="shared" si="270"/>
        <v>0</v>
      </c>
      <c r="P548" s="120">
        <f t="shared" si="271"/>
        <v>0</v>
      </c>
      <c r="Q548" s="159">
        <v>10.7</v>
      </c>
      <c r="R548" s="111">
        <v>3</v>
      </c>
      <c r="S548" s="111"/>
    </row>
    <row r="549" spans="1:19">
      <c r="A549" s="110" t="s">
        <v>667</v>
      </c>
      <c r="B549" s="111" t="s">
        <v>505</v>
      </c>
      <c r="C549" s="112" t="s">
        <v>449</v>
      </c>
      <c r="D549" s="112"/>
      <c r="E549" s="113" t="s">
        <v>17</v>
      </c>
      <c r="F549" s="175" t="s">
        <v>15</v>
      </c>
      <c r="G549" s="175" t="s">
        <v>36</v>
      </c>
      <c r="H549" s="176">
        <v>10.199999999999999</v>
      </c>
      <c r="I549" s="177">
        <v>8</v>
      </c>
      <c r="J549" s="178">
        <v>31</v>
      </c>
      <c r="K549" s="174">
        <f t="shared" si="268"/>
        <v>2.5295999999999998</v>
      </c>
      <c r="L549" s="118"/>
      <c r="M549" s="178">
        <v>31</v>
      </c>
      <c r="N549" s="117">
        <f t="shared" si="269"/>
        <v>2.5295999999999998</v>
      </c>
      <c r="O549" s="119">
        <f t="shared" si="270"/>
        <v>0</v>
      </c>
      <c r="P549" s="120">
        <f t="shared" si="271"/>
        <v>0</v>
      </c>
      <c r="Q549" s="159"/>
      <c r="R549" s="111"/>
      <c r="S549" s="111"/>
    </row>
    <row r="550" spans="1:19">
      <c r="A550" s="110" t="s">
        <v>667</v>
      </c>
      <c r="B550" s="111" t="s">
        <v>505</v>
      </c>
      <c r="C550" s="112" t="s">
        <v>449</v>
      </c>
      <c r="D550" s="112"/>
      <c r="E550" s="113" t="s">
        <v>17</v>
      </c>
      <c r="F550" s="175" t="s">
        <v>15</v>
      </c>
      <c r="G550" s="175" t="s">
        <v>36</v>
      </c>
      <c r="H550" s="176">
        <v>10.199999999999999</v>
      </c>
      <c r="I550" s="177">
        <v>7.1</v>
      </c>
      <c r="J550" s="178">
        <v>11</v>
      </c>
      <c r="K550" s="174">
        <f t="shared" si="268"/>
        <v>0.79661999999999988</v>
      </c>
      <c r="L550" s="118"/>
      <c r="M550" s="178">
        <v>11</v>
      </c>
      <c r="N550" s="117">
        <f t="shared" si="269"/>
        <v>0.79661999999999988</v>
      </c>
      <c r="O550" s="119">
        <f t="shared" si="270"/>
        <v>0</v>
      </c>
      <c r="P550" s="120">
        <f t="shared" si="271"/>
        <v>0</v>
      </c>
      <c r="Q550" s="159"/>
      <c r="R550" s="111"/>
      <c r="S550" s="111"/>
    </row>
    <row r="551" spans="1:19">
      <c r="A551" s="110" t="s">
        <v>667</v>
      </c>
      <c r="B551" s="111" t="s">
        <v>505</v>
      </c>
      <c r="C551" s="112" t="s">
        <v>449</v>
      </c>
      <c r="D551" s="112"/>
      <c r="E551" s="113" t="s">
        <v>17</v>
      </c>
      <c r="F551" s="175" t="s">
        <v>15</v>
      </c>
      <c r="G551" s="175" t="s">
        <v>36</v>
      </c>
      <c r="H551" s="176">
        <v>10.199999999999999</v>
      </c>
      <c r="I551" s="177">
        <v>8.3000000000000007</v>
      </c>
      <c r="J551" s="178">
        <v>1</v>
      </c>
      <c r="K551" s="174">
        <f t="shared" si="268"/>
        <v>8.4659999999999999E-2</v>
      </c>
      <c r="L551" s="118"/>
      <c r="M551" s="178">
        <v>1</v>
      </c>
      <c r="N551" s="117">
        <f t="shared" si="269"/>
        <v>8.4659999999999999E-2</v>
      </c>
      <c r="O551" s="119">
        <f t="shared" si="270"/>
        <v>0</v>
      </c>
      <c r="P551" s="120">
        <f t="shared" si="271"/>
        <v>0</v>
      </c>
      <c r="Q551" s="159"/>
      <c r="R551" s="111"/>
      <c r="S551" s="111"/>
    </row>
    <row r="552" spans="1:19">
      <c r="A552" s="110" t="s">
        <v>667</v>
      </c>
      <c r="B552" s="111" t="s">
        <v>505</v>
      </c>
      <c r="C552" s="112" t="s">
        <v>449</v>
      </c>
      <c r="D552" s="112"/>
      <c r="E552" s="113" t="s">
        <v>17</v>
      </c>
      <c r="F552" s="175" t="s">
        <v>15</v>
      </c>
      <c r="G552" s="175" t="s">
        <v>36</v>
      </c>
      <c r="H552" s="176">
        <v>10.199999999999999</v>
      </c>
      <c r="I552" s="177">
        <v>10</v>
      </c>
      <c r="J552" s="178">
        <v>2</v>
      </c>
      <c r="K552" s="174">
        <f t="shared" si="268"/>
        <v>0.20399999999999999</v>
      </c>
      <c r="L552" s="118"/>
      <c r="M552" s="178">
        <v>2</v>
      </c>
      <c r="N552" s="117">
        <f t="shared" si="269"/>
        <v>0.20399999999999999</v>
      </c>
      <c r="O552" s="119">
        <f t="shared" si="270"/>
        <v>0</v>
      </c>
      <c r="P552" s="120">
        <f t="shared" si="271"/>
        <v>0</v>
      </c>
      <c r="Q552" s="159"/>
      <c r="R552" s="111"/>
      <c r="S552" s="111"/>
    </row>
    <row r="553" spans="1:19">
      <c r="A553" s="110" t="s">
        <v>667</v>
      </c>
      <c r="B553" s="111" t="s">
        <v>505</v>
      </c>
      <c r="C553" s="112" t="s">
        <v>449</v>
      </c>
      <c r="D553" s="112"/>
      <c r="E553" s="113" t="s">
        <v>17</v>
      </c>
      <c r="F553" s="175" t="s">
        <v>15</v>
      </c>
      <c r="G553" s="175" t="s">
        <v>36</v>
      </c>
      <c r="H553" s="176">
        <v>10.199999999999999</v>
      </c>
      <c r="I553" s="177">
        <v>10.7</v>
      </c>
      <c r="J553" s="178">
        <v>2</v>
      </c>
      <c r="K553" s="174">
        <f t="shared" si="268"/>
        <v>0.21827999999999997</v>
      </c>
      <c r="L553" s="118"/>
      <c r="M553" s="178">
        <v>2</v>
      </c>
      <c r="N553" s="117">
        <f t="shared" si="269"/>
        <v>0.21827999999999997</v>
      </c>
      <c r="O553" s="119">
        <f t="shared" si="270"/>
        <v>0</v>
      </c>
      <c r="P553" s="120">
        <f t="shared" si="271"/>
        <v>0</v>
      </c>
      <c r="Q553" s="159"/>
      <c r="R553" s="111"/>
      <c r="S553" s="111"/>
    </row>
    <row r="554" spans="1:19">
      <c r="A554" s="110" t="s">
        <v>667</v>
      </c>
      <c r="B554" s="111" t="s">
        <v>505</v>
      </c>
      <c r="C554" s="112" t="s">
        <v>449</v>
      </c>
      <c r="D554" s="112"/>
      <c r="E554" s="113" t="s">
        <v>17</v>
      </c>
      <c r="F554" s="175" t="s">
        <v>15</v>
      </c>
      <c r="G554" s="175" t="s">
        <v>36</v>
      </c>
      <c r="H554" s="176">
        <v>10.199999999999999</v>
      </c>
      <c r="I554" s="177">
        <v>11</v>
      </c>
      <c r="J554" s="178">
        <v>1</v>
      </c>
      <c r="K554" s="174">
        <f t="shared" si="268"/>
        <v>0.11219999999999999</v>
      </c>
      <c r="L554" s="118"/>
      <c r="M554" s="178">
        <v>1</v>
      </c>
      <c r="N554" s="117">
        <f t="shared" si="269"/>
        <v>0.11219999999999999</v>
      </c>
      <c r="O554" s="119">
        <f t="shared" si="270"/>
        <v>0</v>
      </c>
      <c r="P554" s="120">
        <f t="shared" si="271"/>
        <v>0</v>
      </c>
      <c r="Q554" s="159">
        <v>10.7</v>
      </c>
      <c r="R554" s="111">
        <v>1</v>
      </c>
      <c r="S554" s="111"/>
    </row>
    <row r="555" spans="1:19">
      <c r="A555" s="110" t="s">
        <v>667</v>
      </c>
      <c r="B555" s="111" t="s">
        <v>505</v>
      </c>
      <c r="C555" s="112" t="s">
        <v>449</v>
      </c>
      <c r="D555" s="112"/>
      <c r="E555" s="113" t="s">
        <v>17</v>
      </c>
      <c r="F555" s="175" t="s">
        <v>15</v>
      </c>
      <c r="G555" s="175" t="s">
        <v>36</v>
      </c>
      <c r="H555" s="176">
        <v>10.199999999999999</v>
      </c>
      <c r="I555" s="177">
        <v>11.15</v>
      </c>
      <c r="J555" s="178">
        <v>2</v>
      </c>
      <c r="K555" s="174">
        <f t="shared" si="268"/>
        <v>0.22745999999999997</v>
      </c>
      <c r="L555" s="118"/>
      <c r="M555" s="178">
        <v>2</v>
      </c>
      <c r="N555" s="117">
        <f t="shared" si="269"/>
        <v>0.22745999999999997</v>
      </c>
      <c r="O555" s="119">
        <f t="shared" si="270"/>
        <v>0</v>
      </c>
      <c r="P555" s="120">
        <f t="shared" si="271"/>
        <v>0</v>
      </c>
      <c r="Q555" s="159"/>
      <c r="R555" s="111"/>
      <c r="S555" s="111"/>
    </row>
    <row r="556" spans="1:19">
      <c r="A556" s="110" t="s">
        <v>667</v>
      </c>
      <c r="B556" s="111" t="s">
        <v>505</v>
      </c>
      <c r="C556" s="112" t="s">
        <v>449</v>
      </c>
      <c r="D556" s="112"/>
      <c r="E556" s="113" t="s">
        <v>17</v>
      </c>
      <c r="F556" s="175" t="s">
        <v>15</v>
      </c>
      <c r="G556" s="175" t="s">
        <v>36</v>
      </c>
      <c r="H556" s="176">
        <v>10.199999999999999</v>
      </c>
      <c r="I556" s="177">
        <v>12</v>
      </c>
      <c r="J556" s="178">
        <v>1</v>
      </c>
      <c r="K556" s="174">
        <f t="shared" si="268"/>
        <v>0.12239999999999999</v>
      </c>
      <c r="L556" s="118"/>
      <c r="M556" s="178">
        <v>1</v>
      </c>
      <c r="N556" s="117">
        <f t="shared" si="269"/>
        <v>0.12239999999999999</v>
      </c>
      <c r="O556" s="119">
        <f t="shared" si="270"/>
        <v>0</v>
      </c>
      <c r="P556" s="120">
        <f t="shared" si="271"/>
        <v>0</v>
      </c>
      <c r="Q556" s="159"/>
      <c r="R556" s="111"/>
      <c r="S556" s="111"/>
    </row>
    <row r="557" spans="1:19">
      <c r="A557" s="110" t="s">
        <v>667</v>
      </c>
      <c r="B557" s="111" t="s">
        <v>505</v>
      </c>
      <c r="C557" s="112" t="s">
        <v>449</v>
      </c>
      <c r="D557" s="112"/>
      <c r="E557" s="113" t="s">
        <v>17</v>
      </c>
      <c r="F557" s="175" t="s">
        <v>15</v>
      </c>
      <c r="G557" s="175" t="s">
        <v>36</v>
      </c>
      <c r="H557" s="176">
        <v>10.199999999999999</v>
      </c>
      <c r="I557" s="177">
        <v>8.3000000000000007</v>
      </c>
      <c r="J557" s="178">
        <v>27</v>
      </c>
      <c r="K557" s="174">
        <f t="shared" ref="K557:K565" si="272">(H557*I557*J557/1000)</f>
        <v>2.2858199999999997</v>
      </c>
      <c r="L557" s="118"/>
      <c r="M557" s="178">
        <f>27-11+11</f>
        <v>27</v>
      </c>
      <c r="N557" s="117">
        <f t="shared" ref="N557:N565" si="273">I557*M557*H557/1000</f>
        <v>2.2858200000000002</v>
      </c>
      <c r="O557" s="119">
        <f t="shared" ref="O557:O565" si="274">J557-M557</f>
        <v>0</v>
      </c>
      <c r="P557" s="120">
        <f t="shared" ref="P557:P565" si="275">I557*O557*H557/1000</f>
        <v>0</v>
      </c>
      <c r="Q557" s="159"/>
      <c r="R557" s="111"/>
      <c r="S557" s="111"/>
    </row>
    <row r="558" spans="1:19">
      <c r="A558" s="110" t="s">
        <v>667</v>
      </c>
      <c r="B558" s="111" t="s">
        <v>505</v>
      </c>
      <c r="C558" s="112" t="s">
        <v>449</v>
      </c>
      <c r="D558" s="112"/>
      <c r="E558" s="113" t="s">
        <v>17</v>
      </c>
      <c r="F558" s="175" t="s">
        <v>15</v>
      </c>
      <c r="G558" s="175" t="s">
        <v>36</v>
      </c>
      <c r="H558" s="176">
        <v>10.199999999999999</v>
      </c>
      <c r="I558" s="177">
        <v>8.3000000000000007</v>
      </c>
      <c r="J558" s="178">
        <v>26</v>
      </c>
      <c r="K558" s="174">
        <f t="shared" si="272"/>
        <v>2.2011599999999998</v>
      </c>
      <c r="L558" s="118"/>
      <c r="M558" s="178">
        <v>26</v>
      </c>
      <c r="N558" s="117">
        <f t="shared" si="273"/>
        <v>2.2011599999999998</v>
      </c>
      <c r="O558" s="119">
        <f t="shared" si="274"/>
        <v>0</v>
      </c>
      <c r="P558" s="120">
        <f t="shared" si="275"/>
        <v>0</v>
      </c>
      <c r="Q558" s="159"/>
      <c r="R558" s="111"/>
      <c r="S558" s="111"/>
    </row>
    <row r="559" spans="1:19">
      <c r="A559" s="110" t="s">
        <v>667</v>
      </c>
      <c r="B559" s="111" t="s">
        <v>505</v>
      </c>
      <c r="C559" s="112" t="s">
        <v>449</v>
      </c>
      <c r="D559" s="112"/>
      <c r="E559" s="113" t="s">
        <v>17</v>
      </c>
      <c r="F559" s="175" t="s">
        <v>15</v>
      </c>
      <c r="G559" s="175" t="s">
        <v>36</v>
      </c>
      <c r="H559" s="176">
        <v>10.199999999999999</v>
      </c>
      <c r="I559" s="177">
        <v>8.3000000000000007</v>
      </c>
      <c r="J559" s="178">
        <v>28</v>
      </c>
      <c r="K559" s="174">
        <f t="shared" si="272"/>
        <v>2.3704800000000001</v>
      </c>
      <c r="L559" s="118"/>
      <c r="M559" s="178">
        <v>28</v>
      </c>
      <c r="N559" s="117">
        <f t="shared" si="273"/>
        <v>2.3704800000000001</v>
      </c>
      <c r="O559" s="119">
        <f t="shared" si="274"/>
        <v>0</v>
      </c>
      <c r="P559" s="120">
        <f t="shared" si="275"/>
        <v>0</v>
      </c>
      <c r="Q559" s="159"/>
      <c r="R559" s="111"/>
      <c r="S559" s="111"/>
    </row>
    <row r="560" spans="1:19">
      <c r="A560" s="110" t="s">
        <v>667</v>
      </c>
      <c r="B560" s="111" t="s">
        <v>505</v>
      </c>
      <c r="C560" s="112" t="s">
        <v>449</v>
      </c>
      <c r="D560" s="112"/>
      <c r="E560" s="113" t="s">
        <v>17</v>
      </c>
      <c r="F560" s="175" t="s">
        <v>15</v>
      </c>
      <c r="G560" s="175" t="s">
        <v>36</v>
      </c>
      <c r="H560" s="176">
        <v>10.199999999999999</v>
      </c>
      <c r="I560" s="177">
        <v>8</v>
      </c>
      <c r="J560" s="178">
        <v>22</v>
      </c>
      <c r="K560" s="174">
        <f t="shared" si="272"/>
        <v>1.7951999999999999</v>
      </c>
      <c r="L560" s="118"/>
      <c r="M560" s="178">
        <v>22</v>
      </c>
      <c r="N560" s="117">
        <f t="shared" si="273"/>
        <v>1.7951999999999999</v>
      </c>
      <c r="O560" s="119">
        <f t="shared" si="274"/>
        <v>0</v>
      </c>
      <c r="P560" s="120">
        <f t="shared" si="275"/>
        <v>0</v>
      </c>
      <c r="Q560" s="159"/>
      <c r="R560" s="111"/>
      <c r="S560" s="111"/>
    </row>
    <row r="561" spans="1:19">
      <c r="A561" s="110" t="s">
        <v>667</v>
      </c>
      <c r="B561" s="111" t="s">
        <v>505</v>
      </c>
      <c r="C561" s="112" t="s">
        <v>449</v>
      </c>
      <c r="D561" s="112"/>
      <c r="E561" s="113" t="s">
        <v>17</v>
      </c>
      <c r="F561" s="175" t="s">
        <v>15</v>
      </c>
      <c r="G561" s="175" t="s">
        <v>36</v>
      </c>
      <c r="H561" s="176">
        <v>10.199999999999999</v>
      </c>
      <c r="I561" s="177">
        <v>10</v>
      </c>
      <c r="J561" s="178">
        <v>29</v>
      </c>
      <c r="K561" s="174">
        <f t="shared" si="272"/>
        <v>2.9580000000000002</v>
      </c>
      <c r="L561" s="118"/>
      <c r="M561" s="178">
        <v>29</v>
      </c>
      <c r="N561" s="117">
        <f t="shared" si="273"/>
        <v>2.9580000000000002</v>
      </c>
      <c r="O561" s="119">
        <f t="shared" si="274"/>
        <v>0</v>
      </c>
      <c r="P561" s="120">
        <f t="shared" si="275"/>
        <v>0</v>
      </c>
      <c r="Q561" s="159"/>
      <c r="R561" s="111"/>
      <c r="S561" s="111"/>
    </row>
    <row r="562" spans="1:19">
      <c r="A562" s="110" t="s">
        <v>667</v>
      </c>
      <c r="B562" s="111" t="s">
        <v>505</v>
      </c>
      <c r="C562" s="112" t="s">
        <v>449</v>
      </c>
      <c r="D562" s="112"/>
      <c r="E562" s="113" t="s">
        <v>17</v>
      </c>
      <c r="F562" s="175" t="s">
        <v>15</v>
      </c>
      <c r="G562" s="175" t="s">
        <v>36</v>
      </c>
      <c r="H562" s="176">
        <v>10.199999999999999</v>
      </c>
      <c r="I562" s="177">
        <v>10.7</v>
      </c>
      <c r="J562" s="178">
        <v>8</v>
      </c>
      <c r="K562" s="174">
        <f t="shared" si="272"/>
        <v>0.8731199999999999</v>
      </c>
      <c r="L562" s="118"/>
      <c r="M562" s="178">
        <v>8</v>
      </c>
      <c r="N562" s="117">
        <f t="shared" si="273"/>
        <v>0.8731199999999999</v>
      </c>
      <c r="O562" s="119">
        <f t="shared" si="274"/>
        <v>0</v>
      </c>
      <c r="P562" s="120">
        <f t="shared" si="275"/>
        <v>0</v>
      </c>
      <c r="Q562" s="159"/>
      <c r="R562" s="111"/>
      <c r="S562" s="111"/>
    </row>
    <row r="563" spans="1:19">
      <c r="A563" s="110" t="s">
        <v>667</v>
      </c>
      <c r="B563" s="111" t="s">
        <v>505</v>
      </c>
      <c r="C563" s="112" t="s">
        <v>449</v>
      </c>
      <c r="D563" s="112"/>
      <c r="E563" s="113" t="s">
        <v>17</v>
      </c>
      <c r="F563" s="175" t="s">
        <v>15</v>
      </c>
      <c r="G563" s="175" t="s">
        <v>36</v>
      </c>
      <c r="H563" s="176">
        <v>10.199999999999999</v>
      </c>
      <c r="I563" s="177">
        <v>11</v>
      </c>
      <c r="J563" s="178">
        <v>12</v>
      </c>
      <c r="K563" s="174">
        <f t="shared" si="272"/>
        <v>1.3463999999999998</v>
      </c>
      <c r="L563" s="118"/>
      <c r="M563" s="178">
        <v>12</v>
      </c>
      <c r="N563" s="117">
        <f t="shared" si="273"/>
        <v>1.3463999999999998</v>
      </c>
      <c r="O563" s="119">
        <f t="shared" si="274"/>
        <v>0</v>
      </c>
      <c r="P563" s="120">
        <f t="shared" si="275"/>
        <v>0</v>
      </c>
      <c r="Q563" s="159"/>
      <c r="R563" s="111"/>
      <c r="S563" s="111"/>
    </row>
    <row r="564" spans="1:19">
      <c r="A564" s="110" t="s">
        <v>667</v>
      </c>
      <c r="B564" s="111" t="s">
        <v>505</v>
      </c>
      <c r="C564" s="112" t="s">
        <v>449</v>
      </c>
      <c r="D564" s="112"/>
      <c r="E564" s="113" t="s">
        <v>17</v>
      </c>
      <c r="F564" s="175" t="s">
        <v>15</v>
      </c>
      <c r="G564" s="175" t="s">
        <v>36</v>
      </c>
      <c r="H564" s="176">
        <v>10.199999999999999</v>
      </c>
      <c r="I564" s="177">
        <v>12</v>
      </c>
      <c r="J564" s="178">
        <v>3</v>
      </c>
      <c r="K564" s="174">
        <f t="shared" si="272"/>
        <v>0.36719999999999997</v>
      </c>
      <c r="L564" s="118"/>
      <c r="M564" s="178">
        <v>3</v>
      </c>
      <c r="N564" s="117">
        <f t="shared" si="273"/>
        <v>0.36719999999999997</v>
      </c>
      <c r="O564" s="119">
        <f t="shared" si="274"/>
        <v>0</v>
      </c>
      <c r="P564" s="120">
        <f t="shared" si="275"/>
        <v>0</v>
      </c>
      <c r="Q564" s="159"/>
      <c r="R564" s="111"/>
      <c r="S564" s="111"/>
    </row>
    <row r="565" spans="1:19">
      <c r="A565" s="110" t="s">
        <v>667</v>
      </c>
      <c r="B565" s="111" t="s">
        <v>505</v>
      </c>
      <c r="C565" s="112" t="s">
        <v>449</v>
      </c>
      <c r="D565" s="112"/>
      <c r="E565" s="113" t="s">
        <v>17</v>
      </c>
      <c r="F565" s="175" t="s">
        <v>15</v>
      </c>
      <c r="G565" s="175" t="s">
        <v>36</v>
      </c>
      <c r="H565" s="176">
        <v>10.199999999999999</v>
      </c>
      <c r="I565" s="177">
        <v>11.15</v>
      </c>
      <c r="J565" s="178">
        <v>8</v>
      </c>
      <c r="K565" s="174">
        <f t="shared" si="272"/>
        <v>0.90983999999999987</v>
      </c>
      <c r="L565" s="118"/>
      <c r="M565" s="178">
        <v>8</v>
      </c>
      <c r="N565" s="117">
        <f t="shared" si="273"/>
        <v>0.90983999999999987</v>
      </c>
      <c r="O565" s="119">
        <f t="shared" si="274"/>
        <v>0</v>
      </c>
      <c r="P565" s="120">
        <f t="shared" si="275"/>
        <v>0</v>
      </c>
      <c r="Q565" s="159"/>
      <c r="R565" s="111"/>
      <c r="S565" s="111"/>
    </row>
    <row r="566" spans="1:19">
      <c r="A566" s="110" t="s">
        <v>667</v>
      </c>
      <c r="B566" s="111" t="s">
        <v>505</v>
      </c>
      <c r="C566" s="112" t="s">
        <v>449</v>
      </c>
      <c r="D566" s="112"/>
      <c r="E566" s="113" t="s">
        <v>17</v>
      </c>
      <c r="F566" s="175" t="s">
        <v>15</v>
      </c>
      <c r="G566" s="175" t="s">
        <v>36</v>
      </c>
      <c r="H566" s="176">
        <v>10.199999999999999</v>
      </c>
      <c r="I566" s="177">
        <v>8.3000000000000007</v>
      </c>
      <c r="J566" s="178">
        <v>30</v>
      </c>
      <c r="K566" s="174">
        <f t="shared" ref="K566:K583" si="276">(H566*I566*J566/1000)</f>
        <v>2.5397999999999996</v>
      </c>
      <c r="L566" s="118"/>
      <c r="M566" s="178">
        <v>30</v>
      </c>
      <c r="N566" s="117">
        <f t="shared" ref="N566:N583" si="277">I566*M566*H566/1000</f>
        <v>2.5398000000000001</v>
      </c>
      <c r="O566" s="119">
        <f t="shared" ref="O566:O583" si="278">J566-M566</f>
        <v>0</v>
      </c>
      <c r="P566" s="120">
        <f t="shared" ref="P566:P583" si="279">I566*O566*H566/1000</f>
        <v>0</v>
      </c>
      <c r="Q566" s="159"/>
      <c r="R566" s="111"/>
      <c r="S566" s="111"/>
    </row>
    <row r="567" spans="1:19">
      <c r="A567" s="110" t="s">
        <v>667</v>
      </c>
      <c r="B567" s="111" t="s">
        <v>505</v>
      </c>
      <c r="C567" s="112" t="s">
        <v>449</v>
      </c>
      <c r="D567" s="112"/>
      <c r="E567" s="113" t="s">
        <v>17</v>
      </c>
      <c r="F567" s="175" t="s">
        <v>15</v>
      </c>
      <c r="G567" s="175" t="s">
        <v>36</v>
      </c>
      <c r="H567" s="176">
        <v>10.199999999999999</v>
      </c>
      <c r="I567" s="177">
        <v>10</v>
      </c>
      <c r="J567" s="178">
        <v>27</v>
      </c>
      <c r="K567" s="174">
        <f t="shared" si="276"/>
        <v>2.754</v>
      </c>
      <c r="L567" s="118"/>
      <c r="M567" s="178">
        <v>27</v>
      </c>
      <c r="N567" s="117">
        <f t="shared" si="277"/>
        <v>2.754</v>
      </c>
      <c r="O567" s="119">
        <f t="shared" si="278"/>
        <v>0</v>
      </c>
      <c r="P567" s="120">
        <f t="shared" si="279"/>
        <v>0</v>
      </c>
      <c r="Q567" s="159"/>
      <c r="R567" s="111"/>
      <c r="S567" s="111"/>
    </row>
    <row r="568" spans="1:19">
      <c r="A568" s="110" t="s">
        <v>667</v>
      </c>
      <c r="B568" s="111" t="s">
        <v>505</v>
      </c>
      <c r="C568" s="112" t="s">
        <v>449</v>
      </c>
      <c r="D568" s="112"/>
      <c r="E568" s="113" t="s">
        <v>17</v>
      </c>
      <c r="F568" s="175" t="s">
        <v>15</v>
      </c>
      <c r="G568" s="175" t="s">
        <v>36</v>
      </c>
      <c r="H568" s="176">
        <v>10.199999999999999</v>
      </c>
      <c r="I568" s="177">
        <v>8.3000000000000007</v>
      </c>
      <c r="J568" s="178">
        <v>30</v>
      </c>
      <c r="K568" s="174">
        <f t="shared" si="276"/>
        <v>2.5397999999999996</v>
      </c>
      <c r="L568" s="118"/>
      <c r="M568" s="178">
        <v>30</v>
      </c>
      <c r="N568" s="117">
        <f t="shared" si="277"/>
        <v>2.5398000000000001</v>
      </c>
      <c r="O568" s="119">
        <f t="shared" si="278"/>
        <v>0</v>
      </c>
      <c r="P568" s="120">
        <f t="shared" si="279"/>
        <v>0</v>
      </c>
      <c r="Q568" s="159"/>
      <c r="R568" s="111"/>
      <c r="S568" s="111"/>
    </row>
    <row r="569" spans="1:19">
      <c r="A569" s="110" t="s">
        <v>667</v>
      </c>
      <c r="B569" s="111" t="s">
        <v>505</v>
      </c>
      <c r="C569" s="112" t="s">
        <v>449</v>
      </c>
      <c r="D569" s="112"/>
      <c r="E569" s="113" t="s">
        <v>17</v>
      </c>
      <c r="F569" s="175" t="s">
        <v>15</v>
      </c>
      <c r="G569" s="175" t="s">
        <v>36</v>
      </c>
      <c r="H569" s="176">
        <v>10.199999999999999</v>
      </c>
      <c r="I569" s="177">
        <v>8</v>
      </c>
      <c r="J569" s="178">
        <v>30</v>
      </c>
      <c r="K569" s="174">
        <f t="shared" si="276"/>
        <v>2.448</v>
      </c>
      <c r="L569" s="118"/>
      <c r="M569" s="178">
        <v>30</v>
      </c>
      <c r="N569" s="117">
        <f t="shared" si="277"/>
        <v>2.448</v>
      </c>
      <c r="O569" s="119">
        <f t="shared" si="278"/>
        <v>0</v>
      </c>
      <c r="P569" s="120">
        <f t="shared" si="279"/>
        <v>0</v>
      </c>
      <c r="Q569" s="159"/>
      <c r="R569" s="111"/>
      <c r="S569" s="111"/>
    </row>
    <row r="570" spans="1:19">
      <c r="A570" s="110" t="s">
        <v>667</v>
      </c>
      <c r="B570" s="111" t="s">
        <v>505</v>
      </c>
      <c r="C570" s="112" t="s">
        <v>449</v>
      </c>
      <c r="D570" s="112"/>
      <c r="E570" s="113" t="s">
        <v>17</v>
      </c>
      <c r="F570" s="175" t="s">
        <v>15</v>
      </c>
      <c r="G570" s="175" t="s">
        <v>36</v>
      </c>
      <c r="H570" s="176">
        <v>10.199999999999999</v>
      </c>
      <c r="I570" s="177">
        <v>8.3000000000000007</v>
      </c>
      <c r="J570" s="178">
        <v>30</v>
      </c>
      <c r="K570" s="174">
        <f t="shared" si="276"/>
        <v>2.5397999999999996</v>
      </c>
      <c r="L570" s="118"/>
      <c r="M570" s="178">
        <v>30</v>
      </c>
      <c r="N570" s="117">
        <f t="shared" si="277"/>
        <v>2.5398000000000001</v>
      </c>
      <c r="O570" s="119">
        <f t="shared" si="278"/>
        <v>0</v>
      </c>
      <c r="P570" s="120">
        <f t="shared" si="279"/>
        <v>0</v>
      </c>
      <c r="Q570" s="159"/>
      <c r="R570" s="111"/>
      <c r="S570" s="111"/>
    </row>
    <row r="571" spans="1:19">
      <c r="A571" s="110" t="s">
        <v>667</v>
      </c>
      <c r="B571" s="111" t="s">
        <v>505</v>
      </c>
      <c r="C571" s="112" t="s">
        <v>449</v>
      </c>
      <c r="D571" s="112"/>
      <c r="E571" s="113" t="s">
        <v>17</v>
      </c>
      <c r="F571" s="175" t="s">
        <v>15</v>
      </c>
      <c r="G571" s="175" t="s">
        <v>36</v>
      </c>
      <c r="H571" s="176">
        <v>10.199999999999999</v>
      </c>
      <c r="I571" s="177">
        <v>12</v>
      </c>
      <c r="J571" s="178">
        <v>6</v>
      </c>
      <c r="K571" s="174">
        <f t="shared" si="276"/>
        <v>0.73439999999999994</v>
      </c>
      <c r="L571" s="118"/>
      <c r="M571" s="178">
        <v>6</v>
      </c>
      <c r="N571" s="117">
        <f t="shared" si="277"/>
        <v>0.73439999999999994</v>
      </c>
      <c r="O571" s="119">
        <f t="shared" si="278"/>
        <v>0</v>
      </c>
      <c r="P571" s="120">
        <f t="shared" si="279"/>
        <v>0</v>
      </c>
      <c r="Q571" s="159"/>
      <c r="R571" s="111"/>
      <c r="S571" s="111"/>
    </row>
    <row r="572" spans="1:19">
      <c r="A572" s="110" t="s">
        <v>667</v>
      </c>
      <c r="B572" s="111" t="s">
        <v>505</v>
      </c>
      <c r="C572" s="112" t="s">
        <v>449</v>
      </c>
      <c r="D572" s="112"/>
      <c r="E572" s="113" t="s">
        <v>17</v>
      </c>
      <c r="F572" s="175" t="s">
        <v>15</v>
      </c>
      <c r="G572" s="175" t="s">
        <v>36</v>
      </c>
      <c r="H572" s="176">
        <v>10.199999999999999</v>
      </c>
      <c r="I572" s="177">
        <v>11</v>
      </c>
      <c r="J572" s="178">
        <v>11</v>
      </c>
      <c r="K572" s="174">
        <f t="shared" si="276"/>
        <v>1.2341999999999997</v>
      </c>
      <c r="L572" s="118"/>
      <c r="M572" s="178">
        <v>11</v>
      </c>
      <c r="N572" s="117">
        <f t="shared" si="277"/>
        <v>1.2341999999999997</v>
      </c>
      <c r="O572" s="119">
        <f t="shared" si="278"/>
        <v>0</v>
      </c>
      <c r="P572" s="120">
        <f t="shared" si="279"/>
        <v>0</v>
      </c>
      <c r="Q572" s="159">
        <v>10.7</v>
      </c>
      <c r="R572" s="111">
        <v>11</v>
      </c>
      <c r="S572" s="111"/>
    </row>
    <row r="573" spans="1:19">
      <c r="A573" s="110" t="s">
        <v>667</v>
      </c>
      <c r="B573" s="111" t="s">
        <v>505</v>
      </c>
      <c r="C573" s="112" t="s">
        <v>449</v>
      </c>
      <c r="D573" s="112"/>
      <c r="E573" s="113" t="s">
        <v>17</v>
      </c>
      <c r="F573" s="175" t="s">
        <v>15</v>
      </c>
      <c r="G573" s="175" t="s">
        <v>36</v>
      </c>
      <c r="H573" s="176">
        <v>10.199999999999999</v>
      </c>
      <c r="I573" s="177">
        <v>11.15</v>
      </c>
      <c r="J573" s="178">
        <v>10</v>
      </c>
      <c r="K573" s="174">
        <f t="shared" si="276"/>
        <v>1.1373</v>
      </c>
      <c r="L573" s="118"/>
      <c r="M573" s="178">
        <v>10</v>
      </c>
      <c r="N573" s="117">
        <f t="shared" si="277"/>
        <v>1.1373</v>
      </c>
      <c r="O573" s="119">
        <f t="shared" si="278"/>
        <v>0</v>
      </c>
      <c r="P573" s="120">
        <f t="shared" si="279"/>
        <v>0</v>
      </c>
      <c r="Q573" s="159"/>
      <c r="R573" s="111"/>
      <c r="S573" s="111"/>
    </row>
    <row r="574" spans="1:19">
      <c r="A574" s="110" t="s">
        <v>667</v>
      </c>
      <c r="B574" s="111" t="s">
        <v>505</v>
      </c>
      <c r="C574" s="112" t="s">
        <v>449</v>
      </c>
      <c r="D574" s="112"/>
      <c r="E574" s="113" t="s">
        <v>17</v>
      </c>
      <c r="F574" s="175" t="s">
        <v>15</v>
      </c>
      <c r="G574" s="175" t="s">
        <v>36</v>
      </c>
      <c r="H574" s="176">
        <v>10.199999999999999</v>
      </c>
      <c r="I574" s="177">
        <v>10.7</v>
      </c>
      <c r="J574" s="178">
        <v>11</v>
      </c>
      <c r="K574" s="174">
        <f t="shared" si="276"/>
        <v>1.2005399999999999</v>
      </c>
      <c r="L574" s="118"/>
      <c r="M574" s="178">
        <v>11</v>
      </c>
      <c r="N574" s="117">
        <f t="shared" si="277"/>
        <v>1.2005399999999997</v>
      </c>
      <c r="O574" s="119">
        <f t="shared" si="278"/>
        <v>0</v>
      </c>
      <c r="P574" s="120">
        <f t="shared" si="279"/>
        <v>0</v>
      </c>
      <c r="Q574" s="159"/>
      <c r="R574" s="111"/>
      <c r="S574" s="111"/>
    </row>
    <row r="575" spans="1:19">
      <c r="A575" s="110" t="s">
        <v>667</v>
      </c>
      <c r="B575" s="111" t="s">
        <v>505</v>
      </c>
      <c r="C575" s="112" t="s">
        <v>449</v>
      </c>
      <c r="D575" s="112"/>
      <c r="E575" s="113" t="s">
        <v>17</v>
      </c>
      <c r="F575" s="175" t="s">
        <v>15</v>
      </c>
      <c r="G575" s="175" t="s">
        <v>36</v>
      </c>
      <c r="H575" s="176">
        <v>10.199999999999999</v>
      </c>
      <c r="I575" s="177">
        <v>10</v>
      </c>
      <c r="J575" s="178">
        <v>9</v>
      </c>
      <c r="K575" s="174">
        <f t="shared" si="276"/>
        <v>0.91800000000000004</v>
      </c>
      <c r="L575" s="118"/>
      <c r="M575" s="178">
        <v>9</v>
      </c>
      <c r="N575" s="117">
        <f t="shared" si="277"/>
        <v>0.91799999999999993</v>
      </c>
      <c r="O575" s="119">
        <f t="shared" si="278"/>
        <v>0</v>
      </c>
      <c r="P575" s="120">
        <f t="shared" si="279"/>
        <v>0</v>
      </c>
      <c r="Q575" s="159"/>
      <c r="R575" s="111"/>
      <c r="S575" s="111"/>
    </row>
    <row r="576" spans="1:19">
      <c r="A576" s="110" t="s">
        <v>667</v>
      </c>
      <c r="B576" s="111" t="s">
        <v>505</v>
      </c>
      <c r="C576" s="112" t="s">
        <v>449</v>
      </c>
      <c r="D576" s="112"/>
      <c r="E576" s="113" t="s">
        <v>17</v>
      </c>
      <c r="F576" s="175" t="s">
        <v>15</v>
      </c>
      <c r="G576" s="175" t="s">
        <v>36</v>
      </c>
      <c r="H576" s="176">
        <v>10.199999999999999</v>
      </c>
      <c r="I576" s="177">
        <v>8.3000000000000007</v>
      </c>
      <c r="J576" s="178">
        <v>2</v>
      </c>
      <c r="K576" s="174">
        <f t="shared" si="276"/>
        <v>0.16932</v>
      </c>
      <c r="L576" s="118"/>
      <c r="M576" s="178">
        <v>2</v>
      </c>
      <c r="N576" s="117">
        <f t="shared" si="277"/>
        <v>0.16932</v>
      </c>
      <c r="O576" s="119">
        <f t="shared" si="278"/>
        <v>0</v>
      </c>
      <c r="P576" s="120">
        <f t="shared" si="279"/>
        <v>0</v>
      </c>
      <c r="Q576" s="159">
        <v>8</v>
      </c>
      <c r="R576" s="111">
        <v>2</v>
      </c>
      <c r="S576" s="111"/>
    </row>
    <row r="577" spans="1:19">
      <c r="A577" s="110" t="s">
        <v>667</v>
      </c>
      <c r="B577" s="111" t="s">
        <v>505</v>
      </c>
      <c r="C577" s="112" t="s">
        <v>449</v>
      </c>
      <c r="D577" s="112"/>
      <c r="E577" s="113" t="s">
        <v>17</v>
      </c>
      <c r="F577" s="175" t="s">
        <v>15</v>
      </c>
      <c r="G577" s="175" t="s">
        <v>36</v>
      </c>
      <c r="H577" s="176">
        <v>10.199999999999999</v>
      </c>
      <c r="I577" s="177">
        <v>8</v>
      </c>
      <c r="J577" s="178">
        <v>4</v>
      </c>
      <c r="K577" s="174">
        <f t="shared" si="276"/>
        <v>0.32639999999999997</v>
      </c>
      <c r="L577" s="118"/>
      <c r="M577" s="178">
        <v>4</v>
      </c>
      <c r="N577" s="117">
        <f t="shared" si="277"/>
        <v>0.32639999999999997</v>
      </c>
      <c r="O577" s="119">
        <f t="shared" si="278"/>
        <v>0</v>
      </c>
      <c r="P577" s="120">
        <f t="shared" si="279"/>
        <v>0</v>
      </c>
      <c r="Q577" s="159"/>
      <c r="R577" s="111"/>
      <c r="S577" s="111"/>
    </row>
    <row r="578" spans="1:19">
      <c r="A578" s="110" t="s">
        <v>667</v>
      </c>
      <c r="B578" s="111" t="s">
        <v>505</v>
      </c>
      <c r="C578" s="112" t="s">
        <v>449</v>
      </c>
      <c r="D578" s="112"/>
      <c r="E578" s="113" t="s">
        <v>17</v>
      </c>
      <c r="F578" s="175" t="s">
        <v>15</v>
      </c>
      <c r="G578" s="175" t="s">
        <v>36</v>
      </c>
      <c r="H578" s="176">
        <v>10.199999999999999</v>
      </c>
      <c r="I578" s="177">
        <v>7.1</v>
      </c>
      <c r="J578" s="178">
        <v>7</v>
      </c>
      <c r="K578" s="174">
        <f t="shared" si="276"/>
        <v>0.50693999999999995</v>
      </c>
      <c r="L578" s="118"/>
      <c r="M578" s="178">
        <v>7</v>
      </c>
      <c r="N578" s="117">
        <f t="shared" si="277"/>
        <v>0.50693999999999995</v>
      </c>
      <c r="O578" s="119">
        <f t="shared" si="278"/>
        <v>0</v>
      </c>
      <c r="P578" s="120">
        <f t="shared" si="279"/>
        <v>0</v>
      </c>
      <c r="Q578" s="159"/>
      <c r="R578" s="111"/>
      <c r="S578" s="111"/>
    </row>
    <row r="579" spans="1:19">
      <c r="A579" s="110" t="s">
        <v>667</v>
      </c>
      <c r="B579" s="111" t="s">
        <v>505</v>
      </c>
      <c r="C579" s="112" t="s">
        <v>449</v>
      </c>
      <c r="D579" s="112"/>
      <c r="E579" s="113" t="s">
        <v>17</v>
      </c>
      <c r="F579" s="175" t="s">
        <v>15</v>
      </c>
      <c r="G579" s="175" t="s">
        <v>36</v>
      </c>
      <c r="H579" s="176">
        <v>10.199999999999999</v>
      </c>
      <c r="I579" s="177">
        <v>11</v>
      </c>
      <c r="J579" s="178">
        <v>1</v>
      </c>
      <c r="K579" s="174">
        <f t="shared" si="276"/>
        <v>0.11219999999999999</v>
      </c>
      <c r="L579" s="118"/>
      <c r="M579" s="178">
        <v>1</v>
      </c>
      <c r="N579" s="117">
        <f t="shared" si="277"/>
        <v>0.11219999999999999</v>
      </c>
      <c r="O579" s="119">
        <f t="shared" si="278"/>
        <v>0</v>
      </c>
      <c r="P579" s="120">
        <f t="shared" si="279"/>
        <v>0</v>
      </c>
      <c r="Q579" s="159">
        <v>10.7</v>
      </c>
      <c r="R579" s="111">
        <v>1</v>
      </c>
      <c r="S579" s="111"/>
    </row>
    <row r="580" spans="1:19">
      <c r="A580" s="110" t="s">
        <v>667</v>
      </c>
      <c r="B580" s="111" t="s">
        <v>505</v>
      </c>
      <c r="C580" s="112" t="s">
        <v>449</v>
      </c>
      <c r="D580" s="112"/>
      <c r="E580" s="113" t="s">
        <v>17</v>
      </c>
      <c r="F580" s="175" t="s">
        <v>15</v>
      </c>
      <c r="G580" s="175" t="s">
        <v>36</v>
      </c>
      <c r="H580" s="176">
        <v>10.199999999999999</v>
      </c>
      <c r="I580" s="177">
        <v>10.199999999999999</v>
      </c>
      <c r="J580" s="178">
        <v>1</v>
      </c>
      <c r="K580" s="174">
        <f t="shared" si="276"/>
        <v>0.10403999999999999</v>
      </c>
      <c r="L580" s="118"/>
      <c r="M580" s="178">
        <v>1</v>
      </c>
      <c r="N580" s="117">
        <f t="shared" si="277"/>
        <v>0.10403999999999999</v>
      </c>
      <c r="O580" s="119">
        <f t="shared" si="278"/>
        <v>0</v>
      </c>
      <c r="P580" s="120">
        <f t="shared" si="279"/>
        <v>0</v>
      </c>
      <c r="Q580" s="159">
        <v>10</v>
      </c>
      <c r="R580" s="111">
        <v>1</v>
      </c>
      <c r="S580" s="111"/>
    </row>
    <row r="581" spans="1:19">
      <c r="A581" s="110" t="s">
        <v>667</v>
      </c>
      <c r="B581" s="111" t="s">
        <v>505</v>
      </c>
      <c r="C581" s="112" t="s">
        <v>449</v>
      </c>
      <c r="D581" s="112"/>
      <c r="E581" s="113" t="s">
        <v>17</v>
      </c>
      <c r="F581" s="175" t="s">
        <v>15</v>
      </c>
      <c r="G581" s="175" t="s">
        <v>36</v>
      </c>
      <c r="H581" s="176">
        <v>10.199999999999999</v>
      </c>
      <c r="I581" s="177">
        <v>9.8000000000000007</v>
      </c>
      <c r="J581" s="178">
        <v>1</v>
      </c>
      <c r="K581" s="174">
        <f t="shared" si="276"/>
        <v>9.9959999999999993E-2</v>
      </c>
      <c r="L581" s="118"/>
      <c r="M581" s="178">
        <v>1</v>
      </c>
      <c r="N581" s="117">
        <f t="shared" si="277"/>
        <v>9.9959999999999993E-2</v>
      </c>
      <c r="O581" s="119">
        <f t="shared" si="278"/>
        <v>0</v>
      </c>
      <c r="P581" s="120">
        <f t="shared" si="279"/>
        <v>0</v>
      </c>
      <c r="Q581" s="159">
        <v>10</v>
      </c>
      <c r="R581" s="111">
        <v>1</v>
      </c>
      <c r="S581" s="111"/>
    </row>
    <row r="582" spans="1:19">
      <c r="A582" s="110" t="s">
        <v>667</v>
      </c>
      <c r="B582" s="111" t="s">
        <v>505</v>
      </c>
      <c r="C582" s="112" t="s">
        <v>449</v>
      </c>
      <c r="D582" s="112"/>
      <c r="E582" s="113" t="s">
        <v>17</v>
      </c>
      <c r="F582" s="175" t="s">
        <v>15</v>
      </c>
      <c r="G582" s="175" t="s">
        <v>36</v>
      </c>
      <c r="H582" s="176">
        <v>10.199999999999999</v>
      </c>
      <c r="I582" s="177">
        <v>9.5</v>
      </c>
      <c r="J582" s="178">
        <v>1</v>
      </c>
      <c r="K582" s="174">
        <f t="shared" si="276"/>
        <v>9.6899999999999986E-2</v>
      </c>
      <c r="L582" s="118"/>
      <c r="M582" s="178">
        <v>1</v>
      </c>
      <c r="N582" s="117">
        <f t="shared" si="277"/>
        <v>9.6899999999999986E-2</v>
      </c>
      <c r="O582" s="119">
        <f t="shared" si="278"/>
        <v>0</v>
      </c>
      <c r="P582" s="120">
        <f t="shared" si="279"/>
        <v>0</v>
      </c>
      <c r="Q582" s="159">
        <v>8</v>
      </c>
      <c r="R582" s="111">
        <v>1</v>
      </c>
      <c r="S582" s="111"/>
    </row>
    <row r="583" spans="1:19">
      <c r="A583" s="110" t="s">
        <v>667</v>
      </c>
      <c r="B583" s="111" t="s">
        <v>505</v>
      </c>
      <c r="C583" s="112" t="s">
        <v>449</v>
      </c>
      <c r="D583" s="112"/>
      <c r="E583" s="113" t="s">
        <v>17</v>
      </c>
      <c r="F583" s="175" t="s">
        <v>15</v>
      </c>
      <c r="G583" s="175" t="s">
        <v>36</v>
      </c>
      <c r="H583" s="176">
        <v>10.199999999999999</v>
      </c>
      <c r="I583" s="177">
        <v>6.8</v>
      </c>
      <c r="J583" s="178">
        <v>2</v>
      </c>
      <c r="K583" s="174">
        <f t="shared" si="276"/>
        <v>0.13872000000000001</v>
      </c>
      <c r="L583" s="118"/>
      <c r="M583" s="178"/>
      <c r="N583" s="117">
        <f t="shared" si="277"/>
        <v>0</v>
      </c>
      <c r="O583" s="119">
        <f t="shared" si="278"/>
        <v>2</v>
      </c>
      <c r="P583" s="120">
        <f t="shared" si="279"/>
        <v>0.13872000000000001</v>
      </c>
      <c r="Q583" s="159"/>
      <c r="R583" s="111"/>
      <c r="S583" s="111"/>
    </row>
    <row r="584" spans="1:19">
      <c r="A584" s="32"/>
      <c r="B584" s="32"/>
      <c r="C584" s="32"/>
      <c r="D584" s="32"/>
      <c r="E584" s="32"/>
      <c r="F584" s="32"/>
      <c r="G584" s="32"/>
      <c r="H584" s="32"/>
      <c r="I584" s="32"/>
      <c r="J584" s="131">
        <f>SUM(J506:J583)</f>
        <v>1010</v>
      </c>
      <c r="K584" s="124">
        <f>SUM(K506:K583)</f>
        <v>92.151389999999978</v>
      </c>
      <c r="L584" s="32"/>
      <c r="M584" s="131">
        <f>SUM(M506:M583)</f>
        <v>1007</v>
      </c>
      <c r="N584" s="124">
        <f>SUM(N506:N583)</f>
        <v>91.890269999999973</v>
      </c>
      <c r="O584" s="131">
        <f>SUM(O506:O583)</f>
        <v>3</v>
      </c>
      <c r="P584" s="124">
        <f>SUM(P506:P583)</f>
        <v>0.26112000000000002</v>
      </c>
      <c r="Q584" s="32"/>
      <c r="R584" s="32"/>
      <c r="S584" s="32"/>
    </row>
    <row r="586" spans="1:19">
      <c r="A586" s="110" t="s">
        <v>667</v>
      </c>
      <c r="B586" s="111" t="s">
        <v>505</v>
      </c>
      <c r="C586" s="112" t="s">
        <v>449</v>
      </c>
      <c r="D586" s="112"/>
      <c r="E586" s="113" t="s">
        <v>24</v>
      </c>
      <c r="F586" s="175" t="s">
        <v>14</v>
      </c>
      <c r="G586" s="175" t="s">
        <v>36</v>
      </c>
      <c r="H586" s="176">
        <v>10.199999999999999</v>
      </c>
      <c r="I586" s="177">
        <v>7.35</v>
      </c>
      <c r="J586" s="178">
        <v>30</v>
      </c>
      <c r="K586" s="174">
        <f t="shared" ref="K586" si="280">(H586*I586*J586/1000)</f>
        <v>2.2490999999999994</v>
      </c>
      <c r="L586" s="118"/>
      <c r="M586" s="178">
        <v>30</v>
      </c>
      <c r="N586" s="117">
        <f t="shared" ref="N586" si="281">I586*M586*H586/1000</f>
        <v>2.2490999999999999</v>
      </c>
      <c r="O586" s="119">
        <f t="shared" ref="O586" si="282">J586-M586</f>
        <v>0</v>
      </c>
      <c r="P586" s="120">
        <f t="shared" ref="P586" si="283">I586*O586*H586/1000</f>
        <v>0</v>
      </c>
      <c r="Q586" s="159"/>
      <c r="R586" s="111"/>
      <c r="S586" s="111"/>
    </row>
    <row r="587" spans="1:19">
      <c r="A587" s="110" t="s">
        <v>667</v>
      </c>
      <c r="B587" s="111" t="s">
        <v>505</v>
      </c>
      <c r="C587" s="112" t="s">
        <v>449</v>
      </c>
      <c r="D587" s="112"/>
      <c r="E587" s="113" t="s">
        <v>24</v>
      </c>
      <c r="F587" s="175" t="s">
        <v>14</v>
      </c>
      <c r="G587" s="175" t="s">
        <v>36</v>
      </c>
      <c r="H587" s="176">
        <v>10.199999999999999</v>
      </c>
      <c r="I587" s="177">
        <v>7.35</v>
      </c>
      <c r="J587" s="178">
        <v>33</v>
      </c>
      <c r="K587" s="174">
        <f t="shared" ref="K587:K602" si="284">(H587*I587*J587/1000)</f>
        <v>2.4740099999999994</v>
      </c>
      <c r="L587" s="118"/>
      <c r="M587" s="178">
        <v>33</v>
      </c>
      <c r="N587" s="117">
        <f t="shared" ref="N587:N602" si="285">I587*M587*H587/1000</f>
        <v>2.4740099999999998</v>
      </c>
      <c r="O587" s="119">
        <f t="shared" ref="O587:O602" si="286">J587-M587</f>
        <v>0</v>
      </c>
      <c r="P587" s="120">
        <f t="shared" ref="P587:P602" si="287">I587*O587*H587/1000</f>
        <v>0</v>
      </c>
      <c r="Q587" s="159"/>
      <c r="R587" s="111"/>
      <c r="S587" s="111"/>
    </row>
    <row r="588" spans="1:19">
      <c r="A588" s="110" t="s">
        <v>667</v>
      </c>
      <c r="B588" s="111" t="s">
        <v>505</v>
      </c>
      <c r="C588" s="112" t="s">
        <v>449</v>
      </c>
      <c r="D588" s="112"/>
      <c r="E588" s="113" t="s">
        <v>24</v>
      </c>
      <c r="F588" s="175" t="s">
        <v>14</v>
      </c>
      <c r="G588" s="175" t="s">
        <v>36</v>
      </c>
      <c r="H588" s="176">
        <v>10.199999999999999</v>
      </c>
      <c r="I588" s="177">
        <v>7.35</v>
      </c>
      <c r="J588" s="178">
        <v>22</v>
      </c>
      <c r="K588" s="174">
        <f t="shared" si="284"/>
        <v>1.6493399999999996</v>
      </c>
      <c r="L588" s="118"/>
      <c r="M588" s="178">
        <v>22</v>
      </c>
      <c r="N588" s="117">
        <f t="shared" si="285"/>
        <v>1.6493399999999996</v>
      </c>
      <c r="O588" s="119">
        <f t="shared" si="286"/>
        <v>0</v>
      </c>
      <c r="P588" s="120">
        <f t="shared" si="287"/>
        <v>0</v>
      </c>
      <c r="Q588" s="159"/>
      <c r="R588" s="111"/>
      <c r="S588" s="111"/>
    </row>
    <row r="589" spans="1:19">
      <c r="A589" s="110" t="s">
        <v>667</v>
      </c>
      <c r="B589" s="111" t="s">
        <v>505</v>
      </c>
      <c r="C589" s="112" t="s">
        <v>449</v>
      </c>
      <c r="D589" s="112"/>
      <c r="E589" s="113" t="s">
        <v>24</v>
      </c>
      <c r="F589" s="175" t="s">
        <v>14</v>
      </c>
      <c r="G589" s="175" t="s">
        <v>36</v>
      </c>
      <c r="H589" s="176">
        <v>10.199999999999999</v>
      </c>
      <c r="I589" s="177">
        <v>8.1999999999999993</v>
      </c>
      <c r="J589" s="178">
        <v>30</v>
      </c>
      <c r="K589" s="174">
        <f t="shared" si="284"/>
        <v>2.5091999999999999</v>
      </c>
      <c r="L589" s="118"/>
      <c r="M589" s="178">
        <v>30</v>
      </c>
      <c r="N589" s="117">
        <f t="shared" si="285"/>
        <v>2.5091999999999994</v>
      </c>
      <c r="O589" s="119">
        <f t="shared" si="286"/>
        <v>0</v>
      </c>
      <c r="P589" s="120">
        <f t="shared" si="287"/>
        <v>0</v>
      </c>
      <c r="Q589" s="159"/>
      <c r="R589" s="111"/>
      <c r="S589" s="111"/>
    </row>
    <row r="590" spans="1:19">
      <c r="A590" s="110" t="s">
        <v>667</v>
      </c>
      <c r="B590" s="111" t="s">
        <v>505</v>
      </c>
      <c r="C590" s="112" t="s">
        <v>449</v>
      </c>
      <c r="D590" s="112"/>
      <c r="E590" s="113" t="s">
        <v>24</v>
      </c>
      <c r="F590" s="175" t="s">
        <v>14</v>
      </c>
      <c r="G590" s="175" t="s">
        <v>36</v>
      </c>
      <c r="H590" s="176">
        <v>10.199999999999999</v>
      </c>
      <c r="I590" s="177">
        <v>8.1999999999999993</v>
      </c>
      <c r="J590" s="178">
        <v>30</v>
      </c>
      <c r="K590" s="174">
        <f t="shared" si="284"/>
        <v>2.5091999999999999</v>
      </c>
      <c r="L590" s="118"/>
      <c r="M590" s="178">
        <v>30</v>
      </c>
      <c r="N590" s="117">
        <f t="shared" si="285"/>
        <v>2.5091999999999994</v>
      </c>
      <c r="O590" s="119">
        <f t="shared" si="286"/>
        <v>0</v>
      </c>
      <c r="P590" s="120">
        <f t="shared" si="287"/>
        <v>0</v>
      </c>
      <c r="Q590" s="159"/>
      <c r="R590" s="111"/>
      <c r="S590" s="111"/>
    </row>
    <row r="591" spans="1:19">
      <c r="A591" s="110" t="s">
        <v>667</v>
      </c>
      <c r="B591" s="111" t="s">
        <v>505</v>
      </c>
      <c r="C591" s="112" t="s">
        <v>449</v>
      </c>
      <c r="D591" s="112"/>
      <c r="E591" s="113" t="s">
        <v>24</v>
      </c>
      <c r="F591" s="175" t="s">
        <v>14</v>
      </c>
      <c r="G591" s="175" t="s">
        <v>36</v>
      </c>
      <c r="H591" s="176">
        <v>10.199999999999999</v>
      </c>
      <c r="I591" s="177">
        <v>8.1999999999999993</v>
      </c>
      <c r="J591" s="178">
        <v>27</v>
      </c>
      <c r="K591" s="174">
        <f t="shared" si="284"/>
        <v>2.2582799999999996</v>
      </c>
      <c r="L591" s="118"/>
      <c r="M591" s="178">
        <v>27</v>
      </c>
      <c r="N591" s="117">
        <f t="shared" si="285"/>
        <v>2.2582799999999996</v>
      </c>
      <c r="O591" s="119">
        <f t="shared" si="286"/>
        <v>0</v>
      </c>
      <c r="P591" s="120">
        <f t="shared" si="287"/>
        <v>0</v>
      </c>
      <c r="Q591" s="159"/>
      <c r="R591" s="111"/>
      <c r="S591" s="111"/>
    </row>
    <row r="592" spans="1:19">
      <c r="A592" s="110" t="s">
        <v>667</v>
      </c>
      <c r="B592" s="111" t="s">
        <v>505</v>
      </c>
      <c r="C592" s="112" t="s">
        <v>449</v>
      </c>
      <c r="D592" s="112"/>
      <c r="E592" s="113" t="s">
        <v>24</v>
      </c>
      <c r="F592" s="175" t="s">
        <v>14</v>
      </c>
      <c r="G592" s="175" t="s">
        <v>36</v>
      </c>
      <c r="H592" s="176">
        <v>10.199999999999999</v>
      </c>
      <c r="I592" s="177">
        <v>10</v>
      </c>
      <c r="J592" s="178">
        <v>30</v>
      </c>
      <c r="K592" s="174">
        <f t="shared" si="284"/>
        <v>3.06</v>
      </c>
      <c r="L592" s="118"/>
      <c r="M592" s="178">
        <v>30</v>
      </c>
      <c r="N592" s="117">
        <f t="shared" si="285"/>
        <v>3.06</v>
      </c>
      <c r="O592" s="119">
        <f t="shared" si="286"/>
        <v>0</v>
      </c>
      <c r="P592" s="120">
        <f t="shared" si="287"/>
        <v>0</v>
      </c>
      <c r="Q592" s="159"/>
      <c r="R592" s="111"/>
      <c r="S592" s="111"/>
    </row>
    <row r="593" spans="1:19">
      <c r="A593" s="110" t="s">
        <v>667</v>
      </c>
      <c r="B593" s="111" t="s">
        <v>505</v>
      </c>
      <c r="C593" s="112" t="s">
        <v>449</v>
      </c>
      <c r="D593" s="112"/>
      <c r="E593" s="113" t="s">
        <v>24</v>
      </c>
      <c r="F593" s="175" t="s">
        <v>14</v>
      </c>
      <c r="G593" s="175" t="s">
        <v>36</v>
      </c>
      <c r="H593" s="176">
        <v>10.199999999999999</v>
      </c>
      <c r="I593" s="177">
        <v>11.5</v>
      </c>
      <c r="J593" s="178">
        <v>35</v>
      </c>
      <c r="K593" s="174">
        <f t="shared" si="284"/>
        <v>4.1055000000000001</v>
      </c>
      <c r="L593" s="118"/>
      <c r="M593" s="178">
        <v>35</v>
      </c>
      <c r="N593" s="117">
        <f t="shared" si="285"/>
        <v>4.1055000000000001</v>
      </c>
      <c r="O593" s="119">
        <f t="shared" si="286"/>
        <v>0</v>
      </c>
      <c r="P593" s="120">
        <f t="shared" si="287"/>
        <v>0</v>
      </c>
      <c r="Q593" s="159"/>
      <c r="R593" s="111"/>
      <c r="S593" s="111"/>
    </row>
    <row r="594" spans="1:19">
      <c r="A594" s="110" t="s">
        <v>667</v>
      </c>
      <c r="B594" s="111" t="s">
        <v>505</v>
      </c>
      <c r="C594" s="112" t="s">
        <v>449</v>
      </c>
      <c r="D594" s="112"/>
      <c r="E594" s="113" t="s">
        <v>24</v>
      </c>
      <c r="F594" s="175" t="s">
        <v>14</v>
      </c>
      <c r="G594" s="175" t="s">
        <v>36</v>
      </c>
      <c r="H594" s="176">
        <v>10.199999999999999</v>
      </c>
      <c r="I594" s="177">
        <v>12</v>
      </c>
      <c r="J594" s="178">
        <v>2</v>
      </c>
      <c r="K594" s="174">
        <f t="shared" si="284"/>
        <v>0.24479999999999999</v>
      </c>
      <c r="L594" s="118"/>
      <c r="M594" s="178">
        <v>2</v>
      </c>
      <c r="N594" s="117">
        <f t="shared" si="285"/>
        <v>0.24479999999999999</v>
      </c>
      <c r="O594" s="119">
        <f t="shared" si="286"/>
        <v>0</v>
      </c>
      <c r="P594" s="120">
        <f t="shared" si="287"/>
        <v>0</v>
      </c>
      <c r="Q594" s="159">
        <v>11.5</v>
      </c>
      <c r="R594" s="111">
        <v>2</v>
      </c>
      <c r="S594" s="111"/>
    </row>
    <row r="595" spans="1:19">
      <c r="A595" s="110" t="s">
        <v>667</v>
      </c>
      <c r="B595" s="111" t="s">
        <v>505</v>
      </c>
      <c r="C595" s="112" t="s">
        <v>449</v>
      </c>
      <c r="D595" s="112"/>
      <c r="E595" s="113" t="s">
        <v>24</v>
      </c>
      <c r="F595" s="175" t="s">
        <v>14</v>
      </c>
      <c r="G595" s="175" t="s">
        <v>36</v>
      </c>
      <c r="H595" s="176">
        <v>10.199999999999999</v>
      </c>
      <c r="I595" s="177">
        <v>11.2</v>
      </c>
      <c r="J595" s="178">
        <v>1</v>
      </c>
      <c r="K595" s="174">
        <f t="shared" si="284"/>
        <v>0.11423999999999998</v>
      </c>
      <c r="L595" s="118"/>
      <c r="M595" s="178"/>
      <c r="N595" s="117">
        <f t="shared" si="285"/>
        <v>0</v>
      </c>
      <c r="O595" s="119">
        <f t="shared" si="286"/>
        <v>1</v>
      </c>
      <c r="P595" s="120">
        <f t="shared" si="287"/>
        <v>0.11423999999999998</v>
      </c>
      <c r="Q595" s="159"/>
      <c r="R595" s="111"/>
      <c r="S595" s="111"/>
    </row>
    <row r="596" spans="1:19">
      <c r="A596" s="110" t="s">
        <v>667</v>
      </c>
      <c r="B596" s="111" t="s">
        <v>505</v>
      </c>
      <c r="C596" s="112" t="s">
        <v>449</v>
      </c>
      <c r="D596" s="112"/>
      <c r="E596" s="113" t="s">
        <v>24</v>
      </c>
      <c r="F596" s="175" t="s">
        <v>14</v>
      </c>
      <c r="G596" s="175" t="s">
        <v>36</v>
      </c>
      <c r="H596" s="176">
        <v>10.199999999999999</v>
      </c>
      <c r="I596" s="177">
        <v>11</v>
      </c>
      <c r="J596" s="178">
        <v>4</v>
      </c>
      <c r="K596" s="174">
        <f t="shared" si="284"/>
        <v>0.44879999999999998</v>
      </c>
      <c r="L596" s="118"/>
      <c r="M596" s="178"/>
      <c r="N596" s="117">
        <f t="shared" si="285"/>
        <v>0</v>
      </c>
      <c r="O596" s="119">
        <f t="shared" si="286"/>
        <v>4</v>
      </c>
      <c r="P596" s="120">
        <f t="shared" si="287"/>
        <v>0.44879999999999998</v>
      </c>
      <c r="Q596" s="159"/>
      <c r="R596" s="111"/>
      <c r="S596" s="111"/>
    </row>
    <row r="597" spans="1:19">
      <c r="A597" s="110" t="s">
        <v>667</v>
      </c>
      <c r="B597" s="111" t="s">
        <v>505</v>
      </c>
      <c r="C597" s="112" t="s">
        <v>449</v>
      </c>
      <c r="D597" s="112"/>
      <c r="E597" s="113" t="s">
        <v>24</v>
      </c>
      <c r="F597" s="175" t="s">
        <v>14</v>
      </c>
      <c r="G597" s="175" t="s">
        <v>36</v>
      </c>
      <c r="H597" s="176">
        <v>10.199999999999999</v>
      </c>
      <c r="I597" s="177">
        <v>9.8000000000000007</v>
      </c>
      <c r="J597" s="178">
        <v>1</v>
      </c>
      <c r="K597" s="174">
        <f t="shared" si="284"/>
        <v>9.9959999999999993E-2</v>
      </c>
      <c r="L597" s="118"/>
      <c r="M597" s="178"/>
      <c r="N597" s="117">
        <f t="shared" si="285"/>
        <v>0</v>
      </c>
      <c r="O597" s="119">
        <f t="shared" si="286"/>
        <v>1</v>
      </c>
      <c r="P597" s="120">
        <f t="shared" si="287"/>
        <v>9.9959999999999993E-2</v>
      </c>
      <c r="Q597" s="159"/>
      <c r="R597" s="111"/>
      <c r="S597" s="111"/>
    </row>
    <row r="598" spans="1:19">
      <c r="A598" s="110" t="s">
        <v>667</v>
      </c>
      <c r="B598" s="111" t="s">
        <v>505</v>
      </c>
      <c r="C598" s="112" t="s">
        <v>449</v>
      </c>
      <c r="D598" s="112"/>
      <c r="E598" s="113" t="s">
        <v>24</v>
      </c>
      <c r="F598" s="175" t="s">
        <v>14</v>
      </c>
      <c r="G598" s="175" t="s">
        <v>36</v>
      </c>
      <c r="H598" s="176">
        <v>10.199999999999999</v>
      </c>
      <c r="I598" s="177">
        <v>9.6999999999999993</v>
      </c>
      <c r="J598" s="178">
        <v>1</v>
      </c>
      <c r="K598" s="174">
        <f t="shared" si="284"/>
        <v>9.8939999999999986E-2</v>
      </c>
      <c r="L598" s="118"/>
      <c r="M598" s="178">
        <v>1</v>
      </c>
      <c r="N598" s="117">
        <f t="shared" si="285"/>
        <v>9.8939999999999986E-2</v>
      </c>
      <c r="O598" s="119">
        <f t="shared" si="286"/>
        <v>0</v>
      </c>
      <c r="P598" s="120">
        <f t="shared" si="287"/>
        <v>0</v>
      </c>
      <c r="Q598" s="159">
        <v>8.1999999999999993</v>
      </c>
      <c r="R598" s="111">
        <v>1</v>
      </c>
      <c r="S598" s="111"/>
    </row>
    <row r="599" spans="1:19">
      <c r="A599" s="110" t="s">
        <v>667</v>
      </c>
      <c r="B599" s="111" t="s">
        <v>505</v>
      </c>
      <c r="C599" s="112" t="s">
        <v>449</v>
      </c>
      <c r="D599" s="112"/>
      <c r="E599" s="113" t="s">
        <v>24</v>
      </c>
      <c r="F599" s="175" t="s">
        <v>14</v>
      </c>
      <c r="G599" s="175" t="s">
        <v>36</v>
      </c>
      <c r="H599" s="176">
        <v>10.199999999999999</v>
      </c>
      <c r="I599" s="177">
        <v>7</v>
      </c>
      <c r="J599" s="178">
        <v>1</v>
      </c>
      <c r="K599" s="174">
        <f t="shared" si="284"/>
        <v>7.1399999999999991E-2</v>
      </c>
      <c r="L599" s="118"/>
      <c r="M599" s="178"/>
      <c r="N599" s="117">
        <f t="shared" si="285"/>
        <v>0</v>
      </c>
      <c r="O599" s="119">
        <f t="shared" si="286"/>
        <v>1</v>
      </c>
      <c r="P599" s="120">
        <f t="shared" si="287"/>
        <v>7.1399999999999991E-2</v>
      </c>
      <c r="Q599" s="159"/>
      <c r="R599" s="111"/>
      <c r="S599" s="111"/>
    </row>
    <row r="600" spans="1:19">
      <c r="A600" s="110" t="s">
        <v>667</v>
      </c>
      <c r="B600" s="111" t="s">
        <v>505</v>
      </c>
      <c r="C600" s="112" t="s">
        <v>449</v>
      </c>
      <c r="D600" s="112"/>
      <c r="E600" s="113" t="s">
        <v>24</v>
      </c>
      <c r="F600" s="175" t="s">
        <v>14</v>
      </c>
      <c r="G600" s="175" t="s">
        <v>36</v>
      </c>
      <c r="H600" s="176">
        <v>10.199999999999999</v>
      </c>
      <c r="I600" s="177">
        <v>10</v>
      </c>
      <c r="J600" s="178">
        <v>1</v>
      </c>
      <c r="K600" s="174">
        <f t="shared" si="284"/>
        <v>0.10199999999999999</v>
      </c>
      <c r="L600" s="118"/>
      <c r="M600" s="178"/>
      <c r="N600" s="117">
        <f t="shared" si="285"/>
        <v>0</v>
      </c>
      <c r="O600" s="119">
        <f t="shared" si="286"/>
        <v>1</v>
      </c>
      <c r="P600" s="120">
        <f t="shared" si="287"/>
        <v>0.10199999999999999</v>
      </c>
      <c r="Q600" s="159"/>
      <c r="R600" s="111"/>
      <c r="S600" s="111"/>
    </row>
    <row r="601" spans="1:19">
      <c r="A601" s="110" t="s">
        <v>667</v>
      </c>
      <c r="B601" s="111" t="s">
        <v>505</v>
      </c>
      <c r="C601" s="112" t="s">
        <v>449</v>
      </c>
      <c r="D601" s="112"/>
      <c r="E601" s="113" t="s">
        <v>24</v>
      </c>
      <c r="F601" s="175" t="s">
        <v>14</v>
      </c>
      <c r="G601" s="175" t="s">
        <v>36</v>
      </c>
      <c r="H601" s="176">
        <v>10.199999999999999</v>
      </c>
      <c r="I601" s="177">
        <v>11.5</v>
      </c>
      <c r="J601" s="178">
        <v>30</v>
      </c>
      <c r="K601" s="174">
        <f t="shared" si="284"/>
        <v>3.5190000000000001</v>
      </c>
      <c r="L601" s="118"/>
      <c r="M601" s="178">
        <v>30</v>
      </c>
      <c r="N601" s="117">
        <f t="shared" si="285"/>
        <v>3.5189999999999997</v>
      </c>
      <c r="O601" s="119">
        <f t="shared" si="286"/>
        <v>0</v>
      </c>
      <c r="P601" s="120">
        <f t="shared" si="287"/>
        <v>0</v>
      </c>
      <c r="Q601" s="159"/>
      <c r="R601" s="111"/>
      <c r="S601" s="111"/>
    </row>
    <row r="602" spans="1:19">
      <c r="A602" s="110" t="s">
        <v>667</v>
      </c>
      <c r="B602" s="111" t="s">
        <v>505</v>
      </c>
      <c r="C602" s="112" t="s">
        <v>449</v>
      </c>
      <c r="D602" s="112"/>
      <c r="E602" s="113" t="s">
        <v>24</v>
      </c>
      <c r="F602" s="175" t="s">
        <v>14</v>
      </c>
      <c r="G602" s="175" t="s">
        <v>36</v>
      </c>
      <c r="H602" s="176">
        <v>10.199999999999999</v>
      </c>
      <c r="I602" s="177">
        <v>11.5</v>
      </c>
      <c r="J602" s="178">
        <v>30</v>
      </c>
      <c r="K602" s="174">
        <f t="shared" si="284"/>
        <v>3.5190000000000001</v>
      </c>
      <c r="L602" s="118"/>
      <c r="M602" s="178">
        <v>30</v>
      </c>
      <c r="N602" s="117">
        <f t="shared" si="285"/>
        <v>3.5189999999999997</v>
      </c>
      <c r="O602" s="119">
        <f t="shared" si="286"/>
        <v>0</v>
      </c>
      <c r="P602" s="120">
        <f t="shared" si="287"/>
        <v>0</v>
      </c>
      <c r="Q602" s="159"/>
      <c r="R602" s="111"/>
      <c r="S602" s="111"/>
    </row>
    <row r="603" spans="1:19">
      <c r="A603" s="110" t="s">
        <v>667</v>
      </c>
      <c r="B603" s="111" t="s">
        <v>505</v>
      </c>
      <c r="C603" s="112" t="s">
        <v>449</v>
      </c>
      <c r="D603" s="112"/>
      <c r="E603" s="113" t="s">
        <v>24</v>
      </c>
      <c r="F603" s="175" t="s">
        <v>14</v>
      </c>
      <c r="G603" s="175" t="s">
        <v>36</v>
      </c>
      <c r="H603" s="176">
        <v>10.199999999999999</v>
      </c>
      <c r="I603" s="177">
        <v>11.5</v>
      </c>
      <c r="J603" s="178">
        <v>30</v>
      </c>
      <c r="K603" s="174">
        <f t="shared" ref="K603:K619" si="288">(H603*I603*J603/1000)</f>
        <v>3.5190000000000001</v>
      </c>
      <c r="L603" s="118"/>
      <c r="M603" s="178">
        <v>30</v>
      </c>
      <c r="N603" s="117">
        <f t="shared" ref="N603:N619" si="289">I603*M603*H603/1000</f>
        <v>3.5189999999999997</v>
      </c>
      <c r="O603" s="119">
        <f t="shared" ref="O603:O619" si="290">J603-M603</f>
        <v>0</v>
      </c>
      <c r="P603" s="120">
        <f t="shared" ref="P603:P619" si="291">I603*O603*H603/1000</f>
        <v>0</v>
      </c>
      <c r="Q603" s="159"/>
      <c r="R603" s="111"/>
      <c r="S603" s="111"/>
    </row>
    <row r="604" spans="1:19">
      <c r="A604" s="110" t="s">
        <v>667</v>
      </c>
      <c r="B604" s="111" t="s">
        <v>505</v>
      </c>
      <c r="C604" s="112" t="s">
        <v>449</v>
      </c>
      <c r="D604" s="112"/>
      <c r="E604" s="113" t="s">
        <v>24</v>
      </c>
      <c r="F604" s="175" t="s">
        <v>14</v>
      </c>
      <c r="G604" s="175" t="s">
        <v>36</v>
      </c>
      <c r="H604" s="176">
        <v>10.199999999999999</v>
      </c>
      <c r="I604" s="177">
        <v>11.5</v>
      </c>
      <c r="J604" s="178">
        <v>30</v>
      </c>
      <c r="K604" s="174">
        <f t="shared" si="288"/>
        <v>3.5190000000000001</v>
      </c>
      <c r="L604" s="118"/>
      <c r="M604" s="178">
        <f>30+10</f>
        <v>40</v>
      </c>
      <c r="N604" s="117">
        <f t="shared" si="289"/>
        <v>4.6920000000000002</v>
      </c>
      <c r="O604" s="180">
        <f t="shared" si="290"/>
        <v>-10</v>
      </c>
      <c r="P604" s="181">
        <f t="shared" si="291"/>
        <v>-1.173</v>
      </c>
      <c r="Q604" s="159" t="s">
        <v>281</v>
      </c>
      <c r="R604" s="111"/>
      <c r="S604" s="111"/>
    </row>
    <row r="605" spans="1:19">
      <c r="A605" s="110" t="s">
        <v>667</v>
      </c>
      <c r="B605" s="111" t="s">
        <v>505</v>
      </c>
      <c r="C605" s="112" t="s">
        <v>449</v>
      </c>
      <c r="D605" s="112"/>
      <c r="E605" s="113" t="s">
        <v>24</v>
      </c>
      <c r="F605" s="175" t="s">
        <v>14</v>
      </c>
      <c r="G605" s="175" t="s">
        <v>36</v>
      </c>
      <c r="H605" s="176">
        <v>10.199999999999999</v>
      </c>
      <c r="I605" s="177">
        <v>7.35</v>
      </c>
      <c r="J605" s="178">
        <v>41</v>
      </c>
      <c r="K605" s="174">
        <f t="shared" si="288"/>
        <v>3.0737699999999997</v>
      </c>
      <c r="L605" s="118"/>
      <c r="M605" s="178">
        <v>41</v>
      </c>
      <c r="N605" s="117">
        <f t="shared" si="289"/>
        <v>3.0737699999999997</v>
      </c>
      <c r="O605" s="119">
        <f t="shared" si="290"/>
        <v>0</v>
      </c>
      <c r="P605" s="120">
        <f t="shared" si="291"/>
        <v>0</v>
      </c>
      <c r="Q605" s="159"/>
      <c r="R605" s="111"/>
      <c r="S605" s="111"/>
    </row>
    <row r="606" spans="1:19">
      <c r="A606" s="110" t="s">
        <v>667</v>
      </c>
      <c r="B606" s="111" t="s">
        <v>505</v>
      </c>
      <c r="C606" s="112" t="s">
        <v>449</v>
      </c>
      <c r="D606" s="112"/>
      <c r="E606" s="113" t="s">
        <v>24</v>
      </c>
      <c r="F606" s="175" t="s">
        <v>14</v>
      </c>
      <c r="G606" s="175" t="s">
        <v>36</v>
      </c>
      <c r="H606" s="176">
        <v>10.199999999999999</v>
      </c>
      <c r="I606" s="177">
        <v>7.35</v>
      </c>
      <c r="J606" s="178">
        <v>40</v>
      </c>
      <c r="K606" s="174">
        <f t="shared" si="288"/>
        <v>2.9987999999999992</v>
      </c>
      <c r="L606" s="118"/>
      <c r="M606" s="178">
        <v>40</v>
      </c>
      <c r="N606" s="117">
        <f t="shared" si="289"/>
        <v>2.9987999999999997</v>
      </c>
      <c r="O606" s="119">
        <f t="shared" si="290"/>
        <v>0</v>
      </c>
      <c r="P606" s="120">
        <f t="shared" si="291"/>
        <v>0</v>
      </c>
      <c r="Q606" s="159"/>
      <c r="R606" s="111"/>
      <c r="S606" s="111"/>
    </row>
    <row r="607" spans="1:19">
      <c r="A607" s="110" t="s">
        <v>667</v>
      </c>
      <c r="B607" s="111" t="s">
        <v>505</v>
      </c>
      <c r="C607" s="112" t="s">
        <v>449</v>
      </c>
      <c r="D607" s="112"/>
      <c r="E607" s="113" t="s">
        <v>24</v>
      </c>
      <c r="F607" s="175" t="s">
        <v>14</v>
      </c>
      <c r="G607" s="175" t="s">
        <v>36</v>
      </c>
      <c r="H607" s="176">
        <v>10.199999999999999</v>
      </c>
      <c r="I607" s="177">
        <v>10</v>
      </c>
      <c r="J607" s="178">
        <v>36</v>
      </c>
      <c r="K607" s="174">
        <f t="shared" si="288"/>
        <v>3.6720000000000002</v>
      </c>
      <c r="L607" s="118"/>
      <c r="M607" s="178">
        <f>30+5</f>
        <v>35</v>
      </c>
      <c r="N607" s="117">
        <f t="shared" si="289"/>
        <v>3.5699999999999994</v>
      </c>
      <c r="O607" s="119">
        <f t="shared" si="290"/>
        <v>1</v>
      </c>
      <c r="P607" s="120">
        <f t="shared" si="291"/>
        <v>0.10199999999999999</v>
      </c>
      <c r="Q607" s="159"/>
      <c r="R607" s="111"/>
      <c r="S607" s="111"/>
    </row>
    <row r="608" spans="1:19">
      <c r="A608" s="110" t="s">
        <v>667</v>
      </c>
      <c r="B608" s="111" t="s">
        <v>505</v>
      </c>
      <c r="C608" s="112" t="s">
        <v>449</v>
      </c>
      <c r="D608" s="112"/>
      <c r="E608" s="113" t="s">
        <v>24</v>
      </c>
      <c r="F608" s="175" t="s">
        <v>14</v>
      </c>
      <c r="G608" s="175" t="s">
        <v>36</v>
      </c>
      <c r="H608" s="176">
        <v>10.199999999999999</v>
      </c>
      <c r="I608" s="177">
        <v>8.1999999999999993</v>
      </c>
      <c r="J608" s="178">
        <v>40</v>
      </c>
      <c r="K608" s="174">
        <f t="shared" si="288"/>
        <v>3.3455999999999992</v>
      </c>
      <c r="L608" s="118"/>
      <c r="M608" s="178">
        <v>40</v>
      </c>
      <c r="N608" s="117">
        <f t="shared" si="289"/>
        <v>3.3456000000000001</v>
      </c>
      <c r="O608" s="119">
        <f t="shared" si="290"/>
        <v>0</v>
      </c>
      <c r="P608" s="120">
        <f t="shared" si="291"/>
        <v>0</v>
      </c>
      <c r="Q608" s="159"/>
      <c r="R608" s="111"/>
      <c r="S608" s="111"/>
    </row>
    <row r="609" spans="1:19">
      <c r="A609" s="110" t="s">
        <v>667</v>
      </c>
      <c r="B609" s="111" t="s">
        <v>505</v>
      </c>
      <c r="C609" s="112" t="s">
        <v>449</v>
      </c>
      <c r="D609" s="112"/>
      <c r="E609" s="113" t="s">
        <v>24</v>
      </c>
      <c r="F609" s="175" t="s">
        <v>14</v>
      </c>
      <c r="G609" s="175" t="s">
        <v>36</v>
      </c>
      <c r="H609" s="176">
        <v>10.199999999999999</v>
      </c>
      <c r="I609" s="177">
        <v>10</v>
      </c>
      <c r="J609" s="178">
        <v>11</v>
      </c>
      <c r="K609" s="174">
        <f t="shared" si="288"/>
        <v>1.1220000000000001</v>
      </c>
      <c r="L609" s="118"/>
      <c r="M609" s="178">
        <v>11</v>
      </c>
      <c r="N609" s="117">
        <f t="shared" si="289"/>
        <v>1.1220000000000001</v>
      </c>
      <c r="O609" s="119">
        <f t="shared" si="290"/>
        <v>0</v>
      </c>
      <c r="P609" s="120">
        <f t="shared" si="291"/>
        <v>0</v>
      </c>
      <c r="Q609" s="159"/>
      <c r="R609" s="111"/>
      <c r="S609" s="111"/>
    </row>
    <row r="610" spans="1:19">
      <c r="A610" s="110" t="s">
        <v>667</v>
      </c>
      <c r="B610" s="111" t="s">
        <v>505</v>
      </c>
      <c r="C610" s="112" t="s">
        <v>449</v>
      </c>
      <c r="D610" s="112"/>
      <c r="E610" s="113" t="s">
        <v>24</v>
      </c>
      <c r="F610" s="175" t="s">
        <v>14</v>
      </c>
      <c r="G610" s="175" t="s">
        <v>36</v>
      </c>
      <c r="H610" s="176">
        <v>10.199999999999999</v>
      </c>
      <c r="I610" s="177">
        <v>11.5</v>
      </c>
      <c r="J610" s="178">
        <v>13</v>
      </c>
      <c r="K610" s="174">
        <f t="shared" si="288"/>
        <v>1.5248999999999999</v>
      </c>
      <c r="L610" s="118"/>
      <c r="M610" s="178">
        <v>13</v>
      </c>
      <c r="N610" s="117">
        <f t="shared" si="289"/>
        <v>1.5248999999999999</v>
      </c>
      <c r="O610" s="119">
        <f t="shared" si="290"/>
        <v>0</v>
      </c>
      <c r="P610" s="120">
        <f t="shared" si="291"/>
        <v>0</v>
      </c>
      <c r="Q610" s="159"/>
      <c r="R610" s="111"/>
      <c r="S610" s="111"/>
    </row>
    <row r="611" spans="1:19">
      <c r="A611" s="110" t="s">
        <v>667</v>
      </c>
      <c r="B611" s="111" t="s">
        <v>505</v>
      </c>
      <c r="C611" s="112" t="s">
        <v>449</v>
      </c>
      <c r="D611" s="112"/>
      <c r="E611" s="113" t="s">
        <v>24</v>
      </c>
      <c r="F611" s="175" t="s">
        <v>14</v>
      </c>
      <c r="G611" s="175" t="s">
        <v>36</v>
      </c>
      <c r="H611" s="176">
        <v>10.199999999999999</v>
      </c>
      <c r="I611" s="177">
        <v>8.1999999999999993</v>
      </c>
      <c r="J611" s="178">
        <v>35</v>
      </c>
      <c r="K611" s="174">
        <f t="shared" si="288"/>
        <v>2.9273999999999996</v>
      </c>
      <c r="L611" s="118"/>
      <c r="M611" s="178">
        <v>35</v>
      </c>
      <c r="N611" s="117">
        <f t="shared" si="289"/>
        <v>2.9273999999999996</v>
      </c>
      <c r="O611" s="119">
        <f t="shared" si="290"/>
        <v>0</v>
      </c>
      <c r="P611" s="120">
        <f t="shared" si="291"/>
        <v>0</v>
      </c>
      <c r="Q611" s="159"/>
      <c r="R611" s="111"/>
      <c r="S611" s="111"/>
    </row>
    <row r="612" spans="1:19">
      <c r="A612" s="110" t="s">
        <v>667</v>
      </c>
      <c r="B612" s="111" t="s">
        <v>505</v>
      </c>
      <c r="C612" s="112" t="s">
        <v>449</v>
      </c>
      <c r="D612" s="112"/>
      <c r="E612" s="113" t="s">
        <v>24</v>
      </c>
      <c r="F612" s="175" t="s">
        <v>14</v>
      </c>
      <c r="G612" s="175" t="s">
        <v>36</v>
      </c>
      <c r="H612" s="176">
        <v>10.199999999999999</v>
      </c>
      <c r="I612" s="177">
        <v>8.1999999999999993</v>
      </c>
      <c r="J612" s="178">
        <v>6</v>
      </c>
      <c r="K612" s="174">
        <f t="shared" si="288"/>
        <v>0.50183999999999995</v>
      </c>
      <c r="L612" s="118"/>
      <c r="M612" s="178">
        <v>6</v>
      </c>
      <c r="N612" s="117">
        <f t="shared" si="289"/>
        <v>0.50183999999999995</v>
      </c>
      <c r="O612" s="119">
        <f t="shared" si="290"/>
        <v>0</v>
      </c>
      <c r="P612" s="120">
        <f t="shared" si="291"/>
        <v>0</v>
      </c>
      <c r="Q612" s="159"/>
      <c r="R612" s="111"/>
      <c r="S612" s="111"/>
    </row>
    <row r="613" spans="1:19">
      <c r="A613" s="110" t="s">
        <v>667</v>
      </c>
      <c r="B613" s="111" t="s">
        <v>505</v>
      </c>
      <c r="C613" s="112" t="s">
        <v>449</v>
      </c>
      <c r="D613" s="112"/>
      <c r="E613" s="113" t="s">
        <v>24</v>
      </c>
      <c r="F613" s="175" t="s">
        <v>14</v>
      </c>
      <c r="G613" s="175" t="s">
        <v>36</v>
      </c>
      <c r="H613" s="176">
        <v>10.199999999999999</v>
      </c>
      <c r="I613" s="177">
        <v>7.35</v>
      </c>
      <c r="J613" s="178">
        <v>37</v>
      </c>
      <c r="K613" s="174">
        <f t="shared" si="288"/>
        <v>2.7738899999999993</v>
      </c>
      <c r="L613" s="118"/>
      <c r="M613" s="178">
        <v>34</v>
      </c>
      <c r="N613" s="117">
        <f t="shared" si="289"/>
        <v>2.5489799999999994</v>
      </c>
      <c r="O613" s="119">
        <f t="shared" si="290"/>
        <v>3</v>
      </c>
      <c r="P613" s="120">
        <f t="shared" si="291"/>
        <v>0.22490999999999997</v>
      </c>
      <c r="Q613" s="159"/>
      <c r="R613" s="111"/>
      <c r="S613" s="111"/>
    </row>
    <row r="614" spans="1:19">
      <c r="A614" s="110" t="s">
        <v>667</v>
      </c>
      <c r="B614" s="111" t="s">
        <v>505</v>
      </c>
      <c r="C614" s="112" t="s">
        <v>449</v>
      </c>
      <c r="D614" s="112"/>
      <c r="E614" s="113" t="s">
        <v>24</v>
      </c>
      <c r="F614" s="175" t="s">
        <v>14</v>
      </c>
      <c r="G614" s="175" t="s">
        <v>36</v>
      </c>
      <c r="H614" s="176">
        <v>10.199999999999999</v>
      </c>
      <c r="I614" s="177">
        <v>8.1999999999999993</v>
      </c>
      <c r="J614" s="178">
        <v>1</v>
      </c>
      <c r="K614" s="174">
        <f t="shared" si="288"/>
        <v>8.3639999999999992E-2</v>
      </c>
      <c r="L614" s="118"/>
      <c r="M614" s="178">
        <v>1</v>
      </c>
      <c r="N614" s="117">
        <f t="shared" si="289"/>
        <v>8.3639999999999992E-2</v>
      </c>
      <c r="O614" s="119">
        <f t="shared" si="290"/>
        <v>0</v>
      </c>
      <c r="P614" s="120">
        <f t="shared" si="291"/>
        <v>0</v>
      </c>
      <c r="Q614" s="159"/>
      <c r="R614" s="111"/>
      <c r="S614" s="111"/>
    </row>
    <row r="615" spans="1:19">
      <c r="A615" s="110" t="s">
        <v>667</v>
      </c>
      <c r="B615" s="111" t="s">
        <v>505</v>
      </c>
      <c r="C615" s="112" t="s">
        <v>449</v>
      </c>
      <c r="D615" s="112"/>
      <c r="E615" s="113" t="s">
        <v>24</v>
      </c>
      <c r="F615" s="175" t="s">
        <v>14</v>
      </c>
      <c r="G615" s="175" t="s">
        <v>36</v>
      </c>
      <c r="H615" s="176">
        <v>10.199999999999999</v>
      </c>
      <c r="I615" s="177">
        <v>7.35</v>
      </c>
      <c r="J615" s="178">
        <v>1</v>
      </c>
      <c r="K615" s="174">
        <f t="shared" si="288"/>
        <v>7.4969999999999981E-2</v>
      </c>
      <c r="L615" s="118"/>
      <c r="M615" s="178"/>
      <c r="N615" s="117">
        <f t="shared" si="289"/>
        <v>0</v>
      </c>
      <c r="O615" s="119">
        <f t="shared" si="290"/>
        <v>1</v>
      </c>
      <c r="P615" s="120">
        <f t="shared" si="291"/>
        <v>7.4969999999999981E-2</v>
      </c>
      <c r="Q615" s="159"/>
      <c r="R615" s="111"/>
      <c r="S615" s="111"/>
    </row>
    <row r="616" spans="1:19">
      <c r="A616" s="110" t="s">
        <v>667</v>
      </c>
      <c r="B616" s="111" t="s">
        <v>505</v>
      </c>
      <c r="C616" s="112" t="s">
        <v>449</v>
      </c>
      <c r="D616" s="112"/>
      <c r="E616" s="113" t="s">
        <v>24</v>
      </c>
      <c r="F616" s="175" t="s">
        <v>14</v>
      </c>
      <c r="G616" s="175" t="s">
        <v>36</v>
      </c>
      <c r="H616" s="176">
        <v>10.199999999999999</v>
      </c>
      <c r="I616" s="177">
        <v>7.8</v>
      </c>
      <c r="J616" s="178">
        <v>1</v>
      </c>
      <c r="K616" s="174">
        <f t="shared" si="288"/>
        <v>7.9559999999999992E-2</v>
      </c>
      <c r="L616" s="118"/>
      <c r="M616" s="178"/>
      <c r="N616" s="117">
        <f t="shared" si="289"/>
        <v>0</v>
      </c>
      <c r="O616" s="119">
        <f t="shared" si="290"/>
        <v>1</v>
      </c>
      <c r="P616" s="120">
        <f t="shared" si="291"/>
        <v>7.9559999999999992E-2</v>
      </c>
      <c r="Q616" s="159"/>
      <c r="R616" s="111"/>
      <c r="S616" s="111"/>
    </row>
    <row r="617" spans="1:19">
      <c r="A617" s="110" t="s">
        <v>667</v>
      </c>
      <c r="B617" s="111" t="s">
        <v>505</v>
      </c>
      <c r="C617" s="112" t="s">
        <v>449</v>
      </c>
      <c r="D617" s="112"/>
      <c r="E617" s="113" t="s">
        <v>24</v>
      </c>
      <c r="F617" s="175" t="s">
        <v>14</v>
      </c>
      <c r="G617" s="175" t="s">
        <v>36</v>
      </c>
      <c r="H617" s="176">
        <v>10.199999999999999</v>
      </c>
      <c r="I617" s="177">
        <v>11</v>
      </c>
      <c r="J617" s="178">
        <v>3</v>
      </c>
      <c r="K617" s="174">
        <f t="shared" si="288"/>
        <v>0.33659999999999995</v>
      </c>
      <c r="L617" s="118"/>
      <c r="M617" s="178"/>
      <c r="N617" s="117">
        <f t="shared" si="289"/>
        <v>0</v>
      </c>
      <c r="O617" s="119">
        <f t="shared" si="290"/>
        <v>3</v>
      </c>
      <c r="P617" s="120">
        <f t="shared" si="291"/>
        <v>0.33659999999999995</v>
      </c>
      <c r="Q617" s="159"/>
      <c r="R617" s="111"/>
      <c r="S617" s="111"/>
    </row>
    <row r="618" spans="1:19">
      <c r="A618" s="110" t="s">
        <v>667</v>
      </c>
      <c r="B618" s="111" t="s">
        <v>505</v>
      </c>
      <c r="C618" s="112" t="s">
        <v>449</v>
      </c>
      <c r="D618" s="112"/>
      <c r="E618" s="113" t="s">
        <v>24</v>
      </c>
      <c r="F618" s="175" t="s">
        <v>14</v>
      </c>
      <c r="G618" s="175" t="s">
        <v>36</v>
      </c>
      <c r="H618" s="176">
        <v>10.199999999999999</v>
      </c>
      <c r="I618" s="177">
        <v>11.25</v>
      </c>
      <c r="J618" s="178">
        <v>5</v>
      </c>
      <c r="K618" s="174">
        <f t="shared" si="288"/>
        <v>0.57374999999999987</v>
      </c>
      <c r="L618" s="118"/>
      <c r="M618" s="178"/>
      <c r="N618" s="117">
        <f t="shared" si="289"/>
        <v>0</v>
      </c>
      <c r="O618" s="119">
        <f t="shared" si="290"/>
        <v>5</v>
      </c>
      <c r="P618" s="120">
        <f t="shared" si="291"/>
        <v>0.57374999999999998</v>
      </c>
      <c r="Q618" s="159"/>
      <c r="R618" s="111"/>
      <c r="S618" s="111"/>
    </row>
    <row r="619" spans="1:19">
      <c r="A619" s="110" t="s">
        <v>667</v>
      </c>
      <c r="B619" s="111" t="s">
        <v>505</v>
      </c>
      <c r="C619" s="112" t="s">
        <v>449</v>
      </c>
      <c r="D619" s="112"/>
      <c r="E619" s="113" t="s">
        <v>24</v>
      </c>
      <c r="F619" s="175" t="s">
        <v>14</v>
      </c>
      <c r="G619" s="175" t="s">
        <v>36</v>
      </c>
      <c r="H619" s="176">
        <v>10.199999999999999</v>
      </c>
      <c r="I619" s="177">
        <v>9.6</v>
      </c>
      <c r="J619" s="178">
        <v>1</v>
      </c>
      <c r="K619" s="174">
        <f t="shared" si="288"/>
        <v>9.7919999999999993E-2</v>
      </c>
      <c r="L619" s="118"/>
      <c r="M619" s="178"/>
      <c r="N619" s="117">
        <f t="shared" si="289"/>
        <v>0</v>
      </c>
      <c r="O619" s="119">
        <f t="shared" si="290"/>
        <v>1</v>
      </c>
      <c r="P619" s="120">
        <f t="shared" si="291"/>
        <v>9.7919999999999993E-2</v>
      </c>
      <c r="Q619" s="159"/>
      <c r="R619" s="111"/>
      <c r="S619" s="111"/>
    </row>
    <row r="620" spans="1:19">
      <c r="A620" s="110" t="s">
        <v>667</v>
      </c>
      <c r="B620" s="111" t="s">
        <v>505</v>
      </c>
      <c r="C620" s="112" t="s">
        <v>449</v>
      </c>
      <c r="D620" s="112"/>
      <c r="E620" s="113" t="s">
        <v>24</v>
      </c>
      <c r="F620" s="175" t="s">
        <v>14</v>
      </c>
      <c r="G620" s="175" t="s">
        <v>36</v>
      </c>
      <c r="H620" s="176">
        <v>10.199999999999999</v>
      </c>
      <c r="I620" s="177">
        <v>11.5</v>
      </c>
      <c r="J620" s="178">
        <v>30</v>
      </c>
      <c r="K620" s="174">
        <f t="shared" ref="K620:K624" si="292">(H620*I620*J620/1000)</f>
        <v>3.5190000000000001</v>
      </c>
      <c r="L620" s="118"/>
      <c r="M620" s="178">
        <v>30</v>
      </c>
      <c r="N620" s="117">
        <f t="shared" ref="N620:N624" si="293">I620*M620*H620/1000</f>
        <v>3.5189999999999997</v>
      </c>
      <c r="O620" s="119">
        <f t="shared" ref="O620:O624" si="294">J620-M620</f>
        <v>0</v>
      </c>
      <c r="P620" s="120">
        <f t="shared" ref="P620:P624" si="295">I620*O620*H620/1000</f>
        <v>0</v>
      </c>
      <c r="Q620" s="159"/>
      <c r="R620" s="111"/>
      <c r="S620" s="111"/>
    </row>
    <row r="621" spans="1:19">
      <c r="A621" s="110" t="s">
        <v>667</v>
      </c>
      <c r="B621" s="111" t="s">
        <v>505</v>
      </c>
      <c r="C621" s="112" t="s">
        <v>449</v>
      </c>
      <c r="D621" s="112"/>
      <c r="E621" s="113" t="s">
        <v>24</v>
      </c>
      <c r="F621" s="175" t="s">
        <v>14</v>
      </c>
      <c r="G621" s="175" t="s">
        <v>36</v>
      </c>
      <c r="H621" s="176">
        <v>10.199999999999999</v>
      </c>
      <c r="I621" s="177">
        <v>11.5</v>
      </c>
      <c r="J621" s="178">
        <v>30</v>
      </c>
      <c r="K621" s="174">
        <f t="shared" si="292"/>
        <v>3.5190000000000001</v>
      </c>
      <c r="L621" s="118"/>
      <c r="M621" s="178">
        <v>30</v>
      </c>
      <c r="N621" s="117">
        <f t="shared" si="293"/>
        <v>3.5189999999999997</v>
      </c>
      <c r="O621" s="119">
        <f t="shared" si="294"/>
        <v>0</v>
      </c>
      <c r="P621" s="120">
        <f t="shared" si="295"/>
        <v>0</v>
      </c>
      <c r="Q621" s="159"/>
      <c r="R621" s="111"/>
      <c r="S621" s="111"/>
    </row>
    <row r="622" spans="1:19">
      <c r="A622" s="110" t="s">
        <v>667</v>
      </c>
      <c r="B622" s="111" t="s">
        <v>505</v>
      </c>
      <c r="C622" s="112" t="s">
        <v>449</v>
      </c>
      <c r="D622" s="112"/>
      <c r="E622" s="113" t="s">
        <v>24</v>
      </c>
      <c r="F622" s="175" t="s">
        <v>14</v>
      </c>
      <c r="G622" s="175" t="s">
        <v>36</v>
      </c>
      <c r="H622" s="176">
        <v>10.199999999999999</v>
      </c>
      <c r="I622" s="177">
        <v>11.5</v>
      </c>
      <c r="J622" s="178">
        <v>30</v>
      </c>
      <c r="K622" s="174">
        <f t="shared" si="292"/>
        <v>3.5190000000000001</v>
      </c>
      <c r="L622" s="118"/>
      <c r="M622" s="178">
        <v>30</v>
      </c>
      <c r="N622" s="117">
        <f t="shared" si="293"/>
        <v>3.5189999999999997</v>
      </c>
      <c r="O622" s="119">
        <f t="shared" si="294"/>
        <v>0</v>
      </c>
      <c r="P622" s="120">
        <f t="shared" si="295"/>
        <v>0</v>
      </c>
      <c r="Q622" s="159"/>
      <c r="R622" s="111"/>
      <c r="S622" s="111"/>
    </row>
    <row r="623" spans="1:19">
      <c r="A623" s="110" t="s">
        <v>667</v>
      </c>
      <c r="B623" s="111" t="s">
        <v>505</v>
      </c>
      <c r="C623" s="112" t="s">
        <v>449</v>
      </c>
      <c r="D623" s="112"/>
      <c r="E623" s="113" t="s">
        <v>24</v>
      </c>
      <c r="F623" s="175" t="s">
        <v>14</v>
      </c>
      <c r="G623" s="175" t="s">
        <v>36</v>
      </c>
      <c r="H623" s="176">
        <v>10.199999999999999</v>
      </c>
      <c r="I623" s="177">
        <v>11.5</v>
      </c>
      <c r="J623" s="178">
        <v>30</v>
      </c>
      <c r="K623" s="174">
        <f t="shared" si="292"/>
        <v>3.5190000000000001</v>
      </c>
      <c r="L623" s="118"/>
      <c r="M623" s="178">
        <v>30</v>
      </c>
      <c r="N623" s="117">
        <f t="shared" si="293"/>
        <v>3.5189999999999997</v>
      </c>
      <c r="O623" s="119">
        <f t="shared" si="294"/>
        <v>0</v>
      </c>
      <c r="P623" s="120">
        <f t="shared" si="295"/>
        <v>0</v>
      </c>
      <c r="Q623" s="159"/>
      <c r="R623" s="111"/>
      <c r="S623" s="111"/>
    </row>
    <row r="624" spans="1:19">
      <c r="A624" s="110" t="s">
        <v>667</v>
      </c>
      <c r="B624" s="111" t="s">
        <v>505</v>
      </c>
      <c r="C624" s="112" t="s">
        <v>449</v>
      </c>
      <c r="D624" s="112"/>
      <c r="E624" s="113" t="s">
        <v>24</v>
      </c>
      <c r="F624" s="175" t="s">
        <v>14</v>
      </c>
      <c r="G624" s="175" t="s">
        <v>36</v>
      </c>
      <c r="H624" s="176">
        <v>10.199999999999999</v>
      </c>
      <c r="I624" s="177">
        <v>8.1999999999999993</v>
      </c>
      <c r="J624" s="178">
        <v>30</v>
      </c>
      <c r="K624" s="174">
        <f t="shared" si="292"/>
        <v>2.5091999999999999</v>
      </c>
      <c r="L624" s="118"/>
      <c r="M624" s="178">
        <v>30</v>
      </c>
      <c r="N624" s="117">
        <f t="shared" si="293"/>
        <v>2.5091999999999994</v>
      </c>
      <c r="O624" s="119">
        <f t="shared" si="294"/>
        <v>0</v>
      </c>
      <c r="P624" s="120">
        <f t="shared" si="295"/>
        <v>0</v>
      </c>
      <c r="Q624" s="159"/>
      <c r="R624" s="111"/>
      <c r="S624" s="111"/>
    </row>
    <row r="625" spans="1:19">
      <c r="A625" s="32"/>
      <c r="B625" s="32"/>
      <c r="C625" s="32"/>
      <c r="D625" s="32"/>
      <c r="E625" s="32"/>
      <c r="F625" s="32"/>
      <c r="G625" s="32"/>
      <c r="H625" s="32"/>
      <c r="I625" s="32"/>
      <c r="J625" s="131">
        <f>SUM(J586:J624)</f>
        <v>789</v>
      </c>
      <c r="K625" s="124">
        <f>SUM(K586:K624)</f>
        <v>75.842610000000008</v>
      </c>
      <c r="L625" s="32"/>
      <c r="M625" s="131">
        <f>SUM(M586:M624)</f>
        <v>776</v>
      </c>
      <c r="N625" s="124">
        <f>SUM(N586:N624)</f>
        <v>74.68950000000001</v>
      </c>
      <c r="O625" s="131">
        <f>SUM(O586:O624)</f>
        <v>13</v>
      </c>
      <c r="P625" s="124">
        <f>SUM(P586:P624)</f>
        <v>1.1531099999999999</v>
      </c>
      <c r="Q625" s="32"/>
      <c r="R625" s="32"/>
      <c r="S625" s="32"/>
    </row>
    <row r="628" spans="1:19">
      <c r="A628" s="110" t="s">
        <v>667</v>
      </c>
      <c r="B628" s="111" t="s">
        <v>505</v>
      </c>
      <c r="C628" s="112" t="s">
        <v>449</v>
      </c>
      <c r="D628" s="112"/>
      <c r="E628" s="113" t="s">
        <v>130</v>
      </c>
      <c r="F628" s="175" t="s">
        <v>15</v>
      </c>
      <c r="G628" s="175" t="s">
        <v>44</v>
      </c>
      <c r="H628" s="176">
        <v>13.4</v>
      </c>
      <c r="I628" s="177">
        <v>10.9</v>
      </c>
      <c r="J628" s="178">
        <v>21</v>
      </c>
      <c r="K628" s="174">
        <f t="shared" ref="K628" si="296">(H628*I628*J628/1000)</f>
        <v>3.0672600000000001</v>
      </c>
      <c r="L628" s="118"/>
      <c r="M628" s="178">
        <v>21</v>
      </c>
      <c r="N628" s="117">
        <f t="shared" ref="N628" si="297">I628*M628*H628/1000</f>
        <v>3.0672600000000001</v>
      </c>
      <c r="O628" s="119">
        <f t="shared" ref="O628" si="298">J628-M628</f>
        <v>0</v>
      </c>
      <c r="P628" s="120">
        <f t="shared" ref="P628" si="299">I628*O628*H628/1000</f>
        <v>0</v>
      </c>
      <c r="Q628" s="159"/>
      <c r="R628" s="111"/>
      <c r="S628" s="111"/>
    </row>
    <row r="629" spans="1:19">
      <c r="A629" s="110" t="s">
        <v>667</v>
      </c>
      <c r="B629" s="111" t="s">
        <v>505</v>
      </c>
      <c r="C629" s="112" t="s">
        <v>449</v>
      </c>
      <c r="D629" s="112"/>
      <c r="E629" s="113" t="s">
        <v>130</v>
      </c>
      <c r="F629" s="175" t="s">
        <v>15</v>
      </c>
      <c r="G629" s="175" t="s">
        <v>44</v>
      </c>
      <c r="H629" s="176">
        <v>13.4</v>
      </c>
      <c r="I629" s="177">
        <v>10.9</v>
      </c>
      <c r="J629" s="178">
        <v>21</v>
      </c>
      <c r="K629" s="174">
        <f t="shared" ref="K629:K646" si="300">(H629*I629*J629/1000)</f>
        <v>3.0672600000000001</v>
      </c>
      <c r="L629" s="118"/>
      <c r="M629" s="178">
        <v>21</v>
      </c>
      <c r="N629" s="117">
        <f t="shared" ref="N629:N646" si="301">I629*M629*H629/1000</f>
        <v>3.0672600000000001</v>
      </c>
      <c r="O629" s="119">
        <f t="shared" ref="O629:O646" si="302">J629-M629</f>
        <v>0</v>
      </c>
      <c r="P629" s="120">
        <f t="shared" ref="P629:P646" si="303">I629*O629*H629/1000</f>
        <v>0</v>
      </c>
      <c r="Q629" s="159"/>
      <c r="R629" s="111"/>
      <c r="S629" s="111"/>
    </row>
    <row r="630" spans="1:19">
      <c r="A630" s="110" t="s">
        <v>667</v>
      </c>
      <c r="B630" s="111" t="s">
        <v>505</v>
      </c>
      <c r="C630" s="112" t="s">
        <v>449</v>
      </c>
      <c r="D630" s="112"/>
      <c r="E630" s="113" t="s">
        <v>130</v>
      </c>
      <c r="F630" s="175" t="s">
        <v>15</v>
      </c>
      <c r="G630" s="175" t="s">
        <v>44</v>
      </c>
      <c r="H630" s="176">
        <v>13.4</v>
      </c>
      <c r="I630" s="177">
        <v>10.9</v>
      </c>
      <c r="J630" s="178">
        <v>21</v>
      </c>
      <c r="K630" s="174">
        <f t="shared" si="300"/>
        <v>3.0672600000000001</v>
      </c>
      <c r="L630" s="118"/>
      <c r="M630" s="178">
        <v>21</v>
      </c>
      <c r="N630" s="117">
        <f t="shared" si="301"/>
        <v>3.0672600000000001</v>
      </c>
      <c r="O630" s="119">
        <f t="shared" si="302"/>
        <v>0</v>
      </c>
      <c r="P630" s="120">
        <f t="shared" si="303"/>
        <v>0</v>
      </c>
      <c r="Q630" s="159"/>
      <c r="R630" s="111"/>
      <c r="S630" s="111"/>
    </row>
    <row r="631" spans="1:19">
      <c r="A631" s="110" t="s">
        <v>667</v>
      </c>
      <c r="B631" s="111" t="s">
        <v>505</v>
      </c>
      <c r="C631" s="112" t="s">
        <v>449</v>
      </c>
      <c r="D631" s="112"/>
      <c r="E631" s="113" t="s">
        <v>130</v>
      </c>
      <c r="F631" s="175" t="s">
        <v>15</v>
      </c>
      <c r="G631" s="175" t="s">
        <v>44</v>
      </c>
      <c r="H631" s="176">
        <v>13.4</v>
      </c>
      <c r="I631" s="177">
        <v>12</v>
      </c>
      <c r="J631" s="178">
        <v>8</v>
      </c>
      <c r="K631" s="174">
        <f t="shared" si="300"/>
        <v>1.2864</v>
      </c>
      <c r="L631" s="118"/>
      <c r="M631" s="178">
        <v>8</v>
      </c>
      <c r="N631" s="117">
        <f t="shared" si="301"/>
        <v>1.2864</v>
      </c>
      <c r="O631" s="119">
        <f t="shared" si="302"/>
        <v>0</v>
      </c>
      <c r="P631" s="120">
        <f t="shared" si="303"/>
        <v>0</v>
      </c>
      <c r="Q631" s="159"/>
      <c r="R631" s="111"/>
      <c r="S631" s="111"/>
    </row>
    <row r="632" spans="1:19">
      <c r="A632" s="110" t="s">
        <v>667</v>
      </c>
      <c r="B632" s="111" t="s">
        <v>505</v>
      </c>
      <c r="C632" s="112" t="s">
        <v>449</v>
      </c>
      <c r="D632" s="112"/>
      <c r="E632" s="113" t="s">
        <v>130</v>
      </c>
      <c r="F632" s="175" t="s">
        <v>15</v>
      </c>
      <c r="G632" s="175" t="s">
        <v>44</v>
      </c>
      <c r="H632" s="176">
        <v>13.4</v>
      </c>
      <c r="I632" s="177">
        <v>10.9</v>
      </c>
      <c r="J632" s="178">
        <v>21</v>
      </c>
      <c r="K632" s="174">
        <f t="shared" si="300"/>
        <v>3.0672600000000001</v>
      </c>
      <c r="L632" s="118"/>
      <c r="M632" s="178">
        <v>21</v>
      </c>
      <c r="N632" s="117">
        <f t="shared" si="301"/>
        <v>3.0672600000000001</v>
      </c>
      <c r="O632" s="119">
        <f t="shared" si="302"/>
        <v>0</v>
      </c>
      <c r="P632" s="120">
        <f t="shared" si="303"/>
        <v>0</v>
      </c>
      <c r="Q632" s="159"/>
      <c r="R632" s="111"/>
      <c r="S632" s="111"/>
    </row>
    <row r="633" spans="1:19">
      <c r="A633" s="110" t="s">
        <v>667</v>
      </c>
      <c r="B633" s="111" t="s">
        <v>505</v>
      </c>
      <c r="C633" s="112" t="s">
        <v>449</v>
      </c>
      <c r="D633" s="112"/>
      <c r="E633" s="113" t="s">
        <v>130</v>
      </c>
      <c r="F633" s="175" t="s">
        <v>15</v>
      </c>
      <c r="G633" s="175" t="s">
        <v>44</v>
      </c>
      <c r="H633" s="176">
        <v>13.4</v>
      </c>
      <c r="I633" s="177">
        <v>10.9</v>
      </c>
      <c r="J633" s="178">
        <v>15</v>
      </c>
      <c r="K633" s="174">
        <f t="shared" si="300"/>
        <v>2.1909000000000001</v>
      </c>
      <c r="L633" s="118"/>
      <c r="M633" s="178">
        <v>15</v>
      </c>
      <c r="N633" s="117">
        <f t="shared" si="301"/>
        <v>2.1909000000000001</v>
      </c>
      <c r="O633" s="119">
        <f t="shared" si="302"/>
        <v>0</v>
      </c>
      <c r="P633" s="120">
        <f t="shared" si="303"/>
        <v>0</v>
      </c>
      <c r="Q633" s="159"/>
      <c r="R633" s="111"/>
      <c r="S633" s="111"/>
    </row>
    <row r="634" spans="1:19">
      <c r="A634" s="110" t="s">
        <v>667</v>
      </c>
      <c r="B634" s="111" t="s">
        <v>505</v>
      </c>
      <c r="C634" s="112" t="s">
        <v>449</v>
      </c>
      <c r="D634" s="112"/>
      <c r="E634" s="113" t="s">
        <v>130</v>
      </c>
      <c r="F634" s="175" t="s">
        <v>15</v>
      </c>
      <c r="G634" s="175" t="s">
        <v>44</v>
      </c>
      <c r="H634" s="176">
        <v>13.4</v>
      </c>
      <c r="I634" s="177">
        <v>11</v>
      </c>
      <c r="J634" s="178">
        <v>2</v>
      </c>
      <c r="K634" s="174">
        <f t="shared" si="300"/>
        <v>0.29480000000000001</v>
      </c>
      <c r="L634" s="118"/>
      <c r="M634" s="178">
        <v>2</v>
      </c>
      <c r="N634" s="117">
        <f t="shared" si="301"/>
        <v>0.29480000000000001</v>
      </c>
      <c r="O634" s="119">
        <f t="shared" si="302"/>
        <v>0</v>
      </c>
      <c r="P634" s="120">
        <f t="shared" si="303"/>
        <v>0</v>
      </c>
      <c r="Q634" s="159">
        <v>10</v>
      </c>
      <c r="R634" s="111">
        <v>2</v>
      </c>
      <c r="S634" s="111"/>
    </row>
    <row r="635" spans="1:19">
      <c r="A635" s="110" t="s">
        <v>667</v>
      </c>
      <c r="B635" s="111" t="s">
        <v>505</v>
      </c>
      <c r="C635" s="112" t="s">
        <v>449</v>
      </c>
      <c r="D635" s="112"/>
      <c r="E635" s="113" t="s">
        <v>130</v>
      </c>
      <c r="F635" s="175" t="s">
        <v>15</v>
      </c>
      <c r="G635" s="175" t="s">
        <v>44</v>
      </c>
      <c r="H635" s="176">
        <v>13.4</v>
      </c>
      <c r="I635" s="177">
        <v>12</v>
      </c>
      <c r="J635" s="178">
        <v>8</v>
      </c>
      <c r="K635" s="174">
        <f t="shared" si="300"/>
        <v>1.2864</v>
      </c>
      <c r="L635" s="118"/>
      <c r="M635" s="178">
        <v>8</v>
      </c>
      <c r="N635" s="117">
        <f t="shared" si="301"/>
        <v>1.2864</v>
      </c>
      <c r="O635" s="119">
        <f t="shared" si="302"/>
        <v>0</v>
      </c>
      <c r="P635" s="120">
        <f t="shared" si="303"/>
        <v>0</v>
      </c>
      <c r="Q635" s="159"/>
      <c r="R635" s="111"/>
      <c r="S635" s="111"/>
    </row>
    <row r="636" spans="1:19">
      <c r="A636" s="110" t="s">
        <v>667</v>
      </c>
      <c r="B636" s="111" t="s">
        <v>505</v>
      </c>
      <c r="C636" s="112" t="s">
        <v>449</v>
      </c>
      <c r="D636" s="112"/>
      <c r="E636" s="113" t="s">
        <v>130</v>
      </c>
      <c r="F636" s="175" t="s">
        <v>15</v>
      </c>
      <c r="G636" s="175" t="s">
        <v>44</v>
      </c>
      <c r="H636" s="176">
        <v>13.4</v>
      </c>
      <c r="I636" s="177">
        <v>10</v>
      </c>
      <c r="J636" s="178">
        <v>7</v>
      </c>
      <c r="K636" s="174">
        <f t="shared" si="300"/>
        <v>0.93799999999999994</v>
      </c>
      <c r="L636" s="118"/>
      <c r="M636" s="178">
        <v>7</v>
      </c>
      <c r="N636" s="117">
        <f t="shared" si="301"/>
        <v>0.93799999999999994</v>
      </c>
      <c r="O636" s="119">
        <f t="shared" si="302"/>
        <v>0</v>
      </c>
      <c r="P636" s="120">
        <f t="shared" si="303"/>
        <v>0</v>
      </c>
      <c r="Q636" s="159"/>
      <c r="R636" s="111"/>
      <c r="S636" s="111"/>
    </row>
    <row r="637" spans="1:19">
      <c r="A637" s="110" t="s">
        <v>667</v>
      </c>
      <c r="B637" s="111" t="s">
        <v>505</v>
      </c>
      <c r="C637" s="112" t="s">
        <v>449</v>
      </c>
      <c r="D637" s="112"/>
      <c r="E637" s="113" t="s">
        <v>130</v>
      </c>
      <c r="F637" s="175" t="s">
        <v>15</v>
      </c>
      <c r="G637" s="175" t="s">
        <v>44</v>
      </c>
      <c r="H637" s="176">
        <v>13.4</v>
      </c>
      <c r="I637" s="177">
        <v>10</v>
      </c>
      <c r="J637" s="178">
        <v>6</v>
      </c>
      <c r="K637" s="174">
        <f t="shared" si="300"/>
        <v>0.80400000000000005</v>
      </c>
      <c r="L637" s="118"/>
      <c r="M637" s="178">
        <v>6</v>
      </c>
      <c r="N637" s="117">
        <f t="shared" si="301"/>
        <v>0.80400000000000005</v>
      </c>
      <c r="O637" s="119">
        <f t="shared" si="302"/>
        <v>0</v>
      </c>
      <c r="P637" s="120">
        <f t="shared" si="303"/>
        <v>0</v>
      </c>
      <c r="Q637" s="159"/>
      <c r="R637" s="111"/>
      <c r="S637" s="111"/>
    </row>
    <row r="638" spans="1:19">
      <c r="A638" s="110" t="s">
        <v>667</v>
      </c>
      <c r="B638" s="111" t="s">
        <v>505</v>
      </c>
      <c r="C638" s="112" t="s">
        <v>449</v>
      </c>
      <c r="D638" s="112"/>
      <c r="E638" s="113" t="s">
        <v>130</v>
      </c>
      <c r="F638" s="175" t="s">
        <v>15</v>
      </c>
      <c r="G638" s="175" t="s">
        <v>44</v>
      </c>
      <c r="H638" s="176">
        <v>13.4</v>
      </c>
      <c r="I638" s="177">
        <v>10.199999999999999</v>
      </c>
      <c r="J638" s="178">
        <v>10</v>
      </c>
      <c r="K638" s="174">
        <f t="shared" si="300"/>
        <v>1.3668000000000002</v>
      </c>
      <c r="L638" s="118"/>
      <c r="M638" s="178">
        <v>10</v>
      </c>
      <c r="N638" s="117">
        <f t="shared" si="301"/>
        <v>1.3668</v>
      </c>
      <c r="O638" s="119">
        <f t="shared" si="302"/>
        <v>0</v>
      </c>
      <c r="P638" s="120">
        <f t="shared" si="303"/>
        <v>0</v>
      </c>
      <c r="Q638" s="159"/>
      <c r="R638" s="111"/>
      <c r="S638" s="111"/>
    </row>
    <row r="639" spans="1:19">
      <c r="A639" s="110" t="s">
        <v>667</v>
      </c>
      <c r="B639" s="111" t="s">
        <v>505</v>
      </c>
      <c r="C639" s="112" t="s">
        <v>449</v>
      </c>
      <c r="D639" s="112"/>
      <c r="E639" s="113" t="s">
        <v>130</v>
      </c>
      <c r="F639" s="175" t="s">
        <v>15</v>
      </c>
      <c r="G639" s="175" t="s">
        <v>44</v>
      </c>
      <c r="H639" s="176">
        <v>13.4</v>
      </c>
      <c r="I639" s="177">
        <v>11.4</v>
      </c>
      <c r="J639" s="178">
        <v>7</v>
      </c>
      <c r="K639" s="174">
        <f t="shared" si="300"/>
        <v>1.0693200000000003</v>
      </c>
      <c r="L639" s="118"/>
      <c r="M639" s="178">
        <v>7</v>
      </c>
      <c r="N639" s="117">
        <f t="shared" si="301"/>
        <v>1.0693199999999998</v>
      </c>
      <c r="O639" s="119">
        <f t="shared" si="302"/>
        <v>0</v>
      </c>
      <c r="P639" s="120">
        <f t="shared" si="303"/>
        <v>0</v>
      </c>
      <c r="Q639" s="159"/>
      <c r="R639" s="111"/>
      <c r="S639" s="111"/>
    </row>
    <row r="640" spans="1:19">
      <c r="A640" s="110" t="s">
        <v>667</v>
      </c>
      <c r="B640" s="111" t="s">
        <v>505</v>
      </c>
      <c r="C640" s="112" t="s">
        <v>449</v>
      </c>
      <c r="D640" s="112"/>
      <c r="E640" s="113" t="s">
        <v>130</v>
      </c>
      <c r="F640" s="175" t="s">
        <v>15</v>
      </c>
      <c r="G640" s="175" t="s">
        <v>44</v>
      </c>
      <c r="H640" s="176">
        <v>13.4</v>
      </c>
      <c r="I640" s="177">
        <v>7.5</v>
      </c>
      <c r="J640" s="178">
        <v>12</v>
      </c>
      <c r="K640" s="174">
        <f t="shared" si="300"/>
        <v>1.206</v>
      </c>
      <c r="L640" s="118"/>
      <c r="M640" s="178">
        <v>12</v>
      </c>
      <c r="N640" s="117">
        <f t="shared" si="301"/>
        <v>1.206</v>
      </c>
      <c r="O640" s="119">
        <f t="shared" si="302"/>
        <v>0</v>
      </c>
      <c r="P640" s="120">
        <f t="shared" si="303"/>
        <v>0</v>
      </c>
      <c r="Q640" s="159"/>
      <c r="R640" s="111"/>
      <c r="S640" s="111"/>
    </row>
    <row r="641" spans="1:19">
      <c r="A641" s="110" t="s">
        <v>667</v>
      </c>
      <c r="B641" s="111" t="s">
        <v>505</v>
      </c>
      <c r="C641" s="112" t="s">
        <v>449</v>
      </c>
      <c r="D641" s="112"/>
      <c r="E641" s="113" t="s">
        <v>130</v>
      </c>
      <c r="F641" s="175" t="s">
        <v>15</v>
      </c>
      <c r="G641" s="175" t="s">
        <v>44</v>
      </c>
      <c r="H641" s="176">
        <v>13.4</v>
      </c>
      <c r="I641" s="177">
        <v>12</v>
      </c>
      <c r="J641" s="178">
        <v>10</v>
      </c>
      <c r="K641" s="174">
        <f t="shared" si="300"/>
        <v>1.6080000000000001</v>
      </c>
      <c r="L641" s="118"/>
      <c r="M641" s="178">
        <v>10</v>
      </c>
      <c r="N641" s="117">
        <f t="shared" si="301"/>
        <v>1.6080000000000001</v>
      </c>
      <c r="O641" s="119">
        <f t="shared" si="302"/>
        <v>0</v>
      </c>
      <c r="P641" s="120">
        <f t="shared" si="303"/>
        <v>0</v>
      </c>
      <c r="Q641" s="159">
        <v>10.9</v>
      </c>
      <c r="R641" s="111">
        <v>10</v>
      </c>
      <c r="S641" s="111"/>
    </row>
    <row r="642" spans="1:19">
      <c r="A642" s="110" t="s">
        <v>667</v>
      </c>
      <c r="B642" s="111" t="s">
        <v>505</v>
      </c>
      <c r="C642" s="112" t="s">
        <v>449</v>
      </c>
      <c r="D642" s="112"/>
      <c r="E642" s="113" t="s">
        <v>130</v>
      </c>
      <c r="F642" s="175" t="s">
        <v>15</v>
      </c>
      <c r="G642" s="175" t="s">
        <v>44</v>
      </c>
      <c r="H642" s="176">
        <v>13.4</v>
      </c>
      <c r="I642" s="177">
        <v>9.5</v>
      </c>
      <c r="J642" s="178">
        <v>1</v>
      </c>
      <c r="K642" s="174">
        <f t="shared" si="300"/>
        <v>0.1273</v>
      </c>
      <c r="L642" s="118"/>
      <c r="M642" s="178"/>
      <c r="N642" s="117">
        <f t="shared" si="301"/>
        <v>0</v>
      </c>
      <c r="O642" s="119">
        <f t="shared" si="302"/>
        <v>1</v>
      </c>
      <c r="P642" s="120">
        <f t="shared" si="303"/>
        <v>0.1273</v>
      </c>
      <c r="Q642" s="159"/>
      <c r="R642" s="111"/>
      <c r="S642" s="111"/>
    </row>
    <row r="643" spans="1:19">
      <c r="A643" s="110" t="s">
        <v>667</v>
      </c>
      <c r="B643" s="111" t="s">
        <v>505</v>
      </c>
      <c r="C643" s="112" t="s">
        <v>449</v>
      </c>
      <c r="D643" s="112"/>
      <c r="E643" s="113" t="s">
        <v>130</v>
      </c>
      <c r="F643" s="175" t="s">
        <v>15</v>
      </c>
      <c r="G643" s="175" t="s">
        <v>44</v>
      </c>
      <c r="H643" s="176">
        <v>13.4</v>
      </c>
      <c r="I643" s="177">
        <v>10.9</v>
      </c>
      <c r="J643" s="178">
        <v>21</v>
      </c>
      <c r="K643" s="174">
        <f t="shared" si="300"/>
        <v>3.0672600000000001</v>
      </c>
      <c r="L643" s="118"/>
      <c r="M643" s="178">
        <v>21</v>
      </c>
      <c r="N643" s="117">
        <f t="shared" si="301"/>
        <v>3.0672600000000001</v>
      </c>
      <c r="O643" s="119">
        <f t="shared" si="302"/>
        <v>0</v>
      </c>
      <c r="P643" s="120">
        <f t="shared" si="303"/>
        <v>0</v>
      </c>
      <c r="Q643" s="159"/>
      <c r="R643" s="111"/>
      <c r="S643" s="111"/>
    </row>
    <row r="644" spans="1:19">
      <c r="A644" s="110" t="s">
        <v>667</v>
      </c>
      <c r="B644" s="111" t="s">
        <v>505</v>
      </c>
      <c r="C644" s="112" t="s">
        <v>449</v>
      </c>
      <c r="D644" s="112"/>
      <c r="E644" s="113" t="s">
        <v>130</v>
      </c>
      <c r="F644" s="175" t="s">
        <v>15</v>
      </c>
      <c r="G644" s="175" t="s">
        <v>44</v>
      </c>
      <c r="H644" s="176">
        <v>13.4</v>
      </c>
      <c r="I644" s="177">
        <v>10.9</v>
      </c>
      <c r="J644" s="178">
        <v>8</v>
      </c>
      <c r="K644" s="174">
        <f t="shared" si="300"/>
        <v>1.16848</v>
      </c>
      <c r="L644" s="118"/>
      <c r="M644" s="178">
        <v>8</v>
      </c>
      <c r="N644" s="117">
        <f t="shared" si="301"/>
        <v>1.16848</v>
      </c>
      <c r="O644" s="119">
        <f t="shared" si="302"/>
        <v>0</v>
      </c>
      <c r="P644" s="120">
        <f t="shared" si="303"/>
        <v>0</v>
      </c>
      <c r="Q644" s="159"/>
      <c r="R644" s="111"/>
      <c r="S644" s="111"/>
    </row>
    <row r="645" spans="1:19">
      <c r="A645" s="110" t="s">
        <v>667</v>
      </c>
      <c r="B645" s="111" t="s">
        <v>505</v>
      </c>
      <c r="C645" s="112" t="s">
        <v>449</v>
      </c>
      <c r="D645" s="112"/>
      <c r="E645" s="113" t="s">
        <v>130</v>
      </c>
      <c r="F645" s="175" t="s">
        <v>15</v>
      </c>
      <c r="G645" s="175" t="s">
        <v>44</v>
      </c>
      <c r="H645" s="176">
        <v>13.4</v>
      </c>
      <c r="I645" s="177">
        <v>11</v>
      </c>
      <c r="J645" s="178">
        <v>7</v>
      </c>
      <c r="K645" s="174">
        <f t="shared" si="300"/>
        <v>1.0318000000000001</v>
      </c>
      <c r="L645" s="118"/>
      <c r="M645" s="178">
        <f>6+1</f>
        <v>7</v>
      </c>
      <c r="N645" s="117">
        <f t="shared" si="301"/>
        <v>1.0318000000000001</v>
      </c>
      <c r="O645" s="119">
        <f t="shared" si="302"/>
        <v>0</v>
      </c>
      <c r="P645" s="120">
        <f t="shared" si="303"/>
        <v>0</v>
      </c>
      <c r="Q645" s="159">
        <v>10.9</v>
      </c>
      <c r="R645" s="111">
        <v>1</v>
      </c>
      <c r="S645" s="111"/>
    </row>
    <row r="646" spans="1:19">
      <c r="A646" s="110" t="s">
        <v>667</v>
      </c>
      <c r="B646" s="111" t="s">
        <v>505</v>
      </c>
      <c r="C646" s="112" t="s">
        <v>449</v>
      </c>
      <c r="D646" s="112"/>
      <c r="E646" s="113" t="s">
        <v>130</v>
      </c>
      <c r="F646" s="175" t="s">
        <v>15</v>
      </c>
      <c r="G646" s="175" t="s">
        <v>44</v>
      </c>
      <c r="H646" s="176">
        <v>13.4</v>
      </c>
      <c r="I646" s="177">
        <v>11.4</v>
      </c>
      <c r="J646" s="178">
        <v>1</v>
      </c>
      <c r="K646" s="174">
        <f t="shared" si="300"/>
        <v>0.15276000000000001</v>
      </c>
      <c r="L646" s="118"/>
      <c r="M646" s="178">
        <v>1</v>
      </c>
      <c r="N646" s="117">
        <f t="shared" si="301"/>
        <v>0.15276000000000001</v>
      </c>
      <c r="O646" s="119">
        <f t="shared" si="302"/>
        <v>0</v>
      </c>
      <c r="P646" s="120">
        <f t="shared" si="303"/>
        <v>0</v>
      </c>
      <c r="Q646" s="159">
        <v>10.9</v>
      </c>
      <c r="R646" s="111">
        <v>1</v>
      </c>
      <c r="S646" s="111"/>
    </row>
    <row r="647" spans="1:19">
      <c r="A647" s="110" t="s">
        <v>667</v>
      </c>
      <c r="B647" s="111" t="s">
        <v>505</v>
      </c>
      <c r="C647" s="112" t="s">
        <v>449</v>
      </c>
      <c r="D647" s="112"/>
      <c r="E647" s="113" t="s">
        <v>130</v>
      </c>
      <c r="F647" s="175" t="s">
        <v>15</v>
      </c>
      <c r="G647" s="175" t="s">
        <v>44</v>
      </c>
      <c r="H647" s="176">
        <v>13.4</v>
      </c>
      <c r="I647" s="177">
        <v>10.199999999999999</v>
      </c>
      <c r="J647" s="178">
        <v>1</v>
      </c>
      <c r="K647" s="174">
        <f t="shared" ref="K647:K658" si="304">(H647*I647*J647/1000)</f>
        <v>0.13668</v>
      </c>
      <c r="L647" s="118"/>
      <c r="M647" s="178">
        <v>1</v>
      </c>
      <c r="N647" s="117">
        <f t="shared" ref="N647:N658" si="305">I647*M647*H647/1000</f>
        <v>0.13668</v>
      </c>
      <c r="O647" s="119">
        <f t="shared" ref="O647:O658" si="306">J647-M647</f>
        <v>0</v>
      </c>
      <c r="P647" s="120">
        <f t="shared" ref="P647:P658" si="307">I647*O647*H647/1000</f>
        <v>0</v>
      </c>
      <c r="Q647" s="159"/>
      <c r="R647" s="111"/>
      <c r="S647" s="111"/>
    </row>
    <row r="648" spans="1:19">
      <c r="A648" s="110" t="s">
        <v>667</v>
      </c>
      <c r="B648" s="111" t="s">
        <v>505</v>
      </c>
      <c r="C648" s="112" t="s">
        <v>449</v>
      </c>
      <c r="D648" s="112"/>
      <c r="E648" s="113" t="s">
        <v>130</v>
      </c>
      <c r="F648" s="175" t="s">
        <v>15</v>
      </c>
      <c r="G648" s="175" t="s">
        <v>44</v>
      </c>
      <c r="H648" s="176">
        <v>13.4</v>
      </c>
      <c r="I648" s="177">
        <v>10</v>
      </c>
      <c r="J648" s="178">
        <v>1</v>
      </c>
      <c r="K648" s="174">
        <f t="shared" si="304"/>
        <v>0.13400000000000001</v>
      </c>
      <c r="L648" s="118"/>
      <c r="M648" s="178">
        <v>1</v>
      </c>
      <c r="N648" s="117">
        <f t="shared" si="305"/>
        <v>0.13400000000000001</v>
      </c>
      <c r="O648" s="119">
        <f t="shared" si="306"/>
        <v>0</v>
      </c>
      <c r="P648" s="120">
        <f t="shared" si="307"/>
        <v>0</v>
      </c>
      <c r="Q648" s="159"/>
      <c r="R648" s="111"/>
      <c r="S648" s="111"/>
    </row>
    <row r="649" spans="1:19">
      <c r="A649" s="110" t="s">
        <v>667</v>
      </c>
      <c r="B649" s="111" t="s">
        <v>505</v>
      </c>
      <c r="C649" s="112" t="s">
        <v>449</v>
      </c>
      <c r="D649" s="112"/>
      <c r="E649" s="113" t="s">
        <v>130</v>
      </c>
      <c r="F649" s="175" t="s">
        <v>15</v>
      </c>
      <c r="G649" s="175" t="s">
        <v>44</v>
      </c>
      <c r="H649" s="176">
        <v>13.4</v>
      </c>
      <c r="I649" s="177">
        <v>7.5</v>
      </c>
      <c r="J649" s="178">
        <v>1</v>
      </c>
      <c r="K649" s="174">
        <f t="shared" si="304"/>
        <v>0.10050000000000001</v>
      </c>
      <c r="L649" s="118"/>
      <c r="M649" s="178">
        <v>1</v>
      </c>
      <c r="N649" s="117">
        <f t="shared" si="305"/>
        <v>0.10050000000000001</v>
      </c>
      <c r="O649" s="119">
        <f t="shared" si="306"/>
        <v>0</v>
      </c>
      <c r="P649" s="120">
        <f t="shared" si="307"/>
        <v>0</v>
      </c>
      <c r="Q649" s="159"/>
      <c r="R649" s="111"/>
      <c r="S649" s="111"/>
    </row>
    <row r="650" spans="1:19">
      <c r="A650" s="110" t="s">
        <v>667</v>
      </c>
      <c r="B650" s="111" t="s">
        <v>505</v>
      </c>
      <c r="C650" s="112" t="s">
        <v>449</v>
      </c>
      <c r="D650" s="112"/>
      <c r="E650" s="113" t="s">
        <v>130</v>
      </c>
      <c r="F650" s="175" t="s">
        <v>15</v>
      </c>
      <c r="G650" s="175" t="s">
        <v>44</v>
      </c>
      <c r="H650" s="176">
        <v>13.4</v>
      </c>
      <c r="I650" s="177">
        <v>10.9</v>
      </c>
      <c r="J650" s="178">
        <v>19</v>
      </c>
      <c r="K650" s="174">
        <f t="shared" si="304"/>
        <v>2.7751399999999999</v>
      </c>
      <c r="L650" s="118"/>
      <c r="M650" s="178">
        <v>19</v>
      </c>
      <c r="N650" s="117">
        <f t="shared" si="305"/>
        <v>2.7751399999999999</v>
      </c>
      <c r="O650" s="119">
        <f t="shared" si="306"/>
        <v>0</v>
      </c>
      <c r="P650" s="120">
        <f t="shared" si="307"/>
        <v>0</v>
      </c>
      <c r="Q650" s="159"/>
      <c r="R650" s="111"/>
      <c r="S650" s="111"/>
    </row>
    <row r="651" spans="1:19">
      <c r="A651" s="110" t="s">
        <v>667</v>
      </c>
      <c r="B651" s="111" t="s">
        <v>505</v>
      </c>
      <c r="C651" s="112" t="s">
        <v>449</v>
      </c>
      <c r="D651" s="112"/>
      <c r="E651" s="113" t="s">
        <v>130</v>
      </c>
      <c r="F651" s="175" t="s">
        <v>15</v>
      </c>
      <c r="G651" s="175" t="s">
        <v>44</v>
      </c>
      <c r="H651" s="176">
        <v>13.4</v>
      </c>
      <c r="I651" s="177">
        <v>10.199999999999999</v>
      </c>
      <c r="J651" s="178">
        <v>1</v>
      </c>
      <c r="K651" s="174">
        <f t="shared" si="304"/>
        <v>0.13668</v>
      </c>
      <c r="L651" s="118"/>
      <c r="M651" s="178">
        <v>1</v>
      </c>
      <c r="N651" s="117">
        <f t="shared" si="305"/>
        <v>0.13668</v>
      </c>
      <c r="O651" s="119">
        <f t="shared" si="306"/>
        <v>0</v>
      </c>
      <c r="P651" s="120">
        <f t="shared" si="307"/>
        <v>0</v>
      </c>
      <c r="Q651" s="159"/>
      <c r="R651" s="111"/>
      <c r="S651" s="111"/>
    </row>
    <row r="652" spans="1:19">
      <c r="A652" s="110" t="s">
        <v>667</v>
      </c>
      <c r="B652" s="111" t="s">
        <v>505</v>
      </c>
      <c r="C652" s="112" t="s">
        <v>449</v>
      </c>
      <c r="D652" s="112"/>
      <c r="E652" s="113" t="s">
        <v>130</v>
      </c>
      <c r="F652" s="175" t="s">
        <v>15</v>
      </c>
      <c r="G652" s="175" t="s">
        <v>44</v>
      </c>
      <c r="H652" s="176">
        <v>13.4</v>
      </c>
      <c r="I652" s="177">
        <v>11</v>
      </c>
      <c r="J652" s="178">
        <v>1</v>
      </c>
      <c r="K652" s="174">
        <f t="shared" si="304"/>
        <v>0.1474</v>
      </c>
      <c r="L652" s="118"/>
      <c r="M652" s="178">
        <v>1</v>
      </c>
      <c r="N652" s="117">
        <f t="shared" si="305"/>
        <v>0.1474</v>
      </c>
      <c r="O652" s="119">
        <f t="shared" si="306"/>
        <v>0</v>
      </c>
      <c r="P652" s="120">
        <f t="shared" si="307"/>
        <v>0</v>
      </c>
      <c r="Q652" s="159">
        <v>10.9</v>
      </c>
      <c r="R652" s="111">
        <v>1</v>
      </c>
      <c r="S652" s="111"/>
    </row>
    <row r="653" spans="1:19">
      <c r="A653" s="110" t="s">
        <v>667</v>
      </c>
      <c r="B653" s="111" t="s">
        <v>505</v>
      </c>
      <c r="C653" s="112" t="s">
        <v>449</v>
      </c>
      <c r="D653" s="112"/>
      <c r="E653" s="113" t="s">
        <v>130</v>
      </c>
      <c r="F653" s="175" t="s">
        <v>15</v>
      </c>
      <c r="G653" s="175" t="s">
        <v>44</v>
      </c>
      <c r="H653" s="176">
        <v>13.4</v>
      </c>
      <c r="I653" s="177">
        <v>11.4</v>
      </c>
      <c r="J653" s="178">
        <v>5</v>
      </c>
      <c r="K653" s="174">
        <f t="shared" si="304"/>
        <v>0.76380000000000003</v>
      </c>
      <c r="L653" s="118"/>
      <c r="M653" s="178">
        <v>5</v>
      </c>
      <c r="N653" s="117">
        <f t="shared" si="305"/>
        <v>0.76380000000000003</v>
      </c>
      <c r="O653" s="119">
        <f t="shared" si="306"/>
        <v>0</v>
      </c>
      <c r="P653" s="120">
        <f t="shared" si="307"/>
        <v>0</v>
      </c>
      <c r="Q653" s="159">
        <v>10.9</v>
      </c>
      <c r="R653" s="111">
        <v>5</v>
      </c>
      <c r="S653" s="111"/>
    </row>
    <row r="654" spans="1:19">
      <c r="A654" s="110" t="s">
        <v>667</v>
      </c>
      <c r="B654" s="111" t="s">
        <v>505</v>
      </c>
      <c r="C654" s="112" t="s">
        <v>449</v>
      </c>
      <c r="D654" s="112"/>
      <c r="E654" s="113" t="s">
        <v>130</v>
      </c>
      <c r="F654" s="175" t="s">
        <v>15</v>
      </c>
      <c r="G654" s="175" t="s">
        <v>44</v>
      </c>
      <c r="H654" s="176">
        <v>13.4</v>
      </c>
      <c r="I654" s="177">
        <v>12</v>
      </c>
      <c r="J654" s="178">
        <v>1</v>
      </c>
      <c r="K654" s="174">
        <f t="shared" si="304"/>
        <v>0.1608</v>
      </c>
      <c r="L654" s="118"/>
      <c r="M654" s="178">
        <v>1</v>
      </c>
      <c r="N654" s="117">
        <f t="shared" si="305"/>
        <v>0.1608</v>
      </c>
      <c r="O654" s="119">
        <f t="shared" si="306"/>
        <v>0</v>
      </c>
      <c r="P654" s="120">
        <f t="shared" si="307"/>
        <v>0</v>
      </c>
      <c r="Q654" s="159">
        <v>10.199999999999999</v>
      </c>
      <c r="R654" s="111">
        <v>1</v>
      </c>
      <c r="S654" s="111"/>
    </row>
    <row r="655" spans="1:19">
      <c r="A655" s="110" t="s">
        <v>667</v>
      </c>
      <c r="B655" s="111" t="s">
        <v>505</v>
      </c>
      <c r="C655" s="112" t="s">
        <v>449</v>
      </c>
      <c r="D655" s="112"/>
      <c r="E655" s="113" t="s">
        <v>130</v>
      </c>
      <c r="F655" s="175" t="s">
        <v>15</v>
      </c>
      <c r="G655" s="175" t="s">
        <v>44</v>
      </c>
      <c r="H655" s="176">
        <v>13.4</v>
      </c>
      <c r="I655" s="177">
        <v>10.9</v>
      </c>
      <c r="J655" s="178">
        <v>24</v>
      </c>
      <c r="K655" s="174">
        <f t="shared" si="304"/>
        <v>3.5054400000000001</v>
      </c>
      <c r="L655" s="118"/>
      <c r="M655" s="178">
        <v>24</v>
      </c>
      <c r="N655" s="117">
        <f t="shared" si="305"/>
        <v>3.5054400000000006</v>
      </c>
      <c r="O655" s="119">
        <f t="shared" si="306"/>
        <v>0</v>
      </c>
      <c r="P655" s="120">
        <f t="shared" si="307"/>
        <v>0</v>
      </c>
      <c r="Q655" s="159"/>
      <c r="R655" s="111"/>
      <c r="S655" s="111"/>
    </row>
    <row r="656" spans="1:19">
      <c r="A656" s="110" t="s">
        <v>667</v>
      </c>
      <c r="B656" s="111" t="s">
        <v>505</v>
      </c>
      <c r="C656" s="112" t="s">
        <v>449</v>
      </c>
      <c r="D656" s="112"/>
      <c r="E656" s="113" t="s">
        <v>130</v>
      </c>
      <c r="F656" s="175" t="s">
        <v>15</v>
      </c>
      <c r="G656" s="175" t="s">
        <v>44</v>
      </c>
      <c r="H656" s="176">
        <v>13.4</v>
      </c>
      <c r="I656" s="177">
        <v>10.9</v>
      </c>
      <c r="J656" s="178">
        <v>26</v>
      </c>
      <c r="K656" s="174">
        <f t="shared" si="304"/>
        <v>3.7975599999999998</v>
      </c>
      <c r="L656" s="118"/>
      <c r="M656" s="178">
        <v>26</v>
      </c>
      <c r="N656" s="117">
        <f t="shared" si="305"/>
        <v>3.7975600000000003</v>
      </c>
      <c r="O656" s="119">
        <f t="shared" si="306"/>
        <v>0</v>
      </c>
      <c r="P656" s="120">
        <f t="shared" si="307"/>
        <v>0</v>
      </c>
      <c r="Q656" s="159"/>
      <c r="R656" s="111"/>
      <c r="S656" s="111"/>
    </row>
    <row r="657" spans="1:19">
      <c r="A657" s="110" t="s">
        <v>667</v>
      </c>
      <c r="B657" s="111" t="s">
        <v>505</v>
      </c>
      <c r="C657" s="112" t="s">
        <v>449</v>
      </c>
      <c r="D657" s="112"/>
      <c r="E657" s="113" t="s">
        <v>130</v>
      </c>
      <c r="F657" s="175" t="s">
        <v>15</v>
      </c>
      <c r="G657" s="175" t="s">
        <v>44</v>
      </c>
      <c r="H657" s="176">
        <v>13.4</v>
      </c>
      <c r="I657" s="177">
        <v>10.9</v>
      </c>
      <c r="J657" s="178">
        <v>26</v>
      </c>
      <c r="K657" s="174">
        <f t="shared" si="304"/>
        <v>3.7975599999999998</v>
      </c>
      <c r="L657" s="118"/>
      <c r="M657" s="178">
        <v>26</v>
      </c>
      <c r="N657" s="117">
        <f t="shared" si="305"/>
        <v>3.7975600000000003</v>
      </c>
      <c r="O657" s="119">
        <f t="shared" si="306"/>
        <v>0</v>
      </c>
      <c r="P657" s="120">
        <f t="shared" si="307"/>
        <v>0</v>
      </c>
      <c r="Q657" s="159"/>
      <c r="R657" s="111"/>
      <c r="S657" s="111"/>
    </row>
    <row r="658" spans="1:19">
      <c r="A658" s="110" t="s">
        <v>667</v>
      </c>
      <c r="B658" s="111" t="s">
        <v>505</v>
      </c>
      <c r="C658" s="112" t="s">
        <v>449</v>
      </c>
      <c r="D658" s="112"/>
      <c r="E658" s="113" t="s">
        <v>130</v>
      </c>
      <c r="F658" s="175" t="s">
        <v>15</v>
      </c>
      <c r="G658" s="175" t="s">
        <v>44</v>
      </c>
      <c r="H658" s="176">
        <v>13.4</v>
      </c>
      <c r="I658" s="177">
        <v>10</v>
      </c>
      <c r="J658" s="178">
        <v>9</v>
      </c>
      <c r="K658" s="174">
        <f t="shared" si="304"/>
        <v>1.206</v>
      </c>
      <c r="L658" s="118"/>
      <c r="M658" s="178">
        <v>9</v>
      </c>
      <c r="N658" s="117">
        <f t="shared" si="305"/>
        <v>1.206</v>
      </c>
      <c r="O658" s="119">
        <f t="shared" si="306"/>
        <v>0</v>
      </c>
      <c r="P658" s="120">
        <f t="shared" si="307"/>
        <v>0</v>
      </c>
      <c r="Q658" s="159"/>
      <c r="R658" s="111"/>
      <c r="S658" s="111"/>
    </row>
    <row r="659" spans="1:19">
      <c r="A659" s="110" t="s">
        <v>667</v>
      </c>
      <c r="B659" s="111" t="s">
        <v>505</v>
      </c>
      <c r="C659" s="112" t="s">
        <v>449</v>
      </c>
      <c r="D659" s="112"/>
      <c r="E659" s="113" t="s">
        <v>130</v>
      </c>
      <c r="F659" s="175" t="s">
        <v>15</v>
      </c>
      <c r="G659" s="175" t="s">
        <v>44</v>
      </c>
      <c r="H659" s="176">
        <v>13.4</v>
      </c>
      <c r="I659" s="177">
        <v>11</v>
      </c>
      <c r="J659" s="178">
        <v>8</v>
      </c>
      <c r="K659" s="174">
        <f t="shared" ref="K659:K665" si="308">(H659*I659*J659/1000)</f>
        <v>1.1792</v>
      </c>
      <c r="L659" s="118"/>
      <c r="M659" s="178">
        <v>8</v>
      </c>
      <c r="N659" s="117">
        <f t="shared" ref="N659:N665" si="309">I659*M659*H659/1000</f>
        <v>1.1792</v>
      </c>
      <c r="O659" s="119">
        <f t="shared" ref="O659:O665" si="310">J659-M659</f>
        <v>0</v>
      </c>
      <c r="P659" s="120">
        <f t="shared" ref="P659:P665" si="311">I659*O659*H659/1000</f>
        <v>0</v>
      </c>
      <c r="Q659" s="159"/>
      <c r="R659" s="111"/>
      <c r="S659" s="111"/>
    </row>
    <row r="660" spans="1:19">
      <c r="A660" s="110" t="s">
        <v>667</v>
      </c>
      <c r="B660" s="111" t="s">
        <v>505</v>
      </c>
      <c r="C660" s="112" t="s">
        <v>449</v>
      </c>
      <c r="D660" s="112"/>
      <c r="E660" s="113" t="s">
        <v>130</v>
      </c>
      <c r="F660" s="175" t="s">
        <v>15</v>
      </c>
      <c r="G660" s="175" t="s">
        <v>44</v>
      </c>
      <c r="H660" s="176">
        <v>13.4</v>
      </c>
      <c r="I660" s="177">
        <v>10.199999999999999</v>
      </c>
      <c r="J660" s="178">
        <v>4</v>
      </c>
      <c r="K660" s="174">
        <f t="shared" si="308"/>
        <v>0.54671999999999998</v>
      </c>
      <c r="L660" s="118"/>
      <c r="M660" s="178">
        <v>4</v>
      </c>
      <c r="N660" s="117">
        <f t="shared" si="309"/>
        <v>0.54671999999999998</v>
      </c>
      <c r="O660" s="119">
        <f t="shared" si="310"/>
        <v>0</v>
      </c>
      <c r="P660" s="120">
        <f t="shared" si="311"/>
        <v>0</v>
      </c>
      <c r="Q660" s="159"/>
      <c r="R660" s="111"/>
      <c r="S660" s="111"/>
    </row>
    <row r="661" spans="1:19">
      <c r="A661" s="110" t="s">
        <v>667</v>
      </c>
      <c r="B661" s="111" t="s">
        <v>505</v>
      </c>
      <c r="C661" s="112" t="s">
        <v>449</v>
      </c>
      <c r="D661" s="112"/>
      <c r="E661" s="113" t="s">
        <v>130</v>
      </c>
      <c r="F661" s="175" t="s">
        <v>15</v>
      </c>
      <c r="G661" s="175" t="s">
        <v>44</v>
      </c>
      <c r="H661" s="176">
        <v>13.4</v>
      </c>
      <c r="I661" s="177">
        <v>11.4</v>
      </c>
      <c r="J661" s="178">
        <v>4</v>
      </c>
      <c r="K661" s="174">
        <f t="shared" si="308"/>
        <v>0.61104000000000003</v>
      </c>
      <c r="L661" s="118"/>
      <c r="M661" s="178">
        <v>4</v>
      </c>
      <c r="N661" s="117">
        <f t="shared" si="309"/>
        <v>0.61104000000000003</v>
      </c>
      <c r="O661" s="119">
        <f t="shared" si="310"/>
        <v>0</v>
      </c>
      <c r="P661" s="120">
        <f t="shared" si="311"/>
        <v>0</v>
      </c>
      <c r="Q661" s="159"/>
      <c r="R661" s="111"/>
      <c r="S661" s="111"/>
    </row>
    <row r="662" spans="1:19">
      <c r="A662" s="110" t="s">
        <v>667</v>
      </c>
      <c r="B662" s="111" t="s">
        <v>505</v>
      </c>
      <c r="C662" s="112" t="s">
        <v>449</v>
      </c>
      <c r="D662" s="112"/>
      <c r="E662" s="113" t="s">
        <v>130</v>
      </c>
      <c r="F662" s="175" t="s">
        <v>15</v>
      </c>
      <c r="G662" s="175" t="s">
        <v>44</v>
      </c>
      <c r="H662" s="176">
        <v>13.4</v>
      </c>
      <c r="I662" s="177">
        <v>7.5</v>
      </c>
      <c r="J662" s="178">
        <v>5</v>
      </c>
      <c r="K662" s="174">
        <f t="shared" si="308"/>
        <v>0.50249999999999995</v>
      </c>
      <c r="L662" s="118"/>
      <c r="M662" s="178">
        <v>5</v>
      </c>
      <c r="N662" s="117">
        <f t="shared" si="309"/>
        <v>0.50249999999999995</v>
      </c>
      <c r="O662" s="119">
        <f t="shared" si="310"/>
        <v>0</v>
      </c>
      <c r="P662" s="120">
        <f t="shared" si="311"/>
        <v>0</v>
      </c>
      <c r="Q662" s="159"/>
      <c r="R662" s="111">
        <v>5</v>
      </c>
      <c r="S662" s="111" t="s">
        <v>668</v>
      </c>
    </row>
    <row r="663" spans="1:19">
      <c r="A663" s="110" t="s">
        <v>667</v>
      </c>
      <c r="B663" s="111" t="s">
        <v>505</v>
      </c>
      <c r="C663" s="112" t="s">
        <v>449</v>
      </c>
      <c r="D663" s="112"/>
      <c r="E663" s="113" t="s">
        <v>130</v>
      </c>
      <c r="F663" s="175" t="s">
        <v>15</v>
      </c>
      <c r="G663" s="175" t="s">
        <v>44</v>
      </c>
      <c r="H663" s="176">
        <v>13.4</v>
      </c>
      <c r="I663" s="177">
        <v>11.95</v>
      </c>
      <c r="J663" s="178">
        <v>1</v>
      </c>
      <c r="K663" s="174">
        <f t="shared" si="308"/>
        <v>0.16012999999999999</v>
      </c>
      <c r="L663" s="118"/>
      <c r="M663" s="178">
        <v>1</v>
      </c>
      <c r="N663" s="117">
        <f t="shared" si="309"/>
        <v>0.16012999999999999</v>
      </c>
      <c r="O663" s="119">
        <f t="shared" si="310"/>
        <v>0</v>
      </c>
      <c r="P663" s="120">
        <f t="shared" si="311"/>
        <v>0</v>
      </c>
      <c r="Q663" s="159">
        <v>10.199999999999999</v>
      </c>
      <c r="R663" s="111">
        <v>1</v>
      </c>
      <c r="S663" s="111"/>
    </row>
    <row r="664" spans="1:19">
      <c r="A664" s="110" t="s">
        <v>667</v>
      </c>
      <c r="B664" s="111" t="s">
        <v>505</v>
      </c>
      <c r="C664" s="112" t="s">
        <v>449</v>
      </c>
      <c r="D664" s="112"/>
      <c r="E664" s="113" t="s">
        <v>130</v>
      </c>
      <c r="F664" s="175" t="s">
        <v>15</v>
      </c>
      <c r="G664" s="175" t="s">
        <v>44</v>
      </c>
      <c r="H664" s="176">
        <v>13.4</v>
      </c>
      <c r="I664" s="177">
        <v>9.6</v>
      </c>
      <c r="J664" s="178">
        <v>1</v>
      </c>
      <c r="K664" s="174">
        <f t="shared" si="308"/>
        <v>0.12863999999999998</v>
      </c>
      <c r="L664" s="118"/>
      <c r="M664" s="178"/>
      <c r="N664" s="117">
        <f t="shared" si="309"/>
        <v>0</v>
      </c>
      <c r="O664" s="119">
        <f t="shared" si="310"/>
        <v>1</v>
      </c>
      <c r="P664" s="120">
        <f t="shared" si="311"/>
        <v>0.12863999999999998</v>
      </c>
      <c r="Q664" s="159"/>
      <c r="R664" s="111"/>
      <c r="S664" s="111"/>
    </row>
    <row r="665" spans="1:19">
      <c r="A665" s="110" t="s">
        <v>667</v>
      </c>
      <c r="B665" s="111" t="s">
        <v>505</v>
      </c>
      <c r="C665" s="112" t="s">
        <v>449</v>
      </c>
      <c r="D665" s="112"/>
      <c r="E665" s="113" t="s">
        <v>130</v>
      </c>
      <c r="F665" s="175" t="s">
        <v>15</v>
      </c>
      <c r="G665" s="175" t="s">
        <v>44</v>
      </c>
      <c r="H665" s="176">
        <v>13.4</v>
      </c>
      <c r="I665" s="177">
        <v>6.8</v>
      </c>
      <c r="J665" s="178">
        <v>1</v>
      </c>
      <c r="K665" s="174">
        <f t="shared" si="308"/>
        <v>9.1120000000000007E-2</v>
      </c>
      <c r="L665" s="118"/>
      <c r="M665" s="178"/>
      <c r="N665" s="117">
        <f t="shared" si="309"/>
        <v>0</v>
      </c>
      <c r="O665" s="119">
        <f t="shared" si="310"/>
        <v>1</v>
      </c>
      <c r="P665" s="120">
        <f t="shared" si="311"/>
        <v>9.1120000000000007E-2</v>
      </c>
      <c r="Q665" s="159"/>
      <c r="R665" s="111"/>
      <c r="S665" s="111"/>
    </row>
    <row r="666" spans="1:19">
      <c r="A666" s="32"/>
      <c r="B666" s="32"/>
      <c r="C666" s="32"/>
      <c r="D666" s="32"/>
      <c r="E666" s="32"/>
      <c r="F666" s="32"/>
      <c r="G666" s="32"/>
      <c r="H666" s="32"/>
      <c r="I666" s="32"/>
      <c r="J666" s="131">
        <f>SUM(J628:J665)</f>
        <v>346</v>
      </c>
      <c r="K666" s="124">
        <f>SUM(K628:K665)</f>
        <v>49.748169999999995</v>
      </c>
      <c r="L666" s="32"/>
      <c r="M666" s="131">
        <f>SUM(M628:M665)</f>
        <v>343</v>
      </c>
      <c r="N666" s="124">
        <f>SUM(N628:N665)</f>
        <v>49.401110000000003</v>
      </c>
      <c r="O666" s="131">
        <f>SUM(O628:O665)</f>
        <v>3</v>
      </c>
      <c r="P666" s="124">
        <f>SUM(P628:P665)</f>
        <v>0.34705999999999992</v>
      </c>
      <c r="Q666" s="32"/>
      <c r="R666" s="32"/>
      <c r="S666" s="32"/>
    </row>
  </sheetData>
  <mergeCells count="3">
    <mergeCell ref="M2:N2"/>
    <mergeCell ref="I2:K2"/>
    <mergeCell ref="O2:P2"/>
  </mergeCells>
  <pageMargins left="0.24" right="0.16" top="0.2" bottom="0.26" header="0.3" footer="0.3"/>
  <pageSetup paperSize="9" scale="8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V601"/>
  <sheetViews>
    <sheetView topLeftCell="A73" workbookViewId="0">
      <selection activeCell="L89" sqref="L89"/>
    </sheetView>
  </sheetViews>
  <sheetFormatPr defaultRowHeight="14.4"/>
  <cols>
    <col min="2" max="2" width="18" customWidth="1"/>
    <col min="3" max="3" width="10.5546875" bestFit="1" customWidth="1"/>
    <col min="4" max="4" width="18.88671875" bestFit="1" customWidth="1"/>
    <col min="5" max="5" width="4" bestFit="1" customWidth="1"/>
    <col min="6" max="6" width="11.5546875" bestFit="1" customWidth="1"/>
    <col min="7" max="7" width="8.6640625" bestFit="1" customWidth="1"/>
    <col min="9" max="9" width="6.5546875" bestFit="1" customWidth="1"/>
    <col min="10" max="10" width="7.5546875" bestFit="1" customWidth="1"/>
    <col min="11" max="11" width="12.88671875" customWidth="1"/>
    <col min="12" max="12" width="6.5546875" bestFit="1" customWidth="1"/>
    <col min="14" max="14" width="4.5546875" bestFit="1" customWidth="1"/>
    <col min="15" max="15" width="7.5546875" style="186" bestFit="1" customWidth="1"/>
    <col min="16" max="16" width="12.88671875" customWidth="1"/>
    <col min="19" max="19" width="4.6640625" style="186" customWidth="1"/>
    <col min="20" max="20" width="10" customWidth="1"/>
  </cols>
  <sheetData>
    <row r="3" spans="1:18" ht="26.4">
      <c r="A3" s="121" t="s">
        <v>229</v>
      </c>
      <c r="B3" s="122" t="s">
        <v>230</v>
      </c>
      <c r="C3" s="122" t="s">
        <v>0</v>
      </c>
      <c r="D3" s="122" t="s">
        <v>1</v>
      </c>
      <c r="E3" s="122" t="s">
        <v>2</v>
      </c>
      <c r="F3" s="122" t="s">
        <v>3</v>
      </c>
      <c r="G3" s="122" t="s">
        <v>10</v>
      </c>
      <c r="H3" s="122" t="s">
        <v>4</v>
      </c>
      <c r="I3" s="122" t="s">
        <v>5</v>
      </c>
      <c r="J3" s="122" t="s">
        <v>6</v>
      </c>
      <c r="K3" s="122" t="s">
        <v>7</v>
      </c>
      <c r="L3" s="122" t="s">
        <v>5</v>
      </c>
      <c r="M3" s="122" t="s">
        <v>6</v>
      </c>
      <c r="N3" s="122" t="s">
        <v>5</v>
      </c>
      <c r="O3" s="122" t="s">
        <v>6</v>
      </c>
      <c r="P3" s="122" t="s">
        <v>8</v>
      </c>
      <c r="Q3" s="122" t="s">
        <v>9</v>
      </c>
      <c r="R3" s="122" t="s">
        <v>7</v>
      </c>
    </row>
    <row r="4" spans="1:18" ht="27">
      <c r="A4" s="110" t="s">
        <v>296</v>
      </c>
      <c r="B4" s="111" t="s">
        <v>297</v>
      </c>
      <c r="C4" s="112" t="s">
        <v>228</v>
      </c>
      <c r="D4" s="113" t="s">
        <v>20</v>
      </c>
      <c r="E4" s="175" t="s">
        <v>15</v>
      </c>
      <c r="F4" s="175" t="s">
        <v>56</v>
      </c>
      <c r="G4" s="176">
        <v>25.2</v>
      </c>
      <c r="H4" s="177">
        <v>12</v>
      </c>
      <c r="I4" s="178">
        <f>10+10</f>
        <v>20</v>
      </c>
      <c r="J4" s="174">
        <f t="shared" ref="J4" si="0">(G4*H4*I4/1000)</f>
        <v>6.048</v>
      </c>
      <c r="K4" s="118"/>
      <c r="L4" s="111">
        <v>20</v>
      </c>
      <c r="M4" s="117">
        <f t="shared" ref="M4" si="1">H4*L4*G4/1000</f>
        <v>6.048</v>
      </c>
      <c r="N4" s="119">
        <f t="shared" ref="N4" si="2">I4-L4</f>
        <v>0</v>
      </c>
      <c r="O4" s="120">
        <f t="shared" ref="O4" si="3">H4*N4*G4/1000</f>
        <v>0</v>
      </c>
      <c r="P4" s="111"/>
      <c r="Q4" s="111"/>
      <c r="R4" s="111"/>
    </row>
    <row r="5" spans="1:18" ht="27">
      <c r="A5" s="110" t="s">
        <v>296</v>
      </c>
      <c r="B5" s="111" t="s">
        <v>297</v>
      </c>
      <c r="C5" s="112" t="s">
        <v>228</v>
      </c>
      <c r="D5" s="113" t="s">
        <v>20</v>
      </c>
      <c r="E5" s="175" t="s">
        <v>15</v>
      </c>
      <c r="F5" s="175" t="s">
        <v>56</v>
      </c>
      <c r="G5" s="176">
        <v>25.2</v>
      </c>
      <c r="H5" s="177">
        <v>11.5</v>
      </c>
      <c r="I5" s="178">
        <v>19</v>
      </c>
      <c r="J5" s="174">
        <f t="shared" ref="J5:J8" si="4">(G5*H5*I5/1000)</f>
        <v>5.5061999999999998</v>
      </c>
      <c r="K5" s="118"/>
      <c r="L5" s="111">
        <v>19</v>
      </c>
      <c r="M5" s="117">
        <f t="shared" ref="M5:M8" si="5">H5*L5*G5/1000</f>
        <v>5.5061999999999998</v>
      </c>
      <c r="N5" s="119">
        <f t="shared" ref="N5" si="6">I5-L5</f>
        <v>0</v>
      </c>
      <c r="O5" s="120">
        <f t="shared" ref="O5" si="7">H5*N5*G5/1000</f>
        <v>0</v>
      </c>
      <c r="P5" s="111"/>
      <c r="Q5" s="111"/>
      <c r="R5" s="111"/>
    </row>
    <row r="6" spans="1:18" ht="27">
      <c r="A6" s="110" t="s">
        <v>296</v>
      </c>
      <c r="B6" s="111" t="s">
        <v>297</v>
      </c>
      <c r="C6" s="112" t="s">
        <v>228</v>
      </c>
      <c r="D6" s="113" t="s">
        <v>20</v>
      </c>
      <c r="E6" s="175" t="s">
        <v>15</v>
      </c>
      <c r="F6" s="175" t="s">
        <v>56</v>
      </c>
      <c r="G6" s="176">
        <v>25.2</v>
      </c>
      <c r="H6" s="177">
        <v>12</v>
      </c>
      <c r="I6" s="178">
        <v>1</v>
      </c>
      <c r="J6" s="174">
        <f t="shared" si="4"/>
        <v>0.3024</v>
      </c>
      <c r="K6" s="118" t="s">
        <v>104</v>
      </c>
      <c r="L6" s="111">
        <v>1</v>
      </c>
      <c r="M6" s="117">
        <f t="shared" si="5"/>
        <v>0.3024</v>
      </c>
      <c r="N6" s="119">
        <f t="shared" ref="N6:N8" si="8">I6-L6</f>
        <v>0</v>
      </c>
      <c r="O6" s="120">
        <f t="shared" ref="O6:O8" si="9">H6*N6*G6/1000</f>
        <v>0</v>
      </c>
      <c r="P6" s="111"/>
      <c r="Q6" s="111"/>
      <c r="R6" s="111"/>
    </row>
    <row r="7" spans="1:18" ht="27">
      <c r="A7" s="110" t="s">
        <v>296</v>
      </c>
      <c r="B7" s="111" t="s">
        <v>297</v>
      </c>
      <c r="C7" s="112" t="s">
        <v>228</v>
      </c>
      <c r="D7" s="113" t="s">
        <v>20</v>
      </c>
      <c r="E7" s="175" t="s">
        <v>15</v>
      </c>
      <c r="F7" s="175" t="s">
        <v>56</v>
      </c>
      <c r="G7" s="176">
        <v>25.2</v>
      </c>
      <c r="H7" s="177">
        <v>11.7</v>
      </c>
      <c r="I7" s="178">
        <v>1</v>
      </c>
      <c r="J7" s="174">
        <f t="shared" si="4"/>
        <v>0.29483999999999999</v>
      </c>
      <c r="K7" s="118" t="s">
        <v>104</v>
      </c>
      <c r="L7" s="111">
        <v>1</v>
      </c>
      <c r="M7" s="117">
        <f t="shared" si="5"/>
        <v>0.29483999999999999</v>
      </c>
      <c r="N7" s="119">
        <f t="shared" si="8"/>
        <v>0</v>
      </c>
      <c r="O7" s="120">
        <f t="shared" si="9"/>
        <v>0</v>
      </c>
      <c r="P7" s="111"/>
      <c r="Q7" s="111"/>
      <c r="R7" s="111"/>
    </row>
    <row r="8" spans="1:18" ht="27">
      <c r="A8" s="110" t="s">
        <v>296</v>
      </c>
      <c r="B8" s="111" t="s">
        <v>297</v>
      </c>
      <c r="C8" s="112" t="s">
        <v>228</v>
      </c>
      <c r="D8" s="113" t="s">
        <v>20</v>
      </c>
      <c r="E8" s="175" t="s">
        <v>15</v>
      </c>
      <c r="F8" s="175" t="s">
        <v>56</v>
      </c>
      <c r="G8" s="176">
        <v>25.2</v>
      </c>
      <c r="H8" s="177">
        <v>11.5</v>
      </c>
      <c r="I8" s="178">
        <v>1</v>
      </c>
      <c r="J8" s="174">
        <f t="shared" si="4"/>
        <v>0.2898</v>
      </c>
      <c r="K8" s="118" t="s">
        <v>104</v>
      </c>
      <c r="L8" s="111">
        <v>1</v>
      </c>
      <c r="M8" s="117">
        <f t="shared" si="5"/>
        <v>0.2898</v>
      </c>
      <c r="N8" s="119">
        <f t="shared" si="8"/>
        <v>0</v>
      </c>
      <c r="O8" s="120">
        <f t="shared" si="9"/>
        <v>0</v>
      </c>
      <c r="P8" s="111"/>
      <c r="Q8" s="111"/>
      <c r="R8" s="111"/>
    </row>
    <row r="9" spans="1:18">
      <c r="A9" s="32"/>
      <c r="B9" s="32"/>
      <c r="C9" s="32"/>
      <c r="D9" s="32"/>
      <c r="E9" s="32"/>
      <c r="F9" s="32"/>
      <c r="G9" s="32"/>
      <c r="H9" s="32"/>
      <c r="I9" s="131">
        <f>SUM(I4:I8)</f>
        <v>42</v>
      </c>
      <c r="J9" s="124">
        <f>SUM(J4:J8)</f>
        <v>12.441240000000001</v>
      </c>
      <c r="K9" s="32"/>
      <c r="L9" s="131">
        <f>SUM(L4:L8)</f>
        <v>42</v>
      </c>
      <c r="M9" s="132">
        <f>SUM(M4:M8)</f>
        <v>12.441240000000001</v>
      </c>
      <c r="N9" s="131">
        <f>SUM(N4:N8)</f>
        <v>0</v>
      </c>
      <c r="O9" s="132">
        <f>SUM(O4:O8)</f>
        <v>0</v>
      </c>
      <c r="P9" s="32"/>
      <c r="Q9" s="32"/>
      <c r="R9" s="32"/>
    </row>
    <row r="11" spans="1:18" ht="27">
      <c r="A11" s="110" t="s">
        <v>296</v>
      </c>
      <c r="B11" s="111" t="s">
        <v>299</v>
      </c>
      <c r="C11" s="112" t="s">
        <v>228</v>
      </c>
      <c r="D11" s="113" t="s">
        <v>298</v>
      </c>
      <c r="E11" s="175" t="s">
        <v>15</v>
      </c>
      <c r="F11" s="175" t="s">
        <v>56</v>
      </c>
      <c r="G11" s="176">
        <v>25.2</v>
      </c>
      <c r="H11" s="177">
        <v>6.1</v>
      </c>
      <c r="I11" s="178">
        <f>13+16+16+6</f>
        <v>51</v>
      </c>
      <c r="J11" s="174">
        <f t="shared" ref="J11" si="10">(G11*H11*I11/1000)</f>
        <v>7.8397200000000007</v>
      </c>
      <c r="K11" s="118"/>
      <c r="L11" s="111">
        <v>51</v>
      </c>
      <c r="M11" s="117">
        <f t="shared" ref="M11" si="11">H11*L11*G11/1000</f>
        <v>7.8397199999999989</v>
      </c>
      <c r="N11" s="119">
        <f t="shared" ref="N11" si="12">I11-L11</f>
        <v>0</v>
      </c>
      <c r="O11" s="120">
        <f>H11*N11*G11/1000</f>
        <v>0</v>
      </c>
      <c r="P11" s="111"/>
      <c r="Q11" s="111"/>
      <c r="R11" s="111"/>
    </row>
    <row r="12" spans="1:18" ht="27">
      <c r="A12" s="110" t="s">
        <v>296</v>
      </c>
      <c r="B12" s="111" t="s">
        <v>299</v>
      </c>
      <c r="C12" s="112" t="s">
        <v>228</v>
      </c>
      <c r="D12" s="113" t="s">
        <v>298</v>
      </c>
      <c r="E12" s="175" t="s">
        <v>15</v>
      </c>
      <c r="F12" s="175" t="s">
        <v>56</v>
      </c>
      <c r="G12" s="176">
        <v>25.2</v>
      </c>
      <c r="H12" s="177">
        <v>6.1</v>
      </c>
      <c r="I12" s="178">
        <v>2</v>
      </c>
      <c r="J12" s="174">
        <f t="shared" ref="J12:J14" si="13">(G12*H12*I12/1000)</f>
        <v>0.30743999999999999</v>
      </c>
      <c r="K12" s="118"/>
      <c r="L12" s="111">
        <v>1</v>
      </c>
      <c r="M12" s="117">
        <f t="shared" ref="M12:M15" si="14">H12*L12*G12/1000</f>
        <v>0.15372</v>
      </c>
      <c r="N12" s="119">
        <f t="shared" ref="N12:N15" si="15">I12-L12</f>
        <v>1</v>
      </c>
      <c r="O12" s="120">
        <f>H12*N12*G12/1000</f>
        <v>0.15372</v>
      </c>
      <c r="P12" s="111"/>
      <c r="Q12" s="111"/>
      <c r="R12" s="111"/>
    </row>
    <row r="13" spans="1:18" ht="27">
      <c r="A13" s="110" t="s">
        <v>296</v>
      </c>
      <c r="B13" s="111" t="s">
        <v>299</v>
      </c>
      <c r="C13" s="112" t="s">
        <v>228</v>
      </c>
      <c r="D13" s="113" t="s">
        <v>298</v>
      </c>
      <c r="E13" s="175" t="s">
        <v>15</v>
      </c>
      <c r="F13" s="175" t="s">
        <v>56</v>
      </c>
      <c r="G13" s="176">
        <v>25.2</v>
      </c>
      <c r="H13" s="177">
        <v>10</v>
      </c>
      <c r="I13" s="178">
        <v>1</v>
      </c>
      <c r="J13" s="174">
        <f t="shared" si="13"/>
        <v>0.252</v>
      </c>
      <c r="K13" s="118"/>
      <c r="L13" s="111"/>
      <c r="M13" s="117">
        <f t="shared" si="14"/>
        <v>0</v>
      </c>
      <c r="N13" s="119">
        <f t="shared" si="15"/>
        <v>1</v>
      </c>
      <c r="O13" s="120">
        <f>H13*N13*G13/1000</f>
        <v>0.252</v>
      </c>
      <c r="P13" s="111"/>
      <c r="Q13" s="111"/>
      <c r="R13" s="111"/>
    </row>
    <row r="14" spans="1:18" ht="27">
      <c r="A14" s="110" t="s">
        <v>296</v>
      </c>
      <c r="B14" s="111" t="s">
        <v>299</v>
      </c>
      <c r="C14" s="112" t="s">
        <v>228</v>
      </c>
      <c r="D14" s="113" t="s">
        <v>298</v>
      </c>
      <c r="E14" s="175" t="s">
        <v>15</v>
      </c>
      <c r="F14" s="175" t="s">
        <v>56</v>
      </c>
      <c r="G14" s="176">
        <v>25.2</v>
      </c>
      <c r="H14" s="177">
        <v>11.2</v>
      </c>
      <c r="I14" s="178">
        <v>1</v>
      </c>
      <c r="J14" s="174">
        <f t="shared" si="13"/>
        <v>0.28223999999999994</v>
      </c>
      <c r="K14" s="118"/>
      <c r="L14" s="111"/>
      <c r="M14" s="117">
        <f t="shared" si="14"/>
        <v>0</v>
      </c>
      <c r="N14" s="119">
        <f t="shared" si="15"/>
        <v>1</v>
      </c>
      <c r="O14" s="120">
        <f>H14*N14*G14/1000</f>
        <v>0.28223999999999994</v>
      </c>
      <c r="P14" s="111"/>
      <c r="Q14" s="111"/>
      <c r="R14" s="111"/>
    </row>
    <row r="15" spans="1:18" ht="27">
      <c r="A15" s="110" t="s">
        <v>296</v>
      </c>
      <c r="B15" s="111" t="s">
        <v>299</v>
      </c>
      <c r="C15" s="112" t="s">
        <v>228</v>
      </c>
      <c r="D15" s="113" t="s">
        <v>298</v>
      </c>
      <c r="E15" s="175" t="s">
        <v>15</v>
      </c>
      <c r="F15" s="175" t="s">
        <v>56</v>
      </c>
      <c r="G15" s="176">
        <v>25.2</v>
      </c>
      <c r="H15" s="177">
        <v>12.2</v>
      </c>
      <c r="I15" s="178">
        <v>1</v>
      </c>
      <c r="J15" s="174">
        <f>(G15*H15*I15/1000)</f>
        <v>0.30743999999999999</v>
      </c>
      <c r="K15" s="118"/>
      <c r="L15" s="111"/>
      <c r="M15" s="117">
        <f t="shared" si="14"/>
        <v>0</v>
      </c>
      <c r="N15" s="119">
        <f t="shared" si="15"/>
        <v>1</v>
      </c>
      <c r="O15" s="120">
        <f>H15*N15*G15/1000</f>
        <v>0.30743999999999999</v>
      </c>
      <c r="P15" s="111"/>
      <c r="Q15" s="111"/>
      <c r="R15" s="111"/>
    </row>
    <row r="16" spans="1:18">
      <c r="A16" s="32"/>
      <c r="B16" s="32"/>
      <c r="C16" s="32"/>
      <c r="D16" s="32"/>
      <c r="E16" s="32"/>
      <c r="F16" s="32"/>
      <c r="G16" s="32"/>
      <c r="H16" s="32"/>
      <c r="I16" s="131">
        <f>SUM(I11:I15)</f>
        <v>56</v>
      </c>
      <c r="J16" s="124">
        <f>SUM(J11:J15)</f>
        <v>8.9888400000000015</v>
      </c>
      <c r="K16" s="32"/>
      <c r="L16" s="171">
        <f>SUM(L11:L15)</f>
        <v>52</v>
      </c>
      <c r="M16" s="132">
        <f>SUM(M11:M15)</f>
        <v>7.9934399999999988</v>
      </c>
      <c r="N16" s="131">
        <f>SUM(N11:N15)</f>
        <v>4</v>
      </c>
      <c r="O16" s="132">
        <f>SUM(O11:O15)</f>
        <v>0.99539999999999984</v>
      </c>
      <c r="P16" s="32"/>
      <c r="Q16" s="32"/>
      <c r="R16" s="32"/>
    </row>
    <row r="18" spans="1:18" ht="27">
      <c r="A18" s="110" t="s">
        <v>296</v>
      </c>
      <c r="B18" s="111" t="s">
        <v>299</v>
      </c>
      <c r="C18" s="112" t="s">
        <v>228</v>
      </c>
      <c r="D18" s="113" t="s">
        <v>298</v>
      </c>
      <c r="E18" s="175" t="s">
        <v>15</v>
      </c>
      <c r="F18" s="175" t="s">
        <v>60</v>
      </c>
      <c r="G18" s="176">
        <v>23</v>
      </c>
      <c r="H18" s="177">
        <v>6.2</v>
      </c>
      <c r="I18" s="178">
        <f>14+13+3+3+8+3+2</f>
        <v>46</v>
      </c>
      <c r="J18" s="174">
        <f t="shared" ref="J18:J19" si="16">(G18*H18*I18/1000)</f>
        <v>6.5595999999999997</v>
      </c>
      <c r="K18" s="118"/>
      <c r="L18" s="111">
        <v>46</v>
      </c>
      <c r="M18" s="117">
        <f t="shared" ref="M18:M19" si="17">H18*L18*G18/1000</f>
        <v>6.5595999999999997</v>
      </c>
      <c r="N18" s="119">
        <f t="shared" ref="N18:N19" si="18">I18-L18</f>
        <v>0</v>
      </c>
      <c r="O18" s="120">
        <f>H18*N18*G18/1000</f>
        <v>0</v>
      </c>
      <c r="P18" s="111"/>
      <c r="Q18" s="111"/>
      <c r="R18" s="111"/>
    </row>
    <row r="19" spans="1:18" ht="27">
      <c r="A19" s="110" t="s">
        <v>296</v>
      </c>
      <c r="B19" s="111" t="s">
        <v>299</v>
      </c>
      <c r="C19" s="112" t="s">
        <v>228</v>
      </c>
      <c r="D19" s="113" t="s">
        <v>298</v>
      </c>
      <c r="E19" s="175" t="s">
        <v>15</v>
      </c>
      <c r="F19" s="175" t="s">
        <v>60</v>
      </c>
      <c r="G19" s="176">
        <v>23</v>
      </c>
      <c r="H19" s="177">
        <v>6.3</v>
      </c>
      <c r="I19" s="178">
        <f>15+15+11+14+14+6+6+11+5+1+1</f>
        <v>99</v>
      </c>
      <c r="J19" s="174">
        <f t="shared" si="16"/>
        <v>14.3451</v>
      </c>
      <c r="K19" s="118"/>
      <c r="L19" s="111">
        <v>99</v>
      </c>
      <c r="M19" s="117">
        <f t="shared" si="17"/>
        <v>14.345099999999999</v>
      </c>
      <c r="N19" s="119">
        <f t="shared" si="18"/>
        <v>0</v>
      </c>
      <c r="O19" s="120">
        <f>H19*N19*G19/1000</f>
        <v>0</v>
      </c>
      <c r="P19" s="111"/>
      <c r="Q19" s="111"/>
      <c r="R19" s="111"/>
    </row>
    <row r="20" spans="1:18" ht="27">
      <c r="A20" s="110" t="s">
        <v>296</v>
      </c>
      <c r="B20" s="111" t="s">
        <v>299</v>
      </c>
      <c r="C20" s="112" t="s">
        <v>228</v>
      </c>
      <c r="D20" s="113" t="s">
        <v>298</v>
      </c>
      <c r="E20" s="175" t="s">
        <v>15</v>
      </c>
      <c r="F20" s="175" t="s">
        <v>60</v>
      </c>
      <c r="G20" s="176">
        <v>23</v>
      </c>
      <c r="H20" s="177">
        <v>7.6</v>
      </c>
      <c r="I20" s="178">
        <f>15+12+6+8+7</f>
        <v>48</v>
      </c>
      <c r="J20" s="174">
        <f t="shared" ref="J20:J31" si="19">(G20*H20*I20/1000)</f>
        <v>8.3903999999999996</v>
      </c>
      <c r="K20" s="118"/>
      <c r="L20" s="111">
        <f>47+1</f>
        <v>48</v>
      </c>
      <c r="M20" s="117">
        <f t="shared" ref="M20:M31" si="20">H20*L20*G20/1000</f>
        <v>8.3903999999999996</v>
      </c>
      <c r="N20" s="119">
        <f t="shared" ref="N20:N31" si="21">I20-L20</f>
        <v>0</v>
      </c>
      <c r="O20" s="120">
        <f t="shared" ref="O20:O31" si="22">H20*N20*G20/1000</f>
        <v>0</v>
      </c>
      <c r="P20" s="130">
        <v>6.3</v>
      </c>
      <c r="Q20" s="111">
        <v>1</v>
      </c>
      <c r="R20" s="111"/>
    </row>
    <row r="21" spans="1:18" ht="27">
      <c r="A21" s="110" t="s">
        <v>296</v>
      </c>
      <c r="B21" s="111" t="s">
        <v>299</v>
      </c>
      <c r="C21" s="112" t="s">
        <v>228</v>
      </c>
      <c r="D21" s="113" t="s">
        <v>298</v>
      </c>
      <c r="E21" s="175" t="s">
        <v>15</v>
      </c>
      <c r="F21" s="175" t="s">
        <v>60</v>
      </c>
      <c r="G21" s="176">
        <v>23</v>
      </c>
      <c r="H21" s="177">
        <v>5.5</v>
      </c>
      <c r="I21" s="178">
        <v>1</v>
      </c>
      <c r="J21" s="174">
        <f t="shared" si="19"/>
        <v>0.1265</v>
      </c>
      <c r="K21" s="118"/>
      <c r="L21" s="111"/>
      <c r="M21" s="117">
        <f t="shared" si="20"/>
        <v>0</v>
      </c>
      <c r="N21" s="119">
        <f t="shared" si="21"/>
        <v>1</v>
      </c>
      <c r="O21" s="120">
        <f t="shared" si="22"/>
        <v>0.1265</v>
      </c>
      <c r="P21" s="111"/>
      <c r="Q21" s="111"/>
      <c r="R21" s="111"/>
    </row>
    <row r="22" spans="1:18" ht="27">
      <c r="A22" s="110" t="s">
        <v>296</v>
      </c>
      <c r="B22" s="111" t="s">
        <v>299</v>
      </c>
      <c r="C22" s="112" t="s">
        <v>228</v>
      </c>
      <c r="D22" s="113" t="s">
        <v>298</v>
      </c>
      <c r="E22" s="175" t="s">
        <v>15</v>
      </c>
      <c r="F22" s="175" t="s">
        <v>60</v>
      </c>
      <c r="G22" s="176">
        <v>23</v>
      </c>
      <c r="H22" s="177">
        <v>5.9</v>
      </c>
      <c r="I22" s="178">
        <v>2</v>
      </c>
      <c r="J22" s="174">
        <f t="shared" si="19"/>
        <v>0.27140000000000003</v>
      </c>
      <c r="K22" s="118"/>
      <c r="L22" s="111"/>
      <c r="M22" s="117">
        <f t="shared" si="20"/>
        <v>0</v>
      </c>
      <c r="N22" s="119">
        <f t="shared" si="21"/>
        <v>2</v>
      </c>
      <c r="O22" s="120">
        <f t="shared" si="22"/>
        <v>0.27140000000000003</v>
      </c>
      <c r="P22" s="111"/>
      <c r="Q22" s="111"/>
      <c r="R22" s="111"/>
    </row>
    <row r="23" spans="1:18" ht="27">
      <c r="A23" s="110" t="s">
        <v>296</v>
      </c>
      <c r="B23" s="111" t="s">
        <v>299</v>
      </c>
      <c r="C23" s="112" t="s">
        <v>228</v>
      </c>
      <c r="D23" s="113" t="s">
        <v>298</v>
      </c>
      <c r="E23" s="175" t="s">
        <v>15</v>
      </c>
      <c r="F23" s="175" t="s">
        <v>60</v>
      </c>
      <c r="G23" s="176">
        <v>23</v>
      </c>
      <c r="H23" s="177">
        <v>6.1</v>
      </c>
      <c r="I23" s="178">
        <v>1</v>
      </c>
      <c r="J23" s="174">
        <f t="shared" si="19"/>
        <v>0.14029999999999998</v>
      </c>
      <c r="K23" s="118"/>
      <c r="L23" s="111"/>
      <c r="M23" s="117">
        <f t="shared" si="20"/>
        <v>0</v>
      </c>
      <c r="N23" s="119">
        <f t="shared" si="21"/>
        <v>1</v>
      </c>
      <c r="O23" s="120">
        <f t="shared" si="22"/>
        <v>0.14029999999999998</v>
      </c>
      <c r="P23" s="111"/>
      <c r="Q23" s="111"/>
      <c r="R23" s="111"/>
    </row>
    <row r="24" spans="1:18" ht="27">
      <c r="A24" s="110" t="s">
        <v>296</v>
      </c>
      <c r="B24" s="111" t="s">
        <v>299</v>
      </c>
      <c r="C24" s="112" t="s">
        <v>228</v>
      </c>
      <c r="D24" s="113" t="s">
        <v>298</v>
      </c>
      <c r="E24" s="175" t="s">
        <v>15</v>
      </c>
      <c r="F24" s="175" t="s">
        <v>60</v>
      </c>
      <c r="G24" s="176">
        <v>23</v>
      </c>
      <c r="H24" s="177">
        <v>7.4</v>
      </c>
      <c r="I24" s="178">
        <v>2</v>
      </c>
      <c r="J24" s="174">
        <f t="shared" si="19"/>
        <v>0.34040000000000004</v>
      </c>
      <c r="K24" s="118"/>
      <c r="L24" s="111">
        <v>2</v>
      </c>
      <c r="M24" s="117">
        <f t="shared" si="20"/>
        <v>0.34040000000000004</v>
      </c>
      <c r="N24" s="119">
        <f t="shared" si="21"/>
        <v>0</v>
      </c>
      <c r="O24" s="120">
        <f t="shared" si="22"/>
        <v>0</v>
      </c>
      <c r="P24" s="130">
        <v>6.3</v>
      </c>
      <c r="Q24" s="111">
        <v>2</v>
      </c>
      <c r="R24" s="111"/>
    </row>
    <row r="25" spans="1:18" ht="27">
      <c r="A25" s="110" t="s">
        <v>296</v>
      </c>
      <c r="B25" s="111" t="s">
        <v>299</v>
      </c>
      <c r="C25" s="112" t="s">
        <v>228</v>
      </c>
      <c r="D25" s="113" t="s">
        <v>298</v>
      </c>
      <c r="E25" s="175" t="s">
        <v>15</v>
      </c>
      <c r="F25" s="175" t="s">
        <v>60</v>
      </c>
      <c r="G25" s="176">
        <v>23</v>
      </c>
      <c r="H25" s="177">
        <v>7.5</v>
      </c>
      <c r="I25" s="178">
        <v>1</v>
      </c>
      <c r="J25" s="174">
        <f t="shared" si="19"/>
        <v>0.17249999999999999</v>
      </c>
      <c r="K25" s="118"/>
      <c r="L25" s="111">
        <v>1</v>
      </c>
      <c r="M25" s="117">
        <f t="shared" si="20"/>
        <v>0.17249999999999999</v>
      </c>
      <c r="N25" s="119">
        <f t="shared" si="21"/>
        <v>0</v>
      </c>
      <c r="O25" s="120">
        <f t="shared" si="22"/>
        <v>0</v>
      </c>
      <c r="P25" s="130">
        <v>6.3</v>
      </c>
      <c r="Q25" s="111">
        <v>1</v>
      </c>
      <c r="R25" s="111"/>
    </row>
    <row r="26" spans="1:18" ht="27">
      <c r="A26" s="110" t="s">
        <v>296</v>
      </c>
      <c r="B26" s="111" t="s">
        <v>299</v>
      </c>
      <c r="C26" s="112" t="s">
        <v>228</v>
      </c>
      <c r="D26" s="113" t="s">
        <v>298</v>
      </c>
      <c r="E26" s="175" t="s">
        <v>15</v>
      </c>
      <c r="F26" s="175" t="s">
        <v>60</v>
      </c>
      <c r="G26" s="176">
        <v>23</v>
      </c>
      <c r="H26" s="177">
        <v>9</v>
      </c>
      <c r="I26" s="178">
        <v>1</v>
      </c>
      <c r="J26" s="174">
        <f t="shared" si="19"/>
        <v>0.20699999999999999</v>
      </c>
      <c r="K26" s="118"/>
      <c r="L26" s="111">
        <v>1</v>
      </c>
      <c r="M26" s="117">
        <f t="shared" si="20"/>
        <v>0.20699999999999999</v>
      </c>
      <c r="N26" s="119">
        <f t="shared" si="21"/>
        <v>0</v>
      </c>
      <c r="O26" s="120">
        <f t="shared" si="22"/>
        <v>0</v>
      </c>
      <c r="P26" s="130">
        <v>6.3</v>
      </c>
      <c r="Q26" s="111">
        <v>1</v>
      </c>
      <c r="R26" s="111"/>
    </row>
    <row r="27" spans="1:18" ht="27">
      <c r="A27" s="110" t="s">
        <v>296</v>
      </c>
      <c r="B27" s="111" t="s">
        <v>299</v>
      </c>
      <c r="C27" s="112" t="s">
        <v>228</v>
      </c>
      <c r="D27" s="113" t="s">
        <v>298</v>
      </c>
      <c r="E27" s="175" t="s">
        <v>15</v>
      </c>
      <c r="F27" s="175" t="s">
        <v>60</v>
      </c>
      <c r="G27" s="176">
        <v>23</v>
      </c>
      <c r="H27" s="177">
        <v>6.1</v>
      </c>
      <c r="I27" s="178">
        <v>1</v>
      </c>
      <c r="J27" s="174">
        <f t="shared" si="19"/>
        <v>0.14029999999999998</v>
      </c>
      <c r="K27" s="118"/>
      <c r="L27" s="111">
        <v>1</v>
      </c>
      <c r="M27" s="117">
        <f t="shared" si="20"/>
        <v>0.14029999999999998</v>
      </c>
      <c r="N27" s="119">
        <f t="shared" si="21"/>
        <v>0</v>
      </c>
      <c r="O27" s="120">
        <f t="shared" si="22"/>
        <v>0</v>
      </c>
      <c r="P27" s="111"/>
      <c r="Q27" s="111"/>
      <c r="R27" s="111"/>
    </row>
    <row r="28" spans="1:18" ht="27">
      <c r="A28" s="110" t="s">
        <v>296</v>
      </c>
      <c r="B28" s="111" t="s">
        <v>299</v>
      </c>
      <c r="C28" s="112" t="s">
        <v>228</v>
      </c>
      <c r="D28" s="113" t="s">
        <v>298</v>
      </c>
      <c r="E28" s="175" t="s">
        <v>15</v>
      </c>
      <c r="F28" s="175" t="s">
        <v>60</v>
      </c>
      <c r="G28" s="176">
        <v>23</v>
      </c>
      <c r="H28" s="177">
        <v>7.1</v>
      </c>
      <c r="I28" s="178">
        <v>1</v>
      </c>
      <c r="J28" s="174">
        <f t="shared" si="19"/>
        <v>0.16329999999999997</v>
      </c>
      <c r="K28" s="118"/>
      <c r="L28" s="111">
        <v>1</v>
      </c>
      <c r="M28" s="117">
        <f t="shared" si="20"/>
        <v>0.16329999999999997</v>
      </c>
      <c r="N28" s="119">
        <f t="shared" si="21"/>
        <v>0</v>
      </c>
      <c r="O28" s="120">
        <f t="shared" si="22"/>
        <v>0</v>
      </c>
      <c r="P28" s="111">
        <v>6.2</v>
      </c>
      <c r="Q28" s="111">
        <v>1</v>
      </c>
      <c r="R28" s="111"/>
    </row>
    <row r="29" spans="1:18" ht="27">
      <c r="A29" s="110" t="s">
        <v>296</v>
      </c>
      <c r="B29" s="111" t="s">
        <v>299</v>
      </c>
      <c r="C29" s="112" t="s">
        <v>228</v>
      </c>
      <c r="D29" s="113" t="s">
        <v>298</v>
      </c>
      <c r="E29" s="175" t="s">
        <v>15</v>
      </c>
      <c r="F29" s="175" t="s">
        <v>60</v>
      </c>
      <c r="G29" s="176">
        <v>23</v>
      </c>
      <c r="H29" s="177">
        <v>11.25</v>
      </c>
      <c r="I29" s="178">
        <v>1</v>
      </c>
      <c r="J29" s="174">
        <f t="shared" si="19"/>
        <v>0.25874999999999998</v>
      </c>
      <c r="K29" s="183" t="s">
        <v>26</v>
      </c>
      <c r="L29" s="111">
        <v>1</v>
      </c>
      <c r="M29" s="117">
        <f t="shared" si="20"/>
        <v>0.25874999999999998</v>
      </c>
      <c r="N29" s="119">
        <f t="shared" si="21"/>
        <v>0</v>
      </c>
      <c r="O29" s="120">
        <f t="shared" si="22"/>
        <v>0</v>
      </c>
      <c r="P29" s="111">
        <v>8.4</v>
      </c>
      <c r="Q29" s="111">
        <v>1</v>
      </c>
      <c r="R29" s="111" t="s">
        <v>780</v>
      </c>
    </row>
    <row r="30" spans="1:18" ht="27">
      <c r="A30" s="110" t="s">
        <v>296</v>
      </c>
      <c r="B30" s="111" t="s">
        <v>299</v>
      </c>
      <c r="C30" s="112" t="s">
        <v>228</v>
      </c>
      <c r="D30" s="113" t="s">
        <v>298</v>
      </c>
      <c r="E30" s="175" t="s">
        <v>15</v>
      </c>
      <c r="F30" s="175" t="s">
        <v>60</v>
      </c>
      <c r="G30" s="176">
        <v>23</v>
      </c>
      <c r="H30" s="177">
        <v>6.3</v>
      </c>
      <c r="I30" s="178">
        <v>1</v>
      </c>
      <c r="J30" s="174">
        <f t="shared" si="19"/>
        <v>0.1449</v>
      </c>
      <c r="K30" s="183" t="s">
        <v>26</v>
      </c>
      <c r="L30" s="111">
        <v>1</v>
      </c>
      <c r="M30" s="117">
        <f t="shared" si="20"/>
        <v>0.1449</v>
      </c>
      <c r="N30" s="119">
        <f t="shared" si="21"/>
        <v>0</v>
      </c>
      <c r="O30" s="120">
        <f t="shared" si="22"/>
        <v>0</v>
      </c>
      <c r="P30" s="111"/>
      <c r="Q30" s="111"/>
      <c r="R30" s="111"/>
    </row>
    <row r="31" spans="1:18" ht="27">
      <c r="A31" s="110" t="s">
        <v>296</v>
      </c>
      <c r="B31" s="111" t="s">
        <v>299</v>
      </c>
      <c r="C31" s="112" t="s">
        <v>228</v>
      </c>
      <c r="D31" s="113" t="s">
        <v>298</v>
      </c>
      <c r="E31" s="175" t="s">
        <v>15</v>
      </c>
      <c r="F31" s="175" t="s">
        <v>60</v>
      </c>
      <c r="G31" s="176">
        <v>23</v>
      </c>
      <c r="H31" s="177">
        <v>7.4</v>
      </c>
      <c r="I31" s="178">
        <v>1</v>
      </c>
      <c r="J31" s="174">
        <f t="shared" si="19"/>
        <v>0.17020000000000002</v>
      </c>
      <c r="K31" s="118"/>
      <c r="L31" s="111">
        <v>1</v>
      </c>
      <c r="M31" s="117">
        <f t="shared" si="20"/>
        <v>0.17020000000000002</v>
      </c>
      <c r="N31" s="119">
        <f t="shared" si="21"/>
        <v>0</v>
      </c>
      <c r="O31" s="120">
        <f t="shared" si="22"/>
        <v>0</v>
      </c>
      <c r="P31" s="111">
        <v>6.2</v>
      </c>
      <c r="Q31" s="111">
        <v>1</v>
      </c>
      <c r="R31" s="111"/>
    </row>
    <row r="32" spans="1:18">
      <c r="I32" s="78">
        <f>SUM(I18:I31)</f>
        <v>206</v>
      </c>
      <c r="J32" s="5">
        <f>SUM(J18:J31)</f>
        <v>31.430649999999996</v>
      </c>
      <c r="L32" s="78">
        <f>SUM(L18:L31)</f>
        <v>202</v>
      </c>
      <c r="M32" s="5">
        <f>SUM(M18:M31)</f>
        <v>30.892449999999997</v>
      </c>
      <c r="N32" s="78">
        <f>SUM(N18:N31)</f>
        <v>4</v>
      </c>
      <c r="O32" s="128">
        <f>SUM(O18:O31)</f>
        <v>0.53820000000000001</v>
      </c>
    </row>
    <row r="34" spans="1:18" ht="27">
      <c r="A34" s="110" t="s">
        <v>296</v>
      </c>
      <c r="B34" s="111" t="s">
        <v>297</v>
      </c>
      <c r="C34" s="112" t="s">
        <v>228</v>
      </c>
      <c r="D34" s="113" t="s">
        <v>89</v>
      </c>
      <c r="E34" s="175" t="s">
        <v>15</v>
      </c>
      <c r="F34" s="175" t="s">
        <v>57</v>
      </c>
      <c r="G34" s="176">
        <v>33.799999999999997</v>
      </c>
      <c r="H34" s="177">
        <v>10.1</v>
      </c>
      <c r="I34" s="178">
        <f>9+9+8</f>
        <v>26</v>
      </c>
      <c r="J34" s="174">
        <f t="shared" ref="J34" si="23">(G34*H34*I34/1000)</f>
        <v>8.8758799999999987</v>
      </c>
      <c r="K34" s="118"/>
      <c r="L34" s="111">
        <v>26</v>
      </c>
      <c r="M34" s="117">
        <f t="shared" ref="M34" si="24">H34*L34*G34/1000</f>
        <v>8.8758799999999969</v>
      </c>
      <c r="N34" s="119">
        <f t="shared" ref="N34" si="25">I34-L34</f>
        <v>0</v>
      </c>
      <c r="O34" s="120">
        <f t="shared" ref="O34" si="26">H34*N34*G34/1000</f>
        <v>0</v>
      </c>
      <c r="P34" s="111"/>
      <c r="Q34" s="111"/>
      <c r="R34" s="111"/>
    </row>
    <row r="35" spans="1:18" ht="27">
      <c r="A35" s="110" t="s">
        <v>296</v>
      </c>
      <c r="B35" s="111" t="s">
        <v>297</v>
      </c>
      <c r="C35" s="112" t="s">
        <v>228</v>
      </c>
      <c r="D35" s="113" t="s">
        <v>89</v>
      </c>
      <c r="E35" s="175" t="s">
        <v>15</v>
      </c>
      <c r="F35" s="175" t="s">
        <v>57</v>
      </c>
      <c r="G35" s="176">
        <v>33.799999999999997</v>
      </c>
      <c r="H35" s="177">
        <v>10.1</v>
      </c>
      <c r="I35" s="178">
        <v>1</v>
      </c>
      <c r="J35" s="174">
        <f t="shared" ref="J35:J38" si="27">(G35*H35*I35/1000)</f>
        <v>0.34137999999999996</v>
      </c>
      <c r="K35" s="118"/>
      <c r="L35" s="111">
        <v>1</v>
      </c>
      <c r="M35" s="117">
        <f t="shared" ref="M35:M40" si="28">H35*L35*G35/1000</f>
        <v>0.34137999999999996</v>
      </c>
      <c r="N35" s="119">
        <f t="shared" ref="N35:N40" si="29">I35-L35</f>
        <v>0</v>
      </c>
      <c r="O35" s="120">
        <f t="shared" ref="O35:O40" si="30">H35*N35*G35/1000</f>
        <v>0</v>
      </c>
      <c r="P35" s="111"/>
      <c r="Q35" s="111"/>
      <c r="R35" s="111"/>
    </row>
    <row r="36" spans="1:18" ht="27">
      <c r="A36" s="110" t="s">
        <v>296</v>
      </c>
      <c r="B36" s="111" t="s">
        <v>297</v>
      </c>
      <c r="C36" s="112" t="s">
        <v>228</v>
      </c>
      <c r="D36" s="113" t="s">
        <v>89</v>
      </c>
      <c r="E36" s="175" t="s">
        <v>15</v>
      </c>
      <c r="F36" s="175" t="s">
        <v>57</v>
      </c>
      <c r="G36" s="176">
        <v>33.799999999999997</v>
      </c>
      <c r="H36" s="177">
        <v>10</v>
      </c>
      <c r="I36" s="178">
        <v>1</v>
      </c>
      <c r="J36" s="174">
        <f t="shared" si="27"/>
        <v>0.33800000000000002</v>
      </c>
      <c r="K36" s="118"/>
      <c r="L36" s="111">
        <v>1</v>
      </c>
      <c r="M36" s="117">
        <f t="shared" si="28"/>
        <v>0.33800000000000002</v>
      </c>
      <c r="N36" s="119">
        <f t="shared" si="29"/>
        <v>0</v>
      </c>
      <c r="O36" s="120">
        <f t="shared" si="30"/>
        <v>0</v>
      </c>
      <c r="P36" s="111"/>
      <c r="Q36" s="111"/>
      <c r="R36" s="111"/>
    </row>
    <row r="37" spans="1:18" ht="27">
      <c r="A37" s="110" t="s">
        <v>296</v>
      </c>
      <c r="B37" s="111" t="s">
        <v>297</v>
      </c>
      <c r="C37" s="112" t="s">
        <v>228</v>
      </c>
      <c r="D37" s="113" t="s">
        <v>89</v>
      </c>
      <c r="E37" s="175" t="s">
        <v>15</v>
      </c>
      <c r="F37" s="175" t="s">
        <v>57</v>
      </c>
      <c r="G37" s="176">
        <v>33.799999999999997</v>
      </c>
      <c r="H37" s="177">
        <v>9.8000000000000007</v>
      </c>
      <c r="I37" s="178">
        <v>2</v>
      </c>
      <c r="J37" s="174">
        <f t="shared" si="27"/>
        <v>0.66248000000000007</v>
      </c>
      <c r="K37" s="118"/>
      <c r="L37" s="111">
        <v>2</v>
      </c>
      <c r="M37" s="117">
        <f t="shared" si="28"/>
        <v>0.66248000000000007</v>
      </c>
      <c r="N37" s="119">
        <f t="shared" si="29"/>
        <v>0</v>
      </c>
      <c r="O37" s="120">
        <f t="shared" si="30"/>
        <v>0</v>
      </c>
      <c r="P37" s="111"/>
      <c r="Q37" s="111"/>
      <c r="R37" s="111"/>
    </row>
    <row r="38" spans="1:18" ht="27">
      <c r="A38" s="110" t="s">
        <v>296</v>
      </c>
      <c r="B38" s="111" t="s">
        <v>297</v>
      </c>
      <c r="C38" s="112" t="s">
        <v>228</v>
      </c>
      <c r="D38" s="113" t="s">
        <v>89</v>
      </c>
      <c r="E38" s="175" t="s">
        <v>15</v>
      </c>
      <c r="F38" s="175" t="s">
        <v>57</v>
      </c>
      <c r="G38" s="176">
        <v>33.799999999999997</v>
      </c>
      <c r="H38" s="177">
        <v>9.6999999999999993</v>
      </c>
      <c r="I38" s="178">
        <v>1</v>
      </c>
      <c r="J38" s="174">
        <f t="shared" si="27"/>
        <v>0.32785999999999993</v>
      </c>
      <c r="K38" s="118"/>
      <c r="L38" s="111">
        <v>1</v>
      </c>
      <c r="M38" s="117">
        <f t="shared" si="28"/>
        <v>0.32785999999999993</v>
      </c>
      <c r="N38" s="119">
        <f t="shared" si="29"/>
        <v>0</v>
      </c>
      <c r="O38" s="120">
        <f t="shared" si="30"/>
        <v>0</v>
      </c>
      <c r="P38" s="111"/>
      <c r="Q38" s="111"/>
      <c r="R38" s="111"/>
    </row>
    <row r="39" spans="1:18" ht="27">
      <c r="A39" s="110" t="s">
        <v>296</v>
      </c>
      <c r="B39" s="111" t="s">
        <v>297</v>
      </c>
      <c r="C39" s="112" t="s">
        <v>228</v>
      </c>
      <c r="D39" s="113" t="s">
        <v>89</v>
      </c>
      <c r="E39" s="175" t="s">
        <v>15</v>
      </c>
      <c r="F39" s="175" t="s">
        <v>57</v>
      </c>
      <c r="G39" s="176">
        <v>33.799999999999997</v>
      </c>
      <c r="H39" s="177">
        <v>10.1</v>
      </c>
      <c r="I39" s="178">
        <v>1</v>
      </c>
      <c r="J39" s="174">
        <f t="shared" ref="J39" si="31">(G39*H39*I39/1000)</f>
        <v>0.34137999999999996</v>
      </c>
      <c r="K39" s="183" t="s">
        <v>300</v>
      </c>
      <c r="L39" s="111">
        <v>1</v>
      </c>
      <c r="M39" s="117">
        <f t="shared" ref="M39" si="32">H39*L39*G39/1000</f>
        <v>0.34137999999999996</v>
      </c>
      <c r="N39" s="119">
        <f t="shared" ref="N39" si="33">I39-L39</f>
        <v>0</v>
      </c>
      <c r="O39" s="120">
        <f t="shared" ref="O39" si="34">H39*N39*G39/1000</f>
        <v>0</v>
      </c>
      <c r="P39" s="111"/>
      <c r="Q39" s="111"/>
      <c r="R39" s="111"/>
    </row>
    <row r="40" spans="1:18" ht="27">
      <c r="A40" s="201" t="s">
        <v>296</v>
      </c>
      <c r="B40" s="93" t="s">
        <v>297</v>
      </c>
      <c r="C40" s="202" t="s">
        <v>228</v>
      </c>
      <c r="D40" s="203" t="s">
        <v>89</v>
      </c>
      <c r="E40" s="204" t="s">
        <v>15</v>
      </c>
      <c r="F40" s="204" t="s">
        <v>54</v>
      </c>
      <c r="G40" s="205">
        <v>33.799999999999997</v>
      </c>
      <c r="H40" s="206">
        <v>10.1</v>
      </c>
      <c r="I40" s="207">
        <v>2</v>
      </c>
      <c r="J40" s="208">
        <f>(G40*H40*I40/1000)</f>
        <v>0.68275999999999992</v>
      </c>
      <c r="K40" s="209"/>
      <c r="L40" s="93">
        <v>2</v>
      </c>
      <c r="M40" s="210">
        <f t="shared" si="28"/>
        <v>0.68275999999999992</v>
      </c>
      <c r="N40" s="211">
        <f t="shared" si="29"/>
        <v>0</v>
      </c>
      <c r="O40" s="212">
        <f t="shared" si="30"/>
        <v>0</v>
      </c>
      <c r="P40" s="93" t="s">
        <v>310</v>
      </c>
      <c r="Q40" s="94">
        <v>9.6999999999999993</v>
      </c>
      <c r="R40" s="93">
        <v>2</v>
      </c>
    </row>
    <row r="41" spans="1:18">
      <c r="I41" s="78">
        <f>SUM(I34:I40)</f>
        <v>34</v>
      </c>
      <c r="J41" s="5">
        <f>SUM(J34:J40)</f>
        <v>11.569739999999996</v>
      </c>
      <c r="L41" s="80">
        <f>SUM(L34:L40)</f>
        <v>34</v>
      </c>
      <c r="M41" s="128">
        <f>SUM(M34:M40)</f>
        <v>11.569739999999994</v>
      </c>
      <c r="N41" s="78">
        <f>SUM(N34:N40)</f>
        <v>0</v>
      </c>
      <c r="O41" s="128">
        <f>SUM(O34:O40)</f>
        <v>0</v>
      </c>
    </row>
    <row r="43" spans="1:18" ht="27">
      <c r="A43" s="110" t="s">
        <v>308</v>
      </c>
      <c r="B43" s="111" t="s">
        <v>309</v>
      </c>
      <c r="C43" s="112" t="s">
        <v>228</v>
      </c>
      <c r="D43" s="118" t="s">
        <v>17</v>
      </c>
      <c r="E43" s="175" t="s">
        <v>15</v>
      </c>
      <c r="F43" s="175" t="s">
        <v>59</v>
      </c>
      <c r="G43" s="176">
        <v>38</v>
      </c>
      <c r="H43" s="177">
        <v>6</v>
      </c>
      <c r="I43" s="178">
        <v>11</v>
      </c>
      <c r="J43" s="174">
        <f t="shared" ref="J43" si="35">(G43*H43*I43/1000)</f>
        <v>2.508</v>
      </c>
      <c r="K43" s="118"/>
      <c r="L43" s="111">
        <v>11</v>
      </c>
      <c r="M43" s="117">
        <f t="shared" ref="M43" si="36">H43*L43*G43/1000</f>
        <v>2.508</v>
      </c>
      <c r="N43" s="119">
        <f t="shared" ref="N43" si="37">I43-L43</f>
        <v>0</v>
      </c>
      <c r="O43" s="120">
        <f t="shared" ref="O43" si="38">H43*N43*G43/1000</f>
        <v>0</v>
      </c>
      <c r="P43" s="111"/>
      <c r="Q43" s="111"/>
      <c r="R43" s="111"/>
    </row>
    <row r="44" spans="1:18" ht="27">
      <c r="A44" s="110" t="s">
        <v>308</v>
      </c>
      <c r="B44" s="111" t="s">
        <v>309</v>
      </c>
      <c r="C44" s="112" t="s">
        <v>228</v>
      </c>
      <c r="D44" s="118" t="s">
        <v>17</v>
      </c>
      <c r="E44" s="175" t="s">
        <v>15</v>
      </c>
      <c r="F44" s="175" t="s">
        <v>59</v>
      </c>
      <c r="G44" s="176">
        <v>38</v>
      </c>
      <c r="H44" s="177">
        <v>7.5</v>
      </c>
      <c r="I44" s="178">
        <v>2</v>
      </c>
      <c r="J44" s="174">
        <f t="shared" ref="J44:J47" si="39">(G44*H44*I44/1000)</f>
        <v>0.56999999999999995</v>
      </c>
      <c r="K44" s="118"/>
      <c r="L44" s="111">
        <v>2</v>
      </c>
      <c r="M44" s="117">
        <f t="shared" ref="M44:M50" si="40">H44*L44*G44/1000</f>
        <v>0.56999999999999995</v>
      </c>
      <c r="N44" s="119">
        <f t="shared" ref="N44:N50" si="41">I44-L44</f>
        <v>0</v>
      </c>
      <c r="O44" s="120">
        <f t="shared" ref="O44:O46" si="42">H44*N44*G44/1000</f>
        <v>0</v>
      </c>
      <c r="P44" s="111"/>
      <c r="Q44" s="111"/>
      <c r="R44" s="111"/>
    </row>
    <row r="45" spans="1:18" ht="27">
      <c r="A45" s="110" t="s">
        <v>308</v>
      </c>
      <c r="B45" s="111" t="s">
        <v>309</v>
      </c>
      <c r="C45" s="112" t="s">
        <v>228</v>
      </c>
      <c r="D45" s="118" t="s">
        <v>17</v>
      </c>
      <c r="E45" s="175" t="s">
        <v>15</v>
      </c>
      <c r="F45" s="175" t="s">
        <v>59</v>
      </c>
      <c r="G45" s="176">
        <v>38</v>
      </c>
      <c r="H45" s="177">
        <v>6.6</v>
      </c>
      <c r="I45" s="178">
        <v>1</v>
      </c>
      <c r="J45" s="174">
        <f t="shared" si="39"/>
        <v>0.25079999999999997</v>
      </c>
      <c r="K45" s="118"/>
      <c r="L45" s="111">
        <v>1</v>
      </c>
      <c r="M45" s="117">
        <f t="shared" si="40"/>
        <v>0.25079999999999997</v>
      </c>
      <c r="N45" s="119">
        <f t="shared" si="41"/>
        <v>0</v>
      </c>
      <c r="O45" s="120">
        <f t="shared" si="42"/>
        <v>0</v>
      </c>
      <c r="P45" s="111"/>
      <c r="Q45" s="111"/>
      <c r="R45" s="111"/>
    </row>
    <row r="46" spans="1:18" ht="27">
      <c r="A46" s="110" t="s">
        <v>308</v>
      </c>
      <c r="B46" s="111" t="s">
        <v>309</v>
      </c>
      <c r="C46" s="112" t="s">
        <v>228</v>
      </c>
      <c r="D46" s="118" t="s">
        <v>17</v>
      </c>
      <c r="E46" s="175" t="s">
        <v>15</v>
      </c>
      <c r="F46" s="175" t="s">
        <v>59</v>
      </c>
      <c r="G46" s="176">
        <v>38</v>
      </c>
      <c r="H46" s="177">
        <v>7.6</v>
      </c>
      <c r="I46" s="178">
        <v>1</v>
      </c>
      <c r="J46" s="174">
        <f t="shared" si="39"/>
        <v>0.2888</v>
      </c>
      <c r="K46" s="118"/>
      <c r="L46" s="111">
        <v>1</v>
      </c>
      <c r="M46" s="117">
        <f t="shared" si="40"/>
        <v>0.2888</v>
      </c>
      <c r="N46" s="119">
        <f t="shared" si="41"/>
        <v>0</v>
      </c>
      <c r="O46" s="120">
        <f t="shared" si="42"/>
        <v>0</v>
      </c>
      <c r="P46" s="111"/>
      <c r="Q46" s="111"/>
      <c r="R46" s="111"/>
    </row>
    <row r="47" spans="1:18" ht="27">
      <c r="A47" s="110" t="s">
        <v>308</v>
      </c>
      <c r="B47" s="111" t="s">
        <v>309</v>
      </c>
      <c r="C47" s="112" t="s">
        <v>228</v>
      </c>
      <c r="D47" s="118" t="s">
        <v>17</v>
      </c>
      <c r="E47" s="175" t="s">
        <v>15</v>
      </c>
      <c r="F47" s="175" t="s">
        <v>59</v>
      </c>
      <c r="G47" s="176">
        <v>38</v>
      </c>
      <c r="H47" s="177">
        <v>7.2</v>
      </c>
      <c r="I47" s="178">
        <v>2</v>
      </c>
      <c r="J47" s="174">
        <f t="shared" si="39"/>
        <v>0.54720000000000002</v>
      </c>
      <c r="K47" s="118"/>
      <c r="L47" s="111">
        <v>2</v>
      </c>
      <c r="M47" s="117">
        <f t="shared" si="40"/>
        <v>0.54720000000000002</v>
      </c>
      <c r="N47" s="119">
        <f t="shared" si="41"/>
        <v>0</v>
      </c>
      <c r="O47" s="120">
        <f>H47*N47*G47/1000</f>
        <v>0</v>
      </c>
      <c r="P47" s="366">
        <v>7.2</v>
      </c>
      <c r="Q47" s="45">
        <v>2</v>
      </c>
      <c r="R47" s="45" t="s">
        <v>532</v>
      </c>
    </row>
    <row r="48" spans="1:18" ht="27">
      <c r="A48" s="110" t="s">
        <v>308</v>
      </c>
      <c r="B48" s="111" t="s">
        <v>309</v>
      </c>
      <c r="C48" s="112" t="s">
        <v>228</v>
      </c>
      <c r="D48" s="118" t="s">
        <v>17</v>
      </c>
      <c r="E48" s="175" t="s">
        <v>15</v>
      </c>
      <c r="F48" s="175" t="s">
        <v>59</v>
      </c>
      <c r="G48" s="176">
        <v>38</v>
      </c>
      <c r="H48" s="177">
        <v>6</v>
      </c>
      <c r="I48" s="178">
        <v>1</v>
      </c>
      <c r="J48" s="174">
        <f>(G48*H48*I48/1000)</f>
        <v>0.22800000000000001</v>
      </c>
      <c r="K48" s="118"/>
      <c r="L48" s="111">
        <v>1</v>
      </c>
      <c r="M48" s="117">
        <f t="shared" si="40"/>
        <v>0.22800000000000001</v>
      </c>
      <c r="N48" s="119">
        <f t="shared" si="41"/>
        <v>0</v>
      </c>
      <c r="O48" s="120">
        <f>H48*N48*G48/1000</f>
        <v>0</v>
      </c>
      <c r="P48" s="130"/>
      <c r="Q48" s="111"/>
      <c r="R48" s="111"/>
    </row>
    <row r="49" spans="1:18" ht="27">
      <c r="A49" s="110" t="s">
        <v>308</v>
      </c>
      <c r="B49" s="111" t="s">
        <v>309</v>
      </c>
      <c r="C49" s="112" t="s">
        <v>228</v>
      </c>
      <c r="D49" s="118" t="s">
        <v>17</v>
      </c>
      <c r="E49" s="175" t="s">
        <v>15</v>
      </c>
      <c r="F49" s="175" t="s">
        <v>59</v>
      </c>
      <c r="G49" s="176">
        <v>38</v>
      </c>
      <c r="H49" s="177">
        <v>7.5</v>
      </c>
      <c r="I49" s="178">
        <v>1</v>
      </c>
      <c r="J49" s="174">
        <f>(G49*H49*I49/1000)</f>
        <v>0.28499999999999998</v>
      </c>
      <c r="K49" s="118"/>
      <c r="L49" s="111">
        <v>1</v>
      </c>
      <c r="M49" s="117">
        <f t="shared" si="40"/>
        <v>0.28499999999999998</v>
      </c>
      <c r="N49" s="119">
        <f t="shared" si="41"/>
        <v>0</v>
      </c>
      <c r="O49" s="120">
        <f>H49*N49*G49/1000</f>
        <v>0</v>
      </c>
      <c r="P49" s="366">
        <v>7.5</v>
      </c>
      <c r="Q49" s="45">
        <v>1</v>
      </c>
      <c r="R49" s="45" t="s">
        <v>532</v>
      </c>
    </row>
    <row r="50" spans="1:18" ht="27">
      <c r="A50" s="110" t="s">
        <v>308</v>
      </c>
      <c r="B50" s="111" t="s">
        <v>309</v>
      </c>
      <c r="C50" s="112" t="s">
        <v>228</v>
      </c>
      <c r="D50" s="118" t="s">
        <v>17</v>
      </c>
      <c r="E50" s="175" t="s">
        <v>15</v>
      </c>
      <c r="F50" s="175" t="s">
        <v>59</v>
      </c>
      <c r="G50" s="176">
        <v>38</v>
      </c>
      <c r="H50" s="177">
        <v>10</v>
      </c>
      <c r="I50" s="178">
        <v>1</v>
      </c>
      <c r="J50" s="174">
        <f>(G50*H50*I50/1000)</f>
        <v>0.38</v>
      </c>
      <c r="K50" s="118"/>
      <c r="L50" s="111">
        <v>1</v>
      </c>
      <c r="M50" s="117">
        <f t="shared" si="40"/>
        <v>0.38</v>
      </c>
      <c r="N50" s="119">
        <f t="shared" si="41"/>
        <v>0</v>
      </c>
      <c r="O50" s="120">
        <f>H50*N50*G50/1000</f>
        <v>0</v>
      </c>
      <c r="P50" s="366">
        <v>10</v>
      </c>
      <c r="Q50" s="45">
        <v>1</v>
      </c>
      <c r="R50" s="45" t="s">
        <v>532</v>
      </c>
    </row>
    <row r="51" spans="1:18">
      <c r="A51" s="32"/>
      <c r="B51" s="32"/>
      <c r="C51" s="32"/>
      <c r="D51" s="32"/>
      <c r="E51" s="32"/>
      <c r="F51" s="32"/>
      <c r="G51" s="32"/>
      <c r="H51" s="32"/>
      <c r="I51" s="131">
        <f>SUM(I43:I50)</f>
        <v>20</v>
      </c>
      <c r="J51" s="124">
        <f>SUM(J43:J50)</f>
        <v>5.0577999999999994</v>
      </c>
      <c r="K51" s="32"/>
      <c r="L51" s="171">
        <f>SUM(L43:L50)</f>
        <v>20</v>
      </c>
      <c r="M51" s="132">
        <f>SUM(M43:M50)</f>
        <v>5.0577999999999994</v>
      </c>
      <c r="N51" s="131">
        <f>SUM(N43:N50)</f>
        <v>0</v>
      </c>
      <c r="O51" s="132">
        <f>SUM(O43:O50)</f>
        <v>0</v>
      </c>
      <c r="P51" s="32"/>
      <c r="Q51" s="171">
        <f>SUM(Q43:Q50)</f>
        <v>4</v>
      </c>
      <c r="R51" s="32"/>
    </row>
    <row r="54" spans="1:18" ht="27">
      <c r="A54" s="110" t="s">
        <v>296</v>
      </c>
      <c r="B54" s="111" t="s">
        <v>299</v>
      </c>
      <c r="C54" s="112" t="s">
        <v>228</v>
      </c>
      <c r="D54" s="113" t="s">
        <v>298</v>
      </c>
      <c r="E54" s="175" t="s">
        <v>15</v>
      </c>
      <c r="F54" s="175" t="s">
        <v>53</v>
      </c>
      <c r="G54" s="176">
        <v>35.9</v>
      </c>
      <c r="H54" s="177">
        <v>8.1</v>
      </c>
      <c r="I54" s="178">
        <f>12+11+12+11+6</f>
        <v>52</v>
      </c>
      <c r="J54" s="174">
        <f t="shared" ref="J54" si="43">(G54*H54*I54/1000)</f>
        <v>15.121079999999997</v>
      </c>
      <c r="K54" s="118"/>
      <c r="L54" s="111">
        <v>52</v>
      </c>
      <c r="M54" s="117">
        <f t="shared" ref="M54" si="44">H54*L54*G54/1000</f>
        <v>15.121079999999997</v>
      </c>
      <c r="N54" s="119">
        <f t="shared" ref="N54" si="45">I54-L54</f>
        <v>0</v>
      </c>
      <c r="O54" s="120">
        <f>H54*N54*G54/1000</f>
        <v>0</v>
      </c>
      <c r="P54" s="111"/>
      <c r="Q54" s="111"/>
      <c r="R54" s="111"/>
    </row>
    <row r="55" spans="1:18" ht="27">
      <c r="A55" s="110" t="s">
        <v>296</v>
      </c>
      <c r="B55" s="111" t="s">
        <v>299</v>
      </c>
      <c r="C55" s="112" t="s">
        <v>228</v>
      </c>
      <c r="D55" s="113" t="s">
        <v>298</v>
      </c>
      <c r="E55" s="175" t="s">
        <v>15</v>
      </c>
      <c r="F55" s="175" t="s">
        <v>53</v>
      </c>
      <c r="G55" s="176">
        <v>35.9</v>
      </c>
      <c r="H55" s="177">
        <v>7.1</v>
      </c>
      <c r="I55" s="178">
        <v>1</v>
      </c>
      <c r="J55" s="174">
        <f t="shared" ref="J55:J56" si="46">(G55*H55*I55/1000)</f>
        <v>0.25489000000000001</v>
      </c>
      <c r="K55" s="118"/>
      <c r="L55" s="111">
        <v>1</v>
      </c>
      <c r="M55" s="117">
        <f t="shared" ref="M55:M56" si="47">H55*L55*G55/1000</f>
        <v>0.25489000000000001</v>
      </c>
      <c r="N55" s="119">
        <f t="shared" ref="N55:N56" si="48">I55-L55</f>
        <v>0</v>
      </c>
      <c r="O55" s="120">
        <f>H55*N55*G55/1000</f>
        <v>0</v>
      </c>
      <c r="P55" s="111">
        <v>7.2</v>
      </c>
      <c r="Q55" s="111">
        <v>1</v>
      </c>
      <c r="R55" s="35" t="s">
        <v>764</v>
      </c>
    </row>
    <row r="56" spans="1:18" ht="27">
      <c r="A56" s="110" t="s">
        <v>296</v>
      </c>
      <c r="B56" s="111" t="s">
        <v>299</v>
      </c>
      <c r="C56" s="112" t="s">
        <v>228</v>
      </c>
      <c r="D56" s="113" t="s">
        <v>298</v>
      </c>
      <c r="E56" s="175" t="s">
        <v>15</v>
      </c>
      <c r="F56" s="175" t="s">
        <v>53</v>
      </c>
      <c r="G56" s="176">
        <v>35.9</v>
      </c>
      <c r="H56" s="177">
        <v>7.45</v>
      </c>
      <c r="I56" s="178">
        <v>4</v>
      </c>
      <c r="J56" s="174">
        <f t="shared" si="46"/>
        <v>1.06982</v>
      </c>
      <c r="K56" s="118"/>
      <c r="L56" s="111">
        <v>4</v>
      </c>
      <c r="M56" s="117">
        <f t="shared" si="47"/>
        <v>1.06982</v>
      </c>
      <c r="N56" s="119">
        <f t="shared" si="48"/>
        <v>0</v>
      </c>
      <c r="O56" s="120">
        <f>H56*N56*G56/1000</f>
        <v>0</v>
      </c>
      <c r="P56" s="111">
        <v>7.2</v>
      </c>
      <c r="Q56" s="111">
        <v>4</v>
      </c>
      <c r="R56" s="35" t="s">
        <v>764</v>
      </c>
    </row>
    <row r="57" spans="1:18">
      <c r="A57" s="32"/>
      <c r="B57" s="32"/>
      <c r="C57" s="32"/>
      <c r="D57" s="32"/>
      <c r="E57" s="32"/>
      <c r="F57" s="32"/>
      <c r="G57" s="32"/>
      <c r="H57" s="32"/>
      <c r="I57" s="131">
        <f>SUM(I54:I56)</f>
        <v>57</v>
      </c>
      <c r="J57" s="124">
        <f>SUM(J54:J56)</f>
        <v>16.445789999999995</v>
      </c>
      <c r="K57" s="32"/>
      <c r="L57" s="131">
        <f>SUM(L54:L56)</f>
        <v>57</v>
      </c>
      <c r="M57" s="132">
        <f>SUM(M54:M56)</f>
        <v>16.445789999999995</v>
      </c>
      <c r="N57" s="131">
        <f>SUM(N54:N56)</f>
        <v>0</v>
      </c>
      <c r="O57" s="132">
        <f>SUM(O54:O56)</f>
        <v>0</v>
      </c>
      <c r="P57" s="32"/>
      <c r="Q57" s="32"/>
      <c r="R57" s="32"/>
    </row>
    <row r="59" spans="1:18" ht="27">
      <c r="A59" s="110" t="s">
        <v>296</v>
      </c>
      <c r="B59" s="111" t="s">
        <v>297</v>
      </c>
      <c r="C59" s="112" t="s">
        <v>228</v>
      </c>
      <c r="D59" s="113" t="s">
        <v>20</v>
      </c>
      <c r="E59" s="175" t="s">
        <v>15</v>
      </c>
      <c r="F59" s="175" t="s">
        <v>53</v>
      </c>
      <c r="G59" s="176">
        <v>35.9</v>
      </c>
      <c r="H59" s="177">
        <v>11.75</v>
      </c>
      <c r="I59" s="178">
        <f>7+7</f>
        <v>14</v>
      </c>
      <c r="J59" s="174">
        <f t="shared" ref="J59:J61" si="49">(G59*H59*I59/1000)</f>
        <v>5.9055499999999999</v>
      </c>
      <c r="K59" s="118"/>
      <c r="L59" s="111">
        <v>14</v>
      </c>
      <c r="M59" s="117">
        <f t="shared" ref="M59:M61" si="50">H59*L59*G59/1000</f>
        <v>5.9055499999999999</v>
      </c>
      <c r="N59" s="119">
        <f t="shared" ref="N59:N61" si="51">I59-L59</f>
        <v>0</v>
      </c>
      <c r="O59" s="120">
        <f>H59*N59*G59/1000</f>
        <v>0</v>
      </c>
      <c r="P59" s="111"/>
      <c r="Q59" s="111"/>
      <c r="R59" s="111"/>
    </row>
    <row r="60" spans="1:18" ht="27">
      <c r="A60" s="110" t="s">
        <v>296</v>
      </c>
      <c r="B60" s="111" t="s">
        <v>297</v>
      </c>
      <c r="C60" s="112" t="s">
        <v>228</v>
      </c>
      <c r="D60" s="113" t="s">
        <v>20</v>
      </c>
      <c r="E60" s="175" t="s">
        <v>15</v>
      </c>
      <c r="F60" s="175" t="s">
        <v>53</v>
      </c>
      <c r="G60" s="176">
        <v>35.9</v>
      </c>
      <c r="H60" s="177">
        <v>11.75</v>
      </c>
      <c r="I60" s="178">
        <v>7</v>
      </c>
      <c r="J60" s="174">
        <f t="shared" si="49"/>
        <v>2.9527749999999999</v>
      </c>
      <c r="K60" s="199" t="s">
        <v>26</v>
      </c>
      <c r="L60" s="111">
        <f>6+1</f>
        <v>7</v>
      </c>
      <c r="M60" s="117">
        <f t="shared" si="50"/>
        <v>2.9527749999999999</v>
      </c>
      <c r="N60" s="119">
        <f t="shared" si="51"/>
        <v>0</v>
      </c>
      <c r="O60" s="120">
        <f>H60*N60*G60/1000</f>
        <v>0</v>
      </c>
      <c r="P60" s="111" t="s">
        <v>373</v>
      </c>
      <c r="Q60" s="111">
        <v>11.7</v>
      </c>
      <c r="R60" s="111">
        <v>1</v>
      </c>
    </row>
    <row r="61" spans="1:18" ht="27">
      <c r="A61" s="110" t="s">
        <v>296</v>
      </c>
      <c r="B61" s="111" t="s">
        <v>297</v>
      </c>
      <c r="C61" s="112" t="s">
        <v>228</v>
      </c>
      <c r="D61" s="113" t="s">
        <v>20</v>
      </c>
      <c r="E61" s="175" t="s">
        <v>15</v>
      </c>
      <c r="F61" s="175" t="s">
        <v>53</v>
      </c>
      <c r="G61" s="176">
        <v>35.9</v>
      </c>
      <c r="H61" s="177">
        <v>11.5</v>
      </c>
      <c r="I61" s="178">
        <v>1</v>
      </c>
      <c r="J61" s="174">
        <f t="shared" si="49"/>
        <v>0.41284999999999994</v>
      </c>
      <c r="K61" s="118"/>
      <c r="L61" s="111">
        <v>1</v>
      </c>
      <c r="M61" s="117">
        <f t="shared" si="50"/>
        <v>0.41284999999999994</v>
      </c>
      <c r="N61" s="119">
        <f t="shared" si="51"/>
        <v>0</v>
      </c>
      <c r="O61" s="120">
        <f>H61*N61*G61/1000</f>
        <v>0</v>
      </c>
      <c r="P61" s="111" t="s">
        <v>373</v>
      </c>
      <c r="Q61" s="111" t="s">
        <v>406</v>
      </c>
      <c r="R61" s="111">
        <v>1</v>
      </c>
    </row>
    <row r="62" spans="1:18" ht="27">
      <c r="A62" s="110" t="s">
        <v>296</v>
      </c>
      <c r="B62" s="111" t="s">
        <v>297</v>
      </c>
      <c r="C62" s="112" t="s">
        <v>228</v>
      </c>
      <c r="D62" s="113" t="s">
        <v>20</v>
      </c>
      <c r="E62" s="175" t="s">
        <v>15</v>
      </c>
      <c r="F62" s="175" t="s">
        <v>53</v>
      </c>
      <c r="G62" s="176">
        <v>35.9</v>
      </c>
      <c r="H62" s="127">
        <v>11.6</v>
      </c>
      <c r="I62" s="178">
        <v>1</v>
      </c>
      <c r="J62" s="174">
        <f t="shared" ref="J62:J65" si="52">(G62*H62*I62/1000)</f>
        <v>0.41643999999999998</v>
      </c>
      <c r="K62" s="118"/>
      <c r="L62" s="111">
        <v>1</v>
      </c>
      <c r="M62" s="117">
        <f t="shared" ref="M62:M65" si="53">H62*L62*G62/1000</f>
        <v>0.41643999999999998</v>
      </c>
      <c r="N62" s="119">
        <f t="shared" ref="N62:N65" si="54">I62-L62</f>
        <v>0</v>
      </c>
      <c r="O62" s="120">
        <f t="shared" ref="O62" si="55">H62*N62*G62/1000</f>
        <v>0</v>
      </c>
      <c r="P62" s="111" t="s">
        <v>373</v>
      </c>
      <c r="Q62" s="111" t="s">
        <v>406</v>
      </c>
      <c r="R62" s="111">
        <v>1</v>
      </c>
    </row>
    <row r="63" spans="1:18" ht="27">
      <c r="A63" s="110" t="s">
        <v>296</v>
      </c>
      <c r="B63" s="111" t="s">
        <v>297</v>
      </c>
      <c r="C63" s="112" t="s">
        <v>228</v>
      </c>
      <c r="D63" s="113" t="s">
        <v>20</v>
      </c>
      <c r="E63" s="175" t="s">
        <v>15</v>
      </c>
      <c r="F63" s="175" t="s">
        <v>53</v>
      </c>
      <c r="G63" s="176">
        <v>35.9</v>
      </c>
      <c r="H63" s="198">
        <v>8.1</v>
      </c>
      <c r="I63" s="178">
        <v>1</v>
      </c>
      <c r="J63" s="174">
        <f t="shared" si="52"/>
        <v>0.29078999999999994</v>
      </c>
      <c r="K63" s="118"/>
      <c r="L63" s="111">
        <v>1</v>
      </c>
      <c r="M63" s="117">
        <f t="shared" si="53"/>
        <v>0.29078999999999994</v>
      </c>
      <c r="N63" s="119">
        <f t="shared" si="54"/>
        <v>0</v>
      </c>
      <c r="O63" s="120">
        <f>H63*N63*G63/1000</f>
        <v>0</v>
      </c>
      <c r="P63" s="111" t="s">
        <v>373</v>
      </c>
      <c r="Q63" s="111">
        <v>7.8</v>
      </c>
      <c r="R63" s="111">
        <v>1</v>
      </c>
    </row>
    <row r="64" spans="1:18" ht="27">
      <c r="A64" s="110" t="s">
        <v>296</v>
      </c>
      <c r="B64" s="111" t="s">
        <v>297</v>
      </c>
      <c r="C64" s="112" t="s">
        <v>228</v>
      </c>
      <c r="D64" s="113" t="s">
        <v>20</v>
      </c>
      <c r="E64" s="175" t="s">
        <v>15</v>
      </c>
      <c r="F64" s="175" t="s">
        <v>53</v>
      </c>
      <c r="G64" s="176">
        <v>35.9</v>
      </c>
      <c r="H64" s="198">
        <v>8.6</v>
      </c>
      <c r="I64" s="178">
        <v>1</v>
      </c>
      <c r="J64" s="174">
        <f t="shared" si="52"/>
        <v>0.30873999999999996</v>
      </c>
      <c r="K64" s="118"/>
      <c r="L64" s="111">
        <v>1</v>
      </c>
      <c r="M64" s="117">
        <f t="shared" si="53"/>
        <v>0.30873999999999996</v>
      </c>
      <c r="N64" s="119">
        <f t="shared" si="54"/>
        <v>0</v>
      </c>
      <c r="O64" s="120">
        <f>H64*N64*G64/1000</f>
        <v>0</v>
      </c>
      <c r="P64" s="111" t="s">
        <v>373</v>
      </c>
      <c r="Q64" s="111">
        <v>7.8</v>
      </c>
      <c r="R64" s="111">
        <v>1</v>
      </c>
    </row>
    <row r="65" spans="1:18" ht="27">
      <c r="A65" s="110" t="s">
        <v>296</v>
      </c>
      <c r="B65" s="111" t="s">
        <v>297</v>
      </c>
      <c r="C65" s="112" t="s">
        <v>228</v>
      </c>
      <c r="D65" s="113" t="s">
        <v>20</v>
      </c>
      <c r="E65" s="175" t="s">
        <v>15</v>
      </c>
      <c r="F65" s="175" t="s">
        <v>53</v>
      </c>
      <c r="G65" s="176">
        <v>35.9</v>
      </c>
      <c r="H65" s="198">
        <v>9.1999999999999993</v>
      </c>
      <c r="I65" s="178">
        <v>1</v>
      </c>
      <c r="J65" s="174">
        <f t="shared" si="52"/>
        <v>0.33027999999999996</v>
      </c>
      <c r="K65" s="118"/>
      <c r="L65" s="111">
        <v>1</v>
      </c>
      <c r="M65" s="117">
        <f t="shared" si="53"/>
        <v>0.33027999999999996</v>
      </c>
      <c r="N65" s="119">
        <f t="shared" si="54"/>
        <v>0</v>
      </c>
      <c r="O65" s="120">
        <f>H65*N65*G65/1000</f>
        <v>0</v>
      </c>
      <c r="P65" s="111" t="s">
        <v>373</v>
      </c>
      <c r="Q65" s="111" t="s">
        <v>406</v>
      </c>
      <c r="R65" s="111">
        <v>1</v>
      </c>
    </row>
    <row r="66" spans="1:18">
      <c r="I66" s="78">
        <f>SUM(I59:I65)</f>
        <v>26</v>
      </c>
      <c r="J66" s="5">
        <f>SUM(J59:J65)</f>
        <v>10.617425000000001</v>
      </c>
      <c r="L66" s="80">
        <f>SUM(L59:L65)</f>
        <v>26</v>
      </c>
      <c r="M66" s="128">
        <f>SUM(M59:M65)</f>
        <v>10.617425000000001</v>
      </c>
      <c r="N66" s="78">
        <f>SUM(N59:N65)</f>
        <v>0</v>
      </c>
      <c r="O66" s="128">
        <f>SUM(O59:O65)</f>
        <v>0</v>
      </c>
    </row>
    <row r="68" spans="1:18" ht="27">
      <c r="A68" s="110" t="s">
        <v>308</v>
      </c>
      <c r="B68" s="111" t="s">
        <v>309</v>
      </c>
      <c r="C68" s="112" t="s">
        <v>228</v>
      </c>
      <c r="D68" s="118" t="s">
        <v>17</v>
      </c>
      <c r="E68" s="175" t="s">
        <v>15</v>
      </c>
      <c r="F68" s="175" t="s">
        <v>54</v>
      </c>
      <c r="G68" s="176">
        <v>31.6</v>
      </c>
      <c r="H68" s="177">
        <v>10</v>
      </c>
      <c r="I68" s="178">
        <v>6</v>
      </c>
      <c r="J68" s="174">
        <f t="shared" ref="J68:J72" si="56">(G68*H68*I68/1000)</f>
        <v>1.8959999999999999</v>
      </c>
      <c r="K68" s="118"/>
      <c r="L68" s="111">
        <v>6</v>
      </c>
      <c r="M68" s="117">
        <f t="shared" ref="M68:M72" si="57">H68*L68*G68/1000</f>
        <v>1.8959999999999999</v>
      </c>
      <c r="N68" s="119">
        <f t="shared" ref="N68:N72" si="58">I68-L68</f>
        <v>0</v>
      </c>
      <c r="O68" s="120">
        <f t="shared" ref="O68:O72" si="59">H68*N68*G68/1000</f>
        <v>0</v>
      </c>
      <c r="P68" s="111"/>
      <c r="Q68" s="111"/>
      <c r="R68" s="111"/>
    </row>
    <row r="69" spans="1:18" ht="27">
      <c r="A69" s="110" t="s">
        <v>308</v>
      </c>
      <c r="B69" s="111" t="s">
        <v>309</v>
      </c>
      <c r="C69" s="112" t="s">
        <v>228</v>
      </c>
      <c r="D69" s="118" t="s">
        <v>17</v>
      </c>
      <c r="E69" s="175" t="s">
        <v>15</v>
      </c>
      <c r="F69" s="175" t="s">
        <v>54</v>
      </c>
      <c r="G69" s="176">
        <v>31.6</v>
      </c>
      <c r="H69" s="177">
        <v>10.5</v>
      </c>
      <c r="I69" s="178">
        <v>8</v>
      </c>
      <c r="J69" s="174">
        <f t="shared" si="56"/>
        <v>2.6543999999999999</v>
      </c>
      <c r="K69" s="118"/>
      <c r="L69" s="111">
        <v>8</v>
      </c>
      <c r="M69" s="117">
        <f t="shared" si="57"/>
        <v>2.6543999999999999</v>
      </c>
      <c r="N69" s="119">
        <f t="shared" si="58"/>
        <v>0</v>
      </c>
      <c r="O69" s="120">
        <f t="shared" si="59"/>
        <v>0</v>
      </c>
      <c r="P69" s="111"/>
      <c r="Q69" s="111"/>
      <c r="R69" s="111"/>
    </row>
    <row r="70" spans="1:18" ht="27">
      <c r="A70" s="110" t="s">
        <v>308</v>
      </c>
      <c r="B70" s="111" t="s">
        <v>309</v>
      </c>
      <c r="C70" s="112" t="s">
        <v>228</v>
      </c>
      <c r="D70" s="118" t="s">
        <v>17</v>
      </c>
      <c r="E70" s="175" t="s">
        <v>15</v>
      </c>
      <c r="F70" s="175" t="s">
        <v>54</v>
      </c>
      <c r="G70" s="176">
        <v>31.6</v>
      </c>
      <c r="H70" s="177">
        <v>9.6</v>
      </c>
      <c r="I70" s="178">
        <v>1</v>
      </c>
      <c r="J70" s="174">
        <f t="shared" si="56"/>
        <v>0.30336000000000002</v>
      </c>
      <c r="K70" s="118"/>
      <c r="L70" s="111">
        <v>1</v>
      </c>
      <c r="M70" s="117">
        <f t="shared" si="57"/>
        <v>0.30336000000000002</v>
      </c>
      <c r="N70" s="119">
        <f t="shared" si="58"/>
        <v>0</v>
      </c>
      <c r="O70" s="120">
        <f t="shared" si="59"/>
        <v>0</v>
      </c>
      <c r="P70" s="111"/>
      <c r="Q70" s="45">
        <v>1</v>
      </c>
      <c r="R70" s="45" t="s">
        <v>542</v>
      </c>
    </row>
    <row r="71" spans="1:18" ht="27">
      <c r="A71" s="110" t="s">
        <v>308</v>
      </c>
      <c r="B71" s="111" t="s">
        <v>309</v>
      </c>
      <c r="C71" s="112" t="s">
        <v>228</v>
      </c>
      <c r="D71" s="118" t="s">
        <v>17</v>
      </c>
      <c r="E71" s="175" t="s">
        <v>15</v>
      </c>
      <c r="F71" s="175" t="s">
        <v>54</v>
      </c>
      <c r="G71" s="176">
        <v>31.6</v>
      </c>
      <c r="H71" s="177">
        <v>10.5</v>
      </c>
      <c r="I71" s="178">
        <v>2</v>
      </c>
      <c r="J71" s="174">
        <f t="shared" si="56"/>
        <v>0.66359999999999997</v>
      </c>
      <c r="K71" s="118"/>
      <c r="L71" s="111">
        <v>2</v>
      </c>
      <c r="M71" s="117">
        <f t="shared" si="57"/>
        <v>0.66359999999999997</v>
      </c>
      <c r="N71" s="119">
        <f t="shared" si="58"/>
        <v>0</v>
      </c>
      <c r="O71" s="120">
        <f t="shared" si="59"/>
        <v>0</v>
      </c>
      <c r="P71" s="111"/>
      <c r="Q71" s="111">
        <v>2</v>
      </c>
      <c r="R71" s="111" t="s">
        <v>245</v>
      </c>
    </row>
    <row r="72" spans="1:18" ht="27">
      <c r="A72" s="110" t="s">
        <v>308</v>
      </c>
      <c r="B72" s="111" t="s">
        <v>309</v>
      </c>
      <c r="C72" s="112" t="s">
        <v>228</v>
      </c>
      <c r="D72" s="118" t="s">
        <v>17</v>
      </c>
      <c r="E72" s="175" t="s">
        <v>15</v>
      </c>
      <c r="F72" s="175" t="s">
        <v>54</v>
      </c>
      <c r="G72" s="176">
        <v>31.6</v>
      </c>
      <c r="H72" s="177">
        <v>10</v>
      </c>
      <c r="I72" s="178">
        <v>1</v>
      </c>
      <c r="J72" s="174">
        <f t="shared" si="56"/>
        <v>0.316</v>
      </c>
      <c r="K72" s="118"/>
      <c r="L72" s="111">
        <v>1</v>
      </c>
      <c r="M72" s="117">
        <f t="shared" si="57"/>
        <v>0.316</v>
      </c>
      <c r="N72" s="119">
        <f t="shared" si="58"/>
        <v>0</v>
      </c>
      <c r="O72" s="120">
        <f t="shared" si="59"/>
        <v>0</v>
      </c>
      <c r="P72" s="45">
        <v>7.2</v>
      </c>
      <c r="Q72" s="45">
        <v>1</v>
      </c>
      <c r="R72" s="45" t="s">
        <v>673</v>
      </c>
    </row>
    <row r="73" spans="1:18">
      <c r="I73" s="78">
        <f>SUM(I68:I72)</f>
        <v>18</v>
      </c>
      <c r="J73" s="5">
        <f>SUM(J68:J72)</f>
        <v>5.833359999999999</v>
      </c>
      <c r="L73" s="80">
        <f>SUM(L68:L72)</f>
        <v>18</v>
      </c>
      <c r="M73" s="5">
        <f>SUM(M68:M72)</f>
        <v>5.833359999999999</v>
      </c>
      <c r="N73" s="78">
        <f>SUM(N68:N72)</f>
        <v>0</v>
      </c>
      <c r="O73" s="128">
        <f>SUM(O68:O72)</f>
        <v>0</v>
      </c>
    </row>
    <row r="75" spans="1:18" ht="27">
      <c r="A75" s="110" t="s">
        <v>308</v>
      </c>
      <c r="B75" s="111" t="s">
        <v>297</v>
      </c>
      <c r="C75" s="112" t="s">
        <v>228</v>
      </c>
      <c r="D75" s="113" t="s">
        <v>20</v>
      </c>
      <c r="E75" s="175" t="s">
        <v>15</v>
      </c>
      <c r="F75" s="175" t="s">
        <v>54</v>
      </c>
      <c r="G75" s="176">
        <v>31.6</v>
      </c>
      <c r="H75" s="177">
        <v>11.9</v>
      </c>
      <c r="I75" s="178">
        <f>9+5</f>
        <v>14</v>
      </c>
      <c r="J75" s="174">
        <f t="shared" ref="J75:J76" si="60">(G75*H75*I75/1000)</f>
        <v>5.2645600000000004</v>
      </c>
      <c r="K75" s="118"/>
      <c r="L75" s="111">
        <v>14</v>
      </c>
      <c r="M75" s="117">
        <f t="shared" ref="M75:M76" si="61">H75*L75*G75/1000</f>
        <v>5.2645600000000004</v>
      </c>
      <c r="N75" s="119">
        <f t="shared" ref="N75:N76" si="62">I75-L75</f>
        <v>0</v>
      </c>
      <c r="O75" s="120">
        <f t="shared" ref="O75:O76" si="63">H75*N75*G75/1000</f>
        <v>0</v>
      </c>
      <c r="P75" s="111"/>
      <c r="Q75" s="111"/>
      <c r="R75" s="111"/>
    </row>
    <row r="76" spans="1:18" ht="27">
      <c r="A76" s="110" t="s">
        <v>308</v>
      </c>
      <c r="B76" s="111" t="s">
        <v>297</v>
      </c>
      <c r="C76" s="112" t="s">
        <v>228</v>
      </c>
      <c r="D76" s="113" t="s">
        <v>20</v>
      </c>
      <c r="E76" s="175" t="s">
        <v>15</v>
      </c>
      <c r="F76" s="175" t="s">
        <v>54</v>
      </c>
      <c r="G76" s="176">
        <v>31.6</v>
      </c>
      <c r="H76" s="177">
        <v>10.1</v>
      </c>
      <c r="I76" s="178">
        <f>10+10+11+10+10+10+9+9+9+9+9+9+9+10+11+11+4+10</f>
        <v>170</v>
      </c>
      <c r="J76" s="174">
        <f t="shared" si="60"/>
        <v>54.257200000000005</v>
      </c>
      <c r="K76" s="118"/>
      <c r="L76" s="111">
        <f>160+3+7</f>
        <v>170</v>
      </c>
      <c r="M76" s="117">
        <f t="shared" si="61"/>
        <v>54.257200000000005</v>
      </c>
      <c r="N76" s="119">
        <f t="shared" si="62"/>
        <v>0</v>
      </c>
      <c r="O76" s="120">
        <f t="shared" si="63"/>
        <v>0</v>
      </c>
      <c r="P76" s="159">
        <v>10.1</v>
      </c>
      <c r="Q76" s="111">
        <v>7</v>
      </c>
      <c r="R76" s="111" t="s">
        <v>359</v>
      </c>
    </row>
    <row r="77" spans="1:18" ht="27">
      <c r="A77" s="110" t="s">
        <v>308</v>
      </c>
      <c r="B77" s="111" t="s">
        <v>297</v>
      </c>
      <c r="C77" s="112" t="s">
        <v>228</v>
      </c>
      <c r="D77" s="113" t="s">
        <v>20</v>
      </c>
      <c r="E77" s="175" t="s">
        <v>15</v>
      </c>
      <c r="F77" s="175" t="s">
        <v>54</v>
      </c>
      <c r="G77" s="176">
        <v>31.6</v>
      </c>
      <c r="H77" s="177">
        <v>11.6</v>
      </c>
      <c r="I77" s="178">
        <v>4</v>
      </c>
      <c r="J77" s="174">
        <f t="shared" ref="J77:J83" si="64">(G77*H77*I77/1000)</f>
        <v>1.46624</v>
      </c>
      <c r="K77" s="118"/>
      <c r="L77" s="111">
        <v>4</v>
      </c>
      <c r="M77" s="117">
        <f t="shared" ref="M77:M83" si="65">H77*L77*G77/1000</f>
        <v>1.46624</v>
      </c>
      <c r="N77" s="119">
        <f t="shared" ref="N77:N83" si="66">I77-L77</f>
        <v>0</v>
      </c>
      <c r="O77" s="120">
        <f t="shared" ref="O77:O79" si="67">H77*N77*G77/1000</f>
        <v>0</v>
      </c>
      <c r="P77" s="159">
        <v>10.1</v>
      </c>
      <c r="Q77" s="111">
        <v>4</v>
      </c>
      <c r="R77" s="111" t="s">
        <v>359</v>
      </c>
    </row>
    <row r="78" spans="1:18" ht="27">
      <c r="A78" s="110" t="s">
        <v>308</v>
      </c>
      <c r="B78" s="111" t="s">
        <v>297</v>
      </c>
      <c r="C78" s="112" t="s">
        <v>228</v>
      </c>
      <c r="D78" s="113" t="s">
        <v>20</v>
      </c>
      <c r="E78" s="175" t="s">
        <v>15</v>
      </c>
      <c r="F78" s="175" t="s">
        <v>54</v>
      </c>
      <c r="G78" s="176">
        <v>31.6</v>
      </c>
      <c r="H78" s="177">
        <v>11.8</v>
      </c>
      <c r="I78" s="178">
        <v>1</v>
      </c>
      <c r="J78" s="174">
        <f t="shared" si="64"/>
        <v>0.37288000000000004</v>
      </c>
      <c r="K78" s="118"/>
      <c r="L78" s="111">
        <v>1</v>
      </c>
      <c r="M78" s="117">
        <f t="shared" si="65"/>
        <v>0.37288000000000004</v>
      </c>
      <c r="N78" s="119">
        <f t="shared" si="66"/>
        <v>0</v>
      </c>
      <c r="O78" s="120">
        <f t="shared" si="67"/>
        <v>0</v>
      </c>
      <c r="P78" s="159">
        <v>10.1</v>
      </c>
      <c r="Q78" s="111">
        <v>1</v>
      </c>
      <c r="R78" s="111" t="s">
        <v>359</v>
      </c>
    </row>
    <row r="79" spans="1:18" ht="27">
      <c r="A79" s="110" t="s">
        <v>308</v>
      </c>
      <c r="B79" s="111" t="s">
        <v>297</v>
      </c>
      <c r="C79" s="112" t="s">
        <v>228</v>
      </c>
      <c r="D79" s="113" t="s">
        <v>20</v>
      </c>
      <c r="E79" s="175" t="s">
        <v>15</v>
      </c>
      <c r="F79" s="175" t="s">
        <v>54</v>
      </c>
      <c r="G79" s="176">
        <v>31.6</v>
      </c>
      <c r="H79" s="177">
        <v>11.7</v>
      </c>
      <c r="I79" s="178">
        <v>1</v>
      </c>
      <c r="J79" s="174">
        <f t="shared" si="64"/>
        <v>0.36971999999999999</v>
      </c>
      <c r="K79" s="118"/>
      <c r="L79" s="111">
        <v>1</v>
      </c>
      <c r="M79" s="117">
        <f t="shared" si="65"/>
        <v>0.36971999999999999</v>
      </c>
      <c r="N79" s="119">
        <f t="shared" si="66"/>
        <v>0</v>
      </c>
      <c r="O79" s="120">
        <f t="shared" si="67"/>
        <v>0</v>
      </c>
      <c r="P79" s="159">
        <v>10.1</v>
      </c>
      <c r="Q79" s="111">
        <v>1</v>
      </c>
      <c r="R79" s="111" t="s">
        <v>359</v>
      </c>
    </row>
    <row r="80" spans="1:18" ht="27">
      <c r="A80" s="110" t="s">
        <v>308</v>
      </c>
      <c r="B80" s="111" t="s">
        <v>297</v>
      </c>
      <c r="C80" s="112" t="s">
        <v>228</v>
      </c>
      <c r="D80" s="113" t="s">
        <v>20</v>
      </c>
      <c r="E80" s="175" t="s">
        <v>15</v>
      </c>
      <c r="F80" s="175" t="s">
        <v>54</v>
      </c>
      <c r="G80" s="176">
        <v>31.6</v>
      </c>
      <c r="H80" s="177">
        <v>9.3000000000000007</v>
      </c>
      <c r="I80" s="178">
        <v>1</v>
      </c>
      <c r="J80" s="174">
        <f t="shared" si="64"/>
        <v>0.29388000000000003</v>
      </c>
      <c r="K80" s="118"/>
      <c r="L80" s="111">
        <v>1</v>
      </c>
      <c r="M80" s="117">
        <f t="shared" si="65"/>
        <v>0.29388000000000003</v>
      </c>
      <c r="N80" s="119">
        <f t="shared" si="66"/>
        <v>0</v>
      </c>
      <c r="O80" s="120">
        <f>H80*N80*G80/1000</f>
        <v>0</v>
      </c>
      <c r="P80" s="111"/>
      <c r="Q80" s="111">
        <v>1</v>
      </c>
      <c r="R80" s="111" t="s">
        <v>543</v>
      </c>
    </row>
    <row r="81" spans="1:20" ht="27">
      <c r="A81" s="110" t="s">
        <v>308</v>
      </c>
      <c r="B81" s="111" t="s">
        <v>297</v>
      </c>
      <c r="C81" s="112" t="s">
        <v>228</v>
      </c>
      <c r="D81" s="113" t="s">
        <v>20</v>
      </c>
      <c r="E81" s="175" t="s">
        <v>15</v>
      </c>
      <c r="F81" s="175" t="s">
        <v>54</v>
      </c>
      <c r="G81" s="176">
        <v>31.6</v>
      </c>
      <c r="H81" s="177">
        <v>9.5</v>
      </c>
      <c r="I81" s="178">
        <v>1</v>
      </c>
      <c r="J81" s="174">
        <f t="shared" si="64"/>
        <v>0.30019999999999997</v>
      </c>
      <c r="K81" s="118"/>
      <c r="L81" s="111">
        <v>1</v>
      </c>
      <c r="M81" s="117">
        <f t="shared" si="65"/>
        <v>0.30019999999999997</v>
      </c>
      <c r="N81" s="119">
        <f t="shared" si="66"/>
        <v>0</v>
      </c>
      <c r="O81" s="120">
        <f>H81*N81*G81/1000</f>
        <v>0</v>
      </c>
      <c r="P81" s="111"/>
      <c r="Q81" s="111">
        <v>1</v>
      </c>
      <c r="R81" s="111" t="s">
        <v>543</v>
      </c>
    </row>
    <row r="82" spans="1:20" ht="27">
      <c r="A82" s="110" t="s">
        <v>308</v>
      </c>
      <c r="B82" s="111" t="s">
        <v>297</v>
      </c>
      <c r="C82" s="112" t="s">
        <v>228</v>
      </c>
      <c r="D82" s="113" t="s">
        <v>20</v>
      </c>
      <c r="E82" s="175" t="s">
        <v>15</v>
      </c>
      <c r="F82" s="175" t="s">
        <v>54</v>
      </c>
      <c r="G82" s="176">
        <v>31.6</v>
      </c>
      <c r="H82" s="177">
        <v>9.6999999999999993</v>
      </c>
      <c r="I82" s="178">
        <v>1</v>
      </c>
      <c r="J82" s="174">
        <f t="shared" si="64"/>
        <v>0.30651999999999996</v>
      </c>
      <c r="K82" s="118"/>
      <c r="L82" s="111">
        <v>1</v>
      </c>
      <c r="M82" s="117">
        <f t="shared" si="65"/>
        <v>0.30651999999999996</v>
      </c>
      <c r="N82" s="119">
        <f t="shared" si="66"/>
        <v>0</v>
      </c>
      <c r="O82" s="120">
        <f>H82*N82*G82/1000</f>
        <v>0</v>
      </c>
      <c r="P82" s="159">
        <v>9.6999999999999993</v>
      </c>
      <c r="Q82" s="111">
        <v>1</v>
      </c>
      <c r="R82" s="111" t="s">
        <v>404</v>
      </c>
    </row>
    <row r="83" spans="1:20" ht="27">
      <c r="A83" s="110" t="s">
        <v>308</v>
      </c>
      <c r="B83" s="111" t="s">
        <v>297</v>
      </c>
      <c r="C83" s="112" t="s">
        <v>228</v>
      </c>
      <c r="D83" s="113" t="s">
        <v>20</v>
      </c>
      <c r="E83" s="175" t="s">
        <v>15</v>
      </c>
      <c r="F83" s="175" t="s">
        <v>54</v>
      </c>
      <c r="G83" s="176">
        <v>31.6</v>
      </c>
      <c r="H83" s="177">
        <v>9.9</v>
      </c>
      <c r="I83" s="178">
        <v>2</v>
      </c>
      <c r="J83" s="174">
        <f t="shared" si="64"/>
        <v>0.62568000000000001</v>
      </c>
      <c r="K83" s="118"/>
      <c r="L83" s="111">
        <v>2</v>
      </c>
      <c r="M83" s="117">
        <f t="shared" si="65"/>
        <v>0.62568000000000001</v>
      </c>
      <c r="N83" s="119">
        <f t="shared" si="66"/>
        <v>0</v>
      </c>
      <c r="O83" s="120">
        <f>H83*N83*G83/1000</f>
        <v>0</v>
      </c>
      <c r="P83" s="159">
        <v>9.6999999999999993</v>
      </c>
      <c r="Q83" s="111">
        <v>2</v>
      </c>
      <c r="R83" s="111" t="s">
        <v>404</v>
      </c>
    </row>
    <row r="84" spans="1:20">
      <c r="I84" s="78">
        <f>SUM(I75:I83)</f>
        <v>195</v>
      </c>
      <c r="J84" s="214">
        <f>SUM(J75:J83)</f>
        <v>63.25688000000001</v>
      </c>
      <c r="L84" s="80">
        <f>SUM(L75:L83)</f>
        <v>195</v>
      </c>
      <c r="M84" s="128">
        <f>SUM(M75:M83)</f>
        <v>63.25688000000001</v>
      </c>
      <c r="N84" s="78">
        <f>SUM(N75:N83)</f>
        <v>0</v>
      </c>
      <c r="O84" s="128">
        <f>SUM(O75:O83)</f>
        <v>0</v>
      </c>
    </row>
    <row r="87" spans="1:20" ht="27">
      <c r="A87" s="110" t="s">
        <v>308</v>
      </c>
      <c r="B87" s="111" t="s">
        <v>309</v>
      </c>
      <c r="C87" s="112" t="s">
        <v>228</v>
      </c>
      <c r="D87" s="118" t="s">
        <v>17</v>
      </c>
      <c r="E87" s="175" t="s">
        <v>15</v>
      </c>
      <c r="F87" s="175" t="s">
        <v>60</v>
      </c>
      <c r="G87" s="176">
        <v>22.93</v>
      </c>
      <c r="H87" s="177">
        <v>12</v>
      </c>
      <c r="I87" s="178">
        <f>10+10+9+9</f>
        <v>38</v>
      </c>
      <c r="J87" s="174">
        <f t="shared" ref="J87" si="68">(G87*H87*I87/1000)</f>
        <v>10.456079999999998</v>
      </c>
      <c r="K87" s="118"/>
      <c r="L87" s="111">
        <v>38</v>
      </c>
      <c r="M87" s="117">
        <f t="shared" ref="M87" si="69">H87*L87*G87/1000</f>
        <v>10.45608</v>
      </c>
      <c r="N87" s="119">
        <f t="shared" ref="N87" si="70">I87-L87</f>
        <v>0</v>
      </c>
      <c r="O87" s="120">
        <f>H87*N87*G87/1000</f>
        <v>0</v>
      </c>
      <c r="P87" s="111"/>
      <c r="Q87" s="111"/>
      <c r="R87" s="111"/>
    </row>
    <row r="88" spans="1:20" ht="27">
      <c r="A88" s="110" t="s">
        <v>308</v>
      </c>
      <c r="B88" s="111" t="s">
        <v>309</v>
      </c>
      <c r="C88" s="112" t="s">
        <v>228</v>
      </c>
      <c r="D88" s="118" t="s">
        <v>17</v>
      </c>
      <c r="E88" s="175" t="s">
        <v>15</v>
      </c>
      <c r="F88" s="175" t="s">
        <v>60</v>
      </c>
      <c r="G88" s="176">
        <v>22.93</v>
      </c>
      <c r="H88" s="177">
        <v>11.25</v>
      </c>
      <c r="I88" s="178">
        <f>1+4</f>
        <v>5</v>
      </c>
      <c r="J88" s="174">
        <f t="shared" ref="J88:J90" si="71">(G88*H88*I88/1000)</f>
        <v>1.2898125</v>
      </c>
      <c r="K88" s="118"/>
      <c r="L88" s="111">
        <v>5</v>
      </c>
      <c r="M88" s="117">
        <f t="shared" ref="M88:M89" si="72">H88*L88*G88/1000</f>
        <v>1.2898125</v>
      </c>
      <c r="N88" s="119">
        <f t="shared" ref="N88:N90" si="73">I88-L88</f>
        <v>0</v>
      </c>
      <c r="O88" s="120">
        <f>H88*N88*G88/1000</f>
        <v>0</v>
      </c>
      <c r="P88" s="111"/>
      <c r="Q88" s="111"/>
      <c r="R88" s="111"/>
    </row>
    <row r="89" spans="1:20" ht="27">
      <c r="A89" s="110" t="s">
        <v>308</v>
      </c>
      <c r="B89" s="111" t="s">
        <v>309</v>
      </c>
      <c r="C89" s="112" t="s">
        <v>228</v>
      </c>
      <c r="D89" s="118" t="s">
        <v>17</v>
      </c>
      <c r="E89" s="175" t="s">
        <v>15</v>
      </c>
      <c r="F89" s="175" t="s">
        <v>60</v>
      </c>
      <c r="G89" s="176">
        <v>22.93</v>
      </c>
      <c r="H89" s="177">
        <v>12</v>
      </c>
      <c r="I89" s="178">
        <f>7+10</f>
        <v>17</v>
      </c>
      <c r="J89" s="174">
        <f t="shared" si="71"/>
        <v>4.677719999999999</v>
      </c>
      <c r="K89" s="118"/>
      <c r="L89" s="111">
        <f>10+7</f>
        <v>17</v>
      </c>
      <c r="M89" s="117">
        <f t="shared" si="72"/>
        <v>4.6777199999999999</v>
      </c>
      <c r="N89" s="119">
        <f t="shared" si="73"/>
        <v>0</v>
      </c>
      <c r="O89" s="120">
        <f>H89*N89*G89/1000</f>
        <v>0</v>
      </c>
      <c r="P89" s="111">
        <v>11.25</v>
      </c>
      <c r="Q89" s="111">
        <v>7</v>
      </c>
      <c r="R89" s="111"/>
    </row>
    <row r="90" spans="1:20" ht="27">
      <c r="A90" s="110" t="s">
        <v>308</v>
      </c>
      <c r="B90" s="111" t="s">
        <v>309</v>
      </c>
      <c r="C90" s="112" t="s">
        <v>228</v>
      </c>
      <c r="D90" s="118" t="s">
        <v>17</v>
      </c>
      <c r="E90" s="175" t="s">
        <v>15</v>
      </c>
      <c r="F90" s="175" t="s">
        <v>60</v>
      </c>
      <c r="G90" s="176">
        <v>22.93</v>
      </c>
      <c r="H90" s="177">
        <v>12</v>
      </c>
      <c r="I90" s="178">
        <v>10</v>
      </c>
      <c r="J90" s="174">
        <f t="shared" si="71"/>
        <v>2.7515999999999994</v>
      </c>
      <c r="K90" s="118"/>
      <c r="L90" s="111">
        <f>7+2+1</f>
        <v>10</v>
      </c>
      <c r="M90" s="117">
        <f>H90*L90*G90/1000</f>
        <v>2.7515999999999998</v>
      </c>
      <c r="N90" s="119">
        <f t="shared" si="73"/>
        <v>0</v>
      </c>
      <c r="O90" s="120">
        <f>H90*N90*G90/1000</f>
        <v>0</v>
      </c>
      <c r="P90" s="111">
        <v>11.25</v>
      </c>
      <c r="Q90" s="111">
        <v>7</v>
      </c>
      <c r="R90" s="97">
        <v>11</v>
      </c>
      <c r="S90" s="457">
        <v>1</v>
      </c>
      <c r="T90" s="213" t="s">
        <v>676</v>
      </c>
    </row>
    <row r="91" spans="1:20">
      <c r="I91" s="215">
        <f>SUM(I87:I90)</f>
        <v>70</v>
      </c>
      <c r="J91" s="214">
        <f>SUM(J87:J90)</f>
        <v>19.175212499999997</v>
      </c>
      <c r="L91" s="215">
        <f>SUM(L87:L90)</f>
        <v>70</v>
      </c>
      <c r="M91" s="128">
        <f>SUM(M87:M90)</f>
        <v>19.175212500000001</v>
      </c>
      <c r="N91" s="78">
        <f>SUM(N87:N90)</f>
        <v>0</v>
      </c>
      <c r="O91" s="128">
        <f>SUM(O87:O90)</f>
        <v>0</v>
      </c>
    </row>
    <row r="93" spans="1:20" ht="27">
      <c r="A93" s="110" t="s">
        <v>308</v>
      </c>
      <c r="B93" s="111" t="s">
        <v>309</v>
      </c>
      <c r="C93" s="112" t="s">
        <v>228</v>
      </c>
      <c r="D93" s="118" t="s">
        <v>17</v>
      </c>
      <c r="E93" s="175" t="s">
        <v>15</v>
      </c>
      <c r="F93" s="175" t="s">
        <v>58</v>
      </c>
      <c r="G93" s="176">
        <v>27.29</v>
      </c>
      <c r="H93" s="177">
        <v>9</v>
      </c>
      <c r="I93" s="178">
        <v>1</v>
      </c>
      <c r="J93" s="174">
        <f t="shared" ref="J93" si="74">(G93*H93*I93/1000)</f>
        <v>0.24560999999999999</v>
      </c>
      <c r="K93" s="118"/>
      <c r="L93" s="111">
        <f>1</f>
        <v>1</v>
      </c>
      <c r="M93" s="117">
        <f t="shared" ref="M93" si="75">H93*L93*G93/1000</f>
        <v>0.24560999999999999</v>
      </c>
      <c r="N93" s="119">
        <f t="shared" ref="N93" si="76">I93-L93</f>
        <v>0</v>
      </c>
      <c r="O93" s="120">
        <f>H93*N93*G93/1000</f>
        <v>0</v>
      </c>
      <c r="P93" s="111"/>
      <c r="Q93" s="111"/>
      <c r="R93" s="111"/>
    </row>
    <row r="94" spans="1:20" ht="27">
      <c r="A94" s="110" t="s">
        <v>308</v>
      </c>
      <c r="B94" s="111" t="s">
        <v>309</v>
      </c>
      <c r="C94" s="112" t="s">
        <v>228</v>
      </c>
      <c r="D94" s="118" t="s">
        <v>17</v>
      </c>
      <c r="E94" s="175" t="s">
        <v>15</v>
      </c>
      <c r="F94" s="175" t="s">
        <v>58</v>
      </c>
      <c r="G94" s="176">
        <v>27.29</v>
      </c>
      <c r="H94" s="177">
        <v>12</v>
      </c>
      <c r="I94" s="178">
        <f>1+4+3</f>
        <v>8</v>
      </c>
      <c r="J94" s="174">
        <f t="shared" ref="J94:J105" si="77">(G94*H94*I94/1000)</f>
        <v>2.6198399999999999</v>
      </c>
      <c r="K94" s="118"/>
      <c r="L94" s="111">
        <v>8</v>
      </c>
      <c r="M94" s="117">
        <f t="shared" ref="M94:M105" si="78">H94*L94*G94/1000</f>
        <v>2.6198399999999999</v>
      </c>
      <c r="N94" s="119">
        <f t="shared" ref="N94:N105" si="79">I94-L94</f>
        <v>0</v>
      </c>
      <c r="O94" s="120">
        <f t="shared" ref="O94:O105" si="80">H94*N94*G94/1000</f>
        <v>0</v>
      </c>
      <c r="P94" s="111"/>
      <c r="Q94" s="111"/>
      <c r="R94" s="111"/>
    </row>
    <row r="95" spans="1:20" ht="27">
      <c r="A95" s="110" t="s">
        <v>308</v>
      </c>
      <c r="B95" s="111" t="s">
        <v>309</v>
      </c>
      <c r="C95" s="112" t="s">
        <v>228</v>
      </c>
      <c r="D95" s="118" t="s">
        <v>17</v>
      </c>
      <c r="E95" s="175" t="s">
        <v>15</v>
      </c>
      <c r="F95" s="175" t="s">
        <v>58</v>
      </c>
      <c r="G95" s="176">
        <v>27.29</v>
      </c>
      <c r="H95" s="177">
        <v>9.1</v>
      </c>
      <c r="I95" s="178">
        <v>8</v>
      </c>
      <c r="J95" s="174">
        <f t="shared" si="77"/>
        <v>1.9867119999999998</v>
      </c>
      <c r="K95" s="118"/>
      <c r="L95" s="111">
        <f>8</f>
        <v>8</v>
      </c>
      <c r="M95" s="117">
        <f t="shared" si="78"/>
        <v>1.9867119999999998</v>
      </c>
      <c r="N95" s="141">
        <f t="shared" si="79"/>
        <v>0</v>
      </c>
      <c r="O95" s="142">
        <f t="shared" si="80"/>
        <v>0</v>
      </c>
      <c r="P95" s="111"/>
      <c r="Q95" s="111"/>
      <c r="R95" s="111"/>
    </row>
    <row r="96" spans="1:20" ht="27">
      <c r="A96" s="110" t="s">
        <v>308</v>
      </c>
      <c r="B96" s="111" t="s">
        <v>309</v>
      </c>
      <c r="C96" s="112" t="s">
        <v>228</v>
      </c>
      <c r="D96" s="118" t="s">
        <v>17</v>
      </c>
      <c r="E96" s="175" t="s">
        <v>15</v>
      </c>
      <c r="F96" s="175" t="s">
        <v>58</v>
      </c>
      <c r="G96" s="176">
        <v>27.29</v>
      </c>
      <c r="H96" s="177">
        <v>8</v>
      </c>
      <c r="I96" s="178">
        <v>16</v>
      </c>
      <c r="J96" s="174">
        <f t="shared" si="77"/>
        <v>3.4931199999999998</v>
      </c>
      <c r="K96" s="118"/>
      <c r="L96" s="111">
        <v>16</v>
      </c>
      <c r="M96" s="117">
        <f t="shared" si="78"/>
        <v>3.4931199999999998</v>
      </c>
      <c r="N96" s="119">
        <f t="shared" si="79"/>
        <v>0</v>
      </c>
      <c r="O96" s="120">
        <f t="shared" si="80"/>
        <v>0</v>
      </c>
      <c r="P96" s="111"/>
      <c r="Q96" s="111"/>
      <c r="R96" s="111"/>
    </row>
    <row r="97" spans="1:18" ht="27">
      <c r="A97" s="110" t="s">
        <v>308</v>
      </c>
      <c r="B97" s="111" t="s">
        <v>309</v>
      </c>
      <c r="C97" s="112" t="s">
        <v>228</v>
      </c>
      <c r="D97" s="118" t="s">
        <v>17</v>
      </c>
      <c r="E97" s="175" t="s">
        <v>15</v>
      </c>
      <c r="F97" s="175" t="s">
        <v>58</v>
      </c>
      <c r="G97" s="176">
        <v>27.29</v>
      </c>
      <c r="H97" s="177">
        <v>8.6</v>
      </c>
      <c r="I97" s="178">
        <v>5</v>
      </c>
      <c r="J97" s="174">
        <f t="shared" si="77"/>
        <v>1.17347</v>
      </c>
      <c r="K97" s="118"/>
      <c r="L97" s="111">
        <f>5+6+1</f>
        <v>12</v>
      </c>
      <c r="M97" s="117">
        <f t="shared" si="78"/>
        <v>2.8163279999999995</v>
      </c>
      <c r="N97" s="230">
        <f t="shared" si="79"/>
        <v>-7</v>
      </c>
      <c r="O97" s="231">
        <f t="shared" si="80"/>
        <v>-1.6428579999999997</v>
      </c>
      <c r="P97" s="44" t="s">
        <v>383</v>
      </c>
      <c r="Q97" s="44"/>
      <c r="R97" s="44"/>
    </row>
    <row r="98" spans="1:18" ht="27">
      <c r="A98" s="110" t="s">
        <v>308</v>
      </c>
      <c r="B98" s="111" t="s">
        <v>309</v>
      </c>
      <c r="C98" s="112" t="s">
        <v>228</v>
      </c>
      <c r="D98" s="118" t="s">
        <v>17</v>
      </c>
      <c r="E98" s="175" t="s">
        <v>15</v>
      </c>
      <c r="F98" s="175" t="s">
        <v>58</v>
      </c>
      <c r="G98" s="176">
        <v>27.29</v>
      </c>
      <c r="H98" s="177">
        <v>8.6</v>
      </c>
      <c r="I98" s="178">
        <v>1</v>
      </c>
      <c r="J98" s="174">
        <f t="shared" si="77"/>
        <v>0.23469399999999999</v>
      </c>
      <c r="K98" s="118"/>
      <c r="L98" s="111">
        <v>1</v>
      </c>
      <c r="M98" s="117">
        <f t="shared" si="78"/>
        <v>0.23469399999999999</v>
      </c>
      <c r="N98" s="228">
        <f t="shared" si="79"/>
        <v>0</v>
      </c>
      <c r="O98" s="229">
        <f t="shared" si="80"/>
        <v>0</v>
      </c>
      <c r="P98" s="111"/>
      <c r="Q98" s="111"/>
      <c r="R98" s="111"/>
    </row>
    <row r="99" spans="1:18" ht="27">
      <c r="A99" s="110" t="s">
        <v>308</v>
      </c>
      <c r="B99" s="111" t="s">
        <v>309</v>
      </c>
      <c r="C99" s="112" t="s">
        <v>228</v>
      </c>
      <c r="D99" s="118" t="s">
        <v>17</v>
      </c>
      <c r="E99" s="175" t="s">
        <v>15</v>
      </c>
      <c r="F99" s="175" t="s">
        <v>58</v>
      </c>
      <c r="G99" s="176">
        <v>27.29</v>
      </c>
      <c r="H99" s="177">
        <v>8.4</v>
      </c>
      <c r="I99" s="178">
        <v>1</v>
      </c>
      <c r="J99" s="174">
        <f t="shared" si="77"/>
        <v>0.229236</v>
      </c>
      <c r="K99" s="118"/>
      <c r="L99" s="111">
        <v>1</v>
      </c>
      <c r="M99" s="117">
        <f t="shared" si="78"/>
        <v>0.229236</v>
      </c>
      <c r="N99" s="228">
        <f t="shared" si="79"/>
        <v>0</v>
      </c>
      <c r="O99" s="229">
        <f t="shared" si="80"/>
        <v>0</v>
      </c>
      <c r="P99" s="111"/>
      <c r="Q99" s="111"/>
      <c r="R99" s="111"/>
    </row>
    <row r="100" spans="1:18" ht="27">
      <c r="A100" s="110" t="s">
        <v>308</v>
      </c>
      <c r="B100" s="111" t="s">
        <v>309</v>
      </c>
      <c r="C100" s="112" t="s">
        <v>228</v>
      </c>
      <c r="D100" s="118" t="s">
        <v>17</v>
      </c>
      <c r="E100" s="175" t="s">
        <v>15</v>
      </c>
      <c r="F100" s="175" t="s">
        <v>58</v>
      </c>
      <c r="G100" s="176">
        <v>27.29</v>
      </c>
      <c r="H100" s="177">
        <v>8.1999999999999993</v>
      </c>
      <c r="I100" s="178">
        <v>2</v>
      </c>
      <c r="J100" s="174">
        <f t="shared" si="77"/>
        <v>0.44755599999999995</v>
      </c>
      <c r="K100" s="118"/>
      <c r="L100" s="111">
        <v>2</v>
      </c>
      <c r="M100" s="117">
        <f t="shared" si="78"/>
        <v>0.44755599999999995</v>
      </c>
      <c r="N100" s="228">
        <f t="shared" si="79"/>
        <v>0</v>
      </c>
      <c r="O100" s="229">
        <f t="shared" si="80"/>
        <v>0</v>
      </c>
      <c r="P100" s="111" t="s">
        <v>330</v>
      </c>
      <c r="Q100" s="111"/>
      <c r="R100" s="111"/>
    </row>
    <row r="101" spans="1:18" ht="27">
      <c r="A101" s="110" t="s">
        <v>308</v>
      </c>
      <c r="B101" s="111" t="s">
        <v>309</v>
      </c>
      <c r="C101" s="112" t="s">
        <v>228</v>
      </c>
      <c r="D101" s="118" t="s">
        <v>17</v>
      </c>
      <c r="E101" s="175" t="s">
        <v>15</v>
      </c>
      <c r="F101" s="175" t="s">
        <v>58</v>
      </c>
      <c r="G101" s="176">
        <v>27.29</v>
      </c>
      <c r="H101" s="177">
        <v>12</v>
      </c>
      <c r="I101" s="178">
        <v>3</v>
      </c>
      <c r="J101" s="174">
        <f t="shared" si="77"/>
        <v>0.98244000000000009</v>
      </c>
      <c r="K101" s="118"/>
      <c r="L101" s="111">
        <f>2+1</f>
        <v>3</v>
      </c>
      <c r="M101" s="117">
        <f t="shared" si="78"/>
        <v>0.98243999999999998</v>
      </c>
      <c r="N101" s="228">
        <f t="shared" si="79"/>
        <v>0</v>
      </c>
      <c r="O101" s="229">
        <f t="shared" si="80"/>
        <v>0</v>
      </c>
      <c r="P101" s="111" t="s">
        <v>331</v>
      </c>
      <c r="Q101" s="111">
        <v>3</v>
      </c>
      <c r="R101" s="111"/>
    </row>
    <row r="102" spans="1:18" ht="27">
      <c r="A102" s="110" t="s">
        <v>308</v>
      </c>
      <c r="B102" s="111" t="s">
        <v>309</v>
      </c>
      <c r="C102" s="112" t="s">
        <v>228</v>
      </c>
      <c r="D102" s="118" t="s">
        <v>17</v>
      </c>
      <c r="E102" s="175" t="s">
        <v>15</v>
      </c>
      <c r="F102" s="175" t="s">
        <v>58</v>
      </c>
      <c r="G102" s="176">
        <v>27.29</v>
      </c>
      <c r="H102" s="177">
        <v>7</v>
      </c>
      <c r="I102" s="178">
        <v>2</v>
      </c>
      <c r="J102" s="174">
        <f t="shared" si="77"/>
        <v>0.38206000000000001</v>
      </c>
      <c r="K102" s="118"/>
      <c r="L102" s="111">
        <v>2</v>
      </c>
      <c r="M102" s="117">
        <f t="shared" si="78"/>
        <v>0.38206000000000001</v>
      </c>
      <c r="N102" s="228">
        <f t="shared" si="79"/>
        <v>0</v>
      </c>
      <c r="O102" s="229">
        <f t="shared" si="80"/>
        <v>0</v>
      </c>
      <c r="P102" s="111"/>
      <c r="Q102" s="111"/>
      <c r="R102" s="111"/>
    </row>
    <row r="103" spans="1:18" ht="27">
      <c r="A103" s="110" t="s">
        <v>308</v>
      </c>
      <c r="B103" s="111" t="s">
        <v>309</v>
      </c>
      <c r="C103" s="112" t="s">
        <v>228</v>
      </c>
      <c r="D103" s="118" t="s">
        <v>17</v>
      </c>
      <c r="E103" s="175" t="s">
        <v>15</v>
      </c>
      <c r="F103" s="175" t="s">
        <v>58</v>
      </c>
      <c r="G103" s="176">
        <v>27.29</v>
      </c>
      <c r="H103" s="177">
        <v>8.1999999999999993</v>
      </c>
      <c r="I103" s="178">
        <v>1</v>
      </c>
      <c r="J103" s="174">
        <f t="shared" si="77"/>
        <v>0.22377799999999998</v>
      </c>
      <c r="K103" s="118"/>
      <c r="L103" s="111">
        <v>1</v>
      </c>
      <c r="M103" s="117">
        <f t="shared" si="78"/>
        <v>0.22377799999999998</v>
      </c>
      <c r="N103" s="228">
        <f t="shared" si="79"/>
        <v>0</v>
      </c>
      <c r="O103" s="229">
        <f t="shared" si="80"/>
        <v>0</v>
      </c>
      <c r="P103" s="111"/>
      <c r="Q103" s="111"/>
      <c r="R103" s="111"/>
    </row>
    <row r="104" spans="1:18" ht="27">
      <c r="A104" s="110" t="s">
        <v>308</v>
      </c>
      <c r="B104" s="111" t="s">
        <v>309</v>
      </c>
      <c r="C104" s="112" t="s">
        <v>228</v>
      </c>
      <c r="D104" s="118" t="s">
        <v>17</v>
      </c>
      <c r="E104" s="175" t="s">
        <v>15</v>
      </c>
      <c r="F104" s="175" t="s">
        <v>58</v>
      </c>
      <c r="G104" s="176">
        <v>27.29</v>
      </c>
      <c r="H104" s="177">
        <v>8</v>
      </c>
      <c r="I104" s="178">
        <v>6</v>
      </c>
      <c r="J104" s="174">
        <f t="shared" si="77"/>
        <v>1.30992</v>
      </c>
      <c r="K104" s="118"/>
      <c r="L104" s="111">
        <v>6</v>
      </c>
      <c r="M104" s="117">
        <f t="shared" si="78"/>
        <v>1.30992</v>
      </c>
      <c r="N104" s="228">
        <f t="shared" si="79"/>
        <v>0</v>
      </c>
      <c r="O104" s="229">
        <f t="shared" si="80"/>
        <v>0</v>
      </c>
      <c r="P104" s="111"/>
      <c r="Q104" s="111"/>
      <c r="R104" s="111"/>
    </row>
    <row r="105" spans="1:18" ht="27">
      <c r="A105" s="110" t="s">
        <v>308</v>
      </c>
      <c r="B105" s="111" t="s">
        <v>309</v>
      </c>
      <c r="C105" s="112" t="s">
        <v>228</v>
      </c>
      <c r="D105" s="118" t="s">
        <v>17</v>
      </c>
      <c r="E105" s="175" t="s">
        <v>15</v>
      </c>
      <c r="F105" s="175" t="s">
        <v>58</v>
      </c>
      <c r="G105" s="176">
        <v>27.29</v>
      </c>
      <c r="H105" s="177">
        <v>7.8</v>
      </c>
      <c r="I105" s="178">
        <v>1</v>
      </c>
      <c r="J105" s="174">
        <f t="shared" si="77"/>
        <v>0.212862</v>
      </c>
      <c r="K105" s="118"/>
      <c r="L105" s="111">
        <v>1</v>
      </c>
      <c r="M105" s="117">
        <f t="shared" si="78"/>
        <v>0.212862</v>
      </c>
      <c r="N105" s="228">
        <f t="shared" si="79"/>
        <v>0</v>
      </c>
      <c r="O105" s="229">
        <f t="shared" si="80"/>
        <v>0</v>
      </c>
      <c r="P105" s="111"/>
      <c r="Q105" s="111"/>
      <c r="R105" s="111"/>
    </row>
    <row r="106" spans="1:18" ht="27">
      <c r="A106" s="110" t="s">
        <v>308</v>
      </c>
      <c r="B106" s="111" t="s">
        <v>309</v>
      </c>
      <c r="C106" s="112" t="s">
        <v>228</v>
      </c>
      <c r="D106" s="118" t="s">
        <v>17</v>
      </c>
      <c r="E106" s="175" t="s">
        <v>15</v>
      </c>
      <c r="F106" s="175" t="s">
        <v>58</v>
      </c>
      <c r="G106" s="176">
        <v>27.29</v>
      </c>
      <c r="H106" s="179">
        <v>7</v>
      </c>
      <c r="I106" s="178">
        <v>1</v>
      </c>
      <c r="J106" s="174">
        <f t="shared" ref="J106" si="81">(G106*H106*I106/1000)</f>
        <v>0.19103000000000001</v>
      </c>
      <c r="K106" s="118"/>
      <c r="L106" s="111">
        <v>1</v>
      </c>
      <c r="M106" s="117">
        <f t="shared" ref="M106" si="82">H106*L106*G106/1000</f>
        <v>0.19103000000000001</v>
      </c>
      <c r="N106" s="228">
        <f t="shared" ref="N106" si="83">I106-L106</f>
        <v>0</v>
      </c>
      <c r="O106" s="229">
        <f t="shared" ref="O106" si="84">H106*N106*G106/1000</f>
        <v>0</v>
      </c>
      <c r="P106" s="111"/>
      <c r="Q106" s="111"/>
      <c r="R106" s="111"/>
    </row>
    <row r="107" spans="1:18">
      <c r="I107" s="215">
        <f>SUM(I93:I106)</f>
        <v>56</v>
      </c>
      <c r="J107" s="214">
        <f>SUM(J93:J106)</f>
        <v>13.732327999999997</v>
      </c>
      <c r="L107" s="215">
        <f>SUM(L93:L106)</f>
        <v>63</v>
      </c>
      <c r="M107" s="214">
        <f>SUM(M93:M106)</f>
        <v>15.375185999999998</v>
      </c>
      <c r="N107" s="78">
        <f>SUM(N93:N106)</f>
        <v>-7</v>
      </c>
      <c r="O107" s="214">
        <f>SUM(O93:O106)</f>
        <v>-1.6428579999999997</v>
      </c>
    </row>
    <row r="109" spans="1:18" ht="27">
      <c r="A109" s="110" t="s">
        <v>308</v>
      </c>
      <c r="B109" s="111" t="s">
        <v>309</v>
      </c>
      <c r="C109" s="112" t="s">
        <v>228</v>
      </c>
      <c r="D109" s="118" t="s">
        <v>17</v>
      </c>
      <c r="E109" s="175" t="s">
        <v>15</v>
      </c>
      <c r="F109" s="175" t="s">
        <v>66</v>
      </c>
      <c r="G109" s="176">
        <v>29.5</v>
      </c>
      <c r="H109" s="177">
        <v>8.1999999999999993</v>
      </c>
      <c r="I109" s="178">
        <f>7+11+10</f>
        <v>28</v>
      </c>
      <c r="J109" s="174">
        <f t="shared" ref="J109:J110" si="85">(G109*H109*I109/1000)</f>
        <v>6.7731999999999992</v>
      </c>
      <c r="K109" s="118"/>
      <c r="L109" s="111">
        <v>28</v>
      </c>
      <c r="M109" s="117">
        <f t="shared" ref="M109:M110" si="86">H109*L109*G109/1000</f>
        <v>6.7731999999999992</v>
      </c>
      <c r="N109" s="119">
        <f t="shared" ref="N109:N110" si="87">I109-L109</f>
        <v>0</v>
      </c>
      <c r="O109" s="120">
        <f t="shared" ref="O109:O110" si="88">H109*N109*G109/1000</f>
        <v>0</v>
      </c>
      <c r="P109" s="111"/>
      <c r="Q109" s="111"/>
      <c r="R109" s="111"/>
    </row>
    <row r="110" spans="1:18" ht="27">
      <c r="A110" s="110" t="s">
        <v>308</v>
      </c>
      <c r="B110" s="111" t="s">
        <v>309</v>
      </c>
      <c r="C110" s="112" t="s">
        <v>228</v>
      </c>
      <c r="D110" s="118" t="s">
        <v>17</v>
      </c>
      <c r="E110" s="175" t="s">
        <v>15</v>
      </c>
      <c r="F110" s="175" t="s">
        <v>66</v>
      </c>
      <c r="G110" s="176">
        <v>29.5</v>
      </c>
      <c r="H110" s="177">
        <v>8.4</v>
      </c>
      <c r="I110" s="178">
        <v>2</v>
      </c>
      <c r="J110" s="174">
        <f t="shared" si="85"/>
        <v>0.49560000000000004</v>
      </c>
      <c r="K110" s="118"/>
      <c r="L110" s="111">
        <v>2</v>
      </c>
      <c r="M110" s="117">
        <f t="shared" si="86"/>
        <v>0.49560000000000004</v>
      </c>
      <c r="N110" s="119">
        <f t="shared" si="87"/>
        <v>0</v>
      </c>
      <c r="O110" s="120">
        <f t="shared" si="88"/>
        <v>0</v>
      </c>
      <c r="P110" s="111"/>
      <c r="Q110" s="111"/>
      <c r="R110" s="111"/>
    </row>
    <row r="111" spans="1:18" ht="27">
      <c r="A111" s="110" t="s">
        <v>308</v>
      </c>
      <c r="B111" s="111" t="s">
        <v>309</v>
      </c>
      <c r="C111" s="112" t="s">
        <v>228</v>
      </c>
      <c r="D111" s="118" t="s">
        <v>17</v>
      </c>
      <c r="E111" s="175" t="s">
        <v>15</v>
      </c>
      <c r="F111" s="175" t="s">
        <v>66</v>
      </c>
      <c r="G111" s="176">
        <v>29.5</v>
      </c>
      <c r="H111" s="177">
        <v>9.6999999999999993</v>
      </c>
      <c r="I111" s="178">
        <v>2</v>
      </c>
      <c r="J111" s="174">
        <f t="shared" ref="J111:J123" si="89">(G111*H111*I111/1000)</f>
        <v>0.57229999999999992</v>
      </c>
      <c r="K111" s="118"/>
      <c r="L111" s="111">
        <v>2</v>
      </c>
      <c r="M111" s="117">
        <f t="shared" ref="M111:M123" si="90">H111*L111*G111/1000</f>
        <v>0.57229999999999992</v>
      </c>
      <c r="N111" s="119">
        <f t="shared" ref="N111:N123" si="91">I111-L111</f>
        <v>0</v>
      </c>
      <c r="O111" s="120">
        <f t="shared" ref="O111:O123" si="92">H111*N111*G111/1000</f>
        <v>0</v>
      </c>
      <c r="P111" s="111"/>
      <c r="Q111" s="111"/>
      <c r="R111" s="111"/>
    </row>
    <row r="112" spans="1:18" ht="27">
      <c r="A112" s="110" t="s">
        <v>308</v>
      </c>
      <c r="B112" s="111" t="s">
        <v>309</v>
      </c>
      <c r="C112" s="112" t="s">
        <v>228</v>
      </c>
      <c r="D112" s="118" t="s">
        <v>17</v>
      </c>
      <c r="E112" s="175" t="s">
        <v>15</v>
      </c>
      <c r="F112" s="175" t="s">
        <v>66</v>
      </c>
      <c r="G112" s="176">
        <v>29.5</v>
      </c>
      <c r="H112" s="177">
        <v>10</v>
      </c>
      <c r="I112" s="178">
        <v>12</v>
      </c>
      <c r="J112" s="174">
        <f t="shared" si="89"/>
        <v>3.54</v>
      </c>
      <c r="K112" s="118"/>
      <c r="L112" s="111">
        <v>12</v>
      </c>
      <c r="M112" s="117">
        <f t="shared" si="90"/>
        <v>3.54</v>
      </c>
      <c r="N112" s="119">
        <f t="shared" si="91"/>
        <v>0</v>
      </c>
      <c r="O112" s="120">
        <f t="shared" si="92"/>
        <v>0</v>
      </c>
      <c r="P112" s="111"/>
      <c r="Q112" s="111"/>
      <c r="R112" s="111"/>
    </row>
    <row r="113" spans="1:18" ht="27">
      <c r="A113" s="110" t="s">
        <v>308</v>
      </c>
      <c r="B113" s="111" t="s">
        <v>309</v>
      </c>
      <c r="C113" s="112" t="s">
        <v>228</v>
      </c>
      <c r="D113" s="118" t="s">
        <v>17</v>
      </c>
      <c r="E113" s="175" t="s">
        <v>15</v>
      </c>
      <c r="F113" s="175" t="s">
        <v>66</v>
      </c>
      <c r="G113" s="176">
        <v>29.5</v>
      </c>
      <c r="H113" s="177">
        <v>10.1</v>
      </c>
      <c r="I113" s="178">
        <v>4</v>
      </c>
      <c r="J113" s="174">
        <f t="shared" si="89"/>
        <v>1.1918</v>
      </c>
      <c r="K113" s="118"/>
      <c r="L113" s="111">
        <v>4</v>
      </c>
      <c r="M113" s="117">
        <f t="shared" si="90"/>
        <v>1.1918</v>
      </c>
      <c r="N113" s="119">
        <f t="shared" si="91"/>
        <v>0</v>
      </c>
      <c r="O113" s="120">
        <f t="shared" si="92"/>
        <v>0</v>
      </c>
      <c r="P113" s="111"/>
      <c r="Q113" s="111"/>
      <c r="R113" s="111"/>
    </row>
    <row r="114" spans="1:18" ht="27">
      <c r="A114" s="110" t="s">
        <v>308</v>
      </c>
      <c r="B114" s="111" t="s">
        <v>309</v>
      </c>
      <c r="C114" s="112" t="s">
        <v>228</v>
      </c>
      <c r="D114" s="118" t="s">
        <v>17</v>
      </c>
      <c r="E114" s="175" t="s">
        <v>15</v>
      </c>
      <c r="F114" s="175" t="s">
        <v>66</v>
      </c>
      <c r="G114" s="176">
        <v>29.5</v>
      </c>
      <c r="H114" s="177">
        <v>11.8</v>
      </c>
      <c r="I114" s="178">
        <v>28</v>
      </c>
      <c r="J114" s="174">
        <f t="shared" si="89"/>
        <v>9.7468000000000004</v>
      </c>
      <c r="K114" s="118"/>
      <c r="L114" s="111">
        <v>28</v>
      </c>
      <c r="M114" s="117">
        <f t="shared" si="90"/>
        <v>9.7468000000000004</v>
      </c>
      <c r="N114" s="119">
        <f t="shared" si="91"/>
        <v>0</v>
      </c>
      <c r="O114" s="120">
        <f t="shared" si="92"/>
        <v>0</v>
      </c>
      <c r="P114" s="111"/>
      <c r="Q114" s="111"/>
      <c r="R114" s="111"/>
    </row>
    <row r="115" spans="1:18" ht="27">
      <c r="A115" s="110" t="s">
        <v>308</v>
      </c>
      <c r="B115" s="111" t="s">
        <v>309</v>
      </c>
      <c r="C115" s="112" t="s">
        <v>228</v>
      </c>
      <c r="D115" s="118" t="s">
        <v>17</v>
      </c>
      <c r="E115" s="175" t="s">
        <v>15</v>
      </c>
      <c r="F115" s="175" t="s">
        <v>66</v>
      </c>
      <c r="G115" s="176">
        <v>29.5</v>
      </c>
      <c r="H115" s="177">
        <v>11.7</v>
      </c>
      <c r="I115" s="178">
        <v>2</v>
      </c>
      <c r="J115" s="174">
        <f t="shared" si="89"/>
        <v>0.69029999999999991</v>
      </c>
      <c r="K115" s="118"/>
      <c r="L115" s="111">
        <v>2</v>
      </c>
      <c r="M115" s="117">
        <f t="shared" si="90"/>
        <v>0.69029999999999991</v>
      </c>
      <c r="N115" s="145">
        <f t="shared" si="91"/>
        <v>0</v>
      </c>
      <c r="O115" s="120">
        <f t="shared" si="92"/>
        <v>0</v>
      </c>
      <c r="P115" s="111" t="s">
        <v>373</v>
      </c>
      <c r="Q115" s="111">
        <v>10.7</v>
      </c>
      <c r="R115" s="111">
        <v>2</v>
      </c>
    </row>
    <row r="116" spans="1:18" ht="27">
      <c r="A116" s="110" t="s">
        <v>308</v>
      </c>
      <c r="B116" s="111" t="s">
        <v>309</v>
      </c>
      <c r="C116" s="112" t="s">
        <v>228</v>
      </c>
      <c r="D116" s="118" t="s">
        <v>17</v>
      </c>
      <c r="E116" s="175" t="s">
        <v>15</v>
      </c>
      <c r="F116" s="175" t="s">
        <v>66</v>
      </c>
      <c r="G116" s="176">
        <v>29.5</v>
      </c>
      <c r="H116" s="177">
        <v>11.8</v>
      </c>
      <c r="I116" s="178">
        <v>1</v>
      </c>
      <c r="J116" s="174">
        <f t="shared" si="89"/>
        <v>0.34810000000000002</v>
      </c>
      <c r="K116" s="118"/>
      <c r="L116" s="111">
        <v>1</v>
      </c>
      <c r="M116" s="117">
        <f t="shared" si="90"/>
        <v>0.34810000000000002</v>
      </c>
      <c r="N116" s="119">
        <f t="shared" si="91"/>
        <v>0</v>
      </c>
      <c r="O116" s="120">
        <f t="shared" si="92"/>
        <v>0</v>
      </c>
      <c r="P116" s="111"/>
      <c r="Q116" s="111"/>
      <c r="R116" s="111"/>
    </row>
    <row r="117" spans="1:18" ht="27">
      <c r="A117" s="110" t="s">
        <v>308</v>
      </c>
      <c r="B117" s="111" t="s">
        <v>309</v>
      </c>
      <c r="C117" s="112" t="s">
        <v>228</v>
      </c>
      <c r="D117" s="118" t="s">
        <v>17</v>
      </c>
      <c r="E117" s="175" t="s">
        <v>15</v>
      </c>
      <c r="F117" s="175" t="s">
        <v>66</v>
      </c>
      <c r="G117" s="176">
        <v>29.5</v>
      </c>
      <c r="H117" s="177">
        <v>9.6</v>
      </c>
      <c r="I117" s="178">
        <v>4</v>
      </c>
      <c r="J117" s="174">
        <f t="shared" si="89"/>
        <v>1.1328</v>
      </c>
      <c r="K117" s="118"/>
      <c r="L117" s="111">
        <v>2</v>
      </c>
      <c r="M117" s="117">
        <f t="shared" si="90"/>
        <v>0.56640000000000001</v>
      </c>
      <c r="N117" s="119">
        <f t="shared" si="91"/>
        <v>2</v>
      </c>
      <c r="O117" s="120">
        <f t="shared" si="92"/>
        <v>0.56640000000000001</v>
      </c>
      <c r="P117" s="111">
        <v>7.3</v>
      </c>
      <c r="Q117" s="111">
        <v>2</v>
      </c>
      <c r="R117" s="111" t="s">
        <v>686</v>
      </c>
    </row>
    <row r="118" spans="1:18" ht="27">
      <c r="A118" s="110" t="s">
        <v>308</v>
      </c>
      <c r="B118" s="111" t="s">
        <v>309</v>
      </c>
      <c r="C118" s="112" t="s">
        <v>228</v>
      </c>
      <c r="D118" s="118" t="s">
        <v>17</v>
      </c>
      <c r="E118" s="175" t="s">
        <v>15</v>
      </c>
      <c r="F118" s="175" t="s">
        <v>66</v>
      </c>
      <c r="G118" s="176">
        <v>29.5</v>
      </c>
      <c r="H118" s="177">
        <v>10.5</v>
      </c>
      <c r="I118" s="178">
        <v>3</v>
      </c>
      <c r="J118" s="174">
        <f t="shared" si="89"/>
        <v>0.92925000000000002</v>
      </c>
      <c r="K118" s="118"/>
      <c r="L118" s="111">
        <f>2+1</f>
        <v>3</v>
      </c>
      <c r="M118" s="117">
        <f t="shared" si="90"/>
        <v>0.92925000000000002</v>
      </c>
      <c r="N118" s="119">
        <f t="shared" si="91"/>
        <v>0</v>
      </c>
      <c r="O118" s="120">
        <f t="shared" si="92"/>
        <v>0</v>
      </c>
      <c r="P118" s="111">
        <v>10</v>
      </c>
      <c r="Q118" s="111">
        <v>1</v>
      </c>
      <c r="R118" s="111"/>
    </row>
    <row r="119" spans="1:18" ht="27">
      <c r="A119" s="110" t="s">
        <v>308</v>
      </c>
      <c r="B119" s="111" t="s">
        <v>309</v>
      </c>
      <c r="C119" s="112" t="s">
        <v>228</v>
      </c>
      <c r="D119" s="118" t="s">
        <v>17</v>
      </c>
      <c r="E119" s="175" t="s">
        <v>15</v>
      </c>
      <c r="F119" s="175" t="s">
        <v>66</v>
      </c>
      <c r="G119" s="176">
        <v>29.5</v>
      </c>
      <c r="H119" s="177">
        <v>10.1</v>
      </c>
      <c r="I119" s="178">
        <v>1</v>
      </c>
      <c r="J119" s="174">
        <f t="shared" si="89"/>
        <v>0.29794999999999999</v>
      </c>
      <c r="K119" s="118"/>
      <c r="L119" s="111">
        <v>1</v>
      </c>
      <c r="M119" s="117">
        <f t="shared" si="90"/>
        <v>0.29794999999999999</v>
      </c>
      <c r="N119" s="119">
        <f t="shared" si="91"/>
        <v>0</v>
      </c>
      <c r="O119" s="120">
        <f t="shared" si="92"/>
        <v>0</v>
      </c>
      <c r="P119" s="111">
        <v>10</v>
      </c>
      <c r="Q119" s="111">
        <v>1</v>
      </c>
      <c r="R119" s="111"/>
    </row>
    <row r="120" spans="1:18" ht="27">
      <c r="A120" s="110" t="s">
        <v>308</v>
      </c>
      <c r="B120" s="111" t="s">
        <v>309</v>
      </c>
      <c r="C120" s="112" t="s">
        <v>228</v>
      </c>
      <c r="D120" s="118" t="s">
        <v>17</v>
      </c>
      <c r="E120" s="175" t="s">
        <v>15</v>
      </c>
      <c r="F120" s="175" t="s">
        <v>66</v>
      </c>
      <c r="G120" s="176">
        <v>29.5</v>
      </c>
      <c r="H120" s="177">
        <v>8.4</v>
      </c>
      <c r="I120" s="178">
        <v>1</v>
      </c>
      <c r="J120" s="174">
        <f t="shared" si="89"/>
        <v>0.24780000000000002</v>
      </c>
      <c r="K120" s="118"/>
      <c r="L120" s="111">
        <v>1</v>
      </c>
      <c r="M120" s="117">
        <f t="shared" si="90"/>
        <v>0.24780000000000002</v>
      </c>
      <c r="N120" s="119">
        <f t="shared" si="91"/>
        <v>0</v>
      </c>
      <c r="O120" s="120">
        <f t="shared" si="92"/>
        <v>0</v>
      </c>
      <c r="P120" s="111"/>
      <c r="Q120" s="111"/>
      <c r="R120" s="111"/>
    </row>
    <row r="121" spans="1:18" ht="27">
      <c r="A121" s="110" t="s">
        <v>308</v>
      </c>
      <c r="B121" s="111" t="s">
        <v>309</v>
      </c>
      <c r="C121" s="112" t="s">
        <v>228</v>
      </c>
      <c r="D121" s="118" t="s">
        <v>17</v>
      </c>
      <c r="E121" s="175" t="s">
        <v>15</v>
      </c>
      <c r="F121" s="175" t="s">
        <v>66</v>
      </c>
      <c r="G121" s="176">
        <v>29.5</v>
      </c>
      <c r="H121" s="177">
        <v>10.1</v>
      </c>
      <c r="I121" s="178">
        <v>2</v>
      </c>
      <c r="J121" s="174">
        <f t="shared" si="89"/>
        <v>0.59589999999999999</v>
      </c>
      <c r="K121" s="118"/>
      <c r="L121" s="111">
        <v>2</v>
      </c>
      <c r="M121" s="117">
        <f t="shared" si="90"/>
        <v>0.59589999999999999</v>
      </c>
      <c r="N121" s="119">
        <f t="shared" si="91"/>
        <v>0</v>
      </c>
      <c r="O121" s="120">
        <f t="shared" si="92"/>
        <v>0</v>
      </c>
      <c r="P121" s="111"/>
      <c r="Q121" s="111"/>
      <c r="R121" s="111"/>
    </row>
    <row r="122" spans="1:18" ht="27">
      <c r="A122" s="110" t="s">
        <v>308</v>
      </c>
      <c r="B122" s="111" t="s">
        <v>309</v>
      </c>
      <c r="C122" s="112" t="s">
        <v>228</v>
      </c>
      <c r="D122" s="118" t="s">
        <v>17</v>
      </c>
      <c r="E122" s="175" t="s">
        <v>15</v>
      </c>
      <c r="F122" s="175" t="s">
        <v>66</v>
      </c>
      <c r="G122" s="176">
        <v>29.5</v>
      </c>
      <c r="H122" s="177">
        <v>11.8</v>
      </c>
      <c r="I122" s="178">
        <v>2</v>
      </c>
      <c r="J122" s="174">
        <f t="shared" si="89"/>
        <v>0.69620000000000004</v>
      </c>
      <c r="K122" s="118"/>
      <c r="L122" s="111">
        <v>1</v>
      </c>
      <c r="M122" s="117">
        <f t="shared" si="90"/>
        <v>0.34810000000000002</v>
      </c>
      <c r="N122" s="119">
        <f t="shared" si="91"/>
        <v>1</v>
      </c>
      <c r="O122" s="120">
        <f t="shared" si="92"/>
        <v>0.34810000000000002</v>
      </c>
      <c r="P122" s="111" t="s">
        <v>373</v>
      </c>
      <c r="Q122" s="111">
        <v>10.7</v>
      </c>
      <c r="R122" s="111">
        <v>1</v>
      </c>
    </row>
    <row r="123" spans="1:18" ht="27">
      <c r="A123" s="110" t="s">
        <v>308</v>
      </c>
      <c r="B123" s="111" t="s">
        <v>309</v>
      </c>
      <c r="C123" s="112" t="s">
        <v>228</v>
      </c>
      <c r="D123" s="118" t="s">
        <v>17</v>
      </c>
      <c r="E123" s="175" t="s">
        <v>15</v>
      </c>
      <c r="F123" s="175" t="s">
        <v>66</v>
      </c>
      <c r="G123" s="176">
        <v>29.5</v>
      </c>
      <c r="H123" s="177">
        <v>11.7</v>
      </c>
      <c r="I123" s="178">
        <v>1</v>
      </c>
      <c r="J123" s="174">
        <f t="shared" si="89"/>
        <v>0.34514999999999996</v>
      </c>
      <c r="K123" s="118"/>
      <c r="L123" s="111"/>
      <c r="M123" s="117">
        <f t="shared" si="90"/>
        <v>0</v>
      </c>
      <c r="N123" s="119">
        <f t="shared" si="91"/>
        <v>1</v>
      </c>
      <c r="O123" s="120">
        <f t="shared" si="92"/>
        <v>0.34514999999999996</v>
      </c>
      <c r="P123" s="111"/>
      <c r="Q123" s="111"/>
      <c r="R123" s="111"/>
    </row>
    <row r="124" spans="1:18" ht="27">
      <c r="A124" s="110" t="s">
        <v>308</v>
      </c>
      <c r="B124" s="111" t="s">
        <v>309</v>
      </c>
      <c r="C124" s="112" t="s">
        <v>228</v>
      </c>
      <c r="D124" s="118" t="s">
        <v>17</v>
      </c>
      <c r="E124" s="175" t="s">
        <v>15</v>
      </c>
      <c r="F124" s="175" t="s">
        <v>66</v>
      </c>
      <c r="G124" s="176">
        <v>29.5</v>
      </c>
      <c r="H124" s="179">
        <v>9.4</v>
      </c>
      <c r="I124" s="178">
        <v>2</v>
      </c>
      <c r="J124" s="174">
        <f t="shared" ref="J124:J125" si="93">(G124*H124*I124/1000)</f>
        <v>0.55459999999999998</v>
      </c>
      <c r="K124" s="118"/>
      <c r="L124" s="111">
        <v>1</v>
      </c>
      <c r="M124" s="117">
        <f t="shared" ref="M124:M125" si="94">H124*L124*G124/1000</f>
        <v>0.27729999999999999</v>
      </c>
      <c r="N124" s="119">
        <f t="shared" ref="N124:N125" si="95">I124-L124</f>
        <v>1</v>
      </c>
      <c r="O124" s="120">
        <f t="shared" ref="O124:O125" si="96">H124*N124*G124/1000</f>
        <v>0.27729999999999999</v>
      </c>
      <c r="P124" s="111">
        <v>8.4</v>
      </c>
      <c r="Q124" s="111">
        <v>1</v>
      </c>
      <c r="R124" s="111"/>
    </row>
    <row r="125" spans="1:18" ht="27">
      <c r="A125" s="110" t="s">
        <v>308</v>
      </c>
      <c r="B125" s="111" t="s">
        <v>309</v>
      </c>
      <c r="C125" s="112" t="s">
        <v>228</v>
      </c>
      <c r="D125" s="118" t="s">
        <v>17</v>
      </c>
      <c r="E125" s="175" t="s">
        <v>15</v>
      </c>
      <c r="F125" s="175" t="s">
        <v>66</v>
      </c>
      <c r="G125" s="176">
        <v>29.5</v>
      </c>
      <c r="H125" s="179">
        <v>6.5</v>
      </c>
      <c r="I125" s="178">
        <v>1</v>
      </c>
      <c r="J125" s="174">
        <f t="shared" si="93"/>
        <v>0.19175</v>
      </c>
      <c r="K125" s="118"/>
      <c r="L125" s="111"/>
      <c r="M125" s="117">
        <f t="shared" si="94"/>
        <v>0</v>
      </c>
      <c r="N125" s="119">
        <f t="shared" si="95"/>
        <v>1</v>
      </c>
      <c r="O125" s="120">
        <f t="shared" si="96"/>
        <v>0.19175</v>
      </c>
      <c r="P125" s="111"/>
      <c r="Q125" s="111"/>
      <c r="R125" s="111"/>
    </row>
    <row r="126" spans="1:18">
      <c r="I126" s="78">
        <f>SUM(I109:I125)</f>
        <v>96</v>
      </c>
      <c r="J126" s="214">
        <f>SUM(J109:J125)</f>
        <v>28.349500000000003</v>
      </c>
      <c r="L126" s="78">
        <f>SUM(L109:L125)</f>
        <v>90</v>
      </c>
      <c r="M126" s="214">
        <f>SUM(M109:M125)</f>
        <v>26.620800000000003</v>
      </c>
      <c r="N126" s="78">
        <f>SUM(N109:N125)</f>
        <v>6</v>
      </c>
      <c r="O126" s="214">
        <f>SUM(O109:O125)</f>
        <v>1.7287000000000001</v>
      </c>
    </row>
    <row r="128" spans="1:18" ht="27">
      <c r="A128" s="110" t="s">
        <v>308</v>
      </c>
      <c r="B128" s="111" t="s">
        <v>309</v>
      </c>
      <c r="C128" s="112" t="s">
        <v>228</v>
      </c>
      <c r="D128" s="118" t="s">
        <v>17</v>
      </c>
      <c r="E128" s="175" t="s">
        <v>15</v>
      </c>
      <c r="F128" s="175" t="s">
        <v>56</v>
      </c>
      <c r="G128" s="176">
        <v>25.2</v>
      </c>
      <c r="H128" s="177">
        <v>9.5</v>
      </c>
      <c r="I128" s="178">
        <v>6</v>
      </c>
      <c r="J128" s="174">
        <f t="shared" ref="J128" si="97">(G128*H128*I128/1000)</f>
        <v>1.4364000000000001</v>
      </c>
      <c r="K128" s="118"/>
      <c r="L128" s="111">
        <v>6</v>
      </c>
      <c r="M128" s="117">
        <f t="shared" ref="M128" si="98">H128*L128*G128/1000</f>
        <v>1.4363999999999999</v>
      </c>
      <c r="N128" s="119">
        <f t="shared" ref="N128" si="99">I128-L128</f>
        <v>0</v>
      </c>
      <c r="O128" s="120">
        <f t="shared" ref="O128" si="100">H128*N128*G128/1000</f>
        <v>0</v>
      </c>
      <c r="P128" s="111"/>
      <c r="Q128" s="111"/>
      <c r="R128" s="111"/>
    </row>
    <row r="129" spans="1:18" ht="27">
      <c r="A129" s="110" t="s">
        <v>308</v>
      </c>
      <c r="B129" s="111" t="s">
        <v>309</v>
      </c>
      <c r="C129" s="112" t="s">
        <v>228</v>
      </c>
      <c r="D129" s="118" t="s">
        <v>17</v>
      </c>
      <c r="E129" s="175" t="s">
        <v>15</v>
      </c>
      <c r="F129" s="175" t="s">
        <v>56</v>
      </c>
      <c r="G129" s="176">
        <v>25.2</v>
      </c>
      <c r="H129" s="177">
        <v>10</v>
      </c>
      <c r="I129" s="178">
        <v>15</v>
      </c>
      <c r="J129" s="174">
        <f t="shared" ref="J129:J136" si="101">(G129*H129*I129/1000)</f>
        <v>3.78</v>
      </c>
      <c r="K129" s="118"/>
      <c r="L129" s="111">
        <v>15</v>
      </c>
      <c r="M129" s="117">
        <f t="shared" ref="M129:M136" si="102">H129*L129*G129/1000</f>
        <v>3.78</v>
      </c>
      <c r="N129" s="119">
        <f t="shared" ref="N129:N136" si="103">I129-L129</f>
        <v>0</v>
      </c>
      <c r="O129" s="120">
        <f t="shared" ref="O129:O136" si="104">H129*N129*G129/1000</f>
        <v>0</v>
      </c>
      <c r="P129" s="111"/>
      <c r="Q129" s="111"/>
      <c r="R129" s="111"/>
    </row>
    <row r="130" spans="1:18" ht="27">
      <c r="A130" s="110" t="s">
        <v>308</v>
      </c>
      <c r="B130" s="111" t="s">
        <v>309</v>
      </c>
      <c r="C130" s="112" t="s">
        <v>228</v>
      </c>
      <c r="D130" s="118" t="s">
        <v>17</v>
      </c>
      <c r="E130" s="175" t="s">
        <v>15</v>
      </c>
      <c r="F130" s="175" t="s">
        <v>56</v>
      </c>
      <c r="G130" s="176">
        <v>25.2</v>
      </c>
      <c r="H130" s="177">
        <v>10.5</v>
      </c>
      <c r="I130" s="178">
        <v>10</v>
      </c>
      <c r="J130" s="174">
        <f t="shared" si="101"/>
        <v>2.6459999999999995</v>
      </c>
      <c r="K130" s="118"/>
      <c r="L130" s="111">
        <f>9+1</f>
        <v>10</v>
      </c>
      <c r="M130" s="117">
        <f t="shared" si="102"/>
        <v>2.6459999999999999</v>
      </c>
      <c r="N130" s="119">
        <f t="shared" si="103"/>
        <v>0</v>
      </c>
      <c r="O130" s="120">
        <f t="shared" si="104"/>
        <v>0</v>
      </c>
      <c r="P130" s="111">
        <v>9.6999999999999993</v>
      </c>
      <c r="Q130" s="111">
        <v>1</v>
      </c>
      <c r="R130" s="111"/>
    </row>
    <row r="131" spans="1:18" ht="27">
      <c r="A131" s="110" t="s">
        <v>308</v>
      </c>
      <c r="B131" s="111" t="s">
        <v>309</v>
      </c>
      <c r="C131" s="112" t="s">
        <v>228</v>
      </c>
      <c r="D131" s="118" t="s">
        <v>17</v>
      </c>
      <c r="E131" s="175" t="s">
        <v>15</v>
      </c>
      <c r="F131" s="175" t="s">
        <v>56</v>
      </c>
      <c r="G131" s="176">
        <v>25.2</v>
      </c>
      <c r="H131" s="177">
        <v>12</v>
      </c>
      <c r="I131" s="178">
        <v>22</v>
      </c>
      <c r="J131" s="174">
        <f t="shared" si="101"/>
        <v>6.6527999999999992</v>
      </c>
      <c r="K131" s="118"/>
      <c r="L131" s="111">
        <f>21+1</f>
        <v>22</v>
      </c>
      <c r="M131" s="117">
        <f t="shared" si="102"/>
        <v>6.6528</v>
      </c>
      <c r="N131" s="119">
        <f t="shared" si="103"/>
        <v>0</v>
      </c>
      <c r="O131" s="120">
        <f t="shared" si="104"/>
        <v>0</v>
      </c>
      <c r="P131" s="111">
        <v>12</v>
      </c>
      <c r="Q131" s="45">
        <v>1</v>
      </c>
      <c r="R131" s="111" t="s">
        <v>718</v>
      </c>
    </row>
    <row r="132" spans="1:18" ht="27">
      <c r="A132" s="110" t="s">
        <v>308</v>
      </c>
      <c r="B132" s="111" t="s">
        <v>309</v>
      </c>
      <c r="C132" s="112" t="s">
        <v>228</v>
      </c>
      <c r="D132" s="118" t="s">
        <v>17</v>
      </c>
      <c r="E132" s="175" t="s">
        <v>15</v>
      </c>
      <c r="F132" s="175" t="s">
        <v>56</v>
      </c>
      <c r="G132" s="176">
        <v>25.2</v>
      </c>
      <c r="H132" s="177">
        <v>10</v>
      </c>
      <c r="I132" s="178">
        <v>9</v>
      </c>
      <c r="J132" s="174">
        <f t="shared" si="101"/>
        <v>2.2679999999999998</v>
      </c>
      <c r="K132" s="118"/>
      <c r="L132" s="111">
        <v>9</v>
      </c>
      <c r="M132" s="117">
        <f t="shared" si="102"/>
        <v>2.2679999999999998</v>
      </c>
      <c r="N132" s="119">
        <f t="shared" si="103"/>
        <v>0</v>
      </c>
      <c r="O132" s="120">
        <f t="shared" si="104"/>
        <v>0</v>
      </c>
      <c r="P132" s="111"/>
      <c r="Q132" s="111"/>
      <c r="R132" s="111"/>
    </row>
    <row r="133" spans="1:18" ht="27">
      <c r="A133" s="110" t="s">
        <v>308</v>
      </c>
      <c r="B133" s="111" t="s">
        <v>309</v>
      </c>
      <c r="C133" s="112" t="s">
        <v>228</v>
      </c>
      <c r="D133" s="118" t="s">
        <v>17</v>
      </c>
      <c r="E133" s="175" t="s">
        <v>15</v>
      </c>
      <c r="F133" s="175" t="s">
        <v>56</v>
      </c>
      <c r="G133" s="176">
        <v>25.2</v>
      </c>
      <c r="H133" s="177">
        <v>9.1</v>
      </c>
      <c r="I133" s="178">
        <v>12</v>
      </c>
      <c r="J133" s="174">
        <f t="shared" si="101"/>
        <v>2.7518400000000001</v>
      </c>
      <c r="K133" s="118"/>
      <c r="L133" s="111">
        <v>12</v>
      </c>
      <c r="M133" s="117">
        <f t="shared" si="102"/>
        <v>2.7518399999999996</v>
      </c>
      <c r="N133" s="119">
        <f t="shared" si="103"/>
        <v>0</v>
      </c>
      <c r="O133" s="120">
        <f t="shared" si="104"/>
        <v>0</v>
      </c>
      <c r="P133" s="111"/>
      <c r="Q133" s="111"/>
      <c r="R133" s="111"/>
    </row>
    <row r="134" spans="1:18" ht="27">
      <c r="A134" s="110" t="s">
        <v>308</v>
      </c>
      <c r="B134" s="111" t="s">
        <v>309</v>
      </c>
      <c r="C134" s="112" t="s">
        <v>228</v>
      </c>
      <c r="D134" s="118" t="s">
        <v>17</v>
      </c>
      <c r="E134" s="175" t="s">
        <v>15</v>
      </c>
      <c r="F134" s="175" t="s">
        <v>56</v>
      </c>
      <c r="G134" s="176">
        <v>25.2</v>
      </c>
      <c r="H134" s="177">
        <v>9.6999999999999993</v>
      </c>
      <c r="I134" s="178">
        <v>9</v>
      </c>
      <c r="J134" s="174">
        <f t="shared" si="101"/>
        <v>2.1999599999999995</v>
      </c>
      <c r="K134" s="118"/>
      <c r="L134" s="111">
        <v>9</v>
      </c>
      <c r="M134" s="117">
        <f t="shared" si="102"/>
        <v>2.1999599999999999</v>
      </c>
      <c r="N134" s="119">
        <f t="shared" si="103"/>
        <v>0</v>
      </c>
      <c r="O134" s="120">
        <f t="shared" si="104"/>
        <v>0</v>
      </c>
      <c r="P134" s="111"/>
      <c r="Q134" s="111"/>
      <c r="R134" s="111"/>
    </row>
    <row r="135" spans="1:18" ht="27">
      <c r="A135" s="110" t="s">
        <v>308</v>
      </c>
      <c r="B135" s="111" t="s">
        <v>309</v>
      </c>
      <c r="C135" s="112" t="s">
        <v>228</v>
      </c>
      <c r="D135" s="118" t="s">
        <v>17</v>
      </c>
      <c r="E135" s="175" t="s">
        <v>15</v>
      </c>
      <c r="F135" s="175" t="s">
        <v>56</v>
      </c>
      <c r="G135" s="176">
        <v>25.2</v>
      </c>
      <c r="H135" s="177">
        <v>7.2</v>
      </c>
      <c r="I135" s="178">
        <v>1</v>
      </c>
      <c r="J135" s="174">
        <f t="shared" si="101"/>
        <v>0.18143999999999999</v>
      </c>
      <c r="K135" s="118"/>
      <c r="L135" s="111">
        <v>1</v>
      </c>
      <c r="M135" s="117">
        <f t="shared" si="102"/>
        <v>0.18143999999999999</v>
      </c>
      <c r="N135" s="119">
        <f t="shared" si="103"/>
        <v>0</v>
      </c>
      <c r="O135" s="120">
        <f t="shared" si="104"/>
        <v>0</v>
      </c>
      <c r="P135" s="111">
        <v>7.2</v>
      </c>
      <c r="Q135" s="45">
        <v>1</v>
      </c>
      <c r="R135" s="111" t="s">
        <v>718</v>
      </c>
    </row>
    <row r="136" spans="1:18" ht="27">
      <c r="A136" s="110" t="s">
        <v>308</v>
      </c>
      <c r="B136" s="111" t="s">
        <v>309</v>
      </c>
      <c r="C136" s="112" t="s">
        <v>228</v>
      </c>
      <c r="D136" s="118" t="s">
        <v>17</v>
      </c>
      <c r="E136" s="175" t="s">
        <v>15</v>
      </c>
      <c r="F136" s="175" t="s">
        <v>56</v>
      </c>
      <c r="G136" s="176">
        <v>25.2</v>
      </c>
      <c r="H136" s="177">
        <v>9.1</v>
      </c>
      <c r="I136" s="178">
        <v>1</v>
      </c>
      <c r="J136" s="174">
        <f t="shared" si="101"/>
        <v>0.22932</v>
      </c>
      <c r="K136" s="118"/>
      <c r="L136" s="111">
        <v>1</v>
      </c>
      <c r="M136" s="117">
        <f t="shared" si="102"/>
        <v>0.22932</v>
      </c>
      <c r="N136" s="119">
        <f t="shared" si="103"/>
        <v>0</v>
      </c>
      <c r="O136" s="120">
        <f t="shared" si="104"/>
        <v>0</v>
      </c>
      <c r="P136" s="111">
        <v>9.1</v>
      </c>
      <c r="Q136" s="45">
        <v>1</v>
      </c>
      <c r="R136" s="111" t="s">
        <v>718</v>
      </c>
    </row>
    <row r="137" spans="1:18">
      <c r="I137" s="215">
        <f>SUM(I128:I136)</f>
        <v>85</v>
      </c>
      <c r="J137" s="214">
        <f>SUM(J128:J136)</f>
        <v>22.145759999999999</v>
      </c>
      <c r="L137" s="215">
        <f>SUM(L128:L136)</f>
        <v>85</v>
      </c>
      <c r="M137" s="214">
        <f>SUM(M128:M136)</f>
        <v>22.145760000000003</v>
      </c>
      <c r="N137" s="78">
        <f>SUM(N128:N136)</f>
        <v>0</v>
      </c>
      <c r="O137" s="214">
        <f>SUM(O128:O136)</f>
        <v>0</v>
      </c>
    </row>
    <row r="139" spans="1:18" ht="27">
      <c r="A139" s="110" t="s">
        <v>308</v>
      </c>
      <c r="B139" s="111" t="s">
        <v>309</v>
      </c>
      <c r="C139" s="112" t="s">
        <v>228</v>
      </c>
      <c r="D139" s="118" t="s">
        <v>17</v>
      </c>
      <c r="E139" s="175" t="s">
        <v>15</v>
      </c>
      <c r="F139" s="175" t="s">
        <v>65</v>
      </c>
      <c r="G139" s="176">
        <v>44.12</v>
      </c>
      <c r="H139" s="177">
        <v>7.8</v>
      </c>
      <c r="I139" s="178">
        <v>1</v>
      </c>
      <c r="J139" s="174">
        <f t="shared" ref="J139" si="105">(G139*H139*I139/1000)</f>
        <v>0.34413599999999994</v>
      </c>
      <c r="K139" s="118"/>
      <c r="L139" s="111">
        <v>1</v>
      </c>
      <c r="M139" s="117">
        <f t="shared" ref="M139" si="106">H139*L139*G139/1000</f>
        <v>0.34413599999999994</v>
      </c>
      <c r="N139" s="119">
        <f t="shared" ref="N139" si="107">I139-L139</f>
        <v>0</v>
      </c>
      <c r="O139" s="120">
        <f t="shared" ref="O139" si="108">H139*N139*G139/1000</f>
        <v>0</v>
      </c>
      <c r="P139" s="111"/>
      <c r="Q139" s="111"/>
      <c r="R139" s="111"/>
    </row>
    <row r="140" spans="1:18" ht="27">
      <c r="A140" s="110" t="s">
        <v>308</v>
      </c>
      <c r="B140" s="111" t="s">
        <v>309</v>
      </c>
      <c r="C140" s="112" t="s">
        <v>228</v>
      </c>
      <c r="D140" s="118" t="s">
        <v>17</v>
      </c>
      <c r="E140" s="175" t="s">
        <v>15</v>
      </c>
      <c r="F140" s="175" t="s">
        <v>65</v>
      </c>
      <c r="G140" s="176">
        <v>44.12</v>
      </c>
      <c r="H140" s="177">
        <v>7.7</v>
      </c>
      <c r="I140" s="178">
        <f>9+9+6+8+10+9+9+10+3+1</f>
        <v>74</v>
      </c>
      <c r="J140" s="174">
        <f t="shared" ref="J140:J150" si="109">(G140*H140*I140/1000)</f>
        <v>25.139576000000002</v>
      </c>
      <c r="K140" s="118"/>
      <c r="L140" s="111">
        <f>70+1+3</f>
        <v>74</v>
      </c>
      <c r="M140" s="117">
        <f t="shared" ref="M140:M150" si="110">H140*L140*G140/1000</f>
        <v>25.139576000000002</v>
      </c>
      <c r="N140" s="119">
        <f t="shared" ref="N140:N150" si="111">I140-L140</f>
        <v>0</v>
      </c>
      <c r="O140" s="120">
        <f t="shared" ref="O140:O150" si="112">H140*N140*G140/1000</f>
        <v>0</v>
      </c>
      <c r="P140" s="130">
        <v>6.3</v>
      </c>
      <c r="Q140" s="45">
        <v>3</v>
      </c>
      <c r="R140" s="111" t="s">
        <v>673</v>
      </c>
    </row>
    <row r="141" spans="1:18" ht="27">
      <c r="A141" s="110" t="s">
        <v>308</v>
      </c>
      <c r="B141" s="111" t="s">
        <v>309</v>
      </c>
      <c r="C141" s="112" t="s">
        <v>228</v>
      </c>
      <c r="D141" s="118" t="s">
        <v>17</v>
      </c>
      <c r="E141" s="175" t="s">
        <v>15</v>
      </c>
      <c r="F141" s="175" t="s">
        <v>65</v>
      </c>
      <c r="G141" s="176">
        <v>44.12</v>
      </c>
      <c r="H141" s="177">
        <v>10</v>
      </c>
      <c r="I141" s="178">
        <f>7+4+4</f>
        <v>15</v>
      </c>
      <c r="J141" s="174">
        <f t="shared" si="109"/>
        <v>6.6180000000000003</v>
      </c>
      <c r="K141" s="118"/>
      <c r="L141" s="111">
        <v>15</v>
      </c>
      <c r="M141" s="117">
        <f t="shared" si="110"/>
        <v>6.6180000000000003</v>
      </c>
      <c r="N141" s="119">
        <f t="shared" si="111"/>
        <v>0</v>
      </c>
      <c r="O141" s="120">
        <f t="shared" si="112"/>
        <v>0</v>
      </c>
      <c r="P141" s="111"/>
      <c r="Q141" s="111"/>
      <c r="R141" s="111"/>
    </row>
    <row r="142" spans="1:18" ht="27">
      <c r="A142" s="110" t="s">
        <v>308</v>
      </c>
      <c r="B142" s="111" t="s">
        <v>309</v>
      </c>
      <c r="C142" s="112" t="s">
        <v>228</v>
      </c>
      <c r="D142" s="118" t="s">
        <v>17</v>
      </c>
      <c r="E142" s="175" t="s">
        <v>15</v>
      </c>
      <c r="F142" s="175" t="s">
        <v>65</v>
      </c>
      <c r="G142" s="176">
        <v>44.12</v>
      </c>
      <c r="H142" s="177">
        <v>9.5</v>
      </c>
      <c r="I142" s="178">
        <f>8+6+1+7+5+4+1</f>
        <v>32</v>
      </c>
      <c r="J142" s="174">
        <f t="shared" si="109"/>
        <v>13.41248</v>
      </c>
      <c r="K142" s="118"/>
      <c r="L142" s="111">
        <v>32</v>
      </c>
      <c r="M142" s="117">
        <f t="shared" si="110"/>
        <v>13.41248</v>
      </c>
      <c r="N142" s="119">
        <f t="shared" si="111"/>
        <v>0</v>
      </c>
      <c r="O142" s="120">
        <f t="shared" si="112"/>
        <v>0</v>
      </c>
      <c r="P142" s="111"/>
      <c r="Q142" s="111"/>
      <c r="R142" s="111"/>
    </row>
    <row r="143" spans="1:18" ht="27">
      <c r="A143" s="110" t="s">
        <v>308</v>
      </c>
      <c r="B143" s="111" t="s">
        <v>309</v>
      </c>
      <c r="C143" s="112" t="s">
        <v>228</v>
      </c>
      <c r="D143" s="118" t="s">
        <v>17</v>
      </c>
      <c r="E143" s="175" t="s">
        <v>15</v>
      </c>
      <c r="F143" s="175" t="s">
        <v>65</v>
      </c>
      <c r="G143" s="176">
        <v>44.12</v>
      </c>
      <c r="H143" s="177">
        <v>6.6</v>
      </c>
      <c r="I143" s="178">
        <v>2</v>
      </c>
      <c r="J143" s="174">
        <f t="shared" si="109"/>
        <v>0.5823839999999999</v>
      </c>
      <c r="K143" s="118"/>
      <c r="L143" s="111">
        <v>2</v>
      </c>
      <c r="M143" s="117">
        <f t="shared" si="110"/>
        <v>0.5823839999999999</v>
      </c>
      <c r="N143" s="119">
        <f t="shared" si="111"/>
        <v>0</v>
      </c>
      <c r="O143" s="120">
        <f t="shared" si="112"/>
        <v>0</v>
      </c>
      <c r="P143" s="111"/>
      <c r="Q143" s="111"/>
      <c r="R143" s="111"/>
    </row>
    <row r="144" spans="1:18" ht="27">
      <c r="A144" s="110" t="s">
        <v>308</v>
      </c>
      <c r="B144" s="111" t="s">
        <v>309</v>
      </c>
      <c r="C144" s="112" t="s">
        <v>228</v>
      </c>
      <c r="D144" s="118" t="s">
        <v>17</v>
      </c>
      <c r="E144" s="175" t="s">
        <v>15</v>
      </c>
      <c r="F144" s="175" t="s">
        <v>65</v>
      </c>
      <c r="G144" s="176">
        <v>44.12</v>
      </c>
      <c r="H144" s="177">
        <v>7.8</v>
      </c>
      <c r="I144" s="178">
        <v>1</v>
      </c>
      <c r="J144" s="174">
        <f t="shared" si="109"/>
        <v>0.34413599999999994</v>
      </c>
      <c r="K144" s="118"/>
      <c r="L144" s="111">
        <v>1</v>
      </c>
      <c r="M144" s="117">
        <f t="shared" si="110"/>
        <v>0.34413599999999994</v>
      </c>
      <c r="N144" s="119">
        <f t="shared" si="111"/>
        <v>0</v>
      </c>
      <c r="O144" s="120">
        <f t="shared" si="112"/>
        <v>0</v>
      </c>
      <c r="P144" s="111"/>
      <c r="Q144" s="111"/>
      <c r="R144" s="111"/>
    </row>
    <row r="145" spans="1:20" ht="27">
      <c r="A145" s="110" t="s">
        <v>308</v>
      </c>
      <c r="B145" s="111" t="s">
        <v>309</v>
      </c>
      <c r="C145" s="112" t="s">
        <v>228</v>
      </c>
      <c r="D145" s="118" t="s">
        <v>17</v>
      </c>
      <c r="E145" s="175" t="s">
        <v>15</v>
      </c>
      <c r="F145" s="175" t="s">
        <v>65</v>
      </c>
      <c r="G145" s="176">
        <v>44.12</v>
      </c>
      <c r="H145" s="177">
        <v>9.3000000000000007</v>
      </c>
      <c r="I145" s="178">
        <v>1</v>
      </c>
      <c r="J145" s="174">
        <f t="shared" si="109"/>
        <v>0.41031600000000001</v>
      </c>
      <c r="K145" s="118"/>
      <c r="L145" s="111">
        <v>1</v>
      </c>
      <c r="M145" s="117">
        <f t="shared" si="110"/>
        <v>0.41031600000000001</v>
      </c>
      <c r="N145" s="119">
        <f t="shared" si="111"/>
        <v>0</v>
      </c>
      <c r="O145" s="120">
        <f t="shared" si="112"/>
        <v>0</v>
      </c>
      <c r="P145" s="111">
        <v>7.8</v>
      </c>
      <c r="Q145" s="111">
        <v>1</v>
      </c>
      <c r="R145" s="111">
        <v>7.8</v>
      </c>
      <c r="S145" s="111">
        <v>1</v>
      </c>
    </row>
    <row r="146" spans="1:20" ht="27">
      <c r="A146" s="110" t="s">
        <v>308</v>
      </c>
      <c r="B146" s="111" t="s">
        <v>309</v>
      </c>
      <c r="C146" s="112" t="s">
        <v>228</v>
      </c>
      <c r="D146" s="118" t="s">
        <v>17</v>
      </c>
      <c r="E146" s="175" t="s">
        <v>15</v>
      </c>
      <c r="F146" s="175" t="s">
        <v>65</v>
      </c>
      <c r="G146" s="176">
        <v>44.12</v>
      </c>
      <c r="H146" s="177">
        <v>11.5</v>
      </c>
      <c r="I146" s="178">
        <v>3</v>
      </c>
      <c r="J146" s="174">
        <f t="shared" si="109"/>
        <v>1.5221399999999998</v>
      </c>
      <c r="K146" s="118"/>
      <c r="L146" s="111">
        <f>1+2</f>
        <v>3</v>
      </c>
      <c r="M146" s="117">
        <f t="shared" si="110"/>
        <v>1.5221399999999998</v>
      </c>
      <c r="N146" s="119">
        <f t="shared" si="111"/>
        <v>0</v>
      </c>
      <c r="O146" s="120">
        <f t="shared" si="112"/>
        <v>0</v>
      </c>
      <c r="P146" s="111"/>
      <c r="Q146" s="111">
        <v>2</v>
      </c>
      <c r="R146" s="111" t="s">
        <v>540</v>
      </c>
      <c r="S146" s="111">
        <v>7.8</v>
      </c>
      <c r="T146" s="111">
        <v>1</v>
      </c>
    </row>
    <row r="147" spans="1:20" ht="27">
      <c r="A147" s="110" t="s">
        <v>308</v>
      </c>
      <c r="B147" s="111" t="s">
        <v>309</v>
      </c>
      <c r="C147" s="112" t="s">
        <v>228</v>
      </c>
      <c r="D147" s="118" t="s">
        <v>17</v>
      </c>
      <c r="E147" s="175" t="s">
        <v>15</v>
      </c>
      <c r="F147" s="175" t="s">
        <v>65</v>
      </c>
      <c r="G147" s="176">
        <v>44.12</v>
      </c>
      <c r="H147" s="177">
        <v>12</v>
      </c>
      <c r="I147" s="178">
        <v>3</v>
      </c>
      <c r="J147" s="174">
        <f t="shared" si="109"/>
        <v>1.5883199999999997</v>
      </c>
      <c r="K147" s="118"/>
      <c r="L147" s="111">
        <v>3</v>
      </c>
      <c r="M147" s="117">
        <f t="shared" si="110"/>
        <v>1.58832</v>
      </c>
      <c r="N147" s="119">
        <f t="shared" si="111"/>
        <v>0</v>
      </c>
      <c r="O147" s="120">
        <f t="shared" si="112"/>
        <v>0</v>
      </c>
      <c r="P147" s="111"/>
      <c r="Q147" s="111">
        <v>3</v>
      </c>
      <c r="R147" s="111" t="s">
        <v>540</v>
      </c>
    </row>
    <row r="148" spans="1:20" ht="27">
      <c r="A148" s="110" t="s">
        <v>308</v>
      </c>
      <c r="B148" s="111" t="s">
        <v>309</v>
      </c>
      <c r="C148" s="112" t="s">
        <v>228</v>
      </c>
      <c r="D148" s="118" t="s">
        <v>17</v>
      </c>
      <c r="E148" s="175" t="s">
        <v>15</v>
      </c>
      <c r="F148" s="175" t="s">
        <v>65</v>
      </c>
      <c r="G148" s="176">
        <v>44.12</v>
      </c>
      <c r="H148" s="177">
        <v>6.7</v>
      </c>
      <c r="I148" s="178">
        <v>3</v>
      </c>
      <c r="J148" s="174">
        <f t="shared" si="109"/>
        <v>0.88681199999999993</v>
      </c>
      <c r="K148" s="118"/>
      <c r="L148" s="111">
        <f>2+1</f>
        <v>3</v>
      </c>
      <c r="M148" s="117">
        <f t="shared" si="110"/>
        <v>0.88681200000000004</v>
      </c>
      <c r="N148" s="119">
        <f t="shared" si="111"/>
        <v>0</v>
      </c>
      <c r="O148" s="120">
        <f t="shared" si="112"/>
        <v>0</v>
      </c>
      <c r="P148" s="130">
        <v>6.3</v>
      </c>
      <c r="Q148" s="45">
        <v>1</v>
      </c>
      <c r="R148" s="111" t="s">
        <v>673</v>
      </c>
    </row>
    <row r="149" spans="1:20" ht="27">
      <c r="A149" s="110" t="s">
        <v>308</v>
      </c>
      <c r="B149" s="111" t="s">
        <v>309</v>
      </c>
      <c r="C149" s="112" t="s">
        <v>228</v>
      </c>
      <c r="D149" s="118" t="s">
        <v>17</v>
      </c>
      <c r="E149" s="175" t="s">
        <v>15</v>
      </c>
      <c r="F149" s="175" t="s">
        <v>65</v>
      </c>
      <c r="G149" s="176">
        <v>44.12</v>
      </c>
      <c r="H149" s="177">
        <v>6</v>
      </c>
      <c r="I149" s="178">
        <v>2</v>
      </c>
      <c r="J149" s="174">
        <f t="shared" si="109"/>
        <v>0.52943999999999991</v>
      </c>
      <c r="K149" s="118"/>
      <c r="L149" s="111"/>
      <c r="M149" s="117">
        <f t="shared" si="110"/>
        <v>0</v>
      </c>
      <c r="N149" s="119">
        <f t="shared" si="111"/>
        <v>2</v>
      </c>
      <c r="O149" s="120">
        <f t="shared" si="112"/>
        <v>0.52943999999999991</v>
      </c>
      <c r="P149" s="111"/>
      <c r="Q149" s="111"/>
      <c r="R149" s="111"/>
    </row>
    <row r="150" spans="1:20" ht="27">
      <c r="A150" s="110" t="s">
        <v>308</v>
      </c>
      <c r="B150" s="111" t="s">
        <v>309</v>
      </c>
      <c r="C150" s="112" t="s">
        <v>228</v>
      </c>
      <c r="D150" s="118" t="s">
        <v>17</v>
      </c>
      <c r="E150" s="175" t="s">
        <v>15</v>
      </c>
      <c r="F150" s="175" t="s">
        <v>65</v>
      </c>
      <c r="G150" s="176">
        <v>44.12</v>
      </c>
      <c r="H150" s="177">
        <v>5.8</v>
      </c>
      <c r="I150" s="178">
        <v>1</v>
      </c>
      <c r="J150" s="174">
        <f t="shared" si="109"/>
        <v>0.25589600000000001</v>
      </c>
      <c r="K150" s="118"/>
      <c r="L150" s="111"/>
      <c r="M150" s="117">
        <f t="shared" si="110"/>
        <v>0</v>
      </c>
      <c r="N150" s="119">
        <f t="shared" si="111"/>
        <v>1</v>
      </c>
      <c r="O150" s="120">
        <f t="shared" si="112"/>
        <v>0.25589600000000001</v>
      </c>
      <c r="P150" s="111"/>
      <c r="Q150" s="111"/>
      <c r="R150" s="111"/>
    </row>
    <row r="151" spans="1:20">
      <c r="I151" s="78">
        <f>SUM(I139:I150)</f>
        <v>138</v>
      </c>
      <c r="J151" s="214">
        <f>SUM(J139:J150)</f>
        <v>51.633636000000003</v>
      </c>
      <c r="L151" s="78">
        <f>SUM(L139:L150)</f>
        <v>135</v>
      </c>
      <c r="M151" s="214">
        <f>SUM(M139:M150)</f>
        <v>50.848300000000002</v>
      </c>
      <c r="N151" s="78">
        <f>SUM(N139:N150)</f>
        <v>3</v>
      </c>
      <c r="O151" s="128">
        <f>SUM(O139:O150)</f>
        <v>0.78533599999999992</v>
      </c>
    </row>
    <row r="153" spans="1:20" ht="27">
      <c r="A153" s="110" t="s">
        <v>308</v>
      </c>
      <c r="B153" s="111" t="s">
        <v>309</v>
      </c>
      <c r="C153" s="112" t="s">
        <v>228</v>
      </c>
      <c r="D153" s="118" t="s">
        <v>17</v>
      </c>
      <c r="E153" s="175" t="s">
        <v>15</v>
      </c>
      <c r="F153" s="175" t="s">
        <v>57</v>
      </c>
      <c r="G153" s="176">
        <v>33.72</v>
      </c>
      <c r="H153" s="177">
        <v>12</v>
      </c>
      <c r="I153" s="178">
        <v>3</v>
      </c>
      <c r="J153" s="174">
        <f t="shared" ref="J153" si="113">(G153*H153*I153/1000)</f>
        <v>1.2139200000000001</v>
      </c>
      <c r="K153" s="118"/>
      <c r="L153" s="111">
        <v>3</v>
      </c>
      <c r="M153" s="117">
        <f t="shared" ref="M153" si="114">H153*L153*G153/1000</f>
        <v>1.2139200000000001</v>
      </c>
      <c r="N153" s="119">
        <f t="shared" ref="N153" si="115">I153-L153</f>
        <v>0</v>
      </c>
      <c r="O153" s="120">
        <f t="shared" ref="O153" si="116">H153*N153*G153/1000</f>
        <v>0</v>
      </c>
      <c r="P153" s="111"/>
      <c r="Q153" s="111"/>
      <c r="R153" s="111"/>
    </row>
    <row r="154" spans="1:20" ht="27">
      <c r="A154" s="110" t="s">
        <v>308</v>
      </c>
      <c r="B154" s="111" t="s">
        <v>309</v>
      </c>
      <c r="C154" s="112" t="s">
        <v>228</v>
      </c>
      <c r="D154" s="118" t="s">
        <v>17</v>
      </c>
      <c r="E154" s="175" t="s">
        <v>15</v>
      </c>
      <c r="F154" s="175" t="s">
        <v>57</v>
      </c>
      <c r="G154" s="176">
        <v>33.72</v>
      </c>
      <c r="H154" s="177">
        <v>8.8000000000000007</v>
      </c>
      <c r="I154" s="178">
        <v>23</v>
      </c>
      <c r="J154" s="174">
        <f t="shared" ref="J154:J162" si="117">(G154*H154*I154/1000)</f>
        <v>6.8249279999999999</v>
      </c>
      <c r="K154" s="118"/>
      <c r="L154" s="111">
        <v>23</v>
      </c>
      <c r="M154" s="117">
        <f t="shared" ref="M154:M162" si="118">H154*L154*G154/1000</f>
        <v>6.8249279999999999</v>
      </c>
      <c r="N154" s="119">
        <f t="shared" ref="N154:N162" si="119">I154-L154</f>
        <v>0</v>
      </c>
      <c r="O154" s="120">
        <f t="shared" ref="O154:O162" si="120">H154*N154*G154/1000</f>
        <v>0</v>
      </c>
      <c r="P154" s="111"/>
      <c r="Q154" s="111"/>
      <c r="R154" s="111"/>
    </row>
    <row r="155" spans="1:20" ht="27">
      <c r="A155" s="110" t="s">
        <v>308</v>
      </c>
      <c r="B155" s="111" t="s">
        <v>309</v>
      </c>
      <c r="C155" s="112" t="s">
        <v>228</v>
      </c>
      <c r="D155" s="118" t="s">
        <v>17</v>
      </c>
      <c r="E155" s="175" t="s">
        <v>15</v>
      </c>
      <c r="F155" s="175" t="s">
        <v>57</v>
      </c>
      <c r="G155" s="176">
        <v>33.72</v>
      </c>
      <c r="H155" s="177">
        <v>9.6999999999999993</v>
      </c>
      <c r="I155" s="178">
        <v>3</v>
      </c>
      <c r="J155" s="174">
        <f t="shared" si="117"/>
        <v>0.98125199999999979</v>
      </c>
      <c r="K155" s="118"/>
      <c r="L155" s="111">
        <v>3</v>
      </c>
      <c r="M155" s="117">
        <f t="shared" si="118"/>
        <v>0.98125199999999979</v>
      </c>
      <c r="N155" s="119">
        <f t="shared" si="119"/>
        <v>0</v>
      </c>
      <c r="O155" s="120">
        <f t="shared" si="120"/>
        <v>0</v>
      </c>
      <c r="P155" s="111"/>
      <c r="Q155" s="111"/>
      <c r="R155" s="111"/>
    </row>
    <row r="156" spans="1:20" ht="27">
      <c r="A156" s="110" t="s">
        <v>308</v>
      </c>
      <c r="B156" s="111" t="s">
        <v>309</v>
      </c>
      <c r="C156" s="112" t="s">
        <v>228</v>
      </c>
      <c r="D156" s="118" t="s">
        <v>17</v>
      </c>
      <c r="E156" s="175" t="s">
        <v>15</v>
      </c>
      <c r="F156" s="175" t="s">
        <v>57</v>
      </c>
      <c r="G156" s="176">
        <v>33.72</v>
      </c>
      <c r="H156" s="177">
        <v>8.3000000000000007</v>
      </c>
      <c r="I156" s="178">
        <v>16</v>
      </c>
      <c r="J156" s="174">
        <f t="shared" si="117"/>
        <v>4.4780160000000002</v>
      </c>
      <c r="K156" s="118"/>
      <c r="L156" s="111">
        <v>16</v>
      </c>
      <c r="M156" s="117">
        <f t="shared" si="118"/>
        <v>4.4780160000000002</v>
      </c>
      <c r="N156" s="119">
        <f t="shared" si="119"/>
        <v>0</v>
      </c>
      <c r="O156" s="120">
        <f t="shared" si="120"/>
        <v>0</v>
      </c>
      <c r="P156" s="111"/>
      <c r="Q156" s="111"/>
      <c r="R156" s="111"/>
    </row>
    <row r="157" spans="1:20" ht="27">
      <c r="A157" s="110" t="s">
        <v>308</v>
      </c>
      <c r="B157" s="111" t="s">
        <v>309</v>
      </c>
      <c r="C157" s="112" t="s">
        <v>228</v>
      </c>
      <c r="D157" s="118" t="s">
        <v>17</v>
      </c>
      <c r="E157" s="175" t="s">
        <v>15</v>
      </c>
      <c r="F157" s="175" t="s">
        <v>57</v>
      </c>
      <c r="G157" s="176">
        <v>33.72</v>
      </c>
      <c r="H157" s="177">
        <v>11.75</v>
      </c>
      <c r="I157" s="178">
        <v>2</v>
      </c>
      <c r="J157" s="174">
        <f t="shared" si="117"/>
        <v>0.79242000000000001</v>
      </c>
      <c r="K157" s="118"/>
      <c r="L157" s="111">
        <v>2</v>
      </c>
      <c r="M157" s="117">
        <f t="shared" si="118"/>
        <v>0.79242000000000001</v>
      </c>
      <c r="N157" s="119">
        <f t="shared" si="119"/>
        <v>0</v>
      </c>
      <c r="O157" s="120">
        <f t="shared" si="120"/>
        <v>0</v>
      </c>
      <c r="P157" s="111"/>
      <c r="Q157" s="111"/>
      <c r="R157" s="111"/>
    </row>
    <row r="158" spans="1:20" ht="27">
      <c r="A158" s="110" t="s">
        <v>308</v>
      </c>
      <c r="B158" s="111" t="s">
        <v>309</v>
      </c>
      <c r="C158" s="112" t="s">
        <v>228</v>
      </c>
      <c r="D158" s="118" t="s">
        <v>17</v>
      </c>
      <c r="E158" s="175" t="s">
        <v>15</v>
      </c>
      <c r="F158" s="175" t="s">
        <v>57</v>
      </c>
      <c r="G158" s="176">
        <v>33.72</v>
      </c>
      <c r="H158" s="177">
        <v>7.3</v>
      </c>
      <c r="I158" s="178">
        <v>2</v>
      </c>
      <c r="J158" s="174">
        <f t="shared" si="117"/>
        <v>0.49231199999999997</v>
      </c>
      <c r="K158" s="118"/>
      <c r="L158" s="111">
        <v>2</v>
      </c>
      <c r="M158" s="117">
        <f t="shared" si="118"/>
        <v>0.49231199999999997</v>
      </c>
      <c r="N158" s="119">
        <f t="shared" si="119"/>
        <v>0</v>
      </c>
      <c r="O158" s="120">
        <f t="shared" si="120"/>
        <v>0</v>
      </c>
      <c r="P158" s="111"/>
      <c r="Q158" s="111"/>
      <c r="R158" s="111"/>
    </row>
    <row r="159" spans="1:20" ht="27">
      <c r="A159" s="110" t="s">
        <v>308</v>
      </c>
      <c r="B159" s="111" t="s">
        <v>309</v>
      </c>
      <c r="C159" s="112" t="s">
        <v>228</v>
      </c>
      <c r="D159" s="118" t="s">
        <v>17</v>
      </c>
      <c r="E159" s="175" t="s">
        <v>15</v>
      </c>
      <c r="F159" s="175" t="s">
        <v>57</v>
      </c>
      <c r="G159" s="176">
        <v>33.72</v>
      </c>
      <c r="H159" s="177">
        <v>8.8000000000000007</v>
      </c>
      <c r="I159" s="178">
        <v>1</v>
      </c>
      <c r="J159" s="174">
        <f t="shared" si="117"/>
        <v>0.296736</v>
      </c>
      <c r="K159" s="118"/>
      <c r="L159" s="111">
        <v>1</v>
      </c>
      <c r="M159" s="117">
        <f t="shared" si="118"/>
        <v>0.296736</v>
      </c>
      <c r="N159" s="119">
        <f t="shared" si="119"/>
        <v>0</v>
      </c>
      <c r="O159" s="120">
        <f t="shared" si="120"/>
        <v>0</v>
      </c>
      <c r="P159" s="111" t="s">
        <v>332</v>
      </c>
      <c r="Q159" s="111"/>
      <c r="R159" s="111"/>
    </row>
    <row r="160" spans="1:20" ht="27">
      <c r="A160" s="110" t="s">
        <v>308</v>
      </c>
      <c r="B160" s="111" t="s">
        <v>309</v>
      </c>
      <c r="C160" s="112" t="s">
        <v>228</v>
      </c>
      <c r="D160" s="118" t="s">
        <v>17</v>
      </c>
      <c r="E160" s="175" t="s">
        <v>15</v>
      </c>
      <c r="F160" s="175" t="s">
        <v>57</v>
      </c>
      <c r="G160" s="176">
        <v>33.72</v>
      </c>
      <c r="H160" s="177">
        <v>10.5</v>
      </c>
      <c r="I160" s="178">
        <v>1</v>
      </c>
      <c r="J160" s="174">
        <f t="shared" si="117"/>
        <v>0.35405999999999999</v>
      </c>
      <c r="K160" s="118"/>
      <c r="L160" s="111">
        <v>1</v>
      </c>
      <c r="M160" s="117">
        <f t="shared" si="118"/>
        <v>0.35405999999999999</v>
      </c>
      <c r="N160" s="119">
        <f t="shared" si="119"/>
        <v>0</v>
      </c>
      <c r="O160" s="120">
        <f t="shared" si="120"/>
        <v>0</v>
      </c>
      <c r="P160" s="111">
        <v>7.3</v>
      </c>
      <c r="Q160" s="111">
        <v>1</v>
      </c>
      <c r="R160" s="111"/>
    </row>
    <row r="161" spans="1:18" ht="27">
      <c r="A161" s="110" t="s">
        <v>308</v>
      </c>
      <c r="B161" s="111" t="s">
        <v>309</v>
      </c>
      <c r="C161" s="112" t="s">
        <v>228</v>
      </c>
      <c r="D161" s="118" t="s">
        <v>17</v>
      </c>
      <c r="E161" s="175" t="s">
        <v>15</v>
      </c>
      <c r="F161" s="175" t="s">
        <v>57</v>
      </c>
      <c r="G161" s="176">
        <v>33.72</v>
      </c>
      <c r="H161" s="177">
        <v>11</v>
      </c>
      <c r="I161" s="178">
        <v>1</v>
      </c>
      <c r="J161" s="174">
        <f t="shared" si="117"/>
        <v>0.37091999999999997</v>
      </c>
      <c r="K161" s="118"/>
      <c r="L161" s="111">
        <v>1</v>
      </c>
      <c r="M161" s="117">
        <f t="shared" si="118"/>
        <v>0.37091999999999997</v>
      </c>
      <c r="N161" s="119">
        <f t="shared" si="119"/>
        <v>0</v>
      </c>
      <c r="O161" s="120">
        <f t="shared" si="120"/>
        <v>0</v>
      </c>
      <c r="P161" s="111">
        <v>7.3</v>
      </c>
      <c r="Q161" s="111">
        <v>1</v>
      </c>
      <c r="R161" s="111"/>
    </row>
    <row r="162" spans="1:18" ht="27">
      <c r="A162" s="110" t="s">
        <v>308</v>
      </c>
      <c r="B162" s="111" t="s">
        <v>309</v>
      </c>
      <c r="C162" s="112" t="s">
        <v>228</v>
      </c>
      <c r="D162" s="118" t="s">
        <v>17</v>
      </c>
      <c r="E162" s="175" t="s">
        <v>15</v>
      </c>
      <c r="F162" s="175" t="s">
        <v>57</v>
      </c>
      <c r="G162" s="176">
        <v>33.72</v>
      </c>
      <c r="H162" s="177">
        <v>12</v>
      </c>
      <c r="I162" s="178">
        <v>2</v>
      </c>
      <c r="J162" s="174">
        <f t="shared" si="117"/>
        <v>0.80928</v>
      </c>
      <c r="K162" s="118"/>
      <c r="L162" s="111">
        <v>2</v>
      </c>
      <c r="M162" s="117">
        <f t="shared" si="118"/>
        <v>0.80928</v>
      </c>
      <c r="N162" s="119">
        <f t="shared" si="119"/>
        <v>0</v>
      </c>
      <c r="O162" s="120">
        <f t="shared" si="120"/>
        <v>0</v>
      </c>
      <c r="P162" s="111" t="s">
        <v>333</v>
      </c>
      <c r="Q162" s="111">
        <v>2</v>
      </c>
      <c r="R162" s="111"/>
    </row>
    <row r="163" spans="1:18">
      <c r="I163" s="78">
        <f>SUM(I153:I162)</f>
        <v>54</v>
      </c>
      <c r="J163" s="214">
        <f>SUM(J153:J162)</f>
        <v>16.613844</v>
      </c>
      <c r="L163" s="78">
        <f>SUM(L153:L162)</f>
        <v>54</v>
      </c>
      <c r="M163" s="214">
        <f>SUM(M153:M162)</f>
        <v>16.613844</v>
      </c>
      <c r="N163" s="78">
        <f>SUM(N153:N162)</f>
        <v>0</v>
      </c>
      <c r="O163" s="214">
        <f>SUM(O153:O162)</f>
        <v>0</v>
      </c>
    </row>
    <row r="165" spans="1:18" ht="27">
      <c r="A165" s="110" t="s">
        <v>308</v>
      </c>
      <c r="B165" s="111" t="s">
        <v>309</v>
      </c>
      <c r="C165" s="112" t="s">
        <v>228</v>
      </c>
      <c r="D165" s="118" t="s">
        <v>17</v>
      </c>
      <c r="E165" s="175" t="s">
        <v>15</v>
      </c>
      <c r="F165" s="175" t="s">
        <v>64</v>
      </c>
      <c r="G165" s="176">
        <v>40.01</v>
      </c>
      <c r="H165" s="177">
        <v>6</v>
      </c>
      <c r="I165" s="178">
        <v>2</v>
      </c>
      <c r="J165" s="174">
        <f t="shared" ref="J165" si="121">(G165*H165*I165/1000)</f>
        <v>0.48011999999999999</v>
      </c>
      <c r="K165" s="118"/>
      <c r="L165" s="111">
        <v>1</v>
      </c>
      <c r="M165" s="117">
        <f t="shared" ref="M165" si="122">H165*L165*G165/1000</f>
        <v>0.24006</v>
      </c>
      <c r="N165" s="119">
        <f t="shared" ref="N165" si="123">I165-L165</f>
        <v>1</v>
      </c>
      <c r="O165" s="120">
        <f t="shared" ref="O165" si="124">H165*N165*G165/1000</f>
        <v>0.24006</v>
      </c>
      <c r="P165" s="111"/>
      <c r="Q165" s="111"/>
      <c r="R165" s="111"/>
    </row>
    <row r="166" spans="1:18" ht="27">
      <c r="A166" s="110" t="s">
        <v>308</v>
      </c>
      <c r="B166" s="111" t="s">
        <v>309</v>
      </c>
      <c r="C166" s="112" t="s">
        <v>228</v>
      </c>
      <c r="D166" s="118" t="s">
        <v>17</v>
      </c>
      <c r="E166" s="175" t="s">
        <v>15</v>
      </c>
      <c r="F166" s="175" t="s">
        <v>64</v>
      </c>
      <c r="G166" s="176">
        <v>40.01</v>
      </c>
      <c r="H166" s="177">
        <v>6.2</v>
      </c>
      <c r="I166" s="178">
        <f>9+9+9+5</f>
        <v>32</v>
      </c>
      <c r="J166" s="174">
        <f t="shared" ref="J166:J174" si="125">(G166*H166*I166/1000)</f>
        <v>7.9379839999999993</v>
      </c>
      <c r="K166" s="118"/>
      <c r="L166" s="111">
        <v>32</v>
      </c>
      <c r="M166" s="117">
        <f t="shared" ref="M166:M174" si="126">H166*L166*G166/1000</f>
        <v>7.9379839999999993</v>
      </c>
      <c r="N166" s="119">
        <f t="shared" ref="N166:N174" si="127">I166-L166</f>
        <v>0</v>
      </c>
      <c r="O166" s="120">
        <f t="shared" ref="O166:O174" si="128">H166*N166*G166/1000</f>
        <v>0</v>
      </c>
      <c r="P166" s="111"/>
      <c r="Q166" s="111"/>
      <c r="R166" s="111"/>
    </row>
    <row r="167" spans="1:18" ht="27">
      <c r="A167" s="110" t="s">
        <v>308</v>
      </c>
      <c r="B167" s="111" t="s">
        <v>309</v>
      </c>
      <c r="C167" s="112" t="s">
        <v>228</v>
      </c>
      <c r="D167" s="118" t="s">
        <v>17</v>
      </c>
      <c r="E167" s="175" t="s">
        <v>15</v>
      </c>
      <c r="F167" s="175" t="s">
        <v>64</v>
      </c>
      <c r="G167" s="176">
        <v>40.01</v>
      </c>
      <c r="H167" s="177">
        <v>6.55</v>
      </c>
      <c r="I167" s="178">
        <f>9+9+3+4</f>
        <v>25</v>
      </c>
      <c r="J167" s="174">
        <f t="shared" si="125"/>
        <v>6.5516375</v>
      </c>
      <c r="K167" s="118"/>
      <c r="L167" s="111">
        <v>25</v>
      </c>
      <c r="M167" s="117">
        <f t="shared" si="126"/>
        <v>6.5516375</v>
      </c>
      <c r="N167" s="119">
        <f t="shared" si="127"/>
        <v>0</v>
      </c>
      <c r="O167" s="120">
        <f t="shared" si="128"/>
        <v>0</v>
      </c>
      <c r="P167" s="111"/>
      <c r="Q167" s="111"/>
      <c r="R167" s="111"/>
    </row>
    <row r="168" spans="1:18" ht="27">
      <c r="A168" s="110" t="s">
        <v>308</v>
      </c>
      <c r="B168" s="111" t="s">
        <v>309</v>
      </c>
      <c r="C168" s="112" t="s">
        <v>228</v>
      </c>
      <c r="D168" s="118" t="s">
        <v>17</v>
      </c>
      <c r="E168" s="175" t="s">
        <v>15</v>
      </c>
      <c r="F168" s="175" t="s">
        <v>64</v>
      </c>
      <c r="G168" s="176">
        <v>40.01</v>
      </c>
      <c r="H168" s="177">
        <v>6.7</v>
      </c>
      <c r="I168" s="178">
        <f>5+7+7+7+5</f>
        <v>31</v>
      </c>
      <c r="J168" s="174">
        <f t="shared" si="125"/>
        <v>8.3100770000000015</v>
      </c>
      <c r="K168" s="118"/>
      <c r="L168" s="111">
        <f>20+7</f>
        <v>27</v>
      </c>
      <c r="M168" s="117">
        <f t="shared" si="126"/>
        <v>7.2378090000000004</v>
      </c>
      <c r="N168" s="119">
        <f t="shared" si="127"/>
        <v>4</v>
      </c>
      <c r="O168" s="120">
        <f t="shared" si="128"/>
        <v>1.072268</v>
      </c>
      <c r="P168" s="111">
        <v>6.55</v>
      </c>
      <c r="Q168" s="111">
        <v>7</v>
      </c>
      <c r="R168" s="111"/>
    </row>
    <row r="169" spans="1:18" ht="27">
      <c r="A169" s="110" t="s">
        <v>308</v>
      </c>
      <c r="B169" s="111" t="s">
        <v>309</v>
      </c>
      <c r="C169" s="112" t="s">
        <v>228</v>
      </c>
      <c r="D169" s="118" t="s">
        <v>17</v>
      </c>
      <c r="E169" s="175" t="s">
        <v>15</v>
      </c>
      <c r="F169" s="175" t="s">
        <v>64</v>
      </c>
      <c r="G169" s="176">
        <v>40.01</v>
      </c>
      <c r="H169" s="177">
        <v>7.9</v>
      </c>
      <c r="I169" s="178">
        <v>3</v>
      </c>
      <c r="J169" s="174">
        <f t="shared" si="125"/>
        <v>0.94823700000000011</v>
      </c>
      <c r="K169" s="118"/>
      <c r="L169" s="111">
        <v>3</v>
      </c>
      <c r="M169" s="117">
        <f t="shared" si="126"/>
        <v>0.94823700000000011</v>
      </c>
      <c r="N169" s="119">
        <f t="shared" si="127"/>
        <v>0</v>
      </c>
      <c r="O169" s="120">
        <f t="shared" si="128"/>
        <v>0</v>
      </c>
      <c r="P169" s="111"/>
      <c r="Q169" s="111"/>
      <c r="R169" s="111"/>
    </row>
    <row r="170" spans="1:18" ht="27">
      <c r="A170" s="110" t="s">
        <v>308</v>
      </c>
      <c r="B170" s="111" t="s">
        <v>309</v>
      </c>
      <c r="C170" s="112" t="s">
        <v>228</v>
      </c>
      <c r="D170" s="118" t="s">
        <v>17</v>
      </c>
      <c r="E170" s="175" t="s">
        <v>15</v>
      </c>
      <c r="F170" s="175" t="s">
        <v>64</v>
      </c>
      <c r="G170" s="176">
        <v>40.01</v>
      </c>
      <c r="H170" s="177">
        <v>8</v>
      </c>
      <c r="I170" s="178">
        <f>10+9+5</f>
        <v>24</v>
      </c>
      <c r="J170" s="174">
        <f t="shared" si="125"/>
        <v>7.6819199999999999</v>
      </c>
      <c r="K170" s="118"/>
      <c r="L170" s="111">
        <v>24</v>
      </c>
      <c r="M170" s="117">
        <f t="shared" si="126"/>
        <v>7.6819199999999999</v>
      </c>
      <c r="N170" s="119">
        <f t="shared" si="127"/>
        <v>0</v>
      </c>
      <c r="O170" s="120">
        <f t="shared" si="128"/>
        <v>0</v>
      </c>
      <c r="P170" s="111"/>
      <c r="Q170" s="111"/>
      <c r="R170" s="111"/>
    </row>
    <row r="171" spans="1:18" ht="27">
      <c r="A171" s="110" t="s">
        <v>308</v>
      </c>
      <c r="B171" s="111" t="s">
        <v>309</v>
      </c>
      <c r="C171" s="112" t="s">
        <v>228</v>
      </c>
      <c r="D171" s="118" t="s">
        <v>17</v>
      </c>
      <c r="E171" s="175" t="s">
        <v>15</v>
      </c>
      <c r="F171" s="175" t="s">
        <v>64</v>
      </c>
      <c r="G171" s="176">
        <v>40.01</v>
      </c>
      <c r="H171" s="177">
        <v>9.1999999999999993</v>
      </c>
      <c r="I171" s="178">
        <v>9</v>
      </c>
      <c r="J171" s="174">
        <f t="shared" si="125"/>
        <v>3.3128279999999997</v>
      </c>
      <c r="K171" s="118"/>
      <c r="L171" s="111">
        <v>9</v>
      </c>
      <c r="M171" s="117">
        <f t="shared" si="126"/>
        <v>3.3128279999999997</v>
      </c>
      <c r="N171" s="119">
        <f t="shared" si="127"/>
        <v>0</v>
      </c>
      <c r="O171" s="120">
        <f t="shared" si="128"/>
        <v>0</v>
      </c>
      <c r="P171" s="111"/>
      <c r="Q171" s="111"/>
      <c r="R171" s="111"/>
    </row>
    <row r="172" spans="1:18" ht="27">
      <c r="A172" s="110" t="s">
        <v>308</v>
      </c>
      <c r="B172" s="111" t="s">
        <v>309</v>
      </c>
      <c r="C172" s="112" t="s">
        <v>228</v>
      </c>
      <c r="D172" s="118" t="s">
        <v>17</v>
      </c>
      <c r="E172" s="175" t="s">
        <v>15</v>
      </c>
      <c r="F172" s="175" t="s">
        <v>64</v>
      </c>
      <c r="G172" s="176">
        <v>40.01</v>
      </c>
      <c r="H172" s="177">
        <v>9.1999999999999993</v>
      </c>
      <c r="I172" s="178">
        <v>1</v>
      </c>
      <c r="J172" s="174">
        <f t="shared" si="125"/>
        <v>0.36809199999999992</v>
      </c>
      <c r="K172" s="118"/>
      <c r="L172" s="111">
        <v>1</v>
      </c>
      <c r="M172" s="117">
        <f t="shared" si="126"/>
        <v>0.36809199999999992</v>
      </c>
      <c r="N172" s="119">
        <f t="shared" si="127"/>
        <v>0</v>
      </c>
      <c r="O172" s="120">
        <f t="shared" si="128"/>
        <v>0</v>
      </c>
      <c r="P172" s="111">
        <v>8</v>
      </c>
      <c r="Q172" s="111">
        <v>1</v>
      </c>
      <c r="R172" s="111"/>
    </row>
    <row r="173" spans="1:18" ht="27">
      <c r="A173" s="110" t="s">
        <v>308</v>
      </c>
      <c r="B173" s="111" t="s">
        <v>309</v>
      </c>
      <c r="C173" s="112" t="s">
        <v>228</v>
      </c>
      <c r="D173" s="118" t="s">
        <v>17</v>
      </c>
      <c r="E173" s="175" t="s">
        <v>15</v>
      </c>
      <c r="F173" s="175" t="s">
        <v>64</v>
      </c>
      <c r="G173" s="176">
        <v>40.01</v>
      </c>
      <c r="H173" s="177">
        <v>10.5</v>
      </c>
      <c r="I173" s="178">
        <v>1</v>
      </c>
      <c r="J173" s="174">
        <f t="shared" si="125"/>
        <v>0.42010499999999995</v>
      </c>
      <c r="K173" s="118"/>
      <c r="L173" s="111">
        <v>1</v>
      </c>
      <c r="M173" s="117">
        <f t="shared" si="126"/>
        <v>0.42010499999999995</v>
      </c>
      <c r="N173" s="119">
        <f t="shared" si="127"/>
        <v>0</v>
      </c>
      <c r="O173" s="120">
        <f t="shared" si="128"/>
        <v>0</v>
      </c>
      <c r="P173" s="111">
        <v>8</v>
      </c>
      <c r="Q173" s="111">
        <v>1</v>
      </c>
      <c r="R173" s="111"/>
    </row>
    <row r="174" spans="1:18" ht="27">
      <c r="A174" s="110" t="s">
        <v>308</v>
      </c>
      <c r="B174" s="111" t="s">
        <v>309</v>
      </c>
      <c r="C174" s="112" t="s">
        <v>228</v>
      </c>
      <c r="D174" s="118" t="s">
        <v>17</v>
      </c>
      <c r="E174" s="175" t="s">
        <v>15</v>
      </c>
      <c r="F174" s="175" t="s">
        <v>64</v>
      </c>
      <c r="G174" s="176">
        <v>40.01</v>
      </c>
      <c r="H174" s="177">
        <v>11.75</v>
      </c>
      <c r="I174" s="178">
        <v>1</v>
      </c>
      <c r="J174" s="174">
        <f t="shared" si="125"/>
        <v>0.47011749999999997</v>
      </c>
      <c r="K174" s="118"/>
      <c r="L174" s="111"/>
      <c r="M174" s="117">
        <f t="shared" si="126"/>
        <v>0</v>
      </c>
      <c r="N174" s="119">
        <f t="shared" si="127"/>
        <v>1</v>
      </c>
      <c r="O174" s="120">
        <f t="shared" si="128"/>
        <v>0.47011749999999997</v>
      </c>
      <c r="P174" s="111"/>
      <c r="Q174" s="111"/>
      <c r="R174" s="111"/>
    </row>
    <row r="175" spans="1:18">
      <c r="I175" s="78">
        <f>SUM(I165:I174)</f>
        <v>129</v>
      </c>
      <c r="J175" s="214">
        <f>SUM(J165:J174)</f>
        <v>36.481117999999995</v>
      </c>
      <c r="L175" s="78">
        <f>SUM(L165:L174)</f>
        <v>123</v>
      </c>
      <c r="M175" s="214">
        <f>SUM(M165:M174)</f>
        <v>34.698672500000001</v>
      </c>
      <c r="N175" s="78">
        <f>SUM(N165:N174)</f>
        <v>6</v>
      </c>
      <c r="O175" s="214">
        <f>SUM(O165:O174)</f>
        <v>1.7824454999999999</v>
      </c>
    </row>
    <row r="177" spans="1:18" ht="27">
      <c r="A177" s="110" t="s">
        <v>308</v>
      </c>
      <c r="B177" s="111" t="s">
        <v>309</v>
      </c>
      <c r="C177" s="112" t="s">
        <v>228</v>
      </c>
      <c r="D177" s="118" t="s">
        <v>17</v>
      </c>
      <c r="E177" s="175" t="s">
        <v>15</v>
      </c>
      <c r="F177" s="175" t="s">
        <v>53</v>
      </c>
      <c r="G177" s="176">
        <v>35.840000000000003</v>
      </c>
      <c r="H177" s="177">
        <v>8</v>
      </c>
      <c r="I177" s="178">
        <f>8+7</f>
        <v>15</v>
      </c>
      <c r="J177" s="174">
        <f t="shared" ref="J177:J183" si="129">(G177*H177*I177/1000)</f>
        <v>4.3008000000000006</v>
      </c>
      <c r="K177" s="118"/>
      <c r="L177" s="111">
        <v>15</v>
      </c>
      <c r="M177" s="117">
        <f t="shared" ref="M177:M183" si="130">H177*L177*G177/1000</f>
        <v>4.3008000000000006</v>
      </c>
      <c r="N177" s="119">
        <f t="shared" ref="N177:N183" si="131">I177-L177</f>
        <v>0</v>
      </c>
      <c r="O177" s="120">
        <f t="shared" ref="O177:O183" si="132">H177*N177*G177/1000</f>
        <v>0</v>
      </c>
      <c r="P177" s="111"/>
      <c r="Q177" s="111"/>
      <c r="R177" s="111"/>
    </row>
    <row r="178" spans="1:18" ht="27">
      <c r="A178" s="110" t="s">
        <v>308</v>
      </c>
      <c r="B178" s="111" t="s">
        <v>309</v>
      </c>
      <c r="C178" s="112" t="s">
        <v>228</v>
      </c>
      <c r="D178" s="118" t="s">
        <v>17</v>
      </c>
      <c r="E178" s="175" t="s">
        <v>15</v>
      </c>
      <c r="F178" s="175" t="s">
        <v>53</v>
      </c>
      <c r="G178" s="176">
        <v>35.840000000000003</v>
      </c>
      <c r="H178" s="177">
        <v>10</v>
      </c>
      <c r="I178" s="178">
        <f>7+7+3+5</f>
        <v>22</v>
      </c>
      <c r="J178" s="174">
        <f t="shared" si="129"/>
        <v>7.8848000000000011</v>
      </c>
      <c r="K178" s="118"/>
      <c r="L178" s="111">
        <f>17+1+4</f>
        <v>22</v>
      </c>
      <c r="M178" s="117">
        <f t="shared" si="130"/>
        <v>7.8848000000000011</v>
      </c>
      <c r="N178" s="119">
        <f t="shared" si="131"/>
        <v>0</v>
      </c>
      <c r="O178" s="120">
        <f t="shared" si="132"/>
        <v>0</v>
      </c>
      <c r="P178" s="130">
        <v>6.3</v>
      </c>
      <c r="Q178" s="45">
        <v>4</v>
      </c>
      <c r="R178" s="111" t="s">
        <v>676</v>
      </c>
    </row>
    <row r="179" spans="1:18" ht="27">
      <c r="A179" s="110" t="s">
        <v>308</v>
      </c>
      <c r="B179" s="111" t="s">
        <v>309</v>
      </c>
      <c r="C179" s="112" t="s">
        <v>228</v>
      </c>
      <c r="D179" s="118" t="s">
        <v>17</v>
      </c>
      <c r="E179" s="175" t="s">
        <v>15</v>
      </c>
      <c r="F179" s="175" t="s">
        <v>53</v>
      </c>
      <c r="G179" s="176">
        <v>35.840000000000003</v>
      </c>
      <c r="H179" s="177">
        <v>10.5</v>
      </c>
      <c r="I179" s="178">
        <f>7+7+5</f>
        <v>19</v>
      </c>
      <c r="J179" s="174">
        <f t="shared" si="129"/>
        <v>7.1500800000000009</v>
      </c>
      <c r="K179" s="118"/>
      <c r="L179" s="111">
        <v>19</v>
      </c>
      <c r="M179" s="117">
        <f t="shared" si="130"/>
        <v>7.1500800000000009</v>
      </c>
      <c r="N179" s="119">
        <f t="shared" si="131"/>
        <v>0</v>
      </c>
      <c r="O179" s="120">
        <f t="shared" si="132"/>
        <v>0</v>
      </c>
      <c r="P179" s="130"/>
      <c r="Q179" s="111"/>
      <c r="R179" s="111"/>
    </row>
    <row r="180" spans="1:18" ht="27">
      <c r="A180" s="110" t="s">
        <v>308</v>
      </c>
      <c r="B180" s="111" t="s">
        <v>309</v>
      </c>
      <c r="C180" s="112" t="s">
        <v>228</v>
      </c>
      <c r="D180" s="118" t="s">
        <v>17</v>
      </c>
      <c r="E180" s="175" t="s">
        <v>15</v>
      </c>
      <c r="F180" s="175" t="s">
        <v>53</v>
      </c>
      <c r="G180" s="176">
        <v>35.840000000000003</v>
      </c>
      <c r="H180" s="177">
        <v>10.7</v>
      </c>
      <c r="I180" s="178">
        <v>2</v>
      </c>
      <c r="J180" s="174">
        <f t="shared" si="129"/>
        <v>0.76697599999999999</v>
      </c>
      <c r="K180" s="118"/>
      <c r="L180" s="111">
        <v>2</v>
      </c>
      <c r="M180" s="117">
        <f t="shared" si="130"/>
        <v>0.76697599999999999</v>
      </c>
      <c r="N180" s="119">
        <f t="shared" si="131"/>
        <v>0</v>
      </c>
      <c r="O180" s="120">
        <f t="shared" si="132"/>
        <v>0</v>
      </c>
      <c r="P180" s="130"/>
      <c r="Q180" s="111"/>
      <c r="R180" s="111"/>
    </row>
    <row r="181" spans="1:18" ht="27">
      <c r="A181" s="110" t="s">
        <v>308</v>
      </c>
      <c r="B181" s="111" t="s">
        <v>309</v>
      </c>
      <c r="C181" s="112" t="s">
        <v>228</v>
      </c>
      <c r="D181" s="118" t="s">
        <v>17</v>
      </c>
      <c r="E181" s="175" t="s">
        <v>15</v>
      </c>
      <c r="F181" s="175" t="s">
        <v>53</v>
      </c>
      <c r="G181" s="176">
        <v>35.840000000000003</v>
      </c>
      <c r="H181" s="177">
        <v>10</v>
      </c>
      <c r="I181" s="178">
        <v>2</v>
      </c>
      <c r="J181" s="174">
        <f t="shared" si="129"/>
        <v>0.7168000000000001</v>
      </c>
      <c r="K181" s="118"/>
      <c r="L181" s="111">
        <v>2</v>
      </c>
      <c r="M181" s="117">
        <f t="shared" si="130"/>
        <v>0.7168000000000001</v>
      </c>
      <c r="N181" s="119">
        <f t="shared" si="131"/>
        <v>0</v>
      </c>
      <c r="O181" s="120">
        <f t="shared" si="132"/>
        <v>0</v>
      </c>
      <c r="P181" s="130"/>
      <c r="Q181" s="111"/>
      <c r="R181" s="111"/>
    </row>
    <row r="182" spans="1:18" ht="27">
      <c r="A182" s="110" t="s">
        <v>308</v>
      </c>
      <c r="B182" s="111" t="s">
        <v>309</v>
      </c>
      <c r="C182" s="112" t="s">
        <v>228</v>
      </c>
      <c r="D182" s="118" t="s">
        <v>17</v>
      </c>
      <c r="E182" s="175" t="s">
        <v>15</v>
      </c>
      <c r="F182" s="175" t="s">
        <v>53</v>
      </c>
      <c r="G182" s="176">
        <v>35.840000000000003</v>
      </c>
      <c r="H182" s="177">
        <v>10.5</v>
      </c>
      <c r="I182" s="178">
        <v>1</v>
      </c>
      <c r="J182" s="174">
        <f t="shared" si="129"/>
        <v>0.37632000000000004</v>
      </c>
      <c r="K182" s="118"/>
      <c r="L182" s="111">
        <v>1</v>
      </c>
      <c r="M182" s="117">
        <f t="shared" si="130"/>
        <v>0.37632000000000004</v>
      </c>
      <c r="N182" s="119">
        <f t="shared" si="131"/>
        <v>0</v>
      </c>
      <c r="O182" s="120">
        <f t="shared" si="132"/>
        <v>0</v>
      </c>
      <c r="P182" s="130">
        <v>7.05</v>
      </c>
      <c r="Q182" s="45">
        <v>1</v>
      </c>
      <c r="R182" s="111" t="s">
        <v>677</v>
      </c>
    </row>
    <row r="183" spans="1:18" ht="27">
      <c r="A183" s="110" t="s">
        <v>308</v>
      </c>
      <c r="B183" s="111" t="s">
        <v>309</v>
      </c>
      <c r="C183" s="112" t="s">
        <v>228</v>
      </c>
      <c r="D183" s="118" t="s">
        <v>17</v>
      </c>
      <c r="E183" s="175" t="s">
        <v>15</v>
      </c>
      <c r="F183" s="175" t="s">
        <v>53</v>
      </c>
      <c r="G183" s="176">
        <v>35.840000000000003</v>
      </c>
      <c r="H183" s="177">
        <v>6</v>
      </c>
      <c r="I183" s="178">
        <v>4</v>
      </c>
      <c r="J183" s="174">
        <f t="shared" si="129"/>
        <v>0.86016000000000004</v>
      </c>
      <c r="K183" s="118"/>
      <c r="L183" s="111">
        <v>4</v>
      </c>
      <c r="M183" s="117">
        <f t="shared" si="130"/>
        <v>0.86016000000000004</v>
      </c>
      <c r="N183" s="119">
        <f t="shared" si="131"/>
        <v>0</v>
      </c>
      <c r="O183" s="120">
        <f t="shared" si="132"/>
        <v>0</v>
      </c>
      <c r="P183" s="130"/>
      <c r="Q183" s="111"/>
      <c r="R183" s="111"/>
    </row>
    <row r="184" spans="1:18" ht="27">
      <c r="A184" s="110" t="s">
        <v>308</v>
      </c>
      <c r="B184" s="111" t="s">
        <v>309</v>
      </c>
      <c r="C184" s="112" t="s">
        <v>228</v>
      </c>
      <c r="D184" s="118" t="s">
        <v>17</v>
      </c>
      <c r="E184" s="175" t="s">
        <v>15</v>
      </c>
      <c r="F184" s="175" t="s">
        <v>53</v>
      </c>
      <c r="G184" s="176">
        <v>35.840000000000003</v>
      </c>
      <c r="H184" s="179">
        <v>10.5</v>
      </c>
      <c r="I184" s="178">
        <v>4</v>
      </c>
      <c r="J184" s="174">
        <f t="shared" ref="J184:J188" si="133">(G184*H184*I184/1000)</f>
        <v>1.5052800000000002</v>
      </c>
      <c r="K184" s="118"/>
      <c r="L184" s="111">
        <v>4</v>
      </c>
      <c r="M184" s="117">
        <f t="shared" ref="M184:M188" si="134">H184*L184*G184/1000</f>
        <v>1.5052800000000002</v>
      </c>
      <c r="N184" s="119">
        <f t="shared" ref="N184:N188" si="135">I184-L184</f>
        <v>0</v>
      </c>
      <c r="O184" s="120">
        <f t="shared" ref="O184:O188" si="136">H184*N184*G184/1000</f>
        <v>0</v>
      </c>
      <c r="P184" s="130"/>
      <c r="Q184" s="111"/>
      <c r="R184" s="111"/>
    </row>
    <row r="185" spans="1:18" ht="27">
      <c r="A185" s="110" t="s">
        <v>308</v>
      </c>
      <c r="B185" s="111" t="s">
        <v>309</v>
      </c>
      <c r="C185" s="112" t="s">
        <v>228</v>
      </c>
      <c r="D185" s="118" t="s">
        <v>17</v>
      </c>
      <c r="E185" s="175" t="s">
        <v>15</v>
      </c>
      <c r="F185" s="175" t="s">
        <v>53</v>
      </c>
      <c r="G185" s="176">
        <v>35.840000000000003</v>
      </c>
      <c r="H185" s="179">
        <v>11.3</v>
      </c>
      <c r="I185" s="178">
        <v>2</v>
      </c>
      <c r="J185" s="174">
        <f t="shared" si="133"/>
        <v>0.80998400000000015</v>
      </c>
      <c r="K185" s="118"/>
      <c r="L185" s="111">
        <v>2</v>
      </c>
      <c r="M185" s="117">
        <f t="shared" si="134"/>
        <v>0.80998400000000015</v>
      </c>
      <c r="N185" s="119">
        <f t="shared" si="135"/>
        <v>0</v>
      </c>
      <c r="O185" s="120">
        <f t="shared" si="136"/>
        <v>0</v>
      </c>
      <c r="P185" s="130">
        <v>6.3</v>
      </c>
      <c r="Q185" s="45">
        <v>2</v>
      </c>
      <c r="R185" s="111" t="s">
        <v>676</v>
      </c>
    </row>
    <row r="186" spans="1:18" ht="27">
      <c r="A186" s="110" t="s">
        <v>308</v>
      </c>
      <c r="B186" s="111" t="s">
        <v>309</v>
      </c>
      <c r="C186" s="112" t="s">
        <v>228</v>
      </c>
      <c r="D186" s="118" t="s">
        <v>17</v>
      </c>
      <c r="E186" s="175" t="s">
        <v>15</v>
      </c>
      <c r="F186" s="175" t="s">
        <v>53</v>
      </c>
      <c r="G186" s="176">
        <v>35.840000000000003</v>
      </c>
      <c r="H186" s="179">
        <v>6</v>
      </c>
      <c r="I186" s="178">
        <v>1</v>
      </c>
      <c r="J186" s="174">
        <f t="shared" si="133"/>
        <v>0.21504000000000001</v>
      </c>
      <c r="K186" s="118"/>
      <c r="L186" s="111"/>
      <c r="M186" s="117">
        <f t="shared" si="134"/>
        <v>0</v>
      </c>
      <c r="N186" s="119">
        <f t="shared" si="135"/>
        <v>1</v>
      </c>
      <c r="O186" s="120">
        <f t="shared" si="136"/>
        <v>0.21504000000000001</v>
      </c>
      <c r="P186" s="130"/>
      <c r="Q186" s="111"/>
      <c r="R186" s="111"/>
    </row>
    <row r="187" spans="1:18" ht="27">
      <c r="A187" s="110" t="s">
        <v>308</v>
      </c>
      <c r="B187" s="111" t="s">
        <v>309</v>
      </c>
      <c r="C187" s="112" t="s">
        <v>228</v>
      </c>
      <c r="D187" s="118" t="s">
        <v>17</v>
      </c>
      <c r="E187" s="175" t="s">
        <v>15</v>
      </c>
      <c r="F187" s="175" t="s">
        <v>53</v>
      </c>
      <c r="G187" s="176">
        <v>35.840000000000003</v>
      </c>
      <c r="H187" s="179">
        <v>10</v>
      </c>
      <c r="I187" s="178">
        <v>2</v>
      </c>
      <c r="J187" s="174">
        <f t="shared" si="133"/>
        <v>0.7168000000000001</v>
      </c>
      <c r="K187" s="118"/>
      <c r="L187" s="111">
        <v>2</v>
      </c>
      <c r="M187" s="117">
        <f t="shared" si="134"/>
        <v>0.7168000000000001</v>
      </c>
      <c r="N187" s="119">
        <f t="shared" si="135"/>
        <v>0</v>
      </c>
      <c r="O187" s="120">
        <f t="shared" si="136"/>
        <v>0</v>
      </c>
      <c r="P187" s="111"/>
      <c r="Q187" s="111"/>
      <c r="R187" s="111"/>
    </row>
    <row r="188" spans="1:18" ht="27">
      <c r="A188" s="110" t="s">
        <v>308</v>
      </c>
      <c r="B188" s="111" t="s">
        <v>309</v>
      </c>
      <c r="C188" s="112" t="s">
        <v>228</v>
      </c>
      <c r="D188" s="118" t="s">
        <v>17</v>
      </c>
      <c r="E188" s="175" t="s">
        <v>15</v>
      </c>
      <c r="F188" s="175" t="s">
        <v>53</v>
      </c>
      <c r="G188" s="176">
        <v>35.840000000000003</v>
      </c>
      <c r="H188" s="179">
        <v>11.3</v>
      </c>
      <c r="I188" s="178">
        <v>8</v>
      </c>
      <c r="J188" s="174">
        <f t="shared" si="133"/>
        <v>3.2399360000000006</v>
      </c>
      <c r="K188" s="118"/>
      <c r="L188" s="111">
        <v>8</v>
      </c>
      <c r="M188" s="117">
        <f t="shared" si="134"/>
        <v>3.2399360000000006</v>
      </c>
      <c r="N188" s="119">
        <f t="shared" si="135"/>
        <v>0</v>
      </c>
      <c r="O188" s="120">
        <f t="shared" si="136"/>
        <v>0</v>
      </c>
      <c r="P188" s="111"/>
      <c r="Q188" s="111"/>
      <c r="R188" s="111"/>
    </row>
    <row r="189" spans="1:18">
      <c r="I189" s="215">
        <f>SUM(I177:I188)</f>
        <v>82</v>
      </c>
      <c r="J189" s="214">
        <f>SUM(J177:J188)</f>
        <v>28.542975999999999</v>
      </c>
      <c r="L189" s="215">
        <f>SUM(L177:L188)</f>
        <v>81</v>
      </c>
      <c r="M189" s="214">
        <f>SUM(M177:M188)</f>
        <v>28.327936000000001</v>
      </c>
      <c r="N189" s="215">
        <f>SUM(N177:N188)</f>
        <v>1</v>
      </c>
      <c r="O189" s="214">
        <f>SUM(O177:O188)</f>
        <v>0.21504000000000001</v>
      </c>
    </row>
    <row r="191" spans="1:18" ht="27">
      <c r="A191" s="110" t="s">
        <v>353</v>
      </c>
      <c r="B191" s="111" t="s">
        <v>297</v>
      </c>
      <c r="C191" s="112" t="s">
        <v>228</v>
      </c>
      <c r="D191" s="113" t="s">
        <v>20</v>
      </c>
      <c r="E191" s="175" t="s">
        <v>15</v>
      </c>
      <c r="F191" s="175" t="s">
        <v>58</v>
      </c>
      <c r="G191" s="176">
        <v>27.29</v>
      </c>
      <c r="H191" s="177">
        <v>11.9</v>
      </c>
      <c r="I191" s="178">
        <v>2</v>
      </c>
      <c r="J191" s="174">
        <f t="shared" ref="J191" si="137">(G191*H191*I191/1000)</f>
        <v>0.64950199999999991</v>
      </c>
      <c r="K191" s="118"/>
      <c r="L191" s="111">
        <v>2</v>
      </c>
      <c r="M191" s="117">
        <f t="shared" ref="M191" si="138">H191*L191*G191/1000</f>
        <v>0.64950199999999991</v>
      </c>
      <c r="N191" s="119">
        <f t="shared" ref="N191" si="139">I191-L191</f>
        <v>0</v>
      </c>
      <c r="O191" s="120">
        <f t="shared" ref="O191" si="140">H191*N191*G191/1000</f>
        <v>0</v>
      </c>
      <c r="P191" s="111"/>
      <c r="Q191" s="111"/>
      <c r="R191" s="111"/>
    </row>
    <row r="192" spans="1:18" ht="27">
      <c r="A192" s="110" t="s">
        <v>353</v>
      </c>
      <c r="B192" s="111" t="s">
        <v>297</v>
      </c>
      <c r="C192" s="112" t="s">
        <v>228</v>
      </c>
      <c r="D192" s="113" t="s">
        <v>20</v>
      </c>
      <c r="E192" s="175" t="s">
        <v>15</v>
      </c>
      <c r="F192" s="175" t="s">
        <v>58</v>
      </c>
      <c r="G192" s="176">
        <v>27.29</v>
      </c>
      <c r="H192" s="177">
        <v>8.9</v>
      </c>
      <c r="I192" s="178">
        <v>1</v>
      </c>
      <c r="J192" s="174">
        <f t="shared" ref="J192:J214" si="141">(G192*H192*I192/1000)</f>
        <v>0.24288100000000001</v>
      </c>
      <c r="K192" s="118"/>
      <c r="L192" s="111">
        <v>1</v>
      </c>
      <c r="M192" s="117">
        <f t="shared" ref="M192:M214" si="142">H192*L192*G192/1000</f>
        <v>0.24288100000000001</v>
      </c>
      <c r="N192" s="119">
        <f t="shared" ref="N192:N214" si="143">I192-L192</f>
        <v>0</v>
      </c>
      <c r="O192" s="120">
        <f t="shared" ref="O192:O214" si="144">H192*N192*G192/1000</f>
        <v>0</v>
      </c>
      <c r="P192" s="111">
        <v>6.7</v>
      </c>
      <c r="Q192" s="111">
        <v>1</v>
      </c>
      <c r="R192" s="111"/>
    </row>
    <row r="193" spans="1:18" ht="27">
      <c r="A193" s="110" t="s">
        <v>353</v>
      </c>
      <c r="B193" s="111" t="s">
        <v>297</v>
      </c>
      <c r="C193" s="112" t="s">
        <v>228</v>
      </c>
      <c r="D193" s="113" t="s">
        <v>20</v>
      </c>
      <c r="E193" s="175" t="s">
        <v>15</v>
      </c>
      <c r="F193" s="175" t="s">
        <v>58</v>
      </c>
      <c r="G193" s="176">
        <v>27.29</v>
      </c>
      <c r="H193" s="177">
        <v>9</v>
      </c>
      <c r="I193" s="178">
        <v>1</v>
      </c>
      <c r="J193" s="174">
        <f t="shared" si="141"/>
        <v>0.24560999999999999</v>
      </c>
      <c r="K193" s="118"/>
      <c r="L193" s="111">
        <v>1</v>
      </c>
      <c r="M193" s="117">
        <f t="shared" si="142"/>
        <v>0.24560999999999999</v>
      </c>
      <c r="N193" s="119">
        <f t="shared" si="143"/>
        <v>0</v>
      </c>
      <c r="O193" s="120">
        <f t="shared" si="144"/>
        <v>0</v>
      </c>
      <c r="P193" s="111">
        <v>6.7</v>
      </c>
      <c r="Q193" s="111">
        <v>1</v>
      </c>
      <c r="R193" s="111"/>
    </row>
    <row r="194" spans="1:18" ht="27">
      <c r="A194" s="110" t="s">
        <v>353</v>
      </c>
      <c r="B194" s="111" t="s">
        <v>297</v>
      </c>
      <c r="C194" s="112" t="s">
        <v>228</v>
      </c>
      <c r="D194" s="113" t="s">
        <v>20</v>
      </c>
      <c r="E194" s="175" t="s">
        <v>15</v>
      </c>
      <c r="F194" s="175" t="s">
        <v>58</v>
      </c>
      <c r="G194" s="176">
        <v>27.29</v>
      </c>
      <c r="H194" s="177">
        <v>11.5</v>
      </c>
      <c r="I194" s="178">
        <v>2</v>
      </c>
      <c r="J194" s="174">
        <f t="shared" si="141"/>
        <v>0.62766999999999995</v>
      </c>
      <c r="K194" s="118"/>
      <c r="L194" s="111">
        <v>2</v>
      </c>
      <c r="M194" s="117">
        <f t="shared" si="142"/>
        <v>0.62766999999999995</v>
      </c>
      <c r="N194" s="119">
        <f t="shared" si="143"/>
        <v>0</v>
      </c>
      <c r="O194" s="120">
        <f t="shared" si="144"/>
        <v>0</v>
      </c>
      <c r="P194" s="111">
        <v>10</v>
      </c>
      <c r="Q194" s="111">
        <v>2</v>
      </c>
      <c r="R194" s="111"/>
    </row>
    <row r="195" spans="1:18" ht="27">
      <c r="A195" s="110" t="s">
        <v>353</v>
      </c>
      <c r="B195" s="111" t="s">
        <v>297</v>
      </c>
      <c r="C195" s="112" t="s">
        <v>228</v>
      </c>
      <c r="D195" s="113" t="s">
        <v>20</v>
      </c>
      <c r="E195" s="175" t="s">
        <v>15</v>
      </c>
      <c r="F195" s="175" t="s">
        <v>58</v>
      </c>
      <c r="G195" s="176">
        <v>27.29</v>
      </c>
      <c r="H195" s="177">
        <v>11.9</v>
      </c>
      <c r="I195" s="178">
        <v>2</v>
      </c>
      <c r="J195" s="174">
        <f t="shared" si="141"/>
        <v>0.64950199999999991</v>
      </c>
      <c r="K195" s="118"/>
      <c r="L195" s="111">
        <v>2</v>
      </c>
      <c r="M195" s="117">
        <f t="shared" si="142"/>
        <v>0.64950199999999991</v>
      </c>
      <c r="N195" s="119">
        <f t="shared" si="143"/>
        <v>0</v>
      </c>
      <c r="O195" s="120">
        <f t="shared" si="144"/>
        <v>0</v>
      </c>
      <c r="P195" s="111">
        <v>10</v>
      </c>
      <c r="Q195" s="111">
        <v>2</v>
      </c>
      <c r="R195" s="111"/>
    </row>
    <row r="196" spans="1:18" ht="27">
      <c r="A196" s="110" t="s">
        <v>353</v>
      </c>
      <c r="B196" s="111" t="s">
        <v>297</v>
      </c>
      <c r="C196" s="112" t="s">
        <v>228</v>
      </c>
      <c r="D196" s="113" t="s">
        <v>20</v>
      </c>
      <c r="E196" s="175" t="s">
        <v>15</v>
      </c>
      <c r="F196" s="175" t="s">
        <v>58</v>
      </c>
      <c r="G196" s="176">
        <v>27.29</v>
      </c>
      <c r="H196" s="177">
        <v>11.9</v>
      </c>
      <c r="I196" s="178">
        <v>2</v>
      </c>
      <c r="J196" s="174">
        <f t="shared" si="141"/>
        <v>0.64950199999999991</v>
      </c>
      <c r="K196" s="118"/>
      <c r="L196" s="111">
        <v>2</v>
      </c>
      <c r="M196" s="117">
        <f t="shared" si="142"/>
        <v>0.64950199999999991</v>
      </c>
      <c r="N196" s="119">
        <f t="shared" si="143"/>
        <v>0</v>
      </c>
      <c r="O196" s="120">
        <f t="shared" si="144"/>
        <v>0</v>
      </c>
      <c r="P196" s="111">
        <v>10</v>
      </c>
      <c r="Q196" s="111">
        <v>2</v>
      </c>
      <c r="R196" s="111"/>
    </row>
    <row r="197" spans="1:18" ht="27">
      <c r="A197" s="110" t="s">
        <v>353</v>
      </c>
      <c r="B197" s="111" t="s">
        <v>297</v>
      </c>
      <c r="C197" s="112" t="s">
        <v>228</v>
      </c>
      <c r="D197" s="113" t="s">
        <v>20</v>
      </c>
      <c r="E197" s="175" t="s">
        <v>15</v>
      </c>
      <c r="F197" s="175" t="s">
        <v>58</v>
      </c>
      <c r="G197" s="176">
        <v>27.29</v>
      </c>
      <c r="H197" s="177">
        <v>11.5</v>
      </c>
      <c r="I197" s="178">
        <v>5</v>
      </c>
      <c r="J197" s="174">
        <f t="shared" si="141"/>
        <v>1.569175</v>
      </c>
      <c r="K197" s="118"/>
      <c r="L197" s="111">
        <v>5</v>
      </c>
      <c r="M197" s="117">
        <f t="shared" si="142"/>
        <v>1.569175</v>
      </c>
      <c r="N197" s="119">
        <f t="shared" si="143"/>
        <v>0</v>
      </c>
      <c r="O197" s="120">
        <f t="shared" si="144"/>
        <v>0</v>
      </c>
      <c r="P197" s="111">
        <v>10</v>
      </c>
      <c r="Q197" s="111">
        <v>5</v>
      </c>
      <c r="R197" s="111"/>
    </row>
    <row r="198" spans="1:18" ht="27">
      <c r="A198" s="110" t="s">
        <v>353</v>
      </c>
      <c r="B198" s="111" t="s">
        <v>297</v>
      </c>
      <c r="C198" s="112" t="s">
        <v>228</v>
      </c>
      <c r="D198" s="113" t="s">
        <v>20</v>
      </c>
      <c r="E198" s="175" t="s">
        <v>15</v>
      </c>
      <c r="F198" s="175" t="s">
        <v>58</v>
      </c>
      <c r="G198" s="176">
        <v>27.29</v>
      </c>
      <c r="H198" s="177">
        <v>10.9</v>
      </c>
      <c r="I198" s="178">
        <v>1</v>
      </c>
      <c r="J198" s="174">
        <f t="shared" si="141"/>
        <v>0.29746100000000003</v>
      </c>
      <c r="K198" s="118"/>
      <c r="L198" s="111">
        <v>1</v>
      </c>
      <c r="M198" s="117">
        <f t="shared" si="142"/>
        <v>0.29746100000000003</v>
      </c>
      <c r="N198" s="119">
        <f t="shared" si="143"/>
        <v>0</v>
      </c>
      <c r="O198" s="120">
        <f t="shared" si="144"/>
        <v>0</v>
      </c>
      <c r="P198" s="111">
        <v>10</v>
      </c>
      <c r="Q198" s="111">
        <v>1</v>
      </c>
      <c r="R198" s="111"/>
    </row>
    <row r="199" spans="1:18" ht="27">
      <c r="A199" s="110" t="s">
        <v>353</v>
      </c>
      <c r="B199" s="111" t="s">
        <v>297</v>
      </c>
      <c r="C199" s="112" t="s">
        <v>228</v>
      </c>
      <c r="D199" s="113" t="s">
        <v>20</v>
      </c>
      <c r="E199" s="175" t="s">
        <v>15</v>
      </c>
      <c r="F199" s="175" t="s">
        <v>58</v>
      </c>
      <c r="G199" s="176">
        <v>27.29</v>
      </c>
      <c r="H199" s="177">
        <v>10.5</v>
      </c>
      <c r="I199" s="178">
        <v>4</v>
      </c>
      <c r="J199" s="174">
        <f t="shared" si="141"/>
        <v>1.14618</v>
      </c>
      <c r="K199" s="118"/>
      <c r="L199" s="111">
        <v>4</v>
      </c>
      <c r="M199" s="117">
        <f t="shared" si="142"/>
        <v>1.14618</v>
      </c>
      <c r="N199" s="119">
        <f t="shared" si="143"/>
        <v>0</v>
      </c>
      <c r="O199" s="120">
        <f t="shared" si="144"/>
        <v>0</v>
      </c>
      <c r="P199" s="111">
        <v>10</v>
      </c>
      <c r="Q199" s="111">
        <v>4</v>
      </c>
      <c r="R199" s="111"/>
    </row>
    <row r="200" spans="1:18" ht="27">
      <c r="A200" s="110" t="s">
        <v>353</v>
      </c>
      <c r="B200" s="111" t="s">
        <v>297</v>
      </c>
      <c r="C200" s="112" t="s">
        <v>228</v>
      </c>
      <c r="D200" s="113" t="s">
        <v>20</v>
      </c>
      <c r="E200" s="175" t="s">
        <v>15</v>
      </c>
      <c r="F200" s="175" t="s">
        <v>58</v>
      </c>
      <c r="G200" s="176">
        <v>27.29</v>
      </c>
      <c r="H200" s="177">
        <v>9.3000000000000007</v>
      </c>
      <c r="I200" s="178">
        <v>6</v>
      </c>
      <c r="J200" s="174">
        <f t="shared" si="141"/>
        <v>1.5227820000000001</v>
      </c>
      <c r="K200" s="118"/>
      <c r="L200" s="111">
        <v>6</v>
      </c>
      <c r="M200" s="117">
        <f t="shared" si="142"/>
        <v>1.5227820000000001</v>
      </c>
      <c r="N200" s="119">
        <f t="shared" si="143"/>
        <v>0</v>
      </c>
      <c r="O200" s="120">
        <f t="shared" si="144"/>
        <v>0</v>
      </c>
      <c r="P200" s="130">
        <v>7.3</v>
      </c>
      <c r="Q200" s="45">
        <v>6</v>
      </c>
      <c r="R200" s="45" t="s">
        <v>403</v>
      </c>
    </row>
    <row r="201" spans="1:18" ht="27">
      <c r="A201" s="110" t="s">
        <v>353</v>
      </c>
      <c r="B201" s="111" t="s">
        <v>297</v>
      </c>
      <c r="C201" s="112" t="s">
        <v>228</v>
      </c>
      <c r="D201" s="113" t="s">
        <v>20</v>
      </c>
      <c r="E201" s="175" t="s">
        <v>15</v>
      </c>
      <c r="F201" s="175" t="s">
        <v>58</v>
      </c>
      <c r="G201" s="176">
        <v>27.29</v>
      </c>
      <c r="H201" s="177">
        <v>8.9</v>
      </c>
      <c r="I201" s="178">
        <v>1</v>
      </c>
      <c r="J201" s="174">
        <f t="shared" si="141"/>
        <v>0.24288100000000001</v>
      </c>
      <c r="K201" s="118"/>
      <c r="L201" s="111">
        <v>1</v>
      </c>
      <c r="M201" s="117">
        <f t="shared" si="142"/>
        <v>0.24288100000000001</v>
      </c>
      <c r="N201" s="119">
        <f t="shared" si="143"/>
        <v>0</v>
      </c>
      <c r="O201" s="120">
        <f t="shared" si="144"/>
        <v>0</v>
      </c>
      <c r="P201" s="111">
        <v>6.7</v>
      </c>
      <c r="Q201" s="111">
        <v>1</v>
      </c>
      <c r="R201" s="111"/>
    </row>
    <row r="202" spans="1:18" ht="27">
      <c r="A202" s="110" t="s">
        <v>353</v>
      </c>
      <c r="B202" s="111" t="s">
        <v>297</v>
      </c>
      <c r="C202" s="112" t="s">
        <v>228</v>
      </c>
      <c r="D202" s="113" t="s">
        <v>20</v>
      </c>
      <c r="E202" s="175" t="s">
        <v>15</v>
      </c>
      <c r="F202" s="175" t="s">
        <v>58</v>
      </c>
      <c r="G202" s="176">
        <v>27.29</v>
      </c>
      <c r="H202" s="177">
        <v>9</v>
      </c>
      <c r="I202" s="178">
        <v>1</v>
      </c>
      <c r="J202" s="174">
        <f t="shared" si="141"/>
        <v>0.24560999999999999</v>
      </c>
      <c r="K202" s="118"/>
      <c r="L202" s="111">
        <v>1</v>
      </c>
      <c r="M202" s="117">
        <f t="shared" si="142"/>
        <v>0.24560999999999999</v>
      </c>
      <c r="N202" s="119">
        <f t="shared" si="143"/>
        <v>0</v>
      </c>
      <c r="O202" s="120">
        <f t="shared" si="144"/>
        <v>0</v>
      </c>
      <c r="P202" s="111">
        <v>6.7</v>
      </c>
      <c r="Q202" s="111">
        <v>1</v>
      </c>
      <c r="R202" s="111"/>
    </row>
    <row r="203" spans="1:18" ht="27">
      <c r="A203" s="110" t="s">
        <v>353</v>
      </c>
      <c r="B203" s="111" t="s">
        <v>297</v>
      </c>
      <c r="C203" s="112" t="s">
        <v>228</v>
      </c>
      <c r="D203" s="113" t="s">
        <v>20</v>
      </c>
      <c r="E203" s="175" t="s">
        <v>15</v>
      </c>
      <c r="F203" s="175" t="s">
        <v>58</v>
      </c>
      <c r="G203" s="176">
        <v>27.29</v>
      </c>
      <c r="H203" s="177">
        <v>12.75</v>
      </c>
      <c r="I203" s="178">
        <v>5</v>
      </c>
      <c r="J203" s="174">
        <f t="shared" si="141"/>
        <v>1.7397374999999999</v>
      </c>
      <c r="K203" s="118"/>
      <c r="L203" s="111">
        <f>1+4</f>
        <v>5</v>
      </c>
      <c r="M203" s="117">
        <f t="shared" si="142"/>
        <v>1.7397374999999999</v>
      </c>
      <c r="N203" s="119">
        <f t="shared" si="143"/>
        <v>0</v>
      </c>
      <c r="O203" s="120">
        <f t="shared" si="144"/>
        <v>0</v>
      </c>
      <c r="P203" s="111">
        <v>12.15</v>
      </c>
      <c r="Q203" s="111">
        <v>4</v>
      </c>
      <c r="R203" s="111"/>
    </row>
    <row r="204" spans="1:18" ht="27">
      <c r="A204" s="110" t="s">
        <v>353</v>
      </c>
      <c r="B204" s="111" t="s">
        <v>297</v>
      </c>
      <c r="C204" s="112" t="s">
        <v>228</v>
      </c>
      <c r="D204" s="113" t="s">
        <v>20</v>
      </c>
      <c r="E204" s="175" t="s">
        <v>15</v>
      </c>
      <c r="F204" s="175" t="s">
        <v>58</v>
      </c>
      <c r="G204" s="176">
        <v>27.29</v>
      </c>
      <c r="H204" s="177">
        <v>12.15</v>
      </c>
      <c r="I204" s="178">
        <v>4</v>
      </c>
      <c r="J204" s="174">
        <f t="shared" si="141"/>
        <v>1.3262940000000001</v>
      </c>
      <c r="K204" s="118"/>
      <c r="L204" s="111">
        <v>4</v>
      </c>
      <c r="M204" s="117">
        <f t="shared" si="142"/>
        <v>1.3262940000000001</v>
      </c>
      <c r="N204" s="119">
        <f t="shared" si="143"/>
        <v>0</v>
      </c>
      <c r="O204" s="120">
        <f t="shared" si="144"/>
        <v>0</v>
      </c>
      <c r="P204" s="111"/>
      <c r="Q204" s="111"/>
      <c r="R204" s="111"/>
    </row>
    <row r="205" spans="1:18" ht="27">
      <c r="A205" s="110" t="s">
        <v>353</v>
      </c>
      <c r="B205" s="111" t="s">
        <v>297</v>
      </c>
      <c r="C205" s="112" t="s">
        <v>228</v>
      </c>
      <c r="D205" s="113" t="s">
        <v>20</v>
      </c>
      <c r="E205" s="175" t="s">
        <v>15</v>
      </c>
      <c r="F205" s="175" t="s">
        <v>58</v>
      </c>
      <c r="G205" s="176">
        <v>27.29</v>
      </c>
      <c r="H205" s="177">
        <v>12.75</v>
      </c>
      <c r="I205" s="178">
        <v>10</v>
      </c>
      <c r="J205" s="174">
        <f t="shared" si="141"/>
        <v>3.4794749999999999</v>
      </c>
      <c r="K205" s="118"/>
      <c r="L205" s="111">
        <v>10</v>
      </c>
      <c r="M205" s="117">
        <f t="shared" si="142"/>
        <v>3.4794749999999999</v>
      </c>
      <c r="N205" s="119">
        <f t="shared" si="143"/>
        <v>0</v>
      </c>
      <c r="O205" s="120">
        <f t="shared" si="144"/>
        <v>0</v>
      </c>
      <c r="P205" s="111"/>
      <c r="Q205" s="111"/>
      <c r="R205" s="111"/>
    </row>
    <row r="206" spans="1:18" ht="27">
      <c r="A206" s="110" t="s">
        <v>353</v>
      </c>
      <c r="B206" s="111" t="s">
        <v>297</v>
      </c>
      <c r="C206" s="112" t="s">
        <v>228</v>
      </c>
      <c r="D206" s="113" t="s">
        <v>20</v>
      </c>
      <c r="E206" s="175" t="s">
        <v>15</v>
      </c>
      <c r="F206" s="175" t="s">
        <v>58</v>
      </c>
      <c r="G206" s="176">
        <v>27.29</v>
      </c>
      <c r="H206" s="177">
        <v>12.75</v>
      </c>
      <c r="I206" s="178">
        <v>9</v>
      </c>
      <c r="J206" s="174">
        <f t="shared" si="141"/>
        <v>3.1315275000000002</v>
      </c>
      <c r="K206" s="118"/>
      <c r="L206" s="111">
        <v>9</v>
      </c>
      <c r="M206" s="117">
        <f t="shared" si="142"/>
        <v>3.1315274999999998</v>
      </c>
      <c r="N206" s="119">
        <f t="shared" si="143"/>
        <v>0</v>
      </c>
      <c r="O206" s="120">
        <f t="shared" si="144"/>
        <v>0</v>
      </c>
      <c r="P206" s="111"/>
      <c r="Q206" s="111"/>
      <c r="R206" s="111"/>
    </row>
    <row r="207" spans="1:18" ht="27">
      <c r="A207" s="110" t="s">
        <v>353</v>
      </c>
      <c r="B207" s="111" t="s">
        <v>297</v>
      </c>
      <c r="C207" s="112" t="s">
        <v>228</v>
      </c>
      <c r="D207" s="113" t="s">
        <v>20</v>
      </c>
      <c r="E207" s="175" t="s">
        <v>15</v>
      </c>
      <c r="F207" s="175" t="s">
        <v>58</v>
      </c>
      <c r="G207" s="176">
        <v>27.29</v>
      </c>
      <c r="H207" s="177">
        <v>12.75</v>
      </c>
      <c r="I207" s="178">
        <v>9</v>
      </c>
      <c r="J207" s="174">
        <f t="shared" si="141"/>
        <v>3.1315275000000002</v>
      </c>
      <c r="K207" s="118"/>
      <c r="L207" s="111">
        <v>9</v>
      </c>
      <c r="M207" s="117">
        <f t="shared" si="142"/>
        <v>3.1315274999999998</v>
      </c>
      <c r="N207" s="119">
        <f t="shared" si="143"/>
        <v>0</v>
      </c>
      <c r="O207" s="120">
        <f t="shared" si="144"/>
        <v>0</v>
      </c>
      <c r="P207" s="111"/>
      <c r="Q207" s="111"/>
      <c r="R207" s="111"/>
    </row>
    <row r="208" spans="1:18" ht="27">
      <c r="A208" s="110" t="s">
        <v>353</v>
      </c>
      <c r="B208" s="111" t="s">
        <v>297</v>
      </c>
      <c r="C208" s="112" t="s">
        <v>228</v>
      </c>
      <c r="D208" s="113" t="s">
        <v>20</v>
      </c>
      <c r="E208" s="175" t="s">
        <v>15</v>
      </c>
      <c r="F208" s="175" t="s">
        <v>58</v>
      </c>
      <c r="G208" s="176">
        <v>27.29</v>
      </c>
      <c r="H208" s="177">
        <v>12.75</v>
      </c>
      <c r="I208" s="178">
        <v>9</v>
      </c>
      <c r="J208" s="174">
        <f t="shared" si="141"/>
        <v>3.1315275000000002</v>
      </c>
      <c r="K208" s="118"/>
      <c r="L208" s="111">
        <v>9</v>
      </c>
      <c r="M208" s="117">
        <f t="shared" si="142"/>
        <v>3.1315274999999998</v>
      </c>
      <c r="N208" s="119">
        <f t="shared" si="143"/>
        <v>0</v>
      </c>
      <c r="O208" s="120">
        <f t="shared" si="144"/>
        <v>0</v>
      </c>
      <c r="P208" s="111"/>
      <c r="Q208" s="111"/>
      <c r="R208" s="111"/>
    </row>
    <row r="209" spans="1:18" ht="27">
      <c r="A209" s="110" t="s">
        <v>353</v>
      </c>
      <c r="B209" s="111" t="s">
        <v>297</v>
      </c>
      <c r="C209" s="112" t="s">
        <v>228</v>
      </c>
      <c r="D209" s="113" t="s">
        <v>20</v>
      </c>
      <c r="E209" s="175" t="s">
        <v>15</v>
      </c>
      <c r="F209" s="175" t="s">
        <v>58</v>
      </c>
      <c r="G209" s="176">
        <v>27.29</v>
      </c>
      <c r="H209" s="177">
        <v>12.15</v>
      </c>
      <c r="I209" s="178">
        <v>9</v>
      </c>
      <c r="J209" s="174">
        <f t="shared" si="141"/>
        <v>2.9841615000000004</v>
      </c>
      <c r="K209" s="118"/>
      <c r="L209" s="111">
        <v>9</v>
      </c>
      <c r="M209" s="117">
        <f t="shared" si="142"/>
        <v>2.9841615000000004</v>
      </c>
      <c r="N209" s="119">
        <f t="shared" si="143"/>
        <v>0</v>
      </c>
      <c r="O209" s="120">
        <f t="shared" si="144"/>
        <v>0</v>
      </c>
      <c r="P209" s="111"/>
      <c r="Q209" s="111"/>
      <c r="R209" s="111"/>
    </row>
    <row r="210" spans="1:18" ht="27">
      <c r="A210" s="110" t="s">
        <v>353</v>
      </c>
      <c r="B210" s="111" t="s">
        <v>297</v>
      </c>
      <c r="C210" s="112" t="s">
        <v>228</v>
      </c>
      <c r="D210" s="113" t="s">
        <v>20</v>
      </c>
      <c r="E210" s="175" t="s">
        <v>15</v>
      </c>
      <c r="F210" s="175" t="s">
        <v>58</v>
      </c>
      <c r="G210" s="176">
        <v>27.29</v>
      </c>
      <c r="H210" s="177">
        <v>12.15</v>
      </c>
      <c r="I210" s="178">
        <v>9</v>
      </c>
      <c r="J210" s="174">
        <f t="shared" si="141"/>
        <v>2.9841615000000004</v>
      </c>
      <c r="K210" s="118"/>
      <c r="L210" s="111">
        <v>9</v>
      </c>
      <c r="M210" s="117">
        <f t="shared" si="142"/>
        <v>2.9841615000000004</v>
      </c>
      <c r="N210" s="119">
        <f t="shared" si="143"/>
        <v>0</v>
      </c>
      <c r="O210" s="120">
        <f t="shared" si="144"/>
        <v>0</v>
      </c>
      <c r="P210" s="111"/>
      <c r="Q210" s="111"/>
      <c r="R210" s="111"/>
    </row>
    <row r="211" spans="1:18" ht="27">
      <c r="A211" s="110" t="s">
        <v>353</v>
      </c>
      <c r="B211" s="111" t="s">
        <v>297</v>
      </c>
      <c r="C211" s="112" t="s">
        <v>228</v>
      </c>
      <c r="D211" s="113" t="s">
        <v>20</v>
      </c>
      <c r="E211" s="175" t="s">
        <v>15</v>
      </c>
      <c r="F211" s="175" t="s">
        <v>58</v>
      </c>
      <c r="G211" s="176">
        <v>27.29</v>
      </c>
      <c r="H211" s="177">
        <v>8.1</v>
      </c>
      <c r="I211" s="178">
        <v>11</v>
      </c>
      <c r="J211" s="174">
        <f t="shared" si="141"/>
        <v>2.4315389999999999</v>
      </c>
      <c r="K211" s="118"/>
      <c r="L211" s="111">
        <v>11</v>
      </c>
      <c r="M211" s="117">
        <f t="shared" si="142"/>
        <v>2.4315389999999999</v>
      </c>
      <c r="N211" s="119">
        <f t="shared" si="143"/>
        <v>0</v>
      </c>
      <c r="O211" s="120">
        <f t="shared" si="144"/>
        <v>0</v>
      </c>
      <c r="P211" s="111"/>
      <c r="Q211" s="111"/>
      <c r="R211" s="111"/>
    </row>
    <row r="212" spans="1:18" ht="27">
      <c r="A212" s="110" t="s">
        <v>353</v>
      </c>
      <c r="B212" s="111" t="s">
        <v>297</v>
      </c>
      <c r="C212" s="112" t="s">
        <v>228</v>
      </c>
      <c r="D212" s="113" t="s">
        <v>20</v>
      </c>
      <c r="E212" s="175" t="s">
        <v>15</v>
      </c>
      <c r="F212" s="175" t="s">
        <v>58</v>
      </c>
      <c r="G212" s="176">
        <v>27.29</v>
      </c>
      <c r="H212" s="177">
        <v>8.1</v>
      </c>
      <c r="I212" s="178">
        <v>13</v>
      </c>
      <c r="J212" s="174">
        <f t="shared" si="141"/>
        <v>2.8736369999999996</v>
      </c>
      <c r="K212" s="118"/>
      <c r="L212" s="111">
        <v>13</v>
      </c>
      <c r="M212" s="117">
        <f t="shared" si="142"/>
        <v>2.8736369999999996</v>
      </c>
      <c r="N212" s="119">
        <f t="shared" si="143"/>
        <v>0</v>
      </c>
      <c r="O212" s="120">
        <f t="shared" si="144"/>
        <v>0</v>
      </c>
      <c r="P212" s="111"/>
      <c r="Q212" s="111"/>
      <c r="R212" s="111"/>
    </row>
    <row r="213" spans="1:18" ht="27">
      <c r="A213" s="110" t="s">
        <v>353</v>
      </c>
      <c r="B213" s="111" t="s">
        <v>297</v>
      </c>
      <c r="C213" s="112" t="s">
        <v>228</v>
      </c>
      <c r="D213" s="113" t="s">
        <v>20</v>
      </c>
      <c r="E213" s="175" t="s">
        <v>15</v>
      </c>
      <c r="F213" s="175" t="s">
        <v>58</v>
      </c>
      <c r="G213" s="176">
        <v>27.29</v>
      </c>
      <c r="H213" s="177">
        <v>12.15</v>
      </c>
      <c r="I213" s="178">
        <v>6</v>
      </c>
      <c r="J213" s="174">
        <f t="shared" si="141"/>
        <v>1.9894410000000002</v>
      </c>
      <c r="K213" s="118"/>
      <c r="L213" s="111">
        <v>6</v>
      </c>
      <c r="M213" s="117">
        <f t="shared" si="142"/>
        <v>1.989441</v>
      </c>
      <c r="N213" s="119">
        <f t="shared" si="143"/>
        <v>0</v>
      </c>
      <c r="O213" s="120">
        <f t="shared" si="144"/>
        <v>0</v>
      </c>
      <c r="P213" s="111"/>
      <c r="Q213" s="111"/>
      <c r="R213" s="111"/>
    </row>
    <row r="214" spans="1:18" ht="27">
      <c r="A214" s="110" t="s">
        <v>353</v>
      </c>
      <c r="B214" s="111" t="s">
        <v>297</v>
      </c>
      <c r="C214" s="112" t="s">
        <v>228</v>
      </c>
      <c r="D214" s="113" t="s">
        <v>20</v>
      </c>
      <c r="E214" s="175" t="s">
        <v>15</v>
      </c>
      <c r="F214" s="175" t="s">
        <v>58</v>
      </c>
      <c r="G214" s="176">
        <v>27.29</v>
      </c>
      <c r="H214" s="177">
        <v>12.75</v>
      </c>
      <c r="I214" s="178">
        <v>9</v>
      </c>
      <c r="J214" s="174">
        <f t="shared" si="141"/>
        <v>3.1315275000000002</v>
      </c>
      <c r="K214" s="118"/>
      <c r="L214" s="111">
        <v>9</v>
      </c>
      <c r="M214" s="117">
        <f t="shared" si="142"/>
        <v>3.1315274999999998</v>
      </c>
      <c r="N214" s="119">
        <f t="shared" si="143"/>
        <v>0</v>
      </c>
      <c r="O214" s="120">
        <f t="shared" si="144"/>
        <v>0</v>
      </c>
      <c r="P214" s="111"/>
      <c r="Q214" s="111"/>
      <c r="R214" s="111"/>
    </row>
    <row r="215" spans="1:18" ht="27">
      <c r="A215" s="110" t="s">
        <v>353</v>
      </c>
      <c r="B215" s="111" t="s">
        <v>297</v>
      </c>
      <c r="C215" s="112" t="s">
        <v>228</v>
      </c>
      <c r="D215" s="113" t="s">
        <v>20</v>
      </c>
      <c r="E215" s="175" t="s">
        <v>15</v>
      </c>
      <c r="F215" s="175" t="s">
        <v>58</v>
      </c>
      <c r="G215" s="176">
        <v>27.29</v>
      </c>
      <c r="H215" s="179">
        <v>8.1</v>
      </c>
      <c r="I215" s="178">
        <v>11</v>
      </c>
      <c r="J215" s="174">
        <f t="shared" ref="J215:J249" si="145">(G215*H215*I215/1000)</f>
        <v>2.4315389999999999</v>
      </c>
      <c r="K215" s="118"/>
      <c r="L215" s="111">
        <v>11</v>
      </c>
      <c r="M215" s="117">
        <f t="shared" ref="M215:M249" si="146">H215*L215*G215/1000</f>
        <v>2.4315389999999999</v>
      </c>
      <c r="N215" s="119">
        <f t="shared" ref="N215:N249" si="147">I215-L215</f>
        <v>0</v>
      </c>
      <c r="O215" s="120">
        <f t="shared" ref="O215:O249" si="148">H215*N215*G215/1000</f>
        <v>0</v>
      </c>
      <c r="P215" s="111"/>
      <c r="Q215" s="111"/>
      <c r="R215" s="111"/>
    </row>
    <row r="216" spans="1:18" ht="27">
      <c r="A216" s="110" t="s">
        <v>353</v>
      </c>
      <c r="B216" s="111" t="s">
        <v>297</v>
      </c>
      <c r="C216" s="112" t="s">
        <v>228</v>
      </c>
      <c r="D216" s="113" t="s">
        <v>20</v>
      </c>
      <c r="E216" s="175" t="s">
        <v>15</v>
      </c>
      <c r="F216" s="175" t="s">
        <v>58</v>
      </c>
      <c r="G216" s="176">
        <v>27.29</v>
      </c>
      <c r="H216" s="179">
        <v>10</v>
      </c>
      <c r="I216" s="178">
        <v>6</v>
      </c>
      <c r="J216" s="174">
        <f t="shared" si="145"/>
        <v>1.6374</v>
      </c>
      <c r="K216" s="118"/>
      <c r="L216" s="111">
        <v>6</v>
      </c>
      <c r="M216" s="117">
        <f t="shared" si="146"/>
        <v>1.6374</v>
      </c>
      <c r="N216" s="119">
        <f t="shared" si="147"/>
        <v>0</v>
      </c>
      <c r="O216" s="120">
        <f t="shared" si="148"/>
        <v>0</v>
      </c>
      <c r="P216" s="111"/>
      <c r="Q216" s="111"/>
      <c r="R216" s="111"/>
    </row>
    <row r="217" spans="1:18" ht="27">
      <c r="A217" s="110" t="s">
        <v>353</v>
      </c>
      <c r="B217" s="111" t="s">
        <v>297</v>
      </c>
      <c r="C217" s="112" t="s">
        <v>228</v>
      </c>
      <c r="D217" s="113" t="s">
        <v>20</v>
      </c>
      <c r="E217" s="175" t="s">
        <v>15</v>
      </c>
      <c r="F217" s="175" t="s">
        <v>58</v>
      </c>
      <c r="G217" s="176">
        <v>27.29</v>
      </c>
      <c r="H217" s="179">
        <v>10</v>
      </c>
      <c r="I217" s="178">
        <v>12</v>
      </c>
      <c r="J217" s="174">
        <f t="shared" si="145"/>
        <v>3.2747999999999999</v>
      </c>
      <c r="K217" s="118"/>
      <c r="L217" s="111">
        <f>12+1</f>
        <v>13</v>
      </c>
      <c r="M217" s="117">
        <f t="shared" si="146"/>
        <v>3.5476999999999999</v>
      </c>
      <c r="N217" s="230">
        <f t="shared" si="147"/>
        <v>-1</v>
      </c>
      <c r="O217" s="231">
        <f t="shared" si="148"/>
        <v>-0.27289999999999998</v>
      </c>
      <c r="P217" s="44" t="s">
        <v>427</v>
      </c>
      <c r="Q217" s="111"/>
      <c r="R217" s="111"/>
    </row>
    <row r="218" spans="1:18" ht="27">
      <c r="A218" s="110" t="s">
        <v>353</v>
      </c>
      <c r="B218" s="111" t="s">
        <v>297</v>
      </c>
      <c r="C218" s="112" t="s">
        <v>228</v>
      </c>
      <c r="D218" s="113" t="s">
        <v>20</v>
      </c>
      <c r="E218" s="175" t="s">
        <v>15</v>
      </c>
      <c r="F218" s="175" t="s">
        <v>58</v>
      </c>
      <c r="G218" s="176">
        <v>27.29</v>
      </c>
      <c r="H218" s="179">
        <v>9.5</v>
      </c>
      <c r="I218" s="178">
        <v>8</v>
      </c>
      <c r="J218" s="174">
        <f t="shared" si="145"/>
        <v>2.0740400000000001</v>
      </c>
      <c r="K218" s="118"/>
      <c r="L218" s="111">
        <f>8+10</f>
        <v>18</v>
      </c>
      <c r="M218" s="117">
        <f t="shared" si="146"/>
        <v>4.6665900000000002</v>
      </c>
      <c r="N218" s="230">
        <f t="shared" si="147"/>
        <v>-10</v>
      </c>
      <c r="O218" s="231">
        <f t="shared" si="148"/>
        <v>-2.5925499999999997</v>
      </c>
      <c r="P218" s="44" t="s">
        <v>427</v>
      </c>
      <c r="Q218" s="111"/>
      <c r="R218" s="111"/>
    </row>
    <row r="219" spans="1:18" ht="27">
      <c r="A219" s="110" t="s">
        <v>353</v>
      </c>
      <c r="B219" s="111" t="s">
        <v>297</v>
      </c>
      <c r="C219" s="112" t="s">
        <v>228</v>
      </c>
      <c r="D219" s="113" t="s">
        <v>20</v>
      </c>
      <c r="E219" s="175" t="s">
        <v>15</v>
      </c>
      <c r="F219" s="175" t="s">
        <v>58</v>
      </c>
      <c r="G219" s="176">
        <v>27.29</v>
      </c>
      <c r="H219" s="179">
        <v>8.9</v>
      </c>
      <c r="I219" s="178">
        <v>3</v>
      </c>
      <c r="J219" s="174">
        <f t="shared" si="145"/>
        <v>0.72864300000000004</v>
      </c>
      <c r="K219" s="118"/>
      <c r="L219" s="111">
        <v>3</v>
      </c>
      <c r="M219" s="117">
        <f t="shared" si="146"/>
        <v>0.72864300000000004</v>
      </c>
      <c r="N219" s="119">
        <f t="shared" si="147"/>
        <v>0</v>
      </c>
      <c r="O219" s="120">
        <f t="shared" si="148"/>
        <v>0</v>
      </c>
      <c r="P219" s="111">
        <v>7.3</v>
      </c>
      <c r="Q219" s="111">
        <v>3</v>
      </c>
      <c r="R219" s="45" t="s">
        <v>403</v>
      </c>
    </row>
    <row r="220" spans="1:18" ht="27">
      <c r="A220" s="110" t="s">
        <v>353</v>
      </c>
      <c r="B220" s="111" t="s">
        <v>297</v>
      </c>
      <c r="C220" s="112" t="s">
        <v>228</v>
      </c>
      <c r="D220" s="113" t="s">
        <v>20</v>
      </c>
      <c r="E220" s="175" t="s">
        <v>15</v>
      </c>
      <c r="F220" s="175" t="s">
        <v>58</v>
      </c>
      <c r="G220" s="176">
        <v>27.29</v>
      </c>
      <c r="H220" s="179">
        <v>12.75</v>
      </c>
      <c r="I220" s="178">
        <v>3</v>
      </c>
      <c r="J220" s="174">
        <f t="shared" si="145"/>
        <v>1.0438425</v>
      </c>
      <c r="K220" s="118"/>
      <c r="L220" s="111">
        <v>3</v>
      </c>
      <c r="M220" s="117">
        <f t="shared" si="146"/>
        <v>1.0438425</v>
      </c>
      <c r="N220" s="119">
        <f t="shared" si="147"/>
        <v>0</v>
      </c>
      <c r="O220" s="120">
        <f t="shared" si="148"/>
        <v>0</v>
      </c>
      <c r="P220" s="111"/>
      <c r="Q220" s="111"/>
      <c r="R220" s="111"/>
    </row>
    <row r="221" spans="1:18" ht="27">
      <c r="A221" s="110" t="s">
        <v>353</v>
      </c>
      <c r="B221" s="111" t="s">
        <v>297</v>
      </c>
      <c r="C221" s="112" t="s">
        <v>228</v>
      </c>
      <c r="D221" s="113" t="s">
        <v>20</v>
      </c>
      <c r="E221" s="175" t="s">
        <v>15</v>
      </c>
      <c r="F221" s="175" t="s">
        <v>58</v>
      </c>
      <c r="G221" s="176">
        <v>27.29</v>
      </c>
      <c r="H221" s="179">
        <v>12.15</v>
      </c>
      <c r="I221" s="178">
        <v>6</v>
      </c>
      <c r="J221" s="174">
        <f t="shared" si="145"/>
        <v>1.9894410000000002</v>
      </c>
      <c r="K221" s="118"/>
      <c r="L221" s="111">
        <v>6</v>
      </c>
      <c r="M221" s="117">
        <f t="shared" si="146"/>
        <v>1.989441</v>
      </c>
      <c r="N221" s="119">
        <f t="shared" si="147"/>
        <v>0</v>
      </c>
      <c r="O221" s="120">
        <f t="shared" si="148"/>
        <v>0</v>
      </c>
      <c r="P221" s="111"/>
      <c r="Q221" s="111"/>
      <c r="R221" s="111"/>
    </row>
    <row r="222" spans="1:18" ht="27">
      <c r="A222" s="110" t="s">
        <v>353</v>
      </c>
      <c r="B222" s="111" t="s">
        <v>297</v>
      </c>
      <c r="C222" s="112" t="s">
        <v>228</v>
      </c>
      <c r="D222" s="113" t="s">
        <v>20</v>
      </c>
      <c r="E222" s="175" t="s">
        <v>15</v>
      </c>
      <c r="F222" s="175" t="s">
        <v>58</v>
      </c>
      <c r="G222" s="176">
        <v>27.29</v>
      </c>
      <c r="H222" s="179">
        <v>12.75</v>
      </c>
      <c r="I222" s="178">
        <v>7</v>
      </c>
      <c r="J222" s="174">
        <f t="shared" si="145"/>
        <v>2.4356324999999996</v>
      </c>
      <c r="K222" s="118"/>
      <c r="L222" s="111">
        <v>7</v>
      </c>
      <c r="M222" s="117">
        <f t="shared" si="146"/>
        <v>2.4356324999999996</v>
      </c>
      <c r="N222" s="119">
        <f t="shared" si="147"/>
        <v>0</v>
      </c>
      <c r="O222" s="120">
        <f t="shared" si="148"/>
        <v>0</v>
      </c>
      <c r="P222" s="111"/>
      <c r="Q222" s="111"/>
      <c r="R222" s="111"/>
    </row>
    <row r="223" spans="1:18" ht="27">
      <c r="A223" s="110" t="s">
        <v>353</v>
      </c>
      <c r="B223" s="111" t="s">
        <v>297</v>
      </c>
      <c r="C223" s="112" t="s">
        <v>228</v>
      </c>
      <c r="D223" s="113" t="s">
        <v>20</v>
      </c>
      <c r="E223" s="175" t="s">
        <v>15</v>
      </c>
      <c r="F223" s="175" t="s">
        <v>58</v>
      </c>
      <c r="G223" s="176">
        <v>27.29</v>
      </c>
      <c r="H223" s="179">
        <v>12</v>
      </c>
      <c r="I223" s="178">
        <v>3</v>
      </c>
      <c r="J223" s="174">
        <f t="shared" si="145"/>
        <v>0.98244000000000009</v>
      </c>
      <c r="K223" s="118"/>
      <c r="L223" s="111">
        <v>3</v>
      </c>
      <c r="M223" s="117">
        <f t="shared" si="146"/>
        <v>0.98243999999999998</v>
      </c>
      <c r="N223" s="119">
        <f t="shared" si="147"/>
        <v>0</v>
      </c>
      <c r="O223" s="120">
        <f t="shared" si="148"/>
        <v>0</v>
      </c>
      <c r="P223" s="111">
        <v>10</v>
      </c>
      <c r="Q223" s="111">
        <v>3</v>
      </c>
      <c r="R223" s="111"/>
    </row>
    <row r="224" spans="1:18" ht="27">
      <c r="A224" s="110" t="s">
        <v>353</v>
      </c>
      <c r="B224" s="111" t="s">
        <v>297</v>
      </c>
      <c r="C224" s="112" t="s">
        <v>228</v>
      </c>
      <c r="D224" s="113" t="s">
        <v>20</v>
      </c>
      <c r="E224" s="175" t="s">
        <v>15</v>
      </c>
      <c r="F224" s="175" t="s">
        <v>58</v>
      </c>
      <c r="G224" s="176">
        <v>27.29</v>
      </c>
      <c r="H224" s="179">
        <v>12.15</v>
      </c>
      <c r="I224" s="178">
        <v>5</v>
      </c>
      <c r="J224" s="174">
        <f t="shared" si="145"/>
        <v>1.6578675</v>
      </c>
      <c r="K224" s="118"/>
      <c r="L224" s="111">
        <v>5</v>
      </c>
      <c r="M224" s="117">
        <f t="shared" si="146"/>
        <v>1.6578674999999998</v>
      </c>
      <c r="N224" s="119">
        <f t="shared" si="147"/>
        <v>0</v>
      </c>
      <c r="O224" s="120">
        <f t="shared" si="148"/>
        <v>0</v>
      </c>
      <c r="P224" s="111"/>
      <c r="Q224" s="111"/>
      <c r="R224" s="111"/>
    </row>
    <row r="225" spans="1:18" ht="27">
      <c r="A225" s="110" t="s">
        <v>353</v>
      </c>
      <c r="B225" s="111" t="s">
        <v>297</v>
      </c>
      <c r="C225" s="112" t="s">
        <v>228</v>
      </c>
      <c r="D225" s="113" t="s">
        <v>20</v>
      </c>
      <c r="E225" s="175" t="s">
        <v>15</v>
      </c>
      <c r="F225" s="175" t="s">
        <v>58</v>
      </c>
      <c r="G225" s="176">
        <v>27.29</v>
      </c>
      <c r="H225" s="179">
        <v>8.1</v>
      </c>
      <c r="I225" s="178">
        <v>7</v>
      </c>
      <c r="J225" s="174">
        <f t="shared" si="145"/>
        <v>1.5473429999999999</v>
      </c>
      <c r="K225" s="118"/>
      <c r="L225" s="111">
        <v>7</v>
      </c>
      <c r="M225" s="117">
        <f t="shared" si="146"/>
        <v>1.5473429999999999</v>
      </c>
      <c r="N225" s="119">
        <f t="shared" si="147"/>
        <v>0</v>
      </c>
      <c r="O225" s="120">
        <f t="shared" si="148"/>
        <v>0</v>
      </c>
      <c r="P225" s="111"/>
      <c r="Q225" s="111"/>
      <c r="R225" s="111"/>
    </row>
    <row r="226" spans="1:18" ht="27">
      <c r="A226" s="110" t="s">
        <v>353</v>
      </c>
      <c r="B226" s="111" t="s">
        <v>297</v>
      </c>
      <c r="C226" s="112" t="s">
        <v>228</v>
      </c>
      <c r="D226" s="113" t="s">
        <v>20</v>
      </c>
      <c r="E226" s="175" t="s">
        <v>15</v>
      </c>
      <c r="F226" s="175" t="s">
        <v>58</v>
      </c>
      <c r="G226" s="176">
        <v>27.29</v>
      </c>
      <c r="H226" s="179">
        <v>12.75</v>
      </c>
      <c r="I226" s="178">
        <f>9+9+9+9+9+10+10+9+9+9+9+9+8</f>
        <v>118</v>
      </c>
      <c r="J226" s="174">
        <f t="shared" si="145"/>
        <v>41.057805000000002</v>
      </c>
      <c r="K226" s="118"/>
      <c r="L226" s="111">
        <v>118</v>
      </c>
      <c r="M226" s="117">
        <f t="shared" si="146"/>
        <v>41.057805000000002</v>
      </c>
      <c r="N226" s="119">
        <f t="shared" si="147"/>
        <v>0</v>
      </c>
      <c r="O226" s="120">
        <f t="shared" si="148"/>
        <v>0</v>
      </c>
      <c r="P226" s="111"/>
      <c r="Q226" s="111"/>
      <c r="R226" s="111"/>
    </row>
    <row r="227" spans="1:18" ht="27">
      <c r="A227" s="110" t="s">
        <v>353</v>
      </c>
      <c r="B227" s="111" t="s">
        <v>297</v>
      </c>
      <c r="C227" s="112" t="s">
        <v>228</v>
      </c>
      <c r="D227" s="113" t="s">
        <v>20</v>
      </c>
      <c r="E227" s="175" t="s">
        <v>15</v>
      </c>
      <c r="F227" s="175" t="s">
        <v>58</v>
      </c>
      <c r="G227" s="176">
        <v>27.29</v>
      </c>
      <c r="H227" s="179">
        <v>12.15</v>
      </c>
      <c r="I227" s="178">
        <f>9+8+11+9+9+1</f>
        <v>47</v>
      </c>
      <c r="J227" s="174">
        <f t="shared" si="145"/>
        <v>15.583954500000001</v>
      </c>
      <c r="K227" s="118"/>
      <c r="L227" s="111">
        <v>47</v>
      </c>
      <c r="M227" s="117">
        <f t="shared" si="146"/>
        <v>15.583954500000001</v>
      </c>
      <c r="N227" s="119">
        <f t="shared" si="147"/>
        <v>0</v>
      </c>
      <c r="O227" s="120">
        <f t="shared" si="148"/>
        <v>0</v>
      </c>
      <c r="P227" s="111"/>
      <c r="Q227" s="111"/>
      <c r="R227" s="111"/>
    </row>
    <row r="228" spans="1:18" ht="27">
      <c r="A228" s="110" t="s">
        <v>353</v>
      </c>
      <c r="B228" s="111" t="s">
        <v>297</v>
      </c>
      <c r="C228" s="112" t="s">
        <v>228</v>
      </c>
      <c r="D228" s="113" t="s">
        <v>20</v>
      </c>
      <c r="E228" s="175" t="s">
        <v>15</v>
      </c>
      <c r="F228" s="175" t="s">
        <v>58</v>
      </c>
      <c r="G228" s="176">
        <v>27.29</v>
      </c>
      <c r="H228" s="179">
        <v>10</v>
      </c>
      <c r="I228" s="178">
        <v>1</v>
      </c>
      <c r="J228" s="174">
        <f t="shared" si="145"/>
        <v>0.27289999999999998</v>
      </c>
      <c r="K228" s="118"/>
      <c r="L228" s="111">
        <v>1</v>
      </c>
      <c r="M228" s="117">
        <f t="shared" si="146"/>
        <v>0.27289999999999998</v>
      </c>
      <c r="N228" s="119">
        <f t="shared" si="147"/>
        <v>0</v>
      </c>
      <c r="O228" s="120">
        <f t="shared" si="148"/>
        <v>0</v>
      </c>
      <c r="P228" s="111"/>
      <c r="Q228" s="111"/>
      <c r="R228" s="111"/>
    </row>
    <row r="229" spans="1:18" ht="27">
      <c r="A229" s="110" t="s">
        <v>353</v>
      </c>
      <c r="B229" s="111" t="s">
        <v>297</v>
      </c>
      <c r="C229" s="112" t="s">
        <v>228</v>
      </c>
      <c r="D229" s="113" t="s">
        <v>20</v>
      </c>
      <c r="E229" s="175" t="s">
        <v>15</v>
      </c>
      <c r="F229" s="175" t="s">
        <v>58</v>
      </c>
      <c r="G229" s="176">
        <v>27.29</v>
      </c>
      <c r="H229" s="179">
        <v>11</v>
      </c>
      <c r="I229" s="178">
        <v>6</v>
      </c>
      <c r="J229" s="174">
        <f t="shared" si="145"/>
        <v>1.80114</v>
      </c>
      <c r="K229" s="118"/>
      <c r="L229" s="111">
        <v>6</v>
      </c>
      <c r="M229" s="117">
        <f t="shared" si="146"/>
        <v>1.80114</v>
      </c>
      <c r="N229" s="119">
        <f t="shared" si="147"/>
        <v>0</v>
      </c>
      <c r="O229" s="120">
        <f t="shared" si="148"/>
        <v>0</v>
      </c>
      <c r="P229" s="111">
        <v>10</v>
      </c>
      <c r="Q229" s="111">
        <v>6</v>
      </c>
      <c r="R229" s="111"/>
    </row>
    <row r="230" spans="1:18" ht="27">
      <c r="A230" s="110" t="s">
        <v>353</v>
      </c>
      <c r="B230" s="111" t="s">
        <v>297</v>
      </c>
      <c r="C230" s="112" t="s">
        <v>228</v>
      </c>
      <c r="D230" s="113" t="s">
        <v>20</v>
      </c>
      <c r="E230" s="175" t="s">
        <v>15</v>
      </c>
      <c r="F230" s="175" t="s">
        <v>58</v>
      </c>
      <c r="G230" s="176">
        <v>27.29</v>
      </c>
      <c r="H230" s="179">
        <v>11.5</v>
      </c>
      <c r="I230" s="178">
        <v>9</v>
      </c>
      <c r="J230" s="174">
        <f t="shared" si="145"/>
        <v>2.8245149999999999</v>
      </c>
      <c r="K230" s="118"/>
      <c r="L230" s="111">
        <v>9</v>
      </c>
      <c r="M230" s="117">
        <f t="shared" si="146"/>
        <v>2.8245149999999999</v>
      </c>
      <c r="N230" s="119">
        <f t="shared" si="147"/>
        <v>0</v>
      </c>
      <c r="O230" s="120">
        <f t="shared" si="148"/>
        <v>0</v>
      </c>
      <c r="P230" s="111">
        <v>10</v>
      </c>
      <c r="Q230" s="111">
        <v>9</v>
      </c>
      <c r="R230" s="111"/>
    </row>
    <row r="231" spans="1:18" ht="27">
      <c r="A231" s="110" t="s">
        <v>353</v>
      </c>
      <c r="B231" s="111" t="s">
        <v>297</v>
      </c>
      <c r="C231" s="112" t="s">
        <v>228</v>
      </c>
      <c r="D231" s="113" t="s">
        <v>20</v>
      </c>
      <c r="E231" s="175" t="s">
        <v>15</v>
      </c>
      <c r="F231" s="175" t="s">
        <v>58</v>
      </c>
      <c r="G231" s="176">
        <v>27.29</v>
      </c>
      <c r="H231" s="179">
        <v>12.75</v>
      </c>
      <c r="I231" s="178">
        <f>9+8</f>
        <v>17</v>
      </c>
      <c r="J231" s="174">
        <f t="shared" si="145"/>
        <v>5.9151075000000004</v>
      </c>
      <c r="K231" s="118"/>
      <c r="L231" s="111">
        <v>17</v>
      </c>
      <c r="M231" s="117">
        <f t="shared" si="146"/>
        <v>5.9151075000000004</v>
      </c>
      <c r="N231" s="119">
        <f t="shared" si="147"/>
        <v>0</v>
      </c>
      <c r="O231" s="120">
        <f t="shared" si="148"/>
        <v>0</v>
      </c>
      <c r="P231" s="111"/>
      <c r="Q231" s="111"/>
      <c r="R231" s="111"/>
    </row>
    <row r="232" spans="1:18" ht="27">
      <c r="A232" s="110" t="s">
        <v>353</v>
      </c>
      <c r="B232" s="111" t="s">
        <v>297</v>
      </c>
      <c r="C232" s="112" t="s">
        <v>228</v>
      </c>
      <c r="D232" s="113" t="s">
        <v>20</v>
      </c>
      <c r="E232" s="175" t="s">
        <v>15</v>
      </c>
      <c r="F232" s="175" t="s">
        <v>58</v>
      </c>
      <c r="G232" s="176">
        <v>27.29</v>
      </c>
      <c r="H232" s="179">
        <v>12.75</v>
      </c>
      <c r="I232" s="178">
        <v>9</v>
      </c>
      <c r="J232" s="174">
        <f t="shared" si="145"/>
        <v>3.1315275000000002</v>
      </c>
      <c r="K232" s="118"/>
      <c r="L232" s="111">
        <v>9</v>
      </c>
      <c r="M232" s="117">
        <f t="shared" si="146"/>
        <v>3.1315274999999998</v>
      </c>
      <c r="N232" s="119">
        <f t="shared" si="147"/>
        <v>0</v>
      </c>
      <c r="O232" s="120">
        <f t="shared" si="148"/>
        <v>0</v>
      </c>
      <c r="P232" s="111"/>
      <c r="Q232" s="111"/>
      <c r="R232" s="111"/>
    </row>
    <row r="233" spans="1:18" ht="27">
      <c r="A233" s="110" t="s">
        <v>353</v>
      </c>
      <c r="B233" s="111" t="s">
        <v>297</v>
      </c>
      <c r="C233" s="112" t="s">
        <v>228</v>
      </c>
      <c r="D233" s="113" t="s">
        <v>20</v>
      </c>
      <c r="E233" s="175" t="s">
        <v>15</v>
      </c>
      <c r="F233" s="175" t="s">
        <v>58</v>
      </c>
      <c r="G233" s="176">
        <v>27.29</v>
      </c>
      <c r="H233" s="179">
        <v>12.15</v>
      </c>
      <c r="I233" s="178">
        <v>9</v>
      </c>
      <c r="J233" s="174">
        <f t="shared" si="145"/>
        <v>2.9841615000000004</v>
      </c>
      <c r="K233" s="118"/>
      <c r="L233" s="111">
        <v>9</v>
      </c>
      <c r="M233" s="117">
        <f t="shared" si="146"/>
        <v>2.9841615000000004</v>
      </c>
      <c r="N233" s="119">
        <f t="shared" si="147"/>
        <v>0</v>
      </c>
      <c r="O233" s="120">
        <f t="shared" si="148"/>
        <v>0</v>
      </c>
      <c r="P233" s="111"/>
      <c r="Q233" s="111"/>
      <c r="R233" s="111"/>
    </row>
    <row r="234" spans="1:18" ht="27">
      <c r="A234" s="110" t="s">
        <v>353</v>
      </c>
      <c r="B234" s="111" t="s">
        <v>297</v>
      </c>
      <c r="C234" s="112" t="s">
        <v>228</v>
      </c>
      <c r="D234" s="113" t="s">
        <v>20</v>
      </c>
      <c r="E234" s="175" t="s">
        <v>15</v>
      </c>
      <c r="F234" s="175" t="s">
        <v>58</v>
      </c>
      <c r="G234" s="176">
        <v>27.29</v>
      </c>
      <c r="H234" s="179">
        <v>12.75</v>
      </c>
      <c r="I234" s="178">
        <v>9</v>
      </c>
      <c r="J234" s="174">
        <f t="shared" si="145"/>
        <v>3.1315275000000002</v>
      </c>
      <c r="K234" s="118"/>
      <c r="L234" s="111">
        <v>9</v>
      </c>
      <c r="M234" s="117">
        <f t="shared" si="146"/>
        <v>3.1315274999999998</v>
      </c>
      <c r="N234" s="119">
        <f t="shared" si="147"/>
        <v>0</v>
      </c>
      <c r="O234" s="120">
        <f t="shared" si="148"/>
        <v>0</v>
      </c>
      <c r="P234" s="111"/>
      <c r="Q234" s="111"/>
      <c r="R234" s="111"/>
    </row>
    <row r="235" spans="1:18" ht="27">
      <c r="A235" s="110" t="s">
        <v>353</v>
      </c>
      <c r="B235" s="111" t="s">
        <v>297</v>
      </c>
      <c r="C235" s="112" t="s">
        <v>228</v>
      </c>
      <c r="D235" s="113" t="s">
        <v>20</v>
      </c>
      <c r="E235" s="175" t="s">
        <v>15</v>
      </c>
      <c r="F235" s="175" t="s">
        <v>58</v>
      </c>
      <c r="G235" s="176">
        <v>27.29</v>
      </c>
      <c r="H235" s="179">
        <v>12.15</v>
      </c>
      <c r="I235" s="178">
        <v>10</v>
      </c>
      <c r="J235" s="174">
        <f t="shared" si="145"/>
        <v>3.3157350000000001</v>
      </c>
      <c r="K235" s="118"/>
      <c r="L235" s="111">
        <v>10</v>
      </c>
      <c r="M235" s="117">
        <f t="shared" si="146"/>
        <v>3.3157349999999997</v>
      </c>
      <c r="N235" s="119">
        <f t="shared" si="147"/>
        <v>0</v>
      </c>
      <c r="O235" s="120">
        <f t="shared" si="148"/>
        <v>0</v>
      </c>
      <c r="P235" s="111"/>
      <c r="Q235" s="111"/>
      <c r="R235" s="111"/>
    </row>
    <row r="236" spans="1:18" ht="27">
      <c r="A236" s="110" t="s">
        <v>353</v>
      </c>
      <c r="B236" s="111" t="s">
        <v>297</v>
      </c>
      <c r="C236" s="112" t="s">
        <v>228</v>
      </c>
      <c r="D236" s="113" t="s">
        <v>20</v>
      </c>
      <c r="E236" s="175" t="s">
        <v>15</v>
      </c>
      <c r="F236" s="175" t="s">
        <v>58</v>
      </c>
      <c r="G236" s="176">
        <v>27.29</v>
      </c>
      <c r="H236" s="179">
        <v>12.15</v>
      </c>
      <c r="I236" s="178">
        <v>9</v>
      </c>
      <c r="J236" s="174">
        <f t="shared" si="145"/>
        <v>2.9841615000000004</v>
      </c>
      <c r="K236" s="118"/>
      <c r="L236" s="111">
        <v>9</v>
      </c>
      <c r="M236" s="117">
        <f t="shared" si="146"/>
        <v>2.9841615000000004</v>
      </c>
      <c r="N236" s="119">
        <f t="shared" si="147"/>
        <v>0</v>
      </c>
      <c r="O236" s="120">
        <f t="shared" si="148"/>
        <v>0</v>
      </c>
      <c r="P236" s="111"/>
      <c r="Q236" s="111"/>
      <c r="R236" s="111"/>
    </row>
    <row r="237" spans="1:18" ht="27">
      <c r="A237" s="110" t="s">
        <v>353</v>
      </c>
      <c r="B237" s="111" t="s">
        <v>297</v>
      </c>
      <c r="C237" s="112" t="s">
        <v>228</v>
      </c>
      <c r="D237" s="113" t="s">
        <v>20</v>
      </c>
      <c r="E237" s="175" t="s">
        <v>15</v>
      </c>
      <c r="F237" s="175" t="s">
        <v>58</v>
      </c>
      <c r="G237" s="176">
        <v>27.29</v>
      </c>
      <c r="H237" s="179">
        <v>8.1</v>
      </c>
      <c r="I237" s="178">
        <v>12</v>
      </c>
      <c r="J237" s="174">
        <f t="shared" si="145"/>
        <v>2.6525879999999997</v>
      </c>
      <c r="K237" s="118"/>
      <c r="L237" s="111">
        <v>12</v>
      </c>
      <c r="M237" s="117">
        <f t="shared" si="146"/>
        <v>2.6525879999999997</v>
      </c>
      <c r="N237" s="119">
        <f t="shared" si="147"/>
        <v>0</v>
      </c>
      <c r="O237" s="120">
        <f t="shared" si="148"/>
        <v>0</v>
      </c>
      <c r="P237" s="111"/>
      <c r="Q237" s="111"/>
      <c r="R237" s="111"/>
    </row>
    <row r="238" spans="1:18" ht="27">
      <c r="A238" s="110" t="s">
        <v>353</v>
      </c>
      <c r="B238" s="111" t="s">
        <v>297</v>
      </c>
      <c r="C238" s="112" t="s">
        <v>228</v>
      </c>
      <c r="D238" s="113" t="s">
        <v>20</v>
      </c>
      <c r="E238" s="175" t="s">
        <v>15</v>
      </c>
      <c r="F238" s="175" t="s">
        <v>58</v>
      </c>
      <c r="G238" s="176">
        <v>27.29</v>
      </c>
      <c r="H238" s="179">
        <v>8.1</v>
      </c>
      <c r="I238" s="178">
        <v>11</v>
      </c>
      <c r="J238" s="174">
        <f t="shared" si="145"/>
        <v>2.4315389999999999</v>
      </c>
      <c r="K238" s="118"/>
      <c r="L238" s="111">
        <v>11</v>
      </c>
      <c r="M238" s="117">
        <f t="shared" si="146"/>
        <v>2.4315389999999999</v>
      </c>
      <c r="N238" s="119">
        <f t="shared" si="147"/>
        <v>0</v>
      </c>
      <c r="O238" s="120">
        <f t="shared" si="148"/>
        <v>0</v>
      </c>
      <c r="P238" s="111"/>
      <c r="Q238" s="111"/>
      <c r="R238" s="111"/>
    </row>
    <row r="239" spans="1:18" ht="27">
      <c r="A239" s="110" t="s">
        <v>353</v>
      </c>
      <c r="B239" s="111" t="s">
        <v>297</v>
      </c>
      <c r="C239" s="112" t="s">
        <v>228</v>
      </c>
      <c r="D239" s="113" t="s">
        <v>20</v>
      </c>
      <c r="E239" s="175" t="s">
        <v>15</v>
      </c>
      <c r="F239" s="175" t="s">
        <v>58</v>
      </c>
      <c r="G239" s="176">
        <v>27.29</v>
      </c>
      <c r="H239" s="179">
        <v>8.1</v>
      </c>
      <c r="I239" s="178">
        <v>5</v>
      </c>
      <c r="J239" s="174">
        <f t="shared" si="145"/>
        <v>1.1052449999999998</v>
      </c>
      <c r="K239" s="118"/>
      <c r="L239" s="111">
        <v>5</v>
      </c>
      <c r="M239" s="117">
        <f t="shared" si="146"/>
        <v>1.1052449999999998</v>
      </c>
      <c r="N239" s="119">
        <f t="shared" si="147"/>
        <v>0</v>
      </c>
      <c r="O239" s="120">
        <f t="shared" si="148"/>
        <v>0</v>
      </c>
      <c r="P239" s="111"/>
      <c r="Q239" s="111"/>
      <c r="R239" s="111"/>
    </row>
    <row r="240" spans="1:18" ht="27">
      <c r="A240" s="110" t="s">
        <v>353</v>
      </c>
      <c r="B240" s="111" t="s">
        <v>297</v>
      </c>
      <c r="C240" s="112" t="s">
        <v>228</v>
      </c>
      <c r="D240" s="113" t="s">
        <v>20</v>
      </c>
      <c r="E240" s="175" t="s">
        <v>15</v>
      </c>
      <c r="F240" s="175" t="s">
        <v>58</v>
      </c>
      <c r="G240" s="176">
        <v>27.29</v>
      </c>
      <c r="H240" s="179">
        <v>12.15</v>
      </c>
      <c r="I240" s="178">
        <v>4</v>
      </c>
      <c r="J240" s="174">
        <f t="shared" si="145"/>
        <v>1.3262940000000001</v>
      </c>
      <c r="K240" s="118"/>
      <c r="L240" s="111">
        <v>4</v>
      </c>
      <c r="M240" s="117">
        <f t="shared" si="146"/>
        <v>1.3262940000000001</v>
      </c>
      <c r="N240" s="119">
        <f t="shared" si="147"/>
        <v>0</v>
      </c>
      <c r="O240" s="120">
        <f t="shared" si="148"/>
        <v>0</v>
      </c>
      <c r="P240" s="111"/>
      <c r="Q240" s="111"/>
      <c r="R240" s="111"/>
    </row>
    <row r="241" spans="1:18" ht="27">
      <c r="A241" s="110" t="s">
        <v>353</v>
      </c>
      <c r="B241" s="111" t="s">
        <v>297</v>
      </c>
      <c r="C241" s="112" t="s">
        <v>228</v>
      </c>
      <c r="D241" s="113" t="s">
        <v>20</v>
      </c>
      <c r="E241" s="175" t="s">
        <v>15</v>
      </c>
      <c r="F241" s="175" t="s">
        <v>58</v>
      </c>
      <c r="G241" s="176">
        <v>27.29</v>
      </c>
      <c r="H241" s="179">
        <v>10</v>
      </c>
      <c r="I241" s="178">
        <v>4</v>
      </c>
      <c r="J241" s="174">
        <f t="shared" si="145"/>
        <v>1.0915999999999999</v>
      </c>
      <c r="K241" s="118"/>
      <c r="L241" s="111">
        <v>4</v>
      </c>
      <c r="M241" s="117">
        <f t="shared" si="146"/>
        <v>1.0915999999999999</v>
      </c>
      <c r="N241" s="119">
        <f t="shared" si="147"/>
        <v>0</v>
      </c>
      <c r="O241" s="120">
        <f t="shared" si="148"/>
        <v>0</v>
      </c>
      <c r="P241" s="111"/>
      <c r="Q241" s="111"/>
      <c r="R241" s="111"/>
    </row>
    <row r="242" spans="1:18" ht="27">
      <c r="A242" s="110" t="s">
        <v>353</v>
      </c>
      <c r="B242" s="111" t="s">
        <v>297</v>
      </c>
      <c r="C242" s="112" t="s">
        <v>228</v>
      </c>
      <c r="D242" s="113" t="s">
        <v>20</v>
      </c>
      <c r="E242" s="175" t="s">
        <v>15</v>
      </c>
      <c r="F242" s="175" t="s">
        <v>58</v>
      </c>
      <c r="G242" s="176">
        <v>27.29</v>
      </c>
      <c r="H242" s="179">
        <v>7.7</v>
      </c>
      <c r="I242" s="178">
        <v>1</v>
      </c>
      <c r="J242" s="174">
        <f t="shared" si="145"/>
        <v>0.21013300000000001</v>
      </c>
      <c r="K242" s="118"/>
      <c r="L242" s="111">
        <v>1</v>
      </c>
      <c r="M242" s="117">
        <f t="shared" si="146"/>
        <v>0.21013300000000001</v>
      </c>
      <c r="N242" s="119">
        <f t="shared" si="147"/>
        <v>0</v>
      </c>
      <c r="O242" s="120">
        <f t="shared" si="148"/>
        <v>0</v>
      </c>
      <c r="P242" s="45">
        <v>7.3</v>
      </c>
      <c r="Q242" s="45">
        <v>1</v>
      </c>
      <c r="R242" s="45" t="s">
        <v>402</v>
      </c>
    </row>
    <row r="243" spans="1:18" ht="27">
      <c r="A243" s="110" t="s">
        <v>353</v>
      </c>
      <c r="B243" s="111" t="s">
        <v>297</v>
      </c>
      <c r="C243" s="112" t="s">
        <v>228</v>
      </c>
      <c r="D243" s="113" t="s">
        <v>20</v>
      </c>
      <c r="E243" s="175" t="s">
        <v>15</v>
      </c>
      <c r="F243" s="175" t="s">
        <v>58</v>
      </c>
      <c r="G243" s="176">
        <v>27.29</v>
      </c>
      <c r="H243" s="179">
        <v>12.75</v>
      </c>
      <c r="I243" s="178">
        <f>9+9+11+9+9+10+9+9+9+9+9+9+9+9</f>
        <v>129</v>
      </c>
      <c r="J243" s="174">
        <f t="shared" si="145"/>
        <v>44.885227499999999</v>
      </c>
      <c r="K243" s="118"/>
      <c r="L243" s="111">
        <v>129</v>
      </c>
      <c r="M243" s="117">
        <f t="shared" si="146"/>
        <v>44.885227499999999</v>
      </c>
      <c r="N243" s="119">
        <f t="shared" si="147"/>
        <v>0</v>
      </c>
      <c r="O243" s="120">
        <f t="shared" si="148"/>
        <v>0</v>
      </c>
      <c r="P243" s="111"/>
      <c r="Q243" s="111"/>
      <c r="R243" s="111"/>
    </row>
    <row r="244" spans="1:18" ht="27">
      <c r="A244" s="110" t="s">
        <v>353</v>
      </c>
      <c r="B244" s="111" t="s">
        <v>297</v>
      </c>
      <c r="C244" s="112" t="s">
        <v>228</v>
      </c>
      <c r="D244" s="113" t="s">
        <v>20</v>
      </c>
      <c r="E244" s="175" t="s">
        <v>15</v>
      </c>
      <c r="F244" s="175" t="s">
        <v>58</v>
      </c>
      <c r="G244" s="176">
        <v>27.29</v>
      </c>
      <c r="H244" s="179">
        <v>12.15</v>
      </c>
      <c r="I244" s="178">
        <f>9+11+9+9+9+9+9+9</f>
        <v>74</v>
      </c>
      <c r="J244" s="174">
        <f t="shared" si="145"/>
        <v>24.536439000000001</v>
      </c>
      <c r="K244" s="118"/>
      <c r="L244" s="111">
        <v>74</v>
      </c>
      <c r="M244" s="117">
        <f t="shared" si="146"/>
        <v>24.536438999999998</v>
      </c>
      <c r="N244" s="119">
        <f t="shared" si="147"/>
        <v>0</v>
      </c>
      <c r="O244" s="120">
        <f t="shared" si="148"/>
        <v>0</v>
      </c>
      <c r="P244" s="111"/>
      <c r="Q244" s="111"/>
      <c r="R244" s="111"/>
    </row>
    <row r="245" spans="1:18" ht="27">
      <c r="A245" s="110" t="s">
        <v>353</v>
      </c>
      <c r="B245" s="111" t="s">
        <v>297</v>
      </c>
      <c r="C245" s="112" t="s">
        <v>228</v>
      </c>
      <c r="D245" s="113" t="s">
        <v>20</v>
      </c>
      <c r="E245" s="175" t="s">
        <v>15</v>
      </c>
      <c r="F245" s="175" t="s">
        <v>58</v>
      </c>
      <c r="G245" s="176">
        <v>27.29</v>
      </c>
      <c r="H245" s="179">
        <v>10</v>
      </c>
      <c r="I245" s="178">
        <f>11+11+11</f>
        <v>33</v>
      </c>
      <c r="J245" s="174">
        <f t="shared" si="145"/>
        <v>9.0056999999999992</v>
      </c>
      <c r="K245" s="118"/>
      <c r="L245" s="111">
        <v>33</v>
      </c>
      <c r="M245" s="117">
        <f t="shared" si="146"/>
        <v>9.0056999999999992</v>
      </c>
      <c r="N245" s="119">
        <f t="shared" si="147"/>
        <v>0</v>
      </c>
      <c r="O245" s="120">
        <f t="shared" si="148"/>
        <v>0</v>
      </c>
      <c r="P245" s="111"/>
      <c r="Q245" s="111"/>
      <c r="R245" s="111"/>
    </row>
    <row r="246" spans="1:18" ht="27">
      <c r="A246" s="110" t="s">
        <v>353</v>
      </c>
      <c r="B246" s="111" t="s">
        <v>297</v>
      </c>
      <c r="C246" s="112" t="s">
        <v>228</v>
      </c>
      <c r="D246" s="113" t="s">
        <v>20</v>
      </c>
      <c r="E246" s="175" t="s">
        <v>15</v>
      </c>
      <c r="F246" s="175" t="s">
        <v>58</v>
      </c>
      <c r="G246" s="176">
        <v>27.29</v>
      </c>
      <c r="H246" s="179">
        <v>8.1</v>
      </c>
      <c r="I246" s="178">
        <v>7</v>
      </c>
      <c r="J246" s="174">
        <f t="shared" si="145"/>
        <v>1.5473429999999999</v>
      </c>
      <c r="K246" s="118"/>
      <c r="L246" s="111">
        <v>6</v>
      </c>
      <c r="M246" s="117">
        <f t="shared" si="146"/>
        <v>1.3262939999999999</v>
      </c>
      <c r="N246" s="119">
        <f t="shared" si="147"/>
        <v>1</v>
      </c>
      <c r="O246" s="120">
        <f t="shared" si="148"/>
        <v>0.22104899999999997</v>
      </c>
      <c r="P246" s="111"/>
      <c r="Q246" s="111"/>
      <c r="R246" s="111"/>
    </row>
    <row r="247" spans="1:18" ht="27">
      <c r="A247" s="110" t="s">
        <v>353</v>
      </c>
      <c r="B247" s="111" t="s">
        <v>297</v>
      </c>
      <c r="C247" s="112" t="s">
        <v>228</v>
      </c>
      <c r="D247" s="113" t="s">
        <v>20</v>
      </c>
      <c r="E247" s="175" t="s">
        <v>15</v>
      </c>
      <c r="F247" s="175" t="s">
        <v>58</v>
      </c>
      <c r="G247" s="176">
        <v>27.29</v>
      </c>
      <c r="H247" s="179">
        <v>8.9</v>
      </c>
      <c r="I247" s="178">
        <v>2</v>
      </c>
      <c r="J247" s="174">
        <f t="shared" si="145"/>
        <v>0.48576200000000003</v>
      </c>
      <c r="K247" s="118"/>
      <c r="L247" s="111">
        <v>2</v>
      </c>
      <c r="M247" s="117">
        <f t="shared" si="146"/>
        <v>0.48576200000000003</v>
      </c>
      <c r="N247" s="119">
        <f t="shared" si="147"/>
        <v>0</v>
      </c>
      <c r="O247" s="120">
        <f t="shared" si="148"/>
        <v>0</v>
      </c>
      <c r="P247" s="111"/>
      <c r="Q247" s="111"/>
      <c r="R247" s="111"/>
    </row>
    <row r="248" spans="1:18" ht="27">
      <c r="A248" s="110" t="s">
        <v>353</v>
      </c>
      <c r="B248" s="111" t="s">
        <v>297</v>
      </c>
      <c r="C248" s="112" t="s">
        <v>228</v>
      </c>
      <c r="D248" s="113" t="s">
        <v>20</v>
      </c>
      <c r="E248" s="175" t="s">
        <v>15</v>
      </c>
      <c r="F248" s="175" t="s">
        <v>58</v>
      </c>
      <c r="G248" s="176">
        <v>27.29</v>
      </c>
      <c r="H248" s="179">
        <v>11</v>
      </c>
      <c r="I248" s="178">
        <v>4</v>
      </c>
      <c r="J248" s="174">
        <f t="shared" si="145"/>
        <v>1.20076</v>
      </c>
      <c r="K248" s="118"/>
      <c r="L248" s="111">
        <f>1+3</f>
        <v>4</v>
      </c>
      <c r="M248" s="117">
        <f t="shared" si="146"/>
        <v>1.20076</v>
      </c>
      <c r="N248" s="119">
        <f t="shared" si="147"/>
        <v>0</v>
      </c>
      <c r="O248" s="120">
        <f t="shared" si="148"/>
        <v>0</v>
      </c>
      <c r="P248" s="111">
        <v>10</v>
      </c>
      <c r="Q248" s="111">
        <v>3</v>
      </c>
      <c r="R248" s="111"/>
    </row>
    <row r="249" spans="1:18" ht="27">
      <c r="A249" s="110" t="s">
        <v>353</v>
      </c>
      <c r="B249" s="111" t="s">
        <v>297</v>
      </c>
      <c r="C249" s="112" t="s">
        <v>228</v>
      </c>
      <c r="D249" s="113" t="s">
        <v>20</v>
      </c>
      <c r="E249" s="175" t="s">
        <v>15</v>
      </c>
      <c r="F249" s="175" t="s">
        <v>58</v>
      </c>
      <c r="G249" s="176">
        <v>27.29</v>
      </c>
      <c r="H249" s="179">
        <v>10</v>
      </c>
      <c r="I249" s="178">
        <v>4</v>
      </c>
      <c r="J249" s="174">
        <f t="shared" si="145"/>
        <v>1.0915999999999999</v>
      </c>
      <c r="K249" s="118"/>
      <c r="L249" s="111">
        <v>4</v>
      </c>
      <c r="M249" s="117">
        <f t="shared" si="146"/>
        <v>1.0915999999999999</v>
      </c>
      <c r="N249" s="119">
        <f t="shared" si="147"/>
        <v>0</v>
      </c>
      <c r="O249" s="120">
        <f t="shared" si="148"/>
        <v>0</v>
      </c>
      <c r="P249" s="111"/>
      <c r="Q249" s="111"/>
      <c r="R249" s="111"/>
    </row>
    <row r="250" spans="1:18">
      <c r="I250" s="215">
        <f>SUM(I191:I249)</f>
        <v>736</v>
      </c>
      <c r="J250" s="214">
        <f>SUM(J191:J249)</f>
        <v>234.79906650000001</v>
      </c>
      <c r="L250" s="215">
        <f>SUM(L191:L249)</f>
        <v>746</v>
      </c>
      <c r="M250" s="214">
        <f>SUM(M191:M249)</f>
        <v>237.4434675</v>
      </c>
      <c r="N250" s="215">
        <f>SUM(N191:N249)</f>
        <v>-10</v>
      </c>
      <c r="O250" s="214">
        <f>SUM(O191:O249)</f>
        <v>-2.6444009999999998</v>
      </c>
    </row>
    <row r="252" spans="1:18" ht="27">
      <c r="A252" s="110" t="s">
        <v>426</v>
      </c>
      <c r="B252" s="111" t="s">
        <v>297</v>
      </c>
      <c r="C252" s="112" t="s">
        <v>228</v>
      </c>
      <c r="D252" s="113" t="s">
        <v>20</v>
      </c>
      <c r="E252" s="175" t="s">
        <v>15</v>
      </c>
      <c r="F252" s="175" t="s">
        <v>54</v>
      </c>
      <c r="G252" s="176">
        <v>31.6</v>
      </c>
      <c r="H252" s="177">
        <v>10.1</v>
      </c>
      <c r="I252" s="178">
        <v>348</v>
      </c>
      <c r="J252" s="174">
        <f t="shared" ref="J252" si="149">(G252*H252*I252/1000)</f>
        <v>111.06768000000001</v>
      </c>
      <c r="K252" s="118"/>
      <c r="L252" s="178">
        <f>348+24</f>
        <v>372</v>
      </c>
      <c r="M252" s="117">
        <f t="shared" ref="M252" si="150">H252*L252*G252/1000</f>
        <v>118.72752</v>
      </c>
      <c r="N252" s="228">
        <f t="shared" ref="N252" si="151">I252-L252</f>
        <v>-24</v>
      </c>
      <c r="O252" s="229">
        <f t="shared" ref="O252" si="152">H252*N252*G252/1000</f>
        <v>-7.6598399999999991</v>
      </c>
      <c r="P252" s="44" t="s">
        <v>479</v>
      </c>
      <c r="Q252" s="32"/>
      <c r="R252" s="32"/>
    </row>
    <row r="253" spans="1:18" ht="27">
      <c r="A253" s="110" t="s">
        <v>426</v>
      </c>
      <c r="B253" s="111" t="s">
        <v>297</v>
      </c>
      <c r="C253" s="112" t="s">
        <v>228</v>
      </c>
      <c r="D253" s="113" t="s">
        <v>20</v>
      </c>
      <c r="E253" s="175" t="s">
        <v>15</v>
      </c>
      <c r="F253" s="175" t="s">
        <v>54</v>
      </c>
      <c r="G253" s="176">
        <v>31.6</v>
      </c>
      <c r="H253" s="177">
        <v>11.9</v>
      </c>
      <c r="I253" s="178">
        <f>8+8+8+8+5</f>
        <v>37</v>
      </c>
      <c r="J253" s="174">
        <f t="shared" ref="J253:J266" si="153">(G253*H253*I253/1000)</f>
        <v>13.913480000000002</v>
      </c>
      <c r="K253" s="118"/>
      <c r="L253" s="111">
        <v>37</v>
      </c>
      <c r="M253" s="117">
        <f t="shared" ref="M253:M266" si="154">H253*L253*G253/1000</f>
        <v>13.913480000000002</v>
      </c>
      <c r="N253" s="119">
        <f t="shared" ref="N253:N266" si="155">I253-L253</f>
        <v>0</v>
      </c>
      <c r="O253" s="120">
        <f t="shared" ref="O253:O266" si="156">H253*N253*G253/1000</f>
        <v>0</v>
      </c>
      <c r="P253" s="32"/>
      <c r="Q253" s="32"/>
      <c r="R253" s="32"/>
    </row>
    <row r="254" spans="1:18" ht="27">
      <c r="A254" s="110" t="s">
        <v>426</v>
      </c>
      <c r="B254" s="111" t="s">
        <v>297</v>
      </c>
      <c r="C254" s="112" t="s">
        <v>228</v>
      </c>
      <c r="D254" s="113" t="s">
        <v>20</v>
      </c>
      <c r="E254" s="175" t="s">
        <v>15</v>
      </c>
      <c r="F254" s="175" t="s">
        <v>54</v>
      </c>
      <c r="G254" s="176">
        <v>31.6</v>
      </c>
      <c r="H254" s="177">
        <v>9.9</v>
      </c>
      <c r="I254" s="178">
        <v>1</v>
      </c>
      <c r="J254" s="174">
        <f t="shared" si="153"/>
        <v>0.31284000000000001</v>
      </c>
      <c r="K254" s="118"/>
      <c r="L254" s="111">
        <v>1</v>
      </c>
      <c r="M254" s="117">
        <f t="shared" si="154"/>
        <v>0.31284000000000001</v>
      </c>
      <c r="N254" s="145">
        <f t="shared" si="155"/>
        <v>0</v>
      </c>
      <c r="O254" s="120">
        <f t="shared" si="156"/>
        <v>0</v>
      </c>
      <c r="P254" s="55">
        <v>6.1449999999999996</v>
      </c>
      <c r="Q254" s="101">
        <v>1</v>
      </c>
      <c r="R254" s="32" t="s">
        <v>463</v>
      </c>
    </row>
    <row r="255" spans="1:18" ht="27">
      <c r="A255" s="110" t="s">
        <v>426</v>
      </c>
      <c r="B255" s="111" t="s">
        <v>297</v>
      </c>
      <c r="C255" s="112" t="s">
        <v>228</v>
      </c>
      <c r="D255" s="113" t="s">
        <v>20</v>
      </c>
      <c r="E255" s="175" t="s">
        <v>15</v>
      </c>
      <c r="F255" s="175" t="s">
        <v>54</v>
      </c>
      <c r="G255" s="176">
        <v>31.6</v>
      </c>
      <c r="H255" s="177">
        <v>9.8000000000000007</v>
      </c>
      <c r="I255" s="178">
        <v>1</v>
      </c>
      <c r="J255" s="174">
        <f t="shared" si="153"/>
        <v>0.30968000000000007</v>
      </c>
      <c r="K255" s="118"/>
      <c r="L255" s="111">
        <v>1</v>
      </c>
      <c r="M255" s="117">
        <f t="shared" si="154"/>
        <v>0.30968000000000007</v>
      </c>
      <c r="N255" s="145">
        <f t="shared" si="155"/>
        <v>0</v>
      </c>
      <c r="O255" s="120">
        <f t="shared" si="156"/>
        <v>0</v>
      </c>
      <c r="P255" s="55">
        <v>6.1449999999999996</v>
      </c>
      <c r="Q255" s="101">
        <v>1</v>
      </c>
      <c r="R255" s="32" t="s">
        <v>463</v>
      </c>
    </row>
    <row r="256" spans="1:18" ht="27">
      <c r="A256" s="110" t="s">
        <v>426</v>
      </c>
      <c r="B256" s="111" t="s">
        <v>297</v>
      </c>
      <c r="C256" s="112" t="s">
        <v>228</v>
      </c>
      <c r="D256" s="113" t="s">
        <v>20</v>
      </c>
      <c r="E256" s="175" t="s">
        <v>15</v>
      </c>
      <c r="F256" s="175" t="s">
        <v>54</v>
      </c>
      <c r="G256" s="176">
        <v>31.6</v>
      </c>
      <c r="H256" s="177">
        <v>10</v>
      </c>
      <c r="I256" s="178">
        <v>7</v>
      </c>
      <c r="J256" s="174">
        <f t="shared" si="153"/>
        <v>2.2120000000000002</v>
      </c>
      <c r="K256" s="118"/>
      <c r="L256" s="111">
        <v>7</v>
      </c>
      <c r="M256" s="117">
        <f t="shared" si="154"/>
        <v>2.2120000000000002</v>
      </c>
      <c r="N256" s="145">
        <f t="shared" si="155"/>
        <v>0</v>
      </c>
      <c r="O256" s="120">
        <f t="shared" si="156"/>
        <v>0</v>
      </c>
      <c r="P256" s="55">
        <v>6.1449999999999996</v>
      </c>
      <c r="Q256" s="101">
        <v>7</v>
      </c>
      <c r="R256" s="32" t="s">
        <v>463</v>
      </c>
    </row>
    <row r="257" spans="1:20" ht="27">
      <c r="A257" s="110" t="s">
        <v>426</v>
      </c>
      <c r="B257" s="111" t="s">
        <v>297</v>
      </c>
      <c r="C257" s="112" t="s">
        <v>228</v>
      </c>
      <c r="D257" s="113" t="s">
        <v>20</v>
      </c>
      <c r="E257" s="175" t="s">
        <v>15</v>
      </c>
      <c r="F257" s="175" t="s">
        <v>54</v>
      </c>
      <c r="G257" s="176">
        <v>31.6</v>
      </c>
      <c r="H257" s="177">
        <v>11.7</v>
      </c>
      <c r="I257" s="178">
        <v>1</v>
      </c>
      <c r="J257" s="174">
        <f t="shared" si="153"/>
        <v>0.36971999999999999</v>
      </c>
      <c r="K257" s="118"/>
      <c r="L257" s="111">
        <v>1</v>
      </c>
      <c r="M257" s="117">
        <f t="shared" si="154"/>
        <v>0.36971999999999999</v>
      </c>
      <c r="N257" s="119">
        <f t="shared" si="155"/>
        <v>0</v>
      </c>
      <c r="O257" s="120">
        <f t="shared" si="156"/>
        <v>0</v>
      </c>
      <c r="P257" s="32">
        <v>11.9</v>
      </c>
      <c r="Q257" s="32">
        <v>1</v>
      </c>
      <c r="R257" s="32"/>
    </row>
    <row r="258" spans="1:20" ht="27">
      <c r="A258" s="110" t="s">
        <v>426</v>
      </c>
      <c r="B258" s="111" t="s">
        <v>297</v>
      </c>
      <c r="C258" s="112" t="s">
        <v>228</v>
      </c>
      <c r="D258" s="113" t="s">
        <v>20</v>
      </c>
      <c r="E258" s="175" t="s">
        <v>15</v>
      </c>
      <c r="F258" s="175" t="s">
        <v>54</v>
      </c>
      <c r="G258" s="176">
        <v>31.6</v>
      </c>
      <c r="H258" s="177">
        <v>10</v>
      </c>
      <c r="I258" s="178">
        <v>1</v>
      </c>
      <c r="J258" s="174">
        <f t="shared" si="153"/>
        <v>0.316</v>
      </c>
      <c r="K258" s="118"/>
      <c r="L258" s="111">
        <v>1</v>
      </c>
      <c r="M258" s="117">
        <f t="shared" si="154"/>
        <v>0.316</v>
      </c>
      <c r="N258" s="145">
        <f t="shared" si="155"/>
        <v>0</v>
      </c>
      <c r="O258" s="120">
        <f t="shared" si="156"/>
        <v>0</v>
      </c>
      <c r="P258" s="55">
        <v>6.1449999999999996</v>
      </c>
      <c r="Q258" s="101">
        <v>1</v>
      </c>
      <c r="R258" s="32" t="s">
        <v>463</v>
      </c>
    </row>
    <row r="259" spans="1:20" ht="27">
      <c r="A259" s="110" t="s">
        <v>426</v>
      </c>
      <c r="B259" s="111" t="s">
        <v>297</v>
      </c>
      <c r="C259" s="112" t="s">
        <v>228</v>
      </c>
      <c r="D259" s="113" t="s">
        <v>20</v>
      </c>
      <c r="E259" s="175" t="s">
        <v>15</v>
      </c>
      <c r="F259" s="175" t="s">
        <v>54</v>
      </c>
      <c r="G259" s="176">
        <v>31.6</v>
      </c>
      <c r="H259" s="177">
        <v>9.6999999999999993</v>
      </c>
      <c r="I259" s="178">
        <v>3</v>
      </c>
      <c r="J259" s="174">
        <f t="shared" si="153"/>
        <v>0.91955999999999993</v>
      </c>
      <c r="K259" s="118"/>
      <c r="L259" s="111">
        <v>3</v>
      </c>
      <c r="M259" s="117">
        <f t="shared" si="154"/>
        <v>0.91955999999999993</v>
      </c>
      <c r="N259" s="119">
        <f t="shared" si="155"/>
        <v>0</v>
      </c>
      <c r="O259" s="120">
        <f t="shared" si="156"/>
        <v>0</v>
      </c>
      <c r="P259" s="32"/>
      <c r="Q259" s="45">
        <v>3</v>
      </c>
      <c r="R259" s="45" t="s">
        <v>540</v>
      </c>
    </row>
    <row r="260" spans="1:20" ht="27">
      <c r="A260" s="110" t="s">
        <v>426</v>
      </c>
      <c r="B260" s="111" t="s">
        <v>297</v>
      </c>
      <c r="C260" s="112" t="s">
        <v>228</v>
      </c>
      <c r="D260" s="113" t="s">
        <v>20</v>
      </c>
      <c r="E260" s="175" t="s">
        <v>15</v>
      </c>
      <c r="F260" s="175" t="s">
        <v>54</v>
      </c>
      <c r="G260" s="176">
        <v>31.6</v>
      </c>
      <c r="H260" s="177">
        <v>9.5</v>
      </c>
      <c r="I260" s="178">
        <v>3</v>
      </c>
      <c r="J260" s="174">
        <f t="shared" si="153"/>
        <v>0.90059999999999996</v>
      </c>
      <c r="K260" s="118"/>
      <c r="L260" s="111">
        <v>3</v>
      </c>
      <c r="M260" s="117">
        <f t="shared" si="154"/>
        <v>0.90060000000000007</v>
      </c>
      <c r="N260" s="119">
        <f t="shared" si="155"/>
        <v>0</v>
      </c>
      <c r="O260" s="120">
        <f t="shared" si="156"/>
        <v>0</v>
      </c>
      <c r="P260" s="32"/>
      <c r="Q260" s="45">
        <v>3</v>
      </c>
      <c r="R260" s="45" t="s">
        <v>540</v>
      </c>
    </row>
    <row r="261" spans="1:20" ht="27">
      <c r="A261" s="110" t="s">
        <v>426</v>
      </c>
      <c r="B261" s="111" t="s">
        <v>297</v>
      </c>
      <c r="C261" s="112" t="s">
        <v>228</v>
      </c>
      <c r="D261" s="113" t="s">
        <v>20</v>
      </c>
      <c r="E261" s="175" t="s">
        <v>15</v>
      </c>
      <c r="F261" s="175" t="s">
        <v>54</v>
      </c>
      <c r="G261" s="176">
        <v>31.6</v>
      </c>
      <c r="H261" s="177">
        <v>9.6999999999999993</v>
      </c>
      <c r="I261" s="178">
        <v>8</v>
      </c>
      <c r="J261" s="174">
        <f t="shared" si="153"/>
        <v>2.4521599999999997</v>
      </c>
      <c r="K261" s="118"/>
      <c r="L261" s="111">
        <v>8</v>
      </c>
      <c r="M261" s="117">
        <f t="shared" si="154"/>
        <v>2.4521599999999997</v>
      </c>
      <c r="N261" s="145">
        <f t="shared" si="155"/>
        <v>0</v>
      </c>
      <c r="O261" s="120">
        <f t="shared" si="156"/>
        <v>0</v>
      </c>
      <c r="P261" s="55">
        <v>6.1449999999999996</v>
      </c>
      <c r="Q261" s="101">
        <v>7</v>
      </c>
      <c r="R261" s="32" t="s">
        <v>463</v>
      </c>
    </row>
    <row r="262" spans="1:20" ht="27">
      <c r="A262" s="110" t="s">
        <v>426</v>
      </c>
      <c r="B262" s="111" t="s">
        <v>297</v>
      </c>
      <c r="C262" s="112" t="s">
        <v>228</v>
      </c>
      <c r="D262" s="113" t="s">
        <v>20</v>
      </c>
      <c r="E262" s="175" t="s">
        <v>15</v>
      </c>
      <c r="F262" s="175" t="s">
        <v>54</v>
      </c>
      <c r="G262" s="176">
        <v>31.6</v>
      </c>
      <c r="H262" s="177">
        <v>8.9</v>
      </c>
      <c r="I262" s="178">
        <v>1</v>
      </c>
      <c r="J262" s="174">
        <f t="shared" si="153"/>
        <v>0.28123999999999999</v>
      </c>
      <c r="K262" s="118"/>
      <c r="L262" s="111">
        <v>1</v>
      </c>
      <c r="M262" s="117">
        <f t="shared" si="154"/>
        <v>0.28123999999999999</v>
      </c>
      <c r="N262" s="145">
        <f t="shared" si="155"/>
        <v>0</v>
      </c>
      <c r="O262" s="120">
        <f t="shared" si="156"/>
        <v>0</v>
      </c>
      <c r="P262" s="55">
        <v>8.14</v>
      </c>
      <c r="Q262" s="101">
        <v>1</v>
      </c>
      <c r="R262" s="32" t="s">
        <v>463</v>
      </c>
    </row>
    <row r="263" spans="1:20" ht="27">
      <c r="A263" s="110" t="s">
        <v>426</v>
      </c>
      <c r="B263" s="111" t="s">
        <v>297</v>
      </c>
      <c r="C263" s="112" t="s">
        <v>228</v>
      </c>
      <c r="D263" s="113" t="s">
        <v>20</v>
      </c>
      <c r="E263" s="175" t="s">
        <v>15</v>
      </c>
      <c r="F263" s="175" t="s">
        <v>54</v>
      </c>
      <c r="G263" s="176">
        <v>31.6</v>
      </c>
      <c r="H263" s="177">
        <v>9.3000000000000007</v>
      </c>
      <c r="I263" s="178">
        <v>1</v>
      </c>
      <c r="J263" s="174">
        <f t="shared" si="153"/>
        <v>0.29388000000000003</v>
      </c>
      <c r="K263" s="118"/>
      <c r="L263" s="111">
        <v>1</v>
      </c>
      <c r="M263" s="117">
        <f t="shared" si="154"/>
        <v>0.29388000000000003</v>
      </c>
      <c r="N263" s="145">
        <f t="shared" si="155"/>
        <v>0</v>
      </c>
      <c r="O263" s="120">
        <f t="shared" si="156"/>
        <v>0</v>
      </c>
      <c r="P263" s="55">
        <v>8.14</v>
      </c>
      <c r="Q263" s="101">
        <v>1</v>
      </c>
      <c r="R263" s="32" t="s">
        <v>463</v>
      </c>
    </row>
    <row r="264" spans="1:20" ht="27">
      <c r="A264" s="110" t="s">
        <v>426</v>
      </c>
      <c r="B264" s="111" t="s">
        <v>297</v>
      </c>
      <c r="C264" s="112" t="s">
        <v>228</v>
      </c>
      <c r="D264" s="113" t="s">
        <v>20</v>
      </c>
      <c r="E264" s="175" t="s">
        <v>15</v>
      </c>
      <c r="F264" s="175" t="s">
        <v>54</v>
      </c>
      <c r="G264" s="176">
        <v>31.6</v>
      </c>
      <c r="H264" s="177">
        <v>9.8000000000000007</v>
      </c>
      <c r="I264" s="178">
        <v>1</v>
      </c>
      <c r="J264" s="174">
        <f t="shared" si="153"/>
        <v>0.30968000000000007</v>
      </c>
      <c r="K264" s="118"/>
      <c r="L264" s="111">
        <v>1</v>
      </c>
      <c r="M264" s="117">
        <f t="shared" si="154"/>
        <v>0.30968000000000007</v>
      </c>
      <c r="N264" s="145">
        <f t="shared" si="155"/>
        <v>0</v>
      </c>
      <c r="O264" s="120">
        <f t="shared" si="156"/>
        <v>0</v>
      </c>
      <c r="P264" s="55">
        <v>8.14</v>
      </c>
      <c r="Q264" s="101">
        <v>1</v>
      </c>
      <c r="R264" s="32" t="s">
        <v>463</v>
      </c>
    </row>
    <row r="265" spans="1:20" ht="27">
      <c r="A265" s="110" t="s">
        <v>426</v>
      </c>
      <c r="B265" s="111" t="s">
        <v>297</v>
      </c>
      <c r="C265" s="112" t="s">
        <v>228</v>
      </c>
      <c r="D265" s="113" t="s">
        <v>20</v>
      </c>
      <c r="E265" s="175" t="s">
        <v>15</v>
      </c>
      <c r="F265" s="175" t="s">
        <v>54</v>
      </c>
      <c r="G265" s="176">
        <v>31.6</v>
      </c>
      <c r="H265" s="177">
        <v>9.9</v>
      </c>
      <c r="I265" s="178">
        <v>1</v>
      </c>
      <c r="J265" s="174">
        <f t="shared" si="153"/>
        <v>0.31284000000000001</v>
      </c>
      <c r="K265" s="118"/>
      <c r="L265" s="111">
        <v>1</v>
      </c>
      <c r="M265" s="117">
        <f t="shared" si="154"/>
        <v>0.31284000000000001</v>
      </c>
      <c r="N265" s="145">
        <f t="shared" si="155"/>
        <v>0</v>
      </c>
      <c r="O265" s="120">
        <f t="shared" si="156"/>
        <v>0</v>
      </c>
      <c r="P265" s="55">
        <v>6.1449999999999996</v>
      </c>
      <c r="Q265" s="101">
        <v>1</v>
      </c>
      <c r="R265" s="32" t="s">
        <v>463</v>
      </c>
    </row>
    <row r="266" spans="1:20" ht="27">
      <c r="A266" s="110" t="s">
        <v>426</v>
      </c>
      <c r="B266" s="111" t="s">
        <v>297</v>
      </c>
      <c r="C266" s="112" t="s">
        <v>228</v>
      </c>
      <c r="D266" s="113" t="s">
        <v>20</v>
      </c>
      <c r="E266" s="175" t="s">
        <v>15</v>
      </c>
      <c r="F266" s="175" t="s">
        <v>54</v>
      </c>
      <c r="G266" s="176">
        <v>31.6</v>
      </c>
      <c r="H266" s="177">
        <v>10</v>
      </c>
      <c r="I266" s="178">
        <v>1</v>
      </c>
      <c r="J266" s="174">
        <f t="shared" si="153"/>
        <v>0.316</v>
      </c>
      <c r="K266" s="118"/>
      <c r="L266" s="111">
        <v>1</v>
      </c>
      <c r="M266" s="117">
        <f t="shared" si="154"/>
        <v>0.316</v>
      </c>
      <c r="N266" s="145">
        <f t="shared" si="155"/>
        <v>0</v>
      </c>
      <c r="O266" s="120">
        <f t="shared" si="156"/>
        <v>0</v>
      </c>
      <c r="P266" s="55">
        <v>6.1449999999999996</v>
      </c>
      <c r="Q266" s="101">
        <v>1</v>
      </c>
      <c r="R266" s="32" t="s">
        <v>463</v>
      </c>
      <c r="T266" s="182"/>
    </row>
    <row r="267" spans="1:20" ht="27">
      <c r="A267" s="110" t="s">
        <v>426</v>
      </c>
      <c r="B267" s="111" t="s">
        <v>297</v>
      </c>
      <c r="C267" s="112" t="s">
        <v>228</v>
      </c>
      <c r="D267" s="113" t="s">
        <v>20</v>
      </c>
      <c r="E267" s="175" t="s">
        <v>15</v>
      </c>
      <c r="F267" s="175" t="s">
        <v>54</v>
      </c>
      <c r="G267" s="176">
        <v>31.6</v>
      </c>
      <c r="H267" s="177">
        <v>10</v>
      </c>
      <c r="I267" s="178">
        <v>1</v>
      </c>
      <c r="J267" s="174">
        <f t="shared" ref="J267:J270" si="157">(G267*H267*I267/1000)</f>
        <v>0.316</v>
      </c>
      <c r="K267" s="118"/>
      <c r="L267" s="111">
        <v>1</v>
      </c>
      <c r="M267" s="117">
        <f t="shared" ref="M267:M270" si="158">H267*L267*G267/1000</f>
        <v>0.316</v>
      </c>
      <c r="N267" s="145">
        <f t="shared" ref="N267:N270" si="159">I267-L267</f>
        <v>0</v>
      </c>
      <c r="O267" s="120">
        <f t="shared" ref="O267:O269" si="160">H267*N267*G267/1000</f>
        <v>0</v>
      </c>
      <c r="P267" s="55">
        <v>6.1449999999999996</v>
      </c>
      <c r="Q267" s="101">
        <v>1</v>
      </c>
      <c r="R267" s="32" t="s">
        <v>463</v>
      </c>
    </row>
    <row r="268" spans="1:20" ht="27">
      <c r="A268" s="110" t="s">
        <v>426</v>
      </c>
      <c r="B268" s="111" t="s">
        <v>297</v>
      </c>
      <c r="C268" s="112" t="s">
        <v>228</v>
      </c>
      <c r="D268" s="113" t="s">
        <v>20</v>
      </c>
      <c r="E268" s="175" t="s">
        <v>15</v>
      </c>
      <c r="F268" s="175" t="s">
        <v>54</v>
      </c>
      <c r="G268" s="176">
        <v>31.6</v>
      </c>
      <c r="H268" s="177">
        <v>9.6999999999999993</v>
      </c>
      <c r="I268" s="178">
        <v>1</v>
      </c>
      <c r="J268" s="174">
        <f t="shared" si="157"/>
        <v>0.30651999999999996</v>
      </c>
      <c r="K268" s="118"/>
      <c r="L268" s="111">
        <v>1</v>
      </c>
      <c r="M268" s="117">
        <f t="shared" si="158"/>
        <v>0.30651999999999996</v>
      </c>
      <c r="N268" s="119">
        <f t="shared" si="159"/>
        <v>0</v>
      </c>
      <c r="O268" s="120">
        <f t="shared" si="160"/>
        <v>0</v>
      </c>
      <c r="P268" s="32"/>
      <c r="Q268" s="32">
        <v>1</v>
      </c>
      <c r="R268" s="45" t="s">
        <v>540</v>
      </c>
    </row>
    <row r="269" spans="1:20" ht="27">
      <c r="A269" s="110" t="s">
        <v>426</v>
      </c>
      <c r="B269" s="111" t="s">
        <v>297</v>
      </c>
      <c r="C269" s="112" t="s">
        <v>228</v>
      </c>
      <c r="D269" s="113" t="s">
        <v>20</v>
      </c>
      <c r="E269" s="175" t="s">
        <v>15</v>
      </c>
      <c r="F269" s="175" t="s">
        <v>54</v>
      </c>
      <c r="G269" s="176">
        <v>31.6</v>
      </c>
      <c r="H269" s="177">
        <v>8.5</v>
      </c>
      <c r="I269" s="178">
        <v>1</v>
      </c>
      <c r="J269" s="174">
        <f t="shared" si="157"/>
        <v>0.26860000000000001</v>
      </c>
      <c r="K269" s="118"/>
      <c r="L269" s="111">
        <v>1</v>
      </c>
      <c r="M269" s="117">
        <f t="shared" si="158"/>
        <v>0.26860000000000001</v>
      </c>
      <c r="N269" s="145">
        <f t="shared" si="159"/>
        <v>0</v>
      </c>
      <c r="O269" s="120">
        <f t="shared" si="160"/>
        <v>0</v>
      </c>
      <c r="P269" s="55">
        <v>8.14</v>
      </c>
      <c r="Q269" s="101">
        <v>1</v>
      </c>
      <c r="R269" s="32" t="s">
        <v>463</v>
      </c>
    </row>
    <row r="270" spans="1:20" ht="27">
      <c r="A270" s="110" t="s">
        <v>426</v>
      </c>
      <c r="B270" s="111" t="s">
        <v>297</v>
      </c>
      <c r="C270" s="112" t="s">
        <v>228</v>
      </c>
      <c r="D270" s="113" t="s">
        <v>20</v>
      </c>
      <c r="E270" s="175" t="s">
        <v>15</v>
      </c>
      <c r="F270" s="175" t="s">
        <v>54</v>
      </c>
      <c r="G270" s="176">
        <v>31.6</v>
      </c>
      <c r="H270" s="177">
        <v>11.6</v>
      </c>
      <c r="I270" s="178">
        <v>4</v>
      </c>
      <c r="J270" s="174">
        <f t="shared" si="157"/>
        <v>1.46624</v>
      </c>
      <c r="K270" s="118"/>
      <c r="L270" s="111">
        <v>4</v>
      </c>
      <c r="M270" s="117">
        <f t="shared" si="158"/>
        <v>1.46624</v>
      </c>
      <c r="N270" s="119">
        <f t="shared" si="159"/>
        <v>0</v>
      </c>
      <c r="O270" s="120">
        <f>H270*N270*G270/1000</f>
        <v>0</v>
      </c>
      <c r="P270" s="32">
        <v>10.1</v>
      </c>
      <c r="Q270" s="32">
        <v>4</v>
      </c>
      <c r="R270" s="32"/>
    </row>
    <row r="271" spans="1:20">
      <c r="A271" s="32"/>
      <c r="B271" s="32"/>
      <c r="C271" s="32"/>
      <c r="D271" s="32"/>
      <c r="E271" s="32"/>
      <c r="F271" s="32"/>
      <c r="G271" s="32"/>
      <c r="H271" s="32"/>
      <c r="I271" s="131">
        <f>SUM(I252:I270)</f>
        <v>422</v>
      </c>
      <c r="J271" s="124">
        <f>SUM(J252:J270)</f>
        <v>136.64471999999998</v>
      </c>
      <c r="K271" s="32"/>
      <c r="L271" s="131">
        <f>SUM(L252:L270)</f>
        <v>446</v>
      </c>
      <c r="M271" s="124">
        <f>SUM(M252:M270)</f>
        <v>144.30455999999992</v>
      </c>
      <c r="N271" s="131">
        <f>SUM(N252:N270)</f>
        <v>-24</v>
      </c>
      <c r="O271" s="124">
        <f>SUM(O252:O270)</f>
        <v>-7.6598399999999991</v>
      </c>
      <c r="P271" s="32"/>
      <c r="Q271" s="171">
        <f>SUM(Q252:Q270)</f>
        <v>36</v>
      </c>
      <c r="R271" s="32"/>
    </row>
    <row r="273" spans="1:22" ht="27">
      <c r="A273" s="110" t="s">
        <v>426</v>
      </c>
      <c r="B273" s="111" t="s">
        <v>428</v>
      </c>
      <c r="C273" s="112" t="s">
        <v>228</v>
      </c>
      <c r="D273" s="113" t="s">
        <v>20</v>
      </c>
      <c r="E273" s="175" t="s">
        <v>15</v>
      </c>
      <c r="F273" s="175" t="s">
        <v>53</v>
      </c>
      <c r="G273" s="176">
        <v>35.9</v>
      </c>
      <c r="H273" s="177">
        <v>11.3</v>
      </c>
      <c r="I273" s="178">
        <v>7</v>
      </c>
      <c r="J273" s="174">
        <f t="shared" ref="J273" si="161">(G273*H273*I273/1000)</f>
        <v>2.83969</v>
      </c>
      <c r="K273" s="118"/>
      <c r="L273" s="111">
        <v>7</v>
      </c>
      <c r="M273" s="117">
        <f t="shared" ref="M273" si="162">H273*L273*G273/1000</f>
        <v>2.83969</v>
      </c>
      <c r="N273" s="119">
        <f t="shared" ref="N273" si="163">I273-L273</f>
        <v>0</v>
      </c>
      <c r="O273" s="120">
        <f t="shared" ref="O273" si="164">H273*N273*G273/1000</f>
        <v>0</v>
      </c>
      <c r="P273" s="32"/>
      <c r="Q273" s="32"/>
      <c r="R273" s="32"/>
    </row>
    <row r="274" spans="1:22" ht="27">
      <c r="A274" s="110" t="s">
        <v>426</v>
      </c>
      <c r="B274" s="111" t="s">
        <v>428</v>
      </c>
      <c r="C274" s="112" t="s">
        <v>228</v>
      </c>
      <c r="D274" s="113" t="s">
        <v>20</v>
      </c>
      <c r="E274" s="175" t="s">
        <v>15</v>
      </c>
      <c r="F274" s="175" t="s">
        <v>53</v>
      </c>
      <c r="G274" s="176">
        <v>35.9</v>
      </c>
      <c r="H274" s="177">
        <v>11.7</v>
      </c>
      <c r="I274" s="178">
        <f>7+7+7+105</f>
        <v>126</v>
      </c>
      <c r="J274" s="174">
        <f t="shared" ref="J274:J279" si="165">(G274*H274*I274/1000)</f>
        <v>52.923780000000001</v>
      </c>
      <c r="K274" s="118"/>
      <c r="L274" s="111">
        <f>119+7</f>
        <v>126</v>
      </c>
      <c r="M274" s="117">
        <f t="shared" ref="M274:M279" si="166">H274*L274*G274/1000</f>
        <v>52.923779999999994</v>
      </c>
      <c r="N274" s="119">
        <f t="shared" ref="N274:N279" si="167">I274-L274</f>
        <v>0</v>
      </c>
      <c r="O274" s="120">
        <f t="shared" ref="O274:O279" si="168">H274*N274*G274/1000</f>
        <v>0</v>
      </c>
      <c r="P274" s="32">
        <v>11.3</v>
      </c>
      <c r="Q274" s="32">
        <v>7</v>
      </c>
      <c r="R274" s="32"/>
    </row>
    <row r="275" spans="1:22" ht="27">
      <c r="A275" s="110" t="s">
        <v>426</v>
      </c>
      <c r="B275" s="111" t="s">
        <v>428</v>
      </c>
      <c r="C275" s="112" t="s">
        <v>228</v>
      </c>
      <c r="D275" s="113" t="s">
        <v>20</v>
      </c>
      <c r="E275" s="175" t="s">
        <v>15</v>
      </c>
      <c r="F275" s="175" t="s">
        <v>53</v>
      </c>
      <c r="G275" s="176">
        <v>35.9</v>
      </c>
      <c r="H275" s="177">
        <v>12</v>
      </c>
      <c r="I275" s="178">
        <f>7+7+7+8+63</f>
        <v>92</v>
      </c>
      <c r="J275" s="174">
        <f t="shared" si="165"/>
        <v>39.633600000000001</v>
      </c>
      <c r="K275" s="118"/>
      <c r="L275" s="111">
        <f>82+2+8</f>
        <v>92</v>
      </c>
      <c r="M275" s="117">
        <f t="shared" si="166"/>
        <v>39.633600000000001</v>
      </c>
      <c r="N275" s="119">
        <f t="shared" si="167"/>
        <v>0</v>
      </c>
      <c r="O275" s="120">
        <f t="shared" si="168"/>
        <v>0</v>
      </c>
      <c r="P275" s="32">
        <v>12</v>
      </c>
      <c r="Q275" s="45">
        <v>2</v>
      </c>
      <c r="R275" s="45" t="s">
        <v>543</v>
      </c>
      <c r="T275">
        <v>7.85</v>
      </c>
      <c r="U275">
        <v>8</v>
      </c>
      <c r="V275" s="74" t="s">
        <v>764</v>
      </c>
    </row>
    <row r="276" spans="1:22" ht="27">
      <c r="A276" s="110" t="s">
        <v>426</v>
      </c>
      <c r="B276" s="111" t="s">
        <v>428</v>
      </c>
      <c r="C276" s="112" t="s">
        <v>228</v>
      </c>
      <c r="D276" s="113" t="s">
        <v>20</v>
      </c>
      <c r="E276" s="175" t="s">
        <v>15</v>
      </c>
      <c r="F276" s="175" t="s">
        <v>53</v>
      </c>
      <c r="G276" s="176">
        <v>35.9</v>
      </c>
      <c r="H276" s="177">
        <v>12</v>
      </c>
      <c r="I276" s="178">
        <v>1</v>
      </c>
      <c r="J276" s="174">
        <f t="shared" si="165"/>
        <v>0.43079999999999996</v>
      </c>
      <c r="K276" s="118" t="s">
        <v>429</v>
      </c>
      <c r="L276" s="111">
        <v>1</v>
      </c>
      <c r="M276" s="117">
        <f t="shared" si="166"/>
        <v>0.43079999999999996</v>
      </c>
      <c r="N276" s="119">
        <f t="shared" si="167"/>
        <v>0</v>
      </c>
      <c r="O276" s="120">
        <f t="shared" si="168"/>
        <v>0</v>
      </c>
      <c r="P276" s="32"/>
      <c r="Q276" s="32"/>
      <c r="R276" s="32"/>
      <c r="T276" s="213">
        <v>7.85</v>
      </c>
      <c r="U276">
        <v>1</v>
      </c>
      <c r="V276" s="74" t="s">
        <v>764</v>
      </c>
    </row>
    <row r="277" spans="1:22" ht="27">
      <c r="A277" s="110" t="s">
        <v>426</v>
      </c>
      <c r="B277" s="111" t="s">
        <v>428</v>
      </c>
      <c r="C277" s="112" t="s">
        <v>228</v>
      </c>
      <c r="D277" s="113" t="s">
        <v>20</v>
      </c>
      <c r="E277" s="175" t="s">
        <v>15</v>
      </c>
      <c r="F277" s="175" t="s">
        <v>53</v>
      </c>
      <c r="G277" s="176">
        <v>35.9</v>
      </c>
      <c r="H277" s="177">
        <v>10.8</v>
      </c>
      <c r="I277" s="178">
        <v>1</v>
      </c>
      <c r="J277" s="174">
        <f t="shared" si="165"/>
        <v>0.38772000000000001</v>
      </c>
      <c r="K277" s="118" t="s">
        <v>252</v>
      </c>
      <c r="L277" s="111">
        <v>1</v>
      </c>
      <c r="M277" s="117">
        <f t="shared" si="166"/>
        <v>0.38772000000000001</v>
      </c>
      <c r="N277" s="119">
        <f t="shared" si="167"/>
        <v>0</v>
      </c>
      <c r="O277" s="120">
        <f t="shared" si="168"/>
        <v>0</v>
      </c>
      <c r="P277" s="32"/>
      <c r="Q277" s="32"/>
      <c r="R277" s="32"/>
      <c r="T277" s="213">
        <v>7.85</v>
      </c>
      <c r="U277">
        <v>1</v>
      </c>
      <c r="V277" s="74" t="s">
        <v>764</v>
      </c>
    </row>
    <row r="278" spans="1:22" ht="27">
      <c r="A278" s="110" t="s">
        <v>426</v>
      </c>
      <c r="B278" s="111" t="s">
        <v>428</v>
      </c>
      <c r="C278" s="112" t="s">
        <v>228</v>
      </c>
      <c r="D278" s="113" t="s">
        <v>20</v>
      </c>
      <c r="E278" s="175" t="s">
        <v>15</v>
      </c>
      <c r="F278" s="175" t="s">
        <v>53</v>
      </c>
      <c r="G278" s="176">
        <v>35.9</v>
      </c>
      <c r="H278" s="177">
        <v>11.7</v>
      </c>
      <c r="I278" s="178">
        <v>2</v>
      </c>
      <c r="J278" s="174">
        <f t="shared" si="165"/>
        <v>0.84005999999999992</v>
      </c>
      <c r="K278" s="118" t="s">
        <v>252</v>
      </c>
      <c r="L278" s="111">
        <v>2</v>
      </c>
      <c r="M278" s="117">
        <f t="shared" si="166"/>
        <v>0.84005999999999992</v>
      </c>
      <c r="N278" s="119">
        <f t="shared" si="167"/>
        <v>0</v>
      </c>
      <c r="O278" s="120">
        <f t="shared" si="168"/>
        <v>0</v>
      </c>
      <c r="P278" s="32">
        <v>11.3</v>
      </c>
      <c r="Q278" s="32">
        <v>2</v>
      </c>
      <c r="R278" s="32"/>
    </row>
    <row r="279" spans="1:22" ht="27">
      <c r="A279" s="110" t="s">
        <v>426</v>
      </c>
      <c r="B279" s="111" t="s">
        <v>428</v>
      </c>
      <c r="C279" s="112" t="s">
        <v>228</v>
      </c>
      <c r="D279" s="113" t="s">
        <v>20</v>
      </c>
      <c r="E279" s="175" t="s">
        <v>15</v>
      </c>
      <c r="F279" s="175" t="s">
        <v>53</v>
      </c>
      <c r="G279" s="176">
        <v>35.9</v>
      </c>
      <c r="H279" s="177">
        <v>12</v>
      </c>
      <c r="I279" s="178">
        <v>3</v>
      </c>
      <c r="J279" s="174">
        <f t="shared" si="165"/>
        <v>1.2923999999999998</v>
      </c>
      <c r="K279" s="118" t="s">
        <v>252</v>
      </c>
      <c r="L279" s="111">
        <f>2+1</f>
        <v>3</v>
      </c>
      <c r="M279" s="117">
        <f t="shared" si="166"/>
        <v>1.2923999999999998</v>
      </c>
      <c r="N279" s="119">
        <f t="shared" si="167"/>
        <v>0</v>
      </c>
      <c r="O279" s="120">
        <f t="shared" si="168"/>
        <v>0</v>
      </c>
      <c r="P279" s="32">
        <v>11.3</v>
      </c>
      <c r="Q279" s="32">
        <v>2</v>
      </c>
      <c r="R279" s="32"/>
      <c r="T279" s="213">
        <v>7.85</v>
      </c>
      <c r="U279" s="556">
        <v>1</v>
      </c>
      <c r="V279" s="74" t="s">
        <v>764</v>
      </c>
    </row>
    <row r="280" spans="1:22">
      <c r="I280" s="78">
        <f>SUM(I273:I279)</f>
        <v>232</v>
      </c>
      <c r="J280" s="214">
        <f>SUM(J273:J279)</f>
        <v>98.348050000000001</v>
      </c>
      <c r="L280" s="78">
        <f>SUM(L273:L279)</f>
        <v>232</v>
      </c>
      <c r="M280" s="214">
        <f>SUM(M273:M279)</f>
        <v>98.348049999999986</v>
      </c>
      <c r="N280" s="78">
        <f>SUM(N273:N279)</f>
        <v>0</v>
      </c>
      <c r="O280" s="214">
        <f>SUM(O273:O279)</f>
        <v>0</v>
      </c>
      <c r="Q280" s="78">
        <f>SUM(Q273:Q279)</f>
        <v>13</v>
      </c>
      <c r="U280" s="80">
        <f>SUM(U273:U279)</f>
        <v>11</v>
      </c>
    </row>
    <row r="282" spans="1:22" ht="27">
      <c r="A282" s="110" t="s">
        <v>426</v>
      </c>
      <c r="B282" s="111" t="s">
        <v>428</v>
      </c>
      <c r="C282" s="112" t="s">
        <v>228</v>
      </c>
      <c r="D282" s="113" t="s">
        <v>20</v>
      </c>
      <c r="E282" s="175" t="s">
        <v>15</v>
      </c>
      <c r="F282" s="175" t="s">
        <v>64</v>
      </c>
      <c r="G282" s="176">
        <v>40.1</v>
      </c>
      <c r="H282" s="177">
        <v>9.6999999999999993</v>
      </c>
      <c r="I282" s="178">
        <f>348+90+5</f>
        <v>443</v>
      </c>
      <c r="J282" s="174">
        <f t="shared" ref="J282:J284" si="169">(G282*H282*I282/1000)</f>
        <v>172.31370999999999</v>
      </c>
      <c r="K282" s="118"/>
      <c r="L282" s="111">
        <f>443-5</f>
        <v>438</v>
      </c>
      <c r="M282" s="117">
        <f t="shared" ref="M282:M284" si="170">H282*L282*G282/1000</f>
        <v>170.36885999999998</v>
      </c>
      <c r="N282" s="119">
        <f t="shared" ref="N282:N284" si="171">I282-L282</f>
        <v>5</v>
      </c>
      <c r="O282" s="120">
        <f t="shared" ref="O282:O284" si="172">H282*N282*G282/1000</f>
        <v>1.9448500000000002</v>
      </c>
      <c r="P282" s="67" t="s">
        <v>104</v>
      </c>
      <c r="Q282" s="32"/>
      <c r="R282" s="32"/>
    </row>
    <row r="283" spans="1:22" ht="27">
      <c r="A283" s="110" t="s">
        <v>426</v>
      </c>
      <c r="B283" s="111" t="s">
        <v>428</v>
      </c>
      <c r="C283" s="112" t="s">
        <v>228</v>
      </c>
      <c r="D283" s="113" t="s">
        <v>20</v>
      </c>
      <c r="E283" s="175" t="s">
        <v>15</v>
      </c>
      <c r="F283" s="175" t="s">
        <v>64</v>
      </c>
      <c r="G283" s="176">
        <v>40.1</v>
      </c>
      <c r="H283" s="177">
        <v>9.5</v>
      </c>
      <c r="I283" s="178">
        <v>1</v>
      </c>
      <c r="J283" s="174">
        <f t="shared" si="169"/>
        <v>0.38095000000000001</v>
      </c>
      <c r="K283" s="118"/>
      <c r="L283" s="111">
        <v>1</v>
      </c>
      <c r="M283" s="117">
        <f t="shared" si="170"/>
        <v>0.38095000000000001</v>
      </c>
      <c r="N283" s="119">
        <f t="shared" si="171"/>
        <v>0</v>
      </c>
      <c r="O283" s="120">
        <f t="shared" si="172"/>
        <v>0</v>
      </c>
      <c r="P283" s="32"/>
      <c r="Q283" s="32"/>
      <c r="R283" s="32"/>
    </row>
    <row r="284" spans="1:22" ht="27">
      <c r="A284" s="110" t="s">
        <v>426</v>
      </c>
      <c r="B284" s="111" t="s">
        <v>428</v>
      </c>
      <c r="C284" s="112" t="s">
        <v>228</v>
      </c>
      <c r="D284" s="113" t="s">
        <v>20</v>
      </c>
      <c r="E284" s="175" t="s">
        <v>15</v>
      </c>
      <c r="F284" s="175" t="s">
        <v>64</v>
      </c>
      <c r="G284" s="176">
        <v>40.1</v>
      </c>
      <c r="H284" s="177">
        <v>9.25</v>
      </c>
      <c r="I284" s="178">
        <v>1</v>
      </c>
      <c r="J284" s="174">
        <f t="shared" si="169"/>
        <v>0.370925</v>
      </c>
      <c r="K284" s="118"/>
      <c r="L284" s="111">
        <v>1</v>
      </c>
      <c r="M284" s="117">
        <f t="shared" si="170"/>
        <v>0.370925</v>
      </c>
      <c r="N284" s="119">
        <f t="shared" si="171"/>
        <v>0</v>
      </c>
      <c r="O284" s="120">
        <f t="shared" si="172"/>
        <v>0</v>
      </c>
      <c r="P284" s="32"/>
      <c r="Q284" s="32"/>
      <c r="R284" s="32"/>
    </row>
    <row r="285" spans="1:22" ht="27">
      <c r="A285" s="110" t="s">
        <v>426</v>
      </c>
      <c r="B285" s="111" t="s">
        <v>428</v>
      </c>
      <c r="C285" s="112" t="s">
        <v>228</v>
      </c>
      <c r="D285" s="113" t="s">
        <v>20</v>
      </c>
      <c r="E285" s="175" t="s">
        <v>15</v>
      </c>
      <c r="F285" s="175" t="s">
        <v>64</v>
      </c>
      <c r="G285" s="176">
        <v>40.1</v>
      </c>
      <c r="H285" s="177">
        <v>9.5</v>
      </c>
      <c r="I285" s="178">
        <v>1</v>
      </c>
      <c r="J285" s="174">
        <f t="shared" ref="J285" si="173">(G285*H285*I285/1000)</f>
        <v>0.38095000000000001</v>
      </c>
      <c r="K285" s="118"/>
      <c r="L285" s="111">
        <v>1</v>
      </c>
      <c r="M285" s="117">
        <f t="shared" ref="M285" si="174">H285*L285*G285/1000</f>
        <v>0.38095000000000001</v>
      </c>
      <c r="N285" s="119">
        <f t="shared" ref="N285" si="175">I285-L285</f>
        <v>0</v>
      </c>
      <c r="O285" s="120">
        <f t="shared" ref="O285" si="176">H285*N285*G285/1000</f>
        <v>0</v>
      </c>
      <c r="P285" s="32"/>
      <c r="Q285" s="32"/>
      <c r="R285" s="32"/>
    </row>
    <row r="286" spans="1:22" ht="27">
      <c r="A286" s="110" t="s">
        <v>426</v>
      </c>
      <c r="B286" s="111" t="s">
        <v>428</v>
      </c>
      <c r="C286" s="112" t="s">
        <v>228</v>
      </c>
      <c r="D286" s="113" t="s">
        <v>20</v>
      </c>
      <c r="E286" s="175" t="s">
        <v>15</v>
      </c>
      <c r="F286" s="175" t="s">
        <v>64</v>
      </c>
      <c r="G286" s="176">
        <v>40.1</v>
      </c>
      <c r="H286" s="177">
        <v>9.6</v>
      </c>
      <c r="I286" s="178">
        <v>2</v>
      </c>
      <c r="J286" s="174">
        <f t="shared" ref="J286:J287" si="177">(G286*H286*I286/1000)</f>
        <v>0.76991999999999994</v>
      </c>
      <c r="K286" s="118"/>
      <c r="L286" s="111">
        <v>2</v>
      </c>
      <c r="M286" s="117">
        <f t="shared" ref="M286:M289" si="178">H286*L286*G286/1000</f>
        <v>0.76991999999999994</v>
      </c>
      <c r="N286" s="119">
        <f t="shared" ref="N286:N288" si="179">I286-L286</f>
        <v>0</v>
      </c>
      <c r="O286" s="120">
        <f t="shared" ref="O286:O287" si="180">H286*N286*G286/1000</f>
        <v>0</v>
      </c>
      <c r="P286" s="32"/>
      <c r="Q286" s="32"/>
      <c r="R286" s="32"/>
    </row>
    <row r="287" spans="1:22" ht="27">
      <c r="A287" s="110" t="s">
        <v>426</v>
      </c>
      <c r="B287" s="111" t="s">
        <v>428</v>
      </c>
      <c r="C287" s="112" t="s">
        <v>228</v>
      </c>
      <c r="D287" s="113" t="s">
        <v>20</v>
      </c>
      <c r="E287" s="175" t="s">
        <v>15</v>
      </c>
      <c r="F287" s="175" t="s">
        <v>64</v>
      </c>
      <c r="G287" s="176">
        <v>40.1</v>
      </c>
      <c r="H287" s="177">
        <v>9.5</v>
      </c>
      <c r="I287" s="178">
        <v>2</v>
      </c>
      <c r="J287" s="174">
        <f t="shared" si="177"/>
        <v>0.76190000000000002</v>
      </c>
      <c r="K287" s="118"/>
      <c r="L287" s="111">
        <v>2</v>
      </c>
      <c r="M287" s="117">
        <f t="shared" si="178"/>
        <v>0.76190000000000002</v>
      </c>
      <c r="N287" s="119">
        <f t="shared" si="179"/>
        <v>0</v>
      </c>
      <c r="O287" s="120">
        <f t="shared" si="180"/>
        <v>0</v>
      </c>
      <c r="P287" s="32"/>
      <c r="Q287" s="32"/>
      <c r="R287" s="32"/>
    </row>
    <row r="288" spans="1:22" ht="27">
      <c r="A288" s="110" t="s">
        <v>426</v>
      </c>
      <c r="B288" s="111" t="s">
        <v>428</v>
      </c>
      <c r="C288" s="112" t="s">
        <v>228</v>
      </c>
      <c r="D288" s="113" t="s">
        <v>20</v>
      </c>
      <c r="E288" s="175" t="s">
        <v>15</v>
      </c>
      <c r="F288" s="175" t="s">
        <v>64</v>
      </c>
      <c r="G288" s="176">
        <v>40.1</v>
      </c>
      <c r="H288" s="177">
        <v>9.3000000000000007</v>
      </c>
      <c r="I288" s="178">
        <v>1</v>
      </c>
      <c r="J288" s="174">
        <f>(G288*H288*I288/1000)</f>
        <v>0.37293000000000004</v>
      </c>
      <c r="K288" s="118"/>
      <c r="L288" s="111">
        <v>1</v>
      </c>
      <c r="M288" s="117">
        <f t="shared" si="178"/>
        <v>0.37293000000000004</v>
      </c>
      <c r="N288" s="119">
        <f t="shared" si="179"/>
        <v>0</v>
      </c>
      <c r="O288" s="120">
        <f>H288*N288*G288/1000</f>
        <v>0</v>
      </c>
      <c r="P288" s="32"/>
      <c r="Q288" s="32"/>
      <c r="R288" s="32"/>
    </row>
    <row r="289" spans="1:22" ht="27">
      <c r="A289" s="110" t="s">
        <v>426</v>
      </c>
      <c r="B289" s="111" t="s">
        <v>428</v>
      </c>
      <c r="C289" s="112" t="s">
        <v>228</v>
      </c>
      <c r="D289" s="113" t="s">
        <v>20</v>
      </c>
      <c r="E289" s="175" t="s">
        <v>15</v>
      </c>
      <c r="F289" s="175" t="s">
        <v>64</v>
      </c>
      <c r="G289" s="176">
        <v>40.1</v>
      </c>
      <c r="H289" s="177">
        <v>8.8000000000000007</v>
      </c>
      <c r="I289" s="178">
        <v>1</v>
      </c>
      <c r="J289" s="174">
        <f>(G289*H289*I289/1000)</f>
        <v>0.35288000000000003</v>
      </c>
      <c r="K289" s="118"/>
      <c r="L289" s="111">
        <v>1</v>
      </c>
      <c r="M289" s="117">
        <f t="shared" si="178"/>
        <v>0.35288000000000003</v>
      </c>
      <c r="N289" s="119">
        <f>I289-L289</f>
        <v>0</v>
      </c>
      <c r="O289" s="120">
        <f>H289*N289*G289/1000</f>
        <v>0</v>
      </c>
      <c r="P289" s="32"/>
      <c r="Q289" s="32"/>
      <c r="R289" s="32"/>
    </row>
    <row r="290" spans="1:22">
      <c r="A290" s="32"/>
      <c r="B290" s="32"/>
      <c r="C290" s="32"/>
      <c r="D290" s="32"/>
      <c r="E290" s="32"/>
      <c r="F290" s="32"/>
      <c r="G290" s="32"/>
      <c r="H290" s="32"/>
      <c r="I290" s="131">
        <f>SUM(I282:I289)</f>
        <v>452</v>
      </c>
      <c r="J290" s="124">
        <f>SUM(J282:J289)</f>
        <v>175.70416500000002</v>
      </c>
      <c r="K290" s="32"/>
      <c r="L290" s="131">
        <f>SUM(L282:L289)</f>
        <v>447</v>
      </c>
      <c r="M290" s="124">
        <f>SUM(M282:M289)</f>
        <v>173.75931500000002</v>
      </c>
      <c r="N290" s="131">
        <f>SUM(N282:N289)</f>
        <v>5</v>
      </c>
      <c r="O290" s="124">
        <f>SUM(O282:O289)</f>
        <v>1.9448500000000002</v>
      </c>
      <c r="P290" s="32"/>
      <c r="Q290" s="32"/>
      <c r="R290" s="32"/>
    </row>
    <row r="292" spans="1:22" ht="27">
      <c r="A292" s="110" t="s">
        <v>426</v>
      </c>
      <c r="B292" s="111" t="s">
        <v>428</v>
      </c>
      <c r="C292" s="112" t="s">
        <v>228</v>
      </c>
      <c r="D292" s="113" t="s">
        <v>20</v>
      </c>
      <c r="E292" s="175" t="s">
        <v>15</v>
      </c>
      <c r="F292" s="175" t="s">
        <v>57</v>
      </c>
      <c r="G292" s="176">
        <v>33.799999999999997</v>
      </c>
      <c r="H292" s="177">
        <v>7.6</v>
      </c>
      <c r="I292" s="178">
        <v>1</v>
      </c>
      <c r="J292" s="174">
        <f t="shared" ref="J292" si="181">(G292*H292*I292/1000)</f>
        <v>0.25687999999999994</v>
      </c>
      <c r="K292" s="118"/>
      <c r="L292" s="111">
        <v>1</v>
      </c>
      <c r="M292" s="117">
        <f t="shared" ref="M292" si="182">H292*L292*G292/1000</f>
        <v>0.25687999999999994</v>
      </c>
      <c r="N292" s="145">
        <f t="shared" ref="N292" si="183">I292-L292</f>
        <v>0</v>
      </c>
      <c r="O292" s="120">
        <f t="shared" ref="O292" si="184">H292*N292*G292/1000</f>
        <v>0</v>
      </c>
      <c r="P292" s="32" t="s">
        <v>453</v>
      </c>
      <c r="Q292" s="32"/>
      <c r="R292" s="359">
        <f>4.602+0.15</f>
        <v>4.7520000000000007</v>
      </c>
      <c r="S292" s="187">
        <v>1</v>
      </c>
      <c r="T292" s="182">
        <f>R292*S292*G292/1000</f>
        <v>0.1606176</v>
      </c>
      <c r="V292" s="182">
        <f>H292-R292</f>
        <v>2.847999999999999</v>
      </c>
    </row>
    <row r="293" spans="1:22" ht="27">
      <c r="A293" s="110" t="s">
        <v>426</v>
      </c>
      <c r="B293" s="111" t="s">
        <v>428</v>
      </c>
      <c r="C293" s="112" t="s">
        <v>228</v>
      </c>
      <c r="D293" s="113" t="s">
        <v>20</v>
      </c>
      <c r="E293" s="175" t="s">
        <v>15</v>
      </c>
      <c r="F293" s="175" t="s">
        <v>57</v>
      </c>
      <c r="G293" s="176">
        <v>33.799999999999997</v>
      </c>
      <c r="H293" s="177">
        <v>8.1</v>
      </c>
      <c r="I293" s="178">
        <f>8+10+10+10+10+8+8</f>
        <v>64</v>
      </c>
      <c r="J293" s="174">
        <f t="shared" ref="J293:J315" si="185">(G293*H293*I293/1000)</f>
        <v>17.521919999999998</v>
      </c>
      <c r="K293" s="118"/>
      <c r="L293" s="111">
        <v>64</v>
      </c>
      <c r="M293" s="117">
        <f t="shared" ref="M293:M317" si="186">H293*L293*G293/1000</f>
        <v>17.521919999999998</v>
      </c>
      <c r="N293" s="119">
        <f t="shared" ref="N293:N317" si="187">I293-L293</f>
        <v>0</v>
      </c>
      <c r="O293" s="120">
        <f t="shared" ref="O293:O317" si="188">H293*N293*G293/1000</f>
        <v>0</v>
      </c>
      <c r="P293" s="32"/>
      <c r="Q293" s="32"/>
      <c r="R293" s="32"/>
    </row>
    <row r="294" spans="1:22" ht="27">
      <c r="A294" s="110" t="s">
        <v>426</v>
      </c>
      <c r="B294" s="111" t="s">
        <v>428</v>
      </c>
      <c r="C294" s="112" t="s">
        <v>228</v>
      </c>
      <c r="D294" s="113" t="s">
        <v>20</v>
      </c>
      <c r="E294" s="175" t="s">
        <v>15</v>
      </c>
      <c r="F294" s="175" t="s">
        <v>57</v>
      </c>
      <c r="G294" s="176">
        <v>33.799999999999997</v>
      </c>
      <c r="H294" s="177">
        <v>9.3000000000000007</v>
      </c>
      <c r="I294" s="178">
        <f>9+8+2+8</f>
        <v>27</v>
      </c>
      <c r="J294" s="174">
        <f t="shared" si="185"/>
        <v>8.4871799999999986</v>
      </c>
      <c r="K294" s="118"/>
      <c r="L294" s="111">
        <f>27+32-2-1</f>
        <v>56</v>
      </c>
      <c r="M294" s="117">
        <f t="shared" si="186"/>
        <v>17.60304</v>
      </c>
      <c r="N294" s="230">
        <f t="shared" si="187"/>
        <v>-29</v>
      </c>
      <c r="O294" s="231">
        <f t="shared" si="188"/>
        <v>-9.1158600000000014</v>
      </c>
      <c r="P294" s="44" t="s">
        <v>480</v>
      </c>
      <c r="Q294" s="32"/>
      <c r="R294" s="32"/>
    </row>
    <row r="295" spans="1:22" ht="27">
      <c r="A295" s="110" t="s">
        <v>426</v>
      </c>
      <c r="B295" s="111" t="s">
        <v>428</v>
      </c>
      <c r="C295" s="112" t="s">
        <v>228</v>
      </c>
      <c r="D295" s="113" t="s">
        <v>20</v>
      </c>
      <c r="E295" s="175" t="s">
        <v>15</v>
      </c>
      <c r="F295" s="175" t="s">
        <v>57</v>
      </c>
      <c r="G295" s="176">
        <v>33.799999999999997</v>
      </c>
      <c r="H295" s="177">
        <v>11.9</v>
      </c>
      <c r="I295" s="178">
        <f>8+6+8+8+3+7</f>
        <v>40</v>
      </c>
      <c r="J295" s="174">
        <f t="shared" si="185"/>
        <v>16.088799999999999</v>
      </c>
      <c r="K295" s="118"/>
      <c r="L295" s="111">
        <f>39+1</f>
        <v>40</v>
      </c>
      <c r="M295" s="117">
        <f t="shared" si="186"/>
        <v>16.088799999999999</v>
      </c>
      <c r="N295" s="119">
        <f t="shared" si="187"/>
        <v>0</v>
      </c>
      <c r="O295" s="120">
        <f t="shared" si="188"/>
        <v>0</v>
      </c>
      <c r="P295" s="32">
        <v>9.3000000000000007</v>
      </c>
      <c r="Q295" s="32">
        <v>1</v>
      </c>
      <c r="R295" s="32"/>
    </row>
    <row r="296" spans="1:22" ht="27">
      <c r="A296" s="110" t="s">
        <v>426</v>
      </c>
      <c r="B296" s="111" t="s">
        <v>428</v>
      </c>
      <c r="C296" s="112" t="s">
        <v>228</v>
      </c>
      <c r="D296" s="113" t="s">
        <v>20</v>
      </c>
      <c r="E296" s="175" t="s">
        <v>15</v>
      </c>
      <c r="F296" s="175" t="s">
        <v>57</v>
      </c>
      <c r="G296" s="176">
        <v>33.799999999999997</v>
      </c>
      <c r="H296" s="177">
        <v>7.5</v>
      </c>
      <c r="I296" s="178">
        <v>1</v>
      </c>
      <c r="J296" s="174">
        <f t="shared" si="185"/>
        <v>0.25349999999999995</v>
      </c>
      <c r="K296" s="118"/>
      <c r="L296" s="111">
        <v>1</v>
      </c>
      <c r="M296" s="117">
        <f t="shared" si="186"/>
        <v>0.25349999999999995</v>
      </c>
      <c r="N296" s="145">
        <f t="shared" si="187"/>
        <v>0</v>
      </c>
      <c r="O296" s="120">
        <f t="shared" si="188"/>
        <v>0</v>
      </c>
      <c r="P296" s="32" t="s">
        <v>453</v>
      </c>
      <c r="Q296" s="32"/>
      <c r="R296" s="359">
        <f t="shared" ref="R296:R301" si="189">4.602+0.15</f>
        <v>4.7520000000000007</v>
      </c>
      <c r="S296" s="187">
        <v>1</v>
      </c>
      <c r="T296" s="182">
        <f>R296*S296*G296/1000</f>
        <v>0.1606176</v>
      </c>
      <c r="V296" s="182">
        <f t="shared" ref="V296:V301" si="190">H296-R296</f>
        <v>2.7479999999999993</v>
      </c>
    </row>
    <row r="297" spans="1:22" ht="27">
      <c r="A297" s="110" t="s">
        <v>426</v>
      </c>
      <c r="B297" s="111" t="s">
        <v>428</v>
      </c>
      <c r="C297" s="112" t="s">
        <v>228</v>
      </c>
      <c r="D297" s="113" t="s">
        <v>20</v>
      </c>
      <c r="E297" s="175" t="s">
        <v>15</v>
      </c>
      <c r="F297" s="175" t="s">
        <v>57</v>
      </c>
      <c r="G297" s="176">
        <v>33.799999999999997</v>
      </c>
      <c r="H297" s="177">
        <v>9</v>
      </c>
      <c r="I297" s="178">
        <v>1</v>
      </c>
      <c r="J297" s="174">
        <f t="shared" si="185"/>
        <v>0.30419999999999997</v>
      </c>
      <c r="K297" s="118"/>
      <c r="L297" s="111">
        <v>1</v>
      </c>
      <c r="M297" s="117">
        <f t="shared" si="186"/>
        <v>0.30419999999999997</v>
      </c>
      <c r="N297" s="145">
        <f t="shared" si="187"/>
        <v>0</v>
      </c>
      <c r="O297" s="120">
        <f t="shared" si="188"/>
        <v>0</v>
      </c>
      <c r="P297" s="32" t="s">
        <v>453</v>
      </c>
      <c r="Q297" s="32"/>
      <c r="R297" s="359">
        <f t="shared" si="189"/>
        <v>4.7520000000000007</v>
      </c>
      <c r="S297" s="187">
        <v>1</v>
      </c>
      <c r="T297" s="182">
        <f t="shared" ref="T297:T301" si="191">R297*S297*G297/1000</f>
        <v>0.1606176</v>
      </c>
      <c r="V297" s="182">
        <f t="shared" si="190"/>
        <v>4.2479999999999993</v>
      </c>
    </row>
    <row r="298" spans="1:22" ht="27">
      <c r="A298" s="110" t="s">
        <v>426</v>
      </c>
      <c r="B298" s="111" t="s">
        <v>428</v>
      </c>
      <c r="C298" s="112" t="s">
        <v>228</v>
      </c>
      <c r="D298" s="113" t="s">
        <v>20</v>
      </c>
      <c r="E298" s="175" t="s">
        <v>15</v>
      </c>
      <c r="F298" s="175" t="s">
        <v>57</v>
      </c>
      <c r="G298" s="176">
        <v>33.799999999999997</v>
      </c>
      <c r="H298" s="177">
        <v>7.5</v>
      </c>
      <c r="I298" s="178">
        <v>1</v>
      </c>
      <c r="J298" s="174">
        <f t="shared" si="185"/>
        <v>0.25349999999999995</v>
      </c>
      <c r="K298" s="118"/>
      <c r="L298" s="111">
        <v>1</v>
      </c>
      <c r="M298" s="117">
        <f t="shared" si="186"/>
        <v>0.25349999999999995</v>
      </c>
      <c r="N298" s="145">
        <f t="shared" si="187"/>
        <v>0</v>
      </c>
      <c r="O298" s="120">
        <f t="shared" si="188"/>
        <v>0</v>
      </c>
      <c r="P298" s="32" t="s">
        <v>453</v>
      </c>
      <c r="Q298" s="32"/>
      <c r="R298" s="359">
        <f t="shared" si="189"/>
        <v>4.7520000000000007</v>
      </c>
      <c r="S298" s="187">
        <v>1</v>
      </c>
      <c r="T298" s="182">
        <f t="shared" si="191"/>
        <v>0.1606176</v>
      </c>
      <c r="V298" s="182">
        <f t="shared" si="190"/>
        <v>2.7479999999999993</v>
      </c>
    </row>
    <row r="299" spans="1:22" ht="27">
      <c r="A299" s="110" t="s">
        <v>426</v>
      </c>
      <c r="B299" s="111" t="s">
        <v>428</v>
      </c>
      <c r="C299" s="112" t="s">
        <v>228</v>
      </c>
      <c r="D299" s="113" t="s">
        <v>20</v>
      </c>
      <c r="E299" s="175" t="s">
        <v>15</v>
      </c>
      <c r="F299" s="175" t="s">
        <v>57</v>
      </c>
      <c r="G299" s="176">
        <v>33.799999999999997</v>
      </c>
      <c r="H299" s="177">
        <v>7.6</v>
      </c>
      <c r="I299" s="178">
        <v>1</v>
      </c>
      <c r="J299" s="174">
        <f t="shared" si="185"/>
        <v>0.25687999999999994</v>
      </c>
      <c r="K299" s="118"/>
      <c r="L299" s="111">
        <v>1</v>
      </c>
      <c r="M299" s="117">
        <f t="shared" si="186"/>
        <v>0.25687999999999994</v>
      </c>
      <c r="N299" s="145">
        <f t="shared" si="187"/>
        <v>0</v>
      </c>
      <c r="O299" s="120">
        <f t="shared" si="188"/>
        <v>0</v>
      </c>
      <c r="P299" s="32" t="s">
        <v>453</v>
      </c>
      <c r="Q299" s="32"/>
      <c r="R299" s="359">
        <f t="shared" si="189"/>
        <v>4.7520000000000007</v>
      </c>
      <c r="S299" s="187">
        <v>1</v>
      </c>
      <c r="T299" s="182">
        <f t="shared" si="191"/>
        <v>0.1606176</v>
      </c>
      <c r="V299" s="182">
        <f t="shared" si="190"/>
        <v>2.847999999999999</v>
      </c>
    </row>
    <row r="300" spans="1:22" ht="27">
      <c r="A300" s="110" t="s">
        <v>426</v>
      </c>
      <c r="B300" s="111" t="s">
        <v>428</v>
      </c>
      <c r="C300" s="112" t="s">
        <v>228</v>
      </c>
      <c r="D300" s="113" t="s">
        <v>20</v>
      </c>
      <c r="E300" s="175" t="s">
        <v>15</v>
      </c>
      <c r="F300" s="175" t="s">
        <v>57</v>
      </c>
      <c r="G300" s="176">
        <v>33.799999999999997</v>
      </c>
      <c r="H300" s="177">
        <v>7.9</v>
      </c>
      <c r="I300" s="178">
        <v>1</v>
      </c>
      <c r="J300" s="174">
        <f t="shared" si="185"/>
        <v>0.26701999999999998</v>
      </c>
      <c r="K300" s="118"/>
      <c r="L300" s="111">
        <v>1</v>
      </c>
      <c r="M300" s="117">
        <f t="shared" si="186"/>
        <v>0.26701999999999998</v>
      </c>
      <c r="N300" s="145">
        <f t="shared" si="187"/>
        <v>0</v>
      </c>
      <c r="O300" s="120">
        <f t="shared" si="188"/>
        <v>0</v>
      </c>
      <c r="P300" s="32" t="s">
        <v>453</v>
      </c>
      <c r="Q300" s="32"/>
      <c r="R300" s="359">
        <f t="shared" si="189"/>
        <v>4.7520000000000007</v>
      </c>
      <c r="S300" s="187">
        <v>1</v>
      </c>
      <c r="T300" s="182">
        <f t="shared" si="191"/>
        <v>0.1606176</v>
      </c>
      <c r="V300" s="182">
        <f t="shared" si="190"/>
        <v>3.1479999999999997</v>
      </c>
    </row>
    <row r="301" spans="1:22" ht="27">
      <c r="A301" s="110" t="s">
        <v>426</v>
      </c>
      <c r="B301" s="111" t="s">
        <v>428</v>
      </c>
      <c r="C301" s="112" t="s">
        <v>228</v>
      </c>
      <c r="D301" s="113" t="s">
        <v>20</v>
      </c>
      <c r="E301" s="175" t="s">
        <v>15</v>
      </c>
      <c r="F301" s="175" t="s">
        <v>57</v>
      </c>
      <c r="G301" s="176">
        <v>33.799999999999997</v>
      </c>
      <c r="H301" s="177">
        <v>7.6</v>
      </c>
      <c r="I301" s="178">
        <v>1</v>
      </c>
      <c r="J301" s="174">
        <f t="shared" si="185"/>
        <v>0.25687999999999994</v>
      </c>
      <c r="K301" s="118"/>
      <c r="L301" s="111">
        <v>1</v>
      </c>
      <c r="M301" s="117">
        <f t="shared" si="186"/>
        <v>0.25687999999999994</v>
      </c>
      <c r="N301" s="145">
        <f t="shared" si="187"/>
        <v>0</v>
      </c>
      <c r="O301" s="120">
        <f t="shared" si="188"/>
        <v>0</v>
      </c>
      <c r="P301" s="32" t="s">
        <v>453</v>
      </c>
      <c r="Q301" s="32"/>
      <c r="R301" s="359">
        <f t="shared" si="189"/>
        <v>4.7520000000000007</v>
      </c>
      <c r="S301" s="187">
        <v>1</v>
      </c>
      <c r="T301" s="182">
        <f t="shared" si="191"/>
        <v>0.1606176</v>
      </c>
      <c r="V301" s="182">
        <f t="shared" si="190"/>
        <v>2.847999999999999</v>
      </c>
    </row>
    <row r="302" spans="1:22" ht="27">
      <c r="A302" s="110" t="s">
        <v>426</v>
      </c>
      <c r="B302" s="111" t="s">
        <v>428</v>
      </c>
      <c r="C302" s="112" t="s">
        <v>228</v>
      </c>
      <c r="D302" s="113" t="s">
        <v>20</v>
      </c>
      <c r="E302" s="175" t="s">
        <v>15</v>
      </c>
      <c r="F302" s="175" t="s">
        <v>57</v>
      </c>
      <c r="G302" s="176">
        <v>33.799999999999997</v>
      </c>
      <c r="H302" s="177">
        <v>9</v>
      </c>
      <c r="I302" s="178">
        <v>3</v>
      </c>
      <c r="J302" s="174">
        <f t="shared" si="185"/>
        <v>0.91259999999999986</v>
      </c>
      <c r="K302" s="118"/>
      <c r="L302" s="111">
        <v>3</v>
      </c>
      <c r="M302" s="117">
        <f t="shared" si="186"/>
        <v>0.91259999999999986</v>
      </c>
      <c r="N302" s="119">
        <f t="shared" si="187"/>
        <v>0</v>
      </c>
      <c r="O302" s="120">
        <f t="shared" si="188"/>
        <v>0</v>
      </c>
      <c r="P302" s="32">
        <v>8.1</v>
      </c>
      <c r="Q302" s="32">
        <v>3</v>
      </c>
      <c r="R302" s="32"/>
    </row>
    <row r="303" spans="1:22" ht="27">
      <c r="A303" s="110" t="s">
        <v>426</v>
      </c>
      <c r="B303" s="111" t="s">
        <v>428</v>
      </c>
      <c r="C303" s="112" t="s">
        <v>228</v>
      </c>
      <c r="D303" s="113" t="s">
        <v>20</v>
      </c>
      <c r="E303" s="175" t="s">
        <v>15</v>
      </c>
      <c r="F303" s="175" t="s">
        <v>57</v>
      </c>
      <c r="G303" s="176">
        <v>33.799999999999997</v>
      </c>
      <c r="H303" s="177">
        <v>9.1</v>
      </c>
      <c r="I303" s="178">
        <v>5</v>
      </c>
      <c r="J303" s="174">
        <f t="shared" si="185"/>
        <v>1.5378999999999998</v>
      </c>
      <c r="K303" s="118"/>
      <c r="L303" s="111">
        <v>5</v>
      </c>
      <c r="M303" s="117">
        <f t="shared" si="186"/>
        <v>1.5378999999999998</v>
      </c>
      <c r="N303" s="119">
        <f t="shared" si="187"/>
        <v>0</v>
      </c>
      <c r="O303" s="120">
        <f t="shared" si="188"/>
        <v>0</v>
      </c>
      <c r="P303" s="32">
        <v>8.1</v>
      </c>
      <c r="Q303" s="32">
        <v>5</v>
      </c>
      <c r="R303" s="32"/>
    </row>
    <row r="304" spans="1:22" ht="27">
      <c r="A304" s="110" t="s">
        <v>426</v>
      </c>
      <c r="B304" s="111" t="s">
        <v>428</v>
      </c>
      <c r="C304" s="112" t="s">
        <v>228</v>
      </c>
      <c r="D304" s="113" t="s">
        <v>20</v>
      </c>
      <c r="E304" s="175" t="s">
        <v>15</v>
      </c>
      <c r="F304" s="175" t="s">
        <v>57</v>
      </c>
      <c r="G304" s="176">
        <v>33.799999999999997</v>
      </c>
      <c r="H304" s="177">
        <v>11.5</v>
      </c>
      <c r="I304" s="178">
        <v>1</v>
      </c>
      <c r="J304" s="174">
        <f t="shared" si="185"/>
        <v>0.38869999999999999</v>
      </c>
      <c r="K304" s="118"/>
      <c r="L304" s="111">
        <v>1</v>
      </c>
      <c r="M304" s="117">
        <f t="shared" si="186"/>
        <v>0.38869999999999999</v>
      </c>
      <c r="N304" s="119">
        <f t="shared" si="187"/>
        <v>0</v>
      </c>
      <c r="O304" s="120">
        <f t="shared" si="188"/>
        <v>0</v>
      </c>
      <c r="P304" s="32">
        <v>9.3000000000000007</v>
      </c>
      <c r="Q304" s="32">
        <v>1</v>
      </c>
      <c r="R304" s="32"/>
    </row>
    <row r="305" spans="1:22" ht="27">
      <c r="A305" s="110" t="s">
        <v>426</v>
      </c>
      <c r="B305" s="111" t="s">
        <v>428</v>
      </c>
      <c r="C305" s="112" t="s">
        <v>228</v>
      </c>
      <c r="D305" s="113" t="s">
        <v>20</v>
      </c>
      <c r="E305" s="175" t="s">
        <v>15</v>
      </c>
      <c r="F305" s="175" t="s">
        <v>57</v>
      </c>
      <c r="G305" s="176">
        <v>33.799999999999997</v>
      </c>
      <c r="H305" s="177">
        <v>8.1</v>
      </c>
      <c r="I305" s="178">
        <f>11+11+8+8+8+8+8+8+8+11+11+11+11+11+11+8+8+8+8+8+1+8+8+12+8+8+8+8+8+8+8+8+8+8+8+2</f>
        <v>303</v>
      </c>
      <c r="J305" s="174">
        <f t="shared" si="185"/>
        <v>82.955339999999993</v>
      </c>
      <c r="K305" s="118"/>
      <c r="L305" s="111">
        <v>303</v>
      </c>
      <c r="M305" s="117">
        <f t="shared" si="186"/>
        <v>82.955339999999978</v>
      </c>
      <c r="N305" s="119">
        <f t="shared" si="187"/>
        <v>0</v>
      </c>
      <c r="O305" s="120">
        <f t="shared" si="188"/>
        <v>0</v>
      </c>
      <c r="P305" s="32"/>
      <c r="Q305" s="32"/>
      <c r="R305" s="32"/>
    </row>
    <row r="306" spans="1:22" ht="27">
      <c r="A306" s="110" t="s">
        <v>426</v>
      </c>
      <c r="B306" s="111" t="s">
        <v>428</v>
      </c>
      <c r="C306" s="112" t="s">
        <v>228</v>
      </c>
      <c r="D306" s="113" t="s">
        <v>20</v>
      </c>
      <c r="E306" s="175" t="s">
        <v>15</v>
      </c>
      <c r="F306" s="175" t="s">
        <v>57</v>
      </c>
      <c r="G306" s="176">
        <v>33.799999999999997</v>
      </c>
      <c r="H306" s="177">
        <v>9.3000000000000007</v>
      </c>
      <c r="I306" s="178">
        <f>8+2+9+9+8+8+8+8+9+8+8+8+8+8+8+8+2+8</f>
        <v>135</v>
      </c>
      <c r="J306" s="174">
        <f t="shared" si="185"/>
        <v>42.435899999999997</v>
      </c>
      <c r="K306" s="118"/>
      <c r="L306" s="111">
        <v>135</v>
      </c>
      <c r="M306" s="117">
        <f t="shared" si="186"/>
        <v>42.435899999999997</v>
      </c>
      <c r="N306" s="119">
        <f t="shared" si="187"/>
        <v>0</v>
      </c>
      <c r="O306" s="120">
        <f t="shared" si="188"/>
        <v>0</v>
      </c>
      <c r="P306" s="32"/>
      <c r="Q306" s="32"/>
      <c r="R306" s="32"/>
    </row>
    <row r="307" spans="1:22" ht="27">
      <c r="A307" s="110" t="s">
        <v>426</v>
      </c>
      <c r="B307" s="111" t="s">
        <v>428</v>
      </c>
      <c r="C307" s="112" t="s">
        <v>228</v>
      </c>
      <c r="D307" s="113" t="s">
        <v>20</v>
      </c>
      <c r="E307" s="175" t="s">
        <v>15</v>
      </c>
      <c r="F307" s="175" t="s">
        <v>57</v>
      </c>
      <c r="G307" s="176">
        <v>33.799999999999997</v>
      </c>
      <c r="H307" s="177">
        <v>9.1999999999999993</v>
      </c>
      <c r="I307" s="178">
        <v>1</v>
      </c>
      <c r="J307" s="174">
        <f t="shared" si="185"/>
        <v>0.3109599999999999</v>
      </c>
      <c r="K307" s="118"/>
      <c r="L307" s="111">
        <v>1</v>
      </c>
      <c r="M307" s="117">
        <f t="shared" si="186"/>
        <v>0.3109599999999999</v>
      </c>
      <c r="N307" s="119">
        <f t="shared" si="187"/>
        <v>0</v>
      </c>
      <c r="O307" s="120">
        <f t="shared" si="188"/>
        <v>0</v>
      </c>
      <c r="P307" s="32">
        <v>9.3000000000000007</v>
      </c>
      <c r="Q307" s="32">
        <v>1</v>
      </c>
      <c r="R307" s="32"/>
    </row>
    <row r="308" spans="1:22" ht="27">
      <c r="A308" s="110" t="s">
        <v>426</v>
      </c>
      <c r="B308" s="111" t="s">
        <v>428</v>
      </c>
      <c r="C308" s="112" t="s">
        <v>228</v>
      </c>
      <c r="D308" s="113" t="s">
        <v>20</v>
      </c>
      <c r="E308" s="175" t="s">
        <v>15</v>
      </c>
      <c r="F308" s="175" t="s">
        <v>57</v>
      </c>
      <c r="G308" s="176">
        <v>33.799999999999997</v>
      </c>
      <c r="H308" s="177">
        <v>9.1</v>
      </c>
      <c r="I308" s="178">
        <v>3</v>
      </c>
      <c r="J308" s="174">
        <f t="shared" si="185"/>
        <v>0.92274</v>
      </c>
      <c r="K308" s="118"/>
      <c r="L308" s="111">
        <v>3</v>
      </c>
      <c r="M308" s="117">
        <f t="shared" si="186"/>
        <v>0.92273999999999978</v>
      </c>
      <c r="N308" s="119">
        <f t="shared" si="187"/>
        <v>0</v>
      </c>
      <c r="O308" s="120">
        <f t="shared" si="188"/>
        <v>0</v>
      </c>
      <c r="P308" s="32">
        <v>8.1</v>
      </c>
      <c r="Q308" s="32">
        <v>3</v>
      </c>
      <c r="R308" s="32"/>
    </row>
    <row r="309" spans="1:22" ht="27">
      <c r="A309" s="110" t="s">
        <v>426</v>
      </c>
      <c r="B309" s="111" t="s">
        <v>428</v>
      </c>
      <c r="C309" s="112" t="s">
        <v>228</v>
      </c>
      <c r="D309" s="113" t="s">
        <v>20</v>
      </c>
      <c r="E309" s="175" t="s">
        <v>15</v>
      </c>
      <c r="F309" s="175" t="s">
        <v>57</v>
      </c>
      <c r="G309" s="176">
        <v>33.799999999999997</v>
      </c>
      <c r="H309" s="177">
        <v>6.4</v>
      </c>
      <c r="I309" s="178">
        <v>1</v>
      </c>
      <c r="J309" s="174">
        <f t="shared" si="185"/>
        <v>0.21631999999999998</v>
      </c>
      <c r="K309" s="118"/>
      <c r="L309" s="111">
        <v>1</v>
      </c>
      <c r="M309" s="117">
        <f t="shared" si="186"/>
        <v>0.21631999999999998</v>
      </c>
      <c r="N309" s="145">
        <f t="shared" si="187"/>
        <v>0</v>
      </c>
      <c r="O309" s="120">
        <f t="shared" si="188"/>
        <v>0</v>
      </c>
      <c r="P309" s="32" t="s">
        <v>453</v>
      </c>
      <c r="Q309" s="32"/>
      <c r="R309" s="359">
        <f>4.602+0.15</f>
        <v>4.7520000000000007</v>
      </c>
      <c r="S309" s="187">
        <v>1</v>
      </c>
      <c r="T309" s="182">
        <f>R309*S309*G309/1000</f>
        <v>0.1606176</v>
      </c>
      <c r="V309" s="182">
        <f>H309-R309</f>
        <v>1.6479999999999997</v>
      </c>
    </row>
    <row r="310" spans="1:22" ht="27">
      <c r="A310" s="110" t="s">
        <v>426</v>
      </c>
      <c r="B310" s="111" t="s">
        <v>428</v>
      </c>
      <c r="C310" s="112" t="s">
        <v>228</v>
      </c>
      <c r="D310" s="113" t="s">
        <v>20</v>
      </c>
      <c r="E310" s="175" t="s">
        <v>15</v>
      </c>
      <c r="F310" s="175" t="s">
        <v>57</v>
      </c>
      <c r="G310" s="176">
        <v>33.799999999999997</v>
      </c>
      <c r="H310" s="177">
        <v>9.1</v>
      </c>
      <c r="I310" s="178">
        <v>6</v>
      </c>
      <c r="J310" s="174">
        <f t="shared" si="185"/>
        <v>1.84548</v>
      </c>
      <c r="K310" s="118"/>
      <c r="L310" s="111">
        <v>6</v>
      </c>
      <c r="M310" s="117">
        <f t="shared" si="186"/>
        <v>1.8454799999999996</v>
      </c>
      <c r="N310" s="119">
        <f t="shared" si="187"/>
        <v>0</v>
      </c>
      <c r="O310" s="120">
        <f t="shared" si="188"/>
        <v>0</v>
      </c>
      <c r="P310" s="32">
        <v>8.1</v>
      </c>
      <c r="Q310" s="32">
        <v>6</v>
      </c>
      <c r="R310" s="32"/>
    </row>
    <row r="311" spans="1:22" ht="27">
      <c r="A311" s="110" t="s">
        <v>426</v>
      </c>
      <c r="B311" s="111" t="s">
        <v>428</v>
      </c>
      <c r="C311" s="112" t="s">
        <v>228</v>
      </c>
      <c r="D311" s="113" t="s">
        <v>20</v>
      </c>
      <c r="E311" s="175" t="s">
        <v>15</v>
      </c>
      <c r="F311" s="175" t="s">
        <v>57</v>
      </c>
      <c r="G311" s="176">
        <v>33.799999999999997</v>
      </c>
      <c r="H311" s="177">
        <v>9</v>
      </c>
      <c r="I311" s="178">
        <v>2</v>
      </c>
      <c r="J311" s="174">
        <f t="shared" si="185"/>
        <v>0.60839999999999994</v>
      </c>
      <c r="K311" s="118"/>
      <c r="L311" s="111">
        <v>2</v>
      </c>
      <c r="M311" s="117">
        <f t="shared" si="186"/>
        <v>0.60839999999999994</v>
      </c>
      <c r="N311" s="119">
        <f t="shared" si="187"/>
        <v>0</v>
      </c>
      <c r="O311" s="120">
        <f t="shared" si="188"/>
        <v>0</v>
      </c>
      <c r="P311" s="32">
        <v>8.1</v>
      </c>
      <c r="Q311" s="32">
        <v>2</v>
      </c>
      <c r="R311" s="32"/>
    </row>
    <row r="312" spans="1:22" ht="27">
      <c r="A312" s="110" t="s">
        <v>426</v>
      </c>
      <c r="B312" s="111" t="s">
        <v>428</v>
      </c>
      <c r="C312" s="112" t="s">
        <v>228</v>
      </c>
      <c r="D312" s="113" t="s">
        <v>20</v>
      </c>
      <c r="E312" s="175" t="s">
        <v>15</v>
      </c>
      <c r="F312" s="175" t="s">
        <v>57</v>
      </c>
      <c r="G312" s="176">
        <v>33.799999999999997</v>
      </c>
      <c r="H312" s="177">
        <v>8.9</v>
      </c>
      <c r="I312" s="178">
        <v>2</v>
      </c>
      <c r="J312" s="174">
        <f t="shared" si="185"/>
        <v>0.60163999999999995</v>
      </c>
      <c r="K312" s="118"/>
      <c r="L312" s="111">
        <v>2</v>
      </c>
      <c r="M312" s="117">
        <f t="shared" si="186"/>
        <v>0.60163999999999995</v>
      </c>
      <c r="N312" s="119">
        <f t="shared" si="187"/>
        <v>0</v>
      </c>
      <c r="O312" s="120">
        <f t="shared" si="188"/>
        <v>0</v>
      </c>
      <c r="P312" s="32">
        <v>8.1</v>
      </c>
      <c r="Q312" s="32">
        <v>2</v>
      </c>
      <c r="R312" s="32"/>
    </row>
    <row r="313" spans="1:22" ht="27">
      <c r="A313" s="110" t="s">
        <v>426</v>
      </c>
      <c r="B313" s="111" t="s">
        <v>428</v>
      </c>
      <c r="C313" s="112" t="s">
        <v>228</v>
      </c>
      <c r="D313" s="113" t="s">
        <v>20</v>
      </c>
      <c r="E313" s="175" t="s">
        <v>15</v>
      </c>
      <c r="F313" s="175" t="s">
        <v>57</v>
      </c>
      <c r="G313" s="176">
        <v>33.799999999999997</v>
      </c>
      <c r="H313" s="177">
        <v>7.9</v>
      </c>
      <c r="I313" s="178">
        <v>2</v>
      </c>
      <c r="J313" s="174">
        <f t="shared" si="185"/>
        <v>0.53403999999999996</v>
      </c>
      <c r="K313" s="118"/>
      <c r="L313" s="111">
        <v>2</v>
      </c>
      <c r="M313" s="117">
        <f t="shared" si="186"/>
        <v>0.53403999999999996</v>
      </c>
      <c r="N313" s="145">
        <f t="shared" si="187"/>
        <v>0</v>
      </c>
      <c r="O313" s="120">
        <f t="shared" si="188"/>
        <v>0</v>
      </c>
      <c r="P313" s="32" t="s">
        <v>453</v>
      </c>
      <c r="Q313" s="32"/>
      <c r="R313" s="359">
        <f t="shared" ref="R313:R317" si="192">4.602+0.15</f>
        <v>4.7520000000000007</v>
      </c>
      <c r="S313" s="187">
        <v>2</v>
      </c>
      <c r="T313" s="182">
        <f t="shared" ref="T313:T316" si="193">R313*S313*G313/1000</f>
        <v>0.3212352</v>
      </c>
      <c r="V313" s="182">
        <f t="shared" ref="V313:V317" si="194">H313-R313</f>
        <v>3.1479999999999997</v>
      </c>
    </row>
    <row r="314" spans="1:22" ht="27">
      <c r="A314" s="110" t="s">
        <v>426</v>
      </c>
      <c r="B314" s="111" t="s">
        <v>428</v>
      </c>
      <c r="C314" s="112" t="s">
        <v>228</v>
      </c>
      <c r="D314" s="113" t="s">
        <v>20</v>
      </c>
      <c r="E314" s="175" t="s">
        <v>15</v>
      </c>
      <c r="F314" s="175" t="s">
        <v>57</v>
      </c>
      <c r="G314" s="176">
        <v>33.799999999999997</v>
      </c>
      <c r="H314" s="177">
        <v>7.5</v>
      </c>
      <c r="I314" s="178">
        <v>1</v>
      </c>
      <c r="J314" s="174">
        <f t="shared" si="185"/>
        <v>0.25349999999999995</v>
      </c>
      <c r="K314" s="118"/>
      <c r="L314" s="111">
        <v>1</v>
      </c>
      <c r="M314" s="117">
        <f t="shared" si="186"/>
        <v>0.25349999999999995</v>
      </c>
      <c r="N314" s="145">
        <f t="shared" si="187"/>
        <v>0</v>
      </c>
      <c r="O314" s="120">
        <f t="shared" si="188"/>
        <v>0</v>
      </c>
      <c r="P314" s="32" t="s">
        <v>453</v>
      </c>
      <c r="Q314" s="32"/>
      <c r="R314" s="359">
        <f t="shared" si="192"/>
        <v>4.7520000000000007</v>
      </c>
      <c r="S314" s="187">
        <v>1</v>
      </c>
      <c r="T314" s="182">
        <f t="shared" si="193"/>
        <v>0.1606176</v>
      </c>
      <c r="V314" s="182">
        <f t="shared" si="194"/>
        <v>2.7479999999999993</v>
      </c>
    </row>
    <row r="315" spans="1:22" ht="27">
      <c r="A315" s="110" t="s">
        <v>426</v>
      </c>
      <c r="B315" s="111" t="s">
        <v>428</v>
      </c>
      <c r="C315" s="112" t="s">
        <v>228</v>
      </c>
      <c r="D315" s="113" t="s">
        <v>20</v>
      </c>
      <c r="E315" s="175" t="s">
        <v>15</v>
      </c>
      <c r="F315" s="175" t="s">
        <v>57</v>
      </c>
      <c r="G315" s="176">
        <v>33.799999999999997</v>
      </c>
      <c r="H315" s="177">
        <v>7.6</v>
      </c>
      <c r="I315" s="178">
        <v>1</v>
      </c>
      <c r="J315" s="174">
        <f t="shared" si="185"/>
        <v>0.25687999999999994</v>
      </c>
      <c r="K315" s="118"/>
      <c r="L315" s="111">
        <v>1</v>
      </c>
      <c r="M315" s="117">
        <f t="shared" si="186"/>
        <v>0.25687999999999994</v>
      </c>
      <c r="N315" s="145">
        <f t="shared" si="187"/>
        <v>0</v>
      </c>
      <c r="O315" s="120">
        <f t="shared" si="188"/>
        <v>0</v>
      </c>
      <c r="P315" s="32" t="s">
        <v>453</v>
      </c>
      <c r="Q315" s="32"/>
      <c r="R315" s="359">
        <f t="shared" si="192"/>
        <v>4.7520000000000007</v>
      </c>
      <c r="S315" s="187">
        <v>1</v>
      </c>
      <c r="T315" s="182">
        <f t="shared" si="193"/>
        <v>0.1606176</v>
      </c>
      <c r="V315" s="182">
        <f t="shared" si="194"/>
        <v>2.847999999999999</v>
      </c>
    </row>
    <row r="316" spans="1:22" ht="27">
      <c r="A316" s="110" t="s">
        <v>426</v>
      </c>
      <c r="B316" s="111" t="s">
        <v>428</v>
      </c>
      <c r="C316" s="112" t="s">
        <v>228</v>
      </c>
      <c r="D316" s="113" t="s">
        <v>20</v>
      </c>
      <c r="E316" s="175" t="s">
        <v>15</v>
      </c>
      <c r="F316" s="175" t="s">
        <v>57</v>
      </c>
      <c r="G316" s="176">
        <v>33.799999999999997</v>
      </c>
      <c r="H316" s="177">
        <v>7.9</v>
      </c>
      <c r="I316" s="178">
        <v>5</v>
      </c>
      <c r="J316" s="174">
        <f>(G316*H316*I316/1000)</f>
        <v>1.3351</v>
      </c>
      <c r="K316" s="118"/>
      <c r="L316" s="111">
        <v>5</v>
      </c>
      <c r="M316" s="117">
        <f t="shared" si="186"/>
        <v>1.3351</v>
      </c>
      <c r="N316" s="145">
        <f t="shared" si="187"/>
        <v>0</v>
      </c>
      <c r="O316" s="120">
        <f t="shared" si="188"/>
        <v>0</v>
      </c>
      <c r="P316" s="32" t="s">
        <v>453</v>
      </c>
      <c r="Q316" s="32"/>
      <c r="R316" s="359">
        <f t="shared" si="192"/>
        <v>4.7520000000000007</v>
      </c>
      <c r="S316" s="187">
        <v>5</v>
      </c>
      <c r="T316" s="182">
        <f t="shared" si="193"/>
        <v>0.80308800000000002</v>
      </c>
      <c r="V316" s="182">
        <f t="shared" si="194"/>
        <v>3.1479999999999997</v>
      </c>
    </row>
    <row r="317" spans="1:22" ht="27">
      <c r="A317" s="110" t="s">
        <v>426</v>
      </c>
      <c r="B317" s="111" t="s">
        <v>428</v>
      </c>
      <c r="C317" s="112" t="s">
        <v>228</v>
      </c>
      <c r="D317" s="113" t="s">
        <v>20</v>
      </c>
      <c r="E317" s="175" t="s">
        <v>15</v>
      </c>
      <c r="F317" s="175" t="s">
        <v>57</v>
      </c>
      <c r="G317" s="176">
        <v>33.799999999999997</v>
      </c>
      <c r="H317" s="177">
        <v>8</v>
      </c>
      <c r="I317" s="178">
        <v>3</v>
      </c>
      <c r="J317" s="174">
        <f>(G317*H317*I317/1000)</f>
        <v>0.81119999999999992</v>
      </c>
      <c r="K317" s="118"/>
      <c r="L317" s="111">
        <v>3</v>
      </c>
      <c r="M317" s="117">
        <f t="shared" si="186"/>
        <v>0.81119999999999992</v>
      </c>
      <c r="N317" s="145">
        <f t="shared" si="187"/>
        <v>0</v>
      </c>
      <c r="O317" s="120">
        <f t="shared" si="188"/>
        <v>0</v>
      </c>
      <c r="P317" s="32" t="s">
        <v>453</v>
      </c>
      <c r="Q317" s="32"/>
      <c r="R317" s="359">
        <f t="shared" si="192"/>
        <v>4.7520000000000007</v>
      </c>
      <c r="S317" s="187">
        <v>3</v>
      </c>
      <c r="T317" s="182">
        <f>R317*S317*G317/1000</f>
        <v>0.48185280000000003</v>
      </c>
      <c r="V317" s="182">
        <f t="shared" si="194"/>
        <v>3.2479999999999993</v>
      </c>
    </row>
    <row r="318" spans="1:22">
      <c r="I318" s="78">
        <f>SUM(I292:I317)</f>
        <v>612</v>
      </c>
      <c r="J318" s="214">
        <f>SUM(J292:J317)</f>
        <v>179.87346000000002</v>
      </c>
      <c r="L318" s="78">
        <f>SUM(L292:L317)</f>
        <v>641</v>
      </c>
      <c r="M318" s="214">
        <f>SUM(M292:M317)</f>
        <v>188.98932000000002</v>
      </c>
      <c r="N318" s="78">
        <f>SUM(N292:N317)</f>
        <v>-29</v>
      </c>
      <c r="O318" s="214">
        <f>SUM(O292:O317)</f>
        <v>-9.1158600000000014</v>
      </c>
      <c r="S318" s="78">
        <f>SUM(S292:S317)</f>
        <v>20</v>
      </c>
      <c r="T318" s="360">
        <f>SUM(T292:T317)</f>
        <v>3.2123519999999997</v>
      </c>
      <c r="V318" s="245">
        <f>SUM(V292:V317)</f>
        <v>38.223999999999982</v>
      </c>
    </row>
    <row r="321" spans="1:19" ht="27">
      <c r="A321" s="110" t="s">
        <v>771</v>
      </c>
      <c r="B321" s="111" t="s">
        <v>309</v>
      </c>
      <c r="C321" s="112" t="s">
        <v>228</v>
      </c>
      <c r="D321" s="113" t="s">
        <v>20</v>
      </c>
      <c r="E321" s="175" t="s">
        <v>15</v>
      </c>
      <c r="F321" s="175" t="s">
        <v>64</v>
      </c>
      <c r="G321" s="176">
        <v>40.01</v>
      </c>
      <c r="H321" s="177">
        <v>7.5</v>
      </c>
      <c r="I321" s="178">
        <f>6+6+3</f>
        <v>15</v>
      </c>
      <c r="J321" s="174">
        <f>(G321*H321*I321/1000)</f>
        <v>4.501125</v>
      </c>
      <c r="K321" s="118"/>
      <c r="L321" s="178">
        <v>15</v>
      </c>
      <c r="M321" s="117">
        <f t="shared" ref="M321" si="195">H321*L321*G321/1000</f>
        <v>4.501125</v>
      </c>
      <c r="N321" s="119">
        <f t="shared" ref="N321" si="196">I321-L321</f>
        <v>0</v>
      </c>
      <c r="O321" s="120">
        <f t="shared" ref="O321" si="197">H321*N321*G321/1000</f>
        <v>0</v>
      </c>
      <c r="P321" s="159"/>
      <c r="Q321" s="111"/>
      <c r="R321" s="111"/>
    </row>
    <row r="322" spans="1:19" ht="27">
      <c r="A322" s="110" t="s">
        <v>771</v>
      </c>
      <c r="B322" s="111" t="s">
        <v>309</v>
      </c>
      <c r="C322" s="112" t="s">
        <v>228</v>
      </c>
      <c r="D322" s="113" t="s">
        <v>20</v>
      </c>
      <c r="E322" s="175" t="s">
        <v>15</v>
      </c>
      <c r="F322" s="175" t="s">
        <v>64</v>
      </c>
      <c r="G322" s="176">
        <v>40.01</v>
      </c>
      <c r="H322" s="177">
        <v>8.8000000000000007</v>
      </c>
      <c r="I322" s="178">
        <f>6+6+6+6+6+4+6</f>
        <v>40</v>
      </c>
      <c r="J322" s="174">
        <f>(G322*H322*I322/1000)</f>
        <v>14.08352</v>
      </c>
      <c r="K322" s="118"/>
      <c r="L322" s="178">
        <v>40</v>
      </c>
      <c r="M322" s="117">
        <f t="shared" ref="M322:M323" si="198">H322*L322*G322/1000</f>
        <v>14.083519999999998</v>
      </c>
      <c r="N322" s="119">
        <f t="shared" ref="N322:N323" si="199">I322-L322</f>
        <v>0</v>
      </c>
      <c r="O322" s="120">
        <f t="shared" ref="O322:O323" si="200">H322*N322*G322/1000</f>
        <v>0</v>
      </c>
      <c r="P322" s="159"/>
      <c r="Q322" s="111"/>
      <c r="R322" s="111"/>
    </row>
    <row r="323" spans="1:19" ht="27">
      <c r="A323" s="110" t="s">
        <v>771</v>
      </c>
      <c r="B323" s="111" t="s">
        <v>309</v>
      </c>
      <c r="C323" s="112" t="s">
        <v>228</v>
      </c>
      <c r="D323" s="113" t="s">
        <v>20</v>
      </c>
      <c r="E323" s="175" t="s">
        <v>15</v>
      </c>
      <c r="F323" s="175" t="s">
        <v>64</v>
      </c>
      <c r="G323" s="176">
        <v>40.01</v>
      </c>
      <c r="H323" s="177">
        <v>8.8000000000000007</v>
      </c>
      <c r="I323" s="178">
        <v>3</v>
      </c>
      <c r="J323" s="174">
        <f>(G323*H323*I323/1000)</f>
        <v>1.0562640000000001</v>
      </c>
      <c r="K323" s="118"/>
      <c r="L323" s="178">
        <v>3</v>
      </c>
      <c r="M323" s="117">
        <f t="shared" si="198"/>
        <v>1.0562640000000001</v>
      </c>
      <c r="N323" s="119">
        <f t="shared" si="199"/>
        <v>0</v>
      </c>
      <c r="O323" s="120">
        <f t="shared" si="200"/>
        <v>0</v>
      </c>
      <c r="P323" s="159">
        <v>7.5</v>
      </c>
      <c r="Q323" s="111">
        <v>3</v>
      </c>
      <c r="R323" s="111"/>
    </row>
    <row r="324" spans="1:19" ht="27">
      <c r="A324" s="110" t="s">
        <v>771</v>
      </c>
      <c r="B324" s="111" t="s">
        <v>309</v>
      </c>
      <c r="D324" s="113" t="s">
        <v>20</v>
      </c>
      <c r="E324" s="175" t="s">
        <v>15</v>
      </c>
      <c r="F324" s="175" t="s">
        <v>64</v>
      </c>
      <c r="I324" s="78">
        <f>SUM(I321:I323)</f>
        <v>58</v>
      </c>
      <c r="J324" s="214">
        <f>SUM(J321:J323)</f>
        <v>19.640909000000001</v>
      </c>
      <c r="L324" s="78">
        <f>SUM(L321:L323)</f>
        <v>58</v>
      </c>
      <c r="M324" s="214">
        <f>SUM(M321:M323)</f>
        <v>19.640908999999997</v>
      </c>
      <c r="N324" s="78">
        <f>SUM(N321:N323)</f>
        <v>0</v>
      </c>
      <c r="O324" s="214">
        <f>SUM(O321:O323)</f>
        <v>0</v>
      </c>
    </row>
    <row r="325" spans="1:19" s="213" customFormat="1">
      <c r="A325" s="110"/>
      <c r="B325" s="111"/>
      <c r="D325" s="113"/>
      <c r="E325" s="175"/>
      <c r="F325" s="175"/>
      <c r="I325" s="78"/>
      <c r="J325" s="214"/>
      <c r="L325" s="78"/>
      <c r="M325" s="214"/>
      <c r="N325" s="78"/>
      <c r="O325" s="214"/>
      <c r="S325" s="186"/>
    </row>
    <row r="326" spans="1:19" ht="27">
      <c r="A326" s="110" t="s">
        <v>771</v>
      </c>
      <c r="B326" s="111" t="s">
        <v>309</v>
      </c>
      <c r="C326" s="112" t="s">
        <v>228</v>
      </c>
      <c r="D326" s="113" t="s">
        <v>88</v>
      </c>
      <c r="E326" s="175" t="s">
        <v>15</v>
      </c>
      <c r="F326" s="175" t="s">
        <v>57</v>
      </c>
      <c r="G326" s="176">
        <v>33.72</v>
      </c>
      <c r="H326" s="177">
        <v>9</v>
      </c>
      <c r="I326" s="178">
        <v>6</v>
      </c>
      <c r="J326" s="174">
        <f>(G326*H326*I326/1000)</f>
        <v>1.8208800000000001</v>
      </c>
      <c r="K326" s="118"/>
      <c r="L326" s="178">
        <v>6</v>
      </c>
      <c r="M326" s="117">
        <f t="shared" ref="M326" si="201">H326*L326*G326/1000</f>
        <v>1.8208799999999998</v>
      </c>
      <c r="N326" s="119">
        <f t="shared" ref="N326" si="202">I326-L326</f>
        <v>0</v>
      </c>
      <c r="O326" s="120">
        <f>H326*N326*G326/1000</f>
        <v>0</v>
      </c>
      <c r="P326" s="159" t="s">
        <v>772</v>
      </c>
      <c r="Q326" s="111"/>
      <c r="R326" s="111"/>
    </row>
    <row r="327" spans="1:19" ht="27">
      <c r="A327" s="110" t="s">
        <v>771</v>
      </c>
      <c r="B327" s="111" t="s">
        <v>309</v>
      </c>
      <c r="C327" s="112" t="s">
        <v>228</v>
      </c>
      <c r="D327" s="113" t="s">
        <v>88</v>
      </c>
      <c r="E327" s="175" t="s">
        <v>15</v>
      </c>
      <c r="F327" s="175" t="s">
        <v>57</v>
      </c>
      <c r="G327" s="176">
        <v>33.72</v>
      </c>
      <c r="H327" s="177">
        <v>9.5</v>
      </c>
      <c r="I327" s="178">
        <v>5</v>
      </c>
      <c r="J327" s="174">
        <f t="shared" ref="J327:J329" si="203">(G327*H327*I327/1000)</f>
        <v>1.6016999999999999</v>
      </c>
      <c r="K327" s="118"/>
      <c r="L327" s="178">
        <v>5</v>
      </c>
      <c r="M327" s="117">
        <f t="shared" ref="M327:M329" si="204">H327*L327*G327/1000</f>
        <v>1.6017000000000001</v>
      </c>
      <c r="N327" s="119">
        <f t="shared" ref="N327:N329" si="205">I327-L327</f>
        <v>0</v>
      </c>
      <c r="O327" s="120">
        <f>H327*N327*G327/1000</f>
        <v>0</v>
      </c>
      <c r="P327" s="159" t="s">
        <v>772</v>
      </c>
      <c r="Q327" s="111"/>
      <c r="R327" s="111"/>
    </row>
    <row r="328" spans="1:19" ht="27">
      <c r="A328" s="110" t="s">
        <v>771</v>
      </c>
      <c r="B328" s="111" t="s">
        <v>309</v>
      </c>
      <c r="C328" s="112" t="s">
        <v>228</v>
      </c>
      <c r="D328" s="113" t="s">
        <v>88</v>
      </c>
      <c r="E328" s="175" t="s">
        <v>15</v>
      </c>
      <c r="F328" s="175" t="s">
        <v>57</v>
      </c>
      <c r="G328" s="176">
        <v>33.72</v>
      </c>
      <c r="H328" s="177">
        <v>10</v>
      </c>
      <c r="I328" s="178">
        <v>3</v>
      </c>
      <c r="J328" s="174">
        <f t="shared" si="203"/>
        <v>1.0115999999999998</v>
      </c>
      <c r="K328" s="118"/>
      <c r="L328" s="178">
        <v>3</v>
      </c>
      <c r="M328" s="117">
        <f t="shared" si="204"/>
        <v>1.0115999999999998</v>
      </c>
      <c r="N328" s="119">
        <f t="shared" si="205"/>
        <v>0</v>
      </c>
      <c r="O328" s="120">
        <f>H328*N328*G328/1000</f>
        <v>0</v>
      </c>
      <c r="P328" s="159" t="s">
        <v>772</v>
      </c>
      <c r="Q328" s="111"/>
      <c r="R328" s="111"/>
    </row>
    <row r="329" spans="1:19" ht="27">
      <c r="A329" s="110" t="s">
        <v>771</v>
      </c>
      <c r="B329" s="111" t="s">
        <v>309</v>
      </c>
      <c r="C329" s="112" t="s">
        <v>228</v>
      </c>
      <c r="D329" s="113" t="s">
        <v>88</v>
      </c>
      <c r="E329" s="175" t="s">
        <v>15</v>
      </c>
      <c r="F329" s="175" t="s">
        <v>57</v>
      </c>
      <c r="G329" s="176">
        <v>33.72</v>
      </c>
      <c r="H329" s="177">
        <v>6.2</v>
      </c>
      <c r="I329" s="178">
        <v>1</v>
      </c>
      <c r="J329" s="174">
        <f t="shared" si="203"/>
        <v>0.209064</v>
      </c>
      <c r="K329" s="118"/>
      <c r="L329" s="178">
        <v>1</v>
      </c>
      <c r="M329" s="117">
        <f t="shared" si="204"/>
        <v>0.209064</v>
      </c>
      <c r="N329" s="119">
        <f t="shared" si="205"/>
        <v>0</v>
      </c>
      <c r="O329" s="120">
        <f>H329*N329*G329/1000</f>
        <v>0</v>
      </c>
      <c r="P329" s="159" t="s">
        <v>772</v>
      </c>
      <c r="Q329" s="111"/>
      <c r="R329" s="111"/>
    </row>
    <row r="330" spans="1:19" ht="27">
      <c r="A330" s="110" t="s">
        <v>771</v>
      </c>
      <c r="B330" s="111" t="s">
        <v>309</v>
      </c>
      <c r="C330" s="112" t="s">
        <v>228</v>
      </c>
      <c r="D330" s="113" t="s">
        <v>88</v>
      </c>
      <c r="E330" s="175" t="s">
        <v>15</v>
      </c>
      <c r="F330" s="175" t="s">
        <v>57</v>
      </c>
      <c r="G330" s="176">
        <v>33.72</v>
      </c>
      <c r="H330" s="177">
        <v>12</v>
      </c>
      <c r="I330" s="178">
        <v>2</v>
      </c>
      <c r="J330" s="174">
        <f>(G330*H330*I330/1000)</f>
        <v>0.80928</v>
      </c>
      <c r="K330" s="32"/>
      <c r="L330" s="178">
        <v>2</v>
      </c>
      <c r="M330" s="117">
        <f t="shared" ref="M330" si="206">H330*L330*G330/1000</f>
        <v>0.80928</v>
      </c>
      <c r="N330" s="119">
        <f t="shared" ref="N330" si="207">I330-L330</f>
        <v>0</v>
      </c>
      <c r="O330" s="117">
        <f>H330*N330*G330/1000</f>
        <v>0</v>
      </c>
      <c r="P330" s="159"/>
      <c r="Q330" s="111">
        <v>2</v>
      </c>
      <c r="R330" s="111" t="s">
        <v>776</v>
      </c>
    </row>
    <row r="331" spans="1:19" ht="27">
      <c r="A331" s="110" t="s">
        <v>771</v>
      </c>
      <c r="B331" s="111" t="s">
        <v>309</v>
      </c>
      <c r="C331" s="32"/>
      <c r="D331" s="113" t="s">
        <v>88</v>
      </c>
      <c r="E331" s="175" t="s">
        <v>15</v>
      </c>
      <c r="F331" s="175" t="s">
        <v>57</v>
      </c>
      <c r="G331" s="32"/>
      <c r="H331" s="32"/>
      <c r="I331" s="129">
        <f>SUM(I326:I330)</f>
        <v>17</v>
      </c>
      <c r="J331" s="124">
        <f>SUM(J326:J330)</f>
        <v>5.4525239999999995</v>
      </c>
      <c r="K331" s="32"/>
      <c r="L331" s="129">
        <f>SUM(L326:L330)</f>
        <v>17</v>
      </c>
      <c r="M331" s="124">
        <f>SUM(M326:M330)</f>
        <v>5.4525239999999995</v>
      </c>
      <c r="N331" s="131">
        <f>SUM(N326:N330)</f>
        <v>0</v>
      </c>
      <c r="O331" s="124">
        <f>SUM(O326:O330)</f>
        <v>0</v>
      </c>
      <c r="P331" s="32"/>
      <c r="Q331" s="32"/>
      <c r="R331" s="32"/>
    </row>
    <row r="332" spans="1:19" s="213" customFormat="1">
      <c r="A332" s="110"/>
      <c r="B332" s="111"/>
      <c r="C332" s="32"/>
      <c r="D332" s="113"/>
      <c r="E332" s="175"/>
      <c r="F332" s="175"/>
      <c r="G332" s="32"/>
      <c r="H332" s="32"/>
      <c r="I332" s="129"/>
      <c r="J332" s="124"/>
      <c r="K332" s="32"/>
      <c r="L332" s="129"/>
      <c r="M332" s="124"/>
      <c r="N332" s="131"/>
      <c r="O332" s="124"/>
      <c r="P332" s="32"/>
      <c r="Q332" s="32"/>
      <c r="R332" s="32"/>
      <c r="S332" s="186"/>
    </row>
    <row r="333" spans="1:19" ht="27">
      <c r="A333" s="110" t="s">
        <v>771</v>
      </c>
      <c r="B333" s="111" t="s">
        <v>428</v>
      </c>
      <c r="C333" s="112" t="s">
        <v>449</v>
      </c>
      <c r="D333" s="113" t="s">
        <v>20</v>
      </c>
      <c r="E333" s="175" t="s">
        <v>15</v>
      </c>
      <c r="F333" s="175" t="s">
        <v>65</v>
      </c>
      <c r="G333" s="176">
        <v>44.2</v>
      </c>
      <c r="H333" s="177">
        <v>7.4</v>
      </c>
      <c r="I333" s="178">
        <v>6</v>
      </c>
      <c r="J333" s="174">
        <f t="shared" ref="J333" si="208">(G333*H333*I333/1000)</f>
        <v>1.9624800000000002</v>
      </c>
      <c r="K333" s="118"/>
      <c r="L333" s="178">
        <v>6</v>
      </c>
      <c r="M333" s="117">
        <f t="shared" ref="M333" si="209">H333*L333*G333/1000</f>
        <v>1.9624800000000004</v>
      </c>
      <c r="N333" s="119">
        <f t="shared" ref="N333" si="210">I333-L333</f>
        <v>0</v>
      </c>
      <c r="O333" s="120">
        <f t="shared" ref="O333" si="211">H333*N333*G333/1000</f>
        <v>0</v>
      </c>
      <c r="P333" s="67"/>
      <c r="Q333" s="32"/>
      <c r="R333" s="32"/>
    </row>
    <row r="334" spans="1:19" ht="27">
      <c r="A334" s="110" t="s">
        <v>771</v>
      </c>
      <c r="B334" s="111" t="s">
        <v>428</v>
      </c>
      <c r="C334" s="112" t="s">
        <v>449</v>
      </c>
      <c r="D334" s="113" t="s">
        <v>20</v>
      </c>
      <c r="E334" s="175" t="s">
        <v>15</v>
      </c>
      <c r="F334" s="175" t="s">
        <v>65</v>
      </c>
      <c r="G334" s="176">
        <v>44.2</v>
      </c>
      <c r="H334" s="177">
        <v>7.4</v>
      </c>
      <c r="I334" s="178">
        <v>6</v>
      </c>
      <c r="J334" s="174">
        <f t="shared" ref="J334:J340" si="212">(G334*H334*I334/1000)</f>
        <v>1.9624800000000002</v>
      </c>
      <c r="K334" s="118"/>
      <c r="L334" s="178">
        <v>6</v>
      </c>
      <c r="M334" s="117">
        <f t="shared" ref="M334:M340" si="213">H334*L334*G334/1000</f>
        <v>1.9624800000000004</v>
      </c>
      <c r="N334" s="119">
        <f t="shared" ref="N334:N340" si="214">I334-L334</f>
        <v>0</v>
      </c>
      <c r="O334" s="120">
        <f t="shared" ref="O334:O340" si="215">H334*N334*G334/1000</f>
        <v>0</v>
      </c>
      <c r="P334" s="67"/>
      <c r="Q334" s="32"/>
      <c r="R334" s="32"/>
    </row>
    <row r="335" spans="1:19" ht="27">
      <c r="A335" s="110" t="s">
        <v>771</v>
      </c>
      <c r="B335" s="111" t="s">
        <v>428</v>
      </c>
      <c r="C335" s="112" t="s">
        <v>449</v>
      </c>
      <c r="D335" s="113" t="s">
        <v>20</v>
      </c>
      <c r="E335" s="175" t="s">
        <v>15</v>
      </c>
      <c r="F335" s="175" t="s">
        <v>65</v>
      </c>
      <c r="G335" s="176">
        <v>44.2</v>
      </c>
      <c r="H335" s="177">
        <v>9.1</v>
      </c>
      <c r="I335" s="178">
        <v>6</v>
      </c>
      <c r="J335" s="174">
        <f t="shared" si="212"/>
        <v>2.4133200000000001</v>
      </c>
      <c r="K335" s="118"/>
      <c r="L335" s="178">
        <v>6</v>
      </c>
      <c r="M335" s="117">
        <f t="shared" si="213"/>
        <v>2.4133199999999997</v>
      </c>
      <c r="N335" s="119">
        <f t="shared" si="214"/>
        <v>0</v>
      </c>
      <c r="O335" s="120">
        <f t="shared" si="215"/>
        <v>0</v>
      </c>
      <c r="P335" s="67"/>
      <c r="Q335" s="32"/>
      <c r="R335" s="32"/>
    </row>
    <row r="336" spans="1:19" ht="27">
      <c r="A336" s="110" t="s">
        <v>771</v>
      </c>
      <c r="B336" s="111" t="s">
        <v>428</v>
      </c>
      <c r="C336" s="112" t="s">
        <v>449</v>
      </c>
      <c r="D336" s="113" t="s">
        <v>20</v>
      </c>
      <c r="E336" s="175" t="s">
        <v>15</v>
      </c>
      <c r="F336" s="175" t="s">
        <v>65</v>
      </c>
      <c r="G336" s="176">
        <v>44.2</v>
      </c>
      <c r="H336" s="177">
        <v>9.1</v>
      </c>
      <c r="I336" s="178">
        <v>6</v>
      </c>
      <c r="J336" s="174">
        <f t="shared" si="212"/>
        <v>2.4133200000000001</v>
      </c>
      <c r="K336" s="118"/>
      <c r="L336" s="178">
        <v>6</v>
      </c>
      <c r="M336" s="117">
        <f t="shared" si="213"/>
        <v>2.4133199999999997</v>
      </c>
      <c r="N336" s="119">
        <f t="shared" si="214"/>
        <v>0</v>
      </c>
      <c r="O336" s="120">
        <f t="shared" si="215"/>
        <v>0</v>
      </c>
      <c r="P336" s="67"/>
      <c r="Q336" s="32"/>
      <c r="R336" s="32"/>
    </row>
    <row r="337" spans="1:18" ht="27">
      <c r="A337" s="110" t="s">
        <v>771</v>
      </c>
      <c r="B337" s="111" t="s">
        <v>428</v>
      </c>
      <c r="C337" s="112" t="s">
        <v>449</v>
      </c>
      <c r="D337" s="113" t="s">
        <v>20</v>
      </c>
      <c r="E337" s="175" t="s">
        <v>15</v>
      </c>
      <c r="F337" s="175" t="s">
        <v>65</v>
      </c>
      <c r="G337" s="176">
        <v>44.2</v>
      </c>
      <c r="H337" s="177">
        <v>7.4</v>
      </c>
      <c r="I337" s="178">
        <v>6</v>
      </c>
      <c r="J337" s="174">
        <f t="shared" si="212"/>
        <v>1.9624800000000002</v>
      </c>
      <c r="K337" s="118"/>
      <c r="L337" s="178">
        <v>6</v>
      </c>
      <c r="M337" s="117">
        <f t="shared" si="213"/>
        <v>1.9624800000000004</v>
      </c>
      <c r="N337" s="119">
        <f t="shared" si="214"/>
        <v>0</v>
      </c>
      <c r="O337" s="120">
        <f t="shared" si="215"/>
        <v>0</v>
      </c>
      <c r="P337" s="67"/>
      <c r="Q337" s="32"/>
      <c r="R337" s="32"/>
    </row>
    <row r="338" spans="1:18" ht="27">
      <c r="A338" s="110" t="s">
        <v>771</v>
      </c>
      <c r="B338" s="111" t="s">
        <v>428</v>
      </c>
      <c r="C338" s="112" t="s">
        <v>449</v>
      </c>
      <c r="D338" s="113" t="s">
        <v>20</v>
      </c>
      <c r="E338" s="175" t="s">
        <v>15</v>
      </c>
      <c r="F338" s="175" t="s">
        <v>65</v>
      </c>
      <c r="G338" s="176">
        <v>44.2</v>
      </c>
      <c r="H338" s="177">
        <v>7.4</v>
      </c>
      <c r="I338" s="178">
        <v>6</v>
      </c>
      <c r="J338" s="174">
        <f t="shared" si="212"/>
        <v>1.9624800000000002</v>
      </c>
      <c r="K338" s="118"/>
      <c r="L338" s="178">
        <v>6</v>
      </c>
      <c r="M338" s="117">
        <f t="shared" si="213"/>
        <v>1.9624800000000004</v>
      </c>
      <c r="N338" s="119">
        <f t="shared" si="214"/>
        <v>0</v>
      </c>
      <c r="O338" s="120">
        <f t="shared" si="215"/>
        <v>0</v>
      </c>
      <c r="P338" s="67"/>
      <c r="Q338" s="32"/>
      <c r="R338" s="32"/>
    </row>
    <row r="339" spans="1:18" ht="27">
      <c r="A339" s="110" t="s">
        <v>771</v>
      </c>
      <c r="B339" s="111" t="s">
        <v>428</v>
      </c>
      <c r="C339" s="112" t="s">
        <v>449</v>
      </c>
      <c r="D339" s="113" t="s">
        <v>20</v>
      </c>
      <c r="E339" s="175" t="s">
        <v>15</v>
      </c>
      <c r="F339" s="175" t="s">
        <v>65</v>
      </c>
      <c r="G339" s="176">
        <v>44.2</v>
      </c>
      <c r="H339" s="177">
        <v>6.3</v>
      </c>
      <c r="I339" s="178">
        <v>6</v>
      </c>
      <c r="J339" s="174">
        <f t="shared" si="212"/>
        <v>1.6707600000000002</v>
      </c>
      <c r="K339" s="118"/>
      <c r="L339" s="178">
        <v>6</v>
      </c>
      <c r="M339" s="117">
        <f t="shared" si="213"/>
        <v>1.67076</v>
      </c>
      <c r="N339" s="119">
        <f t="shared" si="214"/>
        <v>0</v>
      </c>
      <c r="O339" s="120">
        <f t="shared" si="215"/>
        <v>0</v>
      </c>
      <c r="P339" s="67"/>
      <c r="Q339" s="32"/>
      <c r="R339" s="32"/>
    </row>
    <row r="340" spans="1:18" ht="27">
      <c r="A340" s="110" t="s">
        <v>771</v>
      </c>
      <c r="B340" s="111" t="s">
        <v>428</v>
      </c>
      <c r="C340" s="112" t="s">
        <v>449</v>
      </c>
      <c r="D340" s="113" t="s">
        <v>20</v>
      </c>
      <c r="E340" s="175" t="s">
        <v>15</v>
      </c>
      <c r="F340" s="175" t="s">
        <v>65</v>
      </c>
      <c r="G340" s="176">
        <v>44.2</v>
      </c>
      <c r="H340" s="177">
        <v>6.3</v>
      </c>
      <c r="I340" s="178">
        <v>6</v>
      </c>
      <c r="J340" s="174">
        <f t="shared" si="212"/>
        <v>1.6707600000000002</v>
      </c>
      <c r="K340" s="118"/>
      <c r="L340" s="178">
        <v>6</v>
      </c>
      <c r="M340" s="117">
        <f t="shared" si="213"/>
        <v>1.67076</v>
      </c>
      <c r="N340" s="119">
        <f t="shared" si="214"/>
        <v>0</v>
      </c>
      <c r="O340" s="120">
        <f t="shared" si="215"/>
        <v>0</v>
      </c>
      <c r="P340" s="67"/>
      <c r="Q340" s="32"/>
      <c r="R340" s="32"/>
    </row>
    <row r="341" spans="1:18" ht="27">
      <c r="A341" s="110" t="s">
        <v>771</v>
      </c>
      <c r="B341" s="111" t="s">
        <v>428</v>
      </c>
      <c r="C341" s="112" t="s">
        <v>449</v>
      </c>
      <c r="D341" s="113" t="s">
        <v>20</v>
      </c>
      <c r="E341" s="175" t="s">
        <v>15</v>
      </c>
      <c r="F341" s="175" t="s">
        <v>65</v>
      </c>
      <c r="G341" s="176">
        <v>44.2</v>
      </c>
      <c r="H341" s="127">
        <v>9.1</v>
      </c>
      <c r="I341" s="178">
        <v>7</v>
      </c>
      <c r="J341" s="174">
        <f t="shared" ref="J341:J345" si="216">(G341*H341*I341/1000)</f>
        <v>2.8155399999999999</v>
      </c>
      <c r="K341" s="118"/>
      <c r="L341" s="111">
        <v>7</v>
      </c>
      <c r="M341" s="117">
        <f t="shared" ref="M341:M346" si="217">H341*L341*G341/1000</f>
        <v>2.8155399999999999</v>
      </c>
      <c r="N341" s="119">
        <f t="shared" ref="N341:N346" si="218">I341-L341</f>
        <v>0</v>
      </c>
      <c r="O341" s="120">
        <f t="shared" ref="O341:O346" si="219">H341*N341*G341/1000</f>
        <v>0</v>
      </c>
      <c r="P341" s="67"/>
      <c r="Q341" s="32"/>
      <c r="R341" s="32"/>
    </row>
    <row r="342" spans="1:18" ht="27">
      <c r="A342" s="110" t="s">
        <v>771</v>
      </c>
      <c r="B342" s="111" t="s">
        <v>428</v>
      </c>
      <c r="C342" s="112" t="s">
        <v>449</v>
      </c>
      <c r="D342" s="113" t="s">
        <v>20</v>
      </c>
      <c r="E342" s="175" t="s">
        <v>15</v>
      </c>
      <c r="F342" s="175" t="s">
        <v>65</v>
      </c>
      <c r="G342" s="176">
        <v>44.2</v>
      </c>
      <c r="H342" s="179">
        <v>10</v>
      </c>
      <c r="I342" s="178">
        <v>6</v>
      </c>
      <c r="J342" s="174">
        <f t="shared" si="216"/>
        <v>2.6520000000000001</v>
      </c>
      <c r="K342" s="118"/>
      <c r="L342" s="178">
        <v>6</v>
      </c>
      <c r="M342" s="117">
        <f t="shared" si="217"/>
        <v>2.6520000000000001</v>
      </c>
      <c r="N342" s="119">
        <f t="shared" si="218"/>
        <v>0</v>
      </c>
      <c r="O342" s="120">
        <f t="shared" si="219"/>
        <v>0</v>
      </c>
      <c r="P342" s="67"/>
      <c r="Q342" s="32"/>
      <c r="R342" s="32"/>
    </row>
    <row r="343" spans="1:18" ht="27">
      <c r="A343" s="110" t="s">
        <v>771</v>
      </c>
      <c r="B343" s="111" t="s">
        <v>428</v>
      </c>
      <c r="C343" s="112" t="s">
        <v>449</v>
      </c>
      <c r="D343" s="113" t="s">
        <v>20</v>
      </c>
      <c r="E343" s="175" t="s">
        <v>15</v>
      </c>
      <c r="F343" s="175" t="s">
        <v>65</v>
      </c>
      <c r="G343" s="176">
        <v>44.2</v>
      </c>
      <c r="H343" s="179">
        <v>8.6</v>
      </c>
      <c r="I343" s="178">
        <v>6</v>
      </c>
      <c r="J343" s="174">
        <f t="shared" si="216"/>
        <v>2.2807200000000001</v>
      </c>
      <c r="K343" s="118"/>
      <c r="L343" s="111">
        <v>6</v>
      </c>
      <c r="M343" s="117">
        <f t="shared" si="217"/>
        <v>2.2807199999999996</v>
      </c>
      <c r="N343" s="119">
        <f t="shared" si="218"/>
        <v>0</v>
      </c>
      <c r="O343" s="120">
        <f t="shared" si="219"/>
        <v>0</v>
      </c>
      <c r="P343" s="67"/>
      <c r="Q343" s="32"/>
      <c r="R343" s="32"/>
    </row>
    <row r="344" spans="1:18" ht="27">
      <c r="A344" s="110" t="s">
        <v>771</v>
      </c>
      <c r="B344" s="111" t="s">
        <v>428</v>
      </c>
      <c r="C344" s="112" t="s">
        <v>449</v>
      </c>
      <c r="D344" s="113" t="s">
        <v>20</v>
      </c>
      <c r="E344" s="175" t="s">
        <v>15</v>
      </c>
      <c r="F344" s="175" t="s">
        <v>65</v>
      </c>
      <c r="G344" s="176">
        <v>44.2</v>
      </c>
      <c r="H344" s="179">
        <v>6.3</v>
      </c>
      <c r="I344" s="178">
        <v>2</v>
      </c>
      <c r="J344" s="174">
        <f t="shared" si="216"/>
        <v>0.55692000000000008</v>
      </c>
      <c r="K344" s="118"/>
      <c r="L344" s="111">
        <v>2</v>
      </c>
      <c r="M344" s="117">
        <f t="shared" si="217"/>
        <v>0.55692000000000008</v>
      </c>
      <c r="N344" s="119">
        <f t="shared" si="218"/>
        <v>0</v>
      </c>
      <c r="O344" s="120">
        <f t="shared" si="219"/>
        <v>0</v>
      </c>
      <c r="P344" s="67"/>
      <c r="Q344" s="32"/>
      <c r="R344" s="32"/>
    </row>
    <row r="345" spans="1:18" ht="27">
      <c r="A345" s="110" t="s">
        <v>771</v>
      </c>
      <c r="B345" s="111" t="s">
        <v>428</v>
      </c>
      <c r="C345" s="112" t="s">
        <v>449</v>
      </c>
      <c r="D345" s="113" t="s">
        <v>20</v>
      </c>
      <c r="E345" s="175" t="s">
        <v>15</v>
      </c>
      <c r="F345" s="175" t="s">
        <v>65</v>
      </c>
      <c r="G345" s="176">
        <v>44.2</v>
      </c>
      <c r="H345" s="179">
        <v>8.4</v>
      </c>
      <c r="I345" s="178">
        <v>1</v>
      </c>
      <c r="J345" s="174">
        <f t="shared" si="216"/>
        <v>0.37128000000000005</v>
      </c>
      <c r="K345" s="118"/>
      <c r="L345" s="111"/>
      <c r="M345" s="117">
        <f t="shared" si="217"/>
        <v>0</v>
      </c>
      <c r="N345" s="119">
        <f t="shared" si="218"/>
        <v>1</v>
      </c>
      <c r="O345" s="120">
        <f t="shared" si="219"/>
        <v>0.37128000000000005</v>
      </c>
      <c r="P345" s="67"/>
      <c r="Q345" s="32"/>
      <c r="R345" s="32"/>
    </row>
    <row r="346" spans="1:18" ht="27">
      <c r="A346" s="110" t="s">
        <v>771</v>
      </c>
      <c r="B346" s="111" t="s">
        <v>428</v>
      </c>
      <c r="C346" s="112" t="s">
        <v>449</v>
      </c>
      <c r="D346" s="113" t="s">
        <v>20</v>
      </c>
      <c r="E346" s="175" t="s">
        <v>15</v>
      </c>
      <c r="F346" s="175" t="s">
        <v>65</v>
      </c>
      <c r="G346" s="176">
        <v>44.2</v>
      </c>
      <c r="H346" s="179">
        <v>12</v>
      </c>
      <c r="I346" s="178">
        <v>1</v>
      </c>
      <c r="J346" s="174">
        <f>(G346*H346*I346/1000)</f>
        <v>0.53040000000000009</v>
      </c>
      <c r="K346" s="118"/>
      <c r="L346" s="111"/>
      <c r="M346" s="117">
        <f t="shared" si="217"/>
        <v>0</v>
      </c>
      <c r="N346" s="119">
        <f t="shared" si="218"/>
        <v>1</v>
      </c>
      <c r="O346" s="120">
        <f t="shared" si="219"/>
        <v>0.53040000000000009</v>
      </c>
      <c r="P346" s="67"/>
      <c r="Q346" s="32"/>
      <c r="R346" s="32"/>
    </row>
    <row r="347" spans="1:18" ht="27">
      <c r="A347" s="110" t="s">
        <v>771</v>
      </c>
      <c r="B347" s="111" t="s">
        <v>428</v>
      </c>
      <c r="C347" s="112" t="s">
        <v>449</v>
      </c>
      <c r="D347" s="113" t="s">
        <v>20</v>
      </c>
      <c r="E347" s="175" t="s">
        <v>15</v>
      </c>
      <c r="F347" s="175" t="s">
        <v>65</v>
      </c>
      <c r="G347" s="176">
        <v>44.2</v>
      </c>
      <c r="H347" s="179">
        <v>6.3</v>
      </c>
      <c r="I347" s="416">
        <v>1</v>
      </c>
      <c r="J347" s="174">
        <f t="shared" ref="J347:J353" si="220">(G347*H347*I347/1000)</f>
        <v>0.27846000000000004</v>
      </c>
      <c r="K347" s="118"/>
      <c r="L347" s="111">
        <v>1</v>
      </c>
      <c r="M347" s="117">
        <f t="shared" ref="M347:M353" si="221">H347*L347*G347/1000</f>
        <v>0.27846000000000004</v>
      </c>
      <c r="N347" s="119">
        <f t="shared" ref="N347:N353" si="222">I347-L347</f>
        <v>0</v>
      </c>
      <c r="O347" s="120">
        <f t="shared" ref="O347:O351" si="223">H347*N347*G347/1000</f>
        <v>0</v>
      </c>
      <c r="P347" s="67"/>
      <c r="Q347" s="32"/>
      <c r="R347" s="32"/>
    </row>
    <row r="348" spans="1:18" ht="27">
      <c r="A348" s="110" t="s">
        <v>771</v>
      </c>
      <c r="B348" s="111" t="s">
        <v>428</v>
      </c>
      <c r="C348" s="112" t="s">
        <v>449</v>
      </c>
      <c r="D348" s="113" t="s">
        <v>20</v>
      </c>
      <c r="E348" s="175" t="s">
        <v>15</v>
      </c>
      <c r="F348" s="175" t="s">
        <v>65</v>
      </c>
      <c r="G348" s="176">
        <v>44.2</v>
      </c>
      <c r="H348" s="179">
        <v>7.4</v>
      </c>
      <c r="I348" s="416">
        <v>1</v>
      </c>
      <c r="J348" s="174">
        <f t="shared" si="220"/>
        <v>0.32708000000000004</v>
      </c>
      <c r="K348" s="118"/>
      <c r="L348" s="111"/>
      <c r="M348" s="117">
        <f t="shared" si="221"/>
        <v>0</v>
      </c>
      <c r="N348" s="119">
        <f t="shared" si="222"/>
        <v>1</v>
      </c>
      <c r="O348" s="120">
        <f t="shared" si="223"/>
        <v>0.32708000000000004</v>
      </c>
      <c r="P348" s="67"/>
      <c r="Q348" s="32"/>
      <c r="R348" s="32"/>
    </row>
    <row r="349" spans="1:18" ht="27">
      <c r="A349" s="110" t="s">
        <v>771</v>
      </c>
      <c r="B349" s="111" t="s">
        <v>428</v>
      </c>
      <c r="C349" s="112" t="s">
        <v>449</v>
      </c>
      <c r="D349" s="113" t="s">
        <v>20</v>
      </c>
      <c r="E349" s="175" t="s">
        <v>15</v>
      </c>
      <c r="F349" s="175" t="s">
        <v>65</v>
      </c>
      <c r="G349" s="176">
        <v>44.2</v>
      </c>
      <c r="H349" s="179">
        <v>9.1</v>
      </c>
      <c r="I349" s="416">
        <v>1</v>
      </c>
      <c r="J349" s="174">
        <f t="shared" si="220"/>
        <v>0.40222000000000002</v>
      </c>
      <c r="K349" s="118"/>
      <c r="L349" s="111">
        <v>1</v>
      </c>
      <c r="M349" s="117">
        <f t="shared" si="221"/>
        <v>0.40222000000000002</v>
      </c>
      <c r="N349" s="119">
        <f t="shared" si="222"/>
        <v>0</v>
      </c>
      <c r="O349" s="120">
        <f t="shared" si="223"/>
        <v>0</v>
      </c>
      <c r="P349" s="67"/>
      <c r="Q349" s="32"/>
      <c r="R349" s="32"/>
    </row>
    <row r="350" spans="1:18" ht="27">
      <c r="A350" s="110" t="s">
        <v>771</v>
      </c>
      <c r="B350" s="111" t="s">
        <v>428</v>
      </c>
      <c r="C350" s="112" t="s">
        <v>449</v>
      </c>
      <c r="D350" s="113" t="s">
        <v>20</v>
      </c>
      <c r="E350" s="175" t="s">
        <v>15</v>
      </c>
      <c r="F350" s="175" t="s">
        <v>65</v>
      </c>
      <c r="G350" s="176">
        <v>44.2</v>
      </c>
      <c r="H350" s="179">
        <v>10</v>
      </c>
      <c r="I350" s="416">
        <v>2</v>
      </c>
      <c r="J350" s="174">
        <f t="shared" si="220"/>
        <v>0.88400000000000001</v>
      </c>
      <c r="K350" s="118"/>
      <c r="L350" s="111">
        <v>2</v>
      </c>
      <c r="M350" s="117">
        <f t="shared" si="221"/>
        <v>0.88400000000000001</v>
      </c>
      <c r="N350" s="119">
        <f t="shared" si="222"/>
        <v>0</v>
      </c>
      <c r="O350" s="120">
        <f t="shared" si="223"/>
        <v>0</v>
      </c>
      <c r="P350" s="67"/>
      <c r="Q350" s="32"/>
      <c r="R350" s="32"/>
    </row>
    <row r="351" spans="1:18" ht="27">
      <c r="A351" s="110" t="s">
        <v>771</v>
      </c>
      <c r="B351" s="111" t="s">
        <v>428</v>
      </c>
      <c r="C351" s="112" t="s">
        <v>449</v>
      </c>
      <c r="D351" s="113" t="s">
        <v>20</v>
      </c>
      <c r="E351" s="175" t="s">
        <v>15</v>
      </c>
      <c r="F351" s="175" t="s">
        <v>65</v>
      </c>
      <c r="G351" s="176">
        <v>44.2</v>
      </c>
      <c r="H351" s="179">
        <v>7.4</v>
      </c>
      <c r="I351" s="416">
        <v>2</v>
      </c>
      <c r="J351" s="174">
        <f t="shared" si="220"/>
        <v>0.65416000000000007</v>
      </c>
      <c r="K351" s="118"/>
      <c r="L351" s="111"/>
      <c r="M351" s="117">
        <f t="shared" si="221"/>
        <v>0</v>
      </c>
      <c r="N351" s="119">
        <f t="shared" si="222"/>
        <v>2</v>
      </c>
      <c r="O351" s="120">
        <f t="shared" si="223"/>
        <v>0.65416000000000007</v>
      </c>
      <c r="P351" s="67"/>
      <c r="Q351" s="32"/>
      <c r="R351" s="32"/>
    </row>
    <row r="352" spans="1:18" ht="27">
      <c r="A352" s="110" t="s">
        <v>771</v>
      </c>
      <c r="B352" s="111" t="s">
        <v>428</v>
      </c>
      <c r="C352" s="112" t="s">
        <v>449</v>
      </c>
      <c r="D352" s="113" t="s">
        <v>20</v>
      </c>
      <c r="E352" s="175" t="s">
        <v>15</v>
      </c>
      <c r="F352" s="175" t="s">
        <v>65</v>
      </c>
      <c r="G352" s="176">
        <v>44.2</v>
      </c>
      <c r="H352" s="179">
        <v>6.3</v>
      </c>
      <c r="I352" s="416">
        <v>1</v>
      </c>
      <c r="J352" s="174">
        <f t="shared" si="220"/>
        <v>0.27846000000000004</v>
      </c>
      <c r="K352" s="118"/>
      <c r="L352" s="111"/>
      <c r="M352" s="117">
        <f t="shared" si="221"/>
        <v>0</v>
      </c>
      <c r="N352" s="119">
        <f t="shared" si="222"/>
        <v>1</v>
      </c>
      <c r="O352" s="120">
        <f>H352*N352*G352/1000</f>
        <v>0.27846000000000004</v>
      </c>
      <c r="P352" s="67"/>
      <c r="Q352" s="32"/>
      <c r="R352" s="32"/>
    </row>
    <row r="353" spans="1:19" ht="27">
      <c r="A353" s="110" t="s">
        <v>771</v>
      </c>
      <c r="B353" s="111" t="s">
        <v>428</v>
      </c>
      <c r="C353" s="112" t="s">
        <v>449</v>
      </c>
      <c r="D353" s="113" t="s">
        <v>20</v>
      </c>
      <c r="E353" s="175" t="s">
        <v>15</v>
      </c>
      <c r="F353" s="175" t="s">
        <v>65</v>
      </c>
      <c r="G353" s="176">
        <v>44.2</v>
      </c>
      <c r="H353" s="179">
        <v>7.4</v>
      </c>
      <c r="I353" s="416">
        <v>7</v>
      </c>
      <c r="J353" s="174">
        <f t="shared" si="220"/>
        <v>2.2895600000000003</v>
      </c>
      <c r="K353" s="118"/>
      <c r="L353" s="416">
        <v>7</v>
      </c>
      <c r="M353" s="117">
        <f t="shared" si="221"/>
        <v>2.2895600000000003</v>
      </c>
      <c r="N353" s="119">
        <f t="shared" si="222"/>
        <v>0</v>
      </c>
      <c r="O353" s="120">
        <f>H353*N353*G353/1000</f>
        <v>0</v>
      </c>
      <c r="P353" s="67"/>
      <c r="Q353" s="32"/>
      <c r="R353" s="32"/>
    </row>
    <row r="354" spans="1:19" ht="27">
      <c r="A354" s="110" t="s">
        <v>771</v>
      </c>
      <c r="B354" s="111" t="s">
        <v>428</v>
      </c>
      <c r="D354" s="113" t="s">
        <v>20</v>
      </c>
      <c r="E354" s="175" t="s">
        <v>15</v>
      </c>
      <c r="F354" s="175" t="s">
        <v>65</v>
      </c>
      <c r="I354" s="215">
        <f t="shared" ref="I354" si="224">SUM(I333:I353)</f>
        <v>86</v>
      </c>
      <c r="J354" s="214">
        <f>SUM(J333:J353)</f>
        <v>30.33888</v>
      </c>
      <c r="L354" s="215">
        <f t="shared" ref="L354" si="225">SUM(L333:L353)</f>
        <v>80</v>
      </c>
      <c r="M354" s="214">
        <f>SUM(M333:M353)</f>
        <v>28.177500000000002</v>
      </c>
      <c r="N354" s="78">
        <f>SUM(N333:N353)</f>
        <v>6</v>
      </c>
      <c r="O354" s="214">
        <f>SUM(O333:O353)</f>
        <v>2.1613800000000003</v>
      </c>
    </row>
    <row r="355" spans="1:19" s="213" customFormat="1">
      <c r="A355" s="110"/>
      <c r="B355" s="111"/>
      <c r="D355" s="113"/>
      <c r="E355" s="175"/>
      <c r="F355" s="175"/>
      <c r="I355" s="215"/>
      <c r="J355" s="214"/>
      <c r="L355" s="215"/>
      <c r="M355" s="214"/>
      <c r="N355" s="78"/>
      <c r="O355" s="214"/>
      <c r="S355" s="186"/>
    </row>
    <row r="356" spans="1:19" ht="27">
      <c r="A356" s="110" t="s">
        <v>777</v>
      </c>
      <c r="B356" s="111" t="s">
        <v>428</v>
      </c>
      <c r="C356" s="112" t="s">
        <v>449</v>
      </c>
      <c r="D356" s="113" t="s">
        <v>20</v>
      </c>
      <c r="E356" s="175" t="s">
        <v>15</v>
      </c>
      <c r="F356" s="175" t="s">
        <v>65</v>
      </c>
      <c r="G356" s="176">
        <v>44.2</v>
      </c>
      <c r="H356" s="179">
        <v>11.3</v>
      </c>
      <c r="I356" s="178">
        <v>6</v>
      </c>
      <c r="J356" s="174">
        <f t="shared" ref="J356" si="226">(G356*H356*I356/1000)</f>
        <v>2.9967600000000001</v>
      </c>
      <c r="K356" s="118"/>
      <c r="L356" s="111">
        <v>6</v>
      </c>
      <c r="M356" s="117">
        <f t="shared" ref="M356" si="227">H356*L356*G356/1000</f>
        <v>2.9967600000000005</v>
      </c>
      <c r="N356" s="119">
        <f t="shared" ref="N356" si="228">I356-L356</f>
        <v>0</v>
      </c>
      <c r="O356" s="120">
        <f t="shared" ref="O356" si="229">H356*N356*G356/1000</f>
        <v>0</v>
      </c>
      <c r="P356" s="67"/>
      <c r="Q356" s="32"/>
      <c r="R356" s="32"/>
    </row>
    <row r="357" spans="1:19" ht="27">
      <c r="A357" s="110" t="s">
        <v>777</v>
      </c>
      <c r="B357" s="111" t="s">
        <v>428</v>
      </c>
      <c r="C357" s="112" t="s">
        <v>449</v>
      </c>
      <c r="D357" s="113" t="s">
        <v>20</v>
      </c>
      <c r="E357" s="175" t="s">
        <v>15</v>
      </c>
      <c r="F357" s="175" t="s">
        <v>65</v>
      </c>
      <c r="G357" s="176">
        <v>44.2</v>
      </c>
      <c r="H357" s="179">
        <v>6.2</v>
      </c>
      <c r="I357" s="178">
        <v>7</v>
      </c>
      <c r="J357" s="174">
        <f t="shared" ref="J357:J371" si="230">(G357*H357*I357/1000)</f>
        <v>1.9182800000000002</v>
      </c>
      <c r="K357" s="118"/>
      <c r="L357" s="111">
        <v>7</v>
      </c>
      <c r="M357" s="117">
        <f t="shared" ref="M357:M371" si="231">H357*L357*G357/1000</f>
        <v>1.91828</v>
      </c>
      <c r="N357" s="119">
        <f t="shared" ref="N357:N371" si="232">I357-L357</f>
        <v>0</v>
      </c>
      <c r="O357" s="120">
        <f t="shared" ref="O357:O371" si="233">H357*N357*G357/1000</f>
        <v>0</v>
      </c>
      <c r="P357" s="67"/>
      <c r="Q357" s="32"/>
      <c r="R357" s="32"/>
    </row>
    <row r="358" spans="1:19" ht="27">
      <c r="A358" s="110" t="s">
        <v>777</v>
      </c>
      <c r="B358" s="111" t="s">
        <v>428</v>
      </c>
      <c r="C358" s="112" t="s">
        <v>449</v>
      </c>
      <c r="D358" s="113" t="s">
        <v>20</v>
      </c>
      <c r="E358" s="175" t="s">
        <v>15</v>
      </c>
      <c r="F358" s="175" t="s">
        <v>65</v>
      </c>
      <c r="G358" s="176">
        <v>44.2</v>
      </c>
      <c r="H358" s="179">
        <v>6.2</v>
      </c>
      <c r="I358" s="178">
        <v>7</v>
      </c>
      <c r="J358" s="174">
        <f t="shared" si="230"/>
        <v>1.9182800000000002</v>
      </c>
      <c r="K358" s="118"/>
      <c r="L358" s="111">
        <v>7</v>
      </c>
      <c r="M358" s="117">
        <f t="shared" si="231"/>
        <v>1.91828</v>
      </c>
      <c r="N358" s="119">
        <f t="shared" si="232"/>
        <v>0</v>
      </c>
      <c r="O358" s="120">
        <f t="shared" si="233"/>
        <v>0</v>
      </c>
      <c r="P358" s="67"/>
      <c r="Q358" s="32"/>
      <c r="R358" s="32"/>
    </row>
    <row r="359" spans="1:19" ht="27">
      <c r="A359" s="110" t="s">
        <v>777</v>
      </c>
      <c r="B359" s="111" t="s">
        <v>428</v>
      </c>
      <c r="C359" s="112" t="s">
        <v>449</v>
      </c>
      <c r="D359" s="113" t="s">
        <v>20</v>
      </c>
      <c r="E359" s="175" t="s">
        <v>15</v>
      </c>
      <c r="F359" s="175" t="s">
        <v>65</v>
      </c>
      <c r="G359" s="176">
        <v>44.2</v>
      </c>
      <c r="H359" s="179">
        <v>6.2</v>
      </c>
      <c r="I359" s="178">
        <v>7</v>
      </c>
      <c r="J359" s="174">
        <f t="shared" si="230"/>
        <v>1.9182800000000002</v>
      </c>
      <c r="K359" s="118"/>
      <c r="L359" s="111">
        <v>7</v>
      </c>
      <c r="M359" s="117">
        <f t="shared" si="231"/>
        <v>1.91828</v>
      </c>
      <c r="N359" s="119">
        <f t="shared" si="232"/>
        <v>0</v>
      </c>
      <c r="O359" s="120">
        <f t="shared" si="233"/>
        <v>0</v>
      </c>
      <c r="P359" s="67"/>
      <c r="Q359" s="32"/>
      <c r="R359" s="32"/>
    </row>
    <row r="360" spans="1:19" ht="27">
      <c r="A360" s="110" t="s">
        <v>777</v>
      </c>
      <c r="B360" s="111" t="s">
        <v>428</v>
      </c>
      <c r="C360" s="112" t="s">
        <v>449</v>
      </c>
      <c r="D360" s="113" t="s">
        <v>20</v>
      </c>
      <c r="E360" s="175" t="s">
        <v>15</v>
      </c>
      <c r="F360" s="175" t="s">
        <v>65</v>
      </c>
      <c r="G360" s="176">
        <v>44.2</v>
      </c>
      <c r="H360" s="179">
        <v>11.3</v>
      </c>
      <c r="I360" s="178">
        <v>6</v>
      </c>
      <c r="J360" s="174">
        <f t="shared" si="230"/>
        <v>2.9967600000000001</v>
      </c>
      <c r="K360" s="118"/>
      <c r="L360" s="111">
        <v>6</v>
      </c>
      <c r="M360" s="117">
        <f t="shared" si="231"/>
        <v>2.9967600000000005</v>
      </c>
      <c r="N360" s="119">
        <f t="shared" si="232"/>
        <v>0</v>
      </c>
      <c r="O360" s="120">
        <f t="shared" si="233"/>
        <v>0</v>
      </c>
      <c r="P360" s="67"/>
      <c r="Q360" s="32"/>
      <c r="R360" s="32"/>
    </row>
    <row r="361" spans="1:19" ht="27">
      <c r="A361" s="110" t="s">
        <v>777</v>
      </c>
      <c r="B361" s="111" t="s">
        <v>428</v>
      </c>
      <c r="C361" s="112" t="s">
        <v>449</v>
      </c>
      <c r="D361" s="113" t="s">
        <v>20</v>
      </c>
      <c r="E361" s="175" t="s">
        <v>15</v>
      </c>
      <c r="F361" s="175" t="s">
        <v>65</v>
      </c>
      <c r="G361" s="176">
        <v>44.2</v>
      </c>
      <c r="H361" s="179">
        <v>6.2</v>
      </c>
      <c r="I361" s="178">
        <v>3</v>
      </c>
      <c r="J361" s="174">
        <f t="shared" si="230"/>
        <v>0.82212000000000007</v>
      </c>
      <c r="K361" s="118"/>
      <c r="L361" s="111">
        <v>3</v>
      </c>
      <c r="M361" s="117">
        <f t="shared" si="231"/>
        <v>0.82212000000000007</v>
      </c>
      <c r="N361" s="119">
        <f t="shared" si="232"/>
        <v>0</v>
      </c>
      <c r="O361" s="120">
        <f t="shared" si="233"/>
        <v>0</v>
      </c>
      <c r="P361" s="67"/>
      <c r="Q361" s="32"/>
      <c r="R361" s="32"/>
    </row>
    <row r="362" spans="1:19" ht="27">
      <c r="A362" s="110" t="s">
        <v>777</v>
      </c>
      <c r="B362" s="111" t="s">
        <v>428</v>
      </c>
      <c r="C362" s="112" t="s">
        <v>449</v>
      </c>
      <c r="D362" s="113" t="s">
        <v>20</v>
      </c>
      <c r="E362" s="175" t="s">
        <v>15</v>
      </c>
      <c r="F362" s="175" t="s">
        <v>65</v>
      </c>
      <c r="G362" s="176">
        <v>44.2</v>
      </c>
      <c r="H362" s="179">
        <v>11.3</v>
      </c>
      <c r="I362" s="178">
        <v>3</v>
      </c>
      <c r="J362" s="174">
        <f t="shared" si="230"/>
        <v>1.49838</v>
      </c>
      <c r="K362" s="118"/>
      <c r="L362" s="111">
        <v>3</v>
      </c>
      <c r="M362" s="117">
        <f t="shared" si="231"/>
        <v>1.4983800000000003</v>
      </c>
      <c r="N362" s="119">
        <f t="shared" si="232"/>
        <v>0</v>
      </c>
      <c r="O362" s="120">
        <f t="shared" si="233"/>
        <v>0</v>
      </c>
      <c r="P362" s="67"/>
      <c r="Q362" s="32"/>
      <c r="R362" s="32"/>
    </row>
    <row r="363" spans="1:19" ht="27">
      <c r="A363" s="110" t="s">
        <v>777</v>
      </c>
      <c r="B363" s="111" t="s">
        <v>428</v>
      </c>
      <c r="C363" s="112" t="s">
        <v>449</v>
      </c>
      <c r="D363" s="113" t="s">
        <v>20</v>
      </c>
      <c r="E363" s="175" t="s">
        <v>15</v>
      </c>
      <c r="F363" s="175" t="s">
        <v>65</v>
      </c>
      <c r="G363" s="176">
        <v>44.2</v>
      </c>
      <c r="H363" s="179">
        <v>9.5</v>
      </c>
      <c r="I363" s="178">
        <v>1</v>
      </c>
      <c r="J363" s="174">
        <f t="shared" si="230"/>
        <v>0.41990000000000005</v>
      </c>
      <c r="K363" s="118"/>
      <c r="L363" s="111">
        <v>1</v>
      </c>
      <c r="M363" s="117">
        <f t="shared" si="231"/>
        <v>0.41990000000000005</v>
      </c>
      <c r="N363" s="119">
        <f t="shared" si="232"/>
        <v>0</v>
      </c>
      <c r="O363" s="120">
        <f t="shared" si="233"/>
        <v>0</v>
      </c>
      <c r="P363" s="67">
        <v>8.6</v>
      </c>
      <c r="Q363" s="32">
        <v>1</v>
      </c>
      <c r="R363" s="32"/>
    </row>
    <row r="364" spans="1:19" ht="27">
      <c r="A364" s="110" t="s">
        <v>777</v>
      </c>
      <c r="B364" s="111" t="s">
        <v>428</v>
      </c>
      <c r="C364" s="112" t="s">
        <v>449</v>
      </c>
      <c r="D364" s="113" t="s">
        <v>20</v>
      </c>
      <c r="E364" s="175" t="s">
        <v>15</v>
      </c>
      <c r="F364" s="175" t="s">
        <v>65</v>
      </c>
      <c r="G364" s="176">
        <v>44.2</v>
      </c>
      <c r="H364" s="179">
        <v>6.2</v>
      </c>
      <c r="I364" s="178">
        <v>6</v>
      </c>
      <c r="J364" s="174">
        <f t="shared" si="230"/>
        <v>1.6442400000000001</v>
      </c>
      <c r="K364" s="118"/>
      <c r="L364" s="111">
        <v>6</v>
      </c>
      <c r="M364" s="117">
        <f t="shared" si="231"/>
        <v>1.6442400000000001</v>
      </c>
      <c r="N364" s="119">
        <f t="shared" si="232"/>
        <v>0</v>
      </c>
      <c r="O364" s="120">
        <f t="shared" si="233"/>
        <v>0</v>
      </c>
      <c r="P364" s="67"/>
      <c r="Q364" s="32"/>
      <c r="R364" s="32"/>
    </row>
    <row r="365" spans="1:19" ht="27">
      <c r="A365" s="110" t="s">
        <v>777</v>
      </c>
      <c r="B365" s="111" t="s">
        <v>428</v>
      </c>
      <c r="C365" s="112" t="s">
        <v>449</v>
      </c>
      <c r="D365" s="113" t="s">
        <v>20</v>
      </c>
      <c r="E365" s="175" t="s">
        <v>15</v>
      </c>
      <c r="F365" s="175" t="s">
        <v>65</v>
      </c>
      <c r="G365" s="176">
        <v>44.2</v>
      </c>
      <c r="H365" s="179">
        <v>6.2</v>
      </c>
      <c r="I365" s="178">
        <v>6</v>
      </c>
      <c r="J365" s="174">
        <f t="shared" si="230"/>
        <v>1.6442400000000001</v>
      </c>
      <c r="K365" s="118"/>
      <c r="L365" s="111">
        <v>6</v>
      </c>
      <c r="M365" s="117">
        <f t="shared" si="231"/>
        <v>1.6442400000000001</v>
      </c>
      <c r="N365" s="119">
        <f t="shared" si="232"/>
        <v>0</v>
      </c>
      <c r="O365" s="120">
        <f t="shared" si="233"/>
        <v>0</v>
      </c>
      <c r="P365" s="67"/>
      <c r="Q365" s="32"/>
      <c r="R365" s="32"/>
    </row>
    <row r="366" spans="1:19" ht="27">
      <c r="A366" s="110" t="s">
        <v>777</v>
      </c>
      <c r="B366" s="111" t="s">
        <v>428</v>
      </c>
      <c r="C366" s="112" t="s">
        <v>449</v>
      </c>
      <c r="D366" s="113" t="s">
        <v>20</v>
      </c>
      <c r="E366" s="175" t="s">
        <v>15</v>
      </c>
      <c r="F366" s="175" t="s">
        <v>65</v>
      </c>
      <c r="G366" s="176">
        <v>44.2</v>
      </c>
      <c r="H366" s="179">
        <v>6.2</v>
      </c>
      <c r="I366" s="178">
        <v>6</v>
      </c>
      <c r="J366" s="174">
        <f t="shared" si="230"/>
        <v>1.6442400000000001</v>
      </c>
      <c r="K366" s="118"/>
      <c r="L366" s="111">
        <v>6</v>
      </c>
      <c r="M366" s="117">
        <f t="shared" si="231"/>
        <v>1.6442400000000001</v>
      </c>
      <c r="N366" s="119">
        <f t="shared" si="232"/>
        <v>0</v>
      </c>
      <c r="O366" s="120">
        <f t="shared" si="233"/>
        <v>0</v>
      </c>
      <c r="P366" s="67"/>
      <c r="Q366" s="32"/>
      <c r="R366" s="32"/>
    </row>
    <row r="367" spans="1:19" ht="27">
      <c r="A367" s="110" t="s">
        <v>777</v>
      </c>
      <c r="B367" s="111" t="s">
        <v>428</v>
      </c>
      <c r="C367" s="112" t="s">
        <v>449</v>
      </c>
      <c r="D367" s="113" t="s">
        <v>20</v>
      </c>
      <c r="E367" s="175" t="s">
        <v>15</v>
      </c>
      <c r="F367" s="175" t="s">
        <v>65</v>
      </c>
      <c r="G367" s="176">
        <v>44.2</v>
      </c>
      <c r="H367" s="179">
        <v>6.2</v>
      </c>
      <c r="I367" s="178">
        <v>6</v>
      </c>
      <c r="J367" s="174">
        <f t="shared" si="230"/>
        <v>1.6442400000000001</v>
      </c>
      <c r="K367" s="118"/>
      <c r="L367" s="111">
        <v>6</v>
      </c>
      <c r="M367" s="117">
        <f t="shared" si="231"/>
        <v>1.6442400000000001</v>
      </c>
      <c r="N367" s="119">
        <f t="shared" si="232"/>
        <v>0</v>
      </c>
      <c r="O367" s="120">
        <f t="shared" si="233"/>
        <v>0</v>
      </c>
      <c r="P367" s="67"/>
      <c r="Q367" s="32"/>
      <c r="R367" s="32"/>
    </row>
    <row r="368" spans="1:19" ht="27">
      <c r="A368" s="110" t="s">
        <v>777</v>
      </c>
      <c r="B368" s="111" t="s">
        <v>428</v>
      </c>
      <c r="C368" s="112" t="s">
        <v>449</v>
      </c>
      <c r="D368" s="113" t="s">
        <v>20</v>
      </c>
      <c r="E368" s="175" t="s">
        <v>15</v>
      </c>
      <c r="F368" s="175" t="s">
        <v>65</v>
      </c>
      <c r="G368" s="176">
        <v>44.2</v>
      </c>
      <c r="H368" s="179">
        <v>11.3</v>
      </c>
      <c r="I368" s="178">
        <v>6</v>
      </c>
      <c r="J368" s="174">
        <f t="shared" si="230"/>
        <v>2.9967600000000001</v>
      </c>
      <c r="K368" s="118"/>
      <c r="L368" s="111">
        <v>6</v>
      </c>
      <c r="M368" s="117">
        <f t="shared" si="231"/>
        <v>2.9967600000000005</v>
      </c>
      <c r="N368" s="119">
        <f t="shared" si="232"/>
        <v>0</v>
      </c>
      <c r="O368" s="120">
        <f t="shared" si="233"/>
        <v>0</v>
      </c>
      <c r="P368" s="67"/>
      <c r="Q368" s="32"/>
      <c r="R368" s="32"/>
    </row>
    <row r="369" spans="1:18" ht="27">
      <c r="A369" s="110" t="s">
        <v>777</v>
      </c>
      <c r="B369" s="111" t="s">
        <v>428</v>
      </c>
      <c r="C369" s="112" t="s">
        <v>449</v>
      </c>
      <c r="D369" s="113" t="s">
        <v>20</v>
      </c>
      <c r="E369" s="175" t="s">
        <v>15</v>
      </c>
      <c r="F369" s="175" t="s">
        <v>65</v>
      </c>
      <c r="G369" s="176">
        <v>44.2</v>
      </c>
      <c r="H369" s="179">
        <v>11.3</v>
      </c>
      <c r="I369" s="178">
        <v>6</v>
      </c>
      <c r="J369" s="174">
        <f t="shared" si="230"/>
        <v>2.9967600000000001</v>
      </c>
      <c r="K369" s="118"/>
      <c r="L369" s="111">
        <v>6</v>
      </c>
      <c r="M369" s="117">
        <f t="shared" si="231"/>
        <v>2.9967600000000005</v>
      </c>
      <c r="N369" s="119">
        <f t="shared" si="232"/>
        <v>0</v>
      </c>
      <c r="O369" s="120">
        <f t="shared" si="233"/>
        <v>0</v>
      </c>
      <c r="P369" s="67"/>
      <c r="Q369" s="32"/>
      <c r="R369" s="32"/>
    </row>
    <row r="370" spans="1:18" ht="27">
      <c r="A370" s="110" t="s">
        <v>777</v>
      </c>
      <c r="B370" s="111" t="s">
        <v>428</v>
      </c>
      <c r="C370" s="112" t="s">
        <v>449</v>
      </c>
      <c r="D370" s="113" t="s">
        <v>20</v>
      </c>
      <c r="E370" s="175" t="s">
        <v>15</v>
      </c>
      <c r="F370" s="175" t="s">
        <v>65</v>
      </c>
      <c r="G370" s="176">
        <v>44.2</v>
      </c>
      <c r="H370" s="179">
        <v>6.2</v>
      </c>
      <c r="I370" s="178">
        <v>6</v>
      </c>
      <c r="J370" s="174">
        <f t="shared" si="230"/>
        <v>1.6442400000000001</v>
      </c>
      <c r="K370" s="118"/>
      <c r="L370" s="111">
        <v>6</v>
      </c>
      <c r="M370" s="117">
        <f t="shared" si="231"/>
        <v>1.6442400000000001</v>
      </c>
      <c r="N370" s="119">
        <f t="shared" si="232"/>
        <v>0</v>
      </c>
      <c r="O370" s="120">
        <f t="shared" si="233"/>
        <v>0</v>
      </c>
      <c r="P370" s="67"/>
      <c r="Q370" s="32"/>
      <c r="R370" s="32"/>
    </row>
    <row r="371" spans="1:18" ht="27">
      <c r="A371" s="110" t="s">
        <v>777</v>
      </c>
      <c r="B371" s="111" t="s">
        <v>428</v>
      </c>
      <c r="C371" s="112" t="s">
        <v>449</v>
      </c>
      <c r="D371" s="113" t="s">
        <v>20</v>
      </c>
      <c r="E371" s="175" t="s">
        <v>15</v>
      </c>
      <c r="F371" s="175" t="s">
        <v>65</v>
      </c>
      <c r="G371" s="176">
        <v>44.2</v>
      </c>
      <c r="H371" s="179">
        <v>6.2</v>
      </c>
      <c r="I371" s="178">
        <v>6</v>
      </c>
      <c r="J371" s="174">
        <f t="shared" si="230"/>
        <v>1.6442400000000001</v>
      </c>
      <c r="K371" s="118"/>
      <c r="L371" s="111">
        <v>6</v>
      </c>
      <c r="M371" s="117">
        <f t="shared" si="231"/>
        <v>1.6442400000000001</v>
      </c>
      <c r="N371" s="119">
        <f t="shared" si="232"/>
        <v>0</v>
      </c>
      <c r="O371" s="120">
        <f t="shared" si="233"/>
        <v>0</v>
      </c>
      <c r="P371" s="67"/>
      <c r="Q371" s="32"/>
      <c r="R371" s="32"/>
    </row>
    <row r="372" spans="1:18" ht="27">
      <c r="A372" s="110" t="s">
        <v>777</v>
      </c>
      <c r="B372" s="111" t="s">
        <v>428</v>
      </c>
      <c r="C372" s="112" t="s">
        <v>449</v>
      </c>
      <c r="D372" s="113" t="s">
        <v>20</v>
      </c>
      <c r="E372" s="175" t="s">
        <v>15</v>
      </c>
      <c r="F372" s="175" t="s">
        <v>65</v>
      </c>
      <c r="G372" s="176">
        <v>44.2</v>
      </c>
      <c r="H372" s="179">
        <v>11.3</v>
      </c>
      <c r="I372" s="416">
        <v>6</v>
      </c>
      <c r="J372" s="174">
        <f t="shared" ref="J372:J388" si="234">(G372*H372*I372/1000)</f>
        <v>2.9967600000000001</v>
      </c>
      <c r="K372" s="118"/>
      <c r="L372" s="111">
        <v>6</v>
      </c>
      <c r="M372" s="117">
        <f t="shared" ref="M372:M388" si="235">H372*L372*G372/1000</f>
        <v>2.9967600000000005</v>
      </c>
      <c r="N372" s="119">
        <f t="shared" ref="N372:N388" si="236">I372-L372</f>
        <v>0</v>
      </c>
      <c r="O372" s="120">
        <f t="shared" ref="O372:O388" si="237">H372*N372*G372/1000</f>
        <v>0</v>
      </c>
      <c r="P372" s="67"/>
      <c r="Q372" s="32"/>
      <c r="R372" s="32"/>
    </row>
    <row r="373" spans="1:18" ht="27">
      <c r="A373" s="110" t="s">
        <v>777</v>
      </c>
      <c r="B373" s="111" t="s">
        <v>428</v>
      </c>
      <c r="C373" s="112" t="s">
        <v>449</v>
      </c>
      <c r="D373" s="113" t="s">
        <v>20</v>
      </c>
      <c r="E373" s="175" t="s">
        <v>15</v>
      </c>
      <c r="F373" s="175" t="s">
        <v>65</v>
      </c>
      <c r="G373" s="176">
        <v>44.2</v>
      </c>
      <c r="H373" s="179">
        <v>6.2</v>
      </c>
      <c r="I373" s="416">
        <v>6</v>
      </c>
      <c r="J373" s="174">
        <f t="shared" si="234"/>
        <v>1.6442400000000001</v>
      </c>
      <c r="K373" s="118"/>
      <c r="L373" s="111">
        <v>6</v>
      </c>
      <c r="M373" s="117">
        <f t="shared" si="235"/>
        <v>1.6442400000000001</v>
      </c>
      <c r="N373" s="119">
        <f t="shared" si="236"/>
        <v>0</v>
      </c>
      <c r="O373" s="120">
        <f t="shared" si="237"/>
        <v>0</v>
      </c>
      <c r="P373" s="67"/>
      <c r="Q373" s="32"/>
      <c r="R373" s="32"/>
    </row>
    <row r="374" spans="1:18" ht="27">
      <c r="A374" s="110" t="s">
        <v>777</v>
      </c>
      <c r="B374" s="111" t="s">
        <v>428</v>
      </c>
      <c r="C374" s="112" t="s">
        <v>449</v>
      </c>
      <c r="D374" s="113" t="s">
        <v>20</v>
      </c>
      <c r="E374" s="175" t="s">
        <v>15</v>
      </c>
      <c r="F374" s="175" t="s">
        <v>65</v>
      </c>
      <c r="G374" s="176">
        <v>44.2</v>
      </c>
      <c r="H374" s="179">
        <v>6.2</v>
      </c>
      <c r="I374" s="416">
        <v>6</v>
      </c>
      <c r="J374" s="174">
        <f t="shared" si="234"/>
        <v>1.6442400000000001</v>
      </c>
      <c r="K374" s="118"/>
      <c r="L374" s="111">
        <v>6</v>
      </c>
      <c r="M374" s="117">
        <f t="shared" si="235"/>
        <v>1.6442400000000001</v>
      </c>
      <c r="N374" s="119">
        <f t="shared" si="236"/>
        <v>0</v>
      </c>
      <c r="O374" s="120">
        <f t="shared" si="237"/>
        <v>0</v>
      </c>
      <c r="P374" s="67"/>
      <c r="Q374" s="32"/>
      <c r="R374" s="32"/>
    </row>
    <row r="375" spans="1:18" ht="27">
      <c r="A375" s="110" t="s">
        <v>777</v>
      </c>
      <c r="B375" s="111" t="s">
        <v>428</v>
      </c>
      <c r="C375" s="112" t="s">
        <v>449</v>
      </c>
      <c r="D375" s="113" t="s">
        <v>20</v>
      </c>
      <c r="E375" s="175" t="s">
        <v>15</v>
      </c>
      <c r="F375" s="175" t="s">
        <v>65</v>
      </c>
      <c r="G375" s="176">
        <v>44.2</v>
      </c>
      <c r="H375" s="179">
        <v>6.2</v>
      </c>
      <c r="I375" s="416">
        <v>6</v>
      </c>
      <c r="J375" s="174">
        <f t="shared" si="234"/>
        <v>1.6442400000000001</v>
      </c>
      <c r="K375" s="118"/>
      <c r="L375" s="111">
        <v>6</v>
      </c>
      <c r="M375" s="117">
        <f t="shared" si="235"/>
        <v>1.6442400000000001</v>
      </c>
      <c r="N375" s="119">
        <f t="shared" si="236"/>
        <v>0</v>
      </c>
      <c r="O375" s="120">
        <f t="shared" si="237"/>
        <v>0</v>
      </c>
      <c r="P375" s="67"/>
      <c r="Q375" s="32"/>
      <c r="R375" s="32"/>
    </row>
    <row r="376" spans="1:18" ht="27">
      <c r="A376" s="110" t="s">
        <v>777</v>
      </c>
      <c r="B376" s="111" t="s">
        <v>428</v>
      </c>
      <c r="C376" s="112" t="s">
        <v>449</v>
      </c>
      <c r="D376" s="113" t="s">
        <v>20</v>
      </c>
      <c r="E376" s="175" t="s">
        <v>15</v>
      </c>
      <c r="F376" s="175" t="s">
        <v>65</v>
      </c>
      <c r="G376" s="176">
        <v>44.2</v>
      </c>
      <c r="H376" s="179">
        <v>6.2</v>
      </c>
      <c r="I376" s="416">
        <v>6</v>
      </c>
      <c r="J376" s="174">
        <f t="shared" si="234"/>
        <v>1.6442400000000001</v>
      </c>
      <c r="K376" s="118"/>
      <c r="L376" s="111">
        <v>6</v>
      </c>
      <c r="M376" s="117">
        <f t="shared" si="235"/>
        <v>1.6442400000000001</v>
      </c>
      <c r="N376" s="119">
        <f t="shared" si="236"/>
        <v>0</v>
      </c>
      <c r="O376" s="120">
        <f t="shared" si="237"/>
        <v>0</v>
      </c>
      <c r="P376" s="67"/>
      <c r="Q376" s="32"/>
      <c r="R376" s="32"/>
    </row>
    <row r="377" spans="1:18" ht="27">
      <c r="A377" s="110" t="s">
        <v>777</v>
      </c>
      <c r="B377" s="111" t="s">
        <v>428</v>
      </c>
      <c r="C377" s="112" t="s">
        <v>449</v>
      </c>
      <c r="D377" s="113" t="s">
        <v>20</v>
      </c>
      <c r="E377" s="175" t="s">
        <v>15</v>
      </c>
      <c r="F377" s="175" t="s">
        <v>65</v>
      </c>
      <c r="G377" s="176">
        <v>44.2</v>
      </c>
      <c r="H377" s="179">
        <v>6.2</v>
      </c>
      <c r="I377" s="416">
        <v>6</v>
      </c>
      <c r="J377" s="174">
        <f t="shared" si="234"/>
        <v>1.6442400000000001</v>
      </c>
      <c r="K377" s="118"/>
      <c r="L377" s="111">
        <v>6</v>
      </c>
      <c r="M377" s="117">
        <f t="shared" si="235"/>
        <v>1.6442400000000001</v>
      </c>
      <c r="N377" s="119">
        <f t="shared" si="236"/>
        <v>0</v>
      </c>
      <c r="O377" s="120">
        <f t="shared" si="237"/>
        <v>0</v>
      </c>
      <c r="P377" s="67"/>
      <c r="Q377" s="32"/>
      <c r="R377" s="32"/>
    </row>
    <row r="378" spans="1:18" ht="27">
      <c r="A378" s="110" t="s">
        <v>777</v>
      </c>
      <c r="B378" s="111" t="s">
        <v>428</v>
      </c>
      <c r="C378" s="112" t="s">
        <v>449</v>
      </c>
      <c r="D378" s="113" t="s">
        <v>20</v>
      </c>
      <c r="E378" s="175" t="s">
        <v>15</v>
      </c>
      <c r="F378" s="175" t="s">
        <v>65</v>
      </c>
      <c r="G378" s="176">
        <v>44.2</v>
      </c>
      <c r="H378" s="179">
        <v>6.2</v>
      </c>
      <c r="I378" s="416">
        <v>6</v>
      </c>
      <c r="J378" s="174">
        <f t="shared" si="234"/>
        <v>1.6442400000000001</v>
      </c>
      <c r="K378" s="118"/>
      <c r="L378" s="111">
        <v>6</v>
      </c>
      <c r="M378" s="117">
        <f t="shared" si="235"/>
        <v>1.6442400000000001</v>
      </c>
      <c r="N378" s="119">
        <f t="shared" si="236"/>
        <v>0</v>
      </c>
      <c r="O378" s="120">
        <f t="shared" si="237"/>
        <v>0</v>
      </c>
      <c r="P378" s="67"/>
      <c r="Q378" s="32"/>
      <c r="R378" s="32"/>
    </row>
    <row r="379" spans="1:18" ht="27">
      <c r="A379" s="110" t="s">
        <v>777</v>
      </c>
      <c r="B379" s="111" t="s">
        <v>428</v>
      </c>
      <c r="C379" s="112" t="s">
        <v>449</v>
      </c>
      <c r="D379" s="113" t="s">
        <v>20</v>
      </c>
      <c r="E379" s="175" t="s">
        <v>15</v>
      </c>
      <c r="F379" s="175" t="s">
        <v>65</v>
      </c>
      <c r="G379" s="176">
        <v>44.2</v>
      </c>
      <c r="H379" s="179">
        <v>6.2</v>
      </c>
      <c r="I379" s="416">
        <v>6</v>
      </c>
      <c r="J379" s="174">
        <f t="shared" si="234"/>
        <v>1.6442400000000001</v>
      </c>
      <c r="K379" s="118"/>
      <c r="L379" s="111">
        <v>6</v>
      </c>
      <c r="M379" s="117">
        <f t="shared" si="235"/>
        <v>1.6442400000000001</v>
      </c>
      <c r="N379" s="119">
        <f t="shared" si="236"/>
        <v>0</v>
      </c>
      <c r="O379" s="120">
        <f t="shared" si="237"/>
        <v>0</v>
      </c>
      <c r="P379" s="67"/>
      <c r="Q379" s="32"/>
      <c r="R379" s="32"/>
    </row>
    <row r="380" spans="1:18" ht="27">
      <c r="A380" s="110" t="s">
        <v>777</v>
      </c>
      <c r="B380" s="111" t="s">
        <v>428</v>
      </c>
      <c r="C380" s="112" t="s">
        <v>449</v>
      </c>
      <c r="D380" s="113" t="s">
        <v>20</v>
      </c>
      <c r="E380" s="175" t="s">
        <v>15</v>
      </c>
      <c r="F380" s="175" t="s">
        <v>65</v>
      </c>
      <c r="G380" s="176">
        <v>44.2</v>
      </c>
      <c r="H380" s="179">
        <v>6.2</v>
      </c>
      <c r="I380" s="416">
        <v>6</v>
      </c>
      <c r="J380" s="174">
        <f t="shared" si="234"/>
        <v>1.6442400000000001</v>
      </c>
      <c r="K380" s="118"/>
      <c r="L380" s="111">
        <v>6</v>
      </c>
      <c r="M380" s="117">
        <f t="shared" si="235"/>
        <v>1.6442400000000001</v>
      </c>
      <c r="N380" s="119">
        <f t="shared" si="236"/>
        <v>0</v>
      </c>
      <c r="O380" s="120">
        <f t="shared" si="237"/>
        <v>0</v>
      </c>
      <c r="P380" s="67"/>
      <c r="Q380" s="32"/>
      <c r="R380" s="32"/>
    </row>
    <row r="381" spans="1:18" ht="27">
      <c r="A381" s="110" t="s">
        <v>777</v>
      </c>
      <c r="B381" s="111" t="s">
        <v>428</v>
      </c>
      <c r="C381" s="112" t="s">
        <v>449</v>
      </c>
      <c r="D381" s="113" t="s">
        <v>20</v>
      </c>
      <c r="E381" s="175" t="s">
        <v>15</v>
      </c>
      <c r="F381" s="175" t="s">
        <v>65</v>
      </c>
      <c r="G381" s="176">
        <v>44.2</v>
      </c>
      <c r="H381" s="179">
        <v>6.2</v>
      </c>
      <c r="I381" s="416">
        <v>6</v>
      </c>
      <c r="J381" s="174">
        <f t="shared" si="234"/>
        <v>1.6442400000000001</v>
      </c>
      <c r="K381" s="118"/>
      <c r="L381" s="111">
        <v>6</v>
      </c>
      <c r="M381" s="117">
        <f t="shared" si="235"/>
        <v>1.6442400000000001</v>
      </c>
      <c r="N381" s="119">
        <f t="shared" si="236"/>
        <v>0</v>
      </c>
      <c r="O381" s="120">
        <f t="shared" si="237"/>
        <v>0</v>
      </c>
      <c r="P381" s="67"/>
      <c r="Q381" s="32"/>
      <c r="R381" s="32"/>
    </row>
    <row r="382" spans="1:18" ht="27">
      <c r="A382" s="110" t="s">
        <v>777</v>
      </c>
      <c r="B382" s="111" t="s">
        <v>428</v>
      </c>
      <c r="C382" s="112" t="s">
        <v>449</v>
      </c>
      <c r="D382" s="113" t="s">
        <v>20</v>
      </c>
      <c r="E382" s="175" t="s">
        <v>15</v>
      </c>
      <c r="F382" s="175" t="s">
        <v>65</v>
      </c>
      <c r="G382" s="176">
        <v>44.2</v>
      </c>
      <c r="H382" s="179">
        <v>6.2</v>
      </c>
      <c r="I382" s="416">
        <v>6</v>
      </c>
      <c r="J382" s="174">
        <f t="shared" si="234"/>
        <v>1.6442400000000001</v>
      </c>
      <c r="K382" s="118"/>
      <c r="L382" s="111">
        <v>6</v>
      </c>
      <c r="M382" s="117">
        <f t="shared" si="235"/>
        <v>1.6442400000000001</v>
      </c>
      <c r="N382" s="119">
        <f t="shared" si="236"/>
        <v>0</v>
      </c>
      <c r="O382" s="120">
        <f t="shared" si="237"/>
        <v>0</v>
      </c>
      <c r="P382" s="67"/>
      <c r="Q382" s="32"/>
      <c r="R382" s="32"/>
    </row>
    <row r="383" spans="1:18" ht="27">
      <c r="A383" s="110" t="s">
        <v>777</v>
      </c>
      <c r="B383" s="111" t="s">
        <v>428</v>
      </c>
      <c r="C383" s="112" t="s">
        <v>449</v>
      </c>
      <c r="D383" s="113" t="s">
        <v>20</v>
      </c>
      <c r="E383" s="175" t="s">
        <v>15</v>
      </c>
      <c r="F383" s="175" t="s">
        <v>65</v>
      </c>
      <c r="G383" s="176">
        <v>44.2</v>
      </c>
      <c r="H383" s="179">
        <v>6.2</v>
      </c>
      <c r="I383" s="416">
        <v>6</v>
      </c>
      <c r="J383" s="174">
        <f t="shared" si="234"/>
        <v>1.6442400000000001</v>
      </c>
      <c r="K383" s="118"/>
      <c r="L383" s="111">
        <v>6</v>
      </c>
      <c r="M383" s="117">
        <f t="shared" si="235"/>
        <v>1.6442400000000001</v>
      </c>
      <c r="N383" s="119">
        <f t="shared" si="236"/>
        <v>0</v>
      </c>
      <c r="O383" s="120">
        <f t="shared" si="237"/>
        <v>0</v>
      </c>
      <c r="P383" s="67"/>
      <c r="Q383" s="32"/>
      <c r="R383" s="32"/>
    </row>
    <row r="384" spans="1:18" ht="27">
      <c r="A384" s="110" t="s">
        <v>777</v>
      </c>
      <c r="B384" s="111" t="s">
        <v>428</v>
      </c>
      <c r="C384" s="112" t="s">
        <v>449</v>
      </c>
      <c r="D384" s="113" t="s">
        <v>20</v>
      </c>
      <c r="E384" s="175" t="s">
        <v>15</v>
      </c>
      <c r="F384" s="175" t="s">
        <v>65</v>
      </c>
      <c r="G384" s="176">
        <v>44.2</v>
      </c>
      <c r="H384" s="179">
        <v>6.2</v>
      </c>
      <c r="I384" s="416">
        <v>6</v>
      </c>
      <c r="J384" s="174">
        <f t="shared" si="234"/>
        <v>1.6442400000000001</v>
      </c>
      <c r="K384" s="118"/>
      <c r="L384" s="111">
        <v>6</v>
      </c>
      <c r="M384" s="117">
        <f t="shared" si="235"/>
        <v>1.6442400000000001</v>
      </c>
      <c r="N384" s="119">
        <f t="shared" si="236"/>
        <v>0</v>
      </c>
      <c r="O384" s="120">
        <f t="shared" si="237"/>
        <v>0</v>
      </c>
      <c r="P384" s="67"/>
      <c r="Q384" s="32"/>
      <c r="R384" s="32"/>
    </row>
    <row r="385" spans="1:18" ht="27">
      <c r="A385" s="110" t="s">
        <v>777</v>
      </c>
      <c r="B385" s="111" t="s">
        <v>428</v>
      </c>
      <c r="C385" s="112" t="s">
        <v>449</v>
      </c>
      <c r="D385" s="113" t="s">
        <v>20</v>
      </c>
      <c r="E385" s="175" t="s">
        <v>15</v>
      </c>
      <c r="F385" s="175" t="s">
        <v>65</v>
      </c>
      <c r="G385" s="176">
        <v>44.2</v>
      </c>
      <c r="H385" s="179">
        <v>6.2</v>
      </c>
      <c r="I385" s="416">
        <v>2</v>
      </c>
      <c r="J385" s="174">
        <f t="shared" si="234"/>
        <v>0.54808000000000001</v>
      </c>
      <c r="K385" s="118"/>
      <c r="L385" s="111">
        <v>2</v>
      </c>
      <c r="M385" s="117">
        <f t="shared" si="235"/>
        <v>0.54808000000000001</v>
      </c>
      <c r="N385" s="119">
        <f t="shared" si="236"/>
        <v>0</v>
      </c>
      <c r="O385" s="120">
        <f t="shared" si="237"/>
        <v>0</v>
      </c>
      <c r="P385" s="67"/>
      <c r="Q385" s="32"/>
      <c r="R385" s="32"/>
    </row>
    <row r="386" spans="1:18" ht="27">
      <c r="A386" s="110" t="s">
        <v>777</v>
      </c>
      <c r="B386" s="111" t="s">
        <v>428</v>
      </c>
      <c r="C386" s="112" t="s">
        <v>449</v>
      </c>
      <c r="D386" s="113" t="s">
        <v>20</v>
      </c>
      <c r="E386" s="175" t="s">
        <v>15</v>
      </c>
      <c r="F386" s="175" t="s">
        <v>65</v>
      </c>
      <c r="G386" s="176">
        <v>44.2</v>
      </c>
      <c r="H386" s="179">
        <v>11.3</v>
      </c>
      <c r="I386" s="416">
        <v>2</v>
      </c>
      <c r="J386" s="174">
        <f t="shared" si="234"/>
        <v>0.99892000000000003</v>
      </c>
      <c r="K386" s="118"/>
      <c r="L386" s="111">
        <v>1</v>
      </c>
      <c r="M386" s="117">
        <f t="shared" si="235"/>
        <v>0.49946000000000002</v>
      </c>
      <c r="N386" s="119">
        <f t="shared" si="236"/>
        <v>1</v>
      </c>
      <c r="O386" s="120">
        <f t="shared" si="237"/>
        <v>0.49946000000000002</v>
      </c>
      <c r="P386" s="67"/>
      <c r="Q386" s="32"/>
      <c r="R386" s="32"/>
    </row>
    <row r="387" spans="1:18" ht="27">
      <c r="A387" s="110" t="s">
        <v>777</v>
      </c>
      <c r="B387" s="111" t="s">
        <v>428</v>
      </c>
      <c r="C387" s="112" t="s">
        <v>449</v>
      </c>
      <c r="D387" s="113" t="s">
        <v>20</v>
      </c>
      <c r="E387" s="175" t="s">
        <v>15</v>
      </c>
      <c r="F387" s="175" t="s">
        <v>65</v>
      </c>
      <c r="G387" s="176">
        <v>44.2</v>
      </c>
      <c r="H387" s="179">
        <v>6</v>
      </c>
      <c r="I387" s="416">
        <v>1</v>
      </c>
      <c r="J387" s="174">
        <f t="shared" si="234"/>
        <v>0.26520000000000005</v>
      </c>
      <c r="K387" s="118"/>
      <c r="L387" s="111"/>
      <c r="M387" s="117">
        <f t="shared" si="235"/>
        <v>0</v>
      </c>
      <c r="N387" s="119">
        <f t="shared" si="236"/>
        <v>1</v>
      </c>
      <c r="O387" s="120">
        <f t="shared" si="237"/>
        <v>0.26520000000000005</v>
      </c>
      <c r="P387" s="67"/>
      <c r="Q387" s="32"/>
      <c r="R387" s="32"/>
    </row>
    <row r="388" spans="1:18" ht="27">
      <c r="A388" s="110" t="s">
        <v>777</v>
      </c>
      <c r="B388" s="111" t="s">
        <v>428</v>
      </c>
      <c r="C388" s="112" t="s">
        <v>449</v>
      </c>
      <c r="D388" s="113" t="s">
        <v>20</v>
      </c>
      <c r="E388" s="175" t="s">
        <v>15</v>
      </c>
      <c r="F388" s="175" t="s">
        <v>65</v>
      </c>
      <c r="G388" s="176">
        <v>44.2</v>
      </c>
      <c r="H388" s="179">
        <v>10</v>
      </c>
      <c r="I388" s="416">
        <v>1</v>
      </c>
      <c r="J388" s="174">
        <f t="shared" si="234"/>
        <v>0.442</v>
      </c>
      <c r="K388" s="118"/>
      <c r="L388" s="111">
        <v>1</v>
      </c>
      <c r="M388" s="117">
        <f t="shared" si="235"/>
        <v>0.442</v>
      </c>
      <c r="N388" s="119">
        <f t="shared" si="236"/>
        <v>0</v>
      </c>
      <c r="O388" s="120">
        <f t="shared" si="237"/>
        <v>0</v>
      </c>
      <c r="P388" s="67">
        <v>8.6</v>
      </c>
      <c r="Q388" s="32">
        <v>1</v>
      </c>
      <c r="R388" s="32"/>
    </row>
    <row r="389" spans="1:18" ht="27">
      <c r="A389" s="110" t="s">
        <v>777</v>
      </c>
      <c r="B389" s="111" t="s">
        <v>428</v>
      </c>
      <c r="C389" s="112" t="s">
        <v>449</v>
      </c>
      <c r="D389" s="113" t="s">
        <v>20</v>
      </c>
      <c r="E389" s="175" t="s">
        <v>15</v>
      </c>
      <c r="F389" s="175" t="s">
        <v>65</v>
      </c>
      <c r="G389" s="176">
        <v>44.2</v>
      </c>
      <c r="H389" s="179">
        <v>6.2</v>
      </c>
      <c r="I389" s="416">
        <v>6</v>
      </c>
      <c r="J389" s="174">
        <f t="shared" ref="J389:J408" si="238">(G389*H389*I389/1000)</f>
        <v>1.6442400000000001</v>
      </c>
      <c r="K389" s="118"/>
      <c r="L389" s="111">
        <v>6</v>
      </c>
      <c r="M389" s="117">
        <f t="shared" ref="M389:M407" si="239">H389*L389*G389/1000</f>
        <v>1.6442400000000001</v>
      </c>
      <c r="N389" s="119">
        <f t="shared" ref="N389:N408" si="240">I389-L389</f>
        <v>0</v>
      </c>
      <c r="O389" s="120">
        <f t="shared" ref="O389:O406" si="241">H389*N389*G389/1000</f>
        <v>0</v>
      </c>
      <c r="P389" s="67"/>
      <c r="Q389" s="32"/>
      <c r="R389" s="32"/>
    </row>
    <row r="390" spans="1:18" ht="27">
      <c r="A390" s="110" t="s">
        <v>777</v>
      </c>
      <c r="B390" s="111" t="s">
        <v>428</v>
      </c>
      <c r="C390" s="112" t="s">
        <v>449</v>
      </c>
      <c r="D390" s="113" t="s">
        <v>20</v>
      </c>
      <c r="E390" s="175" t="s">
        <v>15</v>
      </c>
      <c r="F390" s="175" t="s">
        <v>65</v>
      </c>
      <c r="G390" s="176">
        <v>44.2</v>
      </c>
      <c r="H390" s="179">
        <v>6.2</v>
      </c>
      <c r="I390" s="416">
        <v>6</v>
      </c>
      <c r="J390" s="174">
        <f t="shared" si="238"/>
        <v>1.6442400000000001</v>
      </c>
      <c r="K390" s="118"/>
      <c r="L390" s="111">
        <v>6</v>
      </c>
      <c r="M390" s="117">
        <f t="shared" si="239"/>
        <v>1.6442400000000001</v>
      </c>
      <c r="N390" s="119">
        <f t="shared" si="240"/>
        <v>0</v>
      </c>
      <c r="O390" s="120">
        <f t="shared" si="241"/>
        <v>0</v>
      </c>
      <c r="P390" s="67"/>
      <c r="Q390" s="32"/>
      <c r="R390" s="32"/>
    </row>
    <row r="391" spans="1:18" ht="27">
      <c r="A391" s="110" t="s">
        <v>777</v>
      </c>
      <c r="B391" s="111" t="s">
        <v>428</v>
      </c>
      <c r="C391" s="112" t="s">
        <v>449</v>
      </c>
      <c r="D391" s="113" t="s">
        <v>20</v>
      </c>
      <c r="E391" s="175" t="s">
        <v>15</v>
      </c>
      <c r="F391" s="175" t="s">
        <v>65</v>
      </c>
      <c r="G391" s="176">
        <v>44.2</v>
      </c>
      <c r="H391" s="179">
        <v>6.2</v>
      </c>
      <c r="I391" s="416">
        <v>6</v>
      </c>
      <c r="J391" s="174">
        <f t="shared" si="238"/>
        <v>1.6442400000000001</v>
      </c>
      <c r="K391" s="118"/>
      <c r="L391" s="111">
        <v>6</v>
      </c>
      <c r="M391" s="117">
        <f t="shared" si="239"/>
        <v>1.6442400000000001</v>
      </c>
      <c r="N391" s="119">
        <f t="shared" si="240"/>
        <v>0</v>
      </c>
      <c r="O391" s="120">
        <f t="shared" si="241"/>
        <v>0</v>
      </c>
      <c r="P391" s="67"/>
      <c r="Q391" s="32"/>
      <c r="R391" s="32"/>
    </row>
    <row r="392" spans="1:18" ht="27">
      <c r="A392" s="110" t="s">
        <v>777</v>
      </c>
      <c r="B392" s="111" t="s">
        <v>428</v>
      </c>
      <c r="C392" s="112" t="s">
        <v>449</v>
      </c>
      <c r="D392" s="113" t="s">
        <v>20</v>
      </c>
      <c r="E392" s="175" t="s">
        <v>15</v>
      </c>
      <c r="F392" s="175" t="s">
        <v>65</v>
      </c>
      <c r="G392" s="176">
        <v>44.2</v>
      </c>
      <c r="H392" s="179">
        <v>6.2</v>
      </c>
      <c r="I392" s="416">
        <v>6</v>
      </c>
      <c r="J392" s="174">
        <f t="shared" si="238"/>
        <v>1.6442400000000001</v>
      </c>
      <c r="K392" s="118"/>
      <c r="L392" s="111">
        <v>6</v>
      </c>
      <c r="M392" s="117">
        <f t="shared" si="239"/>
        <v>1.6442400000000001</v>
      </c>
      <c r="N392" s="119">
        <f t="shared" si="240"/>
        <v>0</v>
      </c>
      <c r="O392" s="120">
        <f t="shared" si="241"/>
        <v>0</v>
      </c>
      <c r="P392" s="67"/>
      <c r="Q392" s="32"/>
      <c r="R392" s="32"/>
    </row>
    <row r="393" spans="1:18" ht="27">
      <c r="A393" s="110" t="s">
        <v>777</v>
      </c>
      <c r="B393" s="111" t="s">
        <v>428</v>
      </c>
      <c r="C393" s="112" t="s">
        <v>449</v>
      </c>
      <c r="D393" s="113" t="s">
        <v>20</v>
      </c>
      <c r="E393" s="175" t="s">
        <v>15</v>
      </c>
      <c r="F393" s="175" t="s">
        <v>65</v>
      </c>
      <c r="G393" s="176">
        <v>44.2</v>
      </c>
      <c r="H393" s="179">
        <v>6.2</v>
      </c>
      <c r="I393" s="416">
        <v>7</v>
      </c>
      <c r="J393" s="174">
        <f t="shared" si="238"/>
        <v>1.9182800000000002</v>
      </c>
      <c r="K393" s="118"/>
      <c r="L393" s="111">
        <v>7</v>
      </c>
      <c r="M393" s="117">
        <f t="shared" si="239"/>
        <v>1.91828</v>
      </c>
      <c r="N393" s="119">
        <f t="shared" si="240"/>
        <v>0</v>
      </c>
      <c r="O393" s="120">
        <f t="shared" si="241"/>
        <v>0</v>
      </c>
      <c r="P393" s="67"/>
      <c r="Q393" s="32"/>
      <c r="R393" s="32"/>
    </row>
    <row r="394" spans="1:18" ht="27">
      <c r="A394" s="110" t="s">
        <v>777</v>
      </c>
      <c r="B394" s="111" t="s">
        <v>428</v>
      </c>
      <c r="C394" s="112" t="s">
        <v>449</v>
      </c>
      <c r="D394" s="113" t="s">
        <v>20</v>
      </c>
      <c r="E394" s="175" t="s">
        <v>15</v>
      </c>
      <c r="F394" s="175" t="s">
        <v>65</v>
      </c>
      <c r="G394" s="176">
        <v>44.2</v>
      </c>
      <c r="H394" s="179">
        <v>6.2</v>
      </c>
      <c r="I394" s="416">
        <v>7</v>
      </c>
      <c r="J394" s="174">
        <f t="shared" si="238"/>
        <v>1.9182800000000002</v>
      </c>
      <c r="K394" s="118"/>
      <c r="L394" s="111">
        <v>7</v>
      </c>
      <c r="M394" s="117">
        <f t="shared" si="239"/>
        <v>1.91828</v>
      </c>
      <c r="N394" s="119">
        <f t="shared" si="240"/>
        <v>0</v>
      </c>
      <c r="O394" s="120">
        <f t="shared" si="241"/>
        <v>0</v>
      </c>
      <c r="P394" s="67"/>
      <c r="Q394" s="32"/>
      <c r="R394" s="32"/>
    </row>
    <row r="395" spans="1:18" ht="27">
      <c r="A395" s="110" t="s">
        <v>777</v>
      </c>
      <c r="B395" s="111" t="s">
        <v>428</v>
      </c>
      <c r="C395" s="112" t="s">
        <v>449</v>
      </c>
      <c r="D395" s="113" t="s">
        <v>20</v>
      </c>
      <c r="E395" s="175" t="s">
        <v>15</v>
      </c>
      <c r="F395" s="175" t="s">
        <v>65</v>
      </c>
      <c r="G395" s="176">
        <v>44.2</v>
      </c>
      <c r="H395" s="179">
        <v>6.2</v>
      </c>
      <c r="I395" s="416">
        <v>7</v>
      </c>
      <c r="J395" s="174">
        <f t="shared" si="238"/>
        <v>1.9182800000000002</v>
      </c>
      <c r="K395" s="118"/>
      <c r="L395" s="111">
        <v>7</v>
      </c>
      <c r="M395" s="117">
        <f t="shared" si="239"/>
        <v>1.91828</v>
      </c>
      <c r="N395" s="119">
        <f t="shared" si="240"/>
        <v>0</v>
      </c>
      <c r="O395" s="120">
        <f t="shared" si="241"/>
        <v>0</v>
      </c>
      <c r="P395" s="67"/>
      <c r="Q395" s="32"/>
      <c r="R395" s="32"/>
    </row>
    <row r="396" spans="1:18" ht="27">
      <c r="A396" s="110" t="s">
        <v>777</v>
      </c>
      <c r="B396" s="111" t="s">
        <v>428</v>
      </c>
      <c r="C396" s="112" t="s">
        <v>449</v>
      </c>
      <c r="D396" s="113" t="s">
        <v>20</v>
      </c>
      <c r="E396" s="175" t="s">
        <v>15</v>
      </c>
      <c r="F396" s="175" t="s">
        <v>65</v>
      </c>
      <c r="G396" s="176">
        <v>44.2</v>
      </c>
      <c r="H396" s="179">
        <v>6.2</v>
      </c>
      <c r="I396" s="416">
        <v>7</v>
      </c>
      <c r="J396" s="174">
        <f t="shared" si="238"/>
        <v>1.9182800000000002</v>
      </c>
      <c r="K396" s="118"/>
      <c r="L396" s="111">
        <v>7</v>
      </c>
      <c r="M396" s="117">
        <f t="shared" si="239"/>
        <v>1.91828</v>
      </c>
      <c r="N396" s="119">
        <f t="shared" si="240"/>
        <v>0</v>
      </c>
      <c r="O396" s="120">
        <f t="shared" si="241"/>
        <v>0</v>
      </c>
      <c r="P396" s="67"/>
      <c r="Q396" s="32"/>
      <c r="R396" s="32"/>
    </row>
    <row r="397" spans="1:18" ht="27">
      <c r="A397" s="110" t="s">
        <v>777</v>
      </c>
      <c r="B397" s="111" t="s">
        <v>428</v>
      </c>
      <c r="C397" s="112" t="s">
        <v>449</v>
      </c>
      <c r="D397" s="113" t="s">
        <v>20</v>
      </c>
      <c r="E397" s="175" t="s">
        <v>15</v>
      </c>
      <c r="F397" s="175" t="s">
        <v>65</v>
      </c>
      <c r="G397" s="176">
        <v>44.2</v>
      </c>
      <c r="H397" s="179">
        <v>6.2</v>
      </c>
      <c r="I397" s="416">
        <v>7</v>
      </c>
      <c r="J397" s="174">
        <f t="shared" si="238"/>
        <v>1.9182800000000002</v>
      </c>
      <c r="K397" s="118"/>
      <c r="L397" s="111">
        <v>7</v>
      </c>
      <c r="M397" s="117">
        <f t="shared" si="239"/>
        <v>1.91828</v>
      </c>
      <c r="N397" s="119">
        <f t="shared" si="240"/>
        <v>0</v>
      </c>
      <c r="O397" s="120">
        <f t="shared" si="241"/>
        <v>0</v>
      </c>
      <c r="P397" s="67"/>
      <c r="Q397" s="32"/>
      <c r="R397" s="32"/>
    </row>
    <row r="398" spans="1:18" ht="27">
      <c r="A398" s="110" t="s">
        <v>777</v>
      </c>
      <c r="B398" s="111" t="s">
        <v>428</v>
      </c>
      <c r="C398" s="112" t="s">
        <v>449</v>
      </c>
      <c r="D398" s="113" t="s">
        <v>20</v>
      </c>
      <c r="E398" s="175" t="s">
        <v>15</v>
      </c>
      <c r="F398" s="175" t="s">
        <v>65</v>
      </c>
      <c r="G398" s="176">
        <v>44.2</v>
      </c>
      <c r="H398" s="179">
        <v>6.2</v>
      </c>
      <c r="I398" s="416">
        <v>7</v>
      </c>
      <c r="J398" s="174">
        <f t="shared" si="238"/>
        <v>1.9182800000000002</v>
      </c>
      <c r="K398" s="118"/>
      <c r="L398" s="111">
        <v>7</v>
      </c>
      <c r="M398" s="117">
        <f t="shared" si="239"/>
        <v>1.91828</v>
      </c>
      <c r="N398" s="119">
        <f t="shared" si="240"/>
        <v>0</v>
      </c>
      <c r="O398" s="120">
        <f t="shared" si="241"/>
        <v>0</v>
      </c>
      <c r="P398" s="67"/>
      <c r="Q398" s="32"/>
      <c r="R398" s="32"/>
    </row>
    <row r="399" spans="1:18" ht="27">
      <c r="A399" s="521" t="s">
        <v>777</v>
      </c>
      <c r="B399" s="522" t="s">
        <v>428</v>
      </c>
      <c r="C399" s="523" t="s">
        <v>449</v>
      </c>
      <c r="D399" s="524" t="s">
        <v>20</v>
      </c>
      <c r="E399" s="525" t="s">
        <v>15</v>
      </c>
      <c r="F399" s="525" t="s">
        <v>65</v>
      </c>
      <c r="G399" s="526">
        <v>44.2</v>
      </c>
      <c r="H399" s="179">
        <v>6.2</v>
      </c>
      <c r="I399" s="416">
        <v>6</v>
      </c>
      <c r="J399" s="527">
        <f t="shared" si="238"/>
        <v>1.6442400000000001</v>
      </c>
      <c r="K399" s="528"/>
      <c r="L399" s="522">
        <v>6</v>
      </c>
      <c r="M399" s="529">
        <f t="shared" si="239"/>
        <v>1.6442400000000001</v>
      </c>
      <c r="N399" s="530">
        <f t="shared" si="240"/>
        <v>0</v>
      </c>
      <c r="O399" s="531">
        <f t="shared" si="241"/>
        <v>0</v>
      </c>
      <c r="P399" s="532"/>
      <c r="Q399" s="401"/>
      <c r="R399" s="401"/>
    </row>
    <row r="400" spans="1:18" ht="27">
      <c r="A400" s="110" t="s">
        <v>777</v>
      </c>
      <c r="B400" s="111" t="s">
        <v>428</v>
      </c>
      <c r="C400" s="112" t="s">
        <v>449</v>
      </c>
      <c r="D400" s="113" t="s">
        <v>20</v>
      </c>
      <c r="E400" s="175" t="s">
        <v>15</v>
      </c>
      <c r="F400" s="175" t="s">
        <v>65</v>
      </c>
      <c r="G400" s="176">
        <v>44.2</v>
      </c>
      <c r="H400" s="177">
        <v>6.2</v>
      </c>
      <c r="I400" s="178">
        <v>6</v>
      </c>
      <c r="J400" s="174">
        <f t="shared" si="238"/>
        <v>1.6442400000000001</v>
      </c>
      <c r="K400" s="118"/>
      <c r="L400" s="111">
        <v>6</v>
      </c>
      <c r="M400" s="117">
        <f t="shared" si="239"/>
        <v>1.6442400000000001</v>
      </c>
      <c r="N400" s="119">
        <f t="shared" si="240"/>
        <v>0</v>
      </c>
      <c r="O400" s="120">
        <f t="shared" si="241"/>
        <v>0</v>
      </c>
      <c r="P400" s="67"/>
      <c r="Q400" s="32"/>
      <c r="R400" s="32"/>
    </row>
    <row r="401" spans="1:19" ht="27">
      <c r="A401" s="110" t="s">
        <v>777</v>
      </c>
      <c r="B401" s="111" t="s">
        <v>428</v>
      </c>
      <c r="C401" s="112" t="s">
        <v>449</v>
      </c>
      <c r="D401" s="113" t="s">
        <v>20</v>
      </c>
      <c r="E401" s="175" t="s">
        <v>15</v>
      </c>
      <c r="F401" s="175" t="s">
        <v>65</v>
      </c>
      <c r="G401" s="176">
        <v>44.2</v>
      </c>
      <c r="H401" s="177">
        <v>6.2</v>
      </c>
      <c r="I401" s="178">
        <v>6</v>
      </c>
      <c r="J401" s="174">
        <f t="shared" si="238"/>
        <v>1.6442400000000001</v>
      </c>
      <c r="K401" s="118"/>
      <c r="L401" s="111">
        <v>6</v>
      </c>
      <c r="M401" s="117">
        <f t="shared" si="239"/>
        <v>1.6442400000000001</v>
      </c>
      <c r="N401" s="119">
        <f t="shared" si="240"/>
        <v>0</v>
      </c>
      <c r="O401" s="120">
        <f t="shared" si="241"/>
        <v>0</v>
      </c>
      <c r="P401" s="67"/>
      <c r="Q401" s="32"/>
      <c r="R401" s="32"/>
    </row>
    <row r="402" spans="1:19" ht="27">
      <c r="A402" s="110" t="s">
        <v>777</v>
      </c>
      <c r="B402" s="111" t="s">
        <v>428</v>
      </c>
      <c r="C402" s="112" t="s">
        <v>449</v>
      </c>
      <c r="D402" s="113" t="s">
        <v>20</v>
      </c>
      <c r="E402" s="175" t="s">
        <v>15</v>
      </c>
      <c r="F402" s="175" t="s">
        <v>65</v>
      </c>
      <c r="G402" s="176">
        <v>44.2</v>
      </c>
      <c r="H402" s="177">
        <v>6.2</v>
      </c>
      <c r="I402" s="178">
        <v>6</v>
      </c>
      <c r="J402" s="174">
        <f t="shared" si="238"/>
        <v>1.6442400000000001</v>
      </c>
      <c r="K402" s="118"/>
      <c r="L402" s="111">
        <v>6</v>
      </c>
      <c r="M402" s="117">
        <f t="shared" si="239"/>
        <v>1.6442400000000001</v>
      </c>
      <c r="N402" s="119">
        <f t="shared" si="240"/>
        <v>0</v>
      </c>
      <c r="O402" s="120">
        <f t="shared" si="241"/>
        <v>0</v>
      </c>
      <c r="P402" s="67"/>
      <c r="Q402" s="32"/>
      <c r="R402" s="32"/>
    </row>
    <row r="403" spans="1:19" ht="27">
      <c r="A403" s="110" t="s">
        <v>777</v>
      </c>
      <c r="B403" s="111" t="s">
        <v>428</v>
      </c>
      <c r="C403" s="112" t="s">
        <v>449</v>
      </c>
      <c r="D403" s="113" t="s">
        <v>20</v>
      </c>
      <c r="E403" s="175" t="s">
        <v>15</v>
      </c>
      <c r="F403" s="175" t="s">
        <v>65</v>
      </c>
      <c r="G403" s="176">
        <v>44.2</v>
      </c>
      <c r="H403" s="177">
        <v>6.2</v>
      </c>
      <c r="I403" s="178">
        <v>6</v>
      </c>
      <c r="J403" s="174">
        <f t="shared" si="238"/>
        <v>1.6442400000000001</v>
      </c>
      <c r="K403" s="118"/>
      <c r="L403" s="111">
        <v>6</v>
      </c>
      <c r="M403" s="117">
        <f t="shared" si="239"/>
        <v>1.6442400000000001</v>
      </c>
      <c r="N403" s="119">
        <f t="shared" si="240"/>
        <v>0</v>
      </c>
      <c r="O403" s="120">
        <f t="shared" si="241"/>
        <v>0</v>
      </c>
      <c r="P403" s="67"/>
      <c r="Q403" s="32"/>
      <c r="R403" s="32"/>
    </row>
    <row r="404" spans="1:19" ht="27">
      <c r="A404" s="110" t="s">
        <v>777</v>
      </c>
      <c r="B404" s="111" t="s">
        <v>428</v>
      </c>
      <c r="C404" s="112" t="s">
        <v>449</v>
      </c>
      <c r="D404" s="113" t="s">
        <v>20</v>
      </c>
      <c r="E404" s="175" t="s">
        <v>15</v>
      </c>
      <c r="F404" s="175" t="s">
        <v>65</v>
      </c>
      <c r="G404" s="176">
        <v>44.2</v>
      </c>
      <c r="H404" s="177">
        <v>6.2</v>
      </c>
      <c r="I404" s="178">
        <v>6</v>
      </c>
      <c r="J404" s="174">
        <f t="shared" si="238"/>
        <v>1.6442400000000001</v>
      </c>
      <c r="K404" s="118"/>
      <c r="L404" s="111">
        <v>6</v>
      </c>
      <c r="M404" s="117">
        <f t="shared" si="239"/>
        <v>1.6442400000000001</v>
      </c>
      <c r="N404" s="119">
        <f t="shared" si="240"/>
        <v>0</v>
      </c>
      <c r="O404" s="120">
        <f t="shared" si="241"/>
        <v>0</v>
      </c>
      <c r="P404" s="67"/>
      <c r="Q404" s="32"/>
      <c r="R404" s="32"/>
    </row>
    <row r="405" spans="1:19" ht="27">
      <c r="A405" s="110" t="s">
        <v>777</v>
      </c>
      <c r="B405" s="111" t="s">
        <v>428</v>
      </c>
      <c r="C405" s="112" t="s">
        <v>449</v>
      </c>
      <c r="D405" s="113" t="s">
        <v>20</v>
      </c>
      <c r="E405" s="175" t="s">
        <v>15</v>
      </c>
      <c r="F405" s="175" t="s">
        <v>65</v>
      </c>
      <c r="G405" s="176">
        <v>44.2</v>
      </c>
      <c r="H405" s="177">
        <v>6.2</v>
      </c>
      <c r="I405" s="178">
        <v>6</v>
      </c>
      <c r="J405" s="174">
        <f t="shared" si="238"/>
        <v>1.6442400000000001</v>
      </c>
      <c r="K405" s="118"/>
      <c r="L405" s="111">
        <v>6</v>
      </c>
      <c r="M405" s="117">
        <f t="shared" si="239"/>
        <v>1.6442400000000001</v>
      </c>
      <c r="N405" s="119">
        <f t="shared" si="240"/>
        <v>0</v>
      </c>
      <c r="O405" s="120">
        <f t="shared" si="241"/>
        <v>0</v>
      </c>
      <c r="P405" s="67"/>
      <c r="Q405" s="32"/>
      <c r="R405" s="32"/>
    </row>
    <row r="406" spans="1:19" ht="27">
      <c r="A406" s="110" t="s">
        <v>777</v>
      </c>
      <c r="B406" s="111" t="s">
        <v>428</v>
      </c>
      <c r="C406" s="112" t="s">
        <v>449</v>
      </c>
      <c r="D406" s="113" t="s">
        <v>20</v>
      </c>
      <c r="E406" s="175" t="s">
        <v>15</v>
      </c>
      <c r="F406" s="175" t="s">
        <v>65</v>
      </c>
      <c r="G406" s="176">
        <v>44.2</v>
      </c>
      <c r="H406" s="177">
        <v>6.2</v>
      </c>
      <c r="I406" s="178">
        <v>6</v>
      </c>
      <c r="J406" s="174">
        <f t="shared" si="238"/>
        <v>1.6442400000000001</v>
      </c>
      <c r="K406" s="118"/>
      <c r="L406" s="111">
        <v>6</v>
      </c>
      <c r="M406" s="117">
        <f t="shared" si="239"/>
        <v>1.6442400000000001</v>
      </c>
      <c r="N406" s="119">
        <f t="shared" si="240"/>
        <v>0</v>
      </c>
      <c r="O406" s="120">
        <f t="shared" si="241"/>
        <v>0</v>
      </c>
      <c r="P406" s="67"/>
      <c r="Q406" s="32"/>
      <c r="R406" s="32"/>
    </row>
    <row r="407" spans="1:19" ht="27">
      <c r="A407" s="110" t="s">
        <v>777</v>
      </c>
      <c r="B407" s="111" t="s">
        <v>428</v>
      </c>
      <c r="C407" s="112" t="s">
        <v>449</v>
      </c>
      <c r="D407" s="113" t="s">
        <v>20</v>
      </c>
      <c r="E407" s="175" t="s">
        <v>15</v>
      </c>
      <c r="F407" s="175" t="s">
        <v>65</v>
      </c>
      <c r="G407" s="176">
        <v>44.2</v>
      </c>
      <c r="H407" s="177">
        <v>6.2</v>
      </c>
      <c r="I407" s="178">
        <v>6</v>
      </c>
      <c r="J407" s="174">
        <f t="shared" si="238"/>
        <v>1.6442400000000001</v>
      </c>
      <c r="K407" s="118"/>
      <c r="L407" s="111">
        <v>6</v>
      </c>
      <c r="M407" s="117">
        <f t="shared" si="239"/>
        <v>1.6442400000000001</v>
      </c>
      <c r="N407" s="119">
        <f t="shared" si="240"/>
        <v>0</v>
      </c>
      <c r="O407" s="120">
        <f>H407*N407*G407/1000</f>
        <v>0</v>
      </c>
      <c r="P407" s="67"/>
      <c r="Q407" s="32"/>
      <c r="R407" s="32"/>
    </row>
    <row r="408" spans="1:19" ht="27">
      <c r="A408" s="110" t="s">
        <v>777</v>
      </c>
      <c r="B408" s="111" t="s">
        <v>428</v>
      </c>
      <c r="C408" s="112" t="s">
        <v>449</v>
      </c>
      <c r="D408" s="113" t="s">
        <v>20</v>
      </c>
      <c r="E408" s="175" t="s">
        <v>15</v>
      </c>
      <c r="F408" s="175" t="s">
        <v>65</v>
      </c>
      <c r="G408" s="176">
        <v>44.2</v>
      </c>
      <c r="H408" s="177">
        <v>6.2</v>
      </c>
      <c r="I408" s="178">
        <v>6</v>
      </c>
      <c r="J408" s="174">
        <f t="shared" si="238"/>
        <v>1.6442400000000001</v>
      </c>
      <c r="K408" s="118"/>
      <c r="L408" s="111">
        <v>6</v>
      </c>
      <c r="M408" s="117">
        <f>H408*L408*G408/1000</f>
        <v>1.6442400000000001</v>
      </c>
      <c r="N408" s="119">
        <f t="shared" si="240"/>
        <v>0</v>
      </c>
      <c r="O408" s="120">
        <f>H408*N408*G408/1000</f>
        <v>0</v>
      </c>
      <c r="P408" s="67"/>
      <c r="Q408" s="32"/>
      <c r="R408" s="32"/>
    </row>
    <row r="409" spans="1:19" ht="27">
      <c r="A409" s="110" t="s">
        <v>777</v>
      </c>
      <c r="B409" s="111" t="s">
        <v>428</v>
      </c>
      <c r="C409" s="32"/>
      <c r="D409" s="113" t="s">
        <v>20</v>
      </c>
      <c r="E409" s="175" t="s">
        <v>15</v>
      </c>
      <c r="F409" s="175" t="s">
        <v>65</v>
      </c>
      <c r="G409" s="32"/>
      <c r="H409" s="32"/>
      <c r="I409" s="129">
        <f>SUM(I356:I408)</f>
        <v>298</v>
      </c>
      <c r="J409" s="124">
        <f>SUM(J356:J408)</f>
        <v>89.85860000000001</v>
      </c>
      <c r="K409" s="32"/>
      <c r="L409" s="129">
        <f>SUM(L356:L408)</f>
        <v>296</v>
      </c>
      <c r="M409" s="124">
        <f>SUM(M356:M408)</f>
        <v>89.093940000000003</v>
      </c>
      <c r="N409" s="131">
        <f>SUM(N356:N408)</f>
        <v>2</v>
      </c>
      <c r="O409" s="132">
        <f>SUM(O356:O408)</f>
        <v>0.76466000000000012</v>
      </c>
      <c r="P409" s="32"/>
      <c r="Q409" s="32"/>
      <c r="R409" s="32"/>
    </row>
    <row r="410" spans="1:19" s="213" customFormat="1">
      <c r="A410" s="521"/>
      <c r="B410" s="522"/>
      <c r="C410" s="401"/>
      <c r="D410" s="524"/>
      <c r="E410" s="525"/>
      <c r="F410" s="525"/>
      <c r="G410" s="401"/>
      <c r="H410" s="546"/>
      <c r="I410" s="547"/>
      <c r="J410" s="548"/>
      <c r="K410" s="401"/>
      <c r="L410" s="547"/>
      <c r="M410" s="548"/>
      <c r="N410" s="549"/>
      <c r="O410" s="550"/>
      <c r="P410" s="401"/>
      <c r="Q410" s="401"/>
      <c r="R410" s="401"/>
      <c r="S410" s="186"/>
    </row>
    <row r="411" spans="1:19" ht="27">
      <c r="A411" s="521" t="s">
        <v>777</v>
      </c>
      <c r="B411" s="522" t="s">
        <v>428</v>
      </c>
      <c r="C411" s="523" t="s">
        <v>449</v>
      </c>
      <c r="D411" s="524" t="s">
        <v>20</v>
      </c>
      <c r="E411" s="525" t="s">
        <v>15</v>
      </c>
      <c r="F411" s="525" t="s">
        <v>53</v>
      </c>
      <c r="G411" s="526">
        <v>35.9</v>
      </c>
      <c r="H411" s="179">
        <v>6.3</v>
      </c>
      <c r="I411" s="416">
        <v>10</v>
      </c>
      <c r="J411" s="527">
        <f t="shared" ref="J411:J414" si="242">(G411*H411*I411/1000)</f>
        <v>2.2616999999999998</v>
      </c>
      <c r="K411" s="528"/>
      <c r="L411" s="416">
        <v>10</v>
      </c>
      <c r="M411" s="529">
        <f t="shared" ref="M411:M414" si="243">H411*L411*G411/1000</f>
        <v>2.2616999999999998</v>
      </c>
      <c r="N411" s="530">
        <f t="shared" ref="N411:N414" si="244">I411-L411</f>
        <v>0</v>
      </c>
      <c r="O411" s="531">
        <f>H411*N411*G411/1000</f>
        <v>0</v>
      </c>
      <c r="P411" s="532"/>
      <c r="Q411" s="401"/>
      <c r="R411" s="401"/>
    </row>
    <row r="412" spans="1:19" ht="27">
      <c r="A412" s="110" t="s">
        <v>777</v>
      </c>
      <c r="B412" s="111" t="s">
        <v>428</v>
      </c>
      <c r="C412" s="112" t="s">
        <v>449</v>
      </c>
      <c r="D412" s="113" t="s">
        <v>20</v>
      </c>
      <c r="E412" s="175" t="s">
        <v>15</v>
      </c>
      <c r="F412" s="525" t="s">
        <v>53</v>
      </c>
      <c r="G412" s="526">
        <v>35.9</v>
      </c>
      <c r="H412" s="177">
        <v>6.3</v>
      </c>
      <c r="I412" s="178">
        <v>10</v>
      </c>
      <c r="J412" s="174">
        <f t="shared" si="242"/>
        <v>2.2616999999999998</v>
      </c>
      <c r="K412" s="118"/>
      <c r="L412" s="178">
        <v>10</v>
      </c>
      <c r="M412" s="117">
        <f t="shared" si="243"/>
        <v>2.2616999999999998</v>
      </c>
      <c r="N412" s="119">
        <f t="shared" si="244"/>
        <v>0</v>
      </c>
      <c r="O412" s="120">
        <f>H412*N412*G412/1000</f>
        <v>0</v>
      </c>
      <c r="P412" s="67"/>
      <c r="Q412" s="32"/>
      <c r="R412" s="32"/>
    </row>
    <row r="413" spans="1:19" ht="27">
      <c r="A413" s="110" t="s">
        <v>777</v>
      </c>
      <c r="B413" s="111" t="s">
        <v>428</v>
      </c>
      <c r="C413" s="112" t="s">
        <v>449</v>
      </c>
      <c r="D413" s="113" t="s">
        <v>20</v>
      </c>
      <c r="E413" s="175" t="s">
        <v>15</v>
      </c>
      <c r="F413" s="525" t="s">
        <v>53</v>
      </c>
      <c r="G413" s="526">
        <v>35.9</v>
      </c>
      <c r="H413" s="177">
        <v>6.3</v>
      </c>
      <c r="I413" s="178">
        <v>3</v>
      </c>
      <c r="J413" s="174">
        <f t="shared" si="242"/>
        <v>0.67850999999999995</v>
      </c>
      <c r="K413" s="118"/>
      <c r="L413" s="111"/>
      <c r="M413" s="117">
        <f t="shared" si="243"/>
        <v>0</v>
      </c>
      <c r="N413" s="119">
        <f t="shared" si="244"/>
        <v>3</v>
      </c>
      <c r="O413" s="120">
        <f>H413*N413*G413/1000</f>
        <v>0.67850999999999984</v>
      </c>
      <c r="P413" s="67"/>
      <c r="Q413" s="32"/>
      <c r="R413" s="32"/>
    </row>
    <row r="414" spans="1:19" ht="27">
      <c r="A414" s="110" t="s">
        <v>777</v>
      </c>
      <c r="B414" s="111" t="s">
        <v>428</v>
      </c>
      <c r="C414" s="112" t="s">
        <v>449</v>
      </c>
      <c r="D414" s="113" t="s">
        <v>20</v>
      </c>
      <c r="E414" s="175" t="s">
        <v>15</v>
      </c>
      <c r="F414" s="525" t="s">
        <v>53</v>
      </c>
      <c r="G414" s="526">
        <v>35.9</v>
      </c>
      <c r="H414" s="177">
        <v>6.7</v>
      </c>
      <c r="I414" s="178">
        <v>1</v>
      </c>
      <c r="J414" s="174">
        <f t="shared" si="242"/>
        <v>0.24052999999999999</v>
      </c>
      <c r="K414" s="118"/>
      <c r="L414" s="111"/>
      <c r="M414" s="117">
        <f t="shared" si="243"/>
        <v>0</v>
      </c>
      <c r="N414" s="119">
        <f t="shared" si="244"/>
        <v>1</v>
      </c>
      <c r="O414" s="120">
        <f>H414*N414*G414/1000</f>
        <v>0.24052999999999999</v>
      </c>
      <c r="P414" s="67"/>
      <c r="Q414" s="32"/>
      <c r="R414" s="32"/>
    </row>
    <row r="415" spans="1:19">
      <c r="A415" s="110"/>
      <c r="B415" s="111"/>
      <c r="D415" s="113"/>
      <c r="E415" s="175"/>
      <c r="F415" s="525"/>
      <c r="I415" s="78">
        <f>SUM(I411:I414)</f>
        <v>24</v>
      </c>
      <c r="J415" s="214">
        <f>SUM(J411:J414)</f>
        <v>5.4424399999999995</v>
      </c>
      <c r="L415" s="78">
        <f>SUM(L411:L414)</f>
        <v>20</v>
      </c>
      <c r="M415" s="214">
        <f>SUM(M411:M414)</f>
        <v>4.5233999999999996</v>
      </c>
      <c r="N415" s="78">
        <f>SUM(N411:N414)</f>
        <v>4</v>
      </c>
      <c r="O415" s="214">
        <f>SUM(O411:O414)</f>
        <v>0.91903999999999986</v>
      </c>
    </row>
    <row r="416" spans="1:19" s="213" customFormat="1">
      <c r="A416" s="521"/>
      <c r="B416" s="522"/>
      <c r="D416" s="524"/>
      <c r="E416" s="525"/>
      <c r="F416" s="525"/>
      <c r="I416" s="78"/>
      <c r="J416" s="214"/>
      <c r="L416" s="78"/>
      <c r="M416" s="214"/>
      <c r="N416" s="78"/>
      <c r="O416" s="214"/>
      <c r="S416" s="186"/>
    </row>
    <row r="417" spans="1:18" ht="27">
      <c r="A417" s="521" t="s">
        <v>777</v>
      </c>
      <c r="B417" s="522" t="s">
        <v>428</v>
      </c>
      <c r="C417" s="523" t="s">
        <v>449</v>
      </c>
      <c r="D417" s="524" t="s">
        <v>20</v>
      </c>
      <c r="E417" s="525" t="s">
        <v>15</v>
      </c>
      <c r="F417" s="525" t="s">
        <v>57</v>
      </c>
      <c r="G417" s="526">
        <v>33.799999999999997</v>
      </c>
      <c r="H417" s="179">
        <v>11.4</v>
      </c>
      <c r="I417" s="416">
        <v>7</v>
      </c>
      <c r="J417" s="527">
        <f t="shared" ref="J417" si="245">(G417*H417*I417/1000)</f>
        <v>2.6972399999999999</v>
      </c>
      <c r="K417" s="528"/>
      <c r="L417" s="416">
        <v>7</v>
      </c>
      <c r="M417" s="529">
        <f t="shared" ref="M417" si="246">H417*L417*G417/1000</f>
        <v>2.6972399999999999</v>
      </c>
      <c r="N417" s="530">
        <f t="shared" ref="N417" si="247">I417-L417</f>
        <v>0</v>
      </c>
      <c r="O417" s="531">
        <f>H417*N417*G417/1000</f>
        <v>0</v>
      </c>
      <c r="P417" s="532"/>
      <c r="Q417" s="401"/>
      <c r="R417" s="401"/>
    </row>
    <row r="418" spans="1:18" ht="27">
      <c r="A418" s="521" t="s">
        <v>777</v>
      </c>
      <c r="B418" s="522" t="s">
        <v>428</v>
      </c>
      <c r="C418" s="523" t="s">
        <v>449</v>
      </c>
      <c r="D418" s="524" t="s">
        <v>20</v>
      </c>
      <c r="E418" s="525" t="s">
        <v>15</v>
      </c>
      <c r="F418" s="525" t="s">
        <v>57</v>
      </c>
      <c r="G418" s="526">
        <v>33.799999999999997</v>
      </c>
      <c r="H418" s="179">
        <v>11.4</v>
      </c>
      <c r="I418" s="416">
        <v>6</v>
      </c>
      <c r="J418" s="527">
        <f t="shared" ref="J418:J435" si="248">(G418*H418*I418/1000)</f>
        <v>2.3119200000000002</v>
      </c>
      <c r="K418" s="528"/>
      <c r="L418" s="416">
        <v>6</v>
      </c>
      <c r="M418" s="529">
        <f t="shared" ref="M418:M435" si="249">H418*L418*G418/1000</f>
        <v>2.3119200000000002</v>
      </c>
      <c r="N418" s="530">
        <f t="shared" ref="N418:N435" si="250">I418-L418</f>
        <v>0</v>
      </c>
      <c r="O418" s="531">
        <f t="shared" ref="O418:O435" si="251">H418*N418*G418/1000</f>
        <v>0</v>
      </c>
      <c r="P418" s="532"/>
      <c r="Q418" s="401"/>
      <c r="R418" s="401"/>
    </row>
    <row r="419" spans="1:18" ht="27">
      <c r="A419" s="521" t="s">
        <v>777</v>
      </c>
      <c r="B419" s="522" t="s">
        <v>428</v>
      </c>
      <c r="C419" s="523" t="s">
        <v>449</v>
      </c>
      <c r="D419" s="524" t="s">
        <v>20</v>
      </c>
      <c r="E419" s="525" t="s">
        <v>15</v>
      </c>
      <c r="F419" s="525" t="s">
        <v>57</v>
      </c>
      <c r="G419" s="526">
        <v>33.799999999999997</v>
      </c>
      <c r="H419" s="179">
        <v>12</v>
      </c>
      <c r="I419" s="416">
        <v>6</v>
      </c>
      <c r="J419" s="527">
        <f t="shared" si="248"/>
        <v>2.4335999999999998</v>
      </c>
      <c r="K419" s="528"/>
      <c r="L419" s="416">
        <v>6</v>
      </c>
      <c r="M419" s="529">
        <f t="shared" si="249"/>
        <v>2.4335999999999998</v>
      </c>
      <c r="N419" s="530">
        <f t="shared" si="250"/>
        <v>0</v>
      </c>
      <c r="O419" s="531">
        <f t="shared" si="251"/>
        <v>0</v>
      </c>
      <c r="P419" s="532"/>
      <c r="Q419" s="401"/>
      <c r="R419" s="401"/>
    </row>
    <row r="420" spans="1:18" ht="27">
      <c r="A420" s="521" t="s">
        <v>777</v>
      </c>
      <c r="B420" s="522" t="s">
        <v>428</v>
      </c>
      <c r="C420" s="523" t="s">
        <v>449</v>
      </c>
      <c r="D420" s="524" t="s">
        <v>20</v>
      </c>
      <c r="E420" s="525" t="s">
        <v>15</v>
      </c>
      <c r="F420" s="525" t="s">
        <v>57</v>
      </c>
      <c r="G420" s="526">
        <v>33.799999999999997</v>
      </c>
      <c r="H420" s="179">
        <v>11.4</v>
      </c>
      <c r="I420" s="416">
        <v>6</v>
      </c>
      <c r="J420" s="527">
        <f t="shared" si="248"/>
        <v>2.3119200000000002</v>
      </c>
      <c r="K420" s="528"/>
      <c r="L420" s="416">
        <v>6</v>
      </c>
      <c r="M420" s="529">
        <f t="shared" si="249"/>
        <v>2.3119200000000002</v>
      </c>
      <c r="N420" s="530">
        <f t="shared" si="250"/>
        <v>0</v>
      </c>
      <c r="O420" s="531">
        <f t="shared" si="251"/>
        <v>0</v>
      </c>
      <c r="P420" s="532"/>
      <c r="Q420" s="401"/>
      <c r="R420" s="401"/>
    </row>
    <row r="421" spans="1:18" ht="27">
      <c r="A421" s="521" t="s">
        <v>777</v>
      </c>
      <c r="B421" s="522" t="s">
        <v>428</v>
      </c>
      <c r="C421" s="523" t="s">
        <v>449</v>
      </c>
      <c r="D421" s="524" t="s">
        <v>20</v>
      </c>
      <c r="E421" s="525" t="s">
        <v>15</v>
      </c>
      <c r="F421" s="525" t="s">
        <v>57</v>
      </c>
      <c r="G421" s="526">
        <v>33.799999999999997</v>
      </c>
      <c r="H421" s="179">
        <v>11.4</v>
      </c>
      <c r="I421" s="416">
        <v>4</v>
      </c>
      <c r="J421" s="527">
        <f t="shared" si="248"/>
        <v>1.54128</v>
      </c>
      <c r="K421" s="528"/>
      <c r="L421" s="416">
        <v>4</v>
      </c>
      <c r="M421" s="529">
        <f t="shared" si="249"/>
        <v>1.54128</v>
      </c>
      <c r="N421" s="530">
        <f t="shared" si="250"/>
        <v>0</v>
      </c>
      <c r="O421" s="531">
        <f t="shared" si="251"/>
        <v>0</v>
      </c>
      <c r="P421" s="532"/>
      <c r="Q421" s="401"/>
      <c r="R421" s="401"/>
    </row>
    <row r="422" spans="1:18" ht="27">
      <c r="A422" s="521" t="s">
        <v>777</v>
      </c>
      <c r="B422" s="522" t="s">
        <v>428</v>
      </c>
      <c r="C422" s="523" t="s">
        <v>449</v>
      </c>
      <c r="D422" s="524" t="s">
        <v>20</v>
      </c>
      <c r="E422" s="525" t="s">
        <v>15</v>
      </c>
      <c r="F422" s="525" t="s">
        <v>57</v>
      </c>
      <c r="G422" s="526">
        <v>33.799999999999997</v>
      </c>
      <c r="H422" s="179">
        <v>12</v>
      </c>
      <c r="I422" s="416">
        <v>6</v>
      </c>
      <c r="J422" s="527">
        <f t="shared" si="248"/>
        <v>2.4335999999999998</v>
      </c>
      <c r="K422" s="528"/>
      <c r="L422" s="416">
        <v>6</v>
      </c>
      <c r="M422" s="529">
        <f t="shared" si="249"/>
        <v>2.4335999999999998</v>
      </c>
      <c r="N422" s="530">
        <f t="shared" si="250"/>
        <v>0</v>
      </c>
      <c r="O422" s="531">
        <f t="shared" si="251"/>
        <v>0</v>
      </c>
      <c r="P422" s="532">
        <v>11.4</v>
      </c>
      <c r="Q422" s="401">
        <v>6</v>
      </c>
      <c r="R422" s="401"/>
    </row>
    <row r="423" spans="1:18" ht="27">
      <c r="A423" s="521" t="s">
        <v>777</v>
      </c>
      <c r="B423" s="522" t="s">
        <v>428</v>
      </c>
      <c r="C423" s="523" t="s">
        <v>449</v>
      </c>
      <c r="D423" s="524" t="s">
        <v>20</v>
      </c>
      <c r="E423" s="525" t="s">
        <v>15</v>
      </c>
      <c r="F423" s="525" t="s">
        <v>57</v>
      </c>
      <c r="G423" s="526">
        <v>33.799999999999997</v>
      </c>
      <c r="H423" s="179">
        <v>11</v>
      </c>
      <c r="I423" s="416">
        <v>1</v>
      </c>
      <c r="J423" s="527">
        <f t="shared" si="248"/>
        <v>0.37179999999999996</v>
      </c>
      <c r="K423" s="528"/>
      <c r="L423" s="416">
        <v>1</v>
      </c>
      <c r="M423" s="529">
        <f t="shared" si="249"/>
        <v>0.37179999999999996</v>
      </c>
      <c r="N423" s="530">
        <f t="shared" si="250"/>
        <v>0</v>
      </c>
      <c r="O423" s="531">
        <f t="shared" si="251"/>
        <v>0</v>
      </c>
      <c r="P423" s="532"/>
      <c r="Q423" s="401"/>
      <c r="R423" s="401"/>
    </row>
    <row r="424" spans="1:18" ht="27">
      <c r="A424" s="521" t="s">
        <v>777</v>
      </c>
      <c r="B424" s="522" t="s">
        <v>428</v>
      </c>
      <c r="C424" s="523" t="s">
        <v>449</v>
      </c>
      <c r="D424" s="524" t="s">
        <v>20</v>
      </c>
      <c r="E424" s="525" t="s">
        <v>15</v>
      </c>
      <c r="F424" s="525" t="s">
        <v>57</v>
      </c>
      <c r="G424" s="526">
        <v>33.799999999999997</v>
      </c>
      <c r="H424" s="179">
        <v>11.5</v>
      </c>
      <c r="I424" s="416">
        <v>1</v>
      </c>
      <c r="J424" s="527">
        <f t="shared" si="248"/>
        <v>0.38869999999999999</v>
      </c>
      <c r="K424" s="528"/>
      <c r="L424" s="416">
        <v>1</v>
      </c>
      <c r="M424" s="529">
        <f t="shared" si="249"/>
        <v>0.38869999999999999</v>
      </c>
      <c r="N424" s="530">
        <f t="shared" si="250"/>
        <v>0</v>
      </c>
      <c r="O424" s="531">
        <f t="shared" si="251"/>
        <v>0</v>
      </c>
      <c r="P424" s="532">
        <v>11.4</v>
      </c>
      <c r="Q424" s="401">
        <v>1</v>
      </c>
      <c r="R424" s="401"/>
    </row>
    <row r="425" spans="1:18" ht="27">
      <c r="A425" s="521" t="s">
        <v>777</v>
      </c>
      <c r="B425" s="522" t="s">
        <v>428</v>
      </c>
      <c r="C425" s="523" t="s">
        <v>449</v>
      </c>
      <c r="D425" s="524" t="s">
        <v>20</v>
      </c>
      <c r="E425" s="525" t="s">
        <v>15</v>
      </c>
      <c r="F425" s="525" t="s">
        <v>57</v>
      </c>
      <c r="G425" s="526">
        <v>33.799999999999997</v>
      </c>
      <c r="H425" s="179">
        <v>12</v>
      </c>
      <c r="I425" s="416">
        <v>1</v>
      </c>
      <c r="J425" s="527">
        <f t="shared" si="248"/>
        <v>0.40559999999999996</v>
      </c>
      <c r="K425" s="528"/>
      <c r="L425" s="416">
        <v>1</v>
      </c>
      <c r="M425" s="529">
        <f t="shared" si="249"/>
        <v>0.40559999999999996</v>
      </c>
      <c r="N425" s="530">
        <f t="shared" si="250"/>
        <v>0</v>
      </c>
      <c r="O425" s="531">
        <f t="shared" si="251"/>
        <v>0</v>
      </c>
      <c r="P425" s="532"/>
      <c r="Q425" s="401"/>
      <c r="R425" s="401"/>
    </row>
    <row r="426" spans="1:18" ht="27">
      <c r="A426" s="521" t="s">
        <v>777</v>
      </c>
      <c r="B426" s="522" t="s">
        <v>428</v>
      </c>
      <c r="C426" s="523" t="s">
        <v>449</v>
      </c>
      <c r="D426" s="524" t="s">
        <v>20</v>
      </c>
      <c r="E426" s="525" t="s">
        <v>15</v>
      </c>
      <c r="F426" s="525" t="s">
        <v>57</v>
      </c>
      <c r="G426" s="526">
        <v>33.799999999999997</v>
      </c>
      <c r="H426" s="179">
        <v>6.8</v>
      </c>
      <c r="I426" s="416">
        <v>8</v>
      </c>
      <c r="J426" s="527">
        <f t="shared" si="248"/>
        <v>1.8387199999999999</v>
      </c>
      <c r="K426" s="528"/>
      <c r="L426" s="416">
        <v>8</v>
      </c>
      <c r="M426" s="529">
        <f t="shared" si="249"/>
        <v>1.8387199999999999</v>
      </c>
      <c r="N426" s="530">
        <f t="shared" si="250"/>
        <v>0</v>
      </c>
      <c r="O426" s="531">
        <f t="shared" si="251"/>
        <v>0</v>
      </c>
      <c r="P426" s="532"/>
      <c r="Q426" s="401"/>
      <c r="R426" s="401"/>
    </row>
    <row r="427" spans="1:18" ht="27">
      <c r="A427" s="521" t="s">
        <v>777</v>
      </c>
      <c r="B427" s="522" t="s">
        <v>428</v>
      </c>
      <c r="C427" s="523" t="s">
        <v>449</v>
      </c>
      <c r="D427" s="524" t="s">
        <v>20</v>
      </c>
      <c r="E427" s="525" t="s">
        <v>15</v>
      </c>
      <c r="F427" s="525" t="s">
        <v>57</v>
      </c>
      <c r="G427" s="526">
        <v>33.799999999999997</v>
      </c>
      <c r="H427" s="179">
        <v>6.8</v>
      </c>
      <c r="I427" s="416">
        <v>2</v>
      </c>
      <c r="J427" s="527">
        <f t="shared" si="248"/>
        <v>0.45967999999999998</v>
      </c>
      <c r="K427" s="528"/>
      <c r="L427" s="416">
        <v>2</v>
      </c>
      <c r="M427" s="529">
        <f t="shared" si="249"/>
        <v>0.45967999999999998</v>
      </c>
      <c r="N427" s="530">
        <f t="shared" si="250"/>
        <v>0</v>
      </c>
      <c r="O427" s="531">
        <f t="shared" si="251"/>
        <v>0</v>
      </c>
      <c r="P427" s="532">
        <v>6.5</v>
      </c>
      <c r="Q427" s="401">
        <v>2</v>
      </c>
      <c r="R427" s="401" t="s">
        <v>760</v>
      </c>
    </row>
    <row r="428" spans="1:18" ht="27">
      <c r="A428" s="521" t="s">
        <v>777</v>
      </c>
      <c r="B428" s="522" t="s">
        <v>428</v>
      </c>
      <c r="C428" s="523" t="s">
        <v>449</v>
      </c>
      <c r="D428" s="524" t="s">
        <v>20</v>
      </c>
      <c r="E428" s="525" t="s">
        <v>15</v>
      </c>
      <c r="F428" s="525" t="s">
        <v>57</v>
      </c>
      <c r="G428" s="526">
        <v>33.799999999999997</v>
      </c>
      <c r="H428" s="179">
        <v>6.8</v>
      </c>
      <c r="I428" s="416">
        <v>12</v>
      </c>
      <c r="J428" s="527">
        <f t="shared" si="248"/>
        <v>2.7580800000000001</v>
      </c>
      <c r="K428" s="528"/>
      <c r="L428" s="416">
        <v>12</v>
      </c>
      <c r="M428" s="529">
        <f t="shared" si="249"/>
        <v>2.7580799999999996</v>
      </c>
      <c r="N428" s="530">
        <f t="shared" si="250"/>
        <v>0</v>
      </c>
      <c r="O428" s="531">
        <f t="shared" si="251"/>
        <v>0</v>
      </c>
      <c r="P428" s="532"/>
      <c r="Q428" s="401"/>
      <c r="R428" s="401"/>
    </row>
    <row r="429" spans="1:18" ht="27">
      <c r="A429" s="521" t="s">
        <v>777</v>
      </c>
      <c r="B429" s="522" t="s">
        <v>428</v>
      </c>
      <c r="C429" s="523" t="s">
        <v>449</v>
      </c>
      <c r="D429" s="524" t="s">
        <v>20</v>
      </c>
      <c r="E429" s="525" t="s">
        <v>15</v>
      </c>
      <c r="F429" s="525" t="s">
        <v>57</v>
      </c>
      <c r="G429" s="526">
        <v>33.799999999999997</v>
      </c>
      <c r="H429" s="179">
        <v>12</v>
      </c>
      <c r="I429" s="416">
        <v>4</v>
      </c>
      <c r="J429" s="527">
        <f t="shared" si="248"/>
        <v>1.6223999999999998</v>
      </c>
      <c r="K429" s="528"/>
      <c r="L429" s="416">
        <v>4</v>
      </c>
      <c r="M429" s="529">
        <f t="shared" si="249"/>
        <v>1.6223999999999998</v>
      </c>
      <c r="N429" s="530">
        <f t="shared" si="250"/>
        <v>0</v>
      </c>
      <c r="O429" s="531">
        <f t="shared" si="251"/>
        <v>0</v>
      </c>
      <c r="P429" s="532"/>
      <c r="Q429" s="401"/>
      <c r="R429" s="401"/>
    </row>
    <row r="430" spans="1:18" ht="27">
      <c r="A430" s="521" t="s">
        <v>777</v>
      </c>
      <c r="B430" s="522" t="s">
        <v>428</v>
      </c>
      <c r="C430" s="523" t="s">
        <v>449</v>
      </c>
      <c r="D430" s="524" t="s">
        <v>20</v>
      </c>
      <c r="E430" s="525" t="s">
        <v>15</v>
      </c>
      <c r="F430" s="525" t="s">
        <v>57</v>
      </c>
      <c r="G430" s="526">
        <v>33.799999999999997</v>
      </c>
      <c r="H430" s="179">
        <v>11.4</v>
      </c>
      <c r="I430" s="416">
        <v>4</v>
      </c>
      <c r="J430" s="527">
        <f t="shared" si="248"/>
        <v>1.54128</v>
      </c>
      <c r="K430" s="528"/>
      <c r="L430" s="416">
        <v>4</v>
      </c>
      <c r="M430" s="529">
        <f t="shared" si="249"/>
        <v>1.54128</v>
      </c>
      <c r="N430" s="530">
        <f t="shared" si="250"/>
        <v>0</v>
      </c>
      <c r="O430" s="531">
        <f t="shared" si="251"/>
        <v>0</v>
      </c>
      <c r="P430" s="532"/>
      <c r="Q430" s="401"/>
      <c r="R430" s="401"/>
    </row>
    <row r="431" spans="1:18" ht="27">
      <c r="A431" s="521" t="s">
        <v>777</v>
      </c>
      <c r="B431" s="522" t="s">
        <v>428</v>
      </c>
      <c r="C431" s="523" t="s">
        <v>449</v>
      </c>
      <c r="D431" s="524" t="s">
        <v>20</v>
      </c>
      <c r="E431" s="525" t="s">
        <v>15</v>
      </c>
      <c r="F431" s="525" t="s">
        <v>57</v>
      </c>
      <c r="G431" s="526">
        <v>33.799999999999997</v>
      </c>
      <c r="H431" s="179">
        <v>6.8</v>
      </c>
      <c r="I431" s="416">
        <v>12</v>
      </c>
      <c r="J431" s="527">
        <f t="shared" si="248"/>
        <v>2.7580800000000001</v>
      </c>
      <c r="K431" s="528"/>
      <c r="L431" s="416">
        <v>12</v>
      </c>
      <c r="M431" s="529">
        <f t="shared" si="249"/>
        <v>2.7580799999999996</v>
      </c>
      <c r="N431" s="530">
        <f t="shared" si="250"/>
        <v>0</v>
      </c>
      <c r="O431" s="531">
        <f t="shared" si="251"/>
        <v>0</v>
      </c>
      <c r="P431" s="532"/>
      <c r="Q431" s="401"/>
      <c r="R431" s="401"/>
    </row>
    <row r="432" spans="1:18" ht="27">
      <c r="A432" s="521" t="s">
        <v>777</v>
      </c>
      <c r="B432" s="522" t="s">
        <v>428</v>
      </c>
      <c r="C432" s="523" t="s">
        <v>449</v>
      </c>
      <c r="D432" s="524" t="s">
        <v>20</v>
      </c>
      <c r="E432" s="525" t="s">
        <v>15</v>
      </c>
      <c r="F432" s="525" t="s">
        <v>57</v>
      </c>
      <c r="G432" s="526">
        <v>33.799999999999997</v>
      </c>
      <c r="H432" s="179">
        <v>11.4</v>
      </c>
      <c r="I432" s="416">
        <v>5</v>
      </c>
      <c r="J432" s="527">
        <f t="shared" si="248"/>
        <v>1.9265999999999999</v>
      </c>
      <c r="K432" s="528"/>
      <c r="L432" s="416">
        <v>5</v>
      </c>
      <c r="M432" s="529">
        <f t="shared" si="249"/>
        <v>1.9265999999999999</v>
      </c>
      <c r="N432" s="530">
        <f t="shared" si="250"/>
        <v>0</v>
      </c>
      <c r="O432" s="531">
        <f t="shared" si="251"/>
        <v>0</v>
      </c>
      <c r="P432" s="532"/>
      <c r="Q432" s="401"/>
      <c r="R432" s="401"/>
    </row>
    <row r="433" spans="1:19" ht="27">
      <c r="A433" s="521" t="s">
        <v>777</v>
      </c>
      <c r="B433" s="522" t="s">
        <v>428</v>
      </c>
      <c r="C433" s="523" t="s">
        <v>449</v>
      </c>
      <c r="D433" s="524" t="s">
        <v>20</v>
      </c>
      <c r="E433" s="525" t="s">
        <v>15</v>
      </c>
      <c r="F433" s="525" t="s">
        <v>57</v>
      </c>
      <c r="G433" s="526">
        <v>33.799999999999997</v>
      </c>
      <c r="H433" s="179">
        <v>11.4</v>
      </c>
      <c r="I433" s="416">
        <v>6</v>
      </c>
      <c r="J433" s="527">
        <f t="shared" si="248"/>
        <v>2.3119200000000002</v>
      </c>
      <c r="K433" s="528"/>
      <c r="L433" s="416">
        <v>6</v>
      </c>
      <c r="M433" s="529">
        <f t="shared" si="249"/>
        <v>2.3119200000000002</v>
      </c>
      <c r="N433" s="530">
        <f t="shared" si="250"/>
        <v>0</v>
      </c>
      <c r="O433" s="531">
        <f t="shared" si="251"/>
        <v>0</v>
      </c>
      <c r="P433" s="532"/>
      <c r="Q433" s="401"/>
      <c r="R433" s="401"/>
    </row>
    <row r="434" spans="1:19" ht="27">
      <c r="A434" s="521" t="s">
        <v>777</v>
      </c>
      <c r="B434" s="522" t="s">
        <v>428</v>
      </c>
      <c r="C434" s="523" t="s">
        <v>449</v>
      </c>
      <c r="D434" s="524" t="s">
        <v>20</v>
      </c>
      <c r="E434" s="525" t="s">
        <v>15</v>
      </c>
      <c r="F434" s="525" t="s">
        <v>57</v>
      </c>
      <c r="G434" s="526">
        <v>33.799999999999997</v>
      </c>
      <c r="H434" s="179">
        <v>11.4</v>
      </c>
      <c r="I434" s="416">
        <v>6</v>
      </c>
      <c r="J434" s="527">
        <f t="shared" si="248"/>
        <v>2.3119200000000002</v>
      </c>
      <c r="K434" s="528"/>
      <c r="L434" s="416">
        <v>6</v>
      </c>
      <c r="M434" s="529">
        <f t="shared" si="249"/>
        <v>2.3119200000000002</v>
      </c>
      <c r="N434" s="530">
        <f t="shared" si="250"/>
        <v>0</v>
      </c>
      <c r="O434" s="531">
        <f t="shared" si="251"/>
        <v>0</v>
      </c>
      <c r="P434" s="532"/>
      <c r="Q434" s="401"/>
      <c r="R434" s="401"/>
    </row>
    <row r="435" spans="1:19" ht="27">
      <c r="A435" s="521" t="s">
        <v>777</v>
      </c>
      <c r="B435" s="522" t="s">
        <v>428</v>
      </c>
      <c r="C435" s="523" t="s">
        <v>449</v>
      </c>
      <c r="D435" s="524" t="s">
        <v>20</v>
      </c>
      <c r="E435" s="525" t="s">
        <v>15</v>
      </c>
      <c r="F435" s="525" t="s">
        <v>57</v>
      </c>
      <c r="G435" s="526">
        <v>33.799999999999997</v>
      </c>
      <c r="H435" s="179">
        <v>11.4</v>
      </c>
      <c r="I435" s="416">
        <v>6</v>
      </c>
      <c r="J435" s="527">
        <f t="shared" si="248"/>
        <v>2.3119200000000002</v>
      </c>
      <c r="K435" s="528"/>
      <c r="L435" s="416">
        <v>6</v>
      </c>
      <c r="M435" s="529">
        <f t="shared" si="249"/>
        <v>2.3119200000000002</v>
      </c>
      <c r="N435" s="530">
        <f t="shared" si="250"/>
        <v>0</v>
      </c>
      <c r="O435" s="531">
        <f t="shared" si="251"/>
        <v>0</v>
      </c>
      <c r="P435" s="532"/>
      <c r="Q435" s="401"/>
      <c r="R435" s="401"/>
    </row>
    <row r="436" spans="1:19" ht="27">
      <c r="A436" s="521" t="s">
        <v>777</v>
      </c>
      <c r="B436" s="522" t="s">
        <v>428</v>
      </c>
      <c r="C436" s="523" t="s">
        <v>449</v>
      </c>
      <c r="D436" s="524" t="s">
        <v>20</v>
      </c>
      <c r="E436" s="525" t="s">
        <v>15</v>
      </c>
      <c r="F436" s="525" t="s">
        <v>57</v>
      </c>
      <c r="G436" s="526">
        <v>33.799999999999997</v>
      </c>
      <c r="H436" s="179">
        <v>11.4</v>
      </c>
      <c r="I436" s="416">
        <v>6</v>
      </c>
      <c r="J436" s="527">
        <f t="shared" ref="J436:J442" si="252">(G436*H436*I436/1000)</f>
        <v>2.3119200000000002</v>
      </c>
      <c r="K436" s="528"/>
      <c r="L436" s="416">
        <v>6</v>
      </c>
      <c r="M436" s="529">
        <f t="shared" ref="M436:M442" si="253">H436*L436*G436/1000</f>
        <v>2.3119200000000002</v>
      </c>
      <c r="N436" s="530">
        <f t="shared" ref="N436:N442" si="254">I436-L436</f>
        <v>0</v>
      </c>
      <c r="O436" s="531">
        <f t="shared" ref="O436:O442" si="255">H436*N436*G436/1000</f>
        <v>0</v>
      </c>
      <c r="P436" s="532"/>
      <c r="Q436" s="401"/>
      <c r="R436" s="401"/>
    </row>
    <row r="437" spans="1:19" ht="27">
      <c r="A437" s="521" t="s">
        <v>777</v>
      </c>
      <c r="B437" s="522" t="s">
        <v>428</v>
      </c>
      <c r="C437" s="523" t="s">
        <v>449</v>
      </c>
      <c r="D437" s="524" t="s">
        <v>20</v>
      </c>
      <c r="E437" s="525" t="s">
        <v>15</v>
      </c>
      <c r="F437" s="525" t="s">
        <v>57</v>
      </c>
      <c r="G437" s="526">
        <v>33.799999999999997</v>
      </c>
      <c r="H437" s="179">
        <v>11.4</v>
      </c>
      <c r="I437" s="416">
        <v>6</v>
      </c>
      <c r="J437" s="527">
        <f t="shared" si="252"/>
        <v>2.3119200000000002</v>
      </c>
      <c r="K437" s="528"/>
      <c r="L437" s="416">
        <v>6</v>
      </c>
      <c r="M437" s="529">
        <f t="shared" si="253"/>
        <v>2.3119200000000002</v>
      </c>
      <c r="N437" s="530">
        <f t="shared" si="254"/>
        <v>0</v>
      </c>
      <c r="O437" s="531">
        <f t="shared" si="255"/>
        <v>0</v>
      </c>
      <c r="P437" s="532"/>
      <c r="Q437" s="401"/>
      <c r="R437" s="401"/>
    </row>
    <row r="438" spans="1:19" ht="27">
      <c r="A438" s="521" t="s">
        <v>777</v>
      </c>
      <c r="B438" s="522" t="s">
        <v>428</v>
      </c>
      <c r="C438" s="523" t="s">
        <v>449</v>
      </c>
      <c r="D438" s="524" t="s">
        <v>20</v>
      </c>
      <c r="E438" s="525" t="s">
        <v>15</v>
      </c>
      <c r="F438" s="525" t="s">
        <v>57</v>
      </c>
      <c r="G438" s="526">
        <v>33.799999999999997</v>
      </c>
      <c r="H438" s="179">
        <v>12</v>
      </c>
      <c r="I438" s="416">
        <v>6</v>
      </c>
      <c r="J438" s="527">
        <f t="shared" si="252"/>
        <v>2.4335999999999998</v>
      </c>
      <c r="K438" s="528"/>
      <c r="L438" s="416">
        <v>6</v>
      </c>
      <c r="M438" s="529">
        <f t="shared" si="253"/>
        <v>2.4335999999999998</v>
      </c>
      <c r="N438" s="530">
        <f t="shared" si="254"/>
        <v>0</v>
      </c>
      <c r="O438" s="531">
        <f t="shared" si="255"/>
        <v>0</v>
      </c>
      <c r="P438" s="532">
        <v>11.4</v>
      </c>
      <c r="Q438" s="401">
        <v>4</v>
      </c>
      <c r="R438" s="401"/>
    </row>
    <row r="439" spans="1:19" ht="27">
      <c r="A439" s="521" t="s">
        <v>777</v>
      </c>
      <c r="B439" s="522" t="s">
        <v>428</v>
      </c>
      <c r="C439" s="523" t="s">
        <v>449</v>
      </c>
      <c r="D439" s="524" t="s">
        <v>20</v>
      </c>
      <c r="E439" s="525" t="s">
        <v>15</v>
      </c>
      <c r="F439" s="525" t="s">
        <v>57</v>
      </c>
      <c r="G439" s="526">
        <v>33.799999999999997</v>
      </c>
      <c r="H439" s="179">
        <v>11.4</v>
      </c>
      <c r="I439" s="416">
        <v>6</v>
      </c>
      <c r="J439" s="527">
        <f t="shared" si="252"/>
        <v>2.3119200000000002</v>
      </c>
      <c r="K439" s="528"/>
      <c r="L439" s="416">
        <v>6</v>
      </c>
      <c r="M439" s="529">
        <f t="shared" si="253"/>
        <v>2.3119200000000002</v>
      </c>
      <c r="N439" s="530">
        <f t="shared" si="254"/>
        <v>0</v>
      </c>
      <c r="O439" s="531">
        <f t="shared" si="255"/>
        <v>0</v>
      </c>
      <c r="P439" s="532"/>
      <c r="Q439" s="401"/>
      <c r="R439" s="401"/>
    </row>
    <row r="440" spans="1:19" ht="27">
      <c r="A440" s="521" t="s">
        <v>777</v>
      </c>
      <c r="B440" s="522" t="s">
        <v>428</v>
      </c>
      <c r="C440" s="523" t="s">
        <v>449</v>
      </c>
      <c r="D440" s="524" t="s">
        <v>20</v>
      </c>
      <c r="E440" s="525" t="s">
        <v>15</v>
      </c>
      <c r="F440" s="525" t="s">
        <v>57</v>
      </c>
      <c r="G440" s="526">
        <v>33.799999999999997</v>
      </c>
      <c r="H440" s="179">
        <v>6.8</v>
      </c>
      <c r="I440" s="416">
        <v>6</v>
      </c>
      <c r="J440" s="527">
        <f t="shared" si="252"/>
        <v>1.37904</v>
      </c>
      <c r="K440" s="528"/>
      <c r="L440" s="416">
        <v>6</v>
      </c>
      <c r="M440" s="529">
        <f t="shared" si="253"/>
        <v>1.3790399999999998</v>
      </c>
      <c r="N440" s="530">
        <f t="shared" si="254"/>
        <v>0</v>
      </c>
      <c r="O440" s="531">
        <f t="shared" si="255"/>
        <v>0</v>
      </c>
      <c r="P440" s="532"/>
      <c r="Q440" s="401"/>
      <c r="R440" s="401"/>
    </row>
    <row r="441" spans="1:19" ht="27">
      <c r="A441" s="521" t="s">
        <v>777</v>
      </c>
      <c r="B441" s="522" t="s">
        <v>428</v>
      </c>
      <c r="C441" s="523" t="s">
        <v>449</v>
      </c>
      <c r="D441" s="524" t="s">
        <v>20</v>
      </c>
      <c r="E441" s="525" t="s">
        <v>15</v>
      </c>
      <c r="F441" s="525" t="s">
        <v>57</v>
      </c>
      <c r="G441" s="526">
        <v>33.799999999999997</v>
      </c>
      <c r="H441" s="179">
        <v>5.9</v>
      </c>
      <c r="I441" s="416">
        <v>1</v>
      </c>
      <c r="J441" s="527">
        <f t="shared" si="252"/>
        <v>0.19941999999999999</v>
      </c>
      <c r="K441" s="528"/>
      <c r="L441" s="416"/>
      <c r="M441" s="529">
        <f t="shared" si="253"/>
        <v>0</v>
      </c>
      <c r="N441" s="530">
        <f t="shared" si="254"/>
        <v>1</v>
      </c>
      <c r="O441" s="531">
        <f t="shared" si="255"/>
        <v>0.19941999999999999</v>
      </c>
      <c r="P441" s="532"/>
      <c r="Q441" s="401"/>
      <c r="R441" s="401"/>
    </row>
    <row r="442" spans="1:19" ht="27">
      <c r="A442" s="521" t="s">
        <v>777</v>
      </c>
      <c r="B442" s="522" t="s">
        <v>428</v>
      </c>
      <c r="C442" s="523" t="s">
        <v>449</v>
      </c>
      <c r="D442" s="524" t="s">
        <v>20</v>
      </c>
      <c r="E442" s="525" t="s">
        <v>15</v>
      </c>
      <c r="F442" s="525" t="s">
        <v>57</v>
      </c>
      <c r="G442" s="526">
        <v>33.799999999999997</v>
      </c>
      <c r="H442" s="179">
        <v>6.8</v>
      </c>
      <c r="I442" s="416">
        <v>3</v>
      </c>
      <c r="J442" s="527">
        <f t="shared" si="252"/>
        <v>0.68952000000000002</v>
      </c>
      <c r="K442" s="528"/>
      <c r="L442" s="416">
        <v>3</v>
      </c>
      <c r="M442" s="529">
        <f t="shared" si="253"/>
        <v>0.68951999999999991</v>
      </c>
      <c r="N442" s="530">
        <f t="shared" si="254"/>
        <v>0</v>
      </c>
      <c r="O442" s="531">
        <f t="shared" si="255"/>
        <v>0</v>
      </c>
      <c r="P442" s="532"/>
      <c r="Q442" s="401"/>
      <c r="R442" s="401"/>
    </row>
    <row r="443" spans="1:19" ht="27">
      <c r="A443" s="521" t="s">
        <v>777</v>
      </c>
      <c r="B443" s="522" t="s">
        <v>428</v>
      </c>
      <c r="D443" s="524" t="s">
        <v>20</v>
      </c>
      <c r="E443" s="525" t="s">
        <v>15</v>
      </c>
      <c r="F443" s="525" t="s">
        <v>57</v>
      </c>
      <c r="I443" s="215">
        <f>SUM(I417:I442)</f>
        <v>137</v>
      </c>
      <c r="J443" s="214">
        <f>SUM(J417:J442)</f>
        <v>46.37360000000001</v>
      </c>
      <c r="L443" s="215">
        <f>SUM(L417:L442)</f>
        <v>136</v>
      </c>
      <c r="M443" s="214">
        <f>SUM(M417:M442)</f>
        <v>46.174180000000007</v>
      </c>
      <c r="N443" s="215">
        <f>SUM(N417:N442)</f>
        <v>1</v>
      </c>
      <c r="O443" s="214">
        <f>SUM(O417:O442)</f>
        <v>0.19941999999999999</v>
      </c>
    </row>
    <row r="444" spans="1:19" s="213" customFormat="1">
      <c r="A444" s="521"/>
      <c r="B444" s="522"/>
      <c r="D444" s="524"/>
      <c r="E444" s="525"/>
      <c r="F444" s="525"/>
      <c r="I444" s="215"/>
      <c r="J444" s="214"/>
      <c r="L444" s="215"/>
      <c r="M444" s="214"/>
      <c r="N444" s="215"/>
      <c r="O444" s="214"/>
      <c r="S444" s="186"/>
    </row>
    <row r="445" spans="1:19" ht="27">
      <c r="A445" s="521" t="s">
        <v>777</v>
      </c>
      <c r="B445" s="522" t="s">
        <v>428</v>
      </c>
      <c r="C445" s="523" t="s">
        <v>449</v>
      </c>
      <c r="D445" s="524" t="s">
        <v>20</v>
      </c>
      <c r="E445" s="525" t="s">
        <v>15</v>
      </c>
      <c r="F445" s="525" t="s">
        <v>54</v>
      </c>
      <c r="G445" s="526">
        <v>31.6</v>
      </c>
      <c r="H445" s="179">
        <v>11.6</v>
      </c>
      <c r="I445" s="416">
        <v>6</v>
      </c>
      <c r="J445" s="527">
        <f t="shared" ref="J445" si="256">(G445*H445*I445/1000)</f>
        <v>2.19936</v>
      </c>
      <c r="K445" s="528"/>
      <c r="L445" s="416">
        <v>6</v>
      </c>
      <c r="M445" s="529">
        <f t="shared" ref="M445" si="257">H445*L445*G445/1000</f>
        <v>2.19936</v>
      </c>
      <c r="N445" s="530">
        <f t="shared" ref="N445" si="258">I445-L445</f>
        <v>0</v>
      </c>
      <c r="O445" s="531">
        <f t="shared" ref="O445" si="259">H445*N445*G445/1000</f>
        <v>0</v>
      </c>
      <c r="P445" s="532"/>
      <c r="Q445" s="401"/>
      <c r="R445" s="401"/>
    </row>
    <row r="446" spans="1:19" ht="27">
      <c r="A446" s="521" t="s">
        <v>777</v>
      </c>
      <c r="B446" s="522" t="s">
        <v>428</v>
      </c>
      <c r="C446" s="523" t="s">
        <v>449</v>
      </c>
      <c r="D446" s="524" t="s">
        <v>20</v>
      </c>
      <c r="E446" s="525" t="s">
        <v>15</v>
      </c>
      <c r="F446" s="525" t="s">
        <v>54</v>
      </c>
      <c r="G446" s="526">
        <v>31.6</v>
      </c>
      <c r="H446" s="179">
        <v>11.8</v>
      </c>
      <c r="I446" s="416">
        <v>7</v>
      </c>
      <c r="J446" s="527">
        <f t="shared" ref="J446:J454" si="260">(G446*H446*I446/1000)</f>
        <v>2.6101600000000005</v>
      </c>
      <c r="K446" s="528"/>
      <c r="L446" s="416">
        <v>7</v>
      </c>
      <c r="M446" s="529">
        <f t="shared" ref="M446:M454" si="261">H446*L446*G446/1000</f>
        <v>2.6101600000000005</v>
      </c>
      <c r="N446" s="530">
        <f t="shared" ref="N446:N454" si="262">I446-L446</f>
        <v>0</v>
      </c>
      <c r="O446" s="531">
        <f t="shared" ref="O446:O454" si="263">H446*N446*G446/1000</f>
        <v>0</v>
      </c>
      <c r="P446" s="532"/>
      <c r="Q446" s="401"/>
      <c r="R446" s="401"/>
    </row>
    <row r="447" spans="1:19" ht="27">
      <c r="A447" s="521" t="s">
        <v>777</v>
      </c>
      <c r="B447" s="522" t="s">
        <v>428</v>
      </c>
      <c r="C447" s="523" t="s">
        <v>449</v>
      </c>
      <c r="D447" s="524" t="s">
        <v>20</v>
      </c>
      <c r="E447" s="525" t="s">
        <v>15</v>
      </c>
      <c r="F447" s="525" t="s">
        <v>54</v>
      </c>
      <c r="G447" s="526">
        <v>31.6</v>
      </c>
      <c r="H447" s="179">
        <v>11.8</v>
      </c>
      <c r="I447" s="416">
        <v>7</v>
      </c>
      <c r="J447" s="527">
        <f t="shared" si="260"/>
        <v>2.6101600000000005</v>
      </c>
      <c r="K447" s="528"/>
      <c r="L447" s="416">
        <v>7</v>
      </c>
      <c r="M447" s="529">
        <f t="shared" si="261"/>
        <v>2.6101600000000005</v>
      </c>
      <c r="N447" s="530">
        <f t="shared" si="262"/>
        <v>0</v>
      </c>
      <c r="O447" s="531">
        <f t="shared" si="263"/>
        <v>0</v>
      </c>
      <c r="P447" s="532"/>
      <c r="Q447" s="401"/>
      <c r="R447" s="401"/>
    </row>
    <row r="448" spans="1:19" ht="27">
      <c r="A448" s="521" t="s">
        <v>777</v>
      </c>
      <c r="B448" s="522" t="s">
        <v>428</v>
      </c>
      <c r="C448" s="523" t="s">
        <v>449</v>
      </c>
      <c r="D448" s="524" t="s">
        <v>20</v>
      </c>
      <c r="E448" s="525" t="s">
        <v>15</v>
      </c>
      <c r="F448" s="525" t="s">
        <v>54</v>
      </c>
      <c r="G448" s="526">
        <v>31.6</v>
      </c>
      <c r="H448" s="179">
        <v>10.3</v>
      </c>
      <c r="I448" s="416">
        <v>3</v>
      </c>
      <c r="J448" s="527">
        <f t="shared" si="260"/>
        <v>0.97644000000000009</v>
      </c>
      <c r="K448" s="528"/>
      <c r="L448" s="416">
        <v>3</v>
      </c>
      <c r="M448" s="529">
        <f t="shared" si="261"/>
        <v>0.97644000000000009</v>
      </c>
      <c r="N448" s="530">
        <f t="shared" si="262"/>
        <v>0</v>
      </c>
      <c r="O448" s="531">
        <f t="shared" si="263"/>
        <v>0</v>
      </c>
      <c r="P448" s="532"/>
      <c r="Q448" s="401"/>
      <c r="R448" s="401"/>
    </row>
    <row r="449" spans="1:19" ht="27">
      <c r="A449" s="521" t="s">
        <v>777</v>
      </c>
      <c r="B449" s="522" t="s">
        <v>428</v>
      </c>
      <c r="C449" s="523" t="s">
        <v>449</v>
      </c>
      <c r="D449" s="524" t="s">
        <v>20</v>
      </c>
      <c r="E449" s="525" t="s">
        <v>15</v>
      </c>
      <c r="F449" s="525" t="s">
        <v>54</v>
      </c>
      <c r="G449" s="526">
        <v>31.6</v>
      </c>
      <c r="H449" s="179">
        <v>9.6999999999999993</v>
      </c>
      <c r="I449" s="416">
        <v>3</v>
      </c>
      <c r="J449" s="527">
        <f t="shared" si="260"/>
        <v>0.91955999999999993</v>
      </c>
      <c r="K449" s="528"/>
      <c r="L449" s="416">
        <v>3</v>
      </c>
      <c r="M449" s="529">
        <f t="shared" si="261"/>
        <v>0.91955999999999993</v>
      </c>
      <c r="N449" s="530">
        <f t="shared" si="262"/>
        <v>0</v>
      </c>
      <c r="O449" s="531">
        <f t="shared" si="263"/>
        <v>0</v>
      </c>
      <c r="P449" s="532"/>
      <c r="Q449" s="401"/>
      <c r="R449" s="401"/>
    </row>
    <row r="450" spans="1:19" ht="27">
      <c r="A450" s="521" t="s">
        <v>777</v>
      </c>
      <c r="B450" s="522" t="s">
        <v>428</v>
      </c>
      <c r="C450" s="523" t="s">
        <v>449</v>
      </c>
      <c r="D450" s="524" t="s">
        <v>20</v>
      </c>
      <c r="E450" s="525" t="s">
        <v>15</v>
      </c>
      <c r="F450" s="525" t="s">
        <v>54</v>
      </c>
      <c r="G450" s="526">
        <v>31.6</v>
      </c>
      <c r="H450" s="179">
        <v>7.2</v>
      </c>
      <c r="I450" s="416">
        <v>6</v>
      </c>
      <c r="J450" s="527">
        <f t="shared" si="260"/>
        <v>1.3651200000000001</v>
      </c>
      <c r="K450" s="528"/>
      <c r="L450" s="416">
        <v>6</v>
      </c>
      <c r="M450" s="529">
        <f t="shared" si="261"/>
        <v>1.3651200000000001</v>
      </c>
      <c r="N450" s="530">
        <f t="shared" si="262"/>
        <v>0</v>
      </c>
      <c r="O450" s="531">
        <f t="shared" si="263"/>
        <v>0</v>
      </c>
      <c r="P450" s="532"/>
      <c r="Q450" s="401"/>
      <c r="R450" s="401"/>
    </row>
    <row r="451" spans="1:19" ht="27">
      <c r="A451" s="521" t="s">
        <v>777</v>
      </c>
      <c r="B451" s="522" t="s">
        <v>428</v>
      </c>
      <c r="C451" s="523" t="s">
        <v>449</v>
      </c>
      <c r="D451" s="524" t="s">
        <v>20</v>
      </c>
      <c r="E451" s="525" t="s">
        <v>15</v>
      </c>
      <c r="F451" s="525" t="s">
        <v>54</v>
      </c>
      <c r="G451" s="526">
        <v>31.6</v>
      </c>
      <c r="H451" s="179">
        <v>7.2</v>
      </c>
      <c r="I451" s="416">
        <v>4</v>
      </c>
      <c r="J451" s="527">
        <f t="shared" si="260"/>
        <v>0.91008</v>
      </c>
      <c r="K451" s="528"/>
      <c r="L451" s="416">
        <v>4</v>
      </c>
      <c r="M451" s="529">
        <f t="shared" si="261"/>
        <v>0.91008</v>
      </c>
      <c r="N451" s="530">
        <f t="shared" si="262"/>
        <v>0</v>
      </c>
      <c r="O451" s="531">
        <f t="shared" si="263"/>
        <v>0</v>
      </c>
      <c r="P451" s="532"/>
      <c r="Q451" s="401"/>
      <c r="R451" s="401"/>
    </row>
    <row r="452" spans="1:19" ht="27">
      <c r="A452" s="521" t="s">
        <v>777</v>
      </c>
      <c r="B452" s="522" t="s">
        <v>428</v>
      </c>
      <c r="C452" s="523" t="s">
        <v>449</v>
      </c>
      <c r="D452" s="524" t="s">
        <v>20</v>
      </c>
      <c r="E452" s="525" t="s">
        <v>15</v>
      </c>
      <c r="F452" s="525" t="s">
        <v>54</v>
      </c>
      <c r="G452" s="526">
        <v>31.6</v>
      </c>
      <c r="H452" s="179">
        <v>9.1</v>
      </c>
      <c r="I452" s="416">
        <v>1</v>
      </c>
      <c r="J452" s="527">
        <f t="shared" si="260"/>
        <v>0.28755999999999998</v>
      </c>
      <c r="K452" s="528"/>
      <c r="L452" s="416">
        <v>1</v>
      </c>
      <c r="M452" s="529">
        <f t="shared" si="261"/>
        <v>0.28755999999999998</v>
      </c>
      <c r="N452" s="530">
        <f t="shared" si="262"/>
        <v>0</v>
      </c>
      <c r="O452" s="531">
        <f t="shared" si="263"/>
        <v>0</v>
      </c>
      <c r="P452" s="532">
        <v>7.2</v>
      </c>
      <c r="Q452" s="401">
        <v>1</v>
      </c>
      <c r="R452" s="401"/>
    </row>
    <row r="453" spans="1:19" ht="27">
      <c r="A453" s="521" t="s">
        <v>777</v>
      </c>
      <c r="B453" s="522" t="s">
        <v>428</v>
      </c>
      <c r="C453" s="523" t="s">
        <v>449</v>
      </c>
      <c r="D453" s="524" t="s">
        <v>20</v>
      </c>
      <c r="E453" s="525" t="s">
        <v>15</v>
      </c>
      <c r="F453" s="525" t="s">
        <v>54</v>
      </c>
      <c r="G453" s="526">
        <v>31.6</v>
      </c>
      <c r="H453" s="179">
        <v>10.3</v>
      </c>
      <c r="I453" s="416">
        <v>1</v>
      </c>
      <c r="J453" s="527">
        <f t="shared" si="260"/>
        <v>0.32547999999999999</v>
      </c>
      <c r="K453" s="528"/>
      <c r="L453" s="416">
        <v>1</v>
      </c>
      <c r="M453" s="529">
        <f t="shared" si="261"/>
        <v>0.32547999999999999</v>
      </c>
      <c r="N453" s="530">
        <f t="shared" si="262"/>
        <v>0</v>
      </c>
      <c r="O453" s="531">
        <f t="shared" si="263"/>
        <v>0</v>
      </c>
      <c r="P453" s="532">
        <v>7.2</v>
      </c>
      <c r="Q453" s="401">
        <v>1</v>
      </c>
      <c r="R453" s="401"/>
    </row>
    <row r="454" spans="1:19" ht="27">
      <c r="A454" s="521" t="s">
        <v>777</v>
      </c>
      <c r="B454" s="522" t="s">
        <v>428</v>
      </c>
      <c r="C454" s="523" t="s">
        <v>449</v>
      </c>
      <c r="D454" s="524" t="s">
        <v>20</v>
      </c>
      <c r="E454" s="525" t="s">
        <v>15</v>
      </c>
      <c r="F454" s="525" t="s">
        <v>54</v>
      </c>
      <c r="G454" s="526">
        <v>31.6</v>
      </c>
      <c r="H454" s="179">
        <v>11.8</v>
      </c>
      <c r="I454" s="416">
        <v>1</v>
      </c>
      <c r="J454" s="527">
        <f t="shared" si="260"/>
        <v>0.37288000000000004</v>
      </c>
      <c r="K454" s="528"/>
      <c r="L454" s="416">
        <v>1</v>
      </c>
      <c r="M454" s="529">
        <f t="shared" si="261"/>
        <v>0.37288000000000004</v>
      </c>
      <c r="N454" s="530">
        <f t="shared" si="262"/>
        <v>0</v>
      </c>
      <c r="O454" s="531">
        <f t="shared" si="263"/>
        <v>0</v>
      </c>
      <c r="P454" s="532">
        <v>10.1</v>
      </c>
      <c r="Q454" s="401">
        <v>1</v>
      </c>
      <c r="R454" s="401" t="s">
        <v>764</v>
      </c>
    </row>
    <row r="455" spans="1:19" ht="27">
      <c r="A455" s="521" t="s">
        <v>777</v>
      </c>
      <c r="B455" s="522" t="s">
        <v>428</v>
      </c>
      <c r="C455" s="523" t="s">
        <v>449</v>
      </c>
      <c r="D455" s="524" t="s">
        <v>20</v>
      </c>
      <c r="E455" s="525" t="s">
        <v>15</v>
      </c>
      <c r="F455" s="525" t="s">
        <v>54</v>
      </c>
      <c r="G455" s="526">
        <v>31.6</v>
      </c>
      <c r="H455" s="179">
        <v>7.2</v>
      </c>
      <c r="I455" s="416">
        <v>7</v>
      </c>
      <c r="J455" s="527">
        <f t="shared" ref="J455:J460" si="264">(G455*H455*I455/1000)</f>
        <v>1.5926400000000001</v>
      </c>
      <c r="K455" s="528"/>
      <c r="L455" s="416">
        <v>7</v>
      </c>
      <c r="M455" s="529">
        <f t="shared" ref="M455:M460" si="265">H455*L455*G455/1000</f>
        <v>1.5926400000000001</v>
      </c>
      <c r="N455" s="530">
        <f t="shared" ref="N455:N460" si="266">I455-L455</f>
        <v>0</v>
      </c>
      <c r="O455" s="531">
        <f t="shared" ref="O455:O460" si="267">H455*N455*G455/1000</f>
        <v>0</v>
      </c>
      <c r="P455" s="532"/>
      <c r="Q455" s="401"/>
      <c r="R455" s="401"/>
    </row>
    <row r="456" spans="1:19" ht="27">
      <c r="A456" s="521" t="s">
        <v>777</v>
      </c>
      <c r="B456" s="522" t="s">
        <v>428</v>
      </c>
      <c r="C456" s="523" t="s">
        <v>449</v>
      </c>
      <c r="D456" s="524" t="s">
        <v>20</v>
      </c>
      <c r="E456" s="525" t="s">
        <v>15</v>
      </c>
      <c r="F456" s="525" t="s">
        <v>54</v>
      </c>
      <c r="G456" s="526">
        <v>31.6</v>
      </c>
      <c r="H456" s="179">
        <v>9.6999999999999993</v>
      </c>
      <c r="I456" s="416">
        <v>3</v>
      </c>
      <c r="J456" s="527">
        <f t="shared" si="264"/>
        <v>0.91955999999999993</v>
      </c>
      <c r="K456" s="528"/>
      <c r="L456" s="416">
        <v>3</v>
      </c>
      <c r="M456" s="529">
        <f t="shared" si="265"/>
        <v>0.91955999999999993</v>
      </c>
      <c r="N456" s="530">
        <f t="shared" si="266"/>
        <v>0</v>
      </c>
      <c r="O456" s="531">
        <f t="shared" si="267"/>
        <v>0</v>
      </c>
      <c r="P456" s="532"/>
      <c r="Q456" s="401"/>
      <c r="R456" s="401"/>
    </row>
    <row r="457" spans="1:19" ht="27">
      <c r="A457" s="521" t="s">
        <v>777</v>
      </c>
      <c r="B457" s="522" t="s">
        <v>428</v>
      </c>
      <c r="C457" s="523" t="s">
        <v>449</v>
      </c>
      <c r="D457" s="524" t="s">
        <v>20</v>
      </c>
      <c r="E457" s="525" t="s">
        <v>15</v>
      </c>
      <c r="F457" s="525" t="s">
        <v>54</v>
      </c>
      <c r="G457" s="526">
        <v>31.6</v>
      </c>
      <c r="H457" s="179">
        <v>10.3</v>
      </c>
      <c r="I457" s="416">
        <v>5</v>
      </c>
      <c r="J457" s="527">
        <f t="shared" si="264"/>
        <v>1.6274000000000002</v>
      </c>
      <c r="K457" s="528"/>
      <c r="L457" s="416">
        <v>5</v>
      </c>
      <c r="M457" s="529">
        <f t="shared" si="265"/>
        <v>1.6274000000000002</v>
      </c>
      <c r="N457" s="530">
        <f t="shared" si="266"/>
        <v>0</v>
      </c>
      <c r="O457" s="531">
        <f t="shared" si="267"/>
        <v>0</v>
      </c>
      <c r="P457" s="532"/>
      <c r="Q457" s="401"/>
      <c r="R457" s="401"/>
    </row>
    <row r="458" spans="1:19" ht="27">
      <c r="A458" s="521" t="s">
        <v>777</v>
      </c>
      <c r="B458" s="522" t="s">
        <v>428</v>
      </c>
      <c r="C458" s="523" t="s">
        <v>449</v>
      </c>
      <c r="D458" s="524" t="s">
        <v>20</v>
      </c>
      <c r="E458" s="525" t="s">
        <v>15</v>
      </c>
      <c r="F458" s="525" t="s">
        <v>54</v>
      </c>
      <c r="G458" s="526">
        <v>31.6</v>
      </c>
      <c r="H458" s="179">
        <v>11.6</v>
      </c>
      <c r="I458" s="416">
        <v>6</v>
      </c>
      <c r="J458" s="527">
        <f t="shared" si="264"/>
        <v>2.19936</v>
      </c>
      <c r="K458" s="528"/>
      <c r="L458" s="416">
        <v>6</v>
      </c>
      <c r="M458" s="529">
        <f t="shared" si="265"/>
        <v>2.19936</v>
      </c>
      <c r="N458" s="530">
        <f t="shared" si="266"/>
        <v>0</v>
      </c>
      <c r="O458" s="531">
        <f t="shared" si="267"/>
        <v>0</v>
      </c>
      <c r="P458" s="532"/>
      <c r="Q458" s="401"/>
      <c r="R458" s="401"/>
    </row>
    <row r="459" spans="1:19" ht="27">
      <c r="A459" s="521" t="s">
        <v>777</v>
      </c>
      <c r="B459" s="522" t="s">
        <v>428</v>
      </c>
      <c r="C459" s="523" t="s">
        <v>449</v>
      </c>
      <c r="D459" s="524" t="s">
        <v>20</v>
      </c>
      <c r="E459" s="525" t="s">
        <v>15</v>
      </c>
      <c r="F459" s="525" t="s">
        <v>54</v>
      </c>
      <c r="G459" s="526">
        <v>31.6</v>
      </c>
      <c r="H459" s="179">
        <v>7.2</v>
      </c>
      <c r="I459" s="416">
        <v>4</v>
      </c>
      <c r="J459" s="527">
        <f t="shared" si="264"/>
        <v>0.91008</v>
      </c>
      <c r="K459" s="528"/>
      <c r="L459" s="416">
        <v>4</v>
      </c>
      <c r="M459" s="529">
        <f t="shared" si="265"/>
        <v>0.91008</v>
      </c>
      <c r="N459" s="530">
        <f t="shared" si="266"/>
        <v>0</v>
      </c>
      <c r="O459" s="531">
        <f t="shared" si="267"/>
        <v>0</v>
      </c>
      <c r="P459" s="532"/>
      <c r="Q459" s="401"/>
      <c r="R459" s="401"/>
    </row>
    <row r="460" spans="1:19" ht="27">
      <c r="A460" s="521" t="s">
        <v>777</v>
      </c>
      <c r="B460" s="522" t="s">
        <v>428</v>
      </c>
      <c r="C460" s="523" t="s">
        <v>449</v>
      </c>
      <c r="D460" s="524" t="s">
        <v>20</v>
      </c>
      <c r="E460" s="525" t="s">
        <v>15</v>
      </c>
      <c r="F460" s="525" t="s">
        <v>54</v>
      </c>
      <c r="G460" s="526">
        <v>31.6</v>
      </c>
      <c r="H460" s="179">
        <v>11.8</v>
      </c>
      <c r="I460" s="416">
        <v>3</v>
      </c>
      <c r="J460" s="527">
        <f t="shared" si="264"/>
        <v>1.1186400000000001</v>
      </c>
      <c r="K460" s="528"/>
      <c r="L460" s="416">
        <v>3</v>
      </c>
      <c r="M460" s="529">
        <f t="shared" si="265"/>
        <v>1.1186400000000003</v>
      </c>
      <c r="N460" s="530">
        <f t="shared" si="266"/>
        <v>0</v>
      </c>
      <c r="O460" s="531">
        <f t="shared" si="267"/>
        <v>0</v>
      </c>
      <c r="P460" s="532"/>
      <c r="Q460" s="401"/>
      <c r="R460" s="401"/>
    </row>
    <row r="461" spans="1:19" ht="27">
      <c r="A461" s="521" t="s">
        <v>777</v>
      </c>
      <c r="B461" s="522" t="s">
        <v>428</v>
      </c>
      <c r="D461" s="524" t="s">
        <v>20</v>
      </c>
      <c r="E461" s="525" t="s">
        <v>15</v>
      </c>
      <c r="F461" s="525" t="s">
        <v>54</v>
      </c>
      <c r="I461" s="215">
        <f>SUM(I445:I460)</f>
        <v>67</v>
      </c>
      <c r="J461" s="214">
        <f>SUM(J445:J460)</f>
        <v>20.944480000000002</v>
      </c>
      <c r="L461" s="215">
        <f>SUM(L445:L460)</f>
        <v>67</v>
      </c>
      <c r="M461" s="214">
        <f>SUM(M445:M460)</f>
        <v>20.944480000000002</v>
      </c>
      <c r="N461" s="215">
        <f>SUM(N445:N460)</f>
        <v>0</v>
      </c>
      <c r="O461" s="214">
        <f>SUM(O445:O460)</f>
        <v>0</v>
      </c>
    </row>
    <row r="462" spans="1:19" s="213" customFormat="1">
      <c r="A462" s="521"/>
      <c r="B462" s="522"/>
      <c r="D462" s="524"/>
      <c r="E462" s="525"/>
      <c r="F462" s="525"/>
      <c r="I462" s="215"/>
      <c r="J462" s="214"/>
      <c r="L462" s="215"/>
      <c r="M462" s="214"/>
      <c r="N462" s="215"/>
      <c r="O462" s="214"/>
      <c r="S462" s="186"/>
    </row>
    <row r="463" spans="1:19" ht="27">
      <c r="A463" s="110" t="s">
        <v>777</v>
      </c>
      <c r="B463" s="111" t="s">
        <v>428</v>
      </c>
      <c r="C463" s="112" t="s">
        <v>449</v>
      </c>
      <c r="D463" s="113" t="s">
        <v>20</v>
      </c>
      <c r="E463" s="175" t="s">
        <v>15</v>
      </c>
      <c r="F463" s="175" t="s">
        <v>58</v>
      </c>
      <c r="G463" s="176">
        <v>27.3</v>
      </c>
      <c r="H463" s="177">
        <v>8.1999999999999993</v>
      </c>
      <c r="I463" s="178">
        <v>7</v>
      </c>
      <c r="J463" s="174">
        <f t="shared" ref="J463" si="268">(G463*H463*I463/1000)</f>
        <v>1.5670200000000001</v>
      </c>
      <c r="K463" s="118"/>
      <c r="L463" s="178">
        <v>7</v>
      </c>
      <c r="M463" s="117">
        <f t="shared" ref="M463" si="269">H463*L463*G463/1000</f>
        <v>1.5670199999999999</v>
      </c>
      <c r="N463" s="119">
        <f t="shared" ref="N463" si="270">I463-L463</f>
        <v>0</v>
      </c>
      <c r="O463" s="120">
        <f t="shared" ref="O463" si="271">H463*N463*G463/1000</f>
        <v>0</v>
      </c>
      <c r="P463" s="67"/>
      <c r="Q463" s="32"/>
      <c r="R463" s="32"/>
    </row>
    <row r="464" spans="1:19" ht="27">
      <c r="A464" s="110" t="s">
        <v>777</v>
      </c>
      <c r="B464" s="111" t="s">
        <v>428</v>
      </c>
      <c r="C464" s="112" t="s">
        <v>449</v>
      </c>
      <c r="D464" s="113" t="s">
        <v>20</v>
      </c>
      <c r="E464" s="175" t="s">
        <v>15</v>
      </c>
      <c r="F464" s="175" t="s">
        <v>58</v>
      </c>
      <c r="G464" s="176">
        <v>27.3</v>
      </c>
      <c r="H464" s="177">
        <v>6.7</v>
      </c>
      <c r="I464" s="178">
        <v>3</v>
      </c>
      <c r="J464" s="174">
        <f t="shared" ref="J464:J477" si="272">(G464*H464*I464/1000)</f>
        <v>0.54873000000000005</v>
      </c>
      <c r="K464" s="118"/>
      <c r="L464" s="178">
        <v>3</v>
      </c>
      <c r="M464" s="117">
        <f t="shared" ref="M464:M477" si="273">H464*L464*G464/1000</f>
        <v>0.54873000000000005</v>
      </c>
      <c r="N464" s="119">
        <f t="shared" ref="N464:N477" si="274">I464-L464</f>
        <v>0</v>
      </c>
      <c r="O464" s="120">
        <f t="shared" ref="O464:O477" si="275">H464*N464*G464/1000</f>
        <v>0</v>
      </c>
      <c r="P464" s="67"/>
      <c r="Q464" s="32"/>
      <c r="R464" s="32"/>
    </row>
    <row r="465" spans="1:18" ht="27">
      <c r="A465" s="110" t="s">
        <v>777</v>
      </c>
      <c r="B465" s="111" t="s">
        <v>428</v>
      </c>
      <c r="C465" s="112" t="s">
        <v>449</v>
      </c>
      <c r="D465" s="113" t="s">
        <v>20</v>
      </c>
      <c r="E465" s="175" t="s">
        <v>15</v>
      </c>
      <c r="F465" s="175" t="s">
        <v>58</v>
      </c>
      <c r="G465" s="176">
        <v>27.3</v>
      </c>
      <c r="H465" s="177">
        <v>12.75</v>
      </c>
      <c r="I465" s="178">
        <v>4</v>
      </c>
      <c r="J465" s="174">
        <f t="shared" si="272"/>
        <v>1.3922999999999999</v>
      </c>
      <c r="K465" s="118"/>
      <c r="L465" s="178">
        <v>4</v>
      </c>
      <c r="M465" s="117">
        <f t="shared" si="273"/>
        <v>1.3922999999999999</v>
      </c>
      <c r="N465" s="119">
        <f t="shared" si="274"/>
        <v>0</v>
      </c>
      <c r="O465" s="120">
        <f t="shared" si="275"/>
        <v>0</v>
      </c>
      <c r="P465" s="67"/>
      <c r="Q465" s="32"/>
      <c r="R465" s="32"/>
    </row>
    <row r="466" spans="1:18" ht="27">
      <c r="A466" s="110" t="s">
        <v>777</v>
      </c>
      <c r="B466" s="111" t="s">
        <v>428</v>
      </c>
      <c r="C466" s="112" t="s">
        <v>449</v>
      </c>
      <c r="D466" s="113" t="s">
        <v>20</v>
      </c>
      <c r="E466" s="175" t="s">
        <v>15</v>
      </c>
      <c r="F466" s="175" t="s">
        <v>58</v>
      </c>
      <c r="G466" s="176">
        <v>27.3</v>
      </c>
      <c r="H466" s="177">
        <v>7.3</v>
      </c>
      <c r="I466" s="178">
        <v>9</v>
      </c>
      <c r="J466" s="174">
        <f t="shared" si="272"/>
        <v>1.7936099999999999</v>
      </c>
      <c r="K466" s="118"/>
      <c r="L466" s="178">
        <v>9</v>
      </c>
      <c r="M466" s="117">
        <f t="shared" si="273"/>
        <v>1.7936100000000001</v>
      </c>
      <c r="N466" s="119">
        <f t="shared" si="274"/>
        <v>0</v>
      </c>
      <c r="O466" s="120">
        <f t="shared" si="275"/>
        <v>0</v>
      </c>
      <c r="P466" s="67"/>
      <c r="Q466" s="32"/>
      <c r="R466" s="32"/>
    </row>
    <row r="467" spans="1:18" ht="27">
      <c r="A467" s="110" t="s">
        <v>777</v>
      </c>
      <c r="B467" s="111" t="s">
        <v>428</v>
      </c>
      <c r="C467" s="112" t="s">
        <v>449</v>
      </c>
      <c r="D467" s="113" t="s">
        <v>20</v>
      </c>
      <c r="E467" s="175" t="s">
        <v>15</v>
      </c>
      <c r="F467" s="175" t="s">
        <v>58</v>
      </c>
      <c r="G467" s="176">
        <v>27.3</v>
      </c>
      <c r="H467" s="177">
        <v>9.8000000000000007</v>
      </c>
      <c r="I467" s="178">
        <v>8</v>
      </c>
      <c r="J467" s="174">
        <f t="shared" si="272"/>
        <v>2.14032</v>
      </c>
      <c r="K467" s="118"/>
      <c r="L467" s="178">
        <v>8</v>
      </c>
      <c r="M467" s="117">
        <f t="shared" si="273"/>
        <v>2.14032</v>
      </c>
      <c r="N467" s="119">
        <f t="shared" si="274"/>
        <v>0</v>
      </c>
      <c r="O467" s="120">
        <f t="shared" si="275"/>
        <v>0</v>
      </c>
      <c r="P467" s="67"/>
      <c r="Q467" s="32"/>
      <c r="R467" s="32"/>
    </row>
    <row r="468" spans="1:18" ht="27">
      <c r="A468" s="110" t="s">
        <v>777</v>
      </c>
      <c r="B468" s="111" t="s">
        <v>428</v>
      </c>
      <c r="C468" s="112" t="s">
        <v>449</v>
      </c>
      <c r="D468" s="113" t="s">
        <v>20</v>
      </c>
      <c r="E468" s="175" t="s">
        <v>15</v>
      </c>
      <c r="F468" s="175" t="s">
        <v>58</v>
      </c>
      <c r="G468" s="176">
        <v>27.3</v>
      </c>
      <c r="H468" s="177">
        <v>9.8000000000000007</v>
      </c>
      <c r="I468" s="178">
        <v>3</v>
      </c>
      <c r="J468" s="174">
        <f t="shared" si="272"/>
        <v>0.80262000000000011</v>
      </c>
      <c r="K468" s="118"/>
      <c r="L468" s="178">
        <v>3</v>
      </c>
      <c r="M468" s="117">
        <f t="shared" si="273"/>
        <v>0.80262000000000011</v>
      </c>
      <c r="N468" s="119">
        <f t="shared" si="274"/>
        <v>0</v>
      </c>
      <c r="O468" s="120">
        <f t="shared" si="275"/>
        <v>0</v>
      </c>
      <c r="P468" s="67"/>
      <c r="Q468" s="32"/>
      <c r="R468" s="32"/>
    </row>
    <row r="469" spans="1:18" ht="27">
      <c r="A469" s="110" t="s">
        <v>777</v>
      </c>
      <c r="B469" s="111" t="s">
        <v>428</v>
      </c>
      <c r="C469" s="112" t="s">
        <v>449</v>
      </c>
      <c r="D469" s="113" t="s">
        <v>20</v>
      </c>
      <c r="E469" s="175" t="s">
        <v>15</v>
      </c>
      <c r="F469" s="175" t="s">
        <v>58</v>
      </c>
      <c r="G469" s="176">
        <v>27.3</v>
      </c>
      <c r="H469" s="177">
        <v>10</v>
      </c>
      <c r="I469" s="178">
        <v>2</v>
      </c>
      <c r="J469" s="174">
        <f t="shared" si="272"/>
        <v>0.54600000000000004</v>
      </c>
      <c r="K469" s="118"/>
      <c r="L469" s="178">
        <v>2</v>
      </c>
      <c r="M469" s="117">
        <f t="shared" si="273"/>
        <v>0.54600000000000004</v>
      </c>
      <c r="N469" s="119">
        <f t="shared" si="274"/>
        <v>0</v>
      </c>
      <c r="O469" s="120">
        <f t="shared" si="275"/>
        <v>0</v>
      </c>
      <c r="P469" s="67">
        <v>9.8000000000000007</v>
      </c>
      <c r="Q469" s="32">
        <v>2</v>
      </c>
      <c r="R469" s="32"/>
    </row>
    <row r="470" spans="1:18" ht="27">
      <c r="A470" s="110" t="s">
        <v>777</v>
      </c>
      <c r="B470" s="111" t="s">
        <v>428</v>
      </c>
      <c r="C470" s="112" t="s">
        <v>449</v>
      </c>
      <c r="D470" s="113" t="s">
        <v>20</v>
      </c>
      <c r="E470" s="175" t="s">
        <v>15</v>
      </c>
      <c r="F470" s="175" t="s">
        <v>58</v>
      </c>
      <c r="G470" s="176">
        <v>27.3</v>
      </c>
      <c r="H470" s="177">
        <v>12</v>
      </c>
      <c r="I470" s="178">
        <v>8</v>
      </c>
      <c r="J470" s="174">
        <f t="shared" si="272"/>
        <v>2.6208</v>
      </c>
      <c r="K470" s="118"/>
      <c r="L470" s="178">
        <v>8</v>
      </c>
      <c r="M470" s="117">
        <f t="shared" si="273"/>
        <v>2.6208</v>
      </c>
      <c r="N470" s="119">
        <f t="shared" si="274"/>
        <v>0</v>
      </c>
      <c r="O470" s="120">
        <f t="shared" si="275"/>
        <v>0</v>
      </c>
      <c r="P470" s="67"/>
      <c r="Q470" s="32"/>
      <c r="R470" s="32"/>
    </row>
    <row r="471" spans="1:18" ht="27">
      <c r="A471" s="110" t="s">
        <v>777</v>
      </c>
      <c r="B471" s="111" t="s">
        <v>428</v>
      </c>
      <c r="C471" s="112" t="s">
        <v>449</v>
      </c>
      <c r="D471" s="113" t="s">
        <v>20</v>
      </c>
      <c r="E471" s="175" t="s">
        <v>15</v>
      </c>
      <c r="F471" s="175" t="s">
        <v>58</v>
      </c>
      <c r="G471" s="176">
        <v>27.3</v>
      </c>
      <c r="H471" s="177">
        <v>12</v>
      </c>
      <c r="I471" s="178">
        <v>8</v>
      </c>
      <c r="J471" s="174">
        <f t="shared" si="272"/>
        <v>2.6208</v>
      </c>
      <c r="K471" s="118"/>
      <c r="L471" s="178">
        <v>8</v>
      </c>
      <c r="M471" s="117">
        <f t="shared" si="273"/>
        <v>2.6208</v>
      </c>
      <c r="N471" s="119">
        <f t="shared" si="274"/>
        <v>0</v>
      </c>
      <c r="O471" s="120">
        <f t="shared" si="275"/>
        <v>0</v>
      </c>
      <c r="P471" s="67"/>
      <c r="Q471" s="32"/>
      <c r="R471" s="32"/>
    </row>
    <row r="472" spans="1:18" ht="27">
      <c r="A472" s="110" t="s">
        <v>777</v>
      </c>
      <c r="B472" s="111" t="s">
        <v>428</v>
      </c>
      <c r="C472" s="112" t="s">
        <v>449</v>
      </c>
      <c r="D472" s="113" t="s">
        <v>20</v>
      </c>
      <c r="E472" s="175" t="s">
        <v>15</v>
      </c>
      <c r="F472" s="175" t="s">
        <v>58</v>
      </c>
      <c r="G472" s="176">
        <v>27.3</v>
      </c>
      <c r="H472" s="177">
        <v>7.4</v>
      </c>
      <c r="I472" s="178">
        <v>8</v>
      </c>
      <c r="J472" s="174">
        <f t="shared" si="272"/>
        <v>1.61616</v>
      </c>
      <c r="K472" s="118"/>
      <c r="L472" s="178">
        <v>8</v>
      </c>
      <c r="M472" s="117">
        <f t="shared" si="273"/>
        <v>1.61616</v>
      </c>
      <c r="N472" s="119">
        <f t="shared" si="274"/>
        <v>0</v>
      </c>
      <c r="O472" s="120">
        <f t="shared" si="275"/>
        <v>0</v>
      </c>
      <c r="P472" s="67"/>
      <c r="Q472" s="32"/>
      <c r="R472" s="32"/>
    </row>
    <row r="473" spans="1:18" ht="27">
      <c r="A473" s="110" t="s">
        <v>777</v>
      </c>
      <c r="B473" s="111" t="s">
        <v>428</v>
      </c>
      <c r="C473" s="112" t="s">
        <v>449</v>
      </c>
      <c r="D473" s="113" t="s">
        <v>20</v>
      </c>
      <c r="E473" s="175" t="s">
        <v>15</v>
      </c>
      <c r="F473" s="175" t="s">
        <v>58</v>
      </c>
      <c r="G473" s="176">
        <v>27.3</v>
      </c>
      <c r="H473" s="177">
        <v>7.4</v>
      </c>
      <c r="I473" s="178">
        <v>8</v>
      </c>
      <c r="J473" s="174">
        <f t="shared" si="272"/>
        <v>1.61616</v>
      </c>
      <c r="K473" s="118"/>
      <c r="L473" s="178">
        <v>8</v>
      </c>
      <c r="M473" s="117">
        <f t="shared" si="273"/>
        <v>1.61616</v>
      </c>
      <c r="N473" s="119">
        <f t="shared" si="274"/>
        <v>0</v>
      </c>
      <c r="O473" s="120">
        <f t="shared" si="275"/>
        <v>0</v>
      </c>
      <c r="P473" s="67"/>
      <c r="Q473" s="32"/>
      <c r="R473" s="32"/>
    </row>
    <row r="474" spans="1:18" ht="27">
      <c r="A474" s="110" t="s">
        <v>777</v>
      </c>
      <c r="B474" s="111" t="s">
        <v>428</v>
      </c>
      <c r="C474" s="112" t="s">
        <v>449</v>
      </c>
      <c r="D474" s="113" t="s">
        <v>20</v>
      </c>
      <c r="E474" s="175" t="s">
        <v>15</v>
      </c>
      <c r="F474" s="175" t="s">
        <v>58</v>
      </c>
      <c r="G474" s="176">
        <v>27.3</v>
      </c>
      <c r="H474" s="177">
        <v>7.4</v>
      </c>
      <c r="I474" s="178">
        <v>8</v>
      </c>
      <c r="J474" s="174">
        <f t="shared" si="272"/>
        <v>1.61616</v>
      </c>
      <c r="K474" s="118"/>
      <c r="L474" s="178">
        <v>8</v>
      </c>
      <c r="M474" s="117">
        <f t="shared" si="273"/>
        <v>1.61616</v>
      </c>
      <c r="N474" s="119">
        <f t="shared" si="274"/>
        <v>0</v>
      </c>
      <c r="O474" s="120">
        <f t="shared" si="275"/>
        <v>0</v>
      </c>
      <c r="P474" s="67"/>
      <c r="Q474" s="32"/>
      <c r="R474" s="32"/>
    </row>
    <row r="475" spans="1:18" ht="27">
      <c r="A475" s="110" t="s">
        <v>777</v>
      </c>
      <c r="B475" s="111" t="s">
        <v>428</v>
      </c>
      <c r="C475" s="112" t="s">
        <v>449</v>
      </c>
      <c r="D475" s="113" t="s">
        <v>20</v>
      </c>
      <c r="E475" s="175" t="s">
        <v>15</v>
      </c>
      <c r="F475" s="175" t="s">
        <v>58</v>
      </c>
      <c r="G475" s="176">
        <v>27.3</v>
      </c>
      <c r="H475" s="177">
        <v>8.9</v>
      </c>
      <c r="I475" s="178">
        <v>9</v>
      </c>
      <c r="J475" s="174">
        <f t="shared" si="272"/>
        <v>2.1867300000000003</v>
      </c>
      <c r="K475" s="118"/>
      <c r="L475" s="178">
        <v>9</v>
      </c>
      <c r="M475" s="117">
        <f t="shared" si="273"/>
        <v>2.1867300000000003</v>
      </c>
      <c r="N475" s="119">
        <f t="shared" si="274"/>
        <v>0</v>
      </c>
      <c r="O475" s="120">
        <f t="shared" si="275"/>
        <v>0</v>
      </c>
      <c r="P475" s="67"/>
      <c r="Q475" s="32"/>
      <c r="R475" s="32"/>
    </row>
    <row r="476" spans="1:18" ht="27">
      <c r="A476" s="110" t="s">
        <v>777</v>
      </c>
      <c r="B476" s="111" t="s">
        <v>428</v>
      </c>
      <c r="C476" s="112" t="s">
        <v>449</v>
      </c>
      <c r="D476" s="113" t="s">
        <v>20</v>
      </c>
      <c r="E476" s="175" t="s">
        <v>15</v>
      </c>
      <c r="F476" s="175" t="s">
        <v>58</v>
      </c>
      <c r="G476" s="176">
        <v>27.3</v>
      </c>
      <c r="H476" s="177">
        <v>8.9</v>
      </c>
      <c r="I476" s="178">
        <v>9</v>
      </c>
      <c r="J476" s="174">
        <f t="shared" si="272"/>
        <v>2.1867300000000003</v>
      </c>
      <c r="K476" s="118"/>
      <c r="L476" s="178">
        <v>9</v>
      </c>
      <c r="M476" s="117">
        <f t="shared" si="273"/>
        <v>2.1867300000000003</v>
      </c>
      <c r="N476" s="119">
        <f t="shared" si="274"/>
        <v>0</v>
      </c>
      <c r="O476" s="120">
        <f t="shared" si="275"/>
        <v>0</v>
      </c>
      <c r="P476" s="67"/>
      <c r="Q476" s="32"/>
      <c r="R476" s="32"/>
    </row>
    <row r="477" spans="1:18" ht="27">
      <c r="A477" s="110" t="s">
        <v>777</v>
      </c>
      <c r="B477" s="111" t="s">
        <v>428</v>
      </c>
      <c r="C477" s="112" t="s">
        <v>449</v>
      </c>
      <c r="D477" s="113" t="s">
        <v>20</v>
      </c>
      <c r="E477" s="175" t="s">
        <v>15</v>
      </c>
      <c r="F477" s="175" t="s">
        <v>58</v>
      </c>
      <c r="G477" s="176">
        <v>27.3</v>
      </c>
      <c r="H477" s="177">
        <v>6.3</v>
      </c>
      <c r="I477" s="178">
        <v>8</v>
      </c>
      <c r="J477" s="174">
        <f t="shared" si="272"/>
        <v>1.37592</v>
      </c>
      <c r="K477" s="118"/>
      <c r="L477" s="178">
        <v>8</v>
      </c>
      <c r="M477" s="117">
        <f t="shared" si="273"/>
        <v>1.37592</v>
      </c>
      <c r="N477" s="119">
        <f t="shared" si="274"/>
        <v>0</v>
      </c>
      <c r="O477" s="120">
        <f t="shared" si="275"/>
        <v>0</v>
      </c>
      <c r="P477" s="67"/>
      <c r="Q477" s="32"/>
      <c r="R477" s="32"/>
    </row>
    <row r="478" spans="1:18" ht="27">
      <c r="A478" s="110" t="s">
        <v>777</v>
      </c>
      <c r="B478" s="111" t="s">
        <v>428</v>
      </c>
      <c r="C478" s="112" t="s">
        <v>449</v>
      </c>
      <c r="D478" s="113" t="s">
        <v>20</v>
      </c>
      <c r="E478" s="175" t="s">
        <v>15</v>
      </c>
      <c r="F478" s="175" t="s">
        <v>58</v>
      </c>
      <c r="G478" s="176">
        <v>27.3</v>
      </c>
      <c r="H478" s="177">
        <v>6.3</v>
      </c>
      <c r="I478" s="178">
        <v>8</v>
      </c>
      <c r="J478" s="174">
        <f t="shared" ref="J478:J491" si="276">(G478*H478*I478/1000)</f>
        <v>1.37592</v>
      </c>
      <c r="K478" s="118"/>
      <c r="L478" s="178">
        <v>8</v>
      </c>
      <c r="M478" s="117">
        <f t="shared" ref="M478:M491" si="277">H478*L478*G478/1000</f>
        <v>1.37592</v>
      </c>
      <c r="N478" s="119">
        <f t="shared" ref="N478:N491" si="278">I478-L478</f>
        <v>0</v>
      </c>
      <c r="O478" s="120">
        <f t="shared" ref="O478:O491" si="279">H478*N478*G478/1000</f>
        <v>0</v>
      </c>
      <c r="P478" s="67"/>
      <c r="Q478" s="32"/>
      <c r="R478" s="32"/>
    </row>
    <row r="479" spans="1:18" ht="27">
      <c r="A479" s="110" t="s">
        <v>777</v>
      </c>
      <c r="B479" s="111" t="s">
        <v>428</v>
      </c>
      <c r="C479" s="112" t="s">
        <v>449</v>
      </c>
      <c r="D479" s="113" t="s">
        <v>20</v>
      </c>
      <c r="E479" s="175" t="s">
        <v>15</v>
      </c>
      <c r="F479" s="175" t="s">
        <v>58</v>
      </c>
      <c r="G479" s="176">
        <v>27.3</v>
      </c>
      <c r="H479" s="177">
        <v>6.3</v>
      </c>
      <c r="I479" s="178">
        <v>8</v>
      </c>
      <c r="J479" s="174">
        <f t="shared" si="276"/>
        <v>1.37592</v>
      </c>
      <c r="K479" s="118"/>
      <c r="L479" s="178">
        <v>8</v>
      </c>
      <c r="M479" s="117">
        <f t="shared" si="277"/>
        <v>1.37592</v>
      </c>
      <c r="N479" s="119">
        <f t="shared" si="278"/>
        <v>0</v>
      </c>
      <c r="O479" s="120">
        <f t="shared" si="279"/>
        <v>0</v>
      </c>
      <c r="P479" s="67"/>
      <c r="Q479" s="32"/>
      <c r="R479" s="32"/>
    </row>
    <row r="480" spans="1:18" ht="27">
      <c r="A480" s="110" t="s">
        <v>777</v>
      </c>
      <c r="B480" s="111" t="s">
        <v>428</v>
      </c>
      <c r="C480" s="112" t="s">
        <v>449</v>
      </c>
      <c r="D480" s="113" t="s">
        <v>20</v>
      </c>
      <c r="E480" s="175" t="s">
        <v>15</v>
      </c>
      <c r="F480" s="175" t="s">
        <v>58</v>
      </c>
      <c r="G480" s="176">
        <v>27.3</v>
      </c>
      <c r="H480" s="177">
        <v>6.3</v>
      </c>
      <c r="I480" s="178">
        <v>8</v>
      </c>
      <c r="J480" s="174">
        <f t="shared" si="276"/>
        <v>1.37592</v>
      </c>
      <c r="K480" s="118"/>
      <c r="L480" s="178">
        <v>8</v>
      </c>
      <c r="M480" s="117">
        <f t="shared" si="277"/>
        <v>1.37592</v>
      </c>
      <c r="N480" s="119">
        <f t="shared" si="278"/>
        <v>0</v>
      </c>
      <c r="O480" s="120">
        <f t="shared" si="279"/>
        <v>0</v>
      </c>
      <c r="P480" s="67"/>
      <c r="Q480" s="32"/>
      <c r="R480" s="32"/>
    </row>
    <row r="481" spans="1:19" ht="27">
      <c r="A481" s="110" t="s">
        <v>777</v>
      </c>
      <c r="B481" s="111" t="s">
        <v>428</v>
      </c>
      <c r="C481" s="112" t="s">
        <v>449</v>
      </c>
      <c r="D481" s="113" t="s">
        <v>20</v>
      </c>
      <c r="E481" s="175" t="s">
        <v>15</v>
      </c>
      <c r="F481" s="175" t="s">
        <v>58</v>
      </c>
      <c r="G481" s="176">
        <v>27.3</v>
      </c>
      <c r="H481" s="177">
        <v>6.3</v>
      </c>
      <c r="I481" s="178">
        <v>7</v>
      </c>
      <c r="J481" s="174">
        <f t="shared" si="276"/>
        <v>1.2039300000000002</v>
      </c>
      <c r="K481" s="118"/>
      <c r="L481" s="178">
        <v>7</v>
      </c>
      <c r="M481" s="117">
        <f t="shared" si="277"/>
        <v>1.2039300000000002</v>
      </c>
      <c r="N481" s="119">
        <f t="shared" si="278"/>
        <v>0</v>
      </c>
      <c r="O481" s="120">
        <f t="shared" si="279"/>
        <v>0</v>
      </c>
      <c r="P481" s="67"/>
      <c r="Q481" s="32"/>
      <c r="R481" s="32"/>
    </row>
    <row r="482" spans="1:19" ht="27">
      <c r="A482" s="110" t="s">
        <v>777</v>
      </c>
      <c r="B482" s="111" t="s">
        <v>428</v>
      </c>
      <c r="C482" s="112" t="s">
        <v>449</v>
      </c>
      <c r="D482" s="113" t="s">
        <v>20</v>
      </c>
      <c r="E482" s="175" t="s">
        <v>15</v>
      </c>
      <c r="F482" s="175" t="s">
        <v>58</v>
      </c>
      <c r="G482" s="176">
        <v>27.3</v>
      </c>
      <c r="H482" s="177">
        <v>10</v>
      </c>
      <c r="I482" s="178">
        <v>5</v>
      </c>
      <c r="J482" s="174">
        <f t="shared" si="276"/>
        <v>1.365</v>
      </c>
      <c r="K482" s="118"/>
      <c r="L482" s="178">
        <v>5</v>
      </c>
      <c r="M482" s="117">
        <f t="shared" si="277"/>
        <v>1.365</v>
      </c>
      <c r="N482" s="119">
        <f t="shared" si="278"/>
        <v>0</v>
      </c>
      <c r="O482" s="120">
        <f t="shared" si="279"/>
        <v>0</v>
      </c>
      <c r="P482" s="67"/>
      <c r="Q482" s="32"/>
      <c r="R482" s="32"/>
    </row>
    <row r="483" spans="1:19" ht="27">
      <c r="A483" s="110" t="s">
        <v>777</v>
      </c>
      <c r="B483" s="111" t="s">
        <v>428</v>
      </c>
      <c r="C483" s="112" t="s">
        <v>449</v>
      </c>
      <c r="D483" s="113" t="s">
        <v>20</v>
      </c>
      <c r="E483" s="175" t="s">
        <v>15</v>
      </c>
      <c r="F483" s="175" t="s">
        <v>58</v>
      </c>
      <c r="G483" s="176">
        <v>27.3</v>
      </c>
      <c r="H483" s="177">
        <v>9.5</v>
      </c>
      <c r="I483" s="178">
        <v>1</v>
      </c>
      <c r="J483" s="174">
        <f t="shared" si="276"/>
        <v>0.25935000000000002</v>
      </c>
      <c r="K483" s="118"/>
      <c r="L483" s="178"/>
      <c r="M483" s="117">
        <f t="shared" si="277"/>
        <v>0</v>
      </c>
      <c r="N483" s="119">
        <f t="shared" si="278"/>
        <v>1</v>
      </c>
      <c r="O483" s="120">
        <f t="shared" si="279"/>
        <v>0.25935000000000002</v>
      </c>
      <c r="P483" s="67"/>
      <c r="Q483" s="32"/>
      <c r="R483" s="32"/>
    </row>
    <row r="484" spans="1:19" ht="27">
      <c r="A484" s="110" t="s">
        <v>777</v>
      </c>
      <c r="B484" s="111" t="s">
        <v>428</v>
      </c>
      <c r="C484" s="112" t="s">
        <v>449</v>
      </c>
      <c r="D484" s="113" t="s">
        <v>20</v>
      </c>
      <c r="E484" s="175" t="s">
        <v>15</v>
      </c>
      <c r="F484" s="175" t="s">
        <v>58</v>
      </c>
      <c r="G484" s="176">
        <v>27.3</v>
      </c>
      <c r="H484" s="177">
        <v>7.4</v>
      </c>
      <c r="I484" s="178">
        <v>1</v>
      </c>
      <c r="J484" s="174">
        <f t="shared" si="276"/>
        <v>0.20202000000000001</v>
      </c>
      <c r="K484" s="118"/>
      <c r="L484" s="178">
        <v>1</v>
      </c>
      <c r="M484" s="117">
        <f t="shared" si="277"/>
        <v>0.20202000000000001</v>
      </c>
      <c r="N484" s="119">
        <f t="shared" si="278"/>
        <v>0</v>
      </c>
      <c r="O484" s="120">
        <f t="shared" si="279"/>
        <v>0</v>
      </c>
      <c r="P484" s="67">
        <v>7.3</v>
      </c>
      <c r="Q484" s="32">
        <v>1</v>
      </c>
      <c r="R484" s="32"/>
    </row>
    <row r="485" spans="1:19" ht="27">
      <c r="A485" s="110" t="s">
        <v>777</v>
      </c>
      <c r="B485" s="111" t="s">
        <v>428</v>
      </c>
      <c r="C485" s="112" t="s">
        <v>449</v>
      </c>
      <c r="D485" s="113" t="s">
        <v>20</v>
      </c>
      <c r="E485" s="175" t="s">
        <v>15</v>
      </c>
      <c r="F485" s="175" t="s">
        <v>58</v>
      </c>
      <c r="G485" s="176">
        <v>27.3</v>
      </c>
      <c r="H485" s="177">
        <v>6.7</v>
      </c>
      <c r="I485" s="178">
        <v>1</v>
      </c>
      <c r="J485" s="174">
        <f t="shared" si="276"/>
        <v>0.18290999999999999</v>
      </c>
      <c r="K485" s="118"/>
      <c r="L485" s="178">
        <v>1</v>
      </c>
      <c r="M485" s="117">
        <f t="shared" si="277"/>
        <v>0.18290999999999999</v>
      </c>
      <c r="N485" s="119">
        <f t="shared" si="278"/>
        <v>0</v>
      </c>
      <c r="O485" s="120">
        <f t="shared" si="279"/>
        <v>0</v>
      </c>
      <c r="P485" s="67">
        <v>6.3</v>
      </c>
      <c r="Q485" s="32">
        <v>1</v>
      </c>
      <c r="R485" s="32"/>
    </row>
    <row r="486" spans="1:19" ht="27">
      <c r="A486" s="110" t="s">
        <v>777</v>
      </c>
      <c r="B486" s="111" t="s">
        <v>428</v>
      </c>
      <c r="C486" s="112" t="s">
        <v>449</v>
      </c>
      <c r="D486" s="113" t="s">
        <v>20</v>
      </c>
      <c r="E486" s="175" t="s">
        <v>15</v>
      </c>
      <c r="F486" s="175" t="s">
        <v>58</v>
      </c>
      <c r="G486" s="176">
        <v>27.3</v>
      </c>
      <c r="H486" s="177">
        <v>8.1999999999999993</v>
      </c>
      <c r="I486" s="178">
        <v>1</v>
      </c>
      <c r="J486" s="174">
        <f t="shared" si="276"/>
        <v>0.22385999999999998</v>
      </c>
      <c r="K486" s="118"/>
      <c r="L486" s="178"/>
      <c r="M486" s="117">
        <f t="shared" si="277"/>
        <v>0</v>
      </c>
      <c r="N486" s="119">
        <f t="shared" si="278"/>
        <v>1</v>
      </c>
      <c r="O486" s="120">
        <f t="shared" si="279"/>
        <v>0.22385999999999998</v>
      </c>
      <c r="P486" s="67"/>
      <c r="Q486" s="32"/>
      <c r="R486" s="32"/>
    </row>
    <row r="487" spans="1:19" ht="27">
      <c r="A487" s="110" t="s">
        <v>777</v>
      </c>
      <c r="B487" s="111" t="s">
        <v>428</v>
      </c>
      <c r="C487" s="112" t="s">
        <v>449</v>
      </c>
      <c r="D487" s="113" t="s">
        <v>20</v>
      </c>
      <c r="E487" s="175" t="s">
        <v>15</v>
      </c>
      <c r="F487" s="175" t="s">
        <v>58</v>
      </c>
      <c r="G487" s="176">
        <v>27.3</v>
      </c>
      <c r="H487" s="177">
        <v>8.9</v>
      </c>
      <c r="I487" s="178">
        <v>1</v>
      </c>
      <c r="J487" s="174">
        <f t="shared" si="276"/>
        <v>0.24297000000000002</v>
      </c>
      <c r="K487" s="118"/>
      <c r="L487" s="178"/>
      <c r="M487" s="117">
        <f t="shared" si="277"/>
        <v>0</v>
      </c>
      <c r="N487" s="119">
        <f t="shared" si="278"/>
        <v>1</v>
      </c>
      <c r="O487" s="120">
        <f t="shared" si="279"/>
        <v>0.24297000000000002</v>
      </c>
      <c r="P487" s="67"/>
      <c r="Q487" s="32"/>
      <c r="R487" s="32"/>
    </row>
    <row r="488" spans="1:19" ht="27">
      <c r="A488" s="110" t="s">
        <v>777</v>
      </c>
      <c r="B488" s="111" t="s">
        <v>428</v>
      </c>
      <c r="C488" s="112" t="s">
        <v>449</v>
      </c>
      <c r="D488" s="113" t="s">
        <v>20</v>
      </c>
      <c r="E488" s="175" t="s">
        <v>15</v>
      </c>
      <c r="F488" s="175" t="s">
        <v>58</v>
      </c>
      <c r="G488" s="176">
        <v>27.3</v>
      </c>
      <c r="H488" s="177">
        <v>10.3</v>
      </c>
      <c r="I488" s="178">
        <v>3</v>
      </c>
      <c r="J488" s="174">
        <f t="shared" si="276"/>
        <v>0.84357000000000015</v>
      </c>
      <c r="K488" s="118"/>
      <c r="L488" s="178">
        <v>3</v>
      </c>
      <c r="M488" s="117">
        <f t="shared" si="277"/>
        <v>0.84357000000000004</v>
      </c>
      <c r="N488" s="119">
        <f t="shared" si="278"/>
        <v>0</v>
      </c>
      <c r="O488" s="120">
        <f t="shared" si="279"/>
        <v>0</v>
      </c>
      <c r="P488" s="67"/>
      <c r="Q488" s="32"/>
      <c r="R488" s="32"/>
    </row>
    <row r="489" spans="1:19" ht="27">
      <c r="A489" s="110" t="s">
        <v>777</v>
      </c>
      <c r="B489" s="111" t="s">
        <v>428</v>
      </c>
      <c r="C489" s="112" t="s">
        <v>449</v>
      </c>
      <c r="D489" s="113" t="s">
        <v>20</v>
      </c>
      <c r="E489" s="175" t="s">
        <v>15</v>
      </c>
      <c r="F489" s="175" t="s">
        <v>58</v>
      </c>
      <c r="G489" s="176">
        <v>27.3</v>
      </c>
      <c r="H489" s="177">
        <v>11</v>
      </c>
      <c r="I489" s="178">
        <v>1</v>
      </c>
      <c r="J489" s="174">
        <f t="shared" si="276"/>
        <v>0.30030000000000001</v>
      </c>
      <c r="K489" s="118"/>
      <c r="L489" s="178">
        <v>1</v>
      </c>
      <c r="M489" s="117">
        <f t="shared" si="277"/>
        <v>0.30030000000000001</v>
      </c>
      <c r="N489" s="119">
        <f t="shared" si="278"/>
        <v>0</v>
      </c>
      <c r="O489" s="120">
        <f t="shared" si="279"/>
        <v>0</v>
      </c>
      <c r="P489" s="67">
        <v>9.8000000000000007</v>
      </c>
      <c r="Q489" s="32">
        <v>1</v>
      </c>
      <c r="R489" s="32"/>
    </row>
    <row r="490" spans="1:19" ht="27">
      <c r="A490" s="110" t="s">
        <v>777</v>
      </c>
      <c r="B490" s="111" t="s">
        <v>428</v>
      </c>
      <c r="C490" s="112" t="s">
        <v>449</v>
      </c>
      <c r="D490" s="113" t="s">
        <v>20</v>
      </c>
      <c r="E490" s="175" t="s">
        <v>15</v>
      </c>
      <c r="F490" s="175" t="s">
        <v>58</v>
      </c>
      <c r="G490" s="176">
        <v>27.3</v>
      </c>
      <c r="H490" s="177">
        <v>12</v>
      </c>
      <c r="I490" s="178">
        <v>1</v>
      </c>
      <c r="J490" s="174">
        <f t="shared" si="276"/>
        <v>0.3276</v>
      </c>
      <c r="K490" s="118"/>
      <c r="L490" s="178">
        <v>1</v>
      </c>
      <c r="M490" s="117">
        <f t="shared" si="277"/>
        <v>0.3276</v>
      </c>
      <c r="N490" s="119">
        <f t="shared" si="278"/>
        <v>0</v>
      </c>
      <c r="O490" s="120">
        <f t="shared" si="279"/>
        <v>0</v>
      </c>
      <c r="P490" s="67">
        <v>10.3</v>
      </c>
      <c r="Q490" s="32">
        <v>1</v>
      </c>
      <c r="R490" s="32"/>
    </row>
    <row r="491" spans="1:19" ht="27">
      <c r="A491" s="110" t="s">
        <v>777</v>
      </c>
      <c r="B491" s="111" t="s">
        <v>428</v>
      </c>
      <c r="C491" s="112" t="s">
        <v>449</v>
      </c>
      <c r="D491" s="113" t="s">
        <v>20</v>
      </c>
      <c r="E491" s="175" t="s">
        <v>15</v>
      </c>
      <c r="F491" s="175" t="s">
        <v>58</v>
      </c>
      <c r="G491" s="176">
        <v>27.3</v>
      </c>
      <c r="H491" s="177">
        <v>12.75</v>
      </c>
      <c r="I491" s="178">
        <v>1</v>
      </c>
      <c r="J491" s="174">
        <f t="shared" si="276"/>
        <v>0.34807499999999997</v>
      </c>
      <c r="K491" s="118"/>
      <c r="L491" s="178"/>
      <c r="M491" s="117">
        <f t="shared" si="277"/>
        <v>0</v>
      </c>
      <c r="N491" s="119">
        <f t="shared" si="278"/>
        <v>1</v>
      </c>
      <c r="O491" s="120">
        <f t="shared" si="279"/>
        <v>0.34807499999999997</v>
      </c>
      <c r="P491" s="67"/>
      <c r="Q491" s="32"/>
      <c r="R491" s="32"/>
    </row>
    <row r="492" spans="1:19" ht="27">
      <c r="A492" s="110" t="s">
        <v>777</v>
      </c>
      <c r="B492" s="111" t="s">
        <v>428</v>
      </c>
      <c r="C492" s="32"/>
      <c r="D492" s="113" t="s">
        <v>20</v>
      </c>
      <c r="E492" s="175" t="s">
        <v>15</v>
      </c>
      <c r="F492" s="175" t="s">
        <v>58</v>
      </c>
      <c r="G492" s="32"/>
      <c r="H492" s="32"/>
      <c r="I492" s="129">
        <f>SUM(I463:I491)</f>
        <v>149</v>
      </c>
      <c r="J492" s="124">
        <f>SUM(J463:J491)</f>
        <v>34.257405000000006</v>
      </c>
      <c r="K492" s="32"/>
      <c r="L492" s="129">
        <f>SUM(L463:L491)</f>
        <v>145</v>
      </c>
      <c r="M492" s="124">
        <f>SUM(M463:M491)</f>
        <v>33.183150000000005</v>
      </c>
      <c r="N492" s="129">
        <f>SUM(N463:N491)</f>
        <v>4</v>
      </c>
      <c r="O492" s="124">
        <f>SUM(O463:O491)</f>
        <v>1.074255</v>
      </c>
      <c r="P492" s="32"/>
      <c r="Q492" s="32"/>
      <c r="R492" s="32"/>
    </row>
    <row r="493" spans="1:19" s="213" customFormat="1">
      <c r="A493" s="110"/>
      <c r="B493" s="111"/>
      <c r="C493" s="32"/>
      <c r="D493" s="113"/>
      <c r="E493" s="175"/>
      <c r="F493" s="175"/>
      <c r="G493" s="32"/>
      <c r="H493" s="32"/>
      <c r="I493" s="129"/>
      <c r="J493" s="124"/>
      <c r="K493" s="32"/>
      <c r="L493" s="129"/>
      <c r="M493" s="124"/>
      <c r="N493" s="129"/>
      <c r="O493" s="124"/>
      <c r="P493" s="32"/>
      <c r="Q493" s="32"/>
      <c r="R493" s="32"/>
      <c r="S493" s="186"/>
    </row>
    <row r="494" spans="1:19" ht="27">
      <c r="A494" s="110" t="s">
        <v>778</v>
      </c>
      <c r="B494" s="111" t="s">
        <v>428</v>
      </c>
      <c r="C494" s="112" t="s">
        <v>449</v>
      </c>
      <c r="D494" s="113" t="s">
        <v>20</v>
      </c>
      <c r="E494" s="175" t="s">
        <v>15</v>
      </c>
      <c r="F494" s="175" t="s">
        <v>60</v>
      </c>
      <c r="G494" s="176">
        <v>23</v>
      </c>
      <c r="H494" s="177">
        <v>8.4</v>
      </c>
      <c r="I494" s="178">
        <v>14</v>
      </c>
      <c r="J494" s="174">
        <f t="shared" ref="J494" si="280">(G494*H494*I494/1000)</f>
        <v>2.7048000000000001</v>
      </c>
      <c r="K494" s="118"/>
      <c r="L494" s="178">
        <v>14</v>
      </c>
      <c r="M494" s="117">
        <f t="shared" ref="M494" si="281">H494*L494*G494/1000</f>
        <v>2.7048000000000001</v>
      </c>
      <c r="N494" s="119">
        <f t="shared" ref="N494" si="282">I494-L494</f>
        <v>0</v>
      </c>
      <c r="O494" s="120">
        <f t="shared" ref="O494" si="283">H494*N494*G494/1000</f>
        <v>0</v>
      </c>
      <c r="P494" s="67"/>
      <c r="Q494" s="32"/>
      <c r="R494" s="32"/>
    </row>
    <row r="495" spans="1:19" ht="27">
      <c r="A495" s="110" t="s">
        <v>778</v>
      </c>
      <c r="B495" s="111" t="s">
        <v>428</v>
      </c>
      <c r="C495" s="112" t="s">
        <v>449</v>
      </c>
      <c r="D495" s="113" t="s">
        <v>20</v>
      </c>
      <c r="E495" s="175" t="s">
        <v>15</v>
      </c>
      <c r="F495" s="175" t="s">
        <v>60</v>
      </c>
      <c r="G495" s="176">
        <v>23</v>
      </c>
      <c r="H495" s="177">
        <v>8.4</v>
      </c>
      <c r="I495" s="178">
        <v>12</v>
      </c>
      <c r="J495" s="174">
        <f t="shared" ref="J495:J505" si="284">(G495*H495*I495/1000)</f>
        <v>2.3184</v>
      </c>
      <c r="K495" s="118"/>
      <c r="L495" s="178">
        <v>12</v>
      </c>
      <c r="M495" s="117">
        <f t="shared" ref="M495:M507" si="285">H495*L495*G495/1000</f>
        <v>2.3184</v>
      </c>
      <c r="N495" s="119">
        <f t="shared" ref="N495:N507" si="286">I495-L495</f>
        <v>0</v>
      </c>
      <c r="O495" s="120">
        <f t="shared" ref="O495:O507" si="287">H495*N495*G495/1000</f>
        <v>0</v>
      </c>
      <c r="P495" s="67"/>
      <c r="Q495" s="32"/>
      <c r="R495" s="32"/>
    </row>
    <row r="496" spans="1:19" ht="27">
      <c r="A496" s="110" t="s">
        <v>778</v>
      </c>
      <c r="B496" s="111" t="s">
        <v>428</v>
      </c>
      <c r="C496" s="112" t="s">
        <v>449</v>
      </c>
      <c r="D496" s="113" t="s">
        <v>20</v>
      </c>
      <c r="E496" s="175" t="s">
        <v>15</v>
      </c>
      <c r="F496" s="175" t="s">
        <v>60</v>
      </c>
      <c r="G496" s="176">
        <v>23</v>
      </c>
      <c r="H496" s="177">
        <v>10.5</v>
      </c>
      <c r="I496" s="178">
        <v>10</v>
      </c>
      <c r="J496" s="174">
        <f t="shared" si="284"/>
        <v>2.415</v>
      </c>
      <c r="K496" s="118"/>
      <c r="L496" s="178">
        <v>10</v>
      </c>
      <c r="M496" s="117">
        <f t="shared" si="285"/>
        <v>2.415</v>
      </c>
      <c r="N496" s="119">
        <f t="shared" si="286"/>
        <v>0</v>
      </c>
      <c r="O496" s="120">
        <f t="shared" si="287"/>
        <v>0</v>
      </c>
      <c r="P496" s="67"/>
      <c r="Q496" s="32"/>
      <c r="R496" s="32"/>
    </row>
    <row r="497" spans="1:19" ht="27">
      <c r="A497" s="110" t="s">
        <v>778</v>
      </c>
      <c r="B497" s="111" t="s">
        <v>428</v>
      </c>
      <c r="C497" s="112" t="s">
        <v>449</v>
      </c>
      <c r="D497" s="113" t="s">
        <v>20</v>
      </c>
      <c r="E497" s="175" t="s">
        <v>15</v>
      </c>
      <c r="F497" s="175" t="s">
        <v>60</v>
      </c>
      <c r="G497" s="176">
        <v>23</v>
      </c>
      <c r="H497" s="177">
        <v>7.95</v>
      </c>
      <c r="I497" s="178">
        <v>2</v>
      </c>
      <c r="J497" s="174">
        <f t="shared" si="284"/>
        <v>0.36569999999999997</v>
      </c>
      <c r="K497" s="118"/>
      <c r="L497" s="178">
        <v>2</v>
      </c>
      <c r="M497" s="117">
        <f t="shared" si="285"/>
        <v>0.36569999999999997</v>
      </c>
      <c r="N497" s="119">
        <f t="shared" si="286"/>
        <v>0</v>
      </c>
      <c r="O497" s="120">
        <f t="shared" si="287"/>
        <v>0</v>
      </c>
      <c r="P497" s="67"/>
      <c r="Q497" s="32"/>
      <c r="R497" s="32"/>
    </row>
    <row r="498" spans="1:19" ht="27">
      <c r="A498" s="110" t="s">
        <v>778</v>
      </c>
      <c r="B498" s="111" t="s">
        <v>428</v>
      </c>
      <c r="C498" s="112" t="s">
        <v>449</v>
      </c>
      <c r="D498" s="113" t="s">
        <v>20</v>
      </c>
      <c r="E498" s="175" t="s">
        <v>15</v>
      </c>
      <c r="F498" s="175" t="s">
        <v>60</v>
      </c>
      <c r="G498" s="176">
        <v>23</v>
      </c>
      <c r="H498" s="177">
        <v>8.4</v>
      </c>
      <c r="I498" s="178">
        <v>3</v>
      </c>
      <c r="J498" s="174">
        <f t="shared" si="284"/>
        <v>0.5796</v>
      </c>
      <c r="K498" s="118"/>
      <c r="L498" s="178">
        <v>3</v>
      </c>
      <c r="M498" s="117">
        <f t="shared" si="285"/>
        <v>0.5796</v>
      </c>
      <c r="N498" s="119">
        <f t="shared" si="286"/>
        <v>0</v>
      </c>
      <c r="O498" s="120">
        <f t="shared" si="287"/>
        <v>0</v>
      </c>
      <c r="P498" s="67"/>
      <c r="Q498" s="32"/>
      <c r="R498" s="32"/>
    </row>
    <row r="499" spans="1:19" ht="27">
      <c r="A499" s="110" t="s">
        <v>778</v>
      </c>
      <c r="B499" s="111" t="s">
        <v>428</v>
      </c>
      <c r="C499" s="112" t="s">
        <v>449</v>
      </c>
      <c r="D499" s="113" t="s">
        <v>20</v>
      </c>
      <c r="E499" s="175" t="s">
        <v>15</v>
      </c>
      <c r="F499" s="175" t="s">
        <v>60</v>
      </c>
      <c r="G499" s="176">
        <v>23</v>
      </c>
      <c r="H499" s="177">
        <v>11</v>
      </c>
      <c r="I499" s="178">
        <v>4</v>
      </c>
      <c r="J499" s="174">
        <f t="shared" si="284"/>
        <v>1.012</v>
      </c>
      <c r="K499" s="118"/>
      <c r="L499" s="178">
        <f>2+2</f>
        <v>4</v>
      </c>
      <c r="M499" s="117">
        <f t="shared" si="285"/>
        <v>1.012</v>
      </c>
      <c r="N499" s="119">
        <f t="shared" si="286"/>
        <v>0</v>
      </c>
      <c r="O499" s="120">
        <f t="shared" si="287"/>
        <v>0</v>
      </c>
      <c r="P499" s="67"/>
      <c r="Q499" s="32"/>
      <c r="R499" s="32"/>
    </row>
    <row r="500" spans="1:19" ht="27">
      <c r="A500" s="110" t="s">
        <v>778</v>
      </c>
      <c r="B500" s="111" t="s">
        <v>428</v>
      </c>
      <c r="C500" s="112" t="s">
        <v>449</v>
      </c>
      <c r="D500" s="113" t="s">
        <v>20</v>
      </c>
      <c r="E500" s="175" t="s">
        <v>15</v>
      </c>
      <c r="F500" s="175" t="s">
        <v>60</v>
      </c>
      <c r="G500" s="176">
        <v>23</v>
      </c>
      <c r="H500" s="177">
        <v>8.4</v>
      </c>
      <c r="I500" s="178">
        <v>15</v>
      </c>
      <c r="J500" s="174">
        <f t="shared" si="284"/>
        <v>2.8980000000000006</v>
      </c>
      <c r="K500" s="118"/>
      <c r="L500" s="178">
        <v>15</v>
      </c>
      <c r="M500" s="117">
        <f t="shared" si="285"/>
        <v>2.8980000000000001</v>
      </c>
      <c r="N500" s="119">
        <f t="shared" si="286"/>
        <v>0</v>
      </c>
      <c r="O500" s="120">
        <f t="shared" si="287"/>
        <v>0</v>
      </c>
      <c r="P500" s="67"/>
      <c r="Q500" s="32"/>
      <c r="R500" s="32"/>
    </row>
    <row r="501" spans="1:19" ht="27">
      <c r="A501" s="110" t="s">
        <v>778</v>
      </c>
      <c r="B501" s="111" t="s">
        <v>428</v>
      </c>
      <c r="C501" s="112" t="s">
        <v>449</v>
      </c>
      <c r="D501" s="113" t="s">
        <v>20</v>
      </c>
      <c r="E501" s="175" t="s">
        <v>15</v>
      </c>
      <c r="F501" s="175" t="s">
        <v>60</v>
      </c>
      <c r="G501" s="176">
        <v>23</v>
      </c>
      <c r="H501" s="177">
        <v>6</v>
      </c>
      <c r="I501" s="178">
        <v>3</v>
      </c>
      <c r="J501" s="174">
        <f t="shared" si="284"/>
        <v>0.41399999999999998</v>
      </c>
      <c r="K501" s="118"/>
      <c r="L501" s="178">
        <v>2</v>
      </c>
      <c r="M501" s="117">
        <f t="shared" si="285"/>
        <v>0.27600000000000002</v>
      </c>
      <c r="N501" s="119">
        <f t="shared" si="286"/>
        <v>1</v>
      </c>
      <c r="O501" s="120">
        <f t="shared" si="287"/>
        <v>0.13800000000000001</v>
      </c>
      <c r="P501" s="67"/>
      <c r="Q501" s="32"/>
      <c r="R501" s="32"/>
    </row>
    <row r="502" spans="1:19" ht="27">
      <c r="A502" s="110" t="s">
        <v>778</v>
      </c>
      <c r="B502" s="111" t="s">
        <v>428</v>
      </c>
      <c r="C502" s="112" t="s">
        <v>449</v>
      </c>
      <c r="D502" s="113" t="s">
        <v>20</v>
      </c>
      <c r="E502" s="175" t="s">
        <v>15</v>
      </c>
      <c r="F502" s="175" t="s">
        <v>60</v>
      </c>
      <c r="G502" s="176">
        <v>23</v>
      </c>
      <c r="H502" s="177">
        <v>10</v>
      </c>
      <c r="I502" s="178">
        <v>1</v>
      </c>
      <c r="J502" s="174">
        <f t="shared" si="284"/>
        <v>0.23</v>
      </c>
      <c r="K502" s="118"/>
      <c r="L502" s="178">
        <v>1</v>
      </c>
      <c r="M502" s="117">
        <f t="shared" si="285"/>
        <v>0.23</v>
      </c>
      <c r="N502" s="119">
        <f t="shared" si="286"/>
        <v>0</v>
      </c>
      <c r="O502" s="120">
        <f t="shared" si="287"/>
        <v>0</v>
      </c>
      <c r="P502" s="67"/>
      <c r="Q502" s="32"/>
      <c r="R502" s="32"/>
    </row>
    <row r="503" spans="1:19" ht="27">
      <c r="A503" s="110" t="s">
        <v>778</v>
      </c>
      <c r="B503" s="111" t="s">
        <v>428</v>
      </c>
      <c r="C503" s="112" t="s">
        <v>449</v>
      </c>
      <c r="D503" s="113" t="s">
        <v>20</v>
      </c>
      <c r="E503" s="175" t="s">
        <v>15</v>
      </c>
      <c r="F503" s="175" t="s">
        <v>60</v>
      </c>
      <c r="G503" s="176">
        <v>23</v>
      </c>
      <c r="H503" s="177">
        <v>10.7</v>
      </c>
      <c r="I503" s="178">
        <v>1</v>
      </c>
      <c r="J503" s="174">
        <f t="shared" si="284"/>
        <v>0.24609999999999999</v>
      </c>
      <c r="K503" s="118"/>
      <c r="L503" s="178">
        <v>1</v>
      </c>
      <c r="M503" s="117">
        <f t="shared" si="285"/>
        <v>0.24609999999999999</v>
      </c>
      <c r="N503" s="119">
        <f t="shared" si="286"/>
        <v>0</v>
      </c>
      <c r="O503" s="120">
        <f t="shared" si="287"/>
        <v>0</v>
      </c>
      <c r="P503" s="67"/>
      <c r="Q503" s="32"/>
      <c r="R503" s="32"/>
    </row>
    <row r="504" spans="1:19" ht="27">
      <c r="A504" s="110" t="s">
        <v>778</v>
      </c>
      <c r="B504" s="111" t="s">
        <v>428</v>
      </c>
      <c r="C504" s="112" t="s">
        <v>449</v>
      </c>
      <c r="D504" s="113" t="s">
        <v>20</v>
      </c>
      <c r="E504" s="175" t="s">
        <v>15</v>
      </c>
      <c r="F504" s="175" t="s">
        <v>60</v>
      </c>
      <c r="G504" s="176">
        <v>23</v>
      </c>
      <c r="H504" s="177">
        <v>8.4</v>
      </c>
      <c r="I504" s="178">
        <v>15</v>
      </c>
      <c r="J504" s="174">
        <f t="shared" si="284"/>
        <v>2.8980000000000006</v>
      </c>
      <c r="K504" s="118"/>
      <c r="L504" s="178">
        <v>15</v>
      </c>
      <c r="M504" s="117">
        <f t="shared" si="285"/>
        <v>2.8980000000000001</v>
      </c>
      <c r="N504" s="119">
        <f t="shared" si="286"/>
        <v>0</v>
      </c>
      <c r="O504" s="120">
        <f t="shared" si="287"/>
        <v>0</v>
      </c>
      <c r="P504" s="67"/>
      <c r="Q504" s="32"/>
      <c r="R504" s="32"/>
    </row>
    <row r="505" spans="1:19" ht="27">
      <c r="A505" s="110" t="s">
        <v>778</v>
      </c>
      <c r="B505" s="111" t="s">
        <v>428</v>
      </c>
      <c r="C505" s="112" t="s">
        <v>449</v>
      </c>
      <c r="D505" s="113" t="s">
        <v>20</v>
      </c>
      <c r="E505" s="175" t="s">
        <v>15</v>
      </c>
      <c r="F505" s="175" t="s">
        <v>60</v>
      </c>
      <c r="G505" s="176">
        <v>23</v>
      </c>
      <c r="H505" s="177">
        <v>10.5</v>
      </c>
      <c r="I505" s="178">
        <v>12</v>
      </c>
      <c r="J505" s="174">
        <f t="shared" si="284"/>
        <v>2.8980000000000001</v>
      </c>
      <c r="K505" s="118"/>
      <c r="L505" s="178">
        <v>12</v>
      </c>
      <c r="M505" s="117">
        <f t="shared" si="285"/>
        <v>2.8980000000000001</v>
      </c>
      <c r="N505" s="119">
        <f t="shared" si="286"/>
        <v>0</v>
      </c>
      <c r="O505" s="120">
        <f t="shared" si="287"/>
        <v>0</v>
      </c>
      <c r="P505" s="67"/>
      <c r="Q505" s="32"/>
      <c r="R505" s="32"/>
    </row>
    <row r="506" spans="1:19" ht="27">
      <c r="A506" s="110" t="s">
        <v>778</v>
      </c>
      <c r="B506" s="111" t="s">
        <v>428</v>
      </c>
      <c r="C506" s="112" t="s">
        <v>449</v>
      </c>
      <c r="D506" s="113" t="s">
        <v>20</v>
      </c>
      <c r="E506" s="175" t="s">
        <v>15</v>
      </c>
      <c r="F506" s="175" t="s">
        <v>60</v>
      </c>
      <c r="G506" s="176">
        <v>23</v>
      </c>
      <c r="H506" s="177">
        <v>10.5</v>
      </c>
      <c r="I506" s="178">
        <v>12</v>
      </c>
      <c r="J506" s="174">
        <f>(G506*H506*I506/1000)</f>
        <v>2.8980000000000001</v>
      </c>
      <c r="K506" s="118"/>
      <c r="L506" s="178">
        <v>12</v>
      </c>
      <c r="M506" s="117">
        <f t="shared" si="285"/>
        <v>2.8980000000000001</v>
      </c>
      <c r="N506" s="119">
        <f t="shared" si="286"/>
        <v>0</v>
      </c>
      <c r="O506" s="120">
        <f t="shared" si="287"/>
        <v>0</v>
      </c>
      <c r="P506" s="67"/>
      <c r="Q506" s="32"/>
      <c r="R506" s="32"/>
    </row>
    <row r="507" spans="1:19" ht="27">
      <c r="A507" s="110" t="s">
        <v>778</v>
      </c>
      <c r="B507" s="111" t="s">
        <v>428</v>
      </c>
      <c r="C507" s="112" t="s">
        <v>449</v>
      </c>
      <c r="D507" s="113" t="s">
        <v>20</v>
      </c>
      <c r="E507" s="175" t="s">
        <v>15</v>
      </c>
      <c r="F507" s="175" t="s">
        <v>60</v>
      </c>
      <c r="G507" s="176">
        <v>23</v>
      </c>
      <c r="H507" s="177">
        <v>11</v>
      </c>
      <c r="I507" s="178">
        <v>10</v>
      </c>
      <c r="J507" s="174">
        <f>(G507*H507*I507/1000)</f>
        <v>2.5299999999999998</v>
      </c>
      <c r="K507" s="118"/>
      <c r="L507" s="178">
        <v>10</v>
      </c>
      <c r="M507" s="117">
        <f t="shared" si="285"/>
        <v>2.5299999999999998</v>
      </c>
      <c r="N507" s="119">
        <f t="shared" si="286"/>
        <v>0</v>
      </c>
      <c r="O507" s="120">
        <f t="shared" si="287"/>
        <v>0</v>
      </c>
      <c r="P507" s="67"/>
      <c r="Q507" s="32"/>
      <c r="R507" s="32"/>
    </row>
    <row r="508" spans="1:19" ht="27">
      <c r="A508" s="110" t="s">
        <v>778</v>
      </c>
      <c r="B508" s="111" t="s">
        <v>428</v>
      </c>
      <c r="C508" s="32"/>
      <c r="D508" s="113" t="s">
        <v>20</v>
      </c>
      <c r="E508" s="175" t="s">
        <v>15</v>
      </c>
      <c r="F508" s="175" t="s">
        <v>60</v>
      </c>
      <c r="G508" s="32"/>
      <c r="H508" s="32"/>
      <c r="I508" s="131">
        <f>SUM(I494:I507)</f>
        <v>114</v>
      </c>
      <c r="J508" s="124">
        <f>SUM(J494:J507)</f>
        <v>24.407600000000002</v>
      </c>
      <c r="K508" s="32"/>
      <c r="L508" s="131">
        <f>SUM(L494:L507)</f>
        <v>113</v>
      </c>
      <c r="M508" s="124">
        <f>SUM(M494:M507)</f>
        <v>24.269600000000001</v>
      </c>
      <c r="N508" s="131">
        <f>SUM(N494:N507)</f>
        <v>1</v>
      </c>
      <c r="O508" s="124">
        <f>SUM(O494:O507)</f>
        <v>0.13800000000000001</v>
      </c>
      <c r="P508" s="32"/>
      <c r="Q508" s="32"/>
      <c r="R508" s="32"/>
    </row>
    <row r="509" spans="1:19" s="213" customFormat="1">
      <c r="A509" s="110"/>
      <c r="B509" s="111"/>
      <c r="C509" s="32"/>
      <c r="D509" s="113"/>
      <c r="E509" s="175"/>
      <c r="F509" s="175"/>
      <c r="G509" s="32"/>
      <c r="H509" s="32"/>
      <c r="I509" s="131"/>
      <c r="J509" s="124"/>
      <c r="K509" s="32"/>
      <c r="L509" s="131"/>
      <c r="M509" s="124"/>
      <c r="N509" s="131"/>
      <c r="O509" s="124"/>
      <c r="P509" s="32"/>
      <c r="Q509" s="32"/>
      <c r="R509" s="32"/>
      <c r="S509" s="186"/>
    </row>
    <row r="510" spans="1:19" ht="27">
      <c r="A510" s="110" t="s">
        <v>777</v>
      </c>
      <c r="B510" s="111" t="s">
        <v>428</v>
      </c>
      <c r="C510" s="112" t="s">
        <v>449</v>
      </c>
      <c r="D510" s="113" t="s">
        <v>20</v>
      </c>
      <c r="E510" s="175" t="s">
        <v>15</v>
      </c>
      <c r="F510" s="175" t="s">
        <v>53</v>
      </c>
      <c r="G510" s="176">
        <v>35.9</v>
      </c>
      <c r="H510" s="177">
        <v>11.95</v>
      </c>
      <c r="I510" s="178">
        <v>7</v>
      </c>
      <c r="J510" s="174">
        <f t="shared" ref="J510" si="288">(G510*H510*I510/1000)</f>
        <v>3.0030349999999992</v>
      </c>
      <c r="K510" s="118"/>
      <c r="L510" s="178">
        <v>7</v>
      </c>
      <c r="M510" s="117">
        <f t="shared" ref="M510" si="289">H510*L510*G510/1000</f>
        <v>3.0030349999999992</v>
      </c>
      <c r="N510" s="119">
        <f t="shared" ref="N510" si="290">I510-L510</f>
        <v>0</v>
      </c>
      <c r="O510" s="120">
        <f t="shared" ref="O510" si="291">H510*N510*G510/1000</f>
        <v>0</v>
      </c>
      <c r="P510" s="67"/>
      <c r="Q510" s="32"/>
      <c r="R510" s="32"/>
    </row>
    <row r="511" spans="1:19" ht="27">
      <c r="A511" s="110" t="s">
        <v>777</v>
      </c>
      <c r="B511" s="111" t="s">
        <v>428</v>
      </c>
      <c r="C511" s="112" t="s">
        <v>449</v>
      </c>
      <c r="D511" s="113" t="s">
        <v>20</v>
      </c>
      <c r="E511" s="175" t="s">
        <v>15</v>
      </c>
      <c r="F511" s="175" t="s">
        <v>53</v>
      </c>
      <c r="G511" s="176">
        <v>35.9</v>
      </c>
      <c r="H511" s="177">
        <v>11.95</v>
      </c>
      <c r="I511" s="178">
        <v>7</v>
      </c>
      <c r="J511" s="174">
        <f t="shared" ref="J511:J530" si="292">(G511*H511*I511/1000)</f>
        <v>3.0030349999999992</v>
      </c>
      <c r="K511" s="118"/>
      <c r="L511" s="178">
        <v>7</v>
      </c>
      <c r="M511" s="117">
        <f t="shared" ref="M511:M530" si="293">H511*L511*G511/1000</f>
        <v>3.0030349999999992</v>
      </c>
      <c r="N511" s="119">
        <f t="shared" ref="N511:N530" si="294">I511-L511</f>
        <v>0</v>
      </c>
      <c r="O511" s="120">
        <f t="shared" ref="O511:O530" si="295">H511*N511*G511/1000</f>
        <v>0</v>
      </c>
      <c r="P511" s="67"/>
      <c r="Q511" s="32"/>
      <c r="R511" s="32"/>
    </row>
    <row r="512" spans="1:19" ht="27">
      <c r="A512" s="110" t="s">
        <v>777</v>
      </c>
      <c r="B512" s="111" t="s">
        <v>428</v>
      </c>
      <c r="C512" s="112" t="s">
        <v>449</v>
      </c>
      <c r="D512" s="113" t="s">
        <v>20</v>
      </c>
      <c r="E512" s="175" t="s">
        <v>15</v>
      </c>
      <c r="F512" s="175" t="s">
        <v>53</v>
      </c>
      <c r="G512" s="176">
        <v>35.9</v>
      </c>
      <c r="H512" s="177">
        <v>11.95</v>
      </c>
      <c r="I512" s="178">
        <v>7</v>
      </c>
      <c r="J512" s="174">
        <f t="shared" si="292"/>
        <v>3.0030349999999992</v>
      </c>
      <c r="K512" s="118"/>
      <c r="L512" s="178">
        <v>7</v>
      </c>
      <c r="M512" s="117">
        <f t="shared" si="293"/>
        <v>3.0030349999999992</v>
      </c>
      <c r="N512" s="119">
        <f t="shared" si="294"/>
        <v>0</v>
      </c>
      <c r="O512" s="120">
        <f t="shared" si="295"/>
        <v>0</v>
      </c>
      <c r="P512" s="67"/>
      <c r="Q512" s="32"/>
      <c r="R512" s="32"/>
    </row>
    <row r="513" spans="1:18" ht="27">
      <c r="A513" s="110" t="s">
        <v>777</v>
      </c>
      <c r="B513" s="111" t="s">
        <v>428</v>
      </c>
      <c r="C513" s="112" t="s">
        <v>449</v>
      </c>
      <c r="D513" s="113" t="s">
        <v>20</v>
      </c>
      <c r="E513" s="175" t="s">
        <v>15</v>
      </c>
      <c r="F513" s="175" t="s">
        <v>53</v>
      </c>
      <c r="G513" s="176">
        <v>35.9</v>
      </c>
      <c r="H513" s="177">
        <v>11.95</v>
      </c>
      <c r="I513" s="178">
        <v>7</v>
      </c>
      <c r="J513" s="174">
        <f t="shared" si="292"/>
        <v>3.0030349999999992</v>
      </c>
      <c r="K513" s="118"/>
      <c r="L513" s="178">
        <v>7</v>
      </c>
      <c r="M513" s="117">
        <f t="shared" si="293"/>
        <v>3.0030349999999992</v>
      </c>
      <c r="N513" s="119">
        <f t="shared" si="294"/>
        <v>0</v>
      </c>
      <c r="O513" s="120">
        <f t="shared" si="295"/>
        <v>0</v>
      </c>
      <c r="P513" s="67"/>
      <c r="Q513" s="32"/>
      <c r="R513" s="32"/>
    </row>
    <row r="514" spans="1:18" ht="27">
      <c r="A514" s="110" t="s">
        <v>777</v>
      </c>
      <c r="B514" s="111" t="s">
        <v>428</v>
      </c>
      <c r="C514" s="112" t="s">
        <v>449</v>
      </c>
      <c r="D514" s="113" t="s">
        <v>20</v>
      </c>
      <c r="E514" s="175" t="s">
        <v>15</v>
      </c>
      <c r="F514" s="175" t="s">
        <v>53</v>
      </c>
      <c r="G514" s="176">
        <v>35.9</v>
      </c>
      <c r="H514" s="177">
        <v>7.85</v>
      </c>
      <c r="I514" s="178">
        <v>7</v>
      </c>
      <c r="J514" s="174">
        <f t="shared" si="292"/>
        <v>1.9727049999999999</v>
      </c>
      <c r="K514" s="118"/>
      <c r="L514" s="178">
        <v>7</v>
      </c>
      <c r="M514" s="117">
        <f t="shared" si="293"/>
        <v>1.9727049999999997</v>
      </c>
      <c r="N514" s="119">
        <f t="shared" si="294"/>
        <v>0</v>
      </c>
      <c r="O514" s="120">
        <f t="shared" si="295"/>
        <v>0</v>
      </c>
      <c r="P514" s="67"/>
      <c r="Q514" s="32"/>
      <c r="R514" s="32"/>
    </row>
    <row r="515" spans="1:18" ht="27">
      <c r="A515" s="110" t="s">
        <v>777</v>
      </c>
      <c r="B515" s="111" t="s">
        <v>428</v>
      </c>
      <c r="C515" s="112" t="s">
        <v>449</v>
      </c>
      <c r="D515" s="113" t="s">
        <v>20</v>
      </c>
      <c r="E515" s="175" t="s">
        <v>15</v>
      </c>
      <c r="F515" s="175" t="s">
        <v>53</v>
      </c>
      <c r="G515" s="176">
        <v>35.9</v>
      </c>
      <c r="H515" s="177">
        <v>7.35</v>
      </c>
      <c r="I515" s="178">
        <v>7</v>
      </c>
      <c r="J515" s="174">
        <f t="shared" si="292"/>
        <v>1.8470549999999997</v>
      </c>
      <c r="K515" s="118"/>
      <c r="L515" s="178">
        <v>7</v>
      </c>
      <c r="M515" s="117">
        <f t="shared" si="293"/>
        <v>1.8470549999999999</v>
      </c>
      <c r="N515" s="119">
        <f t="shared" si="294"/>
        <v>0</v>
      </c>
      <c r="O515" s="120">
        <f t="shared" si="295"/>
        <v>0</v>
      </c>
      <c r="P515" s="67"/>
      <c r="Q515" s="32"/>
      <c r="R515" s="32"/>
    </row>
    <row r="516" spans="1:18" ht="27">
      <c r="A516" s="110" t="s">
        <v>777</v>
      </c>
      <c r="B516" s="111" t="s">
        <v>428</v>
      </c>
      <c r="C516" s="112" t="s">
        <v>449</v>
      </c>
      <c r="D516" s="113" t="s">
        <v>20</v>
      </c>
      <c r="E516" s="175" t="s">
        <v>15</v>
      </c>
      <c r="F516" s="175" t="s">
        <v>53</v>
      </c>
      <c r="G516" s="176">
        <v>35.9</v>
      </c>
      <c r="H516" s="177">
        <v>7.2</v>
      </c>
      <c r="I516" s="178">
        <v>8</v>
      </c>
      <c r="J516" s="174">
        <f t="shared" si="292"/>
        <v>2.0678400000000003</v>
      </c>
      <c r="K516" s="118"/>
      <c r="L516" s="178">
        <v>8</v>
      </c>
      <c r="M516" s="117">
        <f t="shared" si="293"/>
        <v>2.0678400000000003</v>
      </c>
      <c r="N516" s="119">
        <f t="shared" si="294"/>
        <v>0</v>
      </c>
      <c r="O516" s="120">
        <f t="shared" si="295"/>
        <v>0</v>
      </c>
      <c r="P516" s="67"/>
      <c r="Q516" s="32"/>
      <c r="R516" s="32"/>
    </row>
    <row r="517" spans="1:18" ht="27">
      <c r="A517" s="110" t="s">
        <v>777</v>
      </c>
      <c r="B517" s="111" t="s">
        <v>428</v>
      </c>
      <c r="C517" s="112" t="s">
        <v>449</v>
      </c>
      <c r="D517" s="113" t="s">
        <v>20</v>
      </c>
      <c r="E517" s="175" t="s">
        <v>15</v>
      </c>
      <c r="F517" s="175" t="s">
        <v>53</v>
      </c>
      <c r="G517" s="176">
        <v>35.9</v>
      </c>
      <c r="H517" s="177">
        <v>7.85</v>
      </c>
      <c r="I517" s="178">
        <v>8</v>
      </c>
      <c r="J517" s="174">
        <f t="shared" si="292"/>
        <v>2.2545199999999999</v>
      </c>
      <c r="K517" s="118"/>
      <c r="L517" s="178">
        <v>8</v>
      </c>
      <c r="M517" s="117">
        <f t="shared" si="293"/>
        <v>2.2545199999999999</v>
      </c>
      <c r="N517" s="119">
        <f t="shared" si="294"/>
        <v>0</v>
      </c>
      <c r="O517" s="120">
        <f t="shared" si="295"/>
        <v>0</v>
      </c>
      <c r="P517" s="67"/>
      <c r="Q517" s="32"/>
      <c r="R517" s="32"/>
    </row>
    <row r="518" spans="1:18" ht="27">
      <c r="A518" s="110" t="s">
        <v>777</v>
      </c>
      <c r="B518" s="111" t="s">
        <v>428</v>
      </c>
      <c r="C518" s="112" t="s">
        <v>449</v>
      </c>
      <c r="D518" s="113" t="s">
        <v>20</v>
      </c>
      <c r="E518" s="175" t="s">
        <v>15</v>
      </c>
      <c r="F518" s="175" t="s">
        <v>53</v>
      </c>
      <c r="G518" s="176">
        <v>35.9</v>
      </c>
      <c r="H518" s="177">
        <v>8.1</v>
      </c>
      <c r="I518" s="178">
        <v>8</v>
      </c>
      <c r="J518" s="174">
        <f t="shared" si="292"/>
        <v>2.3263199999999995</v>
      </c>
      <c r="K518" s="118"/>
      <c r="L518" s="178">
        <v>8</v>
      </c>
      <c r="M518" s="117">
        <f t="shared" si="293"/>
        <v>2.3263199999999995</v>
      </c>
      <c r="N518" s="119">
        <f t="shared" si="294"/>
        <v>0</v>
      </c>
      <c r="O518" s="120">
        <f t="shared" si="295"/>
        <v>0</v>
      </c>
      <c r="P518" s="67"/>
      <c r="Q518" s="32"/>
      <c r="R518" s="32"/>
    </row>
    <row r="519" spans="1:18" ht="27">
      <c r="A519" s="110" t="s">
        <v>777</v>
      </c>
      <c r="B519" s="111" t="s">
        <v>428</v>
      </c>
      <c r="C519" s="112" t="s">
        <v>449</v>
      </c>
      <c r="D519" s="113" t="s">
        <v>20</v>
      </c>
      <c r="E519" s="175" t="s">
        <v>15</v>
      </c>
      <c r="F519" s="175" t="s">
        <v>53</v>
      </c>
      <c r="G519" s="176">
        <v>35.9</v>
      </c>
      <c r="H519" s="177">
        <v>8.1</v>
      </c>
      <c r="I519" s="178">
        <v>8</v>
      </c>
      <c r="J519" s="174">
        <f t="shared" si="292"/>
        <v>2.3263199999999995</v>
      </c>
      <c r="K519" s="118"/>
      <c r="L519" s="178">
        <v>8</v>
      </c>
      <c r="M519" s="117">
        <f t="shared" si="293"/>
        <v>2.3263199999999995</v>
      </c>
      <c r="N519" s="119">
        <f t="shared" si="294"/>
        <v>0</v>
      </c>
      <c r="O519" s="120">
        <f t="shared" si="295"/>
        <v>0</v>
      </c>
      <c r="P519" s="67"/>
      <c r="Q519" s="32"/>
      <c r="R519" s="32"/>
    </row>
    <row r="520" spans="1:18" ht="27">
      <c r="A520" s="110" t="s">
        <v>777</v>
      </c>
      <c r="B520" s="111" t="s">
        <v>428</v>
      </c>
      <c r="C520" s="112" t="s">
        <v>449</v>
      </c>
      <c r="D520" s="113" t="s">
        <v>20</v>
      </c>
      <c r="E520" s="175" t="s">
        <v>15</v>
      </c>
      <c r="F520" s="175" t="s">
        <v>53</v>
      </c>
      <c r="G520" s="176">
        <v>35.9</v>
      </c>
      <c r="H520" s="177">
        <v>8.1</v>
      </c>
      <c r="I520" s="178">
        <v>8</v>
      </c>
      <c r="J520" s="174">
        <f t="shared" si="292"/>
        <v>2.3263199999999995</v>
      </c>
      <c r="K520" s="118"/>
      <c r="L520" s="178">
        <v>8</v>
      </c>
      <c r="M520" s="117">
        <f t="shared" si="293"/>
        <v>2.3263199999999995</v>
      </c>
      <c r="N520" s="119">
        <f t="shared" si="294"/>
        <v>0</v>
      </c>
      <c r="O520" s="120">
        <f t="shared" si="295"/>
        <v>0</v>
      </c>
      <c r="P520" s="67"/>
      <c r="Q520" s="32"/>
      <c r="R520" s="32"/>
    </row>
    <row r="521" spans="1:18" ht="27">
      <c r="A521" s="110" t="s">
        <v>777</v>
      </c>
      <c r="B521" s="111" t="s">
        <v>428</v>
      </c>
      <c r="C521" s="112" t="s">
        <v>449</v>
      </c>
      <c r="D521" s="113" t="s">
        <v>20</v>
      </c>
      <c r="E521" s="175" t="s">
        <v>15</v>
      </c>
      <c r="F521" s="175" t="s">
        <v>53</v>
      </c>
      <c r="G521" s="176">
        <v>35.9</v>
      </c>
      <c r="H521" s="177">
        <v>8.1</v>
      </c>
      <c r="I521" s="178">
        <v>8</v>
      </c>
      <c r="J521" s="174">
        <f t="shared" si="292"/>
        <v>2.3263199999999995</v>
      </c>
      <c r="K521" s="118"/>
      <c r="L521" s="178">
        <v>8</v>
      </c>
      <c r="M521" s="117">
        <f t="shared" si="293"/>
        <v>2.3263199999999995</v>
      </c>
      <c r="N521" s="119">
        <f t="shared" si="294"/>
        <v>0</v>
      </c>
      <c r="O521" s="120">
        <f t="shared" si="295"/>
        <v>0</v>
      </c>
      <c r="P521" s="67"/>
      <c r="Q521" s="32"/>
      <c r="R521" s="32"/>
    </row>
    <row r="522" spans="1:18" ht="27">
      <c r="A522" s="110" t="s">
        <v>777</v>
      </c>
      <c r="B522" s="111" t="s">
        <v>428</v>
      </c>
      <c r="C522" s="112" t="s">
        <v>449</v>
      </c>
      <c r="D522" s="113" t="s">
        <v>20</v>
      </c>
      <c r="E522" s="175" t="s">
        <v>15</v>
      </c>
      <c r="F522" s="175" t="s">
        <v>53</v>
      </c>
      <c r="G522" s="176">
        <v>35.9</v>
      </c>
      <c r="H522" s="177">
        <v>8.1</v>
      </c>
      <c r="I522" s="178">
        <v>8</v>
      </c>
      <c r="J522" s="174">
        <f t="shared" si="292"/>
        <v>2.3263199999999995</v>
      </c>
      <c r="K522" s="118"/>
      <c r="L522" s="178">
        <v>8</v>
      </c>
      <c r="M522" s="117">
        <f t="shared" si="293"/>
        <v>2.3263199999999995</v>
      </c>
      <c r="N522" s="119">
        <f t="shared" si="294"/>
        <v>0</v>
      </c>
      <c r="O522" s="120">
        <f t="shared" si="295"/>
        <v>0</v>
      </c>
      <c r="P522" s="67"/>
      <c r="Q522" s="32"/>
      <c r="R522" s="32"/>
    </row>
    <row r="523" spans="1:18" ht="27">
      <c r="A523" s="110" t="s">
        <v>777</v>
      </c>
      <c r="B523" s="111" t="s">
        <v>428</v>
      </c>
      <c r="C523" s="112" t="s">
        <v>449</v>
      </c>
      <c r="D523" s="113" t="s">
        <v>20</v>
      </c>
      <c r="E523" s="175" t="s">
        <v>15</v>
      </c>
      <c r="F523" s="175" t="s">
        <v>53</v>
      </c>
      <c r="G523" s="176">
        <v>35.9</v>
      </c>
      <c r="H523" s="177">
        <v>8.1</v>
      </c>
      <c r="I523" s="178">
        <v>8</v>
      </c>
      <c r="J523" s="174">
        <f t="shared" si="292"/>
        <v>2.3263199999999995</v>
      </c>
      <c r="K523" s="118"/>
      <c r="L523" s="178">
        <v>8</v>
      </c>
      <c r="M523" s="117">
        <f t="shared" si="293"/>
        <v>2.3263199999999995</v>
      </c>
      <c r="N523" s="119">
        <f t="shared" si="294"/>
        <v>0</v>
      </c>
      <c r="O523" s="120">
        <f t="shared" si="295"/>
        <v>0</v>
      </c>
      <c r="P523" s="67"/>
      <c r="Q523" s="32"/>
      <c r="R523" s="32"/>
    </row>
    <row r="524" spans="1:18" ht="27">
      <c r="A524" s="110" t="s">
        <v>777</v>
      </c>
      <c r="B524" s="111" t="s">
        <v>428</v>
      </c>
      <c r="C524" s="112" t="s">
        <v>449</v>
      </c>
      <c r="D524" s="113" t="s">
        <v>20</v>
      </c>
      <c r="E524" s="175" t="s">
        <v>15</v>
      </c>
      <c r="F524" s="175" t="s">
        <v>53</v>
      </c>
      <c r="G524" s="176">
        <v>35.9</v>
      </c>
      <c r="H524" s="177">
        <v>8.1</v>
      </c>
      <c r="I524" s="178">
        <v>8</v>
      </c>
      <c r="J524" s="174">
        <f t="shared" si="292"/>
        <v>2.3263199999999995</v>
      </c>
      <c r="K524" s="118"/>
      <c r="L524" s="178">
        <v>8</v>
      </c>
      <c r="M524" s="117">
        <f t="shared" si="293"/>
        <v>2.3263199999999995</v>
      </c>
      <c r="N524" s="119">
        <f t="shared" si="294"/>
        <v>0</v>
      </c>
      <c r="O524" s="120">
        <f t="shared" si="295"/>
        <v>0</v>
      </c>
      <c r="P524" s="67"/>
      <c r="Q524" s="32"/>
      <c r="R524" s="32"/>
    </row>
    <row r="525" spans="1:18" ht="27">
      <c r="A525" s="110" t="s">
        <v>777</v>
      </c>
      <c r="B525" s="111" t="s">
        <v>428</v>
      </c>
      <c r="C525" s="112" t="s">
        <v>449</v>
      </c>
      <c r="D525" s="113" t="s">
        <v>20</v>
      </c>
      <c r="E525" s="175" t="s">
        <v>15</v>
      </c>
      <c r="F525" s="175" t="s">
        <v>53</v>
      </c>
      <c r="G525" s="176">
        <v>35.9</v>
      </c>
      <c r="H525" s="177">
        <v>8.1</v>
      </c>
      <c r="I525" s="178">
        <v>8</v>
      </c>
      <c r="J525" s="174">
        <f t="shared" si="292"/>
        <v>2.3263199999999995</v>
      </c>
      <c r="K525" s="118"/>
      <c r="L525" s="178">
        <v>8</v>
      </c>
      <c r="M525" s="117">
        <f t="shared" si="293"/>
        <v>2.3263199999999995</v>
      </c>
      <c r="N525" s="119">
        <f t="shared" si="294"/>
        <v>0</v>
      </c>
      <c r="O525" s="120">
        <f t="shared" si="295"/>
        <v>0</v>
      </c>
      <c r="P525" s="67"/>
      <c r="Q525" s="32"/>
      <c r="R525" s="32"/>
    </row>
    <row r="526" spans="1:18" ht="27">
      <c r="A526" s="110" t="s">
        <v>777</v>
      </c>
      <c r="B526" s="111" t="s">
        <v>428</v>
      </c>
      <c r="C526" s="112" t="s">
        <v>449</v>
      </c>
      <c r="D526" s="113" t="s">
        <v>20</v>
      </c>
      <c r="E526" s="175" t="s">
        <v>15</v>
      </c>
      <c r="F526" s="175" t="s">
        <v>53</v>
      </c>
      <c r="G526" s="176">
        <v>35.9</v>
      </c>
      <c r="H526" s="177">
        <v>11.95</v>
      </c>
      <c r="I526" s="178">
        <v>7</v>
      </c>
      <c r="J526" s="174">
        <f t="shared" si="292"/>
        <v>3.0030349999999992</v>
      </c>
      <c r="K526" s="118"/>
      <c r="L526" s="178">
        <v>7</v>
      </c>
      <c r="M526" s="117">
        <f t="shared" si="293"/>
        <v>3.0030349999999992</v>
      </c>
      <c r="N526" s="119">
        <f t="shared" si="294"/>
        <v>0</v>
      </c>
      <c r="O526" s="120">
        <f t="shared" si="295"/>
        <v>0</v>
      </c>
      <c r="P526" s="67"/>
      <c r="Q526" s="32"/>
      <c r="R526" s="32"/>
    </row>
    <row r="527" spans="1:18" ht="27">
      <c r="A527" s="110" t="s">
        <v>777</v>
      </c>
      <c r="B527" s="111" t="s">
        <v>428</v>
      </c>
      <c r="C527" s="112" t="s">
        <v>449</v>
      </c>
      <c r="D527" s="113" t="s">
        <v>20</v>
      </c>
      <c r="E527" s="175" t="s">
        <v>15</v>
      </c>
      <c r="F527" s="175" t="s">
        <v>53</v>
      </c>
      <c r="G527" s="176">
        <v>35.9</v>
      </c>
      <c r="H527" s="177">
        <v>11.95</v>
      </c>
      <c r="I527" s="178">
        <v>7</v>
      </c>
      <c r="J527" s="174">
        <f t="shared" si="292"/>
        <v>3.0030349999999992</v>
      </c>
      <c r="K527" s="118"/>
      <c r="L527" s="178">
        <v>7</v>
      </c>
      <c r="M527" s="117">
        <f t="shared" si="293"/>
        <v>3.0030349999999992</v>
      </c>
      <c r="N527" s="119">
        <f t="shared" si="294"/>
        <v>0</v>
      </c>
      <c r="O527" s="120">
        <f t="shared" si="295"/>
        <v>0</v>
      </c>
      <c r="P527" s="67"/>
      <c r="Q527" s="32"/>
      <c r="R527" s="32"/>
    </row>
    <row r="528" spans="1:18" ht="27">
      <c r="A528" s="110" t="s">
        <v>777</v>
      </c>
      <c r="B528" s="111" t="s">
        <v>428</v>
      </c>
      <c r="C528" s="112" t="s">
        <v>449</v>
      </c>
      <c r="D528" s="113" t="s">
        <v>20</v>
      </c>
      <c r="E528" s="175" t="s">
        <v>15</v>
      </c>
      <c r="F528" s="175" t="s">
        <v>53</v>
      </c>
      <c r="G528" s="176">
        <v>35.9</v>
      </c>
      <c r="H528" s="177">
        <v>11.95</v>
      </c>
      <c r="I528" s="178">
        <v>7</v>
      </c>
      <c r="J528" s="174">
        <f t="shared" si="292"/>
        <v>3.0030349999999992</v>
      </c>
      <c r="K528" s="118"/>
      <c r="L528" s="178">
        <v>7</v>
      </c>
      <c r="M528" s="117">
        <f t="shared" si="293"/>
        <v>3.0030349999999992</v>
      </c>
      <c r="N528" s="119">
        <f t="shared" si="294"/>
        <v>0</v>
      </c>
      <c r="O528" s="120">
        <f t="shared" si="295"/>
        <v>0</v>
      </c>
      <c r="P528" s="67"/>
      <c r="Q528" s="32"/>
      <c r="R528" s="32"/>
    </row>
    <row r="529" spans="1:18" ht="27">
      <c r="A529" s="110" t="s">
        <v>777</v>
      </c>
      <c r="B529" s="111" t="s">
        <v>428</v>
      </c>
      <c r="C529" s="112" t="s">
        <v>449</v>
      </c>
      <c r="D529" s="113" t="s">
        <v>20</v>
      </c>
      <c r="E529" s="175" t="s">
        <v>15</v>
      </c>
      <c r="F529" s="175" t="s">
        <v>53</v>
      </c>
      <c r="G529" s="176">
        <v>35.9</v>
      </c>
      <c r="H529" s="177">
        <v>11.95</v>
      </c>
      <c r="I529" s="178">
        <v>7</v>
      </c>
      <c r="J529" s="174">
        <f t="shared" si="292"/>
        <v>3.0030349999999992</v>
      </c>
      <c r="K529" s="118"/>
      <c r="L529" s="178">
        <v>7</v>
      </c>
      <c r="M529" s="117">
        <f t="shared" si="293"/>
        <v>3.0030349999999992</v>
      </c>
      <c r="N529" s="119">
        <f t="shared" si="294"/>
        <v>0</v>
      </c>
      <c r="O529" s="120">
        <f t="shared" si="295"/>
        <v>0</v>
      </c>
      <c r="P529" s="67"/>
      <c r="Q529" s="32"/>
      <c r="R529" s="32"/>
    </row>
    <row r="530" spans="1:18" ht="27">
      <c r="A530" s="110" t="s">
        <v>777</v>
      </c>
      <c r="B530" s="111" t="s">
        <v>428</v>
      </c>
      <c r="C530" s="112" t="s">
        <v>449</v>
      </c>
      <c r="D530" s="113" t="s">
        <v>20</v>
      </c>
      <c r="E530" s="175" t="s">
        <v>15</v>
      </c>
      <c r="F530" s="175" t="s">
        <v>53</v>
      </c>
      <c r="G530" s="176">
        <v>35.9</v>
      </c>
      <c r="H530" s="177">
        <v>11.95</v>
      </c>
      <c r="I530" s="178">
        <v>7</v>
      </c>
      <c r="J530" s="174">
        <f t="shared" si="292"/>
        <v>3.0030349999999992</v>
      </c>
      <c r="K530" s="118"/>
      <c r="L530" s="178">
        <v>7</v>
      </c>
      <c r="M530" s="117">
        <f t="shared" si="293"/>
        <v>3.0030349999999992</v>
      </c>
      <c r="N530" s="119">
        <f t="shared" si="294"/>
        <v>0</v>
      </c>
      <c r="O530" s="120">
        <f t="shared" si="295"/>
        <v>0</v>
      </c>
      <c r="P530" s="67"/>
      <c r="Q530" s="32"/>
      <c r="R530" s="32"/>
    </row>
    <row r="531" spans="1:18" ht="27">
      <c r="A531" s="110" t="s">
        <v>777</v>
      </c>
      <c r="B531" s="111" t="s">
        <v>428</v>
      </c>
      <c r="C531" s="112" t="s">
        <v>449</v>
      </c>
      <c r="D531" s="113" t="s">
        <v>20</v>
      </c>
      <c r="E531" s="175" t="s">
        <v>15</v>
      </c>
      <c r="F531" s="175" t="s">
        <v>53</v>
      </c>
      <c r="G531" s="176">
        <v>35.9</v>
      </c>
      <c r="H531" s="177">
        <v>7.85</v>
      </c>
      <c r="I531" s="178">
        <v>8</v>
      </c>
      <c r="J531" s="174">
        <f t="shared" ref="J531:J554" si="296">(G531*H531*I531/1000)</f>
        <v>2.2545199999999999</v>
      </c>
      <c r="K531" s="118"/>
      <c r="L531" s="178">
        <v>8</v>
      </c>
      <c r="M531" s="117">
        <f t="shared" ref="M531:M554" si="297">H531*L531*G531/1000</f>
        <v>2.2545199999999999</v>
      </c>
      <c r="N531" s="119">
        <f t="shared" ref="N531:N554" si="298">I531-L531</f>
        <v>0</v>
      </c>
      <c r="O531" s="120">
        <f t="shared" ref="O531:O554" si="299">H531*N531*G531/1000</f>
        <v>0</v>
      </c>
      <c r="P531" s="67"/>
      <c r="Q531" s="32"/>
      <c r="R531" s="32"/>
    </row>
    <row r="532" spans="1:18" ht="27">
      <c r="A532" s="110" t="s">
        <v>777</v>
      </c>
      <c r="B532" s="111" t="s">
        <v>428</v>
      </c>
      <c r="C532" s="112" t="s">
        <v>449</v>
      </c>
      <c r="D532" s="113" t="s">
        <v>20</v>
      </c>
      <c r="E532" s="175" t="s">
        <v>15</v>
      </c>
      <c r="F532" s="175" t="s">
        <v>53</v>
      </c>
      <c r="G532" s="176">
        <v>35.9</v>
      </c>
      <c r="H532" s="177">
        <v>11.95</v>
      </c>
      <c r="I532" s="178">
        <v>7</v>
      </c>
      <c r="J532" s="174">
        <f t="shared" si="296"/>
        <v>3.0030349999999992</v>
      </c>
      <c r="K532" s="118"/>
      <c r="L532" s="178">
        <v>7</v>
      </c>
      <c r="M532" s="117">
        <f t="shared" si="297"/>
        <v>3.0030349999999992</v>
      </c>
      <c r="N532" s="119">
        <f t="shared" si="298"/>
        <v>0</v>
      </c>
      <c r="O532" s="120">
        <f t="shared" si="299"/>
        <v>0</v>
      </c>
      <c r="P532" s="67"/>
      <c r="Q532" s="32"/>
      <c r="R532" s="32"/>
    </row>
    <row r="533" spans="1:18" ht="27">
      <c r="A533" s="110" t="s">
        <v>777</v>
      </c>
      <c r="B533" s="111" t="s">
        <v>428</v>
      </c>
      <c r="C533" s="112" t="s">
        <v>449</v>
      </c>
      <c r="D533" s="113" t="s">
        <v>20</v>
      </c>
      <c r="E533" s="175" t="s">
        <v>15</v>
      </c>
      <c r="F533" s="175" t="s">
        <v>53</v>
      </c>
      <c r="G533" s="176">
        <v>35.9</v>
      </c>
      <c r="H533" s="177">
        <v>11.95</v>
      </c>
      <c r="I533" s="178">
        <v>7</v>
      </c>
      <c r="J533" s="174">
        <f t="shared" si="296"/>
        <v>3.0030349999999992</v>
      </c>
      <c r="K533" s="118"/>
      <c r="L533" s="178">
        <v>7</v>
      </c>
      <c r="M533" s="117">
        <f t="shared" si="297"/>
        <v>3.0030349999999992</v>
      </c>
      <c r="N533" s="119">
        <f t="shared" si="298"/>
        <v>0</v>
      </c>
      <c r="O533" s="120">
        <f t="shared" si="299"/>
        <v>0</v>
      </c>
      <c r="P533" s="67"/>
      <c r="Q533" s="32"/>
      <c r="R533" s="32"/>
    </row>
    <row r="534" spans="1:18" ht="27">
      <c r="A534" s="110" t="s">
        <v>777</v>
      </c>
      <c r="B534" s="111" t="s">
        <v>428</v>
      </c>
      <c r="C534" s="112" t="s">
        <v>449</v>
      </c>
      <c r="D534" s="113" t="s">
        <v>20</v>
      </c>
      <c r="E534" s="175" t="s">
        <v>15</v>
      </c>
      <c r="F534" s="175" t="s">
        <v>53</v>
      </c>
      <c r="G534" s="176">
        <v>35.9</v>
      </c>
      <c r="H534" s="177">
        <v>11.95</v>
      </c>
      <c r="I534" s="178">
        <v>7</v>
      </c>
      <c r="J534" s="174">
        <f t="shared" si="296"/>
        <v>3.0030349999999992</v>
      </c>
      <c r="K534" s="118"/>
      <c r="L534" s="178">
        <v>7</v>
      </c>
      <c r="M534" s="117">
        <f t="shared" si="297"/>
        <v>3.0030349999999992</v>
      </c>
      <c r="N534" s="119">
        <f t="shared" si="298"/>
        <v>0</v>
      </c>
      <c r="O534" s="120">
        <f t="shared" si="299"/>
        <v>0</v>
      </c>
      <c r="P534" s="67"/>
      <c r="Q534" s="32"/>
      <c r="R534" s="32"/>
    </row>
    <row r="535" spans="1:18" ht="27">
      <c r="A535" s="110" t="s">
        <v>777</v>
      </c>
      <c r="B535" s="111" t="s">
        <v>428</v>
      </c>
      <c r="C535" s="112" t="s">
        <v>449</v>
      </c>
      <c r="D535" s="113" t="s">
        <v>20</v>
      </c>
      <c r="E535" s="175" t="s">
        <v>15</v>
      </c>
      <c r="F535" s="175" t="s">
        <v>53</v>
      </c>
      <c r="G535" s="176">
        <v>35.9</v>
      </c>
      <c r="H535" s="177">
        <v>11.95</v>
      </c>
      <c r="I535" s="178">
        <v>7</v>
      </c>
      <c r="J535" s="174">
        <f t="shared" si="296"/>
        <v>3.0030349999999992</v>
      </c>
      <c r="K535" s="118"/>
      <c r="L535" s="178">
        <v>7</v>
      </c>
      <c r="M535" s="117">
        <f t="shared" si="297"/>
        <v>3.0030349999999992</v>
      </c>
      <c r="N535" s="119">
        <f t="shared" si="298"/>
        <v>0</v>
      </c>
      <c r="O535" s="120">
        <f t="shared" si="299"/>
        <v>0</v>
      </c>
      <c r="P535" s="67"/>
      <c r="Q535" s="32"/>
      <c r="R535" s="32"/>
    </row>
    <row r="536" spans="1:18" ht="27">
      <c r="A536" s="110" t="s">
        <v>777</v>
      </c>
      <c r="B536" s="111" t="s">
        <v>428</v>
      </c>
      <c r="C536" s="112" t="s">
        <v>449</v>
      </c>
      <c r="D536" s="113" t="s">
        <v>20</v>
      </c>
      <c r="E536" s="175" t="s">
        <v>15</v>
      </c>
      <c r="F536" s="175" t="s">
        <v>53</v>
      </c>
      <c r="G536" s="176">
        <v>35.9</v>
      </c>
      <c r="H536" s="177">
        <v>11.95</v>
      </c>
      <c r="I536" s="178">
        <v>7</v>
      </c>
      <c r="J536" s="174">
        <f t="shared" si="296"/>
        <v>3.0030349999999992</v>
      </c>
      <c r="K536" s="118"/>
      <c r="L536" s="178">
        <v>7</v>
      </c>
      <c r="M536" s="117">
        <f t="shared" si="297"/>
        <v>3.0030349999999992</v>
      </c>
      <c r="N536" s="119">
        <f t="shared" si="298"/>
        <v>0</v>
      </c>
      <c r="O536" s="120">
        <f t="shared" si="299"/>
        <v>0</v>
      </c>
      <c r="P536" s="67"/>
      <c r="Q536" s="32"/>
      <c r="R536" s="32"/>
    </row>
    <row r="537" spans="1:18" ht="27">
      <c r="A537" s="110" t="s">
        <v>777</v>
      </c>
      <c r="B537" s="111" t="s">
        <v>428</v>
      </c>
      <c r="C537" s="112" t="s">
        <v>449</v>
      </c>
      <c r="D537" s="113" t="s">
        <v>20</v>
      </c>
      <c r="E537" s="175" t="s">
        <v>15</v>
      </c>
      <c r="F537" s="175" t="s">
        <v>53</v>
      </c>
      <c r="G537" s="176">
        <v>35.9</v>
      </c>
      <c r="H537" s="177">
        <v>7.85</v>
      </c>
      <c r="I537" s="178">
        <v>8</v>
      </c>
      <c r="J537" s="174">
        <f t="shared" si="296"/>
        <v>2.2545199999999999</v>
      </c>
      <c r="K537" s="118"/>
      <c r="L537" s="178">
        <v>8</v>
      </c>
      <c r="M537" s="117">
        <f t="shared" si="297"/>
        <v>2.2545199999999999</v>
      </c>
      <c r="N537" s="119">
        <f t="shared" si="298"/>
        <v>0</v>
      </c>
      <c r="O537" s="120">
        <f t="shared" si="299"/>
        <v>0</v>
      </c>
      <c r="P537" s="67"/>
      <c r="Q537" s="32"/>
      <c r="R537" s="32"/>
    </row>
    <row r="538" spans="1:18" ht="27">
      <c r="A538" s="110" t="s">
        <v>777</v>
      </c>
      <c r="B538" s="111" t="s">
        <v>428</v>
      </c>
      <c r="C538" s="112" t="s">
        <v>449</v>
      </c>
      <c r="D538" s="113" t="s">
        <v>20</v>
      </c>
      <c r="E538" s="175" t="s">
        <v>15</v>
      </c>
      <c r="F538" s="175" t="s">
        <v>53</v>
      </c>
      <c r="G538" s="176">
        <v>35.9</v>
      </c>
      <c r="H538" s="177">
        <v>8.1</v>
      </c>
      <c r="I538" s="178">
        <v>8</v>
      </c>
      <c r="J538" s="174">
        <f t="shared" si="296"/>
        <v>2.3263199999999995</v>
      </c>
      <c r="K538" s="118"/>
      <c r="L538" s="178">
        <v>8</v>
      </c>
      <c r="M538" s="117">
        <f t="shared" si="297"/>
        <v>2.3263199999999995</v>
      </c>
      <c r="N538" s="119">
        <f t="shared" si="298"/>
        <v>0</v>
      </c>
      <c r="O538" s="120">
        <f t="shared" si="299"/>
        <v>0</v>
      </c>
      <c r="P538" s="67"/>
      <c r="Q538" s="32"/>
      <c r="R538" s="32"/>
    </row>
    <row r="539" spans="1:18" ht="27">
      <c r="A539" s="110" t="s">
        <v>777</v>
      </c>
      <c r="B539" s="111" t="s">
        <v>428</v>
      </c>
      <c r="C539" s="112" t="s">
        <v>449</v>
      </c>
      <c r="D539" s="113" t="s">
        <v>20</v>
      </c>
      <c r="E539" s="175" t="s">
        <v>15</v>
      </c>
      <c r="F539" s="175" t="s">
        <v>53</v>
      </c>
      <c r="G539" s="176">
        <v>35.9</v>
      </c>
      <c r="H539" s="177">
        <v>11.95</v>
      </c>
      <c r="I539" s="178">
        <v>7</v>
      </c>
      <c r="J539" s="174">
        <f t="shared" si="296"/>
        <v>3.0030349999999992</v>
      </c>
      <c r="K539" s="118"/>
      <c r="L539" s="178">
        <v>7</v>
      </c>
      <c r="M539" s="117">
        <f t="shared" si="297"/>
        <v>3.0030349999999992</v>
      </c>
      <c r="N539" s="119">
        <f t="shared" si="298"/>
        <v>0</v>
      </c>
      <c r="O539" s="120">
        <f t="shared" si="299"/>
        <v>0</v>
      </c>
      <c r="P539" s="67"/>
      <c r="Q539" s="32"/>
      <c r="R539" s="32"/>
    </row>
    <row r="540" spans="1:18" ht="27">
      <c r="A540" s="110" t="s">
        <v>777</v>
      </c>
      <c r="B540" s="111" t="s">
        <v>428</v>
      </c>
      <c r="C540" s="112" t="s">
        <v>449</v>
      </c>
      <c r="D540" s="113" t="s">
        <v>20</v>
      </c>
      <c r="E540" s="175" t="s">
        <v>15</v>
      </c>
      <c r="F540" s="175" t="s">
        <v>53</v>
      </c>
      <c r="G540" s="176">
        <v>35.9</v>
      </c>
      <c r="H540" s="177">
        <v>11.95</v>
      </c>
      <c r="I540" s="178">
        <v>7</v>
      </c>
      <c r="J540" s="174">
        <f t="shared" si="296"/>
        <v>3.0030349999999992</v>
      </c>
      <c r="K540" s="118"/>
      <c r="L540" s="178">
        <v>7</v>
      </c>
      <c r="M540" s="117">
        <f t="shared" si="297"/>
        <v>3.0030349999999992</v>
      </c>
      <c r="N540" s="119">
        <f t="shared" si="298"/>
        <v>0</v>
      </c>
      <c r="O540" s="120">
        <f t="shared" si="299"/>
        <v>0</v>
      </c>
      <c r="P540" s="67"/>
      <c r="Q540" s="32"/>
      <c r="R540" s="32"/>
    </row>
    <row r="541" spans="1:18" ht="27">
      <c r="A541" s="110" t="s">
        <v>777</v>
      </c>
      <c r="B541" s="111" t="s">
        <v>428</v>
      </c>
      <c r="C541" s="112" t="s">
        <v>449</v>
      </c>
      <c r="D541" s="113" t="s">
        <v>20</v>
      </c>
      <c r="E541" s="175" t="s">
        <v>15</v>
      </c>
      <c r="F541" s="175" t="s">
        <v>53</v>
      </c>
      <c r="G541" s="176">
        <v>35.9</v>
      </c>
      <c r="H541" s="177">
        <v>11.95</v>
      </c>
      <c r="I541" s="178">
        <v>7</v>
      </c>
      <c r="J541" s="174">
        <f t="shared" si="296"/>
        <v>3.0030349999999992</v>
      </c>
      <c r="K541" s="118"/>
      <c r="L541" s="178">
        <v>7</v>
      </c>
      <c r="M541" s="117">
        <f t="shared" si="297"/>
        <v>3.0030349999999992</v>
      </c>
      <c r="N541" s="119">
        <f t="shared" si="298"/>
        <v>0</v>
      </c>
      <c r="O541" s="120">
        <f t="shared" si="299"/>
        <v>0</v>
      </c>
      <c r="P541" s="67"/>
      <c r="Q541" s="32"/>
      <c r="R541" s="32"/>
    </row>
    <row r="542" spans="1:18" ht="27">
      <c r="A542" s="110" t="s">
        <v>777</v>
      </c>
      <c r="B542" s="111" t="s">
        <v>428</v>
      </c>
      <c r="C542" s="112" t="s">
        <v>449</v>
      </c>
      <c r="D542" s="113" t="s">
        <v>20</v>
      </c>
      <c r="E542" s="175" t="s">
        <v>15</v>
      </c>
      <c r="F542" s="175" t="s">
        <v>53</v>
      </c>
      <c r="G542" s="176">
        <v>35.9</v>
      </c>
      <c r="H542" s="177">
        <v>7.85</v>
      </c>
      <c r="I542" s="178">
        <v>8</v>
      </c>
      <c r="J542" s="174">
        <f t="shared" si="296"/>
        <v>2.2545199999999999</v>
      </c>
      <c r="K542" s="118"/>
      <c r="L542" s="178">
        <v>8</v>
      </c>
      <c r="M542" s="117">
        <f t="shared" si="297"/>
        <v>2.2545199999999999</v>
      </c>
      <c r="N542" s="119">
        <f t="shared" si="298"/>
        <v>0</v>
      </c>
      <c r="O542" s="120">
        <f t="shared" si="299"/>
        <v>0</v>
      </c>
      <c r="P542" s="67"/>
      <c r="Q542" s="32"/>
      <c r="R542" s="32"/>
    </row>
    <row r="543" spans="1:18" ht="27">
      <c r="A543" s="110" t="s">
        <v>777</v>
      </c>
      <c r="B543" s="111" t="s">
        <v>428</v>
      </c>
      <c r="C543" s="112" t="s">
        <v>449</v>
      </c>
      <c r="D543" s="113" t="s">
        <v>20</v>
      </c>
      <c r="E543" s="175" t="s">
        <v>15</v>
      </c>
      <c r="F543" s="175" t="s">
        <v>53</v>
      </c>
      <c r="G543" s="176">
        <v>35.9</v>
      </c>
      <c r="H543" s="177">
        <v>8.1</v>
      </c>
      <c r="I543" s="178">
        <v>8</v>
      </c>
      <c r="J543" s="174">
        <f t="shared" si="296"/>
        <v>2.3263199999999995</v>
      </c>
      <c r="K543" s="118"/>
      <c r="L543" s="178">
        <v>8</v>
      </c>
      <c r="M543" s="117">
        <f t="shared" si="297"/>
        <v>2.3263199999999995</v>
      </c>
      <c r="N543" s="119">
        <f t="shared" si="298"/>
        <v>0</v>
      </c>
      <c r="O543" s="120">
        <f t="shared" si="299"/>
        <v>0</v>
      </c>
      <c r="P543" s="67"/>
      <c r="Q543" s="32"/>
      <c r="R543" s="32"/>
    </row>
    <row r="544" spans="1:18" ht="27">
      <c r="A544" s="110" t="s">
        <v>777</v>
      </c>
      <c r="B544" s="111" t="s">
        <v>428</v>
      </c>
      <c r="C544" s="112" t="s">
        <v>449</v>
      </c>
      <c r="D544" s="113" t="s">
        <v>20</v>
      </c>
      <c r="E544" s="175" t="s">
        <v>15</v>
      </c>
      <c r="F544" s="175" t="s">
        <v>53</v>
      </c>
      <c r="G544" s="176">
        <v>35.9</v>
      </c>
      <c r="H544" s="177">
        <v>7.85</v>
      </c>
      <c r="I544" s="178">
        <v>8</v>
      </c>
      <c r="J544" s="174">
        <f t="shared" si="296"/>
        <v>2.2545199999999999</v>
      </c>
      <c r="K544" s="118"/>
      <c r="L544" s="178">
        <v>8</v>
      </c>
      <c r="M544" s="117">
        <f t="shared" si="297"/>
        <v>2.2545199999999999</v>
      </c>
      <c r="N544" s="119">
        <f t="shared" si="298"/>
        <v>0</v>
      </c>
      <c r="O544" s="120">
        <f t="shared" si="299"/>
        <v>0</v>
      </c>
      <c r="P544" s="67"/>
      <c r="Q544" s="32"/>
      <c r="R544" s="32"/>
    </row>
    <row r="545" spans="1:19" ht="27">
      <c r="A545" s="110" t="s">
        <v>777</v>
      </c>
      <c r="B545" s="111" t="s">
        <v>428</v>
      </c>
      <c r="C545" s="112" t="s">
        <v>449</v>
      </c>
      <c r="D545" s="113" t="s">
        <v>20</v>
      </c>
      <c r="E545" s="175" t="s">
        <v>15</v>
      </c>
      <c r="F545" s="175" t="s">
        <v>53</v>
      </c>
      <c r="G545" s="176">
        <v>35.9</v>
      </c>
      <c r="H545" s="177">
        <v>11.95</v>
      </c>
      <c r="I545" s="178">
        <v>4</v>
      </c>
      <c r="J545" s="174">
        <f t="shared" si="296"/>
        <v>1.7160199999999997</v>
      </c>
      <c r="K545" s="118"/>
      <c r="L545" s="178">
        <v>4</v>
      </c>
      <c r="M545" s="117">
        <f t="shared" si="297"/>
        <v>1.7160199999999997</v>
      </c>
      <c r="N545" s="119">
        <f t="shared" si="298"/>
        <v>0</v>
      </c>
      <c r="O545" s="120">
        <f t="shared" si="299"/>
        <v>0</v>
      </c>
      <c r="P545" s="67"/>
      <c r="Q545" s="32"/>
      <c r="R545" s="32"/>
    </row>
    <row r="546" spans="1:19" ht="27">
      <c r="A546" s="110" t="s">
        <v>777</v>
      </c>
      <c r="B546" s="111" t="s">
        <v>428</v>
      </c>
      <c r="C546" s="112" t="s">
        <v>449</v>
      </c>
      <c r="D546" s="113" t="s">
        <v>20</v>
      </c>
      <c r="E546" s="175" t="s">
        <v>15</v>
      </c>
      <c r="F546" s="175" t="s">
        <v>53</v>
      </c>
      <c r="G546" s="176">
        <v>35.9</v>
      </c>
      <c r="H546" s="177">
        <v>7.85</v>
      </c>
      <c r="I546" s="178">
        <v>4</v>
      </c>
      <c r="J546" s="174">
        <f t="shared" si="296"/>
        <v>1.1272599999999999</v>
      </c>
      <c r="K546" s="118"/>
      <c r="L546" s="178">
        <v>4</v>
      </c>
      <c r="M546" s="117">
        <f t="shared" si="297"/>
        <v>1.1272599999999999</v>
      </c>
      <c r="N546" s="119">
        <f t="shared" si="298"/>
        <v>0</v>
      </c>
      <c r="O546" s="120">
        <f t="shared" si="299"/>
        <v>0</v>
      </c>
      <c r="P546" s="67"/>
      <c r="Q546" s="32"/>
      <c r="R546" s="32"/>
    </row>
    <row r="547" spans="1:19" ht="27">
      <c r="A547" s="110" t="s">
        <v>777</v>
      </c>
      <c r="B547" s="111" t="s">
        <v>428</v>
      </c>
      <c r="C547" s="112" t="s">
        <v>449</v>
      </c>
      <c r="D547" s="113" t="s">
        <v>20</v>
      </c>
      <c r="E547" s="175" t="s">
        <v>15</v>
      </c>
      <c r="F547" s="175" t="s">
        <v>53</v>
      </c>
      <c r="G547" s="176">
        <v>35.9</v>
      </c>
      <c r="H547" s="177">
        <v>7.2</v>
      </c>
      <c r="I547" s="178">
        <v>2</v>
      </c>
      <c r="J547" s="174">
        <f t="shared" si="296"/>
        <v>0.51696000000000009</v>
      </c>
      <c r="K547" s="118"/>
      <c r="L547" s="178">
        <v>2</v>
      </c>
      <c r="M547" s="117">
        <f t="shared" si="297"/>
        <v>0.51696000000000009</v>
      </c>
      <c r="N547" s="119">
        <f t="shared" si="298"/>
        <v>0</v>
      </c>
      <c r="O547" s="120">
        <f t="shared" si="299"/>
        <v>0</v>
      </c>
      <c r="P547" s="67"/>
      <c r="Q547" s="32"/>
      <c r="R547" s="32"/>
    </row>
    <row r="548" spans="1:19" ht="27">
      <c r="A548" s="110" t="s">
        <v>777</v>
      </c>
      <c r="B548" s="111" t="s">
        <v>428</v>
      </c>
      <c r="C548" s="112" t="s">
        <v>449</v>
      </c>
      <c r="D548" s="113" t="s">
        <v>20</v>
      </c>
      <c r="E548" s="175" t="s">
        <v>15</v>
      </c>
      <c r="F548" s="175" t="s">
        <v>53</v>
      </c>
      <c r="G548" s="176">
        <v>35.9</v>
      </c>
      <c r="H548" s="177">
        <v>7.35</v>
      </c>
      <c r="I548" s="178">
        <v>5</v>
      </c>
      <c r="J548" s="174">
        <f t="shared" si="296"/>
        <v>1.3193249999999999</v>
      </c>
      <c r="K548" s="118"/>
      <c r="L548" s="178">
        <v>5</v>
      </c>
      <c r="M548" s="117">
        <f t="shared" si="297"/>
        <v>1.3193250000000001</v>
      </c>
      <c r="N548" s="119">
        <f t="shared" si="298"/>
        <v>0</v>
      </c>
      <c r="O548" s="120">
        <f t="shared" si="299"/>
        <v>0</v>
      </c>
      <c r="P548" s="67"/>
      <c r="Q548" s="32"/>
      <c r="R548" s="32"/>
    </row>
    <row r="549" spans="1:19" ht="27">
      <c r="A549" s="110" t="s">
        <v>777</v>
      </c>
      <c r="B549" s="111" t="s">
        <v>428</v>
      </c>
      <c r="C549" s="112" t="s">
        <v>449</v>
      </c>
      <c r="D549" s="113" t="s">
        <v>20</v>
      </c>
      <c r="E549" s="175" t="s">
        <v>15</v>
      </c>
      <c r="F549" s="175" t="s">
        <v>53</v>
      </c>
      <c r="G549" s="176">
        <v>35.9</v>
      </c>
      <c r="H549" s="177">
        <v>11.5</v>
      </c>
      <c r="I549" s="178">
        <v>2</v>
      </c>
      <c r="J549" s="174">
        <f t="shared" si="296"/>
        <v>0.82569999999999988</v>
      </c>
      <c r="K549" s="118"/>
      <c r="L549" s="178">
        <v>2</v>
      </c>
      <c r="M549" s="117">
        <f t="shared" si="297"/>
        <v>0.82569999999999988</v>
      </c>
      <c r="N549" s="119">
        <f t="shared" si="298"/>
        <v>0</v>
      </c>
      <c r="O549" s="120">
        <f t="shared" si="299"/>
        <v>0</v>
      </c>
      <c r="P549" s="67">
        <v>7.85</v>
      </c>
      <c r="Q549" s="32">
        <v>2</v>
      </c>
      <c r="R549" s="32"/>
    </row>
    <row r="550" spans="1:19" ht="27">
      <c r="A550" s="110" t="s">
        <v>777</v>
      </c>
      <c r="B550" s="111" t="s">
        <v>428</v>
      </c>
      <c r="C550" s="112" t="s">
        <v>449</v>
      </c>
      <c r="D550" s="113" t="s">
        <v>20</v>
      </c>
      <c r="E550" s="175" t="s">
        <v>15</v>
      </c>
      <c r="F550" s="175" t="s">
        <v>53</v>
      </c>
      <c r="G550" s="176">
        <v>35.9</v>
      </c>
      <c r="H550" s="177">
        <v>11.85</v>
      </c>
      <c r="I550" s="178">
        <v>1</v>
      </c>
      <c r="J550" s="174">
        <f t="shared" si="296"/>
        <v>0.42541499999999999</v>
      </c>
      <c r="K550" s="118"/>
      <c r="L550" s="178">
        <v>1</v>
      </c>
      <c r="M550" s="117">
        <f t="shared" si="297"/>
        <v>0.42541499999999999</v>
      </c>
      <c r="N550" s="119">
        <f t="shared" si="298"/>
        <v>0</v>
      </c>
      <c r="O550" s="120">
        <f t="shared" si="299"/>
        <v>0</v>
      </c>
      <c r="P550" s="67"/>
      <c r="Q550" s="32"/>
      <c r="R550" s="32"/>
    </row>
    <row r="551" spans="1:19" ht="27">
      <c r="A551" s="110" t="s">
        <v>777</v>
      </c>
      <c r="B551" s="111" t="s">
        <v>428</v>
      </c>
      <c r="C551" s="112" t="s">
        <v>449</v>
      </c>
      <c r="D551" s="113" t="s">
        <v>20</v>
      </c>
      <c r="E551" s="175" t="s">
        <v>15</v>
      </c>
      <c r="F551" s="175" t="s">
        <v>53</v>
      </c>
      <c r="G551" s="176">
        <v>35.9</v>
      </c>
      <c r="H551" s="177">
        <v>11.6</v>
      </c>
      <c r="I551" s="178">
        <v>1</v>
      </c>
      <c r="J551" s="174">
        <f t="shared" si="296"/>
        <v>0.41643999999999998</v>
      </c>
      <c r="K551" s="118"/>
      <c r="L551" s="178">
        <v>1</v>
      </c>
      <c r="M551" s="117">
        <f t="shared" si="297"/>
        <v>0.41643999999999998</v>
      </c>
      <c r="N551" s="119">
        <f t="shared" si="298"/>
        <v>0</v>
      </c>
      <c r="O551" s="120">
        <f t="shared" si="299"/>
        <v>0</v>
      </c>
      <c r="P551" s="67">
        <v>7.85</v>
      </c>
      <c r="Q551" s="32">
        <v>1</v>
      </c>
      <c r="R551" s="32"/>
    </row>
    <row r="552" spans="1:19" ht="27">
      <c r="A552" s="110" t="s">
        <v>777</v>
      </c>
      <c r="B552" s="111" t="s">
        <v>428</v>
      </c>
      <c r="C552" s="112" t="s">
        <v>449</v>
      </c>
      <c r="D552" s="113" t="s">
        <v>20</v>
      </c>
      <c r="E552" s="175" t="s">
        <v>15</v>
      </c>
      <c r="F552" s="175" t="s">
        <v>53</v>
      </c>
      <c r="G552" s="176">
        <v>35.9</v>
      </c>
      <c r="H552" s="177">
        <v>11.95</v>
      </c>
      <c r="I552" s="178">
        <v>6</v>
      </c>
      <c r="J552" s="174">
        <f t="shared" si="296"/>
        <v>2.5740299999999996</v>
      </c>
      <c r="K552" s="118"/>
      <c r="L552" s="178">
        <v>6</v>
      </c>
      <c r="M552" s="117">
        <f t="shared" si="297"/>
        <v>2.5740299999999992</v>
      </c>
      <c r="N552" s="119">
        <f t="shared" si="298"/>
        <v>0</v>
      </c>
      <c r="O552" s="120">
        <f t="shared" si="299"/>
        <v>0</v>
      </c>
      <c r="P552" s="67"/>
      <c r="Q552" s="32"/>
      <c r="R552" s="32"/>
    </row>
    <row r="553" spans="1:19" ht="27">
      <c r="A553" s="110" t="s">
        <v>777</v>
      </c>
      <c r="B553" s="111" t="s">
        <v>428</v>
      </c>
      <c r="C553" s="112" t="s">
        <v>449</v>
      </c>
      <c r="D553" s="113" t="s">
        <v>20</v>
      </c>
      <c r="E553" s="175" t="s">
        <v>15</v>
      </c>
      <c r="F553" s="175" t="s">
        <v>53</v>
      </c>
      <c r="G553" s="176">
        <v>35.9</v>
      </c>
      <c r="H553" s="177">
        <v>12.7</v>
      </c>
      <c r="I553" s="178">
        <v>1</v>
      </c>
      <c r="J553" s="174">
        <f t="shared" si="296"/>
        <v>0.45592999999999995</v>
      </c>
      <c r="K553" s="118"/>
      <c r="L553" s="178">
        <v>1</v>
      </c>
      <c r="M553" s="117">
        <f t="shared" si="297"/>
        <v>0.45592999999999995</v>
      </c>
      <c r="N553" s="119">
        <f t="shared" si="298"/>
        <v>0</v>
      </c>
      <c r="O553" s="120">
        <f t="shared" si="299"/>
        <v>0</v>
      </c>
      <c r="P553" s="67">
        <v>7.85</v>
      </c>
      <c r="Q553" s="32">
        <v>1</v>
      </c>
      <c r="R553" s="32"/>
    </row>
    <row r="554" spans="1:19" ht="27">
      <c r="A554" s="110" t="s">
        <v>777</v>
      </c>
      <c r="B554" s="111" t="s">
        <v>428</v>
      </c>
      <c r="C554" s="112" t="s">
        <v>449</v>
      </c>
      <c r="D554" s="113" t="s">
        <v>20</v>
      </c>
      <c r="E554" s="175" t="s">
        <v>15</v>
      </c>
      <c r="F554" s="175" t="s">
        <v>53</v>
      </c>
      <c r="G554" s="176">
        <v>35.9</v>
      </c>
      <c r="H554" s="177">
        <v>7.35</v>
      </c>
      <c r="I554" s="178">
        <v>1</v>
      </c>
      <c r="J554" s="174">
        <f t="shared" si="296"/>
        <v>0.26386499999999996</v>
      </c>
      <c r="K554" s="118"/>
      <c r="L554" s="178">
        <v>1</v>
      </c>
      <c r="M554" s="117">
        <f t="shared" si="297"/>
        <v>0.26386499999999996</v>
      </c>
      <c r="N554" s="119">
        <f t="shared" si="298"/>
        <v>0</v>
      </c>
      <c r="O554" s="120">
        <f t="shared" si="299"/>
        <v>0</v>
      </c>
      <c r="P554" s="67">
        <v>7.2</v>
      </c>
      <c r="Q554" s="32">
        <v>1</v>
      </c>
      <c r="R554" s="32"/>
    </row>
    <row r="555" spans="1:19" ht="27">
      <c r="A555" s="110" t="s">
        <v>777</v>
      </c>
      <c r="B555" s="111" t="s">
        <v>428</v>
      </c>
      <c r="C555" s="32"/>
      <c r="D555" s="113" t="s">
        <v>20</v>
      </c>
      <c r="E555" s="175" t="s">
        <v>15</v>
      </c>
      <c r="F555" s="175" t="s">
        <v>53</v>
      </c>
      <c r="G555" s="32"/>
      <c r="H555" s="32"/>
      <c r="I555" s="129">
        <f>SUM(I510:I554)</f>
        <v>288</v>
      </c>
      <c r="J555" s="124">
        <f>SUM(J510:J554)</f>
        <v>101.11593999999994</v>
      </c>
      <c r="K555" s="32"/>
      <c r="L555" s="129">
        <f>SUM(L510:L554)</f>
        <v>288</v>
      </c>
      <c r="M555" s="124">
        <f>SUM(M510:M554)</f>
        <v>101.11593999999994</v>
      </c>
      <c r="N555" s="129">
        <f>SUM(N510:N554)</f>
        <v>0</v>
      </c>
      <c r="O555" s="124">
        <f>SUM(O510:O554)</f>
        <v>0</v>
      </c>
      <c r="P555" s="32"/>
      <c r="Q555" s="32"/>
      <c r="R555" s="32"/>
    </row>
    <row r="556" spans="1:19" s="213" customFormat="1">
      <c r="A556" s="110"/>
      <c r="B556" s="111"/>
      <c r="C556" s="32"/>
      <c r="D556" s="113"/>
      <c r="E556" s="175"/>
      <c r="F556" s="175"/>
      <c r="G556" s="32"/>
      <c r="H556" s="32"/>
      <c r="I556" s="129"/>
      <c r="J556" s="124"/>
      <c r="K556" s="32"/>
      <c r="L556" s="129"/>
      <c r="M556" s="124"/>
      <c r="N556" s="129"/>
      <c r="O556" s="124"/>
      <c r="P556" s="32"/>
      <c r="Q556" s="32"/>
      <c r="R556" s="32"/>
      <c r="S556" s="186"/>
    </row>
    <row r="557" spans="1:19" ht="27">
      <c r="A557" s="110" t="s">
        <v>777</v>
      </c>
      <c r="B557" s="111" t="s">
        <v>781</v>
      </c>
      <c r="C557" s="112" t="s">
        <v>449</v>
      </c>
      <c r="D557" s="113" t="s">
        <v>17</v>
      </c>
      <c r="E557" s="175" t="s">
        <v>15</v>
      </c>
      <c r="F557" s="175" t="s">
        <v>57</v>
      </c>
      <c r="G557" s="176">
        <v>33.72</v>
      </c>
      <c r="H557" s="177">
        <v>9.6999999999999993</v>
      </c>
      <c r="I557" s="178">
        <v>9</v>
      </c>
      <c r="J557" s="174">
        <f t="shared" ref="J557" si="300">(G557*H557*I557/1000)</f>
        <v>2.9437559999999996</v>
      </c>
      <c r="K557" s="118"/>
      <c r="L557" s="178">
        <v>9</v>
      </c>
      <c r="M557" s="117">
        <f t="shared" ref="M557" si="301">H557*L557*G557/1000</f>
        <v>2.943756</v>
      </c>
      <c r="N557" s="119">
        <f t="shared" ref="N557" si="302">I557-L557</f>
        <v>0</v>
      </c>
      <c r="O557" s="120">
        <f t="shared" ref="O557" si="303">H557*N557*G557/1000</f>
        <v>0</v>
      </c>
      <c r="P557" s="67"/>
      <c r="Q557" s="32"/>
      <c r="R557" s="32"/>
    </row>
    <row r="558" spans="1:19" ht="27">
      <c r="A558" s="110" t="s">
        <v>777</v>
      </c>
      <c r="B558" s="111" t="s">
        <v>781</v>
      </c>
      <c r="C558" s="112" t="s">
        <v>449</v>
      </c>
      <c r="D558" s="113" t="s">
        <v>17</v>
      </c>
      <c r="E558" s="175" t="s">
        <v>15</v>
      </c>
      <c r="F558" s="175" t="s">
        <v>57</v>
      </c>
      <c r="G558" s="176">
        <v>33.72</v>
      </c>
      <c r="H558" s="177">
        <v>9.6999999999999993</v>
      </c>
      <c r="I558" s="178">
        <v>9</v>
      </c>
      <c r="J558" s="174">
        <f t="shared" ref="J558:J561" si="304">(G558*H558*I558/1000)</f>
        <v>2.9437559999999996</v>
      </c>
      <c r="K558" s="118"/>
      <c r="L558" s="178">
        <v>9</v>
      </c>
      <c r="M558" s="117">
        <f t="shared" ref="M558:M561" si="305">H558*L558*G558/1000</f>
        <v>2.943756</v>
      </c>
      <c r="N558" s="119">
        <f t="shared" ref="N558:N561" si="306">I558-L558</f>
        <v>0</v>
      </c>
      <c r="O558" s="120">
        <f t="shared" ref="O558:O561" si="307">H558*N558*G558/1000</f>
        <v>0</v>
      </c>
      <c r="P558" s="67"/>
      <c r="Q558" s="32"/>
      <c r="R558" s="32"/>
    </row>
    <row r="559" spans="1:19" ht="27">
      <c r="A559" s="110" t="s">
        <v>777</v>
      </c>
      <c r="B559" s="111" t="s">
        <v>781</v>
      </c>
      <c r="C559" s="112" t="s">
        <v>449</v>
      </c>
      <c r="D559" s="113" t="s">
        <v>17</v>
      </c>
      <c r="E559" s="175" t="s">
        <v>15</v>
      </c>
      <c r="F559" s="175" t="s">
        <v>57</v>
      </c>
      <c r="G559" s="176">
        <v>33.72</v>
      </c>
      <c r="H559" s="177">
        <v>9.6999999999999993</v>
      </c>
      <c r="I559" s="178">
        <v>6</v>
      </c>
      <c r="J559" s="174">
        <f t="shared" si="304"/>
        <v>1.9625039999999996</v>
      </c>
      <c r="K559" s="118"/>
      <c r="L559" s="178">
        <v>6</v>
      </c>
      <c r="M559" s="117">
        <f t="shared" si="305"/>
        <v>1.9625039999999996</v>
      </c>
      <c r="N559" s="119">
        <f t="shared" si="306"/>
        <v>0</v>
      </c>
      <c r="O559" s="120">
        <f t="shared" si="307"/>
        <v>0</v>
      </c>
      <c r="P559" s="67"/>
      <c r="Q559" s="32"/>
      <c r="R559" s="32"/>
    </row>
    <row r="560" spans="1:19" ht="27">
      <c r="A560" s="110" t="s">
        <v>777</v>
      </c>
      <c r="B560" s="111" t="s">
        <v>781</v>
      </c>
      <c r="C560" s="112" t="s">
        <v>449</v>
      </c>
      <c r="D560" s="113" t="s">
        <v>17</v>
      </c>
      <c r="E560" s="175" t="s">
        <v>15</v>
      </c>
      <c r="F560" s="175" t="s">
        <v>57</v>
      </c>
      <c r="G560" s="176">
        <v>33.72</v>
      </c>
      <c r="H560" s="177">
        <v>9.3000000000000007</v>
      </c>
      <c r="I560" s="178">
        <v>1</v>
      </c>
      <c r="J560" s="174">
        <f t="shared" si="304"/>
        <v>0.31359599999999999</v>
      </c>
      <c r="K560" s="118"/>
      <c r="L560" s="178"/>
      <c r="M560" s="117">
        <f t="shared" si="305"/>
        <v>0</v>
      </c>
      <c r="N560" s="119">
        <f t="shared" si="306"/>
        <v>1</v>
      </c>
      <c r="O560" s="120">
        <f t="shared" si="307"/>
        <v>0.31359599999999999</v>
      </c>
      <c r="P560" s="67"/>
      <c r="Q560" s="32"/>
      <c r="R560" s="32"/>
    </row>
    <row r="561" spans="1:19" ht="27">
      <c r="A561" s="110" t="s">
        <v>777</v>
      </c>
      <c r="B561" s="111" t="s">
        <v>781</v>
      </c>
      <c r="C561" s="112" t="s">
        <v>449</v>
      </c>
      <c r="D561" s="113" t="s">
        <v>17</v>
      </c>
      <c r="E561" s="175" t="s">
        <v>15</v>
      </c>
      <c r="F561" s="175" t="s">
        <v>57</v>
      </c>
      <c r="G561" s="176">
        <v>33.72</v>
      </c>
      <c r="H561" s="177">
        <v>9.6999999999999993</v>
      </c>
      <c r="I561" s="178">
        <v>2</v>
      </c>
      <c r="J561" s="174">
        <f t="shared" si="304"/>
        <v>0.65416799999999986</v>
      </c>
      <c r="K561" s="118"/>
      <c r="L561" s="178"/>
      <c r="M561" s="117">
        <f t="shared" si="305"/>
        <v>0</v>
      </c>
      <c r="N561" s="119">
        <f t="shared" si="306"/>
        <v>2</v>
      </c>
      <c r="O561" s="120">
        <f t="shared" si="307"/>
        <v>0.65416799999999986</v>
      </c>
      <c r="P561" s="67"/>
      <c r="Q561" s="32"/>
      <c r="R561" s="32"/>
    </row>
    <row r="562" spans="1:19">
      <c r="A562" s="110"/>
      <c r="B562" s="111"/>
      <c r="D562" s="113"/>
      <c r="E562" s="175"/>
      <c r="F562" s="175"/>
      <c r="I562" s="215">
        <f>SUM(I557:I561)</f>
        <v>27</v>
      </c>
      <c r="J562" s="214">
        <f>SUM(J557:J561)</f>
        <v>8.8177799999999991</v>
      </c>
      <c r="L562" s="215">
        <f>SUM(L557:L561)</f>
        <v>24</v>
      </c>
      <c r="M562" s="214">
        <f>SUM(M557:M561)</f>
        <v>7.8500160000000001</v>
      </c>
      <c r="N562" s="215">
        <f>SUM(N557:N561)</f>
        <v>3</v>
      </c>
      <c r="O562" s="214">
        <f>SUM(O557:O561)</f>
        <v>0.96776399999999985</v>
      </c>
    </row>
    <row r="563" spans="1:19" s="213" customFormat="1">
      <c r="A563" s="110"/>
      <c r="B563" s="111"/>
      <c r="D563" s="113"/>
      <c r="E563" s="175"/>
      <c r="F563" s="175"/>
      <c r="I563" s="215"/>
      <c r="J563" s="214"/>
      <c r="L563" s="215"/>
      <c r="M563" s="214"/>
      <c r="N563" s="215"/>
      <c r="O563" s="214"/>
      <c r="S563" s="186"/>
    </row>
    <row r="564" spans="1:19" ht="27">
      <c r="A564" s="110" t="s">
        <v>777</v>
      </c>
      <c r="B564" s="111" t="s">
        <v>781</v>
      </c>
      <c r="C564" s="112" t="s">
        <v>449</v>
      </c>
      <c r="D564" s="113" t="s">
        <v>17</v>
      </c>
      <c r="E564" s="175" t="s">
        <v>15</v>
      </c>
      <c r="F564" s="175" t="s">
        <v>64</v>
      </c>
      <c r="G564" s="176">
        <v>40.01</v>
      </c>
      <c r="H564" s="177">
        <v>9.8000000000000007</v>
      </c>
      <c r="I564" s="178">
        <v>4</v>
      </c>
      <c r="J564" s="174">
        <f t="shared" ref="J564" si="308">(G564*H564*I564/1000)</f>
        <v>1.568392</v>
      </c>
      <c r="K564" s="118"/>
      <c r="L564" s="178">
        <v>4</v>
      </c>
      <c r="M564" s="117">
        <f t="shared" ref="M564" si="309">H564*L564*G564/1000</f>
        <v>1.568392</v>
      </c>
      <c r="N564" s="119">
        <f t="shared" ref="N564" si="310">I564-L564</f>
        <v>0</v>
      </c>
      <c r="O564" s="120">
        <f t="shared" ref="O564" si="311">H564*N564*G564/1000</f>
        <v>0</v>
      </c>
      <c r="P564" s="67"/>
      <c r="Q564" s="32"/>
      <c r="R564" s="32"/>
    </row>
    <row r="565" spans="1:19" ht="27">
      <c r="A565" s="110" t="s">
        <v>777</v>
      </c>
      <c r="B565" s="111" t="s">
        <v>781</v>
      </c>
      <c r="C565" s="112" t="s">
        <v>449</v>
      </c>
      <c r="D565" s="113" t="s">
        <v>17</v>
      </c>
      <c r="E565" s="175" t="s">
        <v>15</v>
      </c>
      <c r="F565" s="175" t="s">
        <v>64</v>
      </c>
      <c r="G565" s="176">
        <v>40.01</v>
      </c>
      <c r="H565" s="177">
        <v>10</v>
      </c>
      <c r="I565" s="178">
        <v>7</v>
      </c>
      <c r="J565" s="174">
        <f t="shared" ref="J565:J568" si="312">(G565*H565*I565/1000)</f>
        <v>2.8007</v>
      </c>
      <c r="K565" s="118"/>
      <c r="L565" s="178">
        <v>7</v>
      </c>
      <c r="M565" s="117">
        <f t="shared" ref="M565:M568" si="313">H565*L565*G565/1000</f>
        <v>2.8007</v>
      </c>
      <c r="N565" s="119">
        <f t="shared" ref="N565:N568" si="314">I565-L565</f>
        <v>0</v>
      </c>
      <c r="O565" s="120">
        <f t="shared" ref="O565:O568" si="315">H565*N565*G565/1000</f>
        <v>0</v>
      </c>
      <c r="P565" s="67"/>
      <c r="Q565" s="32"/>
      <c r="R565" s="32"/>
    </row>
    <row r="566" spans="1:19" ht="27">
      <c r="A566" s="110" t="s">
        <v>777</v>
      </c>
      <c r="B566" s="111" t="s">
        <v>781</v>
      </c>
      <c r="C566" s="112" t="s">
        <v>449</v>
      </c>
      <c r="D566" s="113" t="s">
        <v>17</v>
      </c>
      <c r="E566" s="175" t="s">
        <v>15</v>
      </c>
      <c r="F566" s="175" t="s">
        <v>64</v>
      </c>
      <c r="G566" s="176">
        <v>40.01</v>
      </c>
      <c r="H566" s="177">
        <v>8.5</v>
      </c>
      <c r="I566" s="178">
        <v>2</v>
      </c>
      <c r="J566" s="174">
        <f t="shared" si="312"/>
        <v>0.68016999999999994</v>
      </c>
      <c r="K566" s="118"/>
      <c r="L566" s="178">
        <v>2</v>
      </c>
      <c r="M566" s="117">
        <f t="shared" si="313"/>
        <v>0.68016999999999994</v>
      </c>
      <c r="N566" s="119">
        <f t="shared" si="314"/>
        <v>0</v>
      </c>
      <c r="O566" s="120">
        <f t="shared" si="315"/>
        <v>0</v>
      </c>
      <c r="P566" s="67"/>
      <c r="Q566" s="32"/>
      <c r="R566" s="32"/>
    </row>
    <row r="567" spans="1:19" ht="27">
      <c r="A567" s="110" t="s">
        <v>777</v>
      </c>
      <c r="B567" s="111" t="s">
        <v>781</v>
      </c>
      <c r="C567" s="112" t="s">
        <v>449</v>
      </c>
      <c r="D567" s="113" t="s">
        <v>17</v>
      </c>
      <c r="E567" s="175" t="s">
        <v>15</v>
      </c>
      <c r="F567" s="175" t="s">
        <v>64</v>
      </c>
      <c r="G567" s="176">
        <v>40.01</v>
      </c>
      <c r="H567" s="177">
        <v>10</v>
      </c>
      <c r="I567" s="178">
        <v>2</v>
      </c>
      <c r="J567" s="174">
        <f t="shared" si="312"/>
        <v>0.80019999999999991</v>
      </c>
      <c r="K567" s="118"/>
      <c r="L567" s="178"/>
      <c r="M567" s="117">
        <f t="shared" si="313"/>
        <v>0</v>
      </c>
      <c r="N567" s="119">
        <f t="shared" si="314"/>
        <v>2</v>
      </c>
      <c r="O567" s="120">
        <f t="shared" si="315"/>
        <v>0.80019999999999991</v>
      </c>
      <c r="P567" s="67"/>
      <c r="Q567" s="32"/>
      <c r="R567" s="32"/>
    </row>
    <row r="568" spans="1:19" ht="27">
      <c r="A568" s="110" t="s">
        <v>777</v>
      </c>
      <c r="B568" s="111" t="s">
        <v>781</v>
      </c>
      <c r="C568" s="112" t="s">
        <v>449</v>
      </c>
      <c r="D568" s="113" t="s">
        <v>17</v>
      </c>
      <c r="E568" s="175" t="s">
        <v>15</v>
      </c>
      <c r="F568" s="175" t="s">
        <v>64</v>
      </c>
      <c r="G568" s="176">
        <v>40.01</v>
      </c>
      <c r="H568" s="177">
        <v>9.8000000000000007</v>
      </c>
      <c r="I568" s="178">
        <v>2</v>
      </c>
      <c r="J568" s="174">
        <f t="shared" si="312"/>
        <v>0.784196</v>
      </c>
      <c r="K568" s="118"/>
      <c r="L568" s="178"/>
      <c r="M568" s="117">
        <f t="shared" si="313"/>
        <v>0</v>
      </c>
      <c r="N568" s="119">
        <f t="shared" si="314"/>
        <v>2</v>
      </c>
      <c r="O568" s="120">
        <f t="shared" si="315"/>
        <v>0.784196</v>
      </c>
      <c r="P568" s="67"/>
      <c r="Q568" s="32"/>
      <c r="R568" s="32"/>
    </row>
    <row r="569" spans="1:19">
      <c r="A569" s="110"/>
      <c r="B569" s="111"/>
      <c r="D569" s="113"/>
      <c r="E569" s="175"/>
      <c r="F569" s="175"/>
      <c r="I569" s="215">
        <f>SUM(I564:I568)</f>
        <v>17</v>
      </c>
      <c r="J569" s="214">
        <f>SUM(J564:J568)</f>
        <v>6.6336580000000005</v>
      </c>
      <c r="L569" s="215">
        <f>SUM(L564:L568)</f>
        <v>13</v>
      </c>
      <c r="M569" s="214">
        <f>SUM(M564:M568)</f>
        <v>5.0492620000000006</v>
      </c>
      <c r="N569" s="215">
        <f>SUM(N564:N568)</f>
        <v>4</v>
      </c>
      <c r="O569" s="214">
        <f>SUM(O564:O568)</f>
        <v>1.5843959999999999</v>
      </c>
    </row>
    <row r="570" spans="1:19" s="213" customFormat="1">
      <c r="A570" s="110"/>
      <c r="B570" s="111"/>
      <c r="D570" s="113"/>
      <c r="E570" s="175"/>
      <c r="F570" s="175"/>
      <c r="I570" s="215"/>
      <c r="J570" s="214"/>
      <c r="L570" s="215"/>
      <c r="M570" s="214"/>
      <c r="N570" s="215"/>
      <c r="O570" s="214"/>
      <c r="S570" s="186"/>
    </row>
    <row r="571" spans="1:19" ht="27">
      <c r="A571" s="110" t="s">
        <v>777</v>
      </c>
      <c r="B571" s="111" t="s">
        <v>781</v>
      </c>
      <c r="C571" s="112" t="s">
        <v>449</v>
      </c>
      <c r="D571" s="113" t="s">
        <v>17</v>
      </c>
      <c r="E571" s="175" t="s">
        <v>15</v>
      </c>
      <c r="F571" s="175" t="s">
        <v>59</v>
      </c>
      <c r="G571" s="176">
        <v>38</v>
      </c>
      <c r="H571" s="177">
        <v>10.199999999999999</v>
      </c>
      <c r="I571" s="178">
        <v>8</v>
      </c>
      <c r="J571" s="174">
        <f t="shared" ref="J571" si="316">(G571*H571*I571/1000)</f>
        <v>3.1007999999999996</v>
      </c>
      <c r="K571" s="118"/>
      <c r="L571" s="178">
        <v>8</v>
      </c>
      <c r="M571" s="117">
        <f t="shared" ref="M571" si="317">H571*L571*G571/1000</f>
        <v>3.1007999999999996</v>
      </c>
      <c r="N571" s="119">
        <f t="shared" ref="N571" si="318">I571-L571</f>
        <v>0</v>
      </c>
      <c r="O571" s="120">
        <f t="shared" ref="O571" si="319">H571*N571*G571/1000</f>
        <v>0</v>
      </c>
      <c r="P571" s="67"/>
      <c r="Q571" s="32"/>
      <c r="R571" s="32"/>
    </row>
    <row r="572" spans="1:19" ht="27">
      <c r="A572" s="110" t="s">
        <v>777</v>
      </c>
      <c r="B572" s="111" t="s">
        <v>781</v>
      </c>
      <c r="C572" s="112" t="s">
        <v>449</v>
      </c>
      <c r="D572" s="113" t="s">
        <v>17</v>
      </c>
      <c r="E572" s="175" t="s">
        <v>15</v>
      </c>
      <c r="F572" s="175" t="s">
        <v>59</v>
      </c>
      <c r="G572" s="176">
        <v>38</v>
      </c>
      <c r="H572" s="177">
        <v>10.199999999999999</v>
      </c>
      <c r="I572" s="178">
        <v>8</v>
      </c>
      <c r="J572" s="174">
        <f t="shared" ref="J572:J588" si="320">(G572*H572*I572/1000)</f>
        <v>3.1007999999999996</v>
      </c>
      <c r="K572" s="118"/>
      <c r="L572" s="178">
        <v>8</v>
      </c>
      <c r="M572" s="117">
        <f t="shared" ref="M572:M588" si="321">H572*L572*G572/1000</f>
        <v>3.1007999999999996</v>
      </c>
      <c r="N572" s="119">
        <f t="shared" ref="N572:N588" si="322">I572-L572</f>
        <v>0</v>
      </c>
      <c r="O572" s="120">
        <f t="shared" ref="O572:O588" si="323">H572*N572*G572/1000</f>
        <v>0</v>
      </c>
      <c r="P572" s="67"/>
      <c r="Q572" s="32"/>
      <c r="R572" s="32"/>
    </row>
    <row r="573" spans="1:19" ht="27">
      <c r="A573" s="110" t="s">
        <v>777</v>
      </c>
      <c r="B573" s="111" t="s">
        <v>781</v>
      </c>
      <c r="C573" s="112" t="s">
        <v>449</v>
      </c>
      <c r="D573" s="113" t="s">
        <v>17</v>
      </c>
      <c r="E573" s="175" t="s">
        <v>15</v>
      </c>
      <c r="F573" s="175" t="s">
        <v>59</v>
      </c>
      <c r="G573" s="176">
        <v>38</v>
      </c>
      <c r="H573" s="177">
        <v>10.199999999999999</v>
      </c>
      <c r="I573" s="178">
        <v>8</v>
      </c>
      <c r="J573" s="174">
        <f t="shared" si="320"/>
        <v>3.1007999999999996</v>
      </c>
      <c r="K573" s="118"/>
      <c r="L573" s="178">
        <v>8</v>
      </c>
      <c r="M573" s="117">
        <f t="shared" si="321"/>
        <v>3.1007999999999996</v>
      </c>
      <c r="N573" s="119">
        <f t="shared" si="322"/>
        <v>0</v>
      </c>
      <c r="O573" s="120">
        <f t="shared" si="323"/>
        <v>0</v>
      </c>
      <c r="P573" s="67"/>
      <c r="Q573" s="32"/>
      <c r="R573" s="32"/>
    </row>
    <row r="574" spans="1:19" ht="27">
      <c r="A574" s="110" t="s">
        <v>777</v>
      </c>
      <c r="B574" s="111" t="s">
        <v>781</v>
      </c>
      <c r="C574" s="112" t="s">
        <v>449</v>
      </c>
      <c r="D574" s="113" t="s">
        <v>17</v>
      </c>
      <c r="E574" s="175" t="s">
        <v>15</v>
      </c>
      <c r="F574" s="175" t="s">
        <v>59</v>
      </c>
      <c r="G574" s="176">
        <v>38</v>
      </c>
      <c r="H574" s="177">
        <v>10.199999999999999</v>
      </c>
      <c r="I574" s="178">
        <v>8</v>
      </c>
      <c r="J574" s="174">
        <f t="shared" si="320"/>
        <v>3.1007999999999996</v>
      </c>
      <c r="K574" s="118"/>
      <c r="L574" s="178">
        <v>8</v>
      </c>
      <c r="M574" s="117">
        <f t="shared" si="321"/>
        <v>3.1007999999999996</v>
      </c>
      <c r="N574" s="119">
        <f t="shared" si="322"/>
        <v>0</v>
      </c>
      <c r="O574" s="120">
        <f t="shared" si="323"/>
        <v>0</v>
      </c>
      <c r="P574" s="67"/>
      <c r="Q574" s="32"/>
      <c r="R574" s="32"/>
    </row>
    <row r="575" spans="1:19" ht="27">
      <c r="A575" s="110" t="s">
        <v>777</v>
      </c>
      <c r="B575" s="111" t="s">
        <v>781</v>
      </c>
      <c r="C575" s="112" t="s">
        <v>449</v>
      </c>
      <c r="D575" s="113" t="s">
        <v>17</v>
      </c>
      <c r="E575" s="175" t="s">
        <v>15</v>
      </c>
      <c r="F575" s="175" t="s">
        <v>59</v>
      </c>
      <c r="G575" s="176">
        <v>38</v>
      </c>
      <c r="H575" s="177">
        <v>10.199999999999999</v>
      </c>
      <c r="I575" s="178">
        <v>8</v>
      </c>
      <c r="J575" s="174">
        <f t="shared" si="320"/>
        <v>3.1007999999999996</v>
      </c>
      <c r="K575" s="118"/>
      <c r="L575" s="178">
        <v>8</v>
      </c>
      <c r="M575" s="117">
        <f t="shared" si="321"/>
        <v>3.1007999999999996</v>
      </c>
      <c r="N575" s="119">
        <f t="shared" si="322"/>
        <v>0</v>
      </c>
      <c r="O575" s="120">
        <f t="shared" si="323"/>
        <v>0</v>
      </c>
      <c r="P575" s="67"/>
      <c r="Q575" s="32"/>
      <c r="R575" s="32"/>
    </row>
    <row r="576" spans="1:19" ht="27">
      <c r="A576" s="110" t="s">
        <v>777</v>
      </c>
      <c r="B576" s="111" t="s">
        <v>781</v>
      </c>
      <c r="C576" s="112" t="s">
        <v>449</v>
      </c>
      <c r="D576" s="113" t="s">
        <v>17</v>
      </c>
      <c r="E576" s="175" t="s">
        <v>15</v>
      </c>
      <c r="F576" s="175" t="s">
        <v>59</v>
      </c>
      <c r="G576" s="176">
        <v>38</v>
      </c>
      <c r="H576" s="177">
        <v>10.199999999999999</v>
      </c>
      <c r="I576" s="178">
        <v>8</v>
      </c>
      <c r="J576" s="174">
        <f t="shared" si="320"/>
        <v>3.1007999999999996</v>
      </c>
      <c r="K576" s="118"/>
      <c r="L576" s="178">
        <v>8</v>
      </c>
      <c r="M576" s="117">
        <f t="shared" si="321"/>
        <v>3.1007999999999996</v>
      </c>
      <c r="N576" s="119">
        <f t="shared" si="322"/>
        <v>0</v>
      </c>
      <c r="O576" s="120">
        <f t="shared" si="323"/>
        <v>0</v>
      </c>
      <c r="P576" s="67"/>
      <c r="Q576" s="32"/>
      <c r="R576" s="32"/>
    </row>
    <row r="577" spans="1:18" ht="27">
      <c r="A577" s="110" t="s">
        <v>777</v>
      </c>
      <c r="B577" s="111" t="s">
        <v>781</v>
      </c>
      <c r="C577" s="112" t="s">
        <v>449</v>
      </c>
      <c r="D577" s="113" t="s">
        <v>17</v>
      </c>
      <c r="E577" s="175" t="s">
        <v>15</v>
      </c>
      <c r="F577" s="175" t="s">
        <v>59</v>
      </c>
      <c r="G577" s="176">
        <v>38</v>
      </c>
      <c r="H577" s="177">
        <v>10.199999999999999</v>
      </c>
      <c r="I577" s="178">
        <v>8</v>
      </c>
      <c r="J577" s="174">
        <f t="shared" si="320"/>
        <v>3.1007999999999996</v>
      </c>
      <c r="K577" s="118"/>
      <c r="L577" s="178">
        <v>8</v>
      </c>
      <c r="M577" s="117">
        <f t="shared" si="321"/>
        <v>3.1007999999999996</v>
      </c>
      <c r="N577" s="119">
        <f t="shared" si="322"/>
        <v>0</v>
      </c>
      <c r="O577" s="120">
        <f t="shared" si="323"/>
        <v>0</v>
      </c>
      <c r="P577" s="67"/>
      <c r="Q577" s="32"/>
      <c r="R577" s="32"/>
    </row>
    <row r="578" spans="1:18" ht="27">
      <c r="A578" s="110" t="s">
        <v>777</v>
      </c>
      <c r="B578" s="111" t="s">
        <v>781</v>
      </c>
      <c r="C578" s="112" t="s">
        <v>449</v>
      </c>
      <c r="D578" s="113" t="s">
        <v>17</v>
      </c>
      <c r="E578" s="175" t="s">
        <v>15</v>
      </c>
      <c r="F578" s="175" t="s">
        <v>59</v>
      </c>
      <c r="G578" s="176">
        <v>38</v>
      </c>
      <c r="H578" s="177">
        <v>10.199999999999999</v>
      </c>
      <c r="I578" s="178">
        <v>8</v>
      </c>
      <c r="J578" s="174">
        <f t="shared" si="320"/>
        <v>3.1007999999999996</v>
      </c>
      <c r="K578" s="118"/>
      <c r="L578" s="178">
        <v>8</v>
      </c>
      <c r="M578" s="117">
        <f t="shared" si="321"/>
        <v>3.1007999999999996</v>
      </c>
      <c r="N578" s="119">
        <f t="shared" si="322"/>
        <v>0</v>
      </c>
      <c r="O578" s="120">
        <f t="shared" si="323"/>
        <v>0</v>
      </c>
      <c r="P578" s="67"/>
      <c r="Q578" s="32"/>
      <c r="R578" s="32"/>
    </row>
    <row r="579" spans="1:18" ht="27">
      <c r="A579" s="110" t="s">
        <v>777</v>
      </c>
      <c r="B579" s="111" t="s">
        <v>781</v>
      </c>
      <c r="C579" s="112" t="s">
        <v>449</v>
      </c>
      <c r="D579" s="113" t="s">
        <v>17</v>
      </c>
      <c r="E579" s="175" t="s">
        <v>15</v>
      </c>
      <c r="F579" s="175" t="s">
        <v>59</v>
      </c>
      <c r="G579" s="176">
        <v>38</v>
      </c>
      <c r="H579" s="177">
        <v>10.199999999999999</v>
      </c>
      <c r="I579" s="178">
        <v>8</v>
      </c>
      <c r="J579" s="174">
        <f t="shared" si="320"/>
        <v>3.1007999999999996</v>
      </c>
      <c r="K579" s="118"/>
      <c r="L579" s="178">
        <v>8</v>
      </c>
      <c r="M579" s="117">
        <f t="shared" si="321"/>
        <v>3.1007999999999996</v>
      </c>
      <c r="N579" s="119">
        <f t="shared" si="322"/>
        <v>0</v>
      </c>
      <c r="O579" s="120">
        <f t="shared" si="323"/>
        <v>0</v>
      </c>
      <c r="P579" s="67"/>
      <c r="Q579" s="32"/>
      <c r="R579" s="32"/>
    </row>
    <row r="580" spans="1:18" ht="27">
      <c r="A580" s="110" t="s">
        <v>777</v>
      </c>
      <c r="B580" s="111" t="s">
        <v>781</v>
      </c>
      <c r="C580" s="112" t="s">
        <v>449</v>
      </c>
      <c r="D580" s="113" t="s">
        <v>17</v>
      </c>
      <c r="E580" s="175" t="s">
        <v>15</v>
      </c>
      <c r="F580" s="175" t="s">
        <v>59</v>
      </c>
      <c r="G580" s="176">
        <v>38</v>
      </c>
      <c r="H580" s="177">
        <v>10.199999999999999</v>
      </c>
      <c r="I580" s="178">
        <v>8</v>
      </c>
      <c r="J580" s="174">
        <f t="shared" si="320"/>
        <v>3.1007999999999996</v>
      </c>
      <c r="K580" s="118"/>
      <c r="L580" s="178">
        <v>8</v>
      </c>
      <c r="M580" s="117">
        <f t="shared" si="321"/>
        <v>3.1007999999999996</v>
      </c>
      <c r="N580" s="119">
        <f t="shared" si="322"/>
        <v>0</v>
      </c>
      <c r="O580" s="120">
        <f t="shared" si="323"/>
        <v>0</v>
      </c>
      <c r="P580" s="67"/>
      <c r="Q580" s="32"/>
      <c r="R580" s="32"/>
    </row>
    <row r="581" spans="1:18" ht="27">
      <c r="A581" s="110" t="s">
        <v>777</v>
      </c>
      <c r="B581" s="111" t="s">
        <v>781</v>
      </c>
      <c r="C581" s="112" t="s">
        <v>449</v>
      </c>
      <c r="D581" s="113" t="s">
        <v>17</v>
      </c>
      <c r="E581" s="175" t="s">
        <v>15</v>
      </c>
      <c r="F581" s="175" t="s">
        <v>59</v>
      </c>
      <c r="G581" s="176">
        <v>38</v>
      </c>
      <c r="H581" s="177">
        <v>10.199999999999999</v>
      </c>
      <c r="I581" s="178">
        <v>8</v>
      </c>
      <c r="J581" s="174">
        <f t="shared" si="320"/>
        <v>3.1007999999999996</v>
      </c>
      <c r="K581" s="118"/>
      <c r="L581" s="178">
        <v>8</v>
      </c>
      <c r="M581" s="117">
        <f t="shared" si="321"/>
        <v>3.1007999999999996</v>
      </c>
      <c r="N581" s="119">
        <f t="shared" si="322"/>
        <v>0</v>
      </c>
      <c r="O581" s="120">
        <f t="shared" si="323"/>
        <v>0</v>
      </c>
      <c r="P581" s="67"/>
      <c r="Q581" s="32"/>
      <c r="R581" s="32"/>
    </row>
    <row r="582" spans="1:18" ht="27">
      <c r="A582" s="110" t="s">
        <v>777</v>
      </c>
      <c r="B582" s="111" t="s">
        <v>781</v>
      </c>
      <c r="C582" s="112" t="s">
        <v>449</v>
      </c>
      <c r="D582" s="113" t="s">
        <v>17</v>
      </c>
      <c r="E582" s="175" t="s">
        <v>15</v>
      </c>
      <c r="F582" s="175" t="s">
        <v>59</v>
      </c>
      <c r="G582" s="176">
        <v>38</v>
      </c>
      <c r="H582" s="177">
        <v>10.199999999999999</v>
      </c>
      <c r="I582" s="178">
        <v>8</v>
      </c>
      <c r="J582" s="174">
        <f t="shared" si="320"/>
        <v>3.1007999999999996</v>
      </c>
      <c r="K582" s="118"/>
      <c r="L582" s="178">
        <v>8</v>
      </c>
      <c r="M582" s="117">
        <f t="shared" si="321"/>
        <v>3.1007999999999996</v>
      </c>
      <c r="N582" s="119">
        <f t="shared" si="322"/>
        <v>0</v>
      </c>
      <c r="O582" s="120">
        <f t="shared" si="323"/>
        <v>0</v>
      </c>
      <c r="P582" s="67"/>
      <c r="Q582" s="32"/>
      <c r="R582" s="32"/>
    </row>
    <row r="583" spans="1:18" ht="27">
      <c r="A583" s="110" t="s">
        <v>777</v>
      </c>
      <c r="B583" s="111" t="s">
        <v>781</v>
      </c>
      <c r="C583" s="112" t="s">
        <v>449</v>
      </c>
      <c r="D583" s="113" t="s">
        <v>17</v>
      </c>
      <c r="E583" s="175" t="s">
        <v>15</v>
      </c>
      <c r="F583" s="175" t="s">
        <v>59</v>
      </c>
      <c r="G583" s="176">
        <v>38</v>
      </c>
      <c r="H583" s="177">
        <v>10.199999999999999</v>
      </c>
      <c r="I583" s="178">
        <v>8</v>
      </c>
      <c r="J583" s="174">
        <f t="shared" si="320"/>
        <v>3.1007999999999996</v>
      </c>
      <c r="K583" s="118"/>
      <c r="L583" s="178">
        <v>8</v>
      </c>
      <c r="M583" s="117">
        <f t="shared" si="321"/>
        <v>3.1007999999999996</v>
      </c>
      <c r="N583" s="119">
        <f t="shared" si="322"/>
        <v>0</v>
      </c>
      <c r="O583" s="120">
        <f t="shared" si="323"/>
        <v>0</v>
      </c>
      <c r="P583" s="67"/>
      <c r="Q583" s="32"/>
      <c r="R583" s="32"/>
    </row>
    <row r="584" spans="1:18" ht="27">
      <c r="A584" s="110" t="s">
        <v>777</v>
      </c>
      <c r="B584" s="111" t="s">
        <v>781</v>
      </c>
      <c r="C584" s="112" t="s">
        <v>449</v>
      </c>
      <c r="D584" s="113" t="s">
        <v>17</v>
      </c>
      <c r="E584" s="175" t="s">
        <v>15</v>
      </c>
      <c r="F584" s="175" t="s">
        <v>59</v>
      </c>
      <c r="G584" s="176">
        <v>38</v>
      </c>
      <c r="H584" s="177">
        <v>10.199999999999999</v>
      </c>
      <c r="I584" s="178">
        <v>8</v>
      </c>
      <c r="J584" s="174">
        <f t="shared" si="320"/>
        <v>3.1007999999999996</v>
      </c>
      <c r="K584" s="118"/>
      <c r="L584" s="178">
        <v>8</v>
      </c>
      <c r="M584" s="117">
        <f t="shared" si="321"/>
        <v>3.1007999999999996</v>
      </c>
      <c r="N584" s="119">
        <f t="shared" si="322"/>
        <v>0</v>
      </c>
      <c r="O584" s="120">
        <f t="shared" si="323"/>
        <v>0</v>
      </c>
      <c r="P584" s="67"/>
      <c r="Q584" s="32"/>
      <c r="R584" s="32"/>
    </row>
    <row r="585" spans="1:18" ht="27">
      <c r="A585" s="110" t="s">
        <v>777</v>
      </c>
      <c r="B585" s="111" t="s">
        <v>781</v>
      </c>
      <c r="C585" s="112" t="s">
        <v>449</v>
      </c>
      <c r="D585" s="113" t="s">
        <v>17</v>
      </c>
      <c r="E585" s="175" t="s">
        <v>15</v>
      </c>
      <c r="F585" s="175" t="s">
        <v>59</v>
      </c>
      <c r="G585" s="176">
        <v>38</v>
      </c>
      <c r="H585" s="177">
        <v>10.199999999999999</v>
      </c>
      <c r="I585" s="178">
        <v>8</v>
      </c>
      <c r="J585" s="174">
        <f t="shared" si="320"/>
        <v>3.1007999999999996</v>
      </c>
      <c r="K585" s="118"/>
      <c r="L585" s="178">
        <v>8</v>
      </c>
      <c r="M585" s="117">
        <f t="shared" si="321"/>
        <v>3.1007999999999996</v>
      </c>
      <c r="N585" s="119">
        <f t="shared" si="322"/>
        <v>0</v>
      </c>
      <c r="O585" s="120">
        <f t="shared" si="323"/>
        <v>0</v>
      </c>
      <c r="P585" s="67"/>
      <c r="Q585" s="32"/>
      <c r="R585" s="32"/>
    </row>
    <row r="586" spans="1:18" ht="27">
      <c r="A586" s="110" t="s">
        <v>777</v>
      </c>
      <c r="B586" s="111" t="s">
        <v>781</v>
      </c>
      <c r="C586" s="112" t="s">
        <v>449</v>
      </c>
      <c r="D586" s="113" t="s">
        <v>17</v>
      </c>
      <c r="E586" s="175" t="s">
        <v>15</v>
      </c>
      <c r="F586" s="175" t="s">
        <v>59</v>
      </c>
      <c r="G586" s="176">
        <v>38</v>
      </c>
      <c r="H586" s="177">
        <v>10.199999999999999</v>
      </c>
      <c r="I586" s="178">
        <v>7</v>
      </c>
      <c r="J586" s="174">
        <f t="shared" si="320"/>
        <v>2.7131999999999996</v>
      </c>
      <c r="K586" s="118"/>
      <c r="L586" s="178">
        <v>7</v>
      </c>
      <c r="M586" s="117">
        <f t="shared" si="321"/>
        <v>2.7131999999999996</v>
      </c>
      <c r="N586" s="119">
        <f t="shared" si="322"/>
        <v>0</v>
      </c>
      <c r="O586" s="120">
        <f t="shared" si="323"/>
        <v>0</v>
      </c>
      <c r="P586" s="67"/>
      <c r="Q586" s="32"/>
      <c r="R586" s="32"/>
    </row>
    <row r="587" spans="1:18" ht="27">
      <c r="A587" s="110" t="s">
        <v>777</v>
      </c>
      <c r="B587" s="111" t="s">
        <v>781</v>
      </c>
      <c r="C587" s="112" t="s">
        <v>449</v>
      </c>
      <c r="D587" s="113" t="s">
        <v>17</v>
      </c>
      <c r="E587" s="175" t="s">
        <v>15</v>
      </c>
      <c r="F587" s="175" t="s">
        <v>59</v>
      </c>
      <c r="G587" s="176">
        <v>38</v>
      </c>
      <c r="H587" s="177">
        <v>5.25</v>
      </c>
      <c r="I587" s="178">
        <v>15</v>
      </c>
      <c r="J587" s="174">
        <f t="shared" si="320"/>
        <v>2.9925000000000002</v>
      </c>
      <c r="K587" s="118"/>
      <c r="L587" s="178">
        <v>15</v>
      </c>
      <c r="M587" s="117">
        <f t="shared" si="321"/>
        <v>2.9925000000000002</v>
      </c>
      <c r="N587" s="119">
        <f t="shared" si="322"/>
        <v>0</v>
      </c>
      <c r="O587" s="120">
        <f t="shared" si="323"/>
        <v>0</v>
      </c>
      <c r="P587" s="67"/>
      <c r="Q587" s="32"/>
      <c r="R587" s="32"/>
    </row>
    <row r="588" spans="1:18" ht="27">
      <c r="A588" s="110" t="s">
        <v>777</v>
      </c>
      <c r="B588" s="111" t="s">
        <v>781</v>
      </c>
      <c r="C588" s="112" t="s">
        <v>449</v>
      </c>
      <c r="D588" s="113" t="s">
        <v>17</v>
      </c>
      <c r="E588" s="175" t="s">
        <v>15</v>
      </c>
      <c r="F588" s="175" t="s">
        <v>59</v>
      </c>
      <c r="G588" s="176">
        <v>38</v>
      </c>
      <c r="H588" s="177">
        <v>10.199999999999999</v>
      </c>
      <c r="I588" s="178">
        <v>8</v>
      </c>
      <c r="J588" s="174">
        <f t="shared" si="320"/>
        <v>3.1007999999999996</v>
      </c>
      <c r="K588" s="118"/>
      <c r="L588" s="178">
        <v>8</v>
      </c>
      <c r="M588" s="117">
        <f t="shared" si="321"/>
        <v>3.1007999999999996</v>
      </c>
      <c r="N588" s="119">
        <f t="shared" si="322"/>
        <v>0</v>
      </c>
      <c r="O588" s="120">
        <f t="shared" si="323"/>
        <v>0</v>
      </c>
      <c r="P588" s="67"/>
      <c r="Q588" s="32"/>
      <c r="R588" s="32"/>
    </row>
    <row r="589" spans="1:18" ht="27">
      <c r="A589" s="110" t="s">
        <v>777</v>
      </c>
      <c r="B589" s="111" t="s">
        <v>781</v>
      </c>
      <c r="C589" s="112" t="s">
        <v>449</v>
      </c>
      <c r="D589" s="113" t="s">
        <v>17</v>
      </c>
      <c r="E589" s="175" t="s">
        <v>15</v>
      </c>
      <c r="F589" s="175" t="s">
        <v>59</v>
      </c>
      <c r="G589" s="176">
        <v>38</v>
      </c>
      <c r="H589" s="179">
        <v>10.199999999999999</v>
      </c>
      <c r="I589" s="416">
        <v>8</v>
      </c>
      <c r="J589" s="174">
        <f t="shared" ref="J589:J599" si="324">(G589*H589*I589/1000)</f>
        <v>3.1007999999999996</v>
      </c>
      <c r="K589" s="118"/>
      <c r="L589" s="178">
        <v>8</v>
      </c>
      <c r="M589" s="117">
        <f t="shared" ref="M589:M600" si="325">H589*L589*G589/1000</f>
        <v>3.1007999999999996</v>
      </c>
      <c r="N589" s="119">
        <f t="shared" ref="N589:N600" si="326">I589-L589</f>
        <v>0</v>
      </c>
      <c r="O589" s="120">
        <f t="shared" ref="O589:O598" si="327">H589*N589*G589/1000</f>
        <v>0</v>
      </c>
      <c r="P589" s="67"/>
      <c r="Q589" s="32"/>
      <c r="R589" s="32"/>
    </row>
    <row r="590" spans="1:18" ht="27">
      <c r="A590" s="110" t="s">
        <v>777</v>
      </c>
      <c r="B590" s="111" t="s">
        <v>781</v>
      </c>
      <c r="C590" s="112" t="s">
        <v>449</v>
      </c>
      <c r="D590" s="113" t="s">
        <v>17</v>
      </c>
      <c r="E590" s="175" t="s">
        <v>15</v>
      </c>
      <c r="F590" s="175" t="s">
        <v>59</v>
      </c>
      <c r="G590" s="176">
        <v>38</v>
      </c>
      <c r="H590" s="179">
        <v>10.199999999999999</v>
      </c>
      <c r="I590" s="416">
        <v>8</v>
      </c>
      <c r="J590" s="174">
        <f t="shared" si="324"/>
        <v>3.1007999999999996</v>
      </c>
      <c r="K590" s="118"/>
      <c r="L590" s="178">
        <v>8</v>
      </c>
      <c r="M590" s="117">
        <f t="shared" si="325"/>
        <v>3.1007999999999996</v>
      </c>
      <c r="N590" s="119">
        <f t="shared" si="326"/>
        <v>0</v>
      </c>
      <c r="O590" s="120">
        <f t="shared" si="327"/>
        <v>0</v>
      </c>
      <c r="P590" s="67"/>
      <c r="Q590" s="32"/>
      <c r="R590" s="32"/>
    </row>
    <row r="591" spans="1:18" ht="27">
      <c r="A591" s="110" t="s">
        <v>777</v>
      </c>
      <c r="B591" s="111" t="s">
        <v>781</v>
      </c>
      <c r="C591" s="112" t="s">
        <v>449</v>
      </c>
      <c r="D591" s="113" t="s">
        <v>17</v>
      </c>
      <c r="E591" s="175" t="s">
        <v>15</v>
      </c>
      <c r="F591" s="175" t="s">
        <v>59</v>
      </c>
      <c r="G591" s="176">
        <v>38</v>
      </c>
      <c r="H591" s="179">
        <v>10.199999999999999</v>
      </c>
      <c r="I591" s="416">
        <v>8</v>
      </c>
      <c r="J591" s="174">
        <f t="shared" si="324"/>
        <v>3.1007999999999996</v>
      </c>
      <c r="K591" s="118"/>
      <c r="L591" s="178">
        <v>8</v>
      </c>
      <c r="M591" s="117">
        <f t="shared" si="325"/>
        <v>3.1007999999999996</v>
      </c>
      <c r="N591" s="119">
        <f t="shared" si="326"/>
        <v>0</v>
      </c>
      <c r="O591" s="120">
        <f t="shared" si="327"/>
        <v>0</v>
      </c>
      <c r="P591" s="67"/>
      <c r="Q591" s="32"/>
      <c r="R591" s="32"/>
    </row>
    <row r="592" spans="1:18" ht="27">
      <c r="A592" s="110" t="s">
        <v>777</v>
      </c>
      <c r="B592" s="111" t="s">
        <v>781</v>
      </c>
      <c r="C592" s="112" t="s">
        <v>449</v>
      </c>
      <c r="D592" s="113" t="s">
        <v>17</v>
      </c>
      <c r="E592" s="175" t="s">
        <v>15</v>
      </c>
      <c r="F592" s="175" t="s">
        <v>59</v>
      </c>
      <c r="G592" s="176">
        <v>38</v>
      </c>
      <c r="H592" s="179">
        <v>5.1020000000000003</v>
      </c>
      <c r="I592" s="416">
        <v>15</v>
      </c>
      <c r="J592" s="174">
        <f t="shared" si="324"/>
        <v>2.9081399999999999</v>
      </c>
      <c r="K592" s="118"/>
      <c r="L592" s="178">
        <v>15</v>
      </c>
      <c r="M592" s="117">
        <f t="shared" si="325"/>
        <v>2.9081399999999999</v>
      </c>
      <c r="N592" s="119">
        <f t="shared" si="326"/>
        <v>0</v>
      </c>
      <c r="O592" s="120">
        <f t="shared" si="327"/>
        <v>0</v>
      </c>
      <c r="P592" s="67"/>
      <c r="Q592" s="32"/>
      <c r="R592" s="32"/>
    </row>
    <row r="593" spans="1:18" ht="27">
      <c r="A593" s="110" t="s">
        <v>777</v>
      </c>
      <c r="B593" s="111" t="s">
        <v>781</v>
      </c>
      <c r="C593" s="112" t="s">
        <v>449</v>
      </c>
      <c r="D593" s="113" t="s">
        <v>17</v>
      </c>
      <c r="E593" s="175" t="s">
        <v>15</v>
      </c>
      <c r="F593" s="175" t="s">
        <v>59</v>
      </c>
      <c r="G593" s="176">
        <v>38</v>
      </c>
      <c r="H593" s="179">
        <v>10.199999999999999</v>
      </c>
      <c r="I593" s="416">
        <v>8</v>
      </c>
      <c r="J593" s="174">
        <f t="shared" si="324"/>
        <v>3.1007999999999996</v>
      </c>
      <c r="K593" s="118"/>
      <c r="L593" s="178">
        <v>8</v>
      </c>
      <c r="M593" s="117">
        <f t="shared" si="325"/>
        <v>3.1007999999999996</v>
      </c>
      <c r="N593" s="119">
        <f t="shared" si="326"/>
        <v>0</v>
      </c>
      <c r="O593" s="120">
        <f t="shared" si="327"/>
        <v>0</v>
      </c>
      <c r="P593" s="67"/>
      <c r="Q593" s="32"/>
      <c r="R593" s="32"/>
    </row>
    <row r="594" spans="1:18" ht="27">
      <c r="A594" s="110" t="s">
        <v>777</v>
      </c>
      <c r="B594" s="111" t="s">
        <v>781</v>
      </c>
      <c r="C594" s="112" t="s">
        <v>449</v>
      </c>
      <c r="D594" s="113" t="s">
        <v>17</v>
      </c>
      <c r="E594" s="175" t="s">
        <v>15</v>
      </c>
      <c r="F594" s="175" t="s">
        <v>59</v>
      </c>
      <c r="G594" s="176">
        <v>38</v>
      </c>
      <c r="H594" s="179">
        <v>10.199999999999999</v>
      </c>
      <c r="I594" s="416">
        <v>6</v>
      </c>
      <c r="J594" s="174">
        <f t="shared" si="324"/>
        <v>2.3256000000000001</v>
      </c>
      <c r="K594" s="118"/>
      <c r="L594" s="178">
        <v>4</v>
      </c>
      <c r="M594" s="117">
        <f t="shared" si="325"/>
        <v>1.5503999999999998</v>
      </c>
      <c r="N594" s="119">
        <f t="shared" si="326"/>
        <v>2</v>
      </c>
      <c r="O594" s="120">
        <f t="shared" si="327"/>
        <v>0.77519999999999989</v>
      </c>
      <c r="P594" s="67"/>
      <c r="Q594" s="32"/>
      <c r="R594" s="32"/>
    </row>
    <row r="595" spans="1:18" ht="27">
      <c r="A595" s="110" t="s">
        <v>777</v>
      </c>
      <c r="B595" s="111" t="s">
        <v>781</v>
      </c>
      <c r="C595" s="112" t="s">
        <v>449</v>
      </c>
      <c r="D595" s="113" t="s">
        <v>17</v>
      </c>
      <c r="E595" s="175" t="s">
        <v>15</v>
      </c>
      <c r="F595" s="175" t="s">
        <v>59</v>
      </c>
      <c r="G595" s="176">
        <v>38</v>
      </c>
      <c r="H595" s="179">
        <v>5.1020000000000003</v>
      </c>
      <c r="I595" s="416">
        <v>2</v>
      </c>
      <c r="J595" s="174">
        <f t="shared" si="324"/>
        <v>0.38775199999999999</v>
      </c>
      <c r="K595" s="118"/>
      <c r="L595" s="178">
        <v>2</v>
      </c>
      <c r="M595" s="117">
        <f t="shared" si="325"/>
        <v>0.38775199999999999</v>
      </c>
      <c r="N595" s="119">
        <f t="shared" si="326"/>
        <v>0</v>
      </c>
      <c r="O595" s="120">
        <f t="shared" si="327"/>
        <v>0</v>
      </c>
      <c r="P595" s="67"/>
      <c r="Q595" s="32"/>
      <c r="R595" s="32"/>
    </row>
    <row r="596" spans="1:18" ht="27">
      <c r="A596" s="110" t="s">
        <v>777</v>
      </c>
      <c r="B596" s="111" t="s">
        <v>781</v>
      </c>
      <c r="C596" s="112" t="s">
        <v>449</v>
      </c>
      <c r="D596" s="113" t="s">
        <v>17</v>
      </c>
      <c r="E596" s="175" t="s">
        <v>15</v>
      </c>
      <c r="F596" s="175" t="s">
        <v>59</v>
      </c>
      <c r="G596" s="176">
        <v>38</v>
      </c>
      <c r="H596" s="179">
        <v>5.25</v>
      </c>
      <c r="I596" s="416">
        <v>2</v>
      </c>
      <c r="J596" s="174">
        <f t="shared" si="324"/>
        <v>0.39900000000000002</v>
      </c>
      <c r="K596" s="118"/>
      <c r="L596" s="178">
        <v>2</v>
      </c>
      <c r="M596" s="117">
        <f t="shared" si="325"/>
        <v>0.39900000000000002</v>
      </c>
      <c r="N596" s="119">
        <f t="shared" si="326"/>
        <v>0</v>
      </c>
      <c r="O596" s="120">
        <f t="shared" si="327"/>
        <v>0</v>
      </c>
      <c r="P596" s="67"/>
      <c r="Q596" s="32"/>
      <c r="R596" s="32"/>
    </row>
    <row r="597" spans="1:18" ht="27">
      <c r="A597" s="110" t="s">
        <v>777</v>
      </c>
      <c r="B597" s="111" t="s">
        <v>781</v>
      </c>
      <c r="C597" s="112" t="s">
        <v>449</v>
      </c>
      <c r="D597" s="113" t="s">
        <v>17</v>
      </c>
      <c r="E597" s="175" t="s">
        <v>15</v>
      </c>
      <c r="F597" s="175" t="s">
        <v>59</v>
      </c>
      <c r="G597" s="176">
        <v>38</v>
      </c>
      <c r="H597" s="179">
        <v>9</v>
      </c>
      <c r="I597" s="416">
        <v>1</v>
      </c>
      <c r="J597" s="174">
        <f t="shared" si="324"/>
        <v>0.34200000000000003</v>
      </c>
      <c r="K597" s="118"/>
      <c r="L597" s="178"/>
      <c r="M597" s="117">
        <f t="shared" si="325"/>
        <v>0</v>
      </c>
      <c r="N597" s="119">
        <f t="shared" si="326"/>
        <v>1</v>
      </c>
      <c r="O597" s="120">
        <f t="shared" si="327"/>
        <v>0.34200000000000003</v>
      </c>
      <c r="P597" s="67"/>
      <c r="Q597" s="32"/>
      <c r="R597" s="32"/>
    </row>
    <row r="598" spans="1:18" ht="27">
      <c r="A598" s="110" t="s">
        <v>777</v>
      </c>
      <c r="B598" s="111" t="s">
        <v>781</v>
      </c>
      <c r="C598" s="112" t="s">
        <v>449</v>
      </c>
      <c r="D598" s="113" t="s">
        <v>17</v>
      </c>
      <c r="E598" s="175" t="s">
        <v>15</v>
      </c>
      <c r="F598" s="175" t="s">
        <v>59</v>
      </c>
      <c r="G598" s="176">
        <v>38</v>
      </c>
      <c r="H598" s="179">
        <v>9.9</v>
      </c>
      <c r="I598" s="416">
        <v>2</v>
      </c>
      <c r="J598" s="174">
        <f t="shared" si="324"/>
        <v>0.75239999999999996</v>
      </c>
      <c r="K598" s="118"/>
      <c r="L598" s="178"/>
      <c r="M598" s="117">
        <f t="shared" si="325"/>
        <v>0</v>
      </c>
      <c r="N598" s="119">
        <f t="shared" si="326"/>
        <v>2</v>
      </c>
      <c r="O598" s="120">
        <f t="shared" si="327"/>
        <v>0.75239999999999996</v>
      </c>
      <c r="P598" s="67"/>
      <c r="Q598" s="32"/>
      <c r="R598" s="32"/>
    </row>
    <row r="599" spans="1:18" ht="27">
      <c r="A599" s="110" t="s">
        <v>777</v>
      </c>
      <c r="B599" s="111" t="s">
        <v>781</v>
      </c>
      <c r="C599" s="112" t="s">
        <v>449</v>
      </c>
      <c r="D599" s="113" t="s">
        <v>17</v>
      </c>
      <c r="E599" s="175" t="s">
        <v>15</v>
      </c>
      <c r="F599" s="175" t="s">
        <v>59</v>
      </c>
      <c r="G599" s="176">
        <v>38</v>
      </c>
      <c r="H599" s="179">
        <v>10.1</v>
      </c>
      <c r="I599" s="416">
        <v>1</v>
      </c>
      <c r="J599" s="174">
        <f t="shared" si="324"/>
        <v>0.38380000000000003</v>
      </c>
      <c r="K599" s="118"/>
      <c r="L599" s="178"/>
      <c r="M599" s="117">
        <f t="shared" si="325"/>
        <v>0</v>
      </c>
      <c r="N599" s="119">
        <f t="shared" si="326"/>
        <v>1</v>
      </c>
      <c r="O599" s="120">
        <f>H599*N599*G599/1000</f>
        <v>0.38380000000000003</v>
      </c>
      <c r="P599" s="67"/>
      <c r="Q599" s="32"/>
      <c r="R599" s="32"/>
    </row>
    <row r="600" spans="1:18" ht="27">
      <c r="A600" s="110" t="s">
        <v>777</v>
      </c>
      <c r="B600" s="111" t="s">
        <v>781</v>
      </c>
      <c r="C600" s="112" t="s">
        <v>449</v>
      </c>
      <c r="D600" s="113" t="s">
        <v>17</v>
      </c>
      <c r="E600" s="175" t="s">
        <v>15</v>
      </c>
      <c r="F600" s="175" t="s">
        <v>59</v>
      </c>
      <c r="G600" s="176">
        <v>38</v>
      </c>
      <c r="H600" s="179">
        <v>4.95</v>
      </c>
      <c r="I600" s="416">
        <v>1</v>
      </c>
      <c r="J600" s="174">
        <f>(G600*H600*I600/1000)</f>
        <v>0.18809999999999999</v>
      </c>
      <c r="K600" s="118"/>
      <c r="L600" s="178"/>
      <c r="M600" s="117">
        <f t="shared" si="325"/>
        <v>0</v>
      </c>
      <c r="N600" s="119">
        <f t="shared" si="326"/>
        <v>1</v>
      </c>
      <c r="O600" s="120">
        <f>H600*N600*G600/1000</f>
        <v>0.18809999999999999</v>
      </c>
      <c r="P600" s="67"/>
      <c r="Q600" s="32"/>
      <c r="R600" s="32"/>
    </row>
    <row r="601" spans="1:18">
      <c r="A601" s="110"/>
      <c r="B601" s="111"/>
      <c r="D601" s="113"/>
      <c r="E601" s="175"/>
      <c r="F601" s="175"/>
      <c r="I601" s="215">
        <f>SUM(I571:I600)</f>
        <v>212</v>
      </c>
      <c r="J601" s="214">
        <f>SUM(J571:J600)</f>
        <v>75.408491999999995</v>
      </c>
      <c r="L601" s="215">
        <f>SUM(L571:L600)</f>
        <v>205</v>
      </c>
      <c r="M601" s="214">
        <f>SUM(M571:M600)</f>
        <v>72.966992000000005</v>
      </c>
      <c r="N601" s="215">
        <f>SUM(N571:N600)</f>
        <v>7</v>
      </c>
      <c r="O601" s="214">
        <f>SUM(O571:O600)</f>
        <v>2.4415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T831"/>
  <sheetViews>
    <sheetView topLeftCell="A811" workbookViewId="0">
      <selection activeCell="A563" sqref="A563:R568"/>
    </sheetView>
  </sheetViews>
  <sheetFormatPr defaultRowHeight="14.4"/>
  <cols>
    <col min="1" max="1" width="15.6640625" customWidth="1"/>
    <col min="3" max="3" width="11.33203125" bestFit="1" customWidth="1"/>
    <col min="4" max="4" width="14.6640625" customWidth="1"/>
    <col min="5" max="5" width="4.109375" bestFit="1" customWidth="1"/>
    <col min="6" max="6" width="12.109375" bestFit="1" customWidth="1"/>
    <col min="9" max="9" width="8.5546875" bestFit="1" customWidth="1"/>
    <col min="10" max="10" width="7.5546875" bestFit="1" customWidth="1"/>
    <col min="16" max="16" width="12.88671875" bestFit="1" customWidth="1"/>
    <col min="18" max="18" width="9.33203125" customWidth="1"/>
  </cols>
  <sheetData>
    <row r="2" spans="1:20">
      <c r="A2" s="121" t="s">
        <v>229</v>
      </c>
      <c r="B2" s="122" t="s">
        <v>230</v>
      </c>
      <c r="C2" s="122" t="s">
        <v>0</v>
      </c>
      <c r="D2" s="122" t="s">
        <v>1</v>
      </c>
      <c r="E2" s="122" t="s">
        <v>2</v>
      </c>
      <c r="F2" s="122" t="s">
        <v>3</v>
      </c>
      <c r="G2" s="122" t="s">
        <v>10</v>
      </c>
      <c r="H2" s="122" t="s">
        <v>4</v>
      </c>
      <c r="I2" s="122" t="s">
        <v>5</v>
      </c>
      <c r="J2" s="122" t="s">
        <v>6</v>
      </c>
      <c r="K2" s="122" t="s">
        <v>7</v>
      </c>
      <c r="L2" s="122" t="s">
        <v>5</v>
      </c>
      <c r="M2" s="122" t="s">
        <v>6</v>
      </c>
      <c r="N2" s="122" t="s">
        <v>5</v>
      </c>
      <c r="O2" s="122" t="s">
        <v>6</v>
      </c>
      <c r="P2" s="122" t="s">
        <v>8</v>
      </c>
      <c r="Q2" s="122" t="s">
        <v>9</v>
      </c>
      <c r="R2" s="122" t="s">
        <v>7</v>
      </c>
    </row>
    <row r="3" spans="1:20" ht="15.6">
      <c r="A3" s="110" t="s">
        <v>328</v>
      </c>
      <c r="B3" s="111" t="s">
        <v>232</v>
      </c>
      <c r="C3" s="112" t="s">
        <v>228</v>
      </c>
      <c r="D3" s="113" t="s">
        <v>152</v>
      </c>
      <c r="E3" s="114" t="s">
        <v>15</v>
      </c>
      <c r="F3" s="115" t="s">
        <v>32</v>
      </c>
      <c r="G3" s="116">
        <v>8.3000000000000007</v>
      </c>
      <c r="H3" s="125">
        <v>11</v>
      </c>
      <c r="I3" s="111">
        <v>4</v>
      </c>
      <c r="J3" s="117">
        <f t="shared" ref="J3:J14" si="0">H3*G3*I3/1000</f>
        <v>0.36520000000000002</v>
      </c>
      <c r="K3" s="118"/>
      <c r="L3" s="111">
        <v>4</v>
      </c>
      <c r="M3" s="117">
        <f t="shared" ref="M3:M14" si="1">H3*L3*G3/1000</f>
        <v>0.36520000000000002</v>
      </c>
      <c r="N3" s="119">
        <f t="shared" ref="N3:N14" si="2">I3-L3</f>
        <v>0</v>
      </c>
      <c r="O3" s="120">
        <f t="shared" ref="O3:O14" si="3">H3*N3*G3/1000</f>
        <v>0</v>
      </c>
      <c r="P3" s="111"/>
      <c r="Q3" s="32"/>
      <c r="R3" s="32"/>
    </row>
    <row r="4" spans="1:20" ht="15.6">
      <c r="A4" s="110" t="s">
        <v>328</v>
      </c>
      <c r="B4" s="111" t="s">
        <v>232</v>
      </c>
      <c r="C4" s="112" t="s">
        <v>228</v>
      </c>
      <c r="D4" s="113" t="s">
        <v>152</v>
      </c>
      <c r="E4" s="114" t="s">
        <v>15</v>
      </c>
      <c r="F4" s="115" t="s">
        <v>32</v>
      </c>
      <c r="G4" s="116">
        <v>8.3000000000000007</v>
      </c>
      <c r="H4" s="125">
        <v>8.1</v>
      </c>
      <c r="I4" s="111">
        <f>32+34+9+37+37+11</f>
        <v>160</v>
      </c>
      <c r="J4" s="117">
        <f t="shared" si="0"/>
        <v>10.756800000000002</v>
      </c>
      <c r="K4" s="118"/>
      <c r="L4" s="111">
        <v>160</v>
      </c>
      <c r="M4" s="117">
        <f t="shared" si="1"/>
        <v>10.756800000000002</v>
      </c>
      <c r="N4" s="119">
        <f t="shared" si="2"/>
        <v>0</v>
      </c>
      <c r="O4" s="120">
        <f t="shared" si="3"/>
        <v>0</v>
      </c>
      <c r="P4" s="111"/>
      <c r="Q4" s="32"/>
      <c r="R4" s="32"/>
    </row>
    <row r="5" spans="1:20" ht="15.6">
      <c r="A5" s="110" t="s">
        <v>328</v>
      </c>
      <c r="B5" s="111" t="s">
        <v>232</v>
      </c>
      <c r="C5" s="112" t="s">
        <v>228</v>
      </c>
      <c r="D5" s="113" t="s">
        <v>152</v>
      </c>
      <c r="E5" s="114" t="s">
        <v>15</v>
      </c>
      <c r="F5" s="115" t="s">
        <v>32</v>
      </c>
      <c r="G5" s="116">
        <v>8.3000000000000007</v>
      </c>
      <c r="H5" s="125">
        <v>12</v>
      </c>
      <c r="I5" s="111">
        <f>32+30+23+32+16+32</f>
        <v>165</v>
      </c>
      <c r="J5" s="117">
        <f t="shared" si="0"/>
        <v>16.434000000000001</v>
      </c>
      <c r="K5" s="118"/>
      <c r="L5" s="111">
        <f>160+5</f>
        <v>165</v>
      </c>
      <c r="M5" s="117">
        <f t="shared" si="1"/>
        <v>16.434000000000001</v>
      </c>
      <c r="N5" s="119">
        <f t="shared" si="2"/>
        <v>0</v>
      </c>
      <c r="O5" s="120">
        <f t="shared" si="3"/>
        <v>0</v>
      </c>
      <c r="P5" s="111" t="s">
        <v>329</v>
      </c>
      <c r="Q5" s="32">
        <v>5</v>
      </c>
      <c r="R5" s="32"/>
    </row>
    <row r="6" spans="1:20" ht="15.6">
      <c r="A6" s="110" t="s">
        <v>328</v>
      </c>
      <c r="B6" s="111" t="s">
        <v>232</v>
      </c>
      <c r="C6" s="112" t="s">
        <v>228</v>
      </c>
      <c r="D6" s="113" t="s">
        <v>152</v>
      </c>
      <c r="E6" s="114" t="s">
        <v>15</v>
      </c>
      <c r="F6" s="115" t="s">
        <v>32</v>
      </c>
      <c r="G6" s="116">
        <v>8.3000000000000007</v>
      </c>
      <c r="H6" s="125">
        <v>9</v>
      </c>
      <c r="I6" s="111">
        <f>34+13+33+27</f>
        <v>107</v>
      </c>
      <c r="J6" s="117">
        <f t="shared" si="0"/>
        <v>7.9929000000000006</v>
      </c>
      <c r="K6" s="118"/>
      <c r="L6" s="111">
        <f>106+1</f>
        <v>107</v>
      </c>
      <c r="M6" s="117">
        <f t="shared" si="1"/>
        <v>7.9929000000000006</v>
      </c>
      <c r="N6" s="119">
        <f t="shared" si="2"/>
        <v>0</v>
      </c>
      <c r="O6" s="120">
        <f t="shared" si="3"/>
        <v>0</v>
      </c>
      <c r="P6" s="111"/>
      <c r="Q6" s="32"/>
      <c r="R6" s="33">
        <v>6.3</v>
      </c>
      <c r="S6" s="354">
        <v>1</v>
      </c>
      <c r="T6" s="213" t="s">
        <v>602</v>
      </c>
    </row>
    <row r="7" spans="1:20" ht="15.6">
      <c r="A7" s="110" t="s">
        <v>328</v>
      </c>
      <c r="B7" s="111" t="s">
        <v>232</v>
      </c>
      <c r="C7" s="112" t="s">
        <v>228</v>
      </c>
      <c r="D7" s="113" t="s">
        <v>152</v>
      </c>
      <c r="E7" s="114" t="s">
        <v>15</v>
      </c>
      <c r="F7" s="115" t="s">
        <v>32</v>
      </c>
      <c r="G7" s="116">
        <v>8.3000000000000007</v>
      </c>
      <c r="H7" s="125">
        <v>10</v>
      </c>
      <c r="I7" s="111">
        <v>1</v>
      </c>
      <c r="J7" s="117">
        <f t="shared" si="0"/>
        <v>8.3000000000000004E-2</v>
      </c>
      <c r="K7" s="118"/>
      <c r="L7" s="111">
        <v>1</v>
      </c>
      <c r="M7" s="117">
        <f t="shared" si="1"/>
        <v>8.3000000000000004E-2</v>
      </c>
      <c r="N7" s="119">
        <f t="shared" si="2"/>
        <v>0</v>
      </c>
      <c r="O7" s="120">
        <f t="shared" si="3"/>
        <v>0</v>
      </c>
      <c r="P7" s="111"/>
      <c r="Q7" s="32"/>
      <c r="R7" s="33"/>
    </row>
    <row r="8" spans="1:20" ht="15.6">
      <c r="A8" s="110" t="s">
        <v>328</v>
      </c>
      <c r="B8" s="111" t="s">
        <v>232</v>
      </c>
      <c r="C8" s="112" t="s">
        <v>228</v>
      </c>
      <c r="D8" s="113" t="s">
        <v>152</v>
      </c>
      <c r="E8" s="114" t="s">
        <v>15</v>
      </c>
      <c r="F8" s="115" t="s">
        <v>32</v>
      </c>
      <c r="G8" s="116">
        <v>8.3000000000000007</v>
      </c>
      <c r="H8" s="125">
        <v>10.5</v>
      </c>
      <c r="I8" s="111">
        <f>7+10</f>
        <v>17</v>
      </c>
      <c r="J8" s="117">
        <f t="shared" si="0"/>
        <v>1.4815500000000001</v>
      </c>
      <c r="K8" s="118"/>
      <c r="L8" s="111">
        <f>17+7</f>
        <v>24</v>
      </c>
      <c r="M8" s="117">
        <f t="shared" si="1"/>
        <v>2.0916000000000006</v>
      </c>
      <c r="N8" s="230">
        <f t="shared" si="2"/>
        <v>-7</v>
      </c>
      <c r="O8" s="231">
        <f t="shared" si="3"/>
        <v>-0.61005000000000009</v>
      </c>
      <c r="P8" s="44" t="s">
        <v>397</v>
      </c>
      <c r="Q8" s="32"/>
      <c r="R8" s="33"/>
    </row>
    <row r="9" spans="1:20" ht="15.6">
      <c r="A9" s="110" t="s">
        <v>328</v>
      </c>
      <c r="B9" s="111" t="s">
        <v>232</v>
      </c>
      <c r="C9" s="112" t="s">
        <v>228</v>
      </c>
      <c r="D9" s="113" t="s">
        <v>152</v>
      </c>
      <c r="E9" s="114" t="s">
        <v>15</v>
      </c>
      <c r="F9" s="115" t="s">
        <v>32</v>
      </c>
      <c r="G9" s="116">
        <v>8.3000000000000007</v>
      </c>
      <c r="H9" s="125">
        <v>11</v>
      </c>
      <c r="I9" s="111">
        <v>12</v>
      </c>
      <c r="J9" s="117">
        <f t="shared" si="0"/>
        <v>1.0956000000000001</v>
      </c>
      <c r="K9" s="118"/>
      <c r="L9" s="111">
        <v>12</v>
      </c>
      <c r="M9" s="117">
        <f t="shared" si="1"/>
        <v>1.0956000000000001</v>
      </c>
      <c r="N9" s="119">
        <f t="shared" si="2"/>
        <v>0</v>
      </c>
      <c r="O9" s="120">
        <f t="shared" si="3"/>
        <v>0</v>
      </c>
      <c r="P9" s="111"/>
      <c r="Q9" s="32"/>
      <c r="R9" s="33"/>
    </row>
    <row r="10" spans="1:20" ht="15.6">
      <c r="A10" s="110" t="s">
        <v>328</v>
      </c>
      <c r="B10" s="111" t="s">
        <v>232</v>
      </c>
      <c r="C10" s="112" t="s">
        <v>228</v>
      </c>
      <c r="D10" s="113" t="s">
        <v>152</v>
      </c>
      <c r="E10" s="114" t="s">
        <v>15</v>
      </c>
      <c r="F10" s="115" t="s">
        <v>32</v>
      </c>
      <c r="G10" s="116">
        <v>8.3000000000000007</v>
      </c>
      <c r="H10" s="125">
        <v>12</v>
      </c>
      <c r="I10" s="111">
        <v>17</v>
      </c>
      <c r="J10" s="117">
        <f t="shared" si="0"/>
        <v>1.6932</v>
      </c>
      <c r="K10" s="118"/>
      <c r="L10" s="111">
        <v>17</v>
      </c>
      <c r="M10" s="117">
        <f t="shared" si="1"/>
        <v>1.6932</v>
      </c>
      <c r="N10" s="119">
        <f t="shared" si="2"/>
        <v>0</v>
      </c>
      <c r="O10" s="120">
        <f t="shared" si="3"/>
        <v>0</v>
      </c>
      <c r="P10" s="111"/>
      <c r="Q10" s="32"/>
      <c r="R10" s="33"/>
    </row>
    <row r="11" spans="1:20" ht="15.6">
      <c r="A11" s="110" t="s">
        <v>328</v>
      </c>
      <c r="B11" s="111" t="s">
        <v>232</v>
      </c>
      <c r="C11" s="112" t="s">
        <v>228</v>
      </c>
      <c r="D11" s="113" t="s">
        <v>152</v>
      </c>
      <c r="E11" s="114" t="s">
        <v>15</v>
      </c>
      <c r="F11" s="115" t="s">
        <v>32</v>
      </c>
      <c r="G11" s="116">
        <v>8.3000000000000007</v>
      </c>
      <c r="H11" s="125">
        <v>6.5</v>
      </c>
      <c r="I11" s="111">
        <v>1</v>
      </c>
      <c r="J11" s="117">
        <f t="shared" si="0"/>
        <v>5.3950000000000005E-2</v>
      </c>
      <c r="K11" s="118"/>
      <c r="L11" s="111">
        <v>1</v>
      </c>
      <c r="M11" s="117">
        <f t="shared" si="1"/>
        <v>5.3950000000000005E-2</v>
      </c>
      <c r="N11" s="119">
        <f t="shared" si="2"/>
        <v>0</v>
      </c>
      <c r="O11" s="120">
        <f t="shared" si="3"/>
        <v>0</v>
      </c>
      <c r="P11" s="111"/>
      <c r="Q11" s="32"/>
      <c r="R11" s="33">
        <v>6.3</v>
      </c>
      <c r="S11" s="354">
        <v>1</v>
      </c>
      <c r="T11" s="213" t="s">
        <v>602</v>
      </c>
    </row>
    <row r="12" spans="1:20" ht="15.6">
      <c r="A12" s="110" t="s">
        <v>328</v>
      </c>
      <c r="B12" s="111" t="s">
        <v>232</v>
      </c>
      <c r="C12" s="112" t="s">
        <v>228</v>
      </c>
      <c r="D12" s="113" t="s">
        <v>152</v>
      </c>
      <c r="E12" s="114" t="s">
        <v>15</v>
      </c>
      <c r="F12" s="115" t="s">
        <v>32</v>
      </c>
      <c r="G12" s="116">
        <v>8.3000000000000007</v>
      </c>
      <c r="H12" s="125">
        <v>8</v>
      </c>
      <c r="I12" s="111">
        <v>1</v>
      </c>
      <c r="J12" s="117">
        <f t="shared" si="0"/>
        <v>6.6400000000000001E-2</v>
      </c>
      <c r="K12" s="118"/>
      <c r="L12" s="111">
        <v>1</v>
      </c>
      <c r="M12" s="117">
        <f t="shared" si="1"/>
        <v>6.6400000000000001E-2</v>
      </c>
      <c r="N12" s="119">
        <f t="shared" si="2"/>
        <v>0</v>
      </c>
      <c r="O12" s="120">
        <f t="shared" si="3"/>
        <v>0</v>
      </c>
      <c r="P12" s="111"/>
      <c r="Q12" s="32"/>
      <c r="R12" s="33">
        <v>6.3</v>
      </c>
      <c r="S12" s="354">
        <v>1</v>
      </c>
      <c r="T12" s="213" t="s">
        <v>602</v>
      </c>
    </row>
    <row r="13" spans="1:20" ht="15.6">
      <c r="A13" s="110" t="s">
        <v>328</v>
      </c>
      <c r="B13" s="111" t="s">
        <v>232</v>
      </c>
      <c r="C13" s="112" t="s">
        <v>228</v>
      </c>
      <c r="D13" s="113" t="s">
        <v>152</v>
      </c>
      <c r="E13" s="114" t="s">
        <v>15</v>
      </c>
      <c r="F13" s="115" t="s">
        <v>32</v>
      </c>
      <c r="G13" s="116">
        <v>8.3000000000000007</v>
      </c>
      <c r="H13" s="125">
        <v>9.4</v>
      </c>
      <c r="I13" s="111">
        <v>1</v>
      </c>
      <c r="J13" s="117">
        <f t="shared" si="0"/>
        <v>7.8020000000000006E-2</v>
      </c>
      <c r="K13" s="118"/>
      <c r="L13" s="111">
        <v>1</v>
      </c>
      <c r="M13" s="117">
        <f t="shared" si="1"/>
        <v>7.8020000000000006E-2</v>
      </c>
      <c r="N13" s="119">
        <f t="shared" si="2"/>
        <v>0</v>
      </c>
      <c r="O13" s="120">
        <f t="shared" si="3"/>
        <v>0</v>
      </c>
      <c r="P13" s="111"/>
      <c r="Q13" s="32"/>
      <c r="R13" s="33">
        <v>6.3</v>
      </c>
      <c r="S13" s="354">
        <v>1</v>
      </c>
      <c r="T13" s="213" t="s">
        <v>602</v>
      </c>
    </row>
    <row r="14" spans="1:20" ht="15.6">
      <c r="A14" s="110" t="s">
        <v>328</v>
      </c>
      <c r="B14" s="111" t="s">
        <v>232</v>
      </c>
      <c r="C14" s="112" t="s">
        <v>228</v>
      </c>
      <c r="D14" s="113" t="s">
        <v>152</v>
      </c>
      <c r="E14" s="114" t="s">
        <v>15</v>
      </c>
      <c r="F14" s="115" t="s">
        <v>32</v>
      </c>
      <c r="G14" s="116">
        <v>8.3000000000000007</v>
      </c>
      <c r="H14" s="125">
        <v>11.8</v>
      </c>
      <c r="I14" s="111">
        <v>1</v>
      </c>
      <c r="J14" s="117">
        <f t="shared" si="0"/>
        <v>9.7940000000000013E-2</v>
      </c>
      <c r="K14" s="118"/>
      <c r="L14" s="111">
        <v>1</v>
      </c>
      <c r="M14" s="117">
        <f t="shared" si="1"/>
        <v>9.7940000000000013E-2</v>
      </c>
      <c r="N14" s="119">
        <f t="shared" si="2"/>
        <v>0</v>
      </c>
      <c r="O14" s="120">
        <f t="shared" si="3"/>
        <v>0</v>
      </c>
      <c r="P14" s="111">
        <v>10.5</v>
      </c>
      <c r="Q14" s="32">
        <v>1</v>
      </c>
      <c r="R14" s="32"/>
    </row>
    <row r="15" spans="1:20">
      <c r="A15" s="32"/>
      <c r="B15" s="32"/>
      <c r="C15" s="32"/>
      <c r="D15" s="32"/>
      <c r="E15" s="32"/>
      <c r="F15" s="32"/>
      <c r="G15" s="32"/>
      <c r="H15" s="32"/>
      <c r="I15" s="123">
        <f>SUM(I3:I14)</f>
        <v>487</v>
      </c>
      <c r="J15" s="124">
        <f>SUM(J3:J14)</f>
        <v>40.198560000000001</v>
      </c>
      <c r="K15" s="32"/>
      <c r="L15" s="123">
        <f>SUM(L3:L14)</f>
        <v>494</v>
      </c>
      <c r="M15" s="124">
        <f>SUM(M3:M14)</f>
        <v>40.808610000000002</v>
      </c>
      <c r="N15" s="131">
        <f>SUM(N3:N14)</f>
        <v>-7</v>
      </c>
      <c r="O15" s="132">
        <f>SUM(O3:O14)</f>
        <v>-0.61005000000000009</v>
      </c>
      <c r="P15" s="32"/>
      <c r="Q15" s="32"/>
      <c r="R15" s="32"/>
      <c r="S15" s="131">
        <f>SUM(S3:S14)</f>
        <v>4</v>
      </c>
    </row>
    <row r="16" spans="1:20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ht="15.6">
      <c r="A17" s="110" t="s">
        <v>328</v>
      </c>
      <c r="B17" s="111" t="s">
        <v>232</v>
      </c>
      <c r="C17" s="112" t="s">
        <v>228</v>
      </c>
      <c r="D17" s="113" t="s">
        <v>152</v>
      </c>
      <c r="E17" s="114" t="s">
        <v>15</v>
      </c>
      <c r="F17" s="115" t="s">
        <v>34</v>
      </c>
      <c r="G17" s="116">
        <v>9.61</v>
      </c>
      <c r="H17" s="125">
        <v>9.4</v>
      </c>
      <c r="I17" s="111">
        <f>31+33+35+34+35</f>
        <v>168</v>
      </c>
      <c r="J17" s="117">
        <f t="shared" ref="J17" si="4">H17*G17*I17/1000</f>
        <v>15.176112000000002</v>
      </c>
      <c r="K17" s="118"/>
      <c r="L17" s="111">
        <f>160+8</f>
        <v>168</v>
      </c>
      <c r="M17" s="117">
        <f t="shared" ref="M17" si="5">H17*L17*G17/1000</f>
        <v>15.176112</v>
      </c>
      <c r="N17" s="119">
        <f t="shared" ref="N17" si="6">I17-L17</f>
        <v>0</v>
      </c>
      <c r="O17" s="120">
        <f>H17*N17*G17/1000</f>
        <v>0</v>
      </c>
      <c r="P17" s="111">
        <v>9.4</v>
      </c>
      <c r="Q17" s="32">
        <v>8</v>
      </c>
      <c r="R17" s="32" t="s">
        <v>359</v>
      </c>
    </row>
    <row r="18" spans="1:18" ht="15.6">
      <c r="A18" s="110" t="s">
        <v>328</v>
      </c>
      <c r="B18" s="111" t="s">
        <v>232</v>
      </c>
      <c r="C18" s="112" t="s">
        <v>228</v>
      </c>
      <c r="D18" s="113" t="s">
        <v>152</v>
      </c>
      <c r="E18" s="114" t="s">
        <v>15</v>
      </c>
      <c r="F18" s="115" t="s">
        <v>34</v>
      </c>
      <c r="G18" s="116">
        <v>9.61</v>
      </c>
      <c r="H18" s="125">
        <v>10.6</v>
      </c>
      <c r="I18" s="111">
        <f>29+3+20+32</f>
        <v>84</v>
      </c>
      <c r="J18" s="117">
        <f t="shared" ref="J18" si="7">H18*G18*I18/1000</f>
        <v>8.5567439999999984</v>
      </c>
      <c r="K18" s="118"/>
      <c r="L18" s="111">
        <f>80+4</f>
        <v>84</v>
      </c>
      <c r="M18" s="117">
        <f t="shared" ref="M18" si="8">H18*L18*G18/1000</f>
        <v>8.5567439999999984</v>
      </c>
      <c r="N18" s="119">
        <f t="shared" ref="N18" si="9">I18-L18</f>
        <v>0</v>
      </c>
      <c r="O18" s="120">
        <f>H18*N18*G18/1000</f>
        <v>0</v>
      </c>
      <c r="P18" s="111">
        <v>10.6</v>
      </c>
      <c r="Q18" s="32">
        <v>4</v>
      </c>
      <c r="R18" s="32" t="s">
        <v>359</v>
      </c>
    </row>
    <row r="19" spans="1:18">
      <c r="A19" s="32"/>
      <c r="B19" s="32"/>
      <c r="C19" s="32"/>
      <c r="D19" s="32"/>
      <c r="E19" s="32"/>
      <c r="F19" s="32"/>
      <c r="G19" s="32"/>
      <c r="H19" s="32"/>
      <c r="I19" s="129">
        <f>SUM(I17:I18)</f>
        <v>252</v>
      </c>
      <c r="J19" s="124">
        <f>SUM(J17:J18)</f>
        <v>23.732855999999998</v>
      </c>
      <c r="K19" s="32"/>
      <c r="L19" s="129">
        <f>SUM(L17:L18)</f>
        <v>252</v>
      </c>
      <c r="M19" s="132">
        <f>SUM(M17:M18)</f>
        <v>23.732855999999998</v>
      </c>
      <c r="N19" s="131">
        <f>SUM(N17:N18)</f>
        <v>0</v>
      </c>
      <c r="O19" s="132">
        <f>SUM(O17:O18)</f>
        <v>0</v>
      </c>
      <c r="P19" s="32"/>
      <c r="Q19" s="32"/>
      <c r="R19" s="32"/>
    </row>
    <row r="20" spans="1:18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ht="15.6">
      <c r="A22" s="110" t="s">
        <v>328</v>
      </c>
      <c r="B22" s="111" t="s">
        <v>232</v>
      </c>
      <c r="C22" s="112" t="s">
        <v>228</v>
      </c>
      <c r="D22" s="113" t="s">
        <v>19</v>
      </c>
      <c r="E22" s="114" t="s">
        <v>14</v>
      </c>
      <c r="F22" s="115" t="s">
        <v>32</v>
      </c>
      <c r="G22" s="116">
        <v>8.3000000000000007</v>
      </c>
      <c r="H22" s="125">
        <v>10.199999999999999</v>
      </c>
      <c r="I22" s="111">
        <f>34+34+34+28+36+35+35+35+34+7</f>
        <v>312</v>
      </c>
      <c r="J22" s="117">
        <f t="shared" ref="J22" si="10">H22*G22*I22/1000</f>
        <v>26.413919999999997</v>
      </c>
      <c r="K22" s="118"/>
      <c r="L22" s="111">
        <v>312</v>
      </c>
      <c r="M22" s="117">
        <f t="shared" ref="M22" si="11">H22*L22*G22/1000</f>
        <v>26.413919999999997</v>
      </c>
      <c r="N22" s="119">
        <f t="shared" ref="N22" si="12">I22-L22</f>
        <v>0</v>
      </c>
      <c r="O22" s="120">
        <f t="shared" ref="O22" si="13">H22*N22*G22/1000</f>
        <v>0</v>
      </c>
      <c r="P22" s="111"/>
      <c r="Q22" s="32"/>
      <c r="R22" s="32"/>
    </row>
    <row r="23" spans="1:18" ht="15.6">
      <c r="A23" s="110" t="s">
        <v>328</v>
      </c>
      <c r="B23" s="111" t="s">
        <v>232</v>
      </c>
      <c r="C23" s="112" t="s">
        <v>228</v>
      </c>
      <c r="D23" s="113" t="s">
        <v>19</v>
      </c>
      <c r="E23" s="114" t="s">
        <v>14</v>
      </c>
      <c r="F23" s="115" t="s">
        <v>32</v>
      </c>
      <c r="G23" s="116">
        <v>8.3000000000000007</v>
      </c>
      <c r="H23" s="125">
        <v>11.35</v>
      </c>
      <c r="I23" s="111">
        <f>33+31</f>
        <v>64</v>
      </c>
      <c r="J23" s="117">
        <f t="shared" ref="J23:J32" si="14">H23*G23*I23/1000</f>
        <v>6.0291199999999998</v>
      </c>
      <c r="K23" s="118"/>
      <c r="L23" s="111">
        <f>52+12</f>
        <v>64</v>
      </c>
      <c r="M23" s="117">
        <f t="shared" ref="M23:M32" si="15">H23*L23*G23/1000</f>
        <v>6.0291199999999998</v>
      </c>
      <c r="N23" s="119">
        <f t="shared" ref="N23:N32" si="16">I23-L23</f>
        <v>0</v>
      </c>
      <c r="O23" s="120">
        <f t="shared" ref="O23:O32" si="17">H23*N23*G23/1000</f>
        <v>0</v>
      </c>
      <c r="P23" s="111">
        <v>10.199999999999999</v>
      </c>
      <c r="Q23" s="32">
        <v>12</v>
      </c>
      <c r="R23" s="32"/>
    </row>
    <row r="24" spans="1:18" ht="15.6">
      <c r="A24" s="110" t="s">
        <v>328</v>
      </c>
      <c r="B24" s="111" t="s">
        <v>232</v>
      </c>
      <c r="C24" s="112" t="s">
        <v>228</v>
      </c>
      <c r="D24" s="113" t="s">
        <v>19</v>
      </c>
      <c r="E24" s="114" t="s">
        <v>14</v>
      </c>
      <c r="F24" s="115" t="s">
        <v>32</v>
      </c>
      <c r="G24" s="116">
        <v>8.3000000000000007</v>
      </c>
      <c r="H24" s="125">
        <v>9</v>
      </c>
      <c r="I24" s="111">
        <v>1</v>
      </c>
      <c r="J24" s="117">
        <f t="shared" si="14"/>
        <v>7.4700000000000003E-2</v>
      </c>
      <c r="K24" s="118" t="s">
        <v>26</v>
      </c>
      <c r="L24" s="111"/>
      <c r="M24" s="117">
        <f t="shared" si="15"/>
        <v>0</v>
      </c>
      <c r="N24" s="119">
        <f t="shared" si="16"/>
        <v>1</v>
      </c>
      <c r="O24" s="120">
        <f t="shared" si="17"/>
        <v>7.4700000000000003E-2</v>
      </c>
      <c r="P24" s="111"/>
      <c r="Q24" s="32"/>
      <c r="R24" s="32"/>
    </row>
    <row r="25" spans="1:18" ht="15.6">
      <c r="A25" s="110" t="s">
        <v>328</v>
      </c>
      <c r="B25" s="111" t="s">
        <v>232</v>
      </c>
      <c r="C25" s="112" t="s">
        <v>228</v>
      </c>
      <c r="D25" s="113" t="s">
        <v>19</v>
      </c>
      <c r="E25" s="114" t="s">
        <v>14</v>
      </c>
      <c r="F25" s="115" t="s">
        <v>32</v>
      </c>
      <c r="G25" s="116">
        <v>8.3000000000000007</v>
      </c>
      <c r="H25" s="125">
        <v>10.1</v>
      </c>
      <c r="I25" s="111">
        <v>1</v>
      </c>
      <c r="J25" s="117">
        <f t="shared" si="14"/>
        <v>8.3830000000000002E-2</v>
      </c>
      <c r="K25" s="118" t="s">
        <v>26</v>
      </c>
      <c r="L25" s="111"/>
      <c r="M25" s="117">
        <f t="shared" si="15"/>
        <v>0</v>
      </c>
      <c r="N25" s="119">
        <f t="shared" si="16"/>
        <v>1</v>
      </c>
      <c r="O25" s="120">
        <f t="shared" si="17"/>
        <v>8.3830000000000002E-2</v>
      </c>
      <c r="P25" s="111"/>
      <c r="Q25" s="32"/>
      <c r="R25" s="32"/>
    </row>
    <row r="26" spans="1:18" ht="15.6">
      <c r="A26" s="312" t="s">
        <v>328</v>
      </c>
      <c r="B26" s="313" t="s">
        <v>232</v>
      </c>
      <c r="C26" s="314" t="s">
        <v>228</v>
      </c>
      <c r="D26" s="315" t="s">
        <v>19</v>
      </c>
      <c r="E26" s="316" t="s">
        <v>14</v>
      </c>
      <c r="F26" s="317" t="s">
        <v>32</v>
      </c>
      <c r="G26" s="318">
        <v>8.3000000000000007</v>
      </c>
      <c r="H26" s="319">
        <v>10.199999999999999</v>
      </c>
      <c r="I26" s="313">
        <v>6</v>
      </c>
      <c r="J26" s="193">
        <f t="shared" si="14"/>
        <v>0.50795999999999997</v>
      </c>
      <c r="K26" s="183" t="s">
        <v>26</v>
      </c>
      <c r="L26" s="313"/>
      <c r="M26" s="193">
        <f t="shared" si="15"/>
        <v>0</v>
      </c>
      <c r="N26" s="141">
        <f t="shared" si="16"/>
        <v>6</v>
      </c>
      <c r="O26" s="142">
        <f t="shared" si="17"/>
        <v>0.50796000000000008</v>
      </c>
      <c r="P26" s="313" t="s">
        <v>135</v>
      </c>
      <c r="Q26" s="67"/>
      <c r="R26" s="67"/>
    </row>
    <row r="27" spans="1:18" ht="15.6">
      <c r="A27" s="110" t="s">
        <v>328</v>
      </c>
      <c r="B27" s="111" t="s">
        <v>232</v>
      </c>
      <c r="C27" s="112" t="s">
        <v>228</v>
      </c>
      <c r="D27" s="113" t="s">
        <v>19</v>
      </c>
      <c r="E27" s="114" t="s">
        <v>14</v>
      </c>
      <c r="F27" s="115" t="s">
        <v>32</v>
      </c>
      <c r="G27" s="116">
        <v>8.3000000000000007</v>
      </c>
      <c r="H27" s="125">
        <v>8</v>
      </c>
      <c r="I27" s="111">
        <v>1</v>
      </c>
      <c r="J27" s="117">
        <f t="shared" si="14"/>
        <v>6.6400000000000001E-2</v>
      </c>
      <c r="K27" s="118"/>
      <c r="L27" s="111">
        <v>1</v>
      </c>
      <c r="M27" s="117">
        <f t="shared" si="15"/>
        <v>6.6400000000000001E-2</v>
      </c>
      <c r="N27" s="119">
        <f t="shared" si="16"/>
        <v>0</v>
      </c>
      <c r="O27" s="120">
        <f t="shared" si="17"/>
        <v>0</v>
      </c>
      <c r="P27" s="111"/>
      <c r="Q27" s="32"/>
      <c r="R27" s="32"/>
    </row>
    <row r="28" spans="1:18" ht="15.6">
      <c r="A28" s="110" t="s">
        <v>328</v>
      </c>
      <c r="B28" s="111" t="s">
        <v>232</v>
      </c>
      <c r="C28" s="112" t="s">
        <v>228</v>
      </c>
      <c r="D28" s="113" t="s">
        <v>19</v>
      </c>
      <c r="E28" s="114" t="s">
        <v>14</v>
      </c>
      <c r="F28" s="115" t="s">
        <v>32</v>
      </c>
      <c r="G28" s="116">
        <v>8.3000000000000007</v>
      </c>
      <c r="H28" s="125">
        <v>8.6999999999999993</v>
      </c>
      <c r="I28" s="111">
        <v>1</v>
      </c>
      <c r="J28" s="117">
        <f t="shared" si="14"/>
        <v>7.2209999999999996E-2</v>
      </c>
      <c r="K28" s="118"/>
      <c r="L28" s="111">
        <v>1</v>
      </c>
      <c r="M28" s="117">
        <f t="shared" si="15"/>
        <v>7.2209999999999996E-2</v>
      </c>
      <c r="N28" s="119">
        <f t="shared" si="16"/>
        <v>0</v>
      </c>
      <c r="O28" s="120">
        <f t="shared" si="17"/>
        <v>0</v>
      </c>
      <c r="P28" s="111"/>
      <c r="Q28" s="32"/>
      <c r="R28" s="32"/>
    </row>
    <row r="29" spans="1:18" ht="15.6">
      <c r="A29" s="110" t="s">
        <v>328</v>
      </c>
      <c r="B29" s="111" t="s">
        <v>232</v>
      </c>
      <c r="C29" s="112" t="s">
        <v>228</v>
      </c>
      <c r="D29" s="113" t="s">
        <v>19</v>
      </c>
      <c r="E29" s="114" t="s">
        <v>14</v>
      </c>
      <c r="F29" s="115" t="s">
        <v>32</v>
      </c>
      <c r="G29" s="116">
        <v>8.3000000000000007</v>
      </c>
      <c r="H29" s="125">
        <v>9</v>
      </c>
      <c r="I29" s="111">
        <v>1</v>
      </c>
      <c r="J29" s="117">
        <f t="shared" si="14"/>
        <v>7.4700000000000003E-2</v>
      </c>
      <c r="K29" s="118"/>
      <c r="L29" s="111">
        <v>1</v>
      </c>
      <c r="M29" s="117">
        <f t="shared" si="15"/>
        <v>7.4700000000000003E-2</v>
      </c>
      <c r="N29" s="119">
        <f t="shared" si="16"/>
        <v>0</v>
      </c>
      <c r="O29" s="120">
        <f t="shared" si="17"/>
        <v>0</v>
      </c>
      <c r="P29" s="111"/>
      <c r="Q29" s="32"/>
      <c r="R29" s="32"/>
    </row>
    <row r="30" spans="1:18" ht="15.6">
      <c r="A30" s="110" t="s">
        <v>328</v>
      </c>
      <c r="B30" s="111" t="s">
        <v>232</v>
      </c>
      <c r="C30" s="112" t="s">
        <v>228</v>
      </c>
      <c r="D30" s="113" t="s">
        <v>19</v>
      </c>
      <c r="E30" s="114" t="s">
        <v>14</v>
      </c>
      <c r="F30" s="115" t="s">
        <v>32</v>
      </c>
      <c r="G30" s="116">
        <v>8.3000000000000007</v>
      </c>
      <c r="H30" s="125">
        <v>9.8000000000000007</v>
      </c>
      <c r="I30" s="111">
        <v>3</v>
      </c>
      <c r="J30" s="117">
        <f t="shared" si="14"/>
        <v>0.24402000000000004</v>
      </c>
      <c r="K30" s="118"/>
      <c r="L30" s="111">
        <v>3</v>
      </c>
      <c r="M30" s="117">
        <f t="shared" si="15"/>
        <v>0.24402000000000004</v>
      </c>
      <c r="N30" s="119">
        <f t="shared" si="16"/>
        <v>0</v>
      </c>
      <c r="O30" s="120">
        <f t="shared" si="17"/>
        <v>0</v>
      </c>
      <c r="P30" s="111"/>
      <c r="Q30" s="32"/>
      <c r="R30" s="32"/>
    </row>
    <row r="31" spans="1:18" ht="15.6">
      <c r="A31" s="110" t="s">
        <v>328</v>
      </c>
      <c r="B31" s="111" t="s">
        <v>232</v>
      </c>
      <c r="C31" s="112" t="s">
        <v>228</v>
      </c>
      <c r="D31" s="113" t="s">
        <v>19</v>
      </c>
      <c r="E31" s="114" t="s">
        <v>14</v>
      </c>
      <c r="F31" s="115" t="s">
        <v>32</v>
      </c>
      <c r="G31" s="116">
        <v>8.3000000000000007</v>
      </c>
      <c r="H31" s="125">
        <v>10.1</v>
      </c>
      <c r="I31" s="111">
        <v>2</v>
      </c>
      <c r="J31" s="117">
        <f t="shared" si="14"/>
        <v>0.16766</v>
      </c>
      <c r="K31" s="118"/>
      <c r="L31" s="111">
        <v>2</v>
      </c>
      <c r="M31" s="117">
        <f t="shared" si="15"/>
        <v>0.16766</v>
      </c>
      <c r="N31" s="119">
        <f t="shared" si="16"/>
        <v>0</v>
      </c>
      <c r="O31" s="120">
        <f t="shared" si="17"/>
        <v>0</v>
      </c>
      <c r="P31" s="111"/>
      <c r="Q31" s="32"/>
      <c r="R31" s="32"/>
    </row>
    <row r="32" spans="1:18" ht="15.6">
      <c r="A32" s="110" t="s">
        <v>328</v>
      </c>
      <c r="B32" s="111" t="s">
        <v>232</v>
      </c>
      <c r="C32" s="112" t="s">
        <v>228</v>
      </c>
      <c r="D32" s="113" t="s">
        <v>19</v>
      </c>
      <c r="E32" s="114" t="s">
        <v>14</v>
      </c>
      <c r="F32" s="115" t="s">
        <v>32</v>
      </c>
      <c r="G32" s="116">
        <v>8.3000000000000007</v>
      </c>
      <c r="H32" s="125">
        <v>11.35</v>
      </c>
      <c r="I32" s="111">
        <v>1</v>
      </c>
      <c r="J32" s="117">
        <f t="shared" si="14"/>
        <v>9.4204999999999997E-2</v>
      </c>
      <c r="K32" s="118"/>
      <c r="L32" s="111">
        <v>1</v>
      </c>
      <c r="M32" s="117">
        <f t="shared" si="15"/>
        <v>9.4204999999999997E-2</v>
      </c>
      <c r="N32" s="119">
        <f t="shared" si="16"/>
        <v>0</v>
      </c>
      <c r="O32" s="120">
        <f t="shared" si="17"/>
        <v>0</v>
      </c>
      <c r="P32" s="111"/>
      <c r="Q32" s="32"/>
      <c r="R32" s="32"/>
    </row>
    <row r="33" spans="1:18">
      <c r="A33" s="32"/>
      <c r="B33" s="32"/>
      <c r="C33" s="32"/>
      <c r="D33" s="32"/>
      <c r="E33" s="32"/>
      <c r="F33" s="32"/>
      <c r="G33" s="32"/>
      <c r="H33" s="32"/>
      <c r="I33" s="129">
        <f>SUM(I22:I32)</f>
        <v>393</v>
      </c>
      <c r="J33" s="124">
        <f>SUM(J22:J32)</f>
        <v>33.828724999999991</v>
      </c>
      <c r="K33" s="32"/>
      <c r="L33" s="129">
        <f>SUM(L22:L32)</f>
        <v>385</v>
      </c>
      <c r="M33" s="132">
        <f>SUM(M22:M32)</f>
        <v>33.162234999999995</v>
      </c>
      <c r="N33" s="129">
        <f>SUM(N22:N32)</f>
        <v>8</v>
      </c>
      <c r="O33" s="124">
        <f>SUM(O22:O32)</f>
        <v>0.66649000000000003</v>
      </c>
      <c r="P33" s="32"/>
      <c r="Q33" s="32"/>
      <c r="R33" s="32"/>
    </row>
    <row r="34" spans="1:18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1:18" ht="15.6">
      <c r="A35" s="110" t="s">
        <v>328</v>
      </c>
      <c r="B35" s="111" t="s">
        <v>232</v>
      </c>
      <c r="C35" s="112" t="s">
        <v>228</v>
      </c>
      <c r="D35" s="113" t="s">
        <v>19</v>
      </c>
      <c r="E35" s="114" t="s">
        <v>14</v>
      </c>
      <c r="F35" s="115" t="s">
        <v>34</v>
      </c>
      <c r="G35" s="116">
        <v>9.61</v>
      </c>
      <c r="H35" s="125">
        <v>6.15</v>
      </c>
      <c r="I35" s="111">
        <f>34+34+16+38+39</f>
        <v>161</v>
      </c>
      <c r="J35" s="117">
        <f t="shared" ref="J35" si="18">H35*G35*I35/1000</f>
        <v>9.5153414999999999</v>
      </c>
      <c r="K35" s="118"/>
      <c r="L35" s="111">
        <f>160+1</f>
        <v>161</v>
      </c>
      <c r="M35" s="117">
        <f t="shared" ref="M35" si="19">H35*L35*G35/1000</f>
        <v>9.5153414999999999</v>
      </c>
      <c r="N35" s="119">
        <f t="shared" ref="N35" si="20">I35-L35</f>
        <v>0</v>
      </c>
      <c r="O35" s="120">
        <f t="shared" ref="O35" si="21">H35*N35*G35/1000</f>
        <v>0</v>
      </c>
      <c r="P35" s="111">
        <v>6.15</v>
      </c>
      <c r="Q35" s="45">
        <v>1</v>
      </c>
      <c r="R35" s="32" t="s">
        <v>359</v>
      </c>
    </row>
    <row r="36" spans="1:18" ht="15.6">
      <c r="A36" s="110" t="s">
        <v>328</v>
      </c>
      <c r="B36" s="111" t="s">
        <v>232</v>
      </c>
      <c r="C36" s="112" t="s">
        <v>228</v>
      </c>
      <c r="D36" s="113" t="s">
        <v>19</v>
      </c>
      <c r="E36" s="114" t="s">
        <v>14</v>
      </c>
      <c r="F36" s="115" t="s">
        <v>34</v>
      </c>
      <c r="G36" s="116">
        <v>9.61</v>
      </c>
      <c r="H36" s="125">
        <v>6.8</v>
      </c>
      <c r="I36" s="111">
        <f>34+25+38+38+24</f>
        <v>159</v>
      </c>
      <c r="J36" s="117">
        <f t="shared" ref="J36:J44" si="22">H36*G36*I36/1000</f>
        <v>10.390332000000001</v>
      </c>
      <c r="K36" s="118"/>
      <c r="L36" s="111">
        <v>159</v>
      </c>
      <c r="M36" s="117">
        <f t="shared" ref="M36:M44" si="23">H36*L36*G36/1000</f>
        <v>10.390332000000001</v>
      </c>
      <c r="N36" s="119">
        <f t="shared" ref="N36:N44" si="24">I36-L36</f>
        <v>0</v>
      </c>
      <c r="O36" s="120">
        <f t="shared" ref="O36:O44" si="25">H36*N36*G36/1000</f>
        <v>0</v>
      </c>
      <c r="P36" s="111"/>
      <c r="Q36" s="32"/>
      <c r="R36" s="32"/>
    </row>
    <row r="37" spans="1:18" ht="15.6">
      <c r="A37" s="110" t="s">
        <v>328</v>
      </c>
      <c r="B37" s="111" t="s">
        <v>232</v>
      </c>
      <c r="C37" s="112" t="s">
        <v>228</v>
      </c>
      <c r="D37" s="113" t="s">
        <v>19</v>
      </c>
      <c r="E37" s="114" t="s">
        <v>14</v>
      </c>
      <c r="F37" s="115" t="s">
        <v>34</v>
      </c>
      <c r="G37" s="116">
        <v>9.61</v>
      </c>
      <c r="H37" s="125">
        <v>8</v>
      </c>
      <c r="I37" s="111">
        <f>24+25</f>
        <v>49</v>
      </c>
      <c r="J37" s="117">
        <f t="shared" si="22"/>
        <v>3.7671199999999998</v>
      </c>
      <c r="K37" s="118"/>
      <c r="L37" s="111">
        <v>49</v>
      </c>
      <c r="M37" s="117">
        <f t="shared" si="23"/>
        <v>3.7671199999999998</v>
      </c>
      <c r="N37" s="119">
        <f t="shared" si="24"/>
        <v>0</v>
      </c>
      <c r="O37" s="120">
        <f t="shared" si="25"/>
        <v>0</v>
      </c>
      <c r="P37" s="111"/>
      <c r="Q37" s="32"/>
      <c r="R37" s="32"/>
    </row>
    <row r="38" spans="1:18" ht="15.6">
      <c r="A38" s="110" t="s">
        <v>328</v>
      </c>
      <c r="B38" s="111" t="s">
        <v>232</v>
      </c>
      <c r="C38" s="112" t="s">
        <v>228</v>
      </c>
      <c r="D38" s="113" t="s">
        <v>19</v>
      </c>
      <c r="E38" s="114" t="s">
        <v>14</v>
      </c>
      <c r="F38" s="115" t="s">
        <v>34</v>
      </c>
      <c r="G38" s="116">
        <v>9.61</v>
      </c>
      <c r="H38" s="125">
        <v>12</v>
      </c>
      <c r="I38" s="111">
        <f>15+19</f>
        <v>34</v>
      </c>
      <c r="J38" s="117">
        <f t="shared" si="22"/>
        <v>3.9208799999999995</v>
      </c>
      <c r="K38" s="118"/>
      <c r="L38" s="111">
        <v>34</v>
      </c>
      <c r="M38" s="117">
        <f t="shared" si="23"/>
        <v>3.9208799999999995</v>
      </c>
      <c r="N38" s="119">
        <f t="shared" si="24"/>
        <v>0</v>
      </c>
      <c r="O38" s="120">
        <f t="shared" si="25"/>
        <v>0</v>
      </c>
      <c r="P38" s="111"/>
      <c r="Q38" s="32"/>
      <c r="R38" s="32"/>
    </row>
    <row r="39" spans="1:18" ht="15.6">
      <c r="A39" s="110" t="s">
        <v>328</v>
      </c>
      <c r="B39" s="111" t="s">
        <v>232</v>
      </c>
      <c r="C39" s="112" t="s">
        <v>228</v>
      </c>
      <c r="D39" s="113" t="s">
        <v>19</v>
      </c>
      <c r="E39" s="114" t="s">
        <v>14</v>
      </c>
      <c r="F39" s="115" t="s">
        <v>34</v>
      </c>
      <c r="G39" s="116">
        <v>9.61</v>
      </c>
      <c r="H39" s="125">
        <v>6.8</v>
      </c>
      <c r="I39" s="111">
        <v>1</v>
      </c>
      <c r="J39" s="117">
        <f t="shared" si="22"/>
        <v>6.5348000000000003E-2</v>
      </c>
      <c r="K39" s="118"/>
      <c r="L39" s="111">
        <v>1</v>
      </c>
      <c r="M39" s="117">
        <f t="shared" si="23"/>
        <v>6.5348000000000003E-2</v>
      </c>
      <c r="N39" s="119">
        <f t="shared" si="24"/>
        <v>0</v>
      </c>
      <c r="O39" s="120">
        <f t="shared" si="25"/>
        <v>0</v>
      </c>
      <c r="P39" s="111">
        <v>6</v>
      </c>
      <c r="Q39" s="45">
        <v>1</v>
      </c>
      <c r="R39" s="111" t="s">
        <v>368</v>
      </c>
    </row>
    <row r="40" spans="1:18" ht="15.6">
      <c r="A40" s="110" t="s">
        <v>328</v>
      </c>
      <c r="B40" s="111" t="s">
        <v>232</v>
      </c>
      <c r="C40" s="112" t="s">
        <v>228</v>
      </c>
      <c r="D40" s="113" t="s">
        <v>19</v>
      </c>
      <c r="E40" s="114" t="s">
        <v>14</v>
      </c>
      <c r="F40" s="115" t="s">
        <v>34</v>
      </c>
      <c r="G40" s="116">
        <v>9.61</v>
      </c>
      <c r="H40" s="125">
        <v>8</v>
      </c>
      <c r="I40" s="111">
        <v>1</v>
      </c>
      <c r="J40" s="117">
        <f t="shared" si="22"/>
        <v>7.687999999999999E-2</v>
      </c>
      <c r="K40" s="118"/>
      <c r="L40" s="111">
        <v>1</v>
      </c>
      <c r="M40" s="117">
        <f t="shared" si="23"/>
        <v>7.687999999999999E-2</v>
      </c>
      <c r="N40" s="119">
        <f t="shared" si="24"/>
        <v>0</v>
      </c>
      <c r="O40" s="120">
        <f t="shared" si="25"/>
        <v>0</v>
      </c>
      <c r="P40" s="111">
        <v>6.8</v>
      </c>
      <c r="Q40" s="45">
        <v>1</v>
      </c>
      <c r="R40" s="32" t="s">
        <v>359</v>
      </c>
    </row>
    <row r="41" spans="1:18" ht="15.6">
      <c r="A41" s="110" t="s">
        <v>328</v>
      </c>
      <c r="B41" s="111" t="s">
        <v>232</v>
      </c>
      <c r="C41" s="112" t="s">
        <v>228</v>
      </c>
      <c r="D41" s="113" t="s">
        <v>19</v>
      </c>
      <c r="E41" s="114" t="s">
        <v>14</v>
      </c>
      <c r="F41" s="115" t="s">
        <v>34</v>
      </c>
      <c r="G41" s="116">
        <v>9.61</v>
      </c>
      <c r="H41" s="125">
        <v>11.35</v>
      </c>
      <c r="I41" s="111">
        <v>1</v>
      </c>
      <c r="J41" s="117">
        <f t="shared" si="22"/>
        <v>0.10907349999999999</v>
      </c>
      <c r="K41" s="118"/>
      <c r="L41" s="111">
        <v>1</v>
      </c>
      <c r="M41" s="117">
        <f t="shared" si="23"/>
        <v>0.10907349999999999</v>
      </c>
      <c r="N41" s="119">
        <f t="shared" si="24"/>
        <v>0</v>
      </c>
      <c r="O41" s="120">
        <f t="shared" si="25"/>
        <v>0</v>
      </c>
      <c r="P41" s="159"/>
      <c r="Q41" s="45">
        <v>1</v>
      </c>
      <c r="R41" s="32" t="s">
        <v>418</v>
      </c>
    </row>
    <row r="42" spans="1:18" ht="15.6">
      <c r="A42" s="110" t="s">
        <v>328</v>
      </c>
      <c r="B42" s="111" t="s">
        <v>232</v>
      </c>
      <c r="C42" s="112" t="s">
        <v>228</v>
      </c>
      <c r="D42" s="113" t="s">
        <v>19</v>
      </c>
      <c r="E42" s="114" t="s">
        <v>14</v>
      </c>
      <c r="F42" s="115" t="s">
        <v>34</v>
      </c>
      <c r="G42" s="116">
        <v>9.61</v>
      </c>
      <c r="H42" s="125">
        <v>11.8</v>
      </c>
      <c r="I42" s="111">
        <v>1</v>
      </c>
      <c r="J42" s="117">
        <f t="shared" si="22"/>
        <v>0.113398</v>
      </c>
      <c r="K42" s="118"/>
      <c r="L42" s="111">
        <v>1</v>
      </c>
      <c r="M42" s="117">
        <f t="shared" si="23"/>
        <v>0.113398</v>
      </c>
      <c r="N42" s="119">
        <f t="shared" si="24"/>
        <v>0</v>
      </c>
      <c r="O42" s="120">
        <f t="shared" si="25"/>
        <v>0</v>
      </c>
      <c r="P42" s="159"/>
      <c r="Q42" s="45">
        <v>1</v>
      </c>
      <c r="R42" s="32" t="s">
        <v>418</v>
      </c>
    </row>
    <row r="43" spans="1:18" ht="15.6">
      <c r="A43" s="110" t="s">
        <v>328</v>
      </c>
      <c r="B43" s="111" t="s">
        <v>232</v>
      </c>
      <c r="C43" s="112" t="s">
        <v>228</v>
      </c>
      <c r="D43" s="113" t="s">
        <v>19</v>
      </c>
      <c r="E43" s="114" t="s">
        <v>14</v>
      </c>
      <c r="F43" s="115" t="s">
        <v>34</v>
      </c>
      <c r="G43" s="116">
        <v>9.61</v>
      </c>
      <c r="H43" s="125">
        <v>11.9</v>
      </c>
      <c r="I43" s="111">
        <v>1</v>
      </c>
      <c r="J43" s="117">
        <f t="shared" si="22"/>
        <v>0.11435899999999999</v>
      </c>
      <c r="K43" s="118"/>
      <c r="L43" s="111">
        <v>1</v>
      </c>
      <c r="M43" s="117">
        <f t="shared" si="23"/>
        <v>0.11435899999999999</v>
      </c>
      <c r="N43" s="119">
        <f t="shared" si="24"/>
        <v>0</v>
      </c>
      <c r="O43" s="120">
        <f t="shared" si="25"/>
        <v>0</v>
      </c>
      <c r="P43" s="159"/>
      <c r="Q43" s="32"/>
      <c r="R43" s="32"/>
    </row>
    <row r="44" spans="1:18" ht="15.6">
      <c r="A44" s="110" t="s">
        <v>328</v>
      </c>
      <c r="B44" s="111" t="s">
        <v>232</v>
      </c>
      <c r="C44" s="112" t="s">
        <v>228</v>
      </c>
      <c r="D44" s="113" t="s">
        <v>19</v>
      </c>
      <c r="E44" s="114" t="s">
        <v>14</v>
      </c>
      <c r="F44" s="115" t="s">
        <v>34</v>
      </c>
      <c r="G44" s="116">
        <v>9.61</v>
      </c>
      <c r="H44" s="125">
        <v>9.8000000000000007</v>
      </c>
      <c r="I44" s="111">
        <v>1</v>
      </c>
      <c r="J44" s="117">
        <f t="shared" si="22"/>
        <v>9.4177999999999998E-2</v>
      </c>
      <c r="K44" s="118"/>
      <c r="L44" s="111">
        <v>1</v>
      </c>
      <c r="M44" s="117">
        <f t="shared" si="23"/>
        <v>9.4177999999999998E-2</v>
      </c>
      <c r="N44" s="119">
        <f t="shared" si="24"/>
        <v>0</v>
      </c>
      <c r="O44" s="120">
        <f t="shared" si="25"/>
        <v>0</v>
      </c>
      <c r="P44" s="159">
        <v>8</v>
      </c>
      <c r="Q44" s="32">
        <v>1</v>
      </c>
      <c r="R44" s="32"/>
    </row>
    <row r="45" spans="1:18">
      <c r="A45" s="32"/>
      <c r="B45" s="32"/>
      <c r="C45" s="32"/>
      <c r="D45" s="32"/>
      <c r="E45" s="32"/>
      <c r="F45" s="32"/>
      <c r="G45" s="32"/>
      <c r="H45" s="32"/>
      <c r="I45" s="129">
        <f>SUM(I35:I44)</f>
        <v>409</v>
      </c>
      <c r="J45" s="124">
        <f>SUM(J35:J44)</f>
        <v>28.166909999999998</v>
      </c>
      <c r="K45" s="32"/>
      <c r="L45" s="129">
        <f>SUM(L35:L44)</f>
        <v>409</v>
      </c>
      <c r="M45" s="124">
        <f>SUM(M35:M44)</f>
        <v>28.166909999999998</v>
      </c>
      <c r="N45" s="131">
        <f>SUM(N35:N44)</f>
        <v>0</v>
      </c>
      <c r="O45" s="124">
        <f>SUM(O35:O44)</f>
        <v>0</v>
      </c>
      <c r="P45" s="32"/>
      <c r="Q45" s="32"/>
      <c r="R45" s="32"/>
    </row>
    <row r="46" spans="1:18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spans="1:18" ht="15.6">
      <c r="A47" s="110" t="s">
        <v>328</v>
      </c>
      <c r="B47" s="111" t="s">
        <v>232</v>
      </c>
      <c r="C47" s="112" t="s">
        <v>228</v>
      </c>
      <c r="D47" s="113" t="s">
        <v>152</v>
      </c>
      <c r="E47" s="114" t="s">
        <v>15</v>
      </c>
      <c r="F47" s="115" t="s">
        <v>21</v>
      </c>
      <c r="G47" s="116">
        <v>6.97</v>
      </c>
      <c r="H47" s="125">
        <v>10</v>
      </c>
      <c r="I47" s="111">
        <f>30+12+23</f>
        <v>65</v>
      </c>
      <c r="J47" s="117">
        <f t="shared" ref="J47:J49" si="26">H47*G47*I47/1000</f>
        <v>4.5305</v>
      </c>
      <c r="K47" s="118"/>
      <c r="L47" s="111">
        <v>65</v>
      </c>
      <c r="M47" s="117">
        <f t="shared" ref="M47:M49" si="27">H47*L47*G47/1000</f>
        <v>4.5305</v>
      </c>
      <c r="N47" s="119">
        <f t="shared" ref="N47:N49" si="28">I47-L47</f>
        <v>0</v>
      </c>
      <c r="O47" s="120">
        <f t="shared" ref="O47:O49" si="29">H47*N47*G47/1000</f>
        <v>0</v>
      </c>
      <c r="P47" s="111"/>
      <c r="Q47" s="32"/>
      <c r="R47" s="32"/>
    </row>
    <row r="48" spans="1:18" ht="15.6">
      <c r="A48" s="110" t="s">
        <v>328</v>
      </c>
      <c r="B48" s="111" t="s">
        <v>232</v>
      </c>
      <c r="C48" s="112" t="s">
        <v>228</v>
      </c>
      <c r="D48" s="113" t="s">
        <v>152</v>
      </c>
      <c r="E48" s="114" t="s">
        <v>15</v>
      </c>
      <c r="F48" s="115" t="s">
        <v>21</v>
      </c>
      <c r="G48" s="116">
        <v>6.97</v>
      </c>
      <c r="H48" s="125">
        <v>10.5</v>
      </c>
      <c r="I48" s="111">
        <f>19+12</f>
        <v>31</v>
      </c>
      <c r="J48" s="117">
        <f t="shared" si="26"/>
        <v>2.2687349999999999</v>
      </c>
      <c r="K48" s="118"/>
      <c r="L48" s="111">
        <f>26+5</f>
        <v>31</v>
      </c>
      <c r="M48" s="117">
        <f t="shared" si="27"/>
        <v>2.2687349999999999</v>
      </c>
      <c r="N48" s="119">
        <f t="shared" si="28"/>
        <v>0</v>
      </c>
      <c r="O48" s="120">
        <f t="shared" si="29"/>
        <v>0</v>
      </c>
      <c r="P48" s="159">
        <v>10</v>
      </c>
      <c r="Q48" s="32">
        <v>5</v>
      </c>
      <c r="R48" s="32"/>
    </row>
    <row r="49" spans="1:18" ht="15.6">
      <c r="A49" s="110" t="s">
        <v>328</v>
      </c>
      <c r="B49" s="111" t="s">
        <v>232</v>
      </c>
      <c r="C49" s="112" t="s">
        <v>228</v>
      </c>
      <c r="D49" s="113" t="s">
        <v>152</v>
      </c>
      <c r="E49" s="114" t="s">
        <v>15</v>
      </c>
      <c r="F49" s="115" t="s">
        <v>21</v>
      </c>
      <c r="G49" s="116">
        <v>6.97</v>
      </c>
      <c r="H49" s="125">
        <v>12</v>
      </c>
      <c r="I49" s="111">
        <f>38+6+29</f>
        <v>73</v>
      </c>
      <c r="J49" s="117">
        <f t="shared" si="26"/>
        <v>6.1057199999999998</v>
      </c>
      <c r="K49" s="118"/>
      <c r="L49" s="111">
        <v>73</v>
      </c>
      <c r="M49" s="117">
        <f t="shared" si="27"/>
        <v>6.1057199999999989</v>
      </c>
      <c r="N49" s="119">
        <f t="shared" si="28"/>
        <v>0</v>
      </c>
      <c r="O49" s="120">
        <f t="shared" si="29"/>
        <v>0</v>
      </c>
      <c r="P49" s="159"/>
      <c r="Q49" s="32"/>
      <c r="R49" s="32"/>
    </row>
    <row r="50" spans="1:18" ht="15.6">
      <c r="A50" s="110" t="s">
        <v>328</v>
      </c>
      <c r="B50" s="111" t="s">
        <v>232</v>
      </c>
      <c r="C50" s="112" t="s">
        <v>228</v>
      </c>
      <c r="D50" s="113" t="s">
        <v>152</v>
      </c>
      <c r="E50" s="114" t="s">
        <v>15</v>
      </c>
      <c r="F50" s="115" t="s">
        <v>21</v>
      </c>
      <c r="G50" s="116">
        <v>6.97</v>
      </c>
      <c r="H50" s="125">
        <v>9.6999999999999993</v>
      </c>
      <c r="I50" s="111">
        <v>2</v>
      </c>
      <c r="J50" s="117">
        <f t="shared" ref="J50:J53" si="30">H50*G50*I50/1000</f>
        <v>0.13521799999999998</v>
      </c>
      <c r="K50" s="118"/>
      <c r="L50" s="111">
        <v>2</v>
      </c>
      <c r="M50" s="117">
        <f t="shared" ref="M50:M53" si="31">H50*L50*G50/1000</f>
        <v>0.13521799999999998</v>
      </c>
      <c r="N50" s="119">
        <f t="shared" ref="N50:N53" si="32">I50-L50</f>
        <v>0</v>
      </c>
      <c r="O50" s="120">
        <f t="shared" ref="O50:O53" si="33">H50*N50*G50/1000</f>
        <v>0</v>
      </c>
      <c r="P50" s="159"/>
      <c r="Q50" s="32"/>
      <c r="R50" s="32"/>
    </row>
    <row r="51" spans="1:18" ht="15.6">
      <c r="A51" s="110" t="s">
        <v>328</v>
      </c>
      <c r="B51" s="111" t="s">
        <v>232</v>
      </c>
      <c r="C51" s="112" t="s">
        <v>228</v>
      </c>
      <c r="D51" s="113" t="s">
        <v>152</v>
      </c>
      <c r="E51" s="114" t="s">
        <v>15</v>
      </c>
      <c r="F51" s="115" t="s">
        <v>21</v>
      </c>
      <c r="G51" s="116">
        <v>6.97</v>
      </c>
      <c r="H51" s="125">
        <v>9.4</v>
      </c>
      <c r="I51" s="111">
        <v>1</v>
      </c>
      <c r="J51" s="117">
        <f t="shared" si="30"/>
        <v>6.5518000000000007E-2</v>
      </c>
      <c r="K51" s="118"/>
      <c r="L51" s="111">
        <v>1</v>
      </c>
      <c r="M51" s="117">
        <f t="shared" si="31"/>
        <v>6.5518000000000007E-2</v>
      </c>
      <c r="N51" s="119">
        <f t="shared" si="32"/>
        <v>0</v>
      </c>
      <c r="O51" s="120">
        <f t="shared" si="33"/>
        <v>0</v>
      </c>
      <c r="P51" s="159"/>
      <c r="Q51" s="32"/>
      <c r="R51" s="32"/>
    </row>
    <row r="52" spans="1:18" ht="15.6">
      <c r="A52" s="110" t="s">
        <v>328</v>
      </c>
      <c r="B52" s="111" t="s">
        <v>232</v>
      </c>
      <c r="C52" s="112" t="s">
        <v>228</v>
      </c>
      <c r="D52" s="113" t="s">
        <v>152</v>
      </c>
      <c r="E52" s="114" t="s">
        <v>15</v>
      </c>
      <c r="F52" s="115" t="s">
        <v>21</v>
      </c>
      <c r="G52" s="116">
        <v>6.97</v>
      </c>
      <c r="H52" s="125">
        <v>12</v>
      </c>
      <c r="I52" s="111">
        <v>16</v>
      </c>
      <c r="J52" s="117">
        <f t="shared" si="30"/>
        <v>1.3382400000000001</v>
      </c>
      <c r="K52" s="118"/>
      <c r="L52" s="111">
        <v>16</v>
      </c>
      <c r="M52" s="117">
        <f t="shared" si="31"/>
        <v>1.3382400000000001</v>
      </c>
      <c r="N52" s="119">
        <f t="shared" si="32"/>
        <v>0</v>
      </c>
      <c r="O52" s="120">
        <f t="shared" si="33"/>
        <v>0</v>
      </c>
      <c r="P52" s="159"/>
      <c r="Q52" s="32"/>
      <c r="R52" s="32"/>
    </row>
    <row r="53" spans="1:18" ht="15.6">
      <c r="A53" s="110" t="s">
        <v>328</v>
      </c>
      <c r="B53" s="111" t="s">
        <v>232</v>
      </c>
      <c r="C53" s="112" t="s">
        <v>228</v>
      </c>
      <c r="D53" s="113" t="s">
        <v>152</v>
      </c>
      <c r="E53" s="114" t="s">
        <v>15</v>
      </c>
      <c r="F53" s="115" t="s">
        <v>21</v>
      </c>
      <c r="G53" s="116">
        <v>6.97</v>
      </c>
      <c r="H53" s="125">
        <v>11.8</v>
      </c>
      <c r="I53" s="111">
        <v>3</v>
      </c>
      <c r="J53" s="117">
        <f t="shared" si="30"/>
        <v>0.24673800000000001</v>
      </c>
      <c r="K53" s="118"/>
      <c r="L53" s="111">
        <v>3</v>
      </c>
      <c r="M53" s="117">
        <f t="shared" si="31"/>
        <v>0.24673800000000004</v>
      </c>
      <c r="N53" s="119">
        <f t="shared" si="32"/>
        <v>0</v>
      </c>
      <c r="O53" s="120">
        <f t="shared" si="33"/>
        <v>0</v>
      </c>
      <c r="P53" s="159">
        <v>10</v>
      </c>
      <c r="Q53" s="32">
        <v>3</v>
      </c>
      <c r="R53" s="32"/>
    </row>
    <row r="54" spans="1:18">
      <c r="A54" s="32"/>
      <c r="B54" s="32"/>
      <c r="C54" s="32"/>
      <c r="D54" s="32"/>
      <c r="E54" s="32"/>
      <c r="F54" s="32"/>
      <c r="G54" s="32"/>
      <c r="H54" s="32"/>
      <c r="I54" s="129">
        <f>SUM(I47:I53)</f>
        <v>191</v>
      </c>
      <c r="J54" s="124">
        <f>SUM(J47:J53)</f>
        <v>14.690669000000002</v>
      </c>
      <c r="K54" s="32"/>
      <c r="L54" s="129">
        <f>SUM(L47:L53)</f>
        <v>191</v>
      </c>
      <c r="M54" s="124">
        <f>SUM(M47:M53)</f>
        <v>14.690669</v>
      </c>
      <c r="N54" s="129">
        <f>SUM(N47:N53)</f>
        <v>0</v>
      </c>
      <c r="O54" s="124">
        <f>SUM(O47:O53)</f>
        <v>0</v>
      </c>
      <c r="P54" s="33"/>
      <c r="Q54" s="32"/>
      <c r="R54" s="32"/>
    </row>
    <row r="55" spans="1:18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spans="1:18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</row>
    <row r="57" spans="1:18" ht="15.6">
      <c r="A57" s="110" t="s">
        <v>328</v>
      </c>
      <c r="B57" s="111" t="s">
        <v>232</v>
      </c>
      <c r="C57" s="112" t="s">
        <v>228</v>
      </c>
      <c r="D57" s="113" t="s">
        <v>17</v>
      </c>
      <c r="E57" s="114" t="s">
        <v>15</v>
      </c>
      <c r="F57" s="115" t="s">
        <v>32</v>
      </c>
      <c r="G57" s="116">
        <v>8.32</v>
      </c>
      <c r="H57" s="125">
        <v>9</v>
      </c>
      <c r="I57" s="111">
        <v>2</v>
      </c>
      <c r="J57" s="117">
        <f t="shared" ref="J57" si="34">H57*G57*I57/1000</f>
        <v>0.14976</v>
      </c>
      <c r="K57" s="118"/>
      <c r="L57" s="111">
        <v>2</v>
      </c>
      <c r="M57" s="117">
        <f t="shared" ref="M57" si="35">H57*L57*G57/1000</f>
        <v>0.14976</v>
      </c>
      <c r="N57" s="119">
        <f t="shared" ref="N57" si="36">I57-L57</f>
        <v>0</v>
      </c>
      <c r="O57" s="120">
        <f t="shared" ref="O57" si="37">H57*N57*G57/1000</f>
        <v>0</v>
      </c>
      <c r="P57" s="111"/>
      <c r="Q57" s="32"/>
      <c r="R57" s="32"/>
    </row>
    <row r="58" spans="1:18" ht="15.6">
      <c r="A58" s="110" t="s">
        <v>328</v>
      </c>
      <c r="B58" s="111" t="s">
        <v>232</v>
      </c>
      <c r="C58" s="112" t="s">
        <v>228</v>
      </c>
      <c r="D58" s="113" t="s">
        <v>17</v>
      </c>
      <c r="E58" s="114" t="s">
        <v>15</v>
      </c>
      <c r="F58" s="115" t="s">
        <v>32</v>
      </c>
      <c r="G58" s="116">
        <v>8.32</v>
      </c>
      <c r="H58" s="125">
        <v>7.5</v>
      </c>
      <c r="I58" s="111">
        <v>1</v>
      </c>
      <c r="J58" s="117">
        <f t="shared" ref="J58:J74" si="38">H58*G58*I58/1000</f>
        <v>6.2400000000000004E-2</v>
      </c>
      <c r="K58" s="118"/>
      <c r="L58" s="111">
        <v>1</v>
      </c>
      <c r="M58" s="117">
        <f t="shared" ref="M58:M74" si="39">H58*L58*G58/1000</f>
        <v>6.2400000000000004E-2</v>
      </c>
      <c r="N58" s="119">
        <f t="shared" ref="N58:N74" si="40">I58-L58</f>
        <v>0</v>
      </c>
      <c r="O58" s="120">
        <f t="shared" ref="O58:O74" si="41">H58*N58*G58/1000</f>
        <v>0</v>
      </c>
      <c r="P58" s="111"/>
      <c r="Q58" s="32"/>
      <c r="R58" s="32"/>
    </row>
    <row r="59" spans="1:18" ht="15.6">
      <c r="A59" s="110" t="s">
        <v>328</v>
      </c>
      <c r="B59" s="111" t="s">
        <v>232</v>
      </c>
      <c r="C59" s="112" t="s">
        <v>228</v>
      </c>
      <c r="D59" s="113" t="s">
        <v>17</v>
      </c>
      <c r="E59" s="114" t="s">
        <v>15</v>
      </c>
      <c r="F59" s="115" t="s">
        <v>32</v>
      </c>
      <c r="G59" s="116">
        <v>8.32</v>
      </c>
      <c r="H59" s="125">
        <v>6.3</v>
      </c>
      <c r="I59" s="111">
        <v>1</v>
      </c>
      <c r="J59" s="117">
        <f t="shared" si="38"/>
        <v>5.2415999999999997E-2</v>
      </c>
      <c r="K59" s="118"/>
      <c r="L59" s="111">
        <v>1</v>
      </c>
      <c r="M59" s="117">
        <f t="shared" si="39"/>
        <v>5.2415999999999997E-2</v>
      </c>
      <c r="N59" s="119">
        <f t="shared" si="40"/>
        <v>0</v>
      </c>
      <c r="O59" s="120">
        <f t="shared" si="41"/>
        <v>0</v>
      </c>
      <c r="P59" s="111"/>
      <c r="Q59" s="32"/>
      <c r="R59" s="32"/>
    </row>
    <row r="60" spans="1:18" ht="15.6">
      <c r="A60" s="110" t="s">
        <v>328</v>
      </c>
      <c r="B60" s="111" t="s">
        <v>232</v>
      </c>
      <c r="C60" s="112" t="s">
        <v>228</v>
      </c>
      <c r="D60" s="113" t="s">
        <v>17</v>
      </c>
      <c r="E60" s="114" t="s">
        <v>15</v>
      </c>
      <c r="F60" s="115" t="s">
        <v>32</v>
      </c>
      <c r="G60" s="116">
        <v>8.32</v>
      </c>
      <c r="H60" s="125">
        <v>6</v>
      </c>
      <c r="I60" s="111">
        <v>1</v>
      </c>
      <c r="J60" s="117">
        <f t="shared" si="38"/>
        <v>4.9919999999999999E-2</v>
      </c>
      <c r="K60" s="118"/>
      <c r="L60" s="111">
        <v>1</v>
      </c>
      <c r="M60" s="117">
        <f t="shared" si="39"/>
        <v>4.9919999999999999E-2</v>
      </c>
      <c r="N60" s="119">
        <f t="shared" si="40"/>
        <v>0</v>
      </c>
      <c r="O60" s="120">
        <f t="shared" si="41"/>
        <v>0</v>
      </c>
      <c r="P60" s="111"/>
      <c r="Q60" s="32"/>
      <c r="R60" s="32"/>
    </row>
    <row r="61" spans="1:18" ht="15.6">
      <c r="A61" s="110" t="s">
        <v>328</v>
      </c>
      <c r="B61" s="111" t="s">
        <v>232</v>
      </c>
      <c r="C61" s="112" t="s">
        <v>228</v>
      </c>
      <c r="D61" s="113" t="s">
        <v>17</v>
      </c>
      <c r="E61" s="114" t="s">
        <v>15</v>
      </c>
      <c r="F61" s="115" t="s">
        <v>32</v>
      </c>
      <c r="G61" s="116">
        <v>8.32</v>
      </c>
      <c r="H61" s="125">
        <v>7.2</v>
      </c>
      <c r="I61" s="111">
        <v>1</v>
      </c>
      <c r="J61" s="117">
        <f t="shared" si="38"/>
        <v>5.9904000000000006E-2</v>
      </c>
      <c r="K61" s="118"/>
      <c r="L61" s="111">
        <v>1</v>
      </c>
      <c r="M61" s="117">
        <f t="shared" si="39"/>
        <v>5.9904000000000006E-2</v>
      </c>
      <c r="N61" s="119">
        <f t="shared" si="40"/>
        <v>0</v>
      </c>
      <c r="O61" s="120">
        <f t="shared" si="41"/>
        <v>0</v>
      </c>
      <c r="P61" s="111">
        <v>7.1</v>
      </c>
      <c r="Q61" s="32">
        <v>1</v>
      </c>
      <c r="R61" s="32"/>
    </row>
    <row r="62" spans="1:18" ht="15.6">
      <c r="A62" s="110" t="s">
        <v>328</v>
      </c>
      <c r="B62" s="111" t="s">
        <v>232</v>
      </c>
      <c r="C62" s="112" t="s">
        <v>228</v>
      </c>
      <c r="D62" s="113" t="s">
        <v>17</v>
      </c>
      <c r="E62" s="114" t="s">
        <v>15</v>
      </c>
      <c r="F62" s="115" t="s">
        <v>32</v>
      </c>
      <c r="G62" s="116">
        <v>8.32</v>
      </c>
      <c r="H62" s="125">
        <v>6.6</v>
      </c>
      <c r="I62" s="111">
        <v>2</v>
      </c>
      <c r="J62" s="117">
        <f t="shared" si="38"/>
        <v>0.109824</v>
      </c>
      <c r="K62" s="118"/>
      <c r="L62" s="111">
        <v>2</v>
      </c>
      <c r="M62" s="117">
        <f t="shared" si="39"/>
        <v>0.109824</v>
      </c>
      <c r="N62" s="119">
        <f t="shared" si="40"/>
        <v>0</v>
      </c>
      <c r="O62" s="120">
        <f t="shared" si="41"/>
        <v>0</v>
      </c>
      <c r="P62" s="111"/>
      <c r="Q62" s="32"/>
      <c r="R62" s="32"/>
    </row>
    <row r="63" spans="1:18" ht="15.6">
      <c r="A63" s="110" t="s">
        <v>328</v>
      </c>
      <c r="B63" s="111" t="s">
        <v>232</v>
      </c>
      <c r="C63" s="112" t="s">
        <v>228</v>
      </c>
      <c r="D63" s="113" t="s">
        <v>17</v>
      </c>
      <c r="E63" s="114" t="s">
        <v>15</v>
      </c>
      <c r="F63" s="115" t="s">
        <v>32</v>
      </c>
      <c r="G63" s="116">
        <v>8.32</v>
      </c>
      <c r="H63" s="125">
        <v>11.9</v>
      </c>
      <c r="I63" s="111">
        <v>1</v>
      </c>
      <c r="J63" s="117">
        <f t="shared" si="38"/>
        <v>9.9008000000000013E-2</v>
      </c>
      <c r="K63" s="118"/>
      <c r="L63" s="111">
        <v>1</v>
      </c>
      <c r="M63" s="117">
        <f t="shared" si="39"/>
        <v>9.9008000000000013E-2</v>
      </c>
      <c r="N63" s="119">
        <f t="shared" si="40"/>
        <v>0</v>
      </c>
      <c r="O63" s="120">
        <f t="shared" si="41"/>
        <v>0</v>
      </c>
      <c r="P63" s="111"/>
      <c r="Q63" s="32"/>
      <c r="R63" s="32"/>
    </row>
    <row r="64" spans="1:18" ht="15.6">
      <c r="A64" s="110" t="s">
        <v>328</v>
      </c>
      <c r="B64" s="111" t="s">
        <v>232</v>
      </c>
      <c r="C64" s="112" t="s">
        <v>228</v>
      </c>
      <c r="D64" s="113" t="s">
        <v>17</v>
      </c>
      <c r="E64" s="114" t="s">
        <v>15</v>
      </c>
      <c r="F64" s="115" t="s">
        <v>32</v>
      </c>
      <c r="G64" s="116">
        <v>8.32</v>
      </c>
      <c r="H64" s="125">
        <v>11.7</v>
      </c>
      <c r="I64" s="111">
        <v>1</v>
      </c>
      <c r="J64" s="117">
        <f t="shared" si="38"/>
        <v>9.7344E-2</v>
      </c>
      <c r="K64" s="118"/>
      <c r="L64" s="111">
        <v>1</v>
      </c>
      <c r="M64" s="117">
        <f t="shared" si="39"/>
        <v>9.7344E-2</v>
      </c>
      <c r="N64" s="119">
        <f t="shared" si="40"/>
        <v>0</v>
      </c>
      <c r="O64" s="120">
        <f t="shared" si="41"/>
        <v>0</v>
      </c>
      <c r="P64" s="111">
        <v>11</v>
      </c>
      <c r="Q64" s="32">
        <v>1</v>
      </c>
      <c r="R64" s="32"/>
    </row>
    <row r="65" spans="1:18" ht="15.6">
      <c r="A65" s="110" t="s">
        <v>328</v>
      </c>
      <c r="B65" s="111" t="s">
        <v>232</v>
      </c>
      <c r="C65" s="112" t="s">
        <v>228</v>
      </c>
      <c r="D65" s="113" t="s">
        <v>17</v>
      </c>
      <c r="E65" s="114" t="s">
        <v>15</v>
      </c>
      <c r="F65" s="115" t="s">
        <v>32</v>
      </c>
      <c r="G65" s="116">
        <v>8.32</v>
      </c>
      <c r="H65" s="125">
        <v>11.5</v>
      </c>
      <c r="I65" s="111">
        <v>1</v>
      </c>
      <c r="J65" s="117">
        <f t="shared" si="38"/>
        <v>9.5680000000000001E-2</v>
      </c>
      <c r="K65" s="118"/>
      <c r="L65" s="111">
        <v>1</v>
      </c>
      <c r="M65" s="117">
        <f t="shared" si="39"/>
        <v>9.5680000000000001E-2</v>
      </c>
      <c r="N65" s="119">
        <f t="shared" si="40"/>
        <v>0</v>
      </c>
      <c r="O65" s="120">
        <f t="shared" si="41"/>
        <v>0</v>
      </c>
      <c r="P65" s="111"/>
      <c r="Q65" s="32"/>
      <c r="R65" s="32"/>
    </row>
    <row r="66" spans="1:18" ht="15.6">
      <c r="A66" s="110" t="s">
        <v>328</v>
      </c>
      <c r="B66" s="111" t="s">
        <v>232</v>
      </c>
      <c r="C66" s="112" t="s">
        <v>228</v>
      </c>
      <c r="D66" s="113" t="s">
        <v>17</v>
      </c>
      <c r="E66" s="114" t="s">
        <v>15</v>
      </c>
      <c r="F66" s="115" t="s">
        <v>32</v>
      </c>
      <c r="G66" s="116">
        <v>8.32</v>
      </c>
      <c r="H66" s="125">
        <v>11.3</v>
      </c>
      <c r="I66" s="111">
        <v>1</v>
      </c>
      <c r="J66" s="117">
        <f t="shared" si="38"/>
        <v>9.4016000000000002E-2</v>
      </c>
      <c r="K66" s="118"/>
      <c r="L66" s="111">
        <v>1</v>
      </c>
      <c r="M66" s="117">
        <f t="shared" si="39"/>
        <v>9.4016000000000002E-2</v>
      </c>
      <c r="N66" s="119">
        <f t="shared" si="40"/>
        <v>0</v>
      </c>
      <c r="O66" s="120">
        <f t="shared" si="41"/>
        <v>0</v>
      </c>
      <c r="P66" s="111"/>
      <c r="Q66" s="32"/>
      <c r="R66" s="32"/>
    </row>
    <row r="67" spans="1:18" ht="15.6">
      <c r="A67" s="110" t="s">
        <v>328</v>
      </c>
      <c r="B67" s="111" t="s">
        <v>232</v>
      </c>
      <c r="C67" s="112" t="s">
        <v>228</v>
      </c>
      <c r="D67" s="113" t="s">
        <v>17</v>
      </c>
      <c r="E67" s="114" t="s">
        <v>15</v>
      </c>
      <c r="F67" s="115" t="s">
        <v>32</v>
      </c>
      <c r="G67" s="116">
        <v>8.32</v>
      </c>
      <c r="H67" s="125">
        <v>9.1</v>
      </c>
      <c r="I67" s="111">
        <v>1</v>
      </c>
      <c r="J67" s="117">
        <f t="shared" si="38"/>
        <v>7.5712000000000002E-2</v>
      </c>
      <c r="K67" s="118"/>
      <c r="L67" s="111">
        <v>1</v>
      </c>
      <c r="M67" s="117">
        <f t="shared" si="39"/>
        <v>7.5712000000000002E-2</v>
      </c>
      <c r="N67" s="119">
        <f t="shared" si="40"/>
        <v>0</v>
      </c>
      <c r="O67" s="120">
        <f t="shared" si="41"/>
        <v>0</v>
      </c>
      <c r="P67" s="111"/>
      <c r="Q67" s="32"/>
      <c r="R67" s="32"/>
    </row>
    <row r="68" spans="1:18" ht="15.6">
      <c r="A68" s="110" t="s">
        <v>328</v>
      </c>
      <c r="B68" s="111" t="s">
        <v>232</v>
      </c>
      <c r="C68" s="112" t="s">
        <v>228</v>
      </c>
      <c r="D68" s="113" t="s">
        <v>17</v>
      </c>
      <c r="E68" s="114" t="s">
        <v>15</v>
      </c>
      <c r="F68" s="115" t="s">
        <v>32</v>
      </c>
      <c r="G68" s="116">
        <v>8.32</v>
      </c>
      <c r="H68" s="125">
        <v>9.5</v>
      </c>
      <c r="I68" s="111">
        <v>2</v>
      </c>
      <c r="J68" s="117">
        <f t="shared" si="38"/>
        <v>0.15808000000000003</v>
      </c>
      <c r="K68" s="118"/>
      <c r="L68" s="111">
        <v>2</v>
      </c>
      <c r="M68" s="117">
        <f t="shared" si="39"/>
        <v>0.15808000000000003</v>
      </c>
      <c r="N68" s="119">
        <f t="shared" si="40"/>
        <v>0</v>
      </c>
      <c r="O68" s="120">
        <f t="shared" si="41"/>
        <v>0</v>
      </c>
      <c r="P68" s="111"/>
      <c r="Q68" s="32"/>
      <c r="R68" s="32"/>
    </row>
    <row r="69" spans="1:18" ht="15.6">
      <c r="A69" s="110" t="s">
        <v>328</v>
      </c>
      <c r="B69" s="111" t="s">
        <v>232</v>
      </c>
      <c r="C69" s="112" t="s">
        <v>228</v>
      </c>
      <c r="D69" s="113" t="s">
        <v>17</v>
      </c>
      <c r="E69" s="114" t="s">
        <v>15</v>
      </c>
      <c r="F69" s="115" t="s">
        <v>32</v>
      </c>
      <c r="G69" s="116">
        <v>8.32</v>
      </c>
      <c r="H69" s="125">
        <v>7.9</v>
      </c>
      <c r="I69" s="111">
        <v>1</v>
      </c>
      <c r="J69" s="117">
        <f t="shared" si="38"/>
        <v>6.5728000000000009E-2</v>
      </c>
      <c r="K69" s="118"/>
      <c r="L69" s="111">
        <v>1</v>
      </c>
      <c r="M69" s="117">
        <f t="shared" si="39"/>
        <v>6.5728000000000009E-2</v>
      </c>
      <c r="N69" s="119">
        <f t="shared" si="40"/>
        <v>0</v>
      </c>
      <c r="O69" s="120">
        <f t="shared" si="41"/>
        <v>0</v>
      </c>
      <c r="P69" s="111"/>
      <c r="Q69" s="32"/>
      <c r="R69" s="32"/>
    </row>
    <row r="70" spans="1:18" ht="15.6">
      <c r="A70" s="110" t="s">
        <v>328</v>
      </c>
      <c r="B70" s="111" t="s">
        <v>232</v>
      </c>
      <c r="C70" s="112" t="s">
        <v>228</v>
      </c>
      <c r="D70" s="113" t="s">
        <v>17</v>
      </c>
      <c r="E70" s="114" t="s">
        <v>15</v>
      </c>
      <c r="F70" s="115" t="s">
        <v>32</v>
      </c>
      <c r="G70" s="116">
        <v>8.32</v>
      </c>
      <c r="H70" s="125">
        <v>7.6</v>
      </c>
      <c r="I70" s="111">
        <v>2</v>
      </c>
      <c r="J70" s="117">
        <f t="shared" si="38"/>
        <v>0.12646399999999999</v>
      </c>
      <c r="K70" s="118"/>
      <c r="L70" s="111">
        <v>2</v>
      </c>
      <c r="M70" s="117">
        <f t="shared" si="39"/>
        <v>0.12646399999999999</v>
      </c>
      <c r="N70" s="119">
        <f t="shared" si="40"/>
        <v>0</v>
      </c>
      <c r="O70" s="120">
        <f t="shared" si="41"/>
        <v>0</v>
      </c>
      <c r="P70" s="111"/>
      <c r="Q70" s="32"/>
      <c r="R70" s="32"/>
    </row>
    <row r="71" spans="1:18" ht="15.6">
      <c r="A71" s="110" t="s">
        <v>328</v>
      </c>
      <c r="B71" s="111" t="s">
        <v>232</v>
      </c>
      <c r="C71" s="112" t="s">
        <v>228</v>
      </c>
      <c r="D71" s="113" t="s">
        <v>17</v>
      </c>
      <c r="E71" s="114" t="s">
        <v>15</v>
      </c>
      <c r="F71" s="115" t="s">
        <v>32</v>
      </c>
      <c r="G71" s="116">
        <v>8.32</v>
      </c>
      <c r="H71" s="125">
        <v>10.5</v>
      </c>
      <c r="I71" s="111">
        <v>2</v>
      </c>
      <c r="J71" s="117">
        <f t="shared" si="38"/>
        <v>0.17471999999999999</v>
      </c>
      <c r="K71" s="118"/>
      <c r="L71" s="111">
        <v>2</v>
      </c>
      <c r="M71" s="117">
        <f t="shared" si="39"/>
        <v>0.17471999999999999</v>
      </c>
      <c r="N71" s="119">
        <f t="shared" si="40"/>
        <v>0</v>
      </c>
      <c r="O71" s="120">
        <f t="shared" si="41"/>
        <v>0</v>
      </c>
      <c r="P71" s="111" t="s">
        <v>347</v>
      </c>
      <c r="Q71" s="32"/>
      <c r="R71" s="32"/>
    </row>
    <row r="72" spans="1:18" ht="15.6">
      <c r="A72" s="110" t="s">
        <v>328</v>
      </c>
      <c r="B72" s="111" t="s">
        <v>232</v>
      </c>
      <c r="C72" s="112" t="s">
        <v>228</v>
      </c>
      <c r="D72" s="113" t="s">
        <v>17</v>
      </c>
      <c r="E72" s="114" t="s">
        <v>15</v>
      </c>
      <c r="F72" s="115" t="s">
        <v>32</v>
      </c>
      <c r="G72" s="116">
        <v>8.32</v>
      </c>
      <c r="H72" s="125">
        <v>6.6</v>
      </c>
      <c r="I72" s="111">
        <f>2+43+7</f>
        <v>52</v>
      </c>
      <c r="J72" s="117">
        <f t="shared" si="38"/>
        <v>2.8554240000000002</v>
      </c>
      <c r="K72" s="118"/>
      <c r="L72" s="111">
        <v>52</v>
      </c>
      <c r="M72" s="117">
        <f t="shared" si="39"/>
        <v>2.8554240000000002</v>
      </c>
      <c r="N72" s="119">
        <f t="shared" si="40"/>
        <v>0</v>
      </c>
      <c r="O72" s="120">
        <f t="shared" si="41"/>
        <v>0</v>
      </c>
      <c r="P72" s="111"/>
      <c r="Q72" s="32"/>
      <c r="R72" s="32"/>
    </row>
    <row r="73" spans="1:18" ht="15.6">
      <c r="A73" s="110" t="s">
        <v>328</v>
      </c>
      <c r="B73" s="111" t="s">
        <v>232</v>
      </c>
      <c r="C73" s="112" t="s">
        <v>228</v>
      </c>
      <c r="D73" s="113" t="s">
        <v>17</v>
      </c>
      <c r="E73" s="114" t="s">
        <v>15</v>
      </c>
      <c r="F73" s="115" t="s">
        <v>32</v>
      </c>
      <c r="G73" s="116">
        <v>8.32</v>
      </c>
      <c r="H73" s="125">
        <v>6.75</v>
      </c>
      <c r="I73" s="111">
        <f>33+35+30+35</f>
        <v>133</v>
      </c>
      <c r="J73" s="117">
        <f t="shared" si="38"/>
        <v>7.4692800000000004</v>
      </c>
      <c r="K73" s="118"/>
      <c r="L73" s="111">
        <v>133</v>
      </c>
      <c r="M73" s="117">
        <f t="shared" si="39"/>
        <v>7.4692800000000004</v>
      </c>
      <c r="N73" s="119">
        <f t="shared" si="40"/>
        <v>0</v>
      </c>
      <c r="O73" s="120">
        <f t="shared" si="41"/>
        <v>0</v>
      </c>
      <c r="P73" s="111"/>
      <c r="Q73" s="32"/>
      <c r="R73" s="32"/>
    </row>
    <row r="74" spans="1:18" ht="15.6">
      <c r="A74" s="110" t="s">
        <v>328</v>
      </c>
      <c r="B74" s="111" t="s">
        <v>232</v>
      </c>
      <c r="C74" s="112" t="s">
        <v>228</v>
      </c>
      <c r="D74" s="113" t="s">
        <v>17</v>
      </c>
      <c r="E74" s="114" t="s">
        <v>15</v>
      </c>
      <c r="F74" s="115" t="s">
        <v>32</v>
      </c>
      <c r="G74" s="116">
        <v>8.32</v>
      </c>
      <c r="H74" s="125">
        <v>7.1</v>
      </c>
      <c r="I74" s="111">
        <f>39+26+25+28</f>
        <v>118</v>
      </c>
      <c r="J74" s="117">
        <f t="shared" si="38"/>
        <v>6.9704959999999989</v>
      </c>
      <c r="K74" s="118"/>
      <c r="L74" s="111">
        <f>111+7</f>
        <v>118</v>
      </c>
      <c r="M74" s="117">
        <f t="shared" si="39"/>
        <v>6.9704959999999998</v>
      </c>
      <c r="N74" s="119">
        <f t="shared" si="40"/>
        <v>0</v>
      </c>
      <c r="O74" s="120">
        <f t="shared" si="41"/>
        <v>0</v>
      </c>
      <c r="P74" s="111"/>
      <c r="Q74" s="32"/>
      <c r="R74" s="32"/>
    </row>
    <row r="75" spans="1:18" ht="15.6">
      <c r="A75" s="110" t="s">
        <v>328</v>
      </c>
      <c r="B75" s="111" t="s">
        <v>232</v>
      </c>
      <c r="C75" s="112" t="s">
        <v>228</v>
      </c>
      <c r="D75" s="113" t="s">
        <v>17</v>
      </c>
      <c r="E75" s="114" t="s">
        <v>15</v>
      </c>
      <c r="F75" s="115" t="s">
        <v>32</v>
      </c>
      <c r="G75" s="116">
        <v>8.32</v>
      </c>
      <c r="H75" s="125">
        <v>7.7</v>
      </c>
      <c r="I75" s="32">
        <f>14+2+13</f>
        <v>29</v>
      </c>
      <c r="J75" s="117">
        <f t="shared" ref="J75:J87" si="42">H75*G75*I75/1000</f>
        <v>1.8578560000000002</v>
      </c>
      <c r="K75" s="118"/>
      <c r="L75" s="111">
        <v>29</v>
      </c>
      <c r="M75" s="117">
        <f t="shared" ref="M75:M86" si="43">H75*L75*G75/1000</f>
        <v>1.8578560000000002</v>
      </c>
      <c r="N75" s="119">
        <f t="shared" ref="N75:N86" si="44">I75-L75</f>
        <v>0</v>
      </c>
      <c r="O75" s="120">
        <f t="shared" ref="O75:O87" si="45">H75*N75*G75/1000</f>
        <v>0</v>
      </c>
      <c r="P75" s="111"/>
      <c r="Q75" s="32"/>
      <c r="R75" s="32"/>
    </row>
    <row r="76" spans="1:18" ht="15.6">
      <c r="A76" s="110" t="s">
        <v>328</v>
      </c>
      <c r="B76" s="111" t="s">
        <v>232</v>
      </c>
      <c r="C76" s="112" t="s">
        <v>228</v>
      </c>
      <c r="D76" s="113" t="s">
        <v>17</v>
      </c>
      <c r="E76" s="114" t="s">
        <v>15</v>
      </c>
      <c r="F76" s="115" t="s">
        <v>32</v>
      </c>
      <c r="G76" s="116">
        <v>8.32</v>
      </c>
      <c r="H76" s="125">
        <v>7.9</v>
      </c>
      <c r="I76" s="32">
        <f>18+33+36+38+36+8+4+1</f>
        <v>174</v>
      </c>
      <c r="J76" s="117">
        <f t="shared" si="42"/>
        <v>11.436672000000002</v>
      </c>
      <c r="K76" s="118"/>
      <c r="L76" s="111">
        <f>160+14</f>
        <v>174</v>
      </c>
      <c r="M76" s="117">
        <f t="shared" si="43"/>
        <v>11.436672000000002</v>
      </c>
      <c r="N76" s="119">
        <f t="shared" si="44"/>
        <v>0</v>
      </c>
      <c r="O76" s="120">
        <f t="shared" si="45"/>
        <v>0</v>
      </c>
      <c r="P76" s="111"/>
      <c r="Q76" s="32"/>
      <c r="R76" s="32"/>
    </row>
    <row r="77" spans="1:18" ht="15.6">
      <c r="A77" s="110" t="s">
        <v>328</v>
      </c>
      <c r="B77" s="111" t="s">
        <v>232</v>
      </c>
      <c r="C77" s="112" t="s">
        <v>228</v>
      </c>
      <c r="D77" s="113" t="s">
        <v>17</v>
      </c>
      <c r="E77" s="114" t="s">
        <v>15</v>
      </c>
      <c r="F77" s="115" t="s">
        <v>32</v>
      </c>
      <c r="G77" s="116">
        <v>8.32</v>
      </c>
      <c r="H77" s="125">
        <v>8.4</v>
      </c>
      <c r="I77" s="32">
        <f>10+9</f>
        <v>19</v>
      </c>
      <c r="J77" s="117">
        <f t="shared" si="42"/>
        <v>1.3278720000000002</v>
      </c>
      <c r="K77" s="118"/>
      <c r="L77" s="111">
        <v>19</v>
      </c>
      <c r="M77" s="117">
        <f t="shared" si="43"/>
        <v>1.3278720000000002</v>
      </c>
      <c r="N77" s="119">
        <f t="shared" si="44"/>
        <v>0</v>
      </c>
      <c r="O77" s="120">
        <f t="shared" si="45"/>
        <v>0</v>
      </c>
      <c r="P77" s="111"/>
      <c r="Q77" s="32"/>
      <c r="R77" s="32"/>
    </row>
    <row r="78" spans="1:18" ht="15.6">
      <c r="A78" s="110" t="s">
        <v>328</v>
      </c>
      <c r="B78" s="111" t="s">
        <v>232</v>
      </c>
      <c r="C78" s="112" t="s">
        <v>228</v>
      </c>
      <c r="D78" s="113" t="s">
        <v>17</v>
      </c>
      <c r="E78" s="114" t="s">
        <v>15</v>
      </c>
      <c r="F78" s="115" t="s">
        <v>32</v>
      </c>
      <c r="G78" s="116">
        <v>8.32</v>
      </c>
      <c r="H78" s="125">
        <v>9.5</v>
      </c>
      <c r="I78" s="32">
        <f>2+11</f>
        <v>13</v>
      </c>
      <c r="J78" s="117">
        <f t="shared" si="42"/>
        <v>1.02752</v>
      </c>
      <c r="K78" s="118"/>
      <c r="L78" s="111">
        <v>13</v>
      </c>
      <c r="M78" s="117">
        <f t="shared" si="43"/>
        <v>1.02752</v>
      </c>
      <c r="N78" s="119">
        <f t="shared" si="44"/>
        <v>0</v>
      </c>
      <c r="O78" s="120">
        <f t="shared" si="45"/>
        <v>0</v>
      </c>
      <c r="P78" s="111"/>
      <c r="Q78" s="32"/>
      <c r="R78" s="32"/>
    </row>
    <row r="79" spans="1:18" ht="15.6">
      <c r="A79" s="110" t="s">
        <v>328</v>
      </c>
      <c r="B79" s="111" t="s">
        <v>232</v>
      </c>
      <c r="C79" s="112" t="s">
        <v>228</v>
      </c>
      <c r="D79" s="113" t="s">
        <v>17</v>
      </c>
      <c r="E79" s="114" t="s">
        <v>15</v>
      </c>
      <c r="F79" s="115" t="s">
        <v>32</v>
      </c>
      <c r="G79" s="116">
        <v>8.32</v>
      </c>
      <c r="H79" s="125">
        <v>10</v>
      </c>
      <c r="I79" s="32">
        <f>28+30</f>
        <v>58</v>
      </c>
      <c r="J79" s="117">
        <f t="shared" si="42"/>
        <v>4.8256000000000006</v>
      </c>
      <c r="K79" s="118"/>
      <c r="L79" s="111">
        <f>53+5</f>
        <v>58</v>
      </c>
      <c r="M79" s="117">
        <f t="shared" si="43"/>
        <v>4.8256000000000006</v>
      </c>
      <c r="N79" s="119">
        <f t="shared" si="44"/>
        <v>0</v>
      </c>
      <c r="O79" s="120">
        <f t="shared" si="45"/>
        <v>0</v>
      </c>
      <c r="P79" s="111"/>
      <c r="Q79" s="32"/>
      <c r="R79" s="32"/>
    </row>
    <row r="80" spans="1:18" ht="15.6">
      <c r="A80" s="110" t="s">
        <v>328</v>
      </c>
      <c r="B80" s="111" t="s">
        <v>232</v>
      </c>
      <c r="C80" s="112" t="s">
        <v>228</v>
      </c>
      <c r="D80" s="113" t="s">
        <v>17</v>
      </c>
      <c r="E80" s="114" t="s">
        <v>15</v>
      </c>
      <c r="F80" s="115" t="s">
        <v>32</v>
      </c>
      <c r="G80" s="116">
        <v>8.32</v>
      </c>
      <c r="H80" s="125">
        <v>10.199999999999999</v>
      </c>
      <c r="I80" s="32">
        <f>11+18+7</f>
        <v>36</v>
      </c>
      <c r="J80" s="117">
        <f t="shared" si="42"/>
        <v>3.0551039999999996</v>
      </c>
      <c r="K80" s="118"/>
      <c r="L80" s="111">
        <f>27+2+7</f>
        <v>36</v>
      </c>
      <c r="M80" s="117">
        <f t="shared" si="43"/>
        <v>3.0551039999999996</v>
      </c>
      <c r="N80" s="119">
        <f t="shared" si="44"/>
        <v>0</v>
      </c>
      <c r="O80" s="120">
        <f t="shared" si="45"/>
        <v>0</v>
      </c>
      <c r="P80" s="111" t="s">
        <v>346</v>
      </c>
      <c r="Q80" s="32">
        <v>2</v>
      </c>
      <c r="R80" s="32"/>
    </row>
    <row r="81" spans="1:19" ht="15.6">
      <c r="A81" s="110" t="s">
        <v>328</v>
      </c>
      <c r="B81" s="111" t="s">
        <v>232</v>
      </c>
      <c r="C81" s="112" t="s">
        <v>228</v>
      </c>
      <c r="D81" s="113" t="s">
        <v>17</v>
      </c>
      <c r="E81" s="114" t="s">
        <v>15</v>
      </c>
      <c r="F81" s="115" t="s">
        <v>32</v>
      </c>
      <c r="G81" s="116">
        <v>8.32</v>
      </c>
      <c r="H81" s="125">
        <v>10.85</v>
      </c>
      <c r="I81" s="32">
        <f>12+23</f>
        <v>35</v>
      </c>
      <c r="J81" s="117">
        <f t="shared" si="42"/>
        <v>3.1595200000000001</v>
      </c>
      <c r="K81" s="118"/>
      <c r="L81" s="111">
        <v>35</v>
      </c>
      <c r="M81" s="117">
        <f t="shared" si="43"/>
        <v>3.1595200000000001</v>
      </c>
      <c r="N81" s="119">
        <f t="shared" si="44"/>
        <v>0</v>
      </c>
      <c r="O81" s="120">
        <f t="shared" si="45"/>
        <v>0</v>
      </c>
      <c r="P81" s="111"/>
      <c r="Q81" s="32"/>
      <c r="R81" s="32"/>
    </row>
    <row r="82" spans="1:19" ht="15.6">
      <c r="A82" s="110" t="s">
        <v>328</v>
      </c>
      <c r="B82" s="111" t="s">
        <v>232</v>
      </c>
      <c r="C82" s="112" t="s">
        <v>228</v>
      </c>
      <c r="D82" s="113" t="s">
        <v>17</v>
      </c>
      <c r="E82" s="114" t="s">
        <v>15</v>
      </c>
      <c r="F82" s="115" t="s">
        <v>32</v>
      </c>
      <c r="G82" s="116">
        <v>8.32</v>
      </c>
      <c r="H82" s="125">
        <v>11</v>
      </c>
      <c r="I82" s="32">
        <f>31+32+32+16+11+13</f>
        <v>135</v>
      </c>
      <c r="J82" s="117">
        <f t="shared" si="42"/>
        <v>12.3552</v>
      </c>
      <c r="K82" s="118"/>
      <c r="L82" s="111">
        <f>135</f>
        <v>135</v>
      </c>
      <c r="M82" s="117">
        <f t="shared" si="43"/>
        <v>12.3552</v>
      </c>
      <c r="N82" s="141">
        <f t="shared" si="44"/>
        <v>0</v>
      </c>
      <c r="O82" s="142">
        <f t="shared" si="45"/>
        <v>0</v>
      </c>
      <c r="P82" s="111" t="s">
        <v>253</v>
      </c>
      <c r="Q82" s="32"/>
      <c r="R82" s="32"/>
    </row>
    <row r="83" spans="1:19" ht="15.6">
      <c r="A83" s="110" t="s">
        <v>328</v>
      </c>
      <c r="B83" s="111" t="s">
        <v>232</v>
      </c>
      <c r="C83" s="112" t="s">
        <v>228</v>
      </c>
      <c r="D83" s="113" t="s">
        <v>17</v>
      </c>
      <c r="E83" s="114" t="s">
        <v>15</v>
      </c>
      <c r="F83" s="115" t="s">
        <v>32</v>
      </c>
      <c r="G83" s="116">
        <v>8.32</v>
      </c>
      <c r="H83" s="125">
        <v>11.3</v>
      </c>
      <c r="I83" s="32">
        <f>23+24+2+2</f>
        <v>51</v>
      </c>
      <c r="J83" s="117">
        <f t="shared" si="42"/>
        <v>4.7948160000000009</v>
      </c>
      <c r="K83" s="118"/>
      <c r="L83" s="111">
        <v>51</v>
      </c>
      <c r="M83" s="117">
        <f t="shared" si="43"/>
        <v>4.7948160000000009</v>
      </c>
      <c r="N83" s="119">
        <f t="shared" si="44"/>
        <v>0</v>
      </c>
      <c r="O83" s="120">
        <f t="shared" si="45"/>
        <v>0</v>
      </c>
      <c r="P83" s="111"/>
      <c r="Q83" s="32"/>
      <c r="R83" s="32"/>
    </row>
    <row r="84" spans="1:19" ht="15.6">
      <c r="A84" s="110" t="s">
        <v>328</v>
      </c>
      <c r="B84" s="111" t="s">
        <v>232</v>
      </c>
      <c r="C84" s="112" t="s">
        <v>228</v>
      </c>
      <c r="D84" s="113" t="s">
        <v>17</v>
      </c>
      <c r="E84" s="114" t="s">
        <v>15</v>
      </c>
      <c r="F84" s="115" t="s">
        <v>32</v>
      </c>
      <c r="G84" s="116">
        <v>8.32</v>
      </c>
      <c r="H84" s="125">
        <v>11.5</v>
      </c>
      <c r="I84" s="32">
        <f>34+25+12+16</f>
        <v>87</v>
      </c>
      <c r="J84" s="117">
        <f t="shared" si="42"/>
        <v>8.3241599999999991</v>
      </c>
      <c r="K84" s="118"/>
      <c r="L84" s="111">
        <f>68+8+4+7</f>
        <v>87</v>
      </c>
      <c r="M84" s="117">
        <f t="shared" si="43"/>
        <v>8.3241599999999991</v>
      </c>
      <c r="N84" s="119">
        <f t="shared" si="44"/>
        <v>0</v>
      </c>
      <c r="O84" s="120">
        <f t="shared" si="45"/>
        <v>0</v>
      </c>
      <c r="P84" s="111" t="s">
        <v>345</v>
      </c>
      <c r="Q84" s="32">
        <v>7</v>
      </c>
      <c r="R84" s="32"/>
    </row>
    <row r="85" spans="1:19" ht="15.6">
      <c r="A85" s="110" t="s">
        <v>328</v>
      </c>
      <c r="B85" s="111" t="s">
        <v>232</v>
      </c>
      <c r="C85" s="112" t="s">
        <v>228</v>
      </c>
      <c r="D85" s="113" t="s">
        <v>17</v>
      </c>
      <c r="E85" s="114" t="s">
        <v>15</v>
      </c>
      <c r="F85" s="115" t="s">
        <v>32</v>
      </c>
      <c r="G85" s="116">
        <v>8.32</v>
      </c>
      <c r="H85" s="125">
        <v>11.7</v>
      </c>
      <c r="I85" s="32">
        <f>24+24+11</f>
        <v>59</v>
      </c>
      <c r="J85" s="117">
        <f t="shared" si="42"/>
        <v>5.7432959999999991</v>
      </c>
      <c r="K85" s="118"/>
      <c r="L85" s="111">
        <f>53+2+4</f>
        <v>59</v>
      </c>
      <c r="M85" s="117">
        <f t="shared" si="43"/>
        <v>5.7432959999999991</v>
      </c>
      <c r="N85" s="119">
        <f t="shared" si="44"/>
        <v>0</v>
      </c>
      <c r="O85" s="120">
        <f t="shared" si="45"/>
        <v>0</v>
      </c>
      <c r="P85" s="111">
        <v>10.85</v>
      </c>
      <c r="Q85" s="32">
        <v>2</v>
      </c>
      <c r="R85" s="32">
        <v>11</v>
      </c>
      <c r="S85" s="213">
        <v>4</v>
      </c>
    </row>
    <row r="86" spans="1:19" ht="15.6">
      <c r="A86" s="110" t="s">
        <v>328</v>
      </c>
      <c r="B86" s="111" t="s">
        <v>232</v>
      </c>
      <c r="C86" s="112" t="s">
        <v>228</v>
      </c>
      <c r="D86" s="113" t="s">
        <v>17</v>
      </c>
      <c r="E86" s="114" t="s">
        <v>15</v>
      </c>
      <c r="F86" s="115" t="s">
        <v>32</v>
      </c>
      <c r="G86" s="116">
        <v>8.32</v>
      </c>
      <c r="H86" s="125">
        <v>11.9</v>
      </c>
      <c r="I86" s="32">
        <f>22+22+4+5</f>
        <v>53</v>
      </c>
      <c r="J86" s="117">
        <f t="shared" si="42"/>
        <v>5.2474240000000005</v>
      </c>
      <c r="K86" s="118"/>
      <c r="L86" s="111">
        <v>53</v>
      </c>
      <c r="M86" s="117">
        <f t="shared" si="43"/>
        <v>5.2474240000000005</v>
      </c>
      <c r="N86" s="119">
        <f t="shared" si="44"/>
        <v>0</v>
      </c>
      <c r="O86" s="120">
        <f t="shared" si="45"/>
        <v>0</v>
      </c>
      <c r="P86" s="111"/>
      <c r="Q86" s="32"/>
      <c r="R86" s="32"/>
    </row>
    <row r="87" spans="1:19" ht="15.6">
      <c r="A87" s="110" t="s">
        <v>328</v>
      </c>
      <c r="B87" s="111" t="s">
        <v>232</v>
      </c>
      <c r="C87" s="112" t="s">
        <v>228</v>
      </c>
      <c r="D87" s="113" t="s">
        <v>17</v>
      </c>
      <c r="E87" s="114" t="s">
        <v>15</v>
      </c>
      <c r="F87" s="115" t="s">
        <v>32</v>
      </c>
      <c r="G87" s="116">
        <v>8.32</v>
      </c>
      <c r="H87" s="125">
        <v>12</v>
      </c>
      <c r="I87" s="32">
        <f>33+31+32+30+30+30+30+30+30+23+12</f>
        <v>311</v>
      </c>
      <c r="J87" s="117">
        <f t="shared" si="42"/>
        <v>31.050240000000002</v>
      </c>
      <c r="K87" s="118"/>
      <c r="L87" s="111">
        <f>280+17+1+13</f>
        <v>311</v>
      </c>
      <c r="M87" s="117">
        <f>H87*L87*G87/1000</f>
        <v>31.050240000000002</v>
      </c>
      <c r="N87" s="119">
        <f>I87-L87</f>
        <v>0</v>
      </c>
      <c r="O87" s="120">
        <f t="shared" si="45"/>
        <v>0</v>
      </c>
      <c r="P87" s="111"/>
      <c r="Q87" s="32"/>
      <c r="R87" s="32">
        <v>12</v>
      </c>
      <c r="S87" s="213">
        <v>4</v>
      </c>
    </row>
    <row r="88" spans="1:19">
      <c r="A88" s="32"/>
      <c r="B88" s="32"/>
      <c r="C88" s="32"/>
      <c r="D88" s="32"/>
      <c r="E88" s="32"/>
      <c r="F88" s="32"/>
      <c r="G88" s="32"/>
      <c r="H88" s="32"/>
      <c r="I88" s="129">
        <f>SUM(I57:I87)</f>
        <v>1383</v>
      </c>
      <c r="J88" s="124">
        <f>SUM(J57:J87)</f>
        <v>112.971456</v>
      </c>
      <c r="K88" s="32"/>
      <c r="L88" s="129">
        <f>SUM(L57:L87)</f>
        <v>1383</v>
      </c>
      <c r="M88" s="124">
        <f>SUM(M57:M87)</f>
        <v>112.971456</v>
      </c>
      <c r="N88" s="131">
        <f>SUM(N57:N87)</f>
        <v>0</v>
      </c>
      <c r="O88" s="132">
        <f>SUM(O57:O87)</f>
        <v>0</v>
      </c>
      <c r="P88" s="32"/>
      <c r="Q88" s="32"/>
      <c r="R88" s="32"/>
    </row>
    <row r="90" spans="1:19" ht="15.6">
      <c r="A90" s="110" t="s">
        <v>328</v>
      </c>
      <c r="B90" s="111" t="s">
        <v>232</v>
      </c>
      <c r="C90" s="112" t="s">
        <v>228</v>
      </c>
      <c r="D90" s="113" t="s">
        <v>17</v>
      </c>
      <c r="E90" s="114" t="s">
        <v>15</v>
      </c>
      <c r="F90" s="115" t="s">
        <v>34</v>
      </c>
      <c r="G90" s="116">
        <v>9.61</v>
      </c>
      <c r="H90" s="125">
        <v>12</v>
      </c>
      <c r="I90" s="111">
        <v>4</v>
      </c>
      <c r="J90" s="117">
        <f t="shared" ref="J90:J93" si="46">H90*G90*I90/1000</f>
        <v>0.46127999999999997</v>
      </c>
      <c r="K90" s="118"/>
      <c r="L90" s="111">
        <v>4</v>
      </c>
      <c r="M90" s="117">
        <f t="shared" ref="M90:M93" si="47">H90*L90*G90/1000</f>
        <v>0.46127999999999997</v>
      </c>
      <c r="N90" s="119">
        <f t="shared" ref="N90:N93" si="48">I90-L90</f>
        <v>0</v>
      </c>
      <c r="O90" s="120">
        <f t="shared" ref="O90:O93" si="49">H90*N90*G90/1000</f>
        <v>0</v>
      </c>
      <c r="P90" s="111"/>
      <c r="Q90" s="32"/>
      <c r="R90" s="32"/>
    </row>
    <row r="91" spans="1:19" ht="15.6">
      <c r="A91" s="110" t="s">
        <v>328</v>
      </c>
      <c r="B91" s="111" t="s">
        <v>232</v>
      </c>
      <c r="C91" s="112" t="s">
        <v>228</v>
      </c>
      <c r="D91" s="113" t="s">
        <v>17</v>
      </c>
      <c r="E91" s="114" t="s">
        <v>15</v>
      </c>
      <c r="F91" s="115" t="s">
        <v>34</v>
      </c>
      <c r="G91" s="116">
        <v>9.61</v>
      </c>
      <c r="H91" s="125">
        <v>10.199999999999999</v>
      </c>
      <c r="I91" s="32">
        <v>2</v>
      </c>
      <c r="J91" s="117">
        <f t="shared" si="46"/>
        <v>0.196044</v>
      </c>
      <c r="K91" s="118"/>
      <c r="L91" s="111">
        <v>2</v>
      </c>
      <c r="M91" s="117">
        <f t="shared" si="47"/>
        <v>0.196044</v>
      </c>
      <c r="N91" s="119">
        <f t="shared" si="48"/>
        <v>0</v>
      </c>
      <c r="O91" s="120">
        <f t="shared" si="49"/>
        <v>0</v>
      </c>
      <c r="P91" s="111">
        <v>9.5</v>
      </c>
      <c r="Q91" s="32">
        <v>2</v>
      </c>
      <c r="R91" s="32"/>
    </row>
    <row r="92" spans="1:19" ht="15.6">
      <c r="A92" s="110" t="s">
        <v>328</v>
      </c>
      <c r="B92" s="111" t="s">
        <v>232</v>
      </c>
      <c r="C92" s="112" t="s">
        <v>228</v>
      </c>
      <c r="D92" s="113" t="s">
        <v>17</v>
      </c>
      <c r="E92" s="114" t="s">
        <v>15</v>
      </c>
      <c r="F92" s="115" t="s">
        <v>34</v>
      </c>
      <c r="G92" s="116">
        <v>9.61</v>
      </c>
      <c r="H92" s="125">
        <v>9.5</v>
      </c>
      <c r="I92" s="32">
        <v>2</v>
      </c>
      <c r="J92" s="117">
        <f t="shared" si="46"/>
        <v>0.18258999999999997</v>
      </c>
      <c r="K92" s="118"/>
      <c r="L92" s="111">
        <v>2</v>
      </c>
      <c r="M92" s="117">
        <f t="shared" si="47"/>
        <v>0.18258999999999997</v>
      </c>
      <c r="N92" s="119">
        <f t="shared" si="48"/>
        <v>0</v>
      </c>
      <c r="O92" s="120">
        <f t="shared" si="49"/>
        <v>0</v>
      </c>
      <c r="P92" s="111">
        <v>9.5</v>
      </c>
      <c r="Q92" s="32">
        <v>2</v>
      </c>
      <c r="R92" s="32"/>
    </row>
    <row r="93" spans="1:19" ht="15.6">
      <c r="A93" s="110" t="s">
        <v>328</v>
      </c>
      <c r="B93" s="111" t="s">
        <v>232</v>
      </c>
      <c r="C93" s="112" t="s">
        <v>228</v>
      </c>
      <c r="D93" s="113" t="s">
        <v>17</v>
      </c>
      <c r="E93" s="114" t="s">
        <v>15</v>
      </c>
      <c r="F93" s="115" t="s">
        <v>34</v>
      </c>
      <c r="G93" s="116">
        <v>9.61</v>
      </c>
      <c r="H93" s="125">
        <v>9</v>
      </c>
      <c r="I93" s="32">
        <v>2</v>
      </c>
      <c r="J93" s="117">
        <f t="shared" si="46"/>
        <v>0.17297999999999999</v>
      </c>
      <c r="K93" s="118"/>
      <c r="L93" s="111">
        <v>2</v>
      </c>
      <c r="M93" s="117">
        <f t="shared" si="47"/>
        <v>0.17297999999999999</v>
      </c>
      <c r="N93" s="119">
        <f t="shared" si="48"/>
        <v>0</v>
      </c>
      <c r="O93" s="120">
        <f t="shared" si="49"/>
        <v>0</v>
      </c>
      <c r="P93" s="111"/>
      <c r="Q93" s="32"/>
      <c r="R93" s="32"/>
    </row>
    <row r="94" spans="1:19" ht="15.6">
      <c r="A94" s="110" t="s">
        <v>328</v>
      </c>
      <c r="B94" s="111" t="s">
        <v>232</v>
      </c>
      <c r="C94" s="112" t="s">
        <v>228</v>
      </c>
      <c r="D94" s="113" t="s">
        <v>17</v>
      </c>
      <c r="E94" s="114" t="s">
        <v>15</v>
      </c>
      <c r="F94" s="115" t="s">
        <v>34</v>
      </c>
      <c r="G94" s="116">
        <v>9.61</v>
      </c>
      <c r="H94" s="125">
        <v>8.1</v>
      </c>
      <c r="I94" s="32">
        <v>4</v>
      </c>
      <c r="J94" s="117">
        <f t="shared" ref="J94:J105" si="50">H94*G94*I94/1000</f>
        <v>0.31136399999999997</v>
      </c>
      <c r="K94" s="118"/>
      <c r="L94" s="111">
        <v>4</v>
      </c>
      <c r="M94" s="117">
        <f t="shared" ref="M94:M105" si="51">H94*L94*G94/1000</f>
        <v>0.31136399999999997</v>
      </c>
      <c r="N94" s="119">
        <f t="shared" ref="N94:N105" si="52">I94-L94</f>
        <v>0</v>
      </c>
      <c r="O94" s="120">
        <f t="shared" ref="O94:O105" si="53">H94*N94*G94/1000</f>
        <v>0</v>
      </c>
      <c r="P94" s="111"/>
      <c r="Q94" s="32"/>
      <c r="R94" s="32"/>
    </row>
    <row r="95" spans="1:19" ht="15.6">
      <c r="A95" s="110" t="s">
        <v>328</v>
      </c>
      <c r="B95" s="111" t="s">
        <v>232</v>
      </c>
      <c r="C95" s="112" t="s">
        <v>228</v>
      </c>
      <c r="D95" s="113" t="s">
        <v>17</v>
      </c>
      <c r="E95" s="114" t="s">
        <v>15</v>
      </c>
      <c r="F95" s="115" t="s">
        <v>34</v>
      </c>
      <c r="G95" s="116">
        <v>9.61</v>
      </c>
      <c r="H95" s="125">
        <v>7.7</v>
      </c>
      <c r="I95" s="32">
        <v>4</v>
      </c>
      <c r="J95" s="117">
        <f t="shared" si="50"/>
        <v>0.29598799999999997</v>
      </c>
      <c r="K95" s="118"/>
      <c r="L95" s="111">
        <v>4</v>
      </c>
      <c r="M95" s="117">
        <f t="shared" si="51"/>
        <v>0.29598799999999997</v>
      </c>
      <c r="N95" s="119">
        <f t="shared" si="52"/>
        <v>0</v>
      </c>
      <c r="O95" s="120">
        <f t="shared" si="53"/>
        <v>0</v>
      </c>
      <c r="P95" s="111"/>
      <c r="Q95" s="32"/>
      <c r="R95" s="32"/>
    </row>
    <row r="96" spans="1:19" ht="15.6">
      <c r="A96" s="110" t="s">
        <v>328</v>
      </c>
      <c r="B96" s="111" t="s">
        <v>232</v>
      </c>
      <c r="C96" s="112" t="s">
        <v>228</v>
      </c>
      <c r="D96" s="113" t="s">
        <v>17</v>
      </c>
      <c r="E96" s="114" t="s">
        <v>15</v>
      </c>
      <c r="F96" s="115" t="s">
        <v>34</v>
      </c>
      <c r="G96" s="116">
        <v>9.61</v>
      </c>
      <c r="H96" s="125">
        <v>6.9</v>
      </c>
      <c r="I96" s="32">
        <v>1</v>
      </c>
      <c r="J96" s="117">
        <f t="shared" si="50"/>
        <v>6.6308999999999993E-2</v>
      </c>
      <c r="K96" s="118"/>
      <c r="L96" s="111">
        <v>1</v>
      </c>
      <c r="M96" s="117">
        <f t="shared" si="51"/>
        <v>6.6308999999999993E-2</v>
      </c>
      <c r="N96" s="119">
        <f t="shared" si="52"/>
        <v>0</v>
      </c>
      <c r="O96" s="120">
        <f t="shared" si="53"/>
        <v>0</v>
      </c>
      <c r="P96" s="111"/>
      <c r="Q96" s="32"/>
      <c r="R96" s="32"/>
    </row>
    <row r="97" spans="1:20" ht="15.6">
      <c r="A97" s="110" t="s">
        <v>328</v>
      </c>
      <c r="B97" s="111" t="s">
        <v>232</v>
      </c>
      <c r="C97" s="112" t="s">
        <v>228</v>
      </c>
      <c r="D97" s="113" t="s">
        <v>17</v>
      </c>
      <c r="E97" s="114" t="s">
        <v>15</v>
      </c>
      <c r="F97" s="115" t="s">
        <v>34</v>
      </c>
      <c r="G97" s="116">
        <v>9.61</v>
      </c>
      <c r="H97" s="125">
        <v>11</v>
      </c>
      <c r="I97" s="32">
        <v>6</v>
      </c>
      <c r="J97" s="117">
        <f t="shared" si="50"/>
        <v>0.63426000000000005</v>
      </c>
      <c r="K97" s="118"/>
      <c r="L97" s="111">
        <v>6</v>
      </c>
      <c r="M97" s="117">
        <f t="shared" si="51"/>
        <v>0.63426000000000005</v>
      </c>
      <c r="N97" s="119">
        <f t="shared" si="52"/>
        <v>0</v>
      </c>
      <c r="O97" s="120">
        <f t="shared" si="53"/>
        <v>0</v>
      </c>
      <c r="P97" s="111"/>
      <c r="Q97" s="32"/>
      <c r="R97" s="32"/>
    </row>
    <row r="98" spans="1:20" ht="15.6">
      <c r="A98" s="110" t="s">
        <v>328</v>
      </c>
      <c r="B98" s="111" t="s">
        <v>232</v>
      </c>
      <c r="C98" s="112" t="s">
        <v>228</v>
      </c>
      <c r="D98" s="113" t="s">
        <v>17</v>
      </c>
      <c r="E98" s="114" t="s">
        <v>15</v>
      </c>
      <c r="F98" s="115" t="s">
        <v>34</v>
      </c>
      <c r="G98" s="116">
        <v>9.61</v>
      </c>
      <c r="H98" s="125">
        <v>9.4</v>
      </c>
      <c r="I98" s="32">
        <v>2</v>
      </c>
      <c r="J98" s="117">
        <f t="shared" si="50"/>
        <v>0.180668</v>
      </c>
      <c r="K98" s="118"/>
      <c r="L98" s="111">
        <v>2</v>
      </c>
      <c r="M98" s="117">
        <f t="shared" si="51"/>
        <v>0.180668</v>
      </c>
      <c r="N98" s="119">
        <f t="shared" si="52"/>
        <v>0</v>
      </c>
      <c r="O98" s="120">
        <f t="shared" si="53"/>
        <v>0</v>
      </c>
      <c r="P98" s="111">
        <v>9.4</v>
      </c>
      <c r="Q98" s="32">
        <v>2</v>
      </c>
      <c r="R98" s="32" t="s">
        <v>283</v>
      </c>
    </row>
    <row r="99" spans="1:20" ht="15.6">
      <c r="A99" s="110" t="s">
        <v>328</v>
      </c>
      <c r="B99" s="111" t="s">
        <v>232</v>
      </c>
      <c r="C99" s="112" t="s">
        <v>228</v>
      </c>
      <c r="D99" s="113" t="s">
        <v>17</v>
      </c>
      <c r="E99" s="114" t="s">
        <v>15</v>
      </c>
      <c r="F99" s="115" t="s">
        <v>34</v>
      </c>
      <c r="G99" s="116">
        <v>9.61</v>
      </c>
      <c r="H99" s="125">
        <v>12</v>
      </c>
      <c r="I99" s="32">
        <v>6</v>
      </c>
      <c r="J99" s="117">
        <f t="shared" si="50"/>
        <v>0.69191999999999998</v>
      </c>
      <c r="K99" s="118"/>
      <c r="L99" s="111">
        <v>6</v>
      </c>
      <c r="M99" s="117">
        <f t="shared" si="51"/>
        <v>0.69191999999999998</v>
      </c>
      <c r="N99" s="119">
        <f t="shared" si="52"/>
        <v>0</v>
      </c>
      <c r="O99" s="120">
        <f t="shared" si="53"/>
        <v>0</v>
      </c>
      <c r="P99" s="111">
        <v>10.6</v>
      </c>
      <c r="Q99" s="32">
        <v>6</v>
      </c>
      <c r="R99" s="32" t="s">
        <v>283</v>
      </c>
    </row>
    <row r="100" spans="1:20" ht="15.6">
      <c r="A100" s="110" t="s">
        <v>328</v>
      </c>
      <c r="B100" s="111" t="s">
        <v>232</v>
      </c>
      <c r="C100" s="112" t="s">
        <v>228</v>
      </c>
      <c r="D100" s="113" t="s">
        <v>17</v>
      </c>
      <c r="E100" s="114" t="s">
        <v>15</v>
      </c>
      <c r="F100" s="115" t="s">
        <v>34</v>
      </c>
      <c r="G100" s="116">
        <v>9.61</v>
      </c>
      <c r="H100" s="125">
        <v>11.6</v>
      </c>
      <c r="I100" s="32">
        <v>2</v>
      </c>
      <c r="J100" s="117">
        <f t="shared" si="50"/>
        <v>0.22295199999999998</v>
      </c>
      <c r="K100" s="118"/>
      <c r="L100" s="111">
        <f>1+1</f>
        <v>2</v>
      </c>
      <c r="M100" s="117">
        <f t="shared" si="51"/>
        <v>0.22295199999999998</v>
      </c>
      <c r="N100" s="119">
        <f t="shared" si="52"/>
        <v>0</v>
      </c>
      <c r="O100" s="120">
        <f t="shared" si="53"/>
        <v>0</v>
      </c>
      <c r="P100" s="111">
        <v>11</v>
      </c>
      <c r="Q100" s="32">
        <v>1</v>
      </c>
      <c r="R100" s="32">
        <v>10.6</v>
      </c>
      <c r="S100">
        <v>1</v>
      </c>
      <c r="T100" s="32" t="s">
        <v>283</v>
      </c>
    </row>
    <row r="101" spans="1:20" ht="15.6">
      <c r="A101" s="110" t="s">
        <v>328</v>
      </c>
      <c r="B101" s="111" t="s">
        <v>232</v>
      </c>
      <c r="C101" s="112" t="s">
        <v>228</v>
      </c>
      <c r="D101" s="113" t="s">
        <v>17</v>
      </c>
      <c r="E101" s="114" t="s">
        <v>15</v>
      </c>
      <c r="F101" s="115" t="s">
        <v>34</v>
      </c>
      <c r="G101" s="116">
        <v>9.61</v>
      </c>
      <c r="H101" s="125">
        <v>11</v>
      </c>
      <c r="I101" s="32">
        <v>7</v>
      </c>
      <c r="J101" s="117">
        <f t="shared" si="50"/>
        <v>0.73996999999999991</v>
      </c>
      <c r="K101" s="118"/>
      <c r="L101" s="111">
        <v>7</v>
      </c>
      <c r="M101" s="117">
        <f t="shared" si="51"/>
        <v>0.73996999999999991</v>
      </c>
      <c r="N101" s="119">
        <f t="shared" si="52"/>
        <v>0</v>
      </c>
      <c r="O101" s="120">
        <f t="shared" si="53"/>
        <v>0</v>
      </c>
      <c r="P101" s="111"/>
      <c r="Q101" s="32"/>
      <c r="R101" s="32"/>
    </row>
    <row r="102" spans="1:20" ht="15.6">
      <c r="A102" s="110" t="s">
        <v>328</v>
      </c>
      <c r="B102" s="111" t="s">
        <v>232</v>
      </c>
      <c r="C102" s="112" t="s">
        <v>228</v>
      </c>
      <c r="D102" s="113" t="s">
        <v>17</v>
      </c>
      <c r="E102" s="114" t="s">
        <v>15</v>
      </c>
      <c r="F102" s="115" t="s">
        <v>34</v>
      </c>
      <c r="G102" s="116">
        <v>9.61</v>
      </c>
      <c r="H102" s="125">
        <v>10.7</v>
      </c>
      <c r="I102" s="32">
        <v>1</v>
      </c>
      <c r="J102" s="117">
        <f t="shared" si="50"/>
        <v>0.10282699999999999</v>
      </c>
      <c r="K102" s="118"/>
      <c r="L102" s="111">
        <v>1</v>
      </c>
      <c r="M102" s="117">
        <f t="shared" si="51"/>
        <v>0.10282699999999999</v>
      </c>
      <c r="N102" s="119">
        <f t="shared" si="52"/>
        <v>0</v>
      </c>
      <c r="O102" s="120">
        <f t="shared" si="53"/>
        <v>0</v>
      </c>
      <c r="P102" s="111">
        <v>9.5</v>
      </c>
      <c r="Q102" s="32">
        <v>1</v>
      </c>
      <c r="R102" s="32"/>
    </row>
    <row r="103" spans="1:20" ht="15.6">
      <c r="A103" s="110" t="s">
        <v>328</v>
      </c>
      <c r="B103" s="111" t="s">
        <v>232</v>
      </c>
      <c r="C103" s="112" t="s">
        <v>228</v>
      </c>
      <c r="D103" s="113" t="s">
        <v>17</v>
      </c>
      <c r="E103" s="114" t="s">
        <v>15</v>
      </c>
      <c r="F103" s="115" t="s">
        <v>34</v>
      </c>
      <c r="G103" s="116">
        <v>9.61</v>
      </c>
      <c r="H103" s="125">
        <v>10.5</v>
      </c>
      <c r="I103" s="32">
        <v>5</v>
      </c>
      <c r="J103" s="117">
        <f t="shared" si="50"/>
        <v>0.504525</v>
      </c>
      <c r="K103" s="118"/>
      <c r="L103" s="111">
        <f>4+1</f>
        <v>5</v>
      </c>
      <c r="M103" s="117">
        <f t="shared" si="51"/>
        <v>0.504525</v>
      </c>
      <c r="N103" s="119">
        <f t="shared" si="52"/>
        <v>0</v>
      </c>
      <c r="O103" s="120">
        <f t="shared" si="53"/>
        <v>0</v>
      </c>
      <c r="P103" s="111">
        <v>9.5</v>
      </c>
      <c r="Q103" s="32">
        <v>1</v>
      </c>
      <c r="R103" s="32"/>
    </row>
    <row r="104" spans="1:20" ht="15.6">
      <c r="A104" s="110" t="s">
        <v>328</v>
      </c>
      <c r="B104" s="111" t="s">
        <v>232</v>
      </c>
      <c r="C104" s="112" t="s">
        <v>228</v>
      </c>
      <c r="D104" s="113" t="s">
        <v>17</v>
      </c>
      <c r="E104" s="114" t="s">
        <v>15</v>
      </c>
      <c r="F104" s="115" t="s">
        <v>34</v>
      </c>
      <c r="G104" s="116">
        <v>9.61</v>
      </c>
      <c r="H104" s="125">
        <v>8.1</v>
      </c>
      <c r="I104" s="32">
        <v>25</v>
      </c>
      <c r="J104" s="117">
        <f t="shared" si="50"/>
        <v>1.9460249999999999</v>
      </c>
      <c r="K104" s="118"/>
      <c r="L104" s="111">
        <v>25</v>
      </c>
      <c r="M104" s="117">
        <f t="shared" si="51"/>
        <v>1.9460249999999999</v>
      </c>
      <c r="N104" s="119">
        <f t="shared" si="52"/>
        <v>0</v>
      </c>
      <c r="O104" s="120">
        <f t="shared" si="53"/>
        <v>0</v>
      </c>
      <c r="P104" s="111"/>
      <c r="Q104" s="32"/>
      <c r="R104" s="32"/>
    </row>
    <row r="105" spans="1:20" ht="15.6">
      <c r="A105" s="110" t="s">
        <v>328</v>
      </c>
      <c r="B105" s="111" t="s">
        <v>232</v>
      </c>
      <c r="C105" s="112" t="s">
        <v>228</v>
      </c>
      <c r="D105" s="113" t="s">
        <v>17</v>
      </c>
      <c r="E105" s="114" t="s">
        <v>15</v>
      </c>
      <c r="F105" s="115" t="s">
        <v>34</v>
      </c>
      <c r="G105" s="116">
        <v>9.61</v>
      </c>
      <c r="H105" s="125">
        <v>9.5</v>
      </c>
      <c r="I105" s="32">
        <f>11+16</f>
        <v>27</v>
      </c>
      <c r="J105" s="117">
        <f t="shared" si="50"/>
        <v>2.4649649999999999</v>
      </c>
      <c r="K105" s="118"/>
      <c r="L105" s="111">
        <v>27</v>
      </c>
      <c r="M105" s="117">
        <f t="shared" si="51"/>
        <v>2.4649649999999999</v>
      </c>
      <c r="N105" s="119">
        <f t="shared" si="52"/>
        <v>0</v>
      </c>
      <c r="O105" s="120">
        <f t="shared" si="53"/>
        <v>0</v>
      </c>
      <c r="P105" s="111"/>
      <c r="Q105" s="32"/>
      <c r="R105" s="32"/>
    </row>
    <row r="106" spans="1:20" ht="15.6">
      <c r="A106" s="110" t="s">
        <v>328</v>
      </c>
      <c r="B106" s="111" t="s">
        <v>232</v>
      </c>
      <c r="C106" s="112" t="s">
        <v>228</v>
      </c>
      <c r="D106" s="113" t="s">
        <v>17</v>
      </c>
      <c r="E106" s="114" t="s">
        <v>15</v>
      </c>
      <c r="F106" s="115" t="s">
        <v>34</v>
      </c>
      <c r="G106" s="116">
        <v>9.61</v>
      </c>
      <c r="H106" s="125">
        <v>10.199999999999999</v>
      </c>
      <c r="I106" s="32">
        <f>9+20</f>
        <v>29</v>
      </c>
      <c r="J106" s="117">
        <f t="shared" ref="J106:J109" si="54">H106*G106*I106/1000</f>
        <v>2.842638</v>
      </c>
      <c r="K106" s="118"/>
      <c r="L106" s="111">
        <v>29</v>
      </c>
      <c r="M106" s="117">
        <f t="shared" ref="M106:M110" si="55">H106*L106*G106/1000</f>
        <v>2.8426379999999996</v>
      </c>
      <c r="N106" s="119">
        <f t="shared" ref="N106:N110" si="56">I106-L106</f>
        <v>0</v>
      </c>
      <c r="O106" s="120">
        <f t="shared" ref="O106:O110" si="57">H106*N106*G106/1000</f>
        <v>0</v>
      </c>
      <c r="P106" s="111"/>
      <c r="Q106" s="32"/>
      <c r="R106" s="32"/>
    </row>
    <row r="107" spans="1:20" ht="15.6">
      <c r="A107" s="110" t="s">
        <v>328</v>
      </c>
      <c r="B107" s="111" t="s">
        <v>232</v>
      </c>
      <c r="C107" s="112" t="s">
        <v>228</v>
      </c>
      <c r="D107" s="113" t="s">
        <v>17</v>
      </c>
      <c r="E107" s="114" t="s">
        <v>15</v>
      </c>
      <c r="F107" s="115" t="s">
        <v>34</v>
      </c>
      <c r="G107" s="116">
        <v>9.61</v>
      </c>
      <c r="H107" s="125">
        <v>10.5</v>
      </c>
      <c r="I107" s="32">
        <f>14+19</f>
        <v>33</v>
      </c>
      <c r="J107" s="117">
        <f t="shared" si="54"/>
        <v>3.3298650000000003</v>
      </c>
      <c r="K107" s="118"/>
      <c r="L107" s="111">
        <v>33</v>
      </c>
      <c r="M107" s="117">
        <f t="shared" si="55"/>
        <v>3.3298649999999999</v>
      </c>
      <c r="N107" s="119">
        <f t="shared" si="56"/>
        <v>0</v>
      </c>
      <c r="O107" s="120">
        <f t="shared" si="57"/>
        <v>0</v>
      </c>
      <c r="P107" s="111"/>
      <c r="Q107" s="32"/>
      <c r="R107" s="32"/>
    </row>
    <row r="108" spans="1:20" ht="15.6">
      <c r="A108" s="110" t="s">
        <v>328</v>
      </c>
      <c r="B108" s="111" t="s">
        <v>232</v>
      </c>
      <c r="C108" s="112" t="s">
        <v>228</v>
      </c>
      <c r="D108" s="113" t="s">
        <v>17</v>
      </c>
      <c r="E108" s="114" t="s">
        <v>15</v>
      </c>
      <c r="F108" s="115" t="s">
        <v>34</v>
      </c>
      <c r="G108" s="116">
        <v>9.61</v>
      </c>
      <c r="H108" s="125">
        <v>10.9</v>
      </c>
      <c r="I108" s="32">
        <f>18+27+23</f>
        <v>68</v>
      </c>
      <c r="J108" s="117">
        <f t="shared" si="54"/>
        <v>7.1229319999999996</v>
      </c>
      <c r="K108" s="118"/>
      <c r="L108" s="111">
        <v>68</v>
      </c>
      <c r="M108" s="117">
        <f t="shared" si="55"/>
        <v>7.1229319999999996</v>
      </c>
      <c r="N108" s="119">
        <f t="shared" si="56"/>
        <v>0</v>
      </c>
      <c r="O108" s="120">
        <f t="shared" si="57"/>
        <v>0</v>
      </c>
      <c r="P108" s="111"/>
      <c r="Q108" s="32"/>
      <c r="R108" s="32"/>
    </row>
    <row r="109" spans="1:20" ht="15.6">
      <c r="A109" s="110" t="s">
        <v>328</v>
      </c>
      <c r="B109" s="111" t="s">
        <v>232</v>
      </c>
      <c r="C109" s="112" t="s">
        <v>228</v>
      </c>
      <c r="D109" s="113" t="s">
        <v>17</v>
      </c>
      <c r="E109" s="114" t="s">
        <v>15</v>
      </c>
      <c r="F109" s="115" t="s">
        <v>34</v>
      </c>
      <c r="G109" s="116">
        <v>9.61</v>
      </c>
      <c r="H109" s="125">
        <v>11.6</v>
      </c>
      <c r="I109" s="32">
        <f>13+3</f>
        <v>16</v>
      </c>
      <c r="J109" s="117">
        <f t="shared" si="54"/>
        <v>1.7836159999999999</v>
      </c>
      <c r="K109" s="118"/>
      <c r="L109" s="111">
        <v>16</v>
      </c>
      <c r="M109" s="117">
        <f t="shared" si="55"/>
        <v>1.7836159999999999</v>
      </c>
      <c r="N109" s="119">
        <f t="shared" si="56"/>
        <v>0</v>
      </c>
      <c r="O109" s="120">
        <f t="shared" si="57"/>
        <v>0</v>
      </c>
      <c r="P109" s="111"/>
      <c r="Q109" s="32"/>
      <c r="R109" s="32"/>
    </row>
    <row r="110" spans="1:20" ht="15.6">
      <c r="A110" s="110" t="s">
        <v>328</v>
      </c>
      <c r="B110" s="111" t="s">
        <v>232</v>
      </c>
      <c r="C110" s="112" t="s">
        <v>228</v>
      </c>
      <c r="D110" s="113" t="s">
        <v>17</v>
      </c>
      <c r="E110" s="114" t="s">
        <v>15</v>
      </c>
      <c r="F110" s="115" t="s">
        <v>34</v>
      </c>
      <c r="G110" s="116">
        <v>9.61</v>
      </c>
      <c r="H110" s="125">
        <v>12</v>
      </c>
      <c r="I110" s="32">
        <v>17</v>
      </c>
      <c r="J110" s="117">
        <f>H110*G110*I110/1000</f>
        <v>1.9604399999999997</v>
      </c>
      <c r="K110" s="118"/>
      <c r="L110" s="111">
        <v>17</v>
      </c>
      <c r="M110" s="117">
        <f t="shared" si="55"/>
        <v>1.9604399999999997</v>
      </c>
      <c r="N110" s="119">
        <f t="shared" si="56"/>
        <v>0</v>
      </c>
      <c r="O110" s="120">
        <f t="shared" si="57"/>
        <v>0</v>
      </c>
      <c r="P110" s="111"/>
      <c r="Q110" s="32"/>
      <c r="R110" s="32"/>
    </row>
    <row r="111" spans="1:20">
      <c r="I111" s="215">
        <f>SUM(I90:I110)</f>
        <v>263</v>
      </c>
      <c r="J111" s="214">
        <f>SUM(J90:J110)</f>
        <v>26.214157999999994</v>
      </c>
      <c r="L111" s="215">
        <f>SUM(L90:L110)</f>
        <v>263</v>
      </c>
      <c r="M111" s="214">
        <f>SUM(M90:M110)</f>
        <v>26.214157999999994</v>
      </c>
      <c r="N111" s="78">
        <f>SUM(N90:N110)</f>
        <v>0</v>
      </c>
      <c r="O111" s="128">
        <f>SUM(O90:O110)</f>
        <v>0</v>
      </c>
    </row>
    <row r="113" spans="1:19" ht="15.6">
      <c r="A113" s="110" t="s">
        <v>328</v>
      </c>
      <c r="B113" s="111" t="s">
        <v>232</v>
      </c>
      <c r="C113" s="112" t="s">
        <v>228</v>
      </c>
      <c r="D113" s="113" t="s">
        <v>24</v>
      </c>
      <c r="E113" s="114" t="s">
        <v>14</v>
      </c>
      <c r="F113" s="115" t="s">
        <v>34</v>
      </c>
      <c r="G113" s="116">
        <v>9.61</v>
      </c>
      <c r="H113" s="125">
        <v>9</v>
      </c>
      <c r="I113" s="32">
        <v>6</v>
      </c>
      <c r="J113" s="117">
        <f t="shared" ref="J113:J116" si="58">H113*G113*I113/1000</f>
        <v>0.51893999999999996</v>
      </c>
      <c r="K113" s="118"/>
      <c r="L113" s="111">
        <v>6</v>
      </c>
      <c r="M113" s="117">
        <f t="shared" ref="M113:M116" si="59">H113*L113*G113/1000</f>
        <v>0.51893999999999996</v>
      </c>
      <c r="N113" s="119">
        <f t="shared" ref="N113:N116" si="60">I113-L113</f>
        <v>0</v>
      </c>
      <c r="O113" s="120">
        <f t="shared" ref="O113:O116" si="61">H113*N113*G113/1000</f>
        <v>0</v>
      </c>
      <c r="P113" s="111"/>
      <c r="Q113" s="32"/>
      <c r="R113" s="32"/>
    </row>
    <row r="114" spans="1:19" ht="15.6">
      <c r="A114" s="110" t="s">
        <v>328</v>
      </c>
      <c r="B114" s="111" t="s">
        <v>232</v>
      </c>
      <c r="C114" s="112" t="s">
        <v>228</v>
      </c>
      <c r="D114" s="113" t="s">
        <v>24</v>
      </c>
      <c r="E114" s="114" t="s">
        <v>14</v>
      </c>
      <c r="F114" s="115" t="s">
        <v>34</v>
      </c>
      <c r="G114" s="116">
        <v>9.61</v>
      </c>
      <c r="H114" s="125">
        <v>12</v>
      </c>
      <c r="I114" s="32">
        <v>21</v>
      </c>
      <c r="J114" s="117">
        <f t="shared" si="58"/>
        <v>2.4217199999999997</v>
      </c>
      <c r="K114" s="118"/>
      <c r="L114" s="111"/>
      <c r="M114" s="117">
        <f t="shared" si="59"/>
        <v>0</v>
      </c>
      <c r="N114" s="119">
        <f t="shared" si="60"/>
        <v>21</v>
      </c>
      <c r="O114" s="120">
        <f t="shared" si="61"/>
        <v>2.4217199999999997</v>
      </c>
      <c r="P114" s="111"/>
      <c r="Q114" s="32"/>
      <c r="R114" s="32"/>
    </row>
    <row r="115" spans="1:19" ht="15.6">
      <c r="A115" s="110" t="s">
        <v>328</v>
      </c>
      <c r="B115" s="111" t="s">
        <v>232</v>
      </c>
      <c r="C115" s="112" t="s">
        <v>228</v>
      </c>
      <c r="D115" s="113" t="s">
        <v>24</v>
      </c>
      <c r="E115" s="114" t="s">
        <v>14</v>
      </c>
      <c r="F115" s="115" t="s">
        <v>34</v>
      </c>
      <c r="G115" s="116">
        <v>9.61</v>
      </c>
      <c r="H115" s="125">
        <v>9</v>
      </c>
      <c r="I115" s="32">
        <v>2</v>
      </c>
      <c r="J115" s="117">
        <f t="shared" si="58"/>
        <v>0.17297999999999999</v>
      </c>
      <c r="K115" s="118"/>
      <c r="L115" s="111"/>
      <c r="M115" s="117">
        <f t="shared" si="59"/>
        <v>0</v>
      </c>
      <c r="N115" s="119">
        <f t="shared" si="60"/>
        <v>2</v>
      </c>
      <c r="O115" s="120">
        <f t="shared" si="61"/>
        <v>0.17297999999999999</v>
      </c>
      <c r="P115" s="111"/>
      <c r="Q115" s="32"/>
      <c r="R115" s="32"/>
    </row>
    <row r="116" spans="1:19" ht="15.6">
      <c r="A116" s="110" t="s">
        <v>328</v>
      </c>
      <c r="B116" s="111" t="s">
        <v>232</v>
      </c>
      <c r="C116" s="112" t="s">
        <v>228</v>
      </c>
      <c r="D116" s="113" t="s">
        <v>24</v>
      </c>
      <c r="E116" s="114" t="s">
        <v>14</v>
      </c>
      <c r="F116" s="115" t="s">
        <v>34</v>
      </c>
      <c r="G116" s="116">
        <v>9.61</v>
      </c>
      <c r="H116" s="125">
        <v>8.1999999999999993</v>
      </c>
      <c r="I116" s="32">
        <v>1</v>
      </c>
      <c r="J116" s="117">
        <f t="shared" si="58"/>
        <v>7.8801999999999997E-2</v>
      </c>
      <c r="K116" s="118"/>
      <c r="L116" s="111"/>
      <c r="M116" s="117">
        <f t="shared" si="59"/>
        <v>0</v>
      </c>
      <c r="N116" s="119">
        <f t="shared" si="60"/>
        <v>1</v>
      </c>
      <c r="O116" s="120">
        <f t="shared" si="61"/>
        <v>7.8801999999999997E-2</v>
      </c>
      <c r="P116" s="111"/>
      <c r="Q116" s="32"/>
      <c r="R116" s="32"/>
    </row>
    <row r="117" spans="1:19">
      <c r="I117" s="215">
        <f>SUM(I113:I116)</f>
        <v>30</v>
      </c>
      <c r="J117" s="214">
        <f>SUM(J113:J116)</f>
        <v>3.1924419999999993</v>
      </c>
      <c r="L117" s="215">
        <f>SUM(L113:L116)</f>
        <v>6</v>
      </c>
      <c r="M117" s="214">
        <f>SUM(M113:M116)</f>
        <v>0.51893999999999996</v>
      </c>
      <c r="N117" s="78">
        <f>SUM(N113:N116)</f>
        <v>24</v>
      </c>
      <c r="O117" s="128">
        <f>SUM(O113:O116)</f>
        <v>2.6735019999999996</v>
      </c>
    </row>
    <row r="119" spans="1:19" ht="15.6">
      <c r="A119" s="110" t="s">
        <v>363</v>
      </c>
      <c r="B119" s="111" t="s">
        <v>232</v>
      </c>
      <c r="C119" s="112" t="s">
        <v>364</v>
      </c>
      <c r="D119" s="113" t="s">
        <v>24</v>
      </c>
      <c r="E119" s="114" t="s">
        <v>14</v>
      </c>
      <c r="F119" s="115" t="s">
        <v>32</v>
      </c>
      <c r="G119" s="116">
        <v>8.32</v>
      </c>
      <c r="H119" s="125">
        <v>12</v>
      </c>
      <c r="I119" s="111">
        <v>36</v>
      </c>
      <c r="J119" s="117">
        <f t="shared" ref="J119:J122" si="62">H119*G119*I119/1000</f>
        <v>3.5942400000000001</v>
      </c>
      <c r="K119" s="118"/>
      <c r="L119" s="111">
        <v>36</v>
      </c>
      <c r="M119" s="117">
        <f t="shared" ref="M119:M122" si="63">H119*L119*G119/1000</f>
        <v>3.5942400000000001</v>
      </c>
      <c r="N119" s="119">
        <f t="shared" ref="N119:N122" si="64">I119-L119</f>
        <v>0</v>
      </c>
      <c r="O119" s="120">
        <f t="shared" ref="O119:O122" si="65">H119*N119*G119/1000</f>
        <v>0</v>
      </c>
      <c r="P119" s="111"/>
      <c r="Q119" s="32"/>
      <c r="R119" s="32"/>
    </row>
    <row r="120" spans="1:19" ht="15.6">
      <c r="A120" s="110" t="s">
        <v>363</v>
      </c>
      <c r="B120" s="111" t="s">
        <v>232</v>
      </c>
      <c r="C120" s="112" t="s">
        <v>364</v>
      </c>
      <c r="D120" s="113" t="s">
        <v>24</v>
      </c>
      <c r="E120" s="114" t="s">
        <v>14</v>
      </c>
      <c r="F120" s="115" t="s">
        <v>32</v>
      </c>
      <c r="G120" s="116">
        <v>8.32</v>
      </c>
      <c r="H120" s="125">
        <v>11</v>
      </c>
      <c r="I120" s="111">
        <v>19</v>
      </c>
      <c r="J120" s="117">
        <f t="shared" si="62"/>
        <v>1.7388800000000002</v>
      </c>
      <c r="K120" s="118"/>
      <c r="L120" s="111">
        <v>19</v>
      </c>
      <c r="M120" s="117">
        <f t="shared" si="63"/>
        <v>1.7388800000000002</v>
      </c>
      <c r="N120" s="119">
        <f t="shared" si="64"/>
        <v>0</v>
      </c>
      <c r="O120" s="120">
        <f t="shared" si="65"/>
        <v>0</v>
      </c>
      <c r="P120" s="111"/>
      <c r="Q120" s="32"/>
      <c r="R120" s="32"/>
    </row>
    <row r="121" spans="1:19" ht="15.6">
      <c r="A121" s="110" t="s">
        <v>363</v>
      </c>
      <c r="B121" s="111" t="s">
        <v>232</v>
      </c>
      <c r="C121" s="112" t="s">
        <v>364</v>
      </c>
      <c r="D121" s="113" t="s">
        <v>24</v>
      </c>
      <c r="E121" s="114" t="s">
        <v>14</v>
      </c>
      <c r="F121" s="115" t="s">
        <v>32</v>
      </c>
      <c r="G121" s="116">
        <v>8.32</v>
      </c>
      <c r="H121" s="125">
        <v>9</v>
      </c>
      <c r="I121" s="111">
        <v>14</v>
      </c>
      <c r="J121" s="117">
        <f t="shared" si="62"/>
        <v>1.0483199999999999</v>
      </c>
      <c r="K121" s="118"/>
      <c r="L121" s="111">
        <f>6+8</f>
        <v>14</v>
      </c>
      <c r="M121" s="117">
        <f t="shared" si="63"/>
        <v>1.0483199999999999</v>
      </c>
      <c r="N121" s="119">
        <f t="shared" si="64"/>
        <v>0</v>
      </c>
      <c r="O121" s="120">
        <f t="shared" si="65"/>
        <v>0</v>
      </c>
      <c r="P121" s="111"/>
      <c r="Q121" s="32"/>
      <c r="R121" s="32"/>
    </row>
    <row r="122" spans="1:19" ht="15.6">
      <c r="A122" s="110" t="s">
        <v>363</v>
      </c>
      <c r="B122" s="111" t="s">
        <v>232</v>
      </c>
      <c r="C122" s="112" t="s">
        <v>364</v>
      </c>
      <c r="D122" s="113" t="s">
        <v>24</v>
      </c>
      <c r="E122" s="114" t="s">
        <v>14</v>
      </c>
      <c r="F122" s="115" t="s">
        <v>32</v>
      </c>
      <c r="G122" s="116">
        <v>8.32</v>
      </c>
      <c r="H122" s="125">
        <v>10</v>
      </c>
      <c r="I122" s="111">
        <v>3</v>
      </c>
      <c r="J122" s="117">
        <f t="shared" si="62"/>
        <v>0.24960000000000002</v>
      </c>
      <c r="K122" s="118"/>
      <c r="L122" s="111">
        <v>3</v>
      </c>
      <c r="M122" s="117">
        <f t="shared" si="63"/>
        <v>0.24960000000000002</v>
      </c>
      <c r="N122" s="119">
        <f t="shared" si="64"/>
        <v>0</v>
      </c>
      <c r="O122" s="120">
        <f t="shared" si="65"/>
        <v>0</v>
      </c>
      <c r="P122" s="111"/>
      <c r="Q122" s="32"/>
      <c r="R122" s="32"/>
    </row>
    <row r="123" spans="1:19" ht="15.6">
      <c r="A123" s="110" t="s">
        <v>363</v>
      </c>
      <c r="B123" s="111" t="s">
        <v>232</v>
      </c>
      <c r="C123" s="112" t="s">
        <v>364</v>
      </c>
      <c r="D123" s="113" t="s">
        <v>24</v>
      </c>
      <c r="E123" s="114" t="s">
        <v>14</v>
      </c>
      <c r="F123" s="115" t="s">
        <v>32</v>
      </c>
      <c r="G123" s="116">
        <v>8.32</v>
      </c>
      <c r="H123" s="125">
        <v>10.5</v>
      </c>
      <c r="I123" s="111">
        <v>2</v>
      </c>
      <c r="J123" s="117">
        <f t="shared" ref="J123:J132" si="66">H123*G123*I123/1000</f>
        <v>0.17471999999999999</v>
      </c>
      <c r="K123" s="118"/>
      <c r="L123" s="111">
        <v>2</v>
      </c>
      <c r="M123" s="117">
        <f t="shared" ref="M123:M132" si="67">H123*L123*G123/1000</f>
        <v>0.17471999999999999</v>
      </c>
      <c r="N123" s="119">
        <f t="shared" ref="N123:N132" si="68">I123-L123</f>
        <v>0</v>
      </c>
      <c r="O123" s="120">
        <f t="shared" ref="O123:O131" si="69">H123*N123*G123/1000</f>
        <v>0</v>
      </c>
      <c r="P123" s="111"/>
      <c r="Q123" s="32"/>
      <c r="R123" s="45">
        <v>8.35</v>
      </c>
      <c r="S123" s="457">
        <v>2</v>
      </c>
    </row>
    <row r="124" spans="1:19" ht="15.6">
      <c r="A124" s="110" t="s">
        <v>363</v>
      </c>
      <c r="B124" s="111" t="s">
        <v>232</v>
      </c>
      <c r="C124" s="112" t="s">
        <v>364</v>
      </c>
      <c r="D124" s="113" t="s">
        <v>24</v>
      </c>
      <c r="E124" s="114" t="s">
        <v>14</v>
      </c>
      <c r="F124" s="115" t="s">
        <v>32</v>
      </c>
      <c r="G124" s="116">
        <v>8.32</v>
      </c>
      <c r="H124" s="125">
        <v>12</v>
      </c>
      <c r="I124" s="111">
        <v>7</v>
      </c>
      <c r="J124" s="117">
        <f t="shared" si="66"/>
        <v>0.69887999999999995</v>
      </c>
      <c r="K124" s="118"/>
      <c r="L124" s="111">
        <v>7</v>
      </c>
      <c r="M124" s="117">
        <f t="shared" si="67"/>
        <v>0.69887999999999995</v>
      </c>
      <c r="N124" s="119">
        <f t="shared" si="68"/>
        <v>0</v>
      </c>
      <c r="O124" s="120">
        <f t="shared" si="69"/>
        <v>0</v>
      </c>
      <c r="P124" s="111"/>
      <c r="Q124" s="32"/>
      <c r="R124" s="45"/>
      <c r="S124" s="457"/>
    </row>
    <row r="125" spans="1:19" ht="15.6">
      <c r="A125" s="110" t="s">
        <v>363</v>
      </c>
      <c r="B125" s="111" t="s">
        <v>232</v>
      </c>
      <c r="C125" s="112" t="s">
        <v>364</v>
      </c>
      <c r="D125" s="113" t="s">
        <v>24</v>
      </c>
      <c r="E125" s="114" t="s">
        <v>14</v>
      </c>
      <c r="F125" s="115" t="s">
        <v>32</v>
      </c>
      <c r="G125" s="116">
        <v>8.32</v>
      </c>
      <c r="H125" s="125">
        <v>9</v>
      </c>
      <c r="I125" s="111">
        <v>19</v>
      </c>
      <c r="J125" s="117">
        <f t="shared" si="66"/>
        <v>1.4227199999999998</v>
      </c>
      <c r="K125" s="118"/>
      <c r="L125" s="111">
        <f>17+2</f>
        <v>19</v>
      </c>
      <c r="M125" s="117">
        <f t="shared" si="67"/>
        <v>1.42272</v>
      </c>
      <c r="N125" s="119">
        <f t="shared" si="68"/>
        <v>0</v>
      </c>
      <c r="O125" s="120">
        <f t="shared" si="69"/>
        <v>0</v>
      </c>
      <c r="P125" s="111"/>
      <c r="Q125" s="32"/>
      <c r="R125" s="45">
        <v>8.35</v>
      </c>
      <c r="S125" s="457">
        <v>2</v>
      </c>
    </row>
    <row r="126" spans="1:19" ht="15.6">
      <c r="A126" s="110" t="s">
        <v>363</v>
      </c>
      <c r="B126" s="111" t="s">
        <v>232</v>
      </c>
      <c r="C126" s="112" t="s">
        <v>364</v>
      </c>
      <c r="D126" s="113" t="s">
        <v>24</v>
      </c>
      <c r="E126" s="114" t="s">
        <v>14</v>
      </c>
      <c r="F126" s="115" t="s">
        <v>32</v>
      </c>
      <c r="G126" s="116">
        <v>8.32</v>
      </c>
      <c r="H126" s="125">
        <v>10</v>
      </c>
      <c r="I126" s="111">
        <v>19</v>
      </c>
      <c r="J126" s="117">
        <f t="shared" si="66"/>
        <v>1.5808</v>
      </c>
      <c r="K126" s="118"/>
      <c r="L126" s="111">
        <f>9+5+3+2</f>
        <v>19</v>
      </c>
      <c r="M126" s="117">
        <f t="shared" si="67"/>
        <v>1.5808</v>
      </c>
      <c r="N126" s="119">
        <f t="shared" si="68"/>
        <v>0</v>
      </c>
      <c r="O126" s="120">
        <f t="shared" si="69"/>
        <v>0</v>
      </c>
      <c r="P126" s="111"/>
      <c r="Q126" s="32"/>
      <c r="R126" s="45">
        <v>8.35</v>
      </c>
      <c r="S126" s="457">
        <v>2</v>
      </c>
    </row>
    <row r="127" spans="1:19" ht="15.6">
      <c r="A127" s="110" t="s">
        <v>363</v>
      </c>
      <c r="B127" s="111" t="s">
        <v>232</v>
      </c>
      <c r="C127" s="112" t="s">
        <v>364</v>
      </c>
      <c r="D127" s="113" t="s">
        <v>24</v>
      </c>
      <c r="E127" s="114" t="s">
        <v>14</v>
      </c>
      <c r="F127" s="115" t="s">
        <v>32</v>
      </c>
      <c r="G127" s="116">
        <v>8.32</v>
      </c>
      <c r="H127" s="125">
        <v>10.5</v>
      </c>
      <c r="I127" s="111">
        <v>18</v>
      </c>
      <c r="J127" s="117">
        <f t="shared" si="66"/>
        <v>1.5724800000000001</v>
      </c>
      <c r="K127" s="118"/>
      <c r="L127" s="111">
        <f>12+6</f>
        <v>18</v>
      </c>
      <c r="M127" s="117">
        <f t="shared" si="67"/>
        <v>1.5724800000000001</v>
      </c>
      <c r="N127" s="119">
        <f t="shared" si="68"/>
        <v>0</v>
      </c>
      <c r="O127" s="120">
        <f t="shared" si="69"/>
        <v>0</v>
      </c>
      <c r="P127" s="111"/>
      <c r="Q127" s="32"/>
      <c r="R127" s="32"/>
      <c r="S127" s="186"/>
    </row>
    <row r="128" spans="1:19" ht="15.6">
      <c r="A128" s="110" t="s">
        <v>363</v>
      </c>
      <c r="B128" s="111" t="s">
        <v>232</v>
      </c>
      <c r="C128" s="112" t="s">
        <v>364</v>
      </c>
      <c r="D128" s="113" t="s">
        <v>24</v>
      </c>
      <c r="E128" s="114" t="s">
        <v>14</v>
      </c>
      <c r="F128" s="115" t="s">
        <v>32</v>
      </c>
      <c r="G128" s="116">
        <v>8.32</v>
      </c>
      <c r="H128" s="125">
        <v>11</v>
      </c>
      <c r="I128" s="111">
        <v>9</v>
      </c>
      <c r="J128" s="117">
        <f t="shared" si="66"/>
        <v>0.82368000000000008</v>
      </c>
      <c r="K128" s="118"/>
      <c r="L128" s="111">
        <f>7+2</f>
        <v>9</v>
      </c>
      <c r="M128" s="117">
        <f t="shared" si="67"/>
        <v>0.82368000000000008</v>
      </c>
      <c r="N128" s="119">
        <f t="shared" si="68"/>
        <v>0</v>
      </c>
      <c r="O128" s="120">
        <f t="shared" si="69"/>
        <v>0</v>
      </c>
      <c r="P128" s="111"/>
      <c r="Q128" s="32"/>
      <c r="R128" s="45">
        <v>8.35</v>
      </c>
      <c r="S128" s="457">
        <v>2</v>
      </c>
    </row>
    <row r="129" spans="1:20" ht="15.6">
      <c r="A129" s="110" t="s">
        <v>363</v>
      </c>
      <c r="B129" s="111" t="s">
        <v>232</v>
      </c>
      <c r="C129" s="112" t="s">
        <v>364</v>
      </c>
      <c r="D129" s="113" t="s">
        <v>24</v>
      </c>
      <c r="E129" s="114" t="s">
        <v>14</v>
      </c>
      <c r="F129" s="115" t="s">
        <v>32</v>
      </c>
      <c r="G129" s="116">
        <v>8.32</v>
      </c>
      <c r="H129" s="125">
        <v>12</v>
      </c>
      <c r="I129" s="111">
        <v>10</v>
      </c>
      <c r="J129" s="117">
        <f t="shared" si="66"/>
        <v>0.99840000000000007</v>
      </c>
      <c r="K129" s="118"/>
      <c r="L129" s="111">
        <f>5+5</f>
        <v>10</v>
      </c>
      <c r="M129" s="117">
        <f t="shared" si="67"/>
        <v>0.99840000000000007</v>
      </c>
      <c r="N129" s="119">
        <f t="shared" si="68"/>
        <v>0</v>
      </c>
      <c r="O129" s="120">
        <f t="shared" si="69"/>
        <v>0</v>
      </c>
      <c r="P129" s="111">
        <v>10.199999999999999</v>
      </c>
      <c r="Q129" s="32">
        <v>2</v>
      </c>
      <c r="R129" s="45">
        <v>12</v>
      </c>
      <c r="S129" s="457">
        <v>5</v>
      </c>
      <c r="T129" s="32" t="s">
        <v>474</v>
      </c>
    </row>
    <row r="130" spans="1:20" ht="15.6">
      <c r="A130" s="110" t="s">
        <v>363</v>
      </c>
      <c r="B130" s="111" t="s">
        <v>232</v>
      </c>
      <c r="C130" s="112" t="s">
        <v>364</v>
      </c>
      <c r="D130" s="113" t="s">
        <v>24</v>
      </c>
      <c r="E130" s="114" t="s">
        <v>14</v>
      </c>
      <c r="F130" s="115" t="s">
        <v>32</v>
      </c>
      <c r="G130" s="116">
        <v>8.32</v>
      </c>
      <c r="H130" s="125">
        <v>12</v>
      </c>
      <c r="I130" s="111">
        <v>21</v>
      </c>
      <c r="J130" s="117">
        <f t="shared" si="66"/>
        <v>2.0966399999999998</v>
      </c>
      <c r="K130" s="118"/>
      <c r="L130" s="111">
        <v>21</v>
      </c>
      <c r="M130" s="117">
        <f t="shared" si="67"/>
        <v>2.0966399999999998</v>
      </c>
      <c r="N130" s="119">
        <f t="shared" si="68"/>
        <v>0</v>
      </c>
      <c r="O130" s="120">
        <f t="shared" si="69"/>
        <v>0</v>
      </c>
      <c r="P130" s="111"/>
      <c r="Q130" s="32"/>
      <c r="R130" s="32"/>
      <c r="S130" s="186"/>
    </row>
    <row r="131" spans="1:20" ht="15.6">
      <c r="A131" s="110" t="s">
        <v>363</v>
      </c>
      <c r="B131" s="111" t="s">
        <v>232</v>
      </c>
      <c r="C131" s="112" t="s">
        <v>364</v>
      </c>
      <c r="D131" s="113" t="s">
        <v>24</v>
      </c>
      <c r="E131" s="114" t="s">
        <v>14</v>
      </c>
      <c r="F131" s="115" t="s">
        <v>32</v>
      </c>
      <c r="G131" s="116">
        <v>8.32</v>
      </c>
      <c r="H131" s="125">
        <v>8.5</v>
      </c>
      <c r="I131" s="111">
        <v>1</v>
      </c>
      <c r="J131" s="117">
        <f t="shared" si="66"/>
        <v>7.0720000000000005E-2</v>
      </c>
      <c r="K131" s="118"/>
      <c r="L131" s="111">
        <v>1</v>
      </c>
      <c r="M131" s="117">
        <f t="shared" si="67"/>
        <v>7.0720000000000005E-2</v>
      </c>
      <c r="N131" s="119">
        <f t="shared" si="68"/>
        <v>0</v>
      </c>
      <c r="O131" s="120">
        <f t="shared" si="69"/>
        <v>0</v>
      </c>
      <c r="P131" s="159">
        <v>7</v>
      </c>
      <c r="Q131" s="32">
        <v>1</v>
      </c>
      <c r="R131" s="32"/>
      <c r="S131" s="186"/>
    </row>
    <row r="132" spans="1:20" ht="15.6">
      <c r="A132" s="110" t="s">
        <v>363</v>
      </c>
      <c r="B132" s="111" t="s">
        <v>232</v>
      </c>
      <c r="C132" s="112" t="s">
        <v>364</v>
      </c>
      <c r="D132" s="113" t="s">
        <v>24</v>
      </c>
      <c r="E132" s="114" t="s">
        <v>14</v>
      </c>
      <c r="F132" s="115" t="s">
        <v>32</v>
      </c>
      <c r="G132" s="116">
        <v>8.32</v>
      </c>
      <c r="H132" s="125">
        <v>8.6</v>
      </c>
      <c r="I132" s="111">
        <v>2</v>
      </c>
      <c r="J132" s="117">
        <f t="shared" si="66"/>
        <v>0.14310399999999998</v>
      </c>
      <c r="K132" s="118"/>
      <c r="L132" s="111">
        <v>2</v>
      </c>
      <c r="M132" s="117">
        <f t="shared" si="67"/>
        <v>0.14310399999999998</v>
      </c>
      <c r="N132" s="119">
        <f t="shared" si="68"/>
        <v>0</v>
      </c>
      <c r="O132" s="120">
        <f>H132*N132*G132/1000</f>
        <v>0</v>
      </c>
      <c r="P132" s="111"/>
      <c r="Q132" s="32"/>
      <c r="R132" s="45">
        <v>8.35</v>
      </c>
      <c r="S132" s="457">
        <v>2</v>
      </c>
    </row>
    <row r="133" spans="1:20">
      <c r="I133" s="215">
        <f>SUM(I119:I132)</f>
        <v>180</v>
      </c>
      <c r="J133" s="214">
        <f>SUM(J119:J132)</f>
        <v>16.213184000000002</v>
      </c>
      <c r="L133" s="215">
        <f>SUM(L119:L132)</f>
        <v>180</v>
      </c>
      <c r="M133" s="128">
        <f>SUM(M119:M132)</f>
        <v>16.213184000000002</v>
      </c>
      <c r="N133" s="78">
        <f>SUM(N119:N132)</f>
        <v>0</v>
      </c>
      <c r="O133" s="128">
        <f>SUM(O119:O132)</f>
        <v>0</v>
      </c>
      <c r="S133" s="78">
        <f>SUM(S119:S132)</f>
        <v>15</v>
      </c>
    </row>
    <row r="135" spans="1:20" ht="15.6">
      <c r="A135" s="110" t="s">
        <v>328</v>
      </c>
      <c r="B135" s="111" t="s">
        <v>232</v>
      </c>
      <c r="C135" s="112" t="s">
        <v>228</v>
      </c>
      <c r="D135" s="113" t="s">
        <v>17</v>
      </c>
      <c r="E135" s="114" t="s">
        <v>15</v>
      </c>
      <c r="F135" s="115" t="s">
        <v>21</v>
      </c>
      <c r="G135" s="116">
        <v>6.97</v>
      </c>
      <c r="H135" s="125">
        <v>8</v>
      </c>
      <c r="I135" s="32">
        <f>1+7</f>
        <v>8</v>
      </c>
      <c r="J135" s="117">
        <f t="shared" ref="J135" si="70">H135*G135*I135/1000</f>
        <v>0.44607999999999998</v>
      </c>
      <c r="K135" s="118"/>
      <c r="L135" s="111">
        <f>7+1</f>
        <v>8</v>
      </c>
      <c r="M135" s="117">
        <f t="shared" ref="M135" si="71">H135*L135*G135/1000</f>
        <v>0.44607999999999998</v>
      </c>
      <c r="N135" s="119">
        <f t="shared" ref="N135" si="72">I135-L135</f>
        <v>0</v>
      </c>
      <c r="O135" s="120">
        <f t="shared" ref="O135" si="73">H135*N135*G135/1000</f>
        <v>0</v>
      </c>
      <c r="P135" s="111">
        <v>7.6</v>
      </c>
      <c r="Q135" s="45">
        <v>1</v>
      </c>
      <c r="R135" s="32" t="s">
        <v>634</v>
      </c>
    </row>
    <row r="136" spans="1:20" ht="15.6">
      <c r="A136" s="110" t="s">
        <v>328</v>
      </c>
      <c r="B136" s="111" t="s">
        <v>232</v>
      </c>
      <c r="C136" s="112" t="s">
        <v>228</v>
      </c>
      <c r="D136" s="113" t="s">
        <v>17</v>
      </c>
      <c r="E136" s="114" t="s">
        <v>15</v>
      </c>
      <c r="F136" s="115" t="s">
        <v>21</v>
      </c>
      <c r="G136" s="116">
        <v>6.97</v>
      </c>
      <c r="H136" s="125">
        <v>9.1999999999999993</v>
      </c>
      <c r="I136" s="32">
        <f>28+10</f>
        <v>38</v>
      </c>
      <c r="J136" s="117">
        <f t="shared" ref="J136:J151" si="74">H136*G136*I136/1000</f>
        <v>2.436712</v>
      </c>
      <c r="K136" s="118"/>
      <c r="L136" s="111">
        <v>38</v>
      </c>
      <c r="M136" s="117">
        <f t="shared" ref="M136:M151" si="75">H136*L136*G136/1000</f>
        <v>2.4367119999999995</v>
      </c>
      <c r="N136" s="119">
        <f t="shared" ref="N136:N151" si="76">I136-L136</f>
        <v>0</v>
      </c>
      <c r="O136" s="120">
        <f t="shared" ref="O136:O151" si="77">H136*N136*G136/1000</f>
        <v>0</v>
      </c>
      <c r="P136" s="111"/>
      <c r="Q136" s="32"/>
      <c r="R136" s="32"/>
    </row>
    <row r="137" spans="1:20" ht="15.6">
      <c r="A137" s="110" t="s">
        <v>328</v>
      </c>
      <c r="B137" s="111" t="s">
        <v>232</v>
      </c>
      <c r="C137" s="112" t="s">
        <v>228</v>
      </c>
      <c r="D137" s="113" t="s">
        <v>17</v>
      </c>
      <c r="E137" s="114" t="s">
        <v>15</v>
      </c>
      <c r="F137" s="115" t="s">
        <v>21</v>
      </c>
      <c r="G137" s="116">
        <v>6.97</v>
      </c>
      <c r="H137" s="125">
        <v>9.5</v>
      </c>
      <c r="I137" s="32">
        <v>8</v>
      </c>
      <c r="J137" s="117">
        <f t="shared" si="74"/>
        <v>0.52972000000000008</v>
      </c>
      <c r="K137" s="118"/>
      <c r="L137" s="111">
        <v>8</v>
      </c>
      <c r="M137" s="117">
        <f t="shared" si="75"/>
        <v>0.52972000000000008</v>
      </c>
      <c r="N137" s="119">
        <f t="shared" si="76"/>
        <v>0</v>
      </c>
      <c r="O137" s="120">
        <f t="shared" si="77"/>
        <v>0</v>
      </c>
      <c r="P137" s="111"/>
      <c r="Q137" s="32"/>
      <c r="R137" s="32"/>
    </row>
    <row r="138" spans="1:20" ht="15.6">
      <c r="A138" s="110" t="s">
        <v>328</v>
      </c>
      <c r="B138" s="111" t="s">
        <v>232</v>
      </c>
      <c r="C138" s="112" t="s">
        <v>228</v>
      </c>
      <c r="D138" s="113" t="s">
        <v>17</v>
      </c>
      <c r="E138" s="114" t="s">
        <v>15</v>
      </c>
      <c r="F138" s="115" t="s">
        <v>21</v>
      </c>
      <c r="G138" s="116">
        <v>6.97</v>
      </c>
      <c r="H138" s="125">
        <v>10.1</v>
      </c>
      <c r="I138" s="32">
        <f>24+21</f>
        <v>45</v>
      </c>
      <c r="J138" s="117">
        <f t="shared" si="74"/>
        <v>3.1678649999999999</v>
      </c>
      <c r="K138" s="118"/>
      <c r="L138" s="111">
        <v>45</v>
      </c>
      <c r="M138" s="117">
        <f t="shared" si="75"/>
        <v>3.1678649999999999</v>
      </c>
      <c r="N138" s="119">
        <f t="shared" si="76"/>
        <v>0</v>
      </c>
      <c r="O138" s="120">
        <f t="shared" si="77"/>
        <v>0</v>
      </c>
      <c r="P138" s="111"/>
      <c r="Q138" s="32"/>
      <c r="R138" s="32"/>
    </row>
    <row r="139" spans="1:20" ht="15.6">
      <c r="A139" s="110" t="s">
        <v>328</v>
      </c>
      <c r="B139" s="111" t="s">
        <v>232</v>
      </c>
      <c r="C139" s="112" t="s">
        <v>228</v>
      </c>
      <c r="D139" s="113" t="s">
        <v>17</v>
      </c>
      <c r="E139" s="114" t="s">
        <v>15</v>
      </c>
      <c r="F139" s="115" t="s">
        <v>21</v>
      </c>
      <c r="G139" s="116">
        <v>6.97</v>
      </c>
      <c r="H139" s="125">
        <v>10.5</v>
      </c>
      <c r="I139" s="32">
        <f>20+2</f>
        <v>22</v>
      </c>
      <c r="J139" s="117">
        <f t="shared" si="74"/>
        <v>1.6100700000000001</v>
      </c>
      <c r="K139" s="118"/>
      <c r="L139" s="111">
        <v>22</v>
      </c>
      <c r="M139" s="117">
        <f t="shared" si="75"/>
        <v>1.6100699999999999</v>
      </c>
      <c r="N139" s="119">
        <f t="shared" si="76"/>
        <v>0</v>
      </c>
      <c r="O139" s="120">
        <f t="shared" si="77"/>
        <v>0</v>
      </c>
      <c r="P139" s="111"/>
      <c r="Q139" s="32"/>
      <c r="R139" s="32"/>
    </row>
    <row r="140" spans="1:20" ht="15.6">
      <c r="A140" s="110" t="s">
        <v>328</v>
      </c>
      <c r="B140" s="111" t="s">
        <v>232</v>
      </c>
      <c r="C140" s="112" t="s">
        <v>228</v>
      </c>
      <c r="D140" s="113" t="s">
        <v>17</v>
      </c>
      <c r="E140" s="114" t="s">
        <v>15</v>
      </c>
      <c r="F140" s="115" t="s">
        <v>21</v>
      </c>
      <c r="G140" s="116">
        <v>6.97</v>
      </c>
      <c r="H140" s="125">
        <v>10.6</v>
      </c>
      <c r="I140" s="32">
        <f>30+29+5</f>
        <v>64</v>
      </c>
      <c r="J140" s="117">
        <f t="shared" si="74"/>
        <v>4.7284479999999993</v>
      </c>
      <c r="K140" s="118"/>
      <c r="L140" s="111">
        <f>63+1</f>
        <v>64</v>
      </c>
      <c r="M140" s="117">
        <f t="shared" si="75"/>
        <v>4.7284479999999993</v>
      </c>
      <c r="N140" s="119">
        <f t="shared" si="76"/>
        <v>0</v>
      </c>
      <c r="O140" s="120">
        <f t="shared" si="77"/>
        <v>0</v>
      </c>
      <c r="P140" s="111">
        <v>10.5</v>
      </c>
      <c r="Q140" s="32">
        <v>1</v>
      </c>
      <c r="R140" s="32"/>
    </row>
    <row r="141" spans="1:20" ht="15.6">
      <c r="A141" s="110" t="s">
        <v>328</v>
      </c>
      <c r="B141" s="111" t="s">
        <v>232</v>
      </c>
      <c r="C141" s="112" t="s">
        <v>228</v>
      </c>
      <c r="D141" s="113" t="s">
        <v>17</v>
      </c>
      <c r="E141" s="114" t="s">
        <v>15</v>
      </c>
      <c r="F141" s="115" t="s">
        <v>21</v>
      </c>
      <c r="G141" s="116">
        <v>6.97</v>
      </c>
      <c r="H141" s="125">
        <v>10.85</v>
      </c>
      <c r="I141" s="32">
        <f>18+19</f>
        <v>37</v>
      </c>
      <c r="J141" s="117">
        <f t="shared" si="74"/>
        <v>2.7981064999999998</v>
      </c>
      <c r="K141" s="118"/>
      <c r="L141" s="111">
        <v>37</v>
      </c>
      <c r="M141" s="117">
        <f t="shared" si="75"/>
        <v>2.7981064999999998</v>
      </c>
      <c r="N141" s="119">
        <f t="shared" si="76"/>
        <v>0</v>
      </c>
      <c r="O141" s="120">
        <f t="shared" si="77"/>
        <v>0</v>
      </c>
      <c r="P141" s="111"/>
      <c r="Q141" s="32"/>
      <c r="R141" s="32"/>
    </row>
    <row r="142" spans="1:20" ht="15.6">
      <c r="A142" s="110" t="s">
        <v>328</v>
      </c>
      <c r="B142" s="111" t="s">
        <v>232</v>
      </c>
      <c r="C142" s="112" t="s">
        <v>228</v>
      </c>
      <c r="D142" s="113" t="s">
        <v>17</v>
      </c>
      <c r="E142" s="114" t="s">
        <v>15</v>
      </c>
      <c r="F142" s="115" t="s">
        <v>21</v>
      </c>
      <c r="G142" s="116">
        <v>6.97</v>
      </c>
      <c r="H142" s="125">
        <v>11</v>
      </c>
      <c r="I142" s="32">
        <f>24+16</f>
        <v>40</v>
      </c>
      <c r="J142" s="117">
        <f t="shared" si="74"/>
        <v>3.0668000000000002</v>
      </c>
      <c r="K142" s="118"/>
      <c r="L142" s="111">
        <f>37+3</f>
        <v>40</v>
      </c>
      <c r="M142" s="117">
        <f t="shared" si="75"/>
        <v>3.0667999999999997</v>
      </c>
      <c r="N142" s="119">
        <f t="shared" si="76"/>
        <v>0</v>
      </c>
      <c r="O142" s="120">
        <f t="shared" si="77"/>
        <v>0</v>
      </c>
      <c r="P142" s="111">
        <v>10.85</v>
      </c>
      <c r="Q142" s="32">
        <v>3</v>
      </c>
      <c r="R142" s="32"/>
    </row>
    <row r="143" spans="1:20" ht="15.6">
      <c r="A143" s="110" t="s">
        <v>328</v>
      </c>
      <c r="B143" s="111" t="s">
        <v>232</v>
      </c>
      <c r="C143" s="112" t="s">
        <v>228</v>
      </c>
      <c r="D143" s="113" t="s">
        <v>17</v>
      </c>
      <c r="E143" s="114" t="s">
        <v>15</v>
      </c>
      <c r="F143" s="115" t="s">
        <v>21</v>
      </c>
      <c r="G143" s="116">
        <v>6.97</v>
      </c>
      <c r="H143" s="125">
        <v>11.2</v>
      </c>
      <c r="I143" s="32">
        <f>2+12</f>
        <v>14</v>
      </c>
      <c r="J143" s="117">
        <f t="shared" si="74"/>
        <v>1.0928959999999999</v>
      </c>
      <c r="K143" s="118"/>
      <c r="L143" s="111">
        <v>14</v>
      </c>
      <c r="M143" s="117">
        <f t="shared" si="75"/>
        <v>1.0928959999999996</v>
      </c>
      <c r="N143" s="119">
        <f t="shared" si="76"/>
        <v>0</v>
      </c>
      <c r="O143" s="120">
        <f t="shared" si="77"/>
        <v>0</v>
      </c>
      <c r="P143" s="111"/>
      <c r="Q143" s="32"/>
      <c r="R143" s="32"/>
    </row>
    <row r="144" spans="1:20" ht="15.6">
      <c r="A144" s="110" t="s">
        <v>328</v>
      </c>
      <c r="B144" s="111" t="s">
        <v>232</v>
      </c>
      <c r="C144" s="112" t="s">
        <v>228</v>
      </c>
      <c r="D144" s="113" t="s">
        <v>17</v>
      </c>
      <c r="E144" s="114" t="s">
        <v>15</v>
      </c>
      <c r="F144" s="115" t="s">
        <v>21</v>
      </c>
      <c r="G144" s="116">
        <v>6.97</v>
      </c>
      <c r="H144" s="125">
        <v>11.3</v>
      </c>
      <c r="I144" s="32">
        <f>2+16+8</f>
        <v>26</v>
      </c>
      <c r="J144" s="117">
        <f t="shared" si="74"/>
        <v>2.0477859999999999</v>
      </c>
      <c r="K144" s="118"/>
      <c r="L144" s="111">
        <f>15+11</f>
        <v>26</v>
      </c>
      <c r="M144" s="117">
        <f t="shared" si="75"/>
        <v>2.0477859999999999</v>
      </c>
      <c r="N144" s="119">
        <f t="shared" si="76"/>
        <v>0</v>
      </c>
      <c r="O144" s="120">
        <f t="shared" si="77"/>
        <v>0</v>
      </c>
      <c r="P144" s="111">
        <v>11.2</v>
      </c>
      <c r="Q144" s="32">
        <v>11</v>
      </c>
      <c r="R144" s="32"/>
    </row>
    <row r="145" spans="1:18" ht="15.6">
      <c r="A145" s="110" t="s">
        <v>328</v>
      </c>
      <c r="B145" s="111" t="s">
        <v>232</v>
      </c>
      <c r="C145" s="112" t="s">
        <v>228</v>
      </c>
      <c r="D145" s="113" t="s">
        <v>17</v>
      </c>
      <c r="E145" s="114" t="s">
        <v>15</v>
      </c>
      <c r="F145" s="115" t="s">
        <v>21</v>
      </c>
      <c r="G145" s="116">
        <v>6.97</v>
      </c>
      <c r="H145" s="125">
        <v>11.8</v>
      </c>
      <c r="I145" s="32">
        <f>16+23+6</f>
        <v>45</v>
      </c>
      <c r="J145" s="117">
        <f t="shared" si="74"/>
        <v>3.7010699999999996</v>
      </c>
      <c r="K145" s="118"/>
      <c r="L145" s="111">
        <v>45</v>
      </c>
      <c r="M145" s="117">
        <f t="shared" si="75"/>
        <v>3.7010699999999996</v>
      </c>
      <c r="N145" s="119">
        <f t="shared" si="76"/>
        <v>0</v>
      </c>
      <c r="O145" s="120">
        <f t="shared" si="77"/>
        <v>0</v>
      </c>
      <c r="P145" s="111"/>
      <c r="Q145" s="32"/>
      <c r="R145" s="32"/>
    </row>
    <row r="146" spans="1:18" ht="15.6">
      <c r="A146" s="110" t="s">
        <v>328</v>
      </c>
      <c r="B146" s="111" t="s">
        <v>232</v>
      </c>
      <c r="C146" s="112" t="s">
        <v>228</v>
      </c>
      <c r="D146" s="113" t="s">
        <v>17</v>
      </c>
      <c r="E146" s="114" t="s">
        <v>15</v>
      </c>
      <c r="F146" s="115" t="s">
        <v>21</v>
      </c>
      <c r="G146" s="116">
        <v>6.97</v>
      </c>
      <c r="H146" s="125">
        <v>12</v>
      </c>
      <c r="I146" s="32">
        <f>32+5+35+35+11+32+11</f>
        <v>161</v>
      </c>
      <c r="J146" s="117">
        <f t="shared" si="74"/>
        <v>13.466040000000001</v>
      </c>
      <c r="K146" s="118"/>
      <c r="L146" s="111">
        <f>118+43</f>
        <v>161</v>
      </c>
      <c r="M146" s="117">
        <f t="shared" si="75"/>
        <v>13.46604</v>
      </c>
      <c r="N146" s="119">
        <f t="shared" si="76"/>
        <v>0</v>
      </c>
      <c r="O146" s="120">
        <f t="shared" si="77"/>
        <v>0</v>
      </c>
      <c r="P146" s="111"/>
      <c r="Q146" s="32"/>
      <c r="R146" s="32"/>
    </row>
    <row r="147" spans="1:18" ht="15.6">
      <c r="A147" s="110" t="s">
        <v>328</v>
      </c>
      <c r="B147" s="111" t="s">
        <v>232</v>
      </c>
      <c r="C147" s="112" t="s">
        <v>228</v>
      </c>
      <c r="D147" s="113" t="s">
        <v>17</v>
      </c>
      <c r="E147" s="114" t="s">
        <v>15</v>
      </c>
      <c r="F147" s="115" t="s">
        <v>21</v>
      </c>
      <c r="G147" s="116">
        <v>6.97</v>
      </c>
      <c r="H147" s="125">
        <v>8.1</v>
      </c>
      <c r="I147" s="32">
        <v>1</v>
      </c>
      <c r="J147" s="117">
        <f t="shared" si="74"/>
        <v>5.6456999999999993E-2</v>
      </c>
      <c r="K147" s="118"/>
      <c r="L147" s="111">
        <v>1</v>
      </c>
      <c r="M147" s="117">
        <f t="shared" si="75"/>
        <v>5.6456999999999993E-2</v>
      </c>
      <c r="N147" s="119">
        <f t="shared" si="76"/>
        <v>0</v>
      </c>
      <c r="O147" s="120">
        <f t="shared" si="77"/>
        <v>0</v>
      </c>
      <c r="P147" s="111">
        <v>7.6</v>
      </c>
      <c r="Q147" s="45">
        <v>1</v>
      </c>
      <c r="R147" s="32" t="s">
        <v>634</v>
      </c>
    </row>
    <row r="148" spans="1:18" ht="15.6">
      <c r="A148" s="110" t="s">
        <v>328</v>
      </c>
      <c r="B148" s="111" t="s">
        <v>232</v>
      </c>
      <c r="C148" s="112" t="s">
        <v>228</v>
      </c>
      <c r="D148" s="113" t="s">
        <v>17</v>
      </c>
      <c r="E148" s="114" t="s">
        <v>15</v>
      </c>
      <c r="F148" s="115" t="s">
        <v>21</v>
      </c>
      <c r="G148" s="116">
        <v>6.97</v>
      </c>
      <c r="H148" s="125">
        <v>9.4</v>
      </c>
      <c r="I148" s="32">
        <v>2</v>
      </c>
      <c r="J148" s="117">
        <f t="shared" si="74"/>
        <v>0.13103600000000001</v>
      </c>
      <c r="K148" s="118"/>
      <c r="L148" s="111">
        <v>2</v>
      </c>
      <c r="M148" s="117">
        <f t="shared" si="75"/>
        <v>0.13103600000000001</v>
      </c>
      <c r="N148" s="119">
        <f t="shared" si="76"/>
        <v>0</v>
      </c>
      <c r="O148" s="120">
        <f t="shared" si="77"/>
        <v>0</v>
      </c>
      <c r="P148" s="111">
        <v>9.1</v>
      </c>
      <c r="Q148" s="45">
        <v>2</v>
      </c>
      <c r="R148" s="32" t="s">
        <v>634</v>
      </c>
    </row>
    <row r="149" spans="1:18" ht="15.6">
      <c r="A149" s="110" t="s">
        <v>328</v>
      </c>
      <c r="B149" s="111" t="s">
        <v>232</v>
      </c>
      <c r="C149" s="112" t="s">
        <v>228</v>
      </c>
      <c r="D149" s="113" t="s">
        <v>17</v>
      </c>
      <c r="E149" s="114" t="s">
        <v>15</v>
      </c>
      <c r="F149" s="115" t="s">
        <v>21</v>
      </c>
      <c r="G149" s="116">
        <v>6.97</v>
      </c>
      <c r="H149" s="125">
        <v>10.4</v>
      </c>
      <c r="I149" s="32">
        <v>1</v>
      </c>
      <c r="J149" s="117">
        <f t="shared" si="74"/>
        <v>7.2487999999999997E-2</v>
      </c>
      <c r="K149" s="118"/>
      <c r="L149" s="111">
        <v>1</v>
      </c>
      <c r="M149" s="117">
        <f t="shared" si="75"/>
        <v>7.2487999999999997E-2</v>
      </c>
      <c r="N149" s="119">
        <f t="shared" si="76"/>
        <v>0</v>
      </c>
      <c r="O149" s="120">
        <f t="shared" si="77"/>
        <v>0</v>
      </c>
      <c r="P149" s="111">
        <v>9.1</v>
      </c>
      <c r="Q149" s="45">
        <v>1</v>
      </c>
      <c r="R149" s="32" t="s">
        <v>634</v>
      </c>
    </row>
    <row r="150" spans="1:18" ht="15.6">
      <c r="A150" s="110" t="s">
        <v>328</v>
      </c>
      <c r="B150" s="111" t="s">
        <v>232</v>
      </c>
      <c r="C150" s="112" t="s">
        <v>228</v>
      </c>
      <c r="D150" s="113" t="s">
        <v>17</v>
      </c>
      <c r="E150" s="114" t="s">
        <v>15</v>
      </c>
      <c r="F150" s="115" t="s">
        <v>21</v>
      </c>
      <c r="G150" s="116">
        <v>6.97</v>
      </c>
      <c r="H150" s="125">
        <v>9.5</v>
      </c>
      <c r="I150" s="32">
        <v>1</v>
      </c>
      <c r="J150" s="117">
        <f t="shared" si="74"/>
        <v>6.621500000000001E-2</v>
      </c>
      <c r="K150" s="118"/>
      <c r="L150" s="111">
        <v>1</v>
      </c>
      <c r="M150" s="117">
        <f t="shared" si="75"/>
        <v>6.621500000000001E-2</v>
      </c>
      <c r="N150" s="119">
        <f t="shared" si="76"/>
        <v>0</v>
      </c>
      <c r="O150" s="120">
        <f t="shared" si="77"/>
        <v>0</v>
      </c>
      <c r="P150" s="111">
        <v>9.1</v>
      </c>
      <c r="Q150" s="45">
        <v>1</v>
      </c>
      <c r="R150" s="32" t="s">
        <v>634</v>
      </c>
    </row>
    <row r="151" spans="1:18" ht="15.6">
      <c r="A151" s="110" t="s">
        <v>328</v>
      </c>
      <c r="B151" s="111" t="s">
        <v>232</v>
      </c>
      <c r="C151" s="112" t="s">
        <v>228</v>
      </c>
      <c r="D151" s="113" t="s">
        <v>17</v>
      </c>
      <c r="E151" s="114" t="s">
        <v>15</v>
      </c>
      <c r="F151" s="115" t="s">
        <v>21</v>
      </c>
      <c r="G151" s="116">
        <v>6.97</v>
      </c>
      <c r="H151" s="125">
        <v>8</v>
      </c>
      <c r="I151" s="32">
        <v>2</v>
      </c>
      <c r="J151" s="117">
        <f t="shared" si="74"/>
        <v>0.11151999999999999</v>
      </c>
      <c r="K151" s="118"/>
      <c r="L151" s="111">
        <v>2</v>
      </c>
      <c r="M151" s="117">
        <f t="shared" si="75"/>
        <v>0.11151999999999999</v>
      </c>
      <c r="N151" s="119">
        <f t="shared" si="76"/>
        <v>0</v>
      </c>
      <c r="O151" s="120">
        <f t="shared" si="77"/>
        <v>0</v>
      </c>
      <c r="P151" s="111">
        <v>7.6</v>
      </c>
      <c r="Q151" s="45">
        <v>2</v>
      </c>
      <c r="R151" s="32" t="s">
        <v>634</v>
      </c>
    </row>
    <row r="152" spans="1:18" ht="15.6">
      <c r="A152" s="110" t="s">
        <v>328</v>
      </c>
      <c r="B152" s="111" t="s">
        <v>232</v>
      </c>
      <c r="C152" s="112" t="s">
        <v>228</v>
      </c>
      <c r="D152" s="113" t="s">
        <v>17</v>
      </c>
      <c r="E152" s="114" t="s">
        <v>15</v>
      </c>
      <c r="F152" s="115" t="s">
        <v>21</v>
      </c>
      <c r="G152" s="116">
        <v>6.97</v>
      </c>
      <c r="H152" s="125">
        <v>8.1</v>
      </c>
      <c r="I152" s="32">
        <v>1</v>
      </c>
      <c r="J152" s="117">
        <f t="shared" ref="J152:J158" si="78">H152*G152*I152/1000</f>
        <v>5.6456999999999993E-2</v>
      </c>
      <c r="K152" s="118"/>
      <c r="L152" s="111">
        <v>1</v>
      </c>
      <c r="M152" s="117">
        <f t="shared" ref="M152:M158" si="79">H152*L152*G152/1000</f>
        <v>5.6456999999999993E-2</v>
      </c>
      <c r="N152" s="119">
        <f t="shared" ref="N152:N158" si="80">I152-L152</f>
        <v>0</v>
      </c>
      <c r="O152" s="120">
        <f t="shared" ref="O152:O158" si="81">H152*N152*G152/1000</f>
        <v>0</v>
      </c>
      <c r="P152" s="111">
        <v>7.6</v>
      </c>
      <c r="Q152" s="45">
        <v>1</v>
      </c>
      <c r="R152" s="32" t="s">
        <v>634</v>
      </c>
    </row>
    <row r="153" spans="1:18" ht="15.6">
      <c r="A153" s="110" t="s">
        <v>328</v>
      </c>
      <c r="B153" s="111" t="s">
        <v>232</v>
      </c>
      <c r="C153" s="112" t="s">
        <v>228</v>
      </c>
      <c r="D153" s="113" t="s">
        <v>17</v>
      </c>
      <c r="E153" s="114" t="s">
        <v>15</v>
      </c>
      <c r="F153" s="115" t="s">
        <v>21</v>
      </c>
      <c r="G153" s="116">
        <v>6.97</v>
      </c>
      <c r="H153" s="125">
        <v>10</v>
      </c>
      <c r="I153" s="32">
        <v>1</v>
      </c>
      <c r="J153" s="117">
        <f t="shared" si="78"/>
        <v>6.9699999999999998E-2</v>
      </c>
      <c r="K153" s="118"/>
      <c r="L153" s="111">
        <v>1</v>
      </c>
      <c r="M153" s="117">
        <f t="shared" si="79"/>
        <v>6.9699999999999998E-2</v>
      </c>
      <c r="N153" s="119">
        <f t="shared" si="80"/>
        <v>0</v>
      </c>
      <c r="O153" s="120">
        <f t="shared" si="81"/>
        <v>0</v>
      </c>
      <c r="P153" s="111">
        <v>9.1</v>
      </c>
      <c r="Q153" s="45">
        <v>1</v>
      </c>
      <c r="R153" s="32" t="s">
        <v>634</v>
      </c>
    </row>
    <row r="154" spans="1:18" ht="15.6">
      <c r="A154" s="110" t="s">
        <v>328</v>
      </c>
      <c r="B154" s="111" t="s">
        <v>232</v>
      </c>
      <c r="C154" s="112" t="s">
        <v>228</v>
      </c>
      <c r="D154" s="113" t="s">
        <v>17</v>
      </c>
      <c r="E154" s="114" t="s">
        <v>15</v>
      </c>
      <c r="F154" s="115" t="s">
        <v>21</v>
      </c>
      <c r="G154" s="116">
        <v>6.97</v>
      </c>
      <c r="H154" s="125">
        <v>9.4</v>
      </c>
      <c r="I154" s="32">
        <v>1</v>
      </c>
      <c r="J154" s="117">
        <f t="shared" si="78"/>
        <v>6.5518000000000007E-2</v>
      </c>
      <c r="K154" s="118"/>
      <c r="L154" s="111">
        <v>1</v>
      </c>
      <c r="M154" s="117">
        <f t="shared" si="79"/>
        <v>6.5518000000000007E-2</v>
      </c>
      <c r="N154" s="119">
        <f t="shared" si="80"/>
        <v>0</v>
      </c>
      <c r="O154" s="120">
        <f t="shared" si="81"/>
        <v>0</v>
      </c>
      <c r="P154" s="111">
        <v>9.1</v>
      </c>
      <c r="Q154" s="45">
        <v>1</v>
      </c>
      <c r="R154" s="32" t="s">
        <v>634</v>
      </c>
    </row>
    <row r="155" spans="1:18" ht="15.6">
      <c r="A155" s="110" t="s">
        <v>328</v>
      </c>
      <c r="B155" s="111" t="s">
        <v>232</v>
      </c>
      <c r="C155" s="112" t="s">
        <v>228</v>
      </c>
      <c r="D155" s="113" t="s">
        <v>17</v>
      </c>
      <c r="E155" s="114" t="s">
        <v>15</v>
      </c>
      <c r="F155" s="115" t="s">
        <v>21</v>
      </c>
      <c r="G155" s="116">
        <v>6.97</v>
      </c>
      <c r="H155" s="125">
        <v>9.1999999999999993</v>
      </c>
      <c r="I155" s="32">
        <v>3</v>
      </c>
      <c r="J155" s="117">
        <f t="shared" si="78"/>
        <v>0.19237199999999999</v>
      </c>
      <c r="K155" s="118"/>
      <c r="L155" s="111">
        <f>2+1</f>
        <v>3</v>
      </c>
      <c r="M155" s="117">
        <f t="shared" si="79"/>
        <v>0.19237199999999999</v>
      </c>
      <c r="N155" s="119">
        <f t="shared" si="80"/>
        <v>0</v>
      </c>
      <c r="O155" s="120">
        <f t="shared" si="81"/>
        <v>0</v>
      </c>
      <c r="P155" s="111">
        <v>9.1</v>
      </c>
      <c r="Q155" s="45">
        <v>1</v>
      </c>
      <c r="R155" s="32" t="s">
        <v>634</v>
      </c>
    </row>
    <row r="156" spans="1:18" ht="15.6">
      <c r="A156" s="110" t="s">
        <v>328</v>
      </c>
      <c r="B156" s="111" t="s">
        <v>232</v>
      </c>
      <c r="C156" s="112" t="s">
        <v>228</v>
      </c>
      <c r="D156" s="113" t="s">
        <v>17</v>
      </c>
      <c r="E156" s="114" t="s">
        <v>15</v>
      </c>
      <c r="F156" s="115" t="s">
        <v>21</v>
      </c>
      <c r="G156" s="116">
        <v>6.97</v>
      </c>
      <c r="H156" s="125">
        <v>11.2</v>
      </c>
      <c r="I156" s="32">
        <v>1</v>
      </c>
      <c r="J156" s="117">
        <f t="shared" si="78"/>
        <v>7.8063999999999995E-2</v>
      </c>
      <c r="K156" s="118"/>
      <c r="L156" s="111">
        <v>1</v>
      </c>
      <c r="M156" s="117">
        <f t="shared" si="79"/>
        <v>7.8063999999999995E-2</v>
      </c>
      <c r="N156" s="119">
        <f t="shared" si="80"/>
        <v>0</v>
      </c>
      <c r="O156" s="120">
        <f t="shared" si="81"/>
        <v>0</v>
      </c>
      <c r="P156" s="111"/>
      <c r="Q156" s="32"/>
      <c r="R156" s="32"/>
    </row>
    <row r="157" spans="1:18" ht="15.6">
      <c r="A157" s="110" t="s">
        <v>328</v>
      </c>
      <c r="B157" s="111" t="s">
        <v>232</v>
      </c>
      <c r="C157" s="112" t="s">
        <v>228</v>
      </c>
      <c r="D157" s="113" t="s">
        <v>17</v>
      </c>
      <c r="E157" s="114" t="s">
        <v>15</v>
      </c>
      <c r="F157" s="115" t="s">
        <v>21</v>
      </c>
      <c r="G157" s="116">
        <v>6.97</v>
      </c>
      <c r="H157" s="125">
        <v>10.9</v>
      </c>
      <c r="I157" s="32">
        <v>1</v>
      </c>
      <c r="J157" s="117">
        <f t="shared" si="78"/>
        <v>7.5972999999999999E-2</v>
      </c>
      <c r="K157" s="118"/>
      <c r="L157" s="111">
        <v>1</v>
      </c>
      <c r="M157" s="117">
        <f t="shared" si="79"/>
        <v>7.5972999999999999E-2</v>
      </c>
      <c r="N157" s="119">
        <f t="shared" si="80"/>
        <v>0</v>
      </c>
      <c r="O157" s="120">
        <f t="shared" si="81"/>
        <v>0</v>
      </c>
      <c r="P157" s="111">
        <v>10.85</v>
      </c>
      <c r="Q157" s="32">
        <v>1</v>
      </c>
      <c r="R157" s="32"/>
    </row>
    <row r="158" spans="1:18" ht="15.6">
      <c r="A158" s="110" t="s">
        <v>328</v>
      </c>
      <c r="B158" s="111" t="s">
        <v>232</v>
      </c>
      <c r="C158" s="112" t="s">
        <v>228</v>
      </c>
      <c r="D158" s="113" t="s">
        <v>17</v>
      </c>
      <c r="E158" s="114" t="s">
        <v>15</v>
      </c>
      <c r="F158" s="115" t="s">
        <v>21</v>
      </c>
      <c r="G158" s="116">
        <v>6.97</v>
      </c>
      <c r="H158" s="125">
        <v>10.1</v>
      </c>
      <c r="I158" s="32">
        <v>2</v>
      </c>
      <c r="J158" s="117">
        <f t="shared" si="78"/>
        <v>0.14079399999999997</v>
      </c>
      <c r="K158" s="118"/>
      <c r="L158" s="111">
        <v>2</v>
      </c>
      <c r="M158" s="117">
        <f t="shared" si="79"/>
        <v>0.14079399999999997</v>
      </c>
      <c r="N158" s="119">
        <f t="shared" si="80"/>
        <v>0</v>
      </c>
      <c r="O158" s="120">
        <f t="shared" si="81"/>
        <v>0</v>
      </c>
      <c r="P158" s="111"/>
      <c r="Q158" s="32"/>
      <c r="R158" s="32"/>
    </row>
    <row r="159" spans="1:18" s="213" customFormat="1" ht="15.6">
      <c r="A159" s="110" t="s">
        <v>328</v>
      </c>
      <c r="B159" s="111" t="s">
        <v>232</v>
      </c>
      <c r="C159" s="112" t="s">
        <v>228</v>
      </c>
      <c r="D159" s="113" t="s">
        <v>17</v>
      </c>
      <c r="E159" s="114" t="s">
        <v>15</v>
      </c>
      <c r="F159" s="115" t="s">
        <v>21</v>
      </c>
      <c r="G159" s="116">
        <v>6.97</v>
      </c>
      <c r="H159" s="125">
        <v>10.6</v>
      </c>
      <c r="I159" s="32">
        <v>7</v>
      </c>
      <c r="J159" s="117">
        <f t="shared" ref="J159:J161" si="82">H159*G159*I159/1000</f>
        <v>0.51717400000000002</v>
      </c>
      <c r="K159" s="183" t="s">
        <v>399</v>
      </c>
      <c r="L159" s="111">
        <f>5+1</f>
        <v>6</v>
      </c>
      <c r="M159" s="117">
        <f t="shared" ref="M159:M166" si="83">H159*L159*G159/1000</f>
        <v>0.44329199999999991</v>
      </c>
      <c r="N159" s="119">
        <f t="shared" ref="N159:N166" si="84">I159-L159</f>
        <v>1</v>
      </c>
      <c r="O159" s="120">
        <f t="shared" ref="O159:O160" si="85">H159*N159*G159/1000</f>
        <v>7.3881999999999989E-2</v>
      </c>
      <c r="P159" s="111" t="s">
        <v>632</v>
      </c>
      <c r="Q159" s="32">
        <v>6</v>
      </c>
      <c r="R159" s="32" t="s">
        <v>633</v>
      </c>
    </row>
    <row r="160" spans="1:18" s="213" customFormat="1" ht="15.6">
      <c r="A160" s="110" t="s">
        <v>328</v>
      </c>
      <c r="B160" s="111" t="s">
        <v>232</v>
      </c>
      <c r="C160" s="112" t="s">
        <v>228</v>
      </c>
      <c r="D160" s="113" t="s">
        <v>17</v>
      </c>
      <c r="E160" s="114" t="s">
        <v>15</v>
      </c>
      <c r="F160" s="115" t="s">
        <v>21</v>
      </c>
      <c r="G160" s="116">
        <v>6.97</v>
      </c>
      <c r="H160" s="125">
        <v>10.85</v>
      </c>
      <c r="I160" s="32">
        <v>4</v>
      </c>
      <c r="J160" s="117">
        <f t="shared" si="82"/>
        <v>0.30249799999999999</v>
      </c>
      <c r="K160" s="183" t="s">
        <v>399</v>
      </c>
      <c r="L160" s="111">
        <v>4</v>
      </c>
      <c r="M160" s="117">
        <f t="shared" si="83"/>
        <v>0.30249799999999999</v>
      </c>
      <c r="N160" s="119">
        <f t="shared" si="84"/>
        <v>0</v>
      </c>
      <c r="O160" s="120">
        <f t="shared" si="85"/>
        <v>0</v>
      </c>
      <c r="P160" s="111"/>
      <c r="Q160" s="32"/>
      <c r="R160" s="32"/>
    </row>
    <row r="161" spans="1:18" s="213" customFormat="1" ht="15.6">
      <c r="A161" s="110" t="s">
        <v>328</v>
      </c>
      <c r="B161" s="111" t="s">
        <v>232</v>
      </c>
      <c r="C161" s="112" t="s">
        <v>228</v>
      </c>
      <c r="D161" s="113" t="s">
        <v>17</v>
      </c>
      <c r="E161" s="114" t="s">
        <v>15</v>
      </c>
      <c r="F161" s="115" t="s">
        <v>21</v>
      </c>
      <c r="G161" s="116">
        <v>6.97</v>
      </c>
      <c r="H161" s="125">
        <v>11.2</v>
      </c>
      <c r="I161" s="32">
        <v>14</v>
      </c>
      <c r="J161" s="117">
        <f t="shared" si="82"/>
        <v>1.0928959999999999</v>
      </c>
      <c r="K161" s="183" t="s">
        <v>399</v>
      </c>
      <c r="L161" s="111">
        <v>14</v>
      </c>
      <c r="M161" s="117">
        <f t="shared" si="83"/>
        <v>1.0928959999999996</v>
      </c>
      <c r="N161" s="119">
        <f>I161-L161</f>
        <v>0</v>
      </c>
      <c r="O161" s="120">
        <f t="shared" ref="O161:O166" si="86">H161*N161*G161/1000</f>
        <v>0</v>
      </c>
      <c r="P161" s="111"/>
      <c r="Q161" s="32"/>
      <c r="R161" s="32"/>
    </row>
    <row r="162" spans="1:18" s="213" customFormat="1" ht="15.6">
      <c r="A162" s="110" t="s">
        <v>328</v>
      </c>
      <c r="B162" s="111" t="s">
        <v>232</v>
      </c>
      <c r="C162" s="112" t="s">
        <v>228</v>
      </c>
      <c r="D162" s="113" t="s">
        <v>17</v>
      </c>
      <c r="E162" s="114" t="s">
        <v>15</v>
      </c>
      <c r="F162" s="115" t="s">
        <v>21</v>
      </c>
      <c r="G162" s="116">
        <v>6.97</v>
      </c>
      <c r="H162" s="125">
        <v>11.8</v>
      </c>
      <c r="I162" s="32">
        <v>2</v>
      </c>
      <c r="J162" s="117">
        <f>H162*G162*I162/1000</f>
        <v>0.164492</v>
      </c>
      <c r="K162" s="183" t="s">
        <v>399</v>
      </c>
      <c r="L162" s="111">
        <v>2</v>
      </c>
      <c r="M162" s="117">
        <f t="shared" si="83"/>
        <v>0.164492</v>
      </c>
      <c r="N162" s="119">
        <f t="shared" si="84"/>
        <v>0</v>
      </c>
      <c r="O162" s="120">
        <f t="shared" si="86"/>
        <v>0</v>
      </c>
      <c r="P162" s="111"/>
      <c r="Q162" s="32"/>
      <c r="R162" s="32"/>
    </row>
    <row r="163" spans="1:18" s="213" customFormat="1" ht="15.6">
      <c r="A163" s="110" t="s">
        <v>328</v>
      </c>
      <c r="B163" s="111" t="s">
        <v>232</v>
      </c>
      <c r="C163" s="112" t="s">
        <v>228</v>
      </c>
      <c r="D163" s="113" t="s">
        <v>17</v>
      </c>
      <c r="E163" s="114" t="s">
        <v>15</v>
      </c>
      <c r="F163" s="115" t="s">
        <v>21</v>
      </c>
      <c r="G163" s="116">
        <v>6.97</v>
      </c>
      <c r="H163" s="125">
        <v>12</v>
      </c>
      <c r="I163" s="32">
        <v>4</v>
      </c>
      <c r="J163" s="117">
        <f>H163*G163*I163/1000</f>
        <v>0.33456000000000002</v>
      </c>
      <c r="K163" s="183" t="s">
        <v>399</v>
      </c>
      <c r="L163" s="111">
        <f>3+1</f>
        <v>4</v>
      </c>
      <c r="M163" s="117">
        <f t="shared" si="83"/>
        <v>0.33456000000000002</v>
      </c>
      <c r="N163" s="119">
        <f t="shared" si="84"/>
        <v>0</v>
      </c>
      <c r="O163" s="120">
        <f t="shared" si="86"/>
        <v>0</v>
      </c>
      <c r="P163" s="111">
        <v>11.9</v>
      </c>
      <c r="Q163" s="45">
        <v>1</v>
      </c>
      <c r="R163" s="32" t="s">
        <v>634</v>
      </c>
    </row>
    <row r="164" spans="1:18" s="213" customFormat="1" ht="15.6">
      <c r="A164" s="110" t="s">
        <v>328</v>
      </c>
      <c r="B164" s="111" t="s">
        <v>232</v>
      </c>
      <c r="C164" s="112" t="s">
        <v>228</v>
      </c>
      <c r="D164" s="113" t="s">
        <v>17</v>
      </c>
      <c r="E164" s="114" t="s">
        <v>15</v>
      </c>
      <c r="F164" s="115" t="s">
        <v>21</v>
      </c>
      <c r="G164" s="116">
        <v>6.97</v>
      </c>
      <c r="H164" s="125">
        <v>7.9</v>
      </c>
      <c r="I164" s="32">
        <v>1</v>
      </c>
      <c r="J164" s="117">
        <f>H164*G164*I164/1000</f>
        <v>5.5063000000000001E-2</v>
      </c>
      <c r="K164" s="183" t="s">
        <v>399</v>
      </c>
      <c r="L164" s="111">
        <v>1</v>
      </c>
      <c r="M164" s="117">
        <f t="shared" si="83"/>
        <v>5.5063000000000001E-2</v>
      </c>
      <c r="N164" s="119">
        <f t="shared" si="84"/>
        <v>0</v>
      </c>
      <c r="O164" s="120">
        <f t="shared" si="86"/>
        <v>0</v>
      </c>
      <c r="P164" s="111">
        <v>7.6</v>
      </c>
      <c r="Q164" s="45">
        <v>1</v>
      </c>
      <c r="R164" s="32" t="s">
        <v>634</v>
      </c>
    </row>
    <row r="165" spans="1:18" s="213" customFormat="1" ht="15.6">
      <c r="A165" s="110" t="s">
        <v>328</v>
      </c>
      <c r="B165" s="111" t="s">
        <v>232</v>
      </c>
      <c r="C165" s="112" t="s">
        <v>228</v>
      </c>
      <c r="D165" s="113" t="s">
        <v>17</v>
      </c>
      <c r="E165" s="114" t="s">
        <v>15</v>
      </c>
      <c r="F165" s="115" t="s">
        <v>21</v>
      </c>
      <c r="G165" s="116">
        <v>6.97</v>
      </c>
      <c r="H165" s="125">
        <v>10.1</v>
      </c>
      <c r="I165" s="32">
        <v>2</v>
      </c>
      <c r="J165" s="117">
        <f>H165*G165*I165/1000</f>
        <v>0.14079399999999997</v>
      </c>
      <c r="K165" s="183" t="s">
        <v>399</v>
      </c>
      <c r="L165" s="111">
        <v>2</v>
      </c>
      <c r="M165" s="117">
        <f t="shared" si="83"/>
        <v>0.14079399999999997</v>
      </c>
      <c r="N165" s="119">
        <f t="shared" si="84"/>
        <v>0</v>
      </c>
      <c r="O165" s="120">
        <f t="shared" si="86"/>
        <v>0</v>
      </c>
      <c r="P165" s="111">
        <v>7.6</v>
      </c>
      <c r="Q165" s="45">
        <v>2</v>
      </c>
      <c r="R165" s="32" t="s">
        <v>634</v>
      </c>
    </row>
    <row r="166" spans="1:18" s="213" customFormat="1" ht="15.6">
      <c r="A166" s="110" t="s">
        <v>328</v>
      </c>
      <c r="B166" s="111" t="s">
        <v>232</v>
      </c>
      <c r="C166" s="112" t="s">
        <v>228</v>
      </c>
      <c r="D166" s="113" t="s">
        <v>17</v>
      </c>
      <c r="E166" s="114" t="s">
        <v>15</v>
      </c>
      <c r="F166" s="115" t="s">
        <v>21</v>
      </c>
      <c r="G166" s="116">
        <v>6.97</v>
      </c>
      <c r="H166" s="125">
        <v>10.5</v>
      </c>
      <c r="I166" s="32">
        <v>10</v>
      </c>
      <c r="J166" s="117">
        <f>H166*G166*I166/1000</f>
        <v>0.73185</v>
      </c>
      <c r="K166" s="183" t="s">
        <v>399</v>
      </c>
      <c r="L166" s="111">
        <v>10</v>
      </c>
      <c r="M166" s="117">
        <f t="shared" si="83"/>
        <v>0.73185</v>
      </c>
      <c r="N166" s="119">
        <f t="shared" si="84"/>
        <v>0</v>
      </c>
      <c r="O166" s="120">
        <f t="shared" si="86"/>
        <v>0</v>
      </c>
      <c r="P166" s="111"/>
      <c r="Q166" s="32"/>
      <c r="R166" s="32"/>
    </row>
    <row r="167" spans="1:18">
      <c r="A167" s="32"/>
      <c r="B167" s="32"/>
      <c r="C167" s="32"/>
      <c r="D167" s="32"/>
      <c r="E167" s="32"/>
      <c r="F167" s="32"/>
      <c r="G167" s="32"/>
      <c r="H167" s="32"/>
      <c r="I167" s="129">
        <f>SUM(I135:I166)</f>
        <v>569</v>
      </c>
      <c r="J167" s="124">
        <f>SUM(J135:J166)</f>
        <v>43.547514499999991</v>
      </c>
      <c r="K167" s="32"/>
      <c r="L167" s="129">
        <f>SUM(L135:L166)</f>
        <v>568</v>
      </c>
      <c r="M167" s="124">
        <f>SUM(M135:M166)</f>
        <v>43.473632499999994</v>
      </c>
      <c r="N167" s="131">
        <f>SUM(N135:N166)</f>
        <v>1</v>
      </c>
      <c r="O167" s="132">
        <f>SUM(O135:O166)</f>
        <v>7.3881999999999989E-2</v>
      </c>
      <c r="P167" s="32"/>
      <c r="Q167" s="32"/>
      <c r="R167" s="32"/>
    </row>
    <row r="169" spans="1:18" ht="15.6">
      <c r="A169" s="110" t="s">
        <v>452</v>
      </c>
      <c r="B169" s="111" t="s">
        <v>227</v>
      </c>
      <c r="C169" s="112" t="s">
        <v>449</v>
      </c>
      <c r="D169" s="113" t="s">
        <v>20</v>
      </c>
      <c r="E169" s="114" t="s">
        <v>15</v>
      </c>
      <c r="F169" s="115" t="s">
        <v>34</v>
      </c>
      <c r="G169" s="116">
        <v>9.61</v>
      </c>
      <c r="H169" s="125">
        <v>11</v>
      </c>
      <c r="I169" s="32">
        <v>29</v>
      </c>
      <c r="J169" s="117">
        <f t="shared" ref="J169" si="87">H169*G169*I169/1000</f>
        <v>3.0655899999999998</v>
      </c>
      <c r="K169" s="118"/>
      <c r="L169" s="111">
        <v>29</v>
      </c>
      <c r="M169" s="117">
        <f t="shared" ref="M169" si="88">H169*L169*G169/1000</f>
        <v>3.0655899999999998</v>
      </c>
      <c r="N169" s="119">
        <f t="shared" ref="N169" si="89">I169-L169</f>
        <v>0</v>
      </c>
      <c r="O169" s="120">
        <f t="shared" ref="O169" si="90">H169*N169*G169/1000</f>
        <v>0</v>
      </c>
      <c r="P169" s="111"/>
      <c r="Q169" s="32"/>
      <c r="R169" s="32"/>
    </row>
    <row r="170" spans="1:18" ht="15.6">
      <c r="A170" s="110" t="s">
        <v>452</v>
      </c>
      <c r="B170" s="111" t="s">
        <v>227</v>
      </c>
      <c r="C170" s="112" t="s">
        <v>449</v>
      </c>
      <c r="D170" s="113" t="s">
        <v>20</v>
      </c>
      <c r="E170" s="114" t="s">
        <v>15</v>
      </c>
      <c r="F170" s="115" t="s">
        <v>34</v>
      </c>
      <c r="G170" s="116">
        <v>9.61</v>
      </c>
      <c r="H170" s="125">
        <v>11</v>
      </c>
      <c r="I170" s="32">
        <v>26</v>
      </c>
      <c r="J170" s="117">
        <f t="shared" ref="J170:J185" si="91">H170*G170*I170/1000</f>
        <v>2.7484600000000001</v>
      </c>
      <c r="K170" s="118"/>
      <c r="L170" s="111">
        <v>26</v>
      </c>
      <c r="M170" s="117">
        <f t="shared" ref="M170:M185" si="92">H170*L170*G170/1000</f>
        <v>2.7484600000000001</v>
      </c>
      <c r="N170" s="119">
        <f t="shared" ref="N170:N185" si="93">I170-L170</f>
        <v>0</v>
      </c>
      <c r="O170" s="120">
        <f t="shared" ref="O170:O185" si="94">H170*N170*G170/1000</f>
        <v>0</v>
      </c>
      <c r="P170" s="111"/>
      <c r="Q170" s="32"/>
      <c r="R170" s="32"/>
    </row>
    <row r="171" spans="1:18" ht="15.6">
      <c r="A171" s="110" t="s">
        <v>452</v>
      </c>
      <c r="B171" s="111" t="s">
        <v>227</v>
      </c>
      <c r="C171" s="112" t="s">
        <v>449</v>
      </c>
      <c r="D171" s="113" t="s">
        <v>20</v>
      </c>
      <c r="E171" s="114" t="s">
        <v>15</v>
      </c>
      <c r="F171" s="115" t="s">
        <v>34</v>
      </c>
      <c r="G171" s="116">
        <v>9.61</v>
      </c>
      <c r="H171" s="125">
        <v>12</v>
      </c>
      <c r="I171" s="32">
        <v>26</v>
      </c>
      <c r="J171" s="117">
        <f t="shared" si="91"/>
        <v>2.9983199999999997</v>
      </c>
      <c r="K171" s="118"/>
      <c r="L171" s="111">
        <v>26</v>
      </c>
      <c r="M171" s="117">
        <f t="shared" si="92"/>
        <v>2.9983199999999997</v>
      </c>
      <c r="N171" s="119">
        <f t="shared" si="93"/>
        <v>0</v>
      </c>
      <c r="O171" s="120">
        <f t="shared" si="94"/>
        <v>0</v>
      </c>
      <c r="P171" s="111"/>
      <c r="Q171" s="32"/>
      <c r="R171" s="32"/>
    </row>
    <row r="172" spans="1:18" ht="15.6">
      <c r="A172" s="110" t="s">
        <v>452</v>
      </c>
      <c r="B172" s="111" t="s">
        <v>227</v>
      </c>
      <c r="C172" s="112" t="s">
        <v>449</v>
      </c>
      <c r="D172" s="113" t="s">
        <v>20</v>
      </c>
      <c r="E172" s="114" t="s">
        <v>15</v>
      </c>
      <c r="F172" s="115" t="s">
        <v>34</v>
      </c>
      <c r="G172" s="116">
        <v>9.61</v>
      </c>
      <c r="H172" s="125">
        <v>12</v>
      </c>
      <c r="I172" s="32">
        <v>26</v>
      </c>
      <c r="J172" s="117">
        <f t="shared" si="91"/>
        <v>2.9983199999999997</v>
      </c>
      <c r="K172" s="118"/>
      <c r="L172" s="111">
        <v>26</v>
      </c>
      <c r="M172" s="117">
        <f t="shared" si="92"/>
        <v>2.9983199999999997</v>
      </c>
      <c r="N172" s="119">
        <f t="shared" si="93"/>
        <v>0</v>
      </c>
      <c r="O172" s="120">
        <f t="shared" si="94"/>
        <v>0</v>
      </c>
      <c r="P172" s="111"/>
      <c r="Q172" s="32"/>
      <c r="R172" s="32"/>
    </row>
    <row r="173" spans="1:18" ht="15.6">
      <c r="A173" s="110" t="s">
        <v>452</v>
      </c>
      <c r="B173" s="111" t="s">
        <v>227</v>
      </c>
      <c r="C173" s="112" t="s">
        <v>449</v>
      </c>
      <c r="D173" s="113" t="s">
        <v>20</v>
      </c>
      <c r="E173" s="114" t="s">
        <v>15</v>
      </c>
      <c r="F173" s="115" t="s">
        <v>34</v>
      </c>
      <c r="G173" s="116">
        <v>9.61</v>
      </c>
      <c r="H173" s="125">
        <v>12</v>
      </c>
      <c r="I173" s="32">
        <v>26</v>
      </c>
      <c r="J173" s="117">
        <f t="shared" si="91"/>
        <v>2.9983199999999997</v>
      </c>
      <c r="K173" s="118"/>
      <c r="L173" s="111">
        <v>26</v>
      </c>
      <c r="M173" s="117">
        <f t="shared" si="92"/>
        <v>2.9983199999999997</v>
      </c>
      <c r="N173" s="119">
        <f t="shared" si="93"/>
        <v>0</v>
      </c>
      <c r="O173" s="120">
        <f t="shared" si="94"/>
        <v>0</v>
      </c>
      <c r="P173" s="111"/>
      <c r="Q173" s="32"/>
      <c r="R173" s="32"/>
    </row>
    <row r="174" spans="1:18" ht="15.6">
      <c r="A174" s="110" t="s">
        <v>452</v>
      </c>
      <c r="B174" s="111" t="s">
        <v>227</v>
      </c>
      <c r="C174" s="112" t="s">
        <v>449</v>
      </c>
      <c r="D174" s="113" t="s">
        <v>20</v>
      </c>
      <c r="E174" s="114" t="s">
        <v>15</v>
      </c>
      <c r="F174" s="115" t="s">
        <v>34</v>
      </c>
      <c r="G174" s="116">
        <v>9.61</v>
      </c>
      <c r="H174" s="125">
        <v>11</v>
      </c>
      <c r="I174" s="32">
        <v>5</v>
      </c>
      <c r="J174" s="117">
        <f t="shared" si="91"/>
        <v>0.52854999999999996</v>
      </c>
      <c r="K174" s="118"/>
      <c r="L174" s="111">
        <v>5</v>
      </c>
      <c r="M174" s="117">
        <f t="shared" si="92"/>
        <v>0.52854999999999996</v>
      </c>
      <c r="N174" s="119">
        <f t="shared" si="93"/>
        <v>0</v>
      </c>
      <c r="O174" s="120">
        <f t="shared" si="94"/>
        <v>0</v>
      </c>
      <c r="P174" s="111"/>
      <c r="Q174" s="32"/>
      <c r="R174" s="32"/>
    </row>
    <row r="175" spans="1:18" ht="15.6">
      <c r="A175" s="110" t="s">
        <v>452</v>
      </c>
      <c r="B175" s="111" t="s">
        <v>227</v>
      </c>
      <c r="C175" s="112" t="s">
        <v>449</v>
      </c>
      <c r="D175" s="113" t="s">
        <v>20</v>
      </c>
      <c r="E175" s="114" t="s">
        <v>15</v>
      </c>
      <c r="F175" s="115" t="s">
        <v>34</v>
      </c>
      <c r="G175" s="116">
        <v>9.61</v>
      </c>
      <c r="H175" s="125">
        <v>12</v>
      </c>
      <c r="I175" s="32">
        <v>14</v>
      </c>
      <c r="J175" s="117">
        <f t="shared" si="91"/>
        <v>1.6144799999999999</v>
      </c>
      <c r="K175" s="118"/>
      <c r="L175" s="111">
        <v>14</v>
      </c>
      <c r="M175" s="117">
        <f t="shared" si="92"/>
        <v>1.6144799999999999</v>
      </c>
      <c r="N175" s="119">
        <f t="shared" si="93"/>
        <v>0</v>
      </c>
      <c r="O175" s="120">
        <f t="shared" si="94"/>
        <v>0</v>
      </c>
      <c r="P175" s="111"/>
      <c r="Q175" s="32"/>
      <c r="R175" s="32"/>
    </row>
    <row r="176" spans="1:18" ht="15.6">
      <c r="A176" s="110" t="s">
        <v>452</v>
      </c>
      <c r="B176" s="111" t="s">
        <v>227</v>
      </c>
      <c r="C176" s="112" t="s">
        <v>449</v>
      </c>
      <c r="D176" s="113" t="s">
        <v>20</v>
      </c>
      <c r="E176" s="114" t="s">
        <v>15</v>
      </c>
      <c r="F176" s="115" t="s">
        <v>34</v>
      </c>
      <c r="G176" s="116">
        <v>9.61</v>
      </c>
      <c r="H176" s="125">
        <v>9.4</v>
      </c>
      <c r="I176" s="32">
        <v>21</v>
      </c>
      <c r="J176" s="117">
        <f t="shared" si="91"/>
        <v>1.8970140000000002</v>
      </c>
      <c r="K176" s="118"/>
      <c r="L176" s="111">
        <v>21</v>
      </c>
      <c r="M176" s="117">
        <f t="shared" si="92"/>
        <v>1.897014</v>
      </c>
      <c r="N176" s="119">
        <f t="shared" si="93"/>
        <v>0</v>
      </c>
      <c r="O176" s="120">
        <f t="shared" si="94"/>
        <v>0</v>
      </c>
      <c r="P176" s="111"/>
      <c r="Q176" s="32"/>
      <c r="R176" s="32"/>
    </row>
    <row r="177" spans="1:18" ht="15.6">
      <c r="A177" s="110" t="s">
        <v>452</v>
      </c>
      <c r="B177" s="111" t="s">
        <v>227</v>
      </c>
      <c r="C177" s="112" t="s">
        <v>449</v>
      </c>
      <c r="D177" s="113" t="s">
        <v>20</v>
      </c>
      <c r="E177" s="114" t="s">
        <v>15</v>
      </c>
      <c r="F177" s="115" t="s">
        <v>34</v>
      </c>
      <c r="G177" s="116">
        <v>9.61</v>
      </c>
      <c r="H177" s="125">
        <v>10.6</v>
      </c>
      <c r="I177" s="32">
        <v>32</v>
      </c>
      <c r="J177" s="117">
        <f t="shared" si="91"/>
        <v>3.2597119999999995</v>
      </c>
      <c r="K177" s="118"/>
      <c r="L177" s="111">
        <v>32</v>
      </c>
      <c r="M177" s="117">
        <f t="shared" si="92"/>
        <v>3.2597119999999995</v>
      </c>
      <c r="N177" s="119">
        <f t="shared" si="93"/>
        <v>0</v>
      </c>
      <c r="O177" s="120">
        <f t="shared" si="94"/>
        <v>0</v>
      </c>
      <c r="P177" s="111"/>
      <c r="Q177" s="32"/>
      <c r="R177" s="32"/>
    </row>
    <row r="178" spans="1:18" ht="15.6">
      <c r="A178" s="110" t="s">
        <v>452</v>
      </c>
      <c r="B178" s="111" t="s">
        <v>227</v>
      </c>
      <c r="C178" s="112" t="s">
        <v>449</v>
      </c>
      <c r="D178" s="113" t="s">
        <v>20</v>
      </c>
      <c r="E178" s="114" t="s">
        <v>15</v>
      </c>
      <c r="F178" s="115" t="s">
        <v>34</v>
      </c>
      <c r="G178" s="116">
        <v>9.61</v>
      </c>
      <c r="H178" s="125">
        <v>10.6</v>
      </c>
      <c r="I178" s="32">
        <v>29</v>
      </c>
      <c r="J178" s="117">
        <f t="shared" si="91"/>
        <v>2.9541139999999997</v>
      </c>
      <c r="K178" s="118"/>
      <c r="L178" s="111">
        <v>29</v>
      </c>
      <c r="M178" s="117">
        <f t="shared" si="92"/>
        <v>2.9541139999999997</v>
      </c>
      <c r="N178" s="119">
        <f t="shared" si="93"/>
        <v>0</v>
      </c>
      <c r="O178" s="120">
        <f t="shared" si="94"/>
        <v>0</v>
      </c>
      <c r="P178" s="111"/>
      <c r="Q178" s="32"/>
      <c r="R178" s="32"/>
    </row>
    <row r="179" spans="1:18" ht="15.6">
      <c r="A179" s="110" t="s">
        <v>452</v>
      </c>
      <c r="B179" s="111" t="s">
        <v>227</v>
      </c>
      <c r="C179" s="112" t="s">
        <v>449</v>
      </c>
      <c r="D179" s="113" t="s">
        <v>20</v>
      </c>
      <c r="E179" s="114" t="s">
        <v>15</v>
      </c>
      <c r="F179" s="115" t="s">
        <v>34</v>
      </c>
      <c r="G179" s="116">
        <v>9.61</v>
      </c>
      <c r="H179" s="125">
        <v>10.199999999999999</v>
      </c>
      <c r="I179" s="32">
        <v>2</v>
      </c>
      <c r="J179" s="117">
        <f t="shared" si="91"/>
        <v>0.196044</v>
      </c>
      <c r="K179" s="118"/>
      <c r="L179" s="111">
        <v>2</v>
      </c>
      <c r="M179" s="117">
        <f t="shared" si="92"/>
        <v>0.196044</v>
      </c>
      <c r="N179" s="119">
        <f t="shared" si="93"/>
        <v>0</v>
      </c>
      <c r="O179" s="120">
        <f t="shared" si="94"/>
        <v>0</v>
      </c>
      <c r="P179" s="111">
        <v>9.4</v>
      </c>
      <c r="Q179" s="32">
        <v>2</v>
      </c>
      <c r="R179" s="32"/>
    </row>
    <row r="180" spans="1:18" ht="15.6">
      <c r="A180" s="110" t="s">
        <v>452</v>
      </c>
      <c r="B180" s="111" t="s">
        <v>227</v>
      </c>
      <c r="C180" s="112" t="s">
        <v>449</v>
      </c>
      <c r="D180" s="113" t="s">
        <v>20</v>
      </c>
      <c r="E180" s="114" t="s">
        <v>15</v>
      </c>
      <c r="F180" s="115" t="s">
        <v>34</v>
      </c>
      <c r="G180" s="116">
        <v>9.61</v>
      </c>
      <c r="H180" s="125">
        <v>9.1</v>
      </c>
      <c r="I180" s="32">
        <v>1</v>
      </c>
      <c r="J180" s="117">
        <f t="shared" si="91"/>
        <v>8.7450999999999987E-2</v>
      </c>
      <c r="K180" s="118"/>
      <c r="L180" s="111">
        <v>1</v>
      </c>
      <c r="M180" s="117">
        <f t="shared" si="92"/>
        <v>8.7450999999999987E-2</v>
      </c>
      <c r="N180" s="145">
        <f t="shared" si="93"/>
        <v>0</v>
      </c>
      <c r="O180" s="146">
        <f t="shared" si="94"/>
        <v>0</v>
      </c>
      <c r="P180" s="111"/>
      <c r="Q180" s="32"/>
      <c r="R180" s="32"/>
    </row>
    <row r="181" spans="1:18" ht="15.6">
      <c r="A181" s="110" t="s">
        <v>452</v>
      </c>
      <c r="B181" s="111" t="s">
        <v>227</v>
      </c>
      <c r="C181" s="112" t="s">
        <v>449</v>
      </c>
      <c r="D181" s="113" t="s">
        <v>20</v>
      </c>
      <c r="E181" s="114" t="s">
        <v>15</v>
      </c>
      <c r="F181" s="115" t="s">
        <v>34</v>
      </c>
      <c r="G181" s="116">
        <v>9.61</v>
      </c>
      <c r="H181" s="125">
        <v>9</v>
      </c>
      <c r="I181" s="32">
        <v>1</v>
      </c>
      <c r="J181" s="117">
        <f t="shared" si="91"/>
        <v>8.6489999999999997E-2</v>
      </c>
      <c r="K181" s="118"/>
      <c r="L181" s="111">
        <v>1</v>
      </c>
      <c r="M181" s="117">
        <f t="shared" si="92"/>
        <v>8.6489999999999997E-2</v>
      </c>
      <c r="N181" s="145">
        <f t="shared" si="93"/>
        <v>0</v>
      </c>
      <c r="O181" s="146">
        <f t="shared" si="94"/>
        <v>0</v>
      </c>
      <c r="P181" s="111"/>
      <c r="Q181" s="32"/>
      <c r="R181" s="32"/>
    </row>
    <row r="182" spans="1:18" ht="15.6">
      <c r="A182" s="110" t="s">
        <v>452</v>
      </c>
      <c r="B182" s="111" t="s">
        <v>227</v>
      </c>
      <c r="C182" s="112" t="s">
        <v>449</v>
      </c>
      <c r="D182" s="113" t="s">
        <v>20</v>
      </c>
      <c r="E182" s="114" t="s">
        <v>15</v>
      </c>
      <c r="F182" s="115" t="s">
        <v>34</v>
      </c>
      <c r="G182" s="116">
        <v>9.61</v>
      </c>
      <c r="H182" s="125">
        <v>8.9</v>
      </c>
      <c r="I182" s="32">
        <v>1</v>
      </c>
      <c r="J182" s="117">
        <f t="shared" si="91"/>
        <v>8.5528999999999994E-2</v>
      </c>
      <c r="K182" s="118"/>
      <c r="L182" s="111">
        <v>1</v>
      </c>
      <c r="M182" s="117">
        <f t="shared" si="92"/>
        <v>8.5528999999999994E-2</v>
      </c>
      <c r="N182" s="145">
        <f t="shared" si="93"/>
        <v>0</v>
      </c>
      <c r="O182" s="146">
        <f t="shared" si="94"/>
        <v>0</v>
      </c>
      <c r="P182" s="111"/>
      <c r="Q182" s="32"/>
      <c r="R182" s="32"/>
    </row>
    <row r="183" spans="1:18" ht="15.6">
      <c r="A183" s="110" t="s">
        <v>452</v>
      </c>
      <c r="B183" s="111" t="s">
        <v>227</v>
      </c>
      <c r="C183" s="112" t="s">
        <v>449</v>
      </c>
      <c r="D183" s="113" t="s">
        <v>20</v>
      </c>
      <c r="E183" s="114" t="s">
        <v>15</v>
      </c>
      <c r="F183" s="115" t="s">
        <v>34</v>
      </c>
      <c r="G183" s="116">
        <v>9.61</v>
      </c>
      <c r="H183" s="125">
        <v>8.5</v>
      </c>
      <c r="I183" s="32">
        <v>2</v>
      </c>
      <c r="J183" s="117">
        <f t="shared" si="91"/>
        <v>0.16337000000000002</v>
      </c>
      <c r="K183" s="118"/>
      <c r="L183" s="111">
        <v>2</v>
      </c>
      <c r="M183" s="117">
        <f t="shared" si="92"/>
        <v>0.16337000000000002</v>
      </c>
      <c r="N183" s="145">
        <f t="shared" si="93"/>
        <v>0</v>
      </c>
      <c r="O183" s="146">
        <f t="shared" si="94"/>
        <v>0</v>
      </c>
      <c r="P183" s="111"/>
      <c r="Q183" s="32"/>
      <c r="R183" s="32"/>
    </row>
    <row r="184" spans="1:18" ht="15.6">
      <c r="A184" s="110" t="s">
        <v>452</v>
      </c>
      <c r="B184" s="111" t="s">
        <v>227</v>
      </c>
      <c r="C184" s="112" t="s">
        <v>449</v>
      </c>
      <c r="D184" s="113" t="s">
        <v>20</v>
      </c>
      <c r="E184" s="114" t="s">
        <v>15</v>
      </c>
      <c r="F184" s="115" t="s">
        <v>34</v>
      </c>
      <c r="G184" s="116">
        <v>9.61</v>
      </c>
      <c r="H184" s="125">
        <v>7.9</v>
      </c>
      <c r="I184" s="32">
        <v>1</v>
      </c>
      <c r="J184" s="117">
        <f t="shared" si="91"/>
        <v>7.5919E-2</v>
      </c>
      <c r="K184" s="118"/>
      <c r="L184" s="111">
        <v>1</v>
      </c>
      <c r="M184" s="117">
        <f t="shared" si="92"/>
        <v>7.5919E-2</v>
      </c>
      <c r="N184" s="145">
        <f t="shared" si="93"/>
        <v>0</v>
      </c>
      <c r="O184" s="146">
        <f t="shared" si="94"/>
        <v>0</v>
      </c>
      <c r="P184" s="111"/>
      <c r="Q184" s="32"/>
      <c r="R184" s="32"/>
    </row>
    <row r="185" spans="1:18" ht="15.6">
      <c r="A185" s="110" t="s">
        <v>452</v>
      </c>
      <c r="B185" s="111" t="s">
        <v>227</v>
      </c>
      <c r="C185" s="112" t="s">
        <v>449</v>
      </c>
      <c r="D185" s="113" t="s">
        <v>20</v>
      </c>
      <c r="E185" s="114" t="s">
        <v>15</v>
      </c>
      <c r="F185" s="115" t="s">
        <v>34</v>
      </c>
      <c r="G185" s="116">
        <v>9.61</v>
      </c>
      <c r="H185" s="125">
        <v>8</v>
      </c>
      <c r="I185" s="32">
        <v>1</v>
      </c>
      <c r="J185" s="117">
        <f t="shared" si="91"/>
        <v>7.687999999999999E-2</v>
      </c>
      <c r="K185" s="118"/>
      <c r="L185" s="111">
        <v>1</v>
      </c>
      <c r="M185" s="117">
        <f t="shared" si="92"/>
        <v>7.687999999999999E-2</v>
      </c>
      <c r="N185" s="145">
        <f t="shared" si="93"/>
        <v>0</v>
      </c>
      <c r="O185" s="146">
        <f t="shared" si="94"/>
        <v>0</v>
      </c>
      <c r="P185" s="111"/>
      <c r="Q185" s="32"/>
      <c r="R185" s="32"/>
    </row>
    <row r="186" spans="1:18" ht="15.6">
      <c r="A186" s="110" t="s">
        <v>452</v>
      </c>
      <c r="B186" s="111" t="s">
        <v>227</v>
      </c>
      <c r="C186" s="112" t="s">
        <v>449</v>
      </c>
      <c r="D186" s="113" t="s">
        <v>20</v>
      </c>
      <c r="E186" s="114" t="s">
        <v>15</v>
      </c>
      <c r="F186" s="115" t="s">
        <v>34</v>
      </c>
      <c r="G186" s="116">
        <v>9.61</v>
      </c>
      <c r="H186" s="125">
        <v>12</v>
      </c>
      <c r="I186" s="32">
        <v>2</v>
      </c>
      <c r="J186" s="117">
        <f t="shared" ref="J186:J187" si="95">H186*G186*I186/1000</f>
        <v>0.23063999999999998</v>
      </c>
      <c r="K186" s="118"/>
      <c r="L186" s="111">
        <v>2</v>
      </c>
      <c r="M186" s="117">
        <f t="shared" ref="M186:M187" si="96">H186*L186*G186/1000</f>
        <v>0.23063999999999998</v>
      </c>
      <c r="N186" s="119">
        <f t="shared" ref="N186:N187" si="97">I186-L186</f>
        <v>0</v>
      </c>
      <c r="O186" s="120">
        <f t="shared" ref="O186:O187" si="98">H186*N186*G186/1000</f>
        <v>0</v>
      </c>
      <c r="P186" s="111"/>
      <c r="Q186" s="32"/>
      <c r="R186" s="32"/>
    </row>
    <row r="187" spans="1:18" ht="15.6">
      <c r="A187" s="110" t="s">
        <v>452</v>
      </c>
      <c r="B187" s="111" t="s">
        <v>227</v>
      </c>
      <c r="C187" s="112" t="s">
        <v>449</v>
      </c>
      <c r="D187" s="113" t="s">
        <v>20</v>
      </c>
      <c r="E187" s="114" t="s">
        <v>15</v>
      </c>
      <c r="F187" s="115" t="s">
        <v>34</v>
      </c>
      <c r="G187" s="116">
        <v>9.61</v>
      </c>
      <c r="H187" s="125">
        <v>9.4</v>
      </c>
      <c r="I187" s="32">
        <v>1</v>
      </c>
      <c r="J187" s="117">
        <f t="shared" si="95"/>
        <v>9.0333999999999998E-2</v>
      </c>
      <c r="K187" s="118"/>
      <c r="L187" s="111">
        <v>1</v>
      </c>
      <c r="M187" s="117">
        <f t="shared" si="96"/>
        <v>9.0333999999999998E-2</v>
      </c>
      <c r="N187" s="119">
        <f t="shared" si="97"/>
        <v>0</v>
      </c>
      <c r="O187" s="120">
        <f t="shared" si="98"/>
        <v>0</v>
      </c>
      <c r="P187" s="111"/>
      <c r="Q187" s="32"/>
      <c r="R187" s="32"/>
    </row>
    <row r="188" spans="1:18" ht="15.6">
      <c r="A188" s="110" t="s">
        <v>452</v>
      </c>
      <c r="B188" s="111" t="s">
        <v>227</v>
      </c>
      <c r="C188" s="112" t="s">
        <v>449</v>
      </c>
      <c r="D188" s="113" t="s">
        <v>20</v>
      </c>
      <c r="E188" s="114" t="s">
        <v>15</v>
      </c>
      <c r="F188" s="115" t="s">
        <v>34</v>
      </c>
      <c r="G188" s="116">
        <v>9.61</v>
      </c>
      <c r="H188" s="125">
        <v>9.4</v>
      </c>
      <c r="I188" s="358">
        <v>30</v>
      </c>
      <c r="J188" s="117">
        <f t="shared" ref="J188:J192" si="99">H188*G188*I188/1000</f>
        <v>2.7100200000000001</v>
      </c>
      <c r="K188" s="118"/>
      <c r="L188" s="111">
        <f>30+5</f>
        <v>35</v>
      </c>
      <c r="M188" s="117">
        <f t="shared" ref="M188:M192" si="100">H188*L188*G188/1000</f>
        <v>3.1616899999999997</v>
      </c>
      <c r="N188" s="230">
        <f t="shared" ref="N188:N192" si="101">I188-L188</f>
        <v>-5</v>
      </c>
      <c r="O188" s="231">
        <f t="shared" ref="O188:O192" si="102">H188*N188*G188/1000</f>
        <v>-0.45166999999999996</v>
      </c>
      <c r="P188" s="44" t="s">
        <v>624</v>
      </c>
      <c r="Q188" s="32"/>
      <c r="R188" s="32"/>
    </row>
    <row r="189" spans="1:18" ht="15.6">
      <c r="A189" s="110" t="s">
        <v>452</v>
      </c>
      <c r="B189" s="111" t="s">
        <v>227</v>
      </c>
      <c r="C189" s="112" t="s">
        <v>449</v>
      </c>
      <c r="D189" s="113" t="s">
        <v>20</v>
      </c>
      <c r="E189" s="114" t="s">
        <v>15</v>
      </c>
      <c r="F189" s="115" t="s">
        <v>34</v>
      </c>
      <c r="G189" s="116">
        <v>9.61</v>
      </c>
      <c r="H189" s="125">
        <v>9.4</v>
      </c>
      <c r="I189" s="358">
        <v>30</v>
      </c>
      <c r="J189" s="117">
        <f t="shared" si="99"/>
        <v>2.7100200000000001</v>
      </c>
      <c r="K189" s="118"/>
      <c r="L189" s="111">
        <v>30</v>
      </c>
      <c r="M189" s="117">
        <f t="shared" si="100"/>
        <v>2.7100200000000001</v>
      </c>
      <c r="N189" s="119">
        <f t="shared" si="101"/>
        <v>0</v>
      </c>
      <c r="O189" s="120">
        <f t="shared" si="102"/>
        <v>0</v>
      </c>
      <c r="P189" s="111"/>
      <c r="Q189" s="32"/>
      <c r="R189" s="32"/>
    </row>
    <row r="190" spans="1:18" ht="15.6">
      <c r="A190" s="110" t="s">
        <v>452</v>
      </c>
      <c r="B190" s="111" t="s">
        <v>227</v>
      </c>
      <c r="C190" s="112" t="s">
        <v>449</v>
      </c>
      <c r="D190" s="113" t="s">
        <v>20</v>
      </c>
      <c r="E190" s="114" t="s">
        <v>15</v>
      </c>
      <c r="F190" s="115" t="s">
        <v>34</v>
      </c>
      <c r="G190" s="116">
        <v>9.61</v>
      </c>
      <c r="H190" s="125">
        <v>9.4</v>
      </c>
      <c r="I190" s="358">
        <v>30</v>
      </c>
      <c r="J190" s="117">
        <f t="shared" si="99"/>
        <v>2.7100200000000001</v>
      </c>
      <c r="K190" s="118"/>
      <c r="L190" s="111">
        <v>30</v>
      </c>
      <c r="M190" s="117">
        <f t="shared" si="100"/>
        <v>2.7100200000000001</v>
      </c>
      <c r="N190" s="119">
        <f t="shared" si="101"/>
        <v>0</v>
      </c>
      <c r="O190" s="120">
        <f t="shared" si="102"/>
        <v>0</v>
      </c>
      <c r="P190" s="111"/>
      <c r="Q190" s="32"/>
      <c r="R190" s="32"/>
    </row>
    <row r="191" spans="1:18" ht="15.6">
      <c r="A191" s="110" t="s">
        <v>452</v>
      </c>
      <c r="B191" s="111" t="s">
        <v>227</v>
      </c>
      <c r="C191" s="112" t="s">
        <v>449</v>
      </c>
      <c r="D191" s="113" t="s">
        <v>20</v>
      </c>
      <c r="E191" s="114" t="s">
        <v>15</v>
      </c>
      <c r="F191" s="115" t="s">
        <v>34</v>
      </c>
      <c r="G191" s="116">
        <v>9.61</v>
      </c>
      <c r="H191" s="125">
        <v>9.4</v>
      </c>
      <c r="I191" s="358">
        <v>30</v>
      </c>
      <c r="J191" s="117">
        <f t="shared" si="99"/>
        <v>2.7100200000000001</v>
      </c>
      <c r="K191" s="118"/>
      <c r="L191" s="111">
        <v>30</v>
      </c>
      <c r="M191" s="117">
        <f t="shared" si="100"/>
        <v>2.7100200000000001</v>
      </c>
      <c r="N191" s="119">
        <f t="shared" si="101"/>
        <v>0</v>
      </c>
      <c r="O191" s="120">
        <f t="shared" si="102"/>
        <v>0</v>
      </c>
      <c r="P191" s="111"/>
      <c r="Q191" s="32"/>
      <c r="R191" s="32"/>
    </row>
    <row r="192" spans="1:18" ht="15.6">
      <c r="A192" s="110" t="s">
        <v>452</v>
      </c>
      <c r="B192" s="111" t="s">
        <v>227</v>
      </c>
      <c r="C192" s="112" t="s">
        <v>449</v>
      </c>
      <c r="D192" s="113" t="s">
        <v>20</v>
      </c>
      <c r="E192" s="114" t="s">
        <v>15</v>
      </c>
      <c r="F192" s="115" t="s">
        <v>34</v>
      </c>
      <c r="G192" s="116">
        <v>9.61</v>
      </c>
      <c r="H192" s="125">
        <v>10.6</v>
      </c>
      <c r="I192" s="358">
        <v>30</v>
      </c>
      <c r="J192" s="117">
        <f t="shared" si="99"/>
        <v>3.0559799999999995</v>
      </c>
      <c r="K192" s="118"/>
      <c r="L192" s="111">
        <v>30</v>
      </c>
      <c r="M192" s="117">
        <f t="shared" si="100"/>
        <v>3.0559799999999999</v>
      </c>
      <c r="N192" s="119">
        <f t="shared" si="101"/>
        <v>0</v>
      </c>
      <c r="O192" s="120">
        <f t="shared" si="102"/>
        <v>0</v>
      </c>
      <c r="P192" s="111"/>
      <c r="Q192" s="32"/>
      <c r="R192" s="32"/>
    </row>
    <row r="193" spans="1:18" ht="15.6">
      <c r="A193" s="110" t="s">
        <v>452</v>
      </c>
      <c r="B193" s="111" t="s">
        <v>227</v>
      </c>
      <c r="C193" s="112" t="s">
        <v>449</v>
      </c>
      <c r="D193" s="113" t="s">
        <v>20</v>
      </c>
      <c r="E193" s="114" t="s">
        <v>15</v>
      </c>
      <c r="F193" s="115" t="s">
        <v>34</v>
      </c>
      <c r="G193" s="116">
        <v>9.61</v>
      </c>
      <c r="H193" s="125">
        <v>9.4</v>
      </c>
      <c r="I193" s="358">
        <v>30</v>
      </c>
      <c r="J193" s="117">
        <f t="shared" ref="J193:J211" si="103">H193*G193*I193/1000</f>
        <v>2.7100200000000001</v>
      </c>
      <c r="K193" s="118"/>
      <c r="L193" s="111">
        <v>30</v>
      </c>
      <c r="M193" s="117">
        <f t="shared" ref="M193:M213" si="104">H193*L193*G193/1000</f>
        <v>2.7100200000000001</v>
      </c>
      <c r="N193" s="119">
        <f t="shared" ref="N193:N213" si="105">I193-L193</f>
        <v>0</v>
      </c>
      <c r="O193" s="120">
        <f t="shared" ref="O193:O211" si="106">H193*N193*G193/1000</f>
        <v>0</v>
      </c>
      <c r="P193" s="111"/>
      <c r="Q193" s="32"/>
      <c r="R193" s="32"/>
    </row>
    <row r="194" spans="1:18" ht="15.6">
      <c r="A194" s="110" t="s">
        <v>452</v>
      </c>
      <c r="B194" s="111" t="s">
        <v>227</v>
      </c>
      <c r="C194" s="112" t="s">
        <v>449</v>
      </c>
      <c r="D194" s="113" t="s">
        <v>20</v>
      </c>
      <c r="E194" s="114" t="s">
        <v>15</v>
      </c>
      <c r="F194" s="115" t="s">
        <v>34</v>
      </c>
      <c r="G194" s="116">
        <v>9.61</v>
      </c>
      <c r="H194" s="125">
        <v>9.4</v>
      </c>
      <c r="I194" s="358">
        <v>31</v>
      </c>
      <c r="J194" s="117">
        <f t="shared" si="103"/>
        <v>2.8003540000000005</v>
      </c>
      <c r="K194" s="118"/>
      <c r="L194" s="111">
        <v>31</v>
      </c>
      <c r="M194" s="117">
        <f t="shared" si="104"/>
        <v>2.8003540000000005</v>
      </c>
      <c r="N194" s="119">
        <f t="shared" si="105"/>
        <v>0</v>
      </c>
      <c r="O194" s="120">
        <f t="shared" si="106"/>
        <v>0</v>
      </c>
      <c r="P194" s="111"/>
      <c r="Q194" s="32"/>
      <c r="R194" s="32"/>
    </row>
    <row r="195" spans="1:18" ht="15.6">
      <c r="A195" s="110" t="s">
        <v>452</v>
      </c>
      <c r="B195" s="111" t="s">
        <v>227</v>
      </c>
      <c r="C195" s="112" t="s">
        <v>449</v>
      </c>
      <c r="D195" s="113" t="s">
        <v>20</v>
      </c>
      <c r="E195" s="114" t="s">
        <v>15</v>
      </c>
      <c r="F195" s="115" t="s">
        <v>34</v>
      </c>
      <c r="G195" s="116">
        <v>9.61</v>
      </c>
      <c r="H195" s="125">
        <v>9.4</v>
      </c>
      <c r="I195" s="358">
        <v>30</v>
      </c>
      <c r="J195" s="117">
        <f t="shared" si="103"/>
        <v>2.7100200000000001</v>
      </c>
      <c r="K195" s="118"/>
      <c r="L195" s="111">
        <v>30</v>
      </c>
      <c r="M195" s="117">
        <f t="shared" si="104"/>
        <v>2.7100200000000001</v>
      </c>
      <c r="N195" s="119">
        <f t="shared" si="105"/>
        <v>0</v>
      </c>
      <c r="O195" s="120">
        <f t="shared" si="106"/>
        <v>0</v>
      </c>
      <c r="P195" s="111"/>
      <c r="Q195" s="32"/>
      <c r="R195" s="32"/>
    </row>
    <row r="196" spans="1:18" ht="15.6">
      <c r="A196" s="110" t="s">
        <v>452</v>
      </c>
      <c r="B196" s="111" t="s">
        <v>227</v>
      </c>
      <c r="C196" s="112" t="s">
        <v>449</v>
      </c>
      <c r="D196" s="113" t="s">
        <v>20</v>
      </c>
      <c r="E196" s="114" t="s">
        <v>15</v>
      </c>
      <c r="F196" s="115" t="s">
        <v>34</v>
      </c>
      <c r="G196" s="116">
        <v>9.61</v>
      </c>
      <c r="H196" s="125">
        <v>9.4</v>
      </c>
      <c r="I196" s="358">
        <v>30</v>
      </c>
      <c r="J196" s="117">
        <f t="shared" si="103"/>
        <v>2.7100200000000001</v>
      </c>
      <c r="K196" s="118"/>
      <c r="L196" s="111">
        <v>30</v>
      </c>
      <c r="M196" s="117">
        <f t="shared" si="104"/>
        <v>2.7100200000000001</v>
      </c>
      <c r="N196" s="119">
        <f t="shared" si="105"/>
        <v>0</v>
      </c>
      <c r="O196" s="120">
        <f t="shared" si="106"/>
        <v>0</v>
      </c>
      <c r="P196" s="111"/>
      <c r="Q196" s="32"/>
      <c r="R196" s="32"/>
    </row>
    <row r="197" spans="1:18" ht="15.6">
      <c r="A197" s="110" t="s">
        <v>452</v>
      </c>
      <c r="B197" s="111" t="s">
        <v>227</v>
      </c>
      <c r="C197" s="112" t="s">
        <v>449</v>
      </c>
      <c r="D197" s="113" t="s">
        <v>20</v>
      </c>
      <c r="E197" s="114" t="s">
        <v>15</v>
      </c>
      <c r="F197" s="115" t="s">
        <v>34</v>
      </c>
      <c r="G197" s="116">
        <v>9.61</v>
      </c>
      <c r="H197" s="125">
        <v>9.4</v>
      </c>
      <c r="I197" s="358">
        <v>30</v>
      </c>
      <c r="J197" s="117">
        <f t="shared" si="103"/>
        <v>2.7100200000000001</v>
      </c>
      <c r="K197" s="118"/>
      <c r="L197" s="111">
        <v>30</v>
      </c>
      <c r="M197" s="117">
        <f t="shared" si="104"/>
        <v>2.7100200000000001</v>
      </c>
      <c r="N197" s="119">
        <f t="shared" si="105"/>
        <v>0</v>
      </c>
      <c r="O197" s="120">
        <f t="shared" si="106"/>
        <v>0</v>
      </c>
      <c r="P197" s="111"/>
      <c r="Q197" s="32"/>
      <c r="R197" s="32"/>
    </row>
    <row r="198" spans="1:18" ht="15.6">
      <c r="A198" s="110" t="s">
        <v>452</v>
      </c>
      <c r="B198" s="111" t="s">
        <v>227</v>
      </c>
      <c r="C198" s="112" t="s">
        <v>449</v>
      </c>
      <c r="D198" s="113" t="s">
        <v>20</v>
      </c>
      <c r="E198" s="114" t="s">
        <v>15</v>
      </c>
      <c r="F198" s="115" t="s">
        <v>34</v>
      </c>
      <c r="G198" s="116">
        <v>9.61</v>
      </c>
      <c r="H198" s="125">
        <v>9.4</v>
      </c>
      <c r="I198" s="358">
        <v>30</v>
      </c>
      <c r="J198" s="117">
        <f t="shared" si="103"/>
        <v>2.7100200000000001</v>
      </c>
      <c r="K198" s="118"/>
      <c r="L198" s="111">
        <v>30</v>
      </c>
      <c r="M198" s="117">
        <f t="shared" si="104"/>
        <v>2.7100200000000001</v>
      </c>
      <c r="N198" s="119">
        <f t="shared" si="105"/>
        <v>0</v>
      </c>
      <c r="O198" s="120">
        <f t="shared" si="106"/>
        <v>0</v>
      </c>
      <c r="P198" s="111"/>
      <c r="Q198" s="32"/>
      <c r="R198" s="32"/>
    </row>
    <row r="199" spans="1:18" ht="15.6">
      <c r="A199" s="110" t="s">
        <v>452</v>
      </c>
      <c r="B199" s="111" t="s">
        <v>227</v>
      </c>
      <c r="C199" s="112" t="s">
        <v>449</v>
      </c>
      <c r="D199" s="113" t="s">
        <v>20</v>
      </c>
      <c r="E199" s="114" t="s">
        <v>15</v>
      </c>
      <c r="F199" s="115" t="s">
        <v>34</v>
      </c>
      <c r="G199" s="116">
        <v>9.61</v>
      </c>
      <c r="H199" s="125">
        <v>10.6</v>
      </c>
      <c r="I199" s="358">
        <v>30</v>
      </c>
      <c r="J199" s="117">
        <f t="shared" si="103"/>
        <v>3.0559799999999995</v>
      </c>
      <c r="K199" s="118"/>
      <c r="L199" s="111">
        <f>30+20-9</f>
        <v>41</v>
      </c>
      <c r="M199" s="117">
        <f t="shared" si="104"/>
        <v>4.1765059999999998</v>
      </c>
      <c r="N199" s="230">
        <f t="shared" si="105"/>
        <v>-11</v>
      </c>
      <c r="O199" s="231">
        <f t="shared" si="106"/>
        <v>-1.1205259999999999</v>
      </c>
      <c r="P199" s="44" t="s">
        <v>624</v>
      </c>
      <c r="Q199" s="32"/>
      <c r="R199" s="32"/>
    </row>
    <row r="200" spans="1:18" ht="15.6">
      <c r="A200" s="110" t="s">
        <v>452</v>
      </c>
      <c r="B200" s="111" t="s">
        <v>227</v>
      </c>
      <c r="C200" s="112" t="s">
        <v>449</v>
      </c>
      <c r="D200" s="113" t="s">
        <v>20</v>
      </c>
      <c r="E200" s="114" t="s">
        <v>15</v>
      </c>
      <c r="F200" s="115" t="s">
        <v>34</v>
      </c>
      <c r="G200" s="116">
        <v>9.61</v>
      </c>
      <c r="H200" s="125">
        <v>10.6</v>
      </c>
      <c r="I200" s="358">
        <v>30</v>
      </c>
      <c r="J200" s="117">
        <f t="shared" si="103"/>
        <v>3.0559799999999995</v>
      </c>
      <c r="K200" s="118"/>
      <c r="L200" s="111">
        <v>30</v>
      </c>
      <c r="M200" s="117">
        <f t="shared" si="104"/>
        <v>3.0559799999999999</v>
      </c>
      <c r="N200" s="119">
        <f t="shared" si="105"/>
        <v>0</v>
      </c>
      <c r="O200" s="120">
        <f t="shared" si="106"/>
        <v>0</v>
      </c>
      <c r="P200" s="111"/>
      <c r="Q200" s="32"/>
      <c r="R200" s="32"/>
    </row>
    <row r="201" spans="1:18" ht="15.6">
      <c r="A201" s="110" t="s">
        <v>452</v>
      </c>
      <c r="B201" s="111" t="s">
        <v>227</v>
      </c>
      <c r="C201" s="112" t="s">
        <v>449</v>
      </c>
      <c r="D201" s="113" t="s">
        <v>20</v>
      </c>
      <c r="E201" s="114" t="s">
        <v>15</v>
      </c>
      <c r="F201" s="115" t="s">
        <v>34</v>
      </c>
      <c r="G201" s="116">
        <v>9.61</v>
      </c>
      <c r="H201" s="125">
        <v>9.4</v>
      </c>
      <c r="I201" s="358">
        <v>30</v>
      </c>
      <c r="J201" s="117">
        <f t="shared" si="103"/>
        <v>2.7100200000000001</v>
      </c>
      <c r="K201" s="118"/>
      <c r="L201" s="111">
        <v>30</v>
      </c>
      <c r="M201" s="117">
        <f t="shared" si="104"/>
        <v>2.7100200000000001</v>
      </c>
      <c r="N201" s="119">
        <f t="shared" si="105"/>
        <v>0</v>
      </c>
      <c r="O201" s="120">
        <f t="shared" si="106"/>
        <v>0</v>
      </c>
      <c r="P201" s="111"/>
      <c r="Q201" s="32"/>
      <c r="R201" s="32"/>
    </row>
    <row r="202" spans="1:18" ht="15.6">
      <c r="A202" s="110" t="s">
        <v>452</v>
      </c>
      <c r="B202" s="111" t="s">
        <v>227</v>
      </c>
      <c r="C202" s="112" t="s">
        <v>449</v>
      </c>
      <c r="D202" s="113" t="s">
        <v>20</v>
      </c>
      <c r="E202" s="114" t="s">
        <v>15</v>
      </c>
      <c r="F202" s="115" t="s">
        <v>34</v>
      </c>
      <c r="G202" s="116">
        <v>9.61</v>
      </c>
      <c r="H202" s="125">
        <v>9.4</v>
      </c>
      <c r="I202" s="358">
        <v>18</v>
      </c>
      <c r="J202" s="117">
        <f t="shared" si="103"/>
        <v>1.6260120000000002</v>
      </c>
      <c r="K202" s="118"/>
      <c r="L202" s="111">
        <v>18</v>
      </c>
      <c r="M202" s="117">
        <f t="shared" si="104"/>
        <v>1.6260120000000002</v>
      </c>
      <c r="N202" s="119">
        <f t="shared" si="105"/>
        <v>0</v>
      </c>
      <c r="O202" s="120">
        <f t="shared" si="106"/>
        <v>0</v>
      </c>
      <c r="P202" s="111"/>
      <c r="Q202" s="32"/>
      <c r="R202" s="32"/>
    </row>
    <row r="203" spans="1:18" ht="15.6">
      <c r="A203" s="110" t="s">
        <v>452</v>
      </c>
      <c r="B203" s="111" t="s">
        <v>227</v>
      </c>
      <c r="C203" s="112" t="s">
        <v>449</v>
      </c>
      <c r="D203" s="113" t="s">
        <v>20</v>
      </c>
      <c r="E203" s="114" t="s">
        <v>15</v>
      </c>
      <c r="F203" s="115" t="s">
        <v>34</v>
      </c>
      <c r="G203" s="116">
        <v>9.61</v>
      </c>
      <c r="H203" s="125">
        <v>10.6</v>
      </c>
      <c r="I203" s="358">
        <v>19</v>
      </c>
      <c r="J203" s="117">
        <f t="shared" si="103"/>
        <v>1.9354539999999998</v>
      </c>
      <c r="K203" s="118"/>
      <c r="L203" s="111">
        <v>19</v>
      </c>
      <c r="M203" s="117">
        <f t="shared" si="104"/>
        <v>1.935454</v>
      </c>
      <c r="N203" s="119">
        <f t="shared" si="105"/>
        <v>0</v>
      </c>
      <c r="O203" s="120">
        <f t="shared" si="106"/>
        <v>0</v>
      </c>
      <c r="P203" s="111"/>
      <c r="Q203" s="32"/>
      <c r="R203" s="32"/>
    </row>
    <row r="204" spans="1:18" ht="15.6">
      <c r="A204" s="110" t="s">
        <v>452</v>
      </c>
      <c r="B204" s="111" t="s">
        <v>227</v>
      </c>
      <c r="C204" s="112" t="s">
        <v>449</v>
      </c>
      <c r="D204" s="113" t="s">
        <v>20</v>
      </c>
      <c r="E204" s="114" t="s">
        <v>15</v>
      </c>
      <c r="F204" s="115" t="s">
        <v>34</v>
      </c>
      <c r="G204" s="116">
        <v>9.61</v>
      </c>
      <c r="H204" s="125">
        <v>11</v>
      </c>
      <c r="I204" s="358">
        <v>30</v>
      </c>
      <c r="J204" s="117">
        <f t="shared" si="103"/>
        <v>3.1712999999999996</v>
      </c>
      <c r="K204" s="118"/>
      <c r="L204" s="111">
        <v>30</v>
      </c>
      <c r="M204" s="117">
        <f t="shared" si="104"/>
        <v>3.1712999999999996</v>
      </c>
      <c r="N204" s="119">
        <f t="shared" si="105"/>
        <v>0</v>
      </c>
      <c r="O204" s="120">
        <f t="shared" si="106"/>
        <v>0</v>
      </c>
      <c r="P204" s="111"/>
      <c r="Q204" s="32"/>
      <c r="R204" s="32"/>
    </row>
    <row r="205" spans="1:18" ht="15.6">
      <c r="A205" s="110" t="s">
        <v>452</v>
      </c>
      <c r="B205" s="111" t="s">
        <v>227</v>
      </c>
      <c r="C205" s="112" t="s">
        <v>449</v>
      </c>
      <c r="D205" s="113" t="s">
        <v>20</v>
      </c>
      <c r="E205" s="114" t="s">
        <v>15</v>
      </c>
      <c r="F205" s="115" t="s">
        <v>34</v>
      </c>
      <c r="G205" s="116">
        <v>9.61</v>
      </c>
      <c r="H205" s="125">
        <v>11</v>
      </c>
      <c r="I205" s="358">
        <v>22</v>
      </c>
      <c r="J205" s="117">
        <f t="shared" si="103"/>
        <v>2.3256199999999998</v>
      </c>
      <c r="K205" s="118"/>
      <c r="L205" s="111">
        <f>20+2</f>
        <v>22</v>
      </c>
      <c r="M205" s="117">
        <f t="shared" si="104"/>
        <v>2.3256199999999998</v>
      </c>
      <c r="N205" s="119">
        <f t="shared" si="105"/>
        <v>0</v>
      </c>
      <c r="O205" s="120">
        <f t="shared" si="106"/>
        <v>0</v>
      </c>
      <c r="P205" s="111">
        <v>10.6</v>
      </c>
      <c r="Q205" s="32">
        <v>20</v>
      </c>
      <c r="R205" s="32"/>
    </row>
    <row r="206" spans="1:18" ht="15.6">
      <c r="A206" s="110" t="s">
        <v>452</v>
      </c>
      <c r="B206" s="111" t="s">
        <v>227</v>
      </c>
      <c r="C206" s="112" t="s">
        <v>449</v>
      </c>
      <c r="D206" s="113" t="s">
        <v>20</v>
      </c>
      <c r="E206" s="114" t="s">
        <v>15</v>
      </c>
      <c r="F206" s="115" t="s">
        <v>34</v>
      </c>
      <c r="G206" s="116">
        <v>9.61</v>
      </c>
      <c r="H206" s="125">
        <v>12</v>
      </c>
      <c r="I206" s="358">
        <v>30</v>
      </c>
      <c r="J206" s="117">
        <f t="shared" si="103"/>
        <v>3.4596</v>
      </c>
      <c r="K206" s="118"/>
      <c r="L206" s="111">
        <v>30</v>
      </c>
      <c r="M206" s="117">
        <f t="shared" si="104"/>
        <v>3.4596</v>
      </c>
      <c r="N206" s="119">
        <f t="shared" si="105"/>
        <v>0</v>
      </c>
      <c r="O206" s="120">
        <f t="shared" si="106"/>
        <v>0</v>
      </c>
      <c r="P206" s="111"/>
      <c r="Q206" s="32"/>
      <c r="R206" s="32"/>
    </row>
    <row r="207" spans="1:18" ht="15.6">
      <c r="A207" s="110" t="s">
        <v>452</v>
      </c>
      <c r="B207" s="111" t="s">
        <v>227</v>
      </c>
      <c r="C207" s="112" t="s">
        <v>449</v>
      </c>
      <c r="D207" s="113" t="s">
        <v>20</v>
      </c>
      <c r="E207" s="114" t="s">
        <v>15</v>
      </c>
      <c r="F207" s="115" t="s">
        <v>34</v>
      </c>
      <c r="G207" s="116">
        <v>9.61</v>
      </c>
      <c r="H207" s="125">
        <v>12</v>
      </c>
      <c r="I207" s="358">
        <v>30</v>
      </c>
      <c r="J207" s="117">
        <f t="shared" si="103"/>
        <v>3.4596</v>
      </c>
      <c r="K207" s="118"/>
      <c r="L207" s="111">
        <v>30</v>
      </c>
      <c r="M207" s="117">
        <f t="shared" si="104"/>
        <v>3.4596</v>
      </c>
      <c r="N207" s="119">
        <f t="shared" si="105"/>
        <v>0</v>
      </c>
      <c r="O207" s="120">
        <f t="shared" si="106"/>
        <v>0</v>
      </c>
      <c r="P207" s="111"/>
      <c r="Q207" s="32"/>
      <c r="R207" s="32"/>
    </row>
    <row r="208" spans="1:18" ht="15.6">
      <c r="A208" s="110" t="s">
        <v>452</v>
      </c>
      <c r="B208" s="111" t="s">
        <v>227</v>
      </c>
      <c r="C208" s="112" t="s">
        <v>449</v>
      </c>
      <c r="D208" s="113" t="s">
        <v>20</v>
      </c>
      <c r="E208" s="114" t="s">
        <v>15</v>
      </c>
      <c r="F208" s="115" t="s">
        <v>34</v>
      </c>
      <c r="G208" s="116">
        <v>9.61</v>
      </c>
      <c r="H208" s="125">
        <v>12</v>
      </c>
      <c r="I208" s="358">
        <v>30</v>
      </c>
      <c r="J208" s="117">
        <f t="shared" si="103"/>
        <v>3.4596</v>
      </c>
      <c r="K208" s="118"/>
      <c r="L208" s="111">
        <v>30</v>
      </c>
      <c r="M208" s="117">
        <f t="shared" si="104"/>
        <v>3.4596</v>
      </c>
      <c r="N208" s="119">
        <f t="shared" si="105"/>
        <v>0</v>
      </c>
      <c r="O208" s="120">
        <f t="shared" si="106"/>
        <v>0</v>
      </c>
      <c r="P208" s="111"/>
      <c r="Q208" s="32"/>
      <c r="R208" s="32"/>
    </row>
    <row r="209" spans="1:18" ht="15.6">
      <c r="A209" s="110" t="s">
        <v>452</v>
      </c>
      <c r="B209" s="111" t="s">
        <v>227</v>
      </c>
      <c r="C209" s="112" t="s">
        <v>449</v>
      </c>
      <c r="D209" s="113" t="s">
        <v>20</v>
      </c>
      <c r="E209" s="114" t="s">
        <v>15</v>
      </c>
      <c r="F209" s="115" t="s">
        <v>34</v>
      </c>
      <c r="G209" s="116">
        <v>9.61</v>
      </c>
      <c r="H209" s="125">
        <v>12</v>
      </c>
      <c r="I209" s="358">
        <v>8</v>
      </c>
      <c r="J209" s="117">
        <f t="shared" si="103"/>
        <v>0.92255999999999994</v>
      </c>
      <c r="K209" s="118"/>
      <c r="L209" s="111">
        <f>5+1+2</f>
        <v>8</v>
      </c>
      <c r="M209" s="117">
        <f t="shared" si="104"/>
        <v>0.92255999999999994</v>
      </c>
      <c r="N209" s="119">
        <f t="shared" si="105"/>
        <v>0</v>
      </c>
      <c r="O209" s="120">
        <f t="shared" si="106"/>
        <v>0</v>
      </c>
      <c r="P209" s="111">
        <v>9.4</v>
      </c>
      <c r="Q209" s="32">
        <v>5</v>
      </c>
      <c r="R209" s="32"/>
    </row>
    <row r="210" spans="1:18" ht="15.6">
      <c r="A210" s="110" t="s">
        <v>452</v>
      </c>
      <c r="B210" s="111" t="s">
        <v>227</v>
      </c>
      <c r="C210" s="112" t="s">
        <v>449</v>
      </c>
      <c r="D210" s="113" t="s">
        <v>20</v>
      </c>
      <c r="E210" s="114" t="s">
        <v>15</v>
      </c>
      <c r="F210" s="115" t="s">
        <v>34</v>
      </c>
      <c r="G210" s="116">
        <v>9.61</v>
      </c>
      <c r="H210" s="125">
        <v>7.7</v>
      </c>
      <c r="I210" s="358">
        <v>1</v>
      </c>
      <c r="J210" s="117">
        <f t="shared" si="103"/>
        <v>7.3996999999999993E-2</v>
      </c>
      <c r="K210" s="118"/>
      <c r="L210" s="111">
        <v>1</v>
      </c>
      <c r="M210" s="117">
        <f t="shared" si="104"/>
        <v>7.3996999999999993E-2</v>
      </c>
      <c r="N210" s="145">
        <f t="shared" si="105"/>
        <v>0</v>
      </c>
      <c r="O210" s="146">
        <f t="shared" si="106"/>
        <v>0</v>
      </c>
      <c r="P210" s="111"/>
      <c r="Q210" s="32"/>
      <c r="R210" s="32"/>
    </row>
    <row r="211" spans="1:18" ht="15.6">
      <c r="A211" s="110" t="s">
        <v>452</v>
      </c>
      <c r="B211" s="111" t="s">
        <v>227</v>
      </c>
      <c r="C211" s="112" t="s">
        <v>449</v>
      </c>
      <c r="D211" s="113" t="s">
        <v>20</v>
      </c>
      <c r="E211" s="114" t="s">
        <v>15</v>
      </c>
      <c r="F211" s="115" t="s">
        <v>34</v>
      </c>
      <c r="G211" s="116">
        <v>9.61</v>
      </c>
      <c r="H211" s="125">
        <v>8.5</v>
      </c>
      <c r="I211" s="358">
        <v>1</v>
      </c>
      <c r="J211" s="117">
        <f t="shared" si="103"/>
        <v>8.1685000000000008E-2</v>
      </c>
      <c r="K211" s="118"/>
      <c r="L211" s="111">
        <v>1</v>
      </c>
      <c r="M211" s="117">
        <f t="shared" si="104"/>
        <v>8.1685000000000008E-2</v>
      </c>
      <c r="N211" s="145">
        <f t="shared" si="105"/>
        <v>0</v>
      </c>
      <c r="O211" s="146">
        <f t="shared" si="106"/>
        <v>0</v>
      </c>
      <c r="P211" s="111"/>
      <c r="Q211" s="32"/>
      <c r="R211" s="32"/>
    </row>
    <row r="212" spans="1:18" ht="15.6">
      <c r="A212" s="110" t="s">
        <v>452</v>
      </c>
      <c r="B212" s="111" t="s">
        <v>227</v>
      </c>
      <c r="C212" s="112" t="s">
        <v>449</v>
      </c>
      <c r="D212" s="113" t="s">
        <v>20</v>
      </c>
      <c r="E212" s="114" t="s">
        <v>15</v>
      </c>
      <c r="F212" s="115" t="s">
        <v>34</v>
      </c>
      <c r="G212" s="116">
        <v>9.61</v>
      </c>
      <c r="H212" s="125">
        <v>8.8000000000000007</v>
      </c>
      <c r="I212" s="358">
        <v>4</v>
      </c>
      <c r="J212" s="117">
        <f>H212*G212*I212/1000</f>
        <v>0.33827200000000002</v>
      </c>
      <c r="K212" s="118"/>
      <c r="L212" s="111">
        <v>4</v>
      </c>
      <c r="M212" s="117">
        <f t="shared" si="104"/>
        <v>0.33827200000000002</v>
      </c>
      <c r="N212" s="145">
        <f t="shared" si="105"/>
        <v>0</v>
      </c>
      <c r="O212" s="146">
        <f>H212*N212*G212/1000</f>
        <v>0</v>
      </c>
      <c r="P212" s="111"/>
      <c r="Q212" s="32"/>
      <c r="R212" s="32"/>
    </row>
    <row r="213" spans="1:18" ht="15.6">
      <c r="A213" s="110" t="s">
        <v>452</v>
      </c>
      <c r="B213" s="111" t="s">
        <v>227</v>
      </c>
      <c r="C213" s="112" t="s">
        <v>449</v>
      </c>
      <c r="D213" s="113" t="s">
        <v>20</v>
      </c>
      <c r="E213" s="114" t="s">
        <v>15</v>
      </c>
      <c r="F213" s="115" t="s">
        <v>34</v>
      </c>
      <c r="G213" s="116">
        <v>9.61</v>
      </c>
      <c r="H213" s="125">
        <v>9</v>
      </c>
      <c r="I213" s="358">
        <v>4</v>
      </c>
      <c r="J213" s="117">
        <f>H213*G213*I213/1000</f>
        <v>0.34595999999999999</v>
      </c>
      <c r="K213" s="118"/>
      <c r="L213" s="111">
        <v>4</v>
      </c>
      <c r="M213" s="117">
        <f t="shared" si="104"/>
        <v>0.34595999999999999</v>
      </c>
      <c r="N213" s="145">
        <f t="shared" si="105"/>
        <v>0</v>
      </c>
      <c r="O213" s="146">
        <f>H213*N213*G213/1000</f>
        <v>0</v>
      </c>
      <c r="P213" s="111"/>
      <c r="Q213" s="32"/>
      <c r="R213" s="32"/>
    </row>
    <row r="214" spans="1:18">
      <c r="A214" s="32"/>
      <c r="B214" s="32"/>
      <c r="C214" s="32"/>
      <c r="D214" s="32"/>
      <c r="E214" s="32"/>
      <c r="F214" s="32"/>
      <c r="G214" s="32"/>
      <c r="H214" s="32"/>
      <c r="I214" s="129">
        <f>SUM(I169:I213)</f>
        <v>864</v>
      </c>
      <c r="J214" s="124">
        <f>SUM(J169:J213)</f>
        <v>86.423690999999991</v>
      </c>
      <c r="K214" s="32"/>
      <c r="L214" s="129">
        <f>SUM(L169:L213)</f>
        <v>880</v>
      </c>
      <c r="M214" s="124">
        <f>SUM(M169:M213)</f>
        <v>87.99588700000001</v>
      </c>
      <c r="N214" s="131">
        <f>SUM(N169:N213)</f>
        <v>-16</v>
      </c>
      <c r="O214" s="132">
        <f>SUM(O169:O213)</f>
        <v>-1.5721959999999999</v>
      </c>
      <c r="P214" s="32"/>
      <c r="Q214" s="32"/>
      <c r="R214" s="32"/>
    </row>
    <row r="217" spans="1:18">
      <c r="A217" s="110" t="s">
        <v>470</v>
      </c>
      <c r="B217" s="111" t="s">
        <v>239</v>
      </c>
      <c r="C217" s="112" t="s">
        <v>228</v>
      </c>
      <c r="D217" s="113" t="s">
        <v>471</v>
      </c>
      <c r="E217" s="369" t="s">
        <v>15</v>
      </c>
      <c r="F217" s="369" t="s">
        <v>32</v>
      </c>
      <c r="G217" s="370">
        <v>8.32</v>
      </c>
      <c r="H217" s="125">
        <v>12</v>
      </c>
      <c r="I217" s="358">
        <v>25</v>
      </c>
      <c r="J217" s="117">
        <f t="shared" ref="J217:J219" si="107">H217*G217*I217/1000</f>
        <v>2.496</v>
      </c>
      <c r="K217" s="118"/>
      <c r="L217" s="111">
        <v>24</v>
      </c>
      <c r="M217" s="117">
        <f t="shared" ref="M217:M219" si="108">H217*L217*G217/1000</f>
        <v>2.3961600000000001</v>
      </c>
      <c r="N217" s="119">
        <f t="shared" ref="N217:N219" si="109">I217-L217</f>
        <v>1</v>
      </c>
      <c r="O217" s="120">
        <f t="shared" ref="O217:O219" si="110">H217*N217*G217/1000</f>
        <v>9.9839999999999998E-2</v>
      </c>
      <c r="P217" s="111"/>
      <c r="Q217" s="32"/>
      <c r="R217" s="32"/>
    </row>
    <row r="218" spans="1:18">
      <c r="A218" s="110" t="s">
        <v>470</v>
      </c>
      <c r="B218" s="111" t="s">
        <v>239</v>
      </c>
      <c r="C218" s="112" t="s">
        <v>228</v>
      </c>
      <c r="D218" s="113" t="s">
        <v>471</v>
      </c>
      <c r="E218" s="369" t="s">
        <v>15</v>
      </c>
      <c r="F218" s="369" t="s">
        <v>32</v>
      </c>
      <c r="G218" s="370">
        <v>8.32</v>
      </c>
      <c r="H218" s="125">
        <v>11.4</v>
      </c>
      <c r="I218" s="358">
        <v>1</v>
      </c>
      <c r="J218" s="117">
        <f t="shared" si="107"/>
        <v>9.4848000000000016E-2</v>
      </c>
      <c r="K218" s="118"/>
      <c r="L218" s="111"/>
      <c r="M218" s="117">
        <f t="shared" si="108"/>
        <v>0</v>
      </c>
      <c r="N218" s="119">
        <f t="shared" si="109"/>
        <v>1</v>
      </c>
      <c r="O218" s="120">
        <f t="shared" si="110"/>
        <v>9.4848000000000016E-2</v>
      </c>
      <c r="P218" s="111"/>
      <c r="Q218" s="32"/>
      <c r="R218" s="32"/>
    </row>
    <row r="219" spans="1:18">
      <c r="A219" s="110" t="s">
        <v>470</v>
      </c>
      <c r="B219" s="111" t="s">
        <v>239</v>
      </c>
      <c r="C219" s="112" t="s">
        <v>228</v>
      </c>
      <c r="D219" s="113" t="s">
        <v>471</v>
      </c>
      <c r="E219" s="369" t="s">
        <v>15</v>
      </c>
      <c r="F219" s="369" t="s">
        <v>32</v>
      </c>
      <c r="G219" s="370">
        <v>8.32</v>
      </c>
      <c r="H219" s="125">
        <v>11.7</v>
      </c>
      <c r="I219" s="358">
        <v>2</v>
      </c>
      <c r="J219" s="117">
        <f t="shared" si="107"/>
        <v>0.194688</v>
      </c>
      <c r="K219" s="118"/>
      <c r="L219" s="111"/>
      <c r="M219" s="117">
        <f t="shared" si="108"/>
        <v>0</v>
      </c>
      <c r="N219" s="119">
        <f t="shared" si="109"/>
        <v>2</v>
      </c>
      <c r="O219" s="120">
        <f t="shared" si="110"/>
        <v>0.194688</v>
      </c>
      <c r="P219" s="111"/>
      <c r="Q219" s="32"/>
      <c r="R219" s="32"/>
    </row>
    <row r="220" spans="1:18">
      <c r="A220" s="110" t="s">
        <v>470</v>
      </c>
      <c r="B220" s="111" t="s">
        <v>239</v>
      </c>
      <c r="C220" s="112" t="s">
        <v>228</v>
      </c>
      <c r="D220" s="113" t="s">
        <v>471</v>
      </c>
      <c r="E220" s="369" t="s">
        <v>15</v>
      </c>
      <c r="F220" s="369" t="s">
        <v>32</v>
      </c>
      <c r="G220" s="370">
        <v>8.32</v>
      </c>
      <c r="H220" s="125">
        <v>10.5</v>
      </c>
      <c r="I220" s="358">
        <v>1</v>
      </c>
      <c r="J220" s="117">
        <f t="shared" ref="J220" si="111">H220*G220*I220/1000</f>
        <v>8.7359999999999993E-2</v>
      </c>
      <c r="K220" s="118"/>
      <c r="L220" s="111"/>
      <c r="M220" s="117">
        <f t="shared" ref="M220" si="112">H220*L220*G220/1000</f>
        <v>0</v>
      </c>
      <c r="N220" s="119">
        <f t="shared" ref="N220" si="113">I220-L220</f>
        <v>1</v>
      </c>
      <c r="O220" s="120">
        <f t="shared" ref="O220" si="114">H220*N220*G220/1000</f>
        <v>8.7359999999999993E-2</v>
      </c>
      <c r="P220" s="111"/>
      <c r="Q220" s="32"/>
      <c r="R220" s="32"/>
    </row>
    <row r="221" spans="1:18">
      <c r="A221" s="32"/>
      <c r="B221" s="32"/>
      <c r="C221" s="32"/>
      <c r="D221" s="32"/>
      <c r="E221" s="32"/>
      <c r="F221" s="32"/>
      <c r="G221" s="32"/>
      <c r="H221" s="32"/>
      <c r="I221" s="129">
        <f>SUM(I217:I220)</f>
        <v>29</v>
      </c>
      <c r="J221" s="124">
        <f>SUM(J217:J220)</f>
        <v>2.8728959999999999</v>
      </c>
      <c r="K221" s="32"/>
      <c r="L221" s="129">
        <f>SUM(L217:L220)</f>
        <v>24</v>
      </c>
      <c r="M221" s="124">
        <f>SUM(M217:M220)</f>
        <v>2.3961600000000001</v>
      </c>
      <c r="N221" s="131">
        <f>SUM(N217:N220)</f>
        <v>5</v>
      </c>
      <c r="O221" s="132">
        <f>SUM(O217:O220)</f>
        <v>0.47673600000000005</v>
      </c>
      <c r="P221" s="32"/>
      <c r="Q221" s="32"/>
      <c r="R221" s="32"/>
    </row>
    <row r="225" spans="1:18">
      <c r="A225" s="110" t="s">
        <v>473</v>
      </c>
      <c r="B225" s="111" t="s">
        <v>232</v>
      </c>
      <c r="C225" s="112" t="s">
        <v>228</v>
      </c>
      <c r="D225" s="113" t="s">
        <v>19</v>
      </c>
      <c r="E225" s="369" t="s">
        <v>14</v>
      </c>
      <c r="F225" s="369" t="s">
        <v>21</v>
      </c>
      <c r="G225" s="370">
        <v>6.97</v>
      </c>
      <c r="H225" s="125">
        <v>7.1</v>
      </c>
      <c r="I225" s="358">
        <v>1</v>
      </c>
      <c r="J225" s="117">
        <f t="shared" ref="J225:J230" si="115">H225*G225*I225/1000</f>
        <v>4.9486999999999996E-2</v>
      </c>
      <c r="K225" s="118"/>
      <c r="L225" s="111"/>
      <c r="M225" s="117">
        <f t="shared" ref="M225:M230" si="116">H225*L225*G225/1000</f>
        <v>0</v>
      </c>
      <c r="N225" s="119">
        <f t="shared" ref="N225:N230" si="117">I225-L225</f>
        <v>1</v>
      </c>
      <c r="O225" s="120">
        <f t="shared" ref="O225:O230" si="118">H225*N225*G225/1000</f>
        <v>4.9486999999999996E-2</v>
      </c>
      <c r="P225" s="111"/>
      <c r="Q225" s="32"/>
      <c r="R225" s="32"/>
    </row>
    <row r="226" spans="1:18">
      <c r="A226" s="110" t="s">
        <v>473</v>
      </c>
      <c r="B226" s="111" t="s">
        <v>232</v>
      </c>
      <c r="C226" s="112" t="s">
        <v>228</v>
      </c>
      <c r="D226" s="113" t="s">
        <v>19</v>
      </c>
      <c r="E226" s="369" t="s">
        <v>14</v>
      </c>
      <c r="F226" s="369" t="s">
        <v>21</v>
      </c>
      <c r="G226" s="370">
        <v>6.97</v>
      </c>
      <c r="H226" s="125">
        <v>8.5</v>
      </c>
      <c r="I226" s="358">
        <v>14</v>
      </c>
      <c r="J226" s="117">
        <f t="shared" si="115"/>
        <v>0.82943</v>
      </c>
      <c r="K226" s="118"/>
      <c r="L226" s="111">
        <v>9</v>
      </c>
      <c r="M226" s="117">
        <f t="shared" si="116"/>
        <v>0.53320499999999993</v>
      </c>
      <c r="N226" s="119">
        <f t="shared" si="117"/>
        <v>5</v>
      </c>
      <c r="O226" s="120">
        <f t="shared" si="118"/>
        <v>0.29622499999999996</v>
      </c>
      <c r="P226" s="111"/>
      <c r="Q226" s="32"/>
      <c r="R226" s="32"/>
    </row>
    <row r="227" spans="1:18">
      <c r="A227" s="110" t="s">
        <v>473</v>
      </c>
      <c r="B227" s="111" t="s">
        <v>232</v>
      </c>
      <c r="C227" s="112" t="s">
        <v>228</v>
      </c>
      <c r="D227" s="113" t="s">
        <v>19</v>
      </c>
      <c r="E227" s="369" t="s">
        <v>14</v>
      </c>
      <c r="F227" s="369" t="s">
        <v>21</v>
      </c>
      <c r="G227" s="370">
        <v>6.97</v>
      </c>
      <c r="H227" s="125">
        <v>8.5</v>
      </c>
      <c r="I227" s="358">
        <v>40</v>
      </c>
      <c r="J227" s="117">
        <f t="shared" si="115"/>
        <v>2.3697999999999997</v>
      </c>
      <c r="K227" s="118"/>
      <c r="L227" s="358">
        <v>40</v>
      </c>
      <c r="M227" s="117">
        <f t="shared" si="116"/>
        <v>2.3697999999999997</v>
      </c>
      <c r="N227" s="119">
        <f t="shared" si="117"/>
        <v>0</v>
      </c>
      <c r="O227" s="120">
        <f t="shared" si="118"/>
        <v>0</v>
      </c>
      <c r="P227" s="111"/>
      <c r="Q227" s="32"/>
      <c r="R227" s="32"/>
    </row>
    <row r="228" spans="1:18">
      <c r="A228" s="110" t="s">
        <v>473</v>
      </c>
      <c r="B228" s="111" t="s">
        <v>232</v>
      </c>
      <c r="C228" s="112" t="s">
        <v>228</v>
      </c>
      <c r="D228" s="113" t="s">
        <v>19</v>
      </c>
      <c r="E228" s="369" t="s">
        <v>14</v>
      </c>
      <c r="F228" s="369" t="s">
        <v>21</v>
      </c>
      <c r="G228" s="370">
        <v>6.97</v>
      </c>
      <c r="H228" s="125">
        <v>8.5</v>
      </c>
      <c r="I228" s="358">
        <v>43</v>
      </c>
      <c r="J228" s="117">
        <f t="shared" si="115"/>
        <v>2.5475349999999999</v>
      </c>
      <c r="K228" s="118"/>
      <c r="L228" s="358">
        <v>43</v>
      </c>
      <c r="M228" s="117">
        <f t="shared" si="116"/>
        <v>2.5475349999999999</v>
      </c>
      <c r="N228" s="119">
        <f t="shared" si="117"/>
        <v>0</v>
      </c>
      <c r="O228" s="120">
        <f t="shared" si="118"/>
        <v>0</v>
      </c>
      <c r="P228" s="111"/>
      <c r="Q228" s="32"/>
      <c r="R228" s="32"/>
    </row>
    <row r="229" spans="1:18">
      <c r="A229" s="110" t="s">
        <v>473</v>
      </c>
      <c r="B229" s="111" t="s">
        <v>232</v>
      </c>
      <c r="C229" s="112" t="s">
        <v>228</v>
      </c>
      <c r="D229" s="113" t="s">
        <v>19</v>
      </c>
      <c r="E229" s="369" t="s">
        <v>14</v>
      </c>
      <c r="F229" s="369" t="s">
        <v>21</v>
      </c>
      <c r="G229" s="370">
        <v>6.97</v>
      </c>
      <c r="H229" s="125">
        <v>8</v>
      </c>
      <c r="I229" s="358">
        <v>3</v>
      </c>
      <c r="J229" s="117">
        <f t="shared" si="115"/>
        <v>0.16728000000000001</v>
      </c>
      <c r="K229" s="118"/>
      <c r="L229" s="111"/>
      <c r="M229" s="117">
        <f t="shared" si="116"/>
        <v>0</v>
      </c>
      <c r="N229" s="119">
        <f t="shared" si="117"/>
        <v>3</v>
      </c>
      <c r="O229" s="120">
        <f t="shared" si="118"/>
        <v>0.16728000000000001</v>
      </c>
      <c r="P229" s="111"/>
      <c r="Q229" s="32"/>
      <c r="R229" s="32"/>
    </row>
    <row r="230" spans="1:18">
      <c r="A230" s="110" t="s">
        <v>473</v>
      </c>
      <c r="B230" s="111" t="s">
        <v>232</v>
      </c>
      <c r="C230" s="112" t="s">
        <v>228</v>
      </c>
      <c r="D230" s="113" t="s">
        <v>19</v>
      </c>
      <c r="E230" s="369" t="s">
        <v>14</v>
      </c>
      <c r="F230" s="369" t="s">
        <v>21</v>
      </c>
      <c r="G230" s="370">
        <v>6.97</v>
      </c>
      <c r="H230" s="125">
        <v>7.8</v>
      </c>
      <c r="I230" s="358">
        <v>1</v>
      </c>
      <c r="J230" s="117">
        <f t="shared" si="115"/>
        <v>5.4365999999999998E-2</v>
      </c>
      <c r="K230" s="118"/>
      <c r="L230" s="111"/>
      <c r="M230" s="117">
        <f t="shared" si="116"/>
        <v>0</v>
      </c>
      <c r="N230" s="119">
        <f t="shared" si="117"/>
        <v>1</v>
      </c>
      <c r="O230" s="120">
        <f t="shared" si="118"/>
        <v>5.4365999999999998E-2</v>
      </c>
      <c r="P230" s="111"/>
      <c r="Q230" s="32"/>
      <c r="R230" s="32"/>
    </row>
    <row r="231" spans="1:18">
      <c r="I231" s="215">
        <f>SUM(I225:I230)</f>
        <v>102</v>
      </c>
      <c r="J231" s="214">
        <f>SUM(J225:J230)</f>
        <v>6.0178979999999989</v>
      </c>
      <c r="L231" s="215">
        <f>SUM(L225:L230)</f>
        <v>92</v>
      </c>
      <c r="M231" s="128">
        <f>SUM(M225:M230)</f>
        <v>5.4505399999999993</v>
      </c>
      <c r="N231" s="78">
        <f>SUM(N225:N230)</f>
        <v>10</v>
      </c>
      <c r="O231" s="128">
        <f>SUM(O225:O230)</f>
        <v>0.56735800000000003</v>
      </c>
    </row>
    <row r="233" spans="1:18">
      <c r="A233" s="110" t="s">
        <v>473</v>
      </c>
      <c r="B233" s="111" t="s">
        <v>232</v>
      </c>
      <c r="C233" s="112" t="s">
        <v>449</v>
      </c>
      <c r="D233" s="113" t="s">
        <v>19</v>
      </c>
      <c r="E233" s="369" t="s">
        <v>14</v>
      </c>
      <c r="F233" s="369" t="s">
        <v>34</v>
      </c>
      <c r="G233" s="370">
        <v>9.61</v>
      </c>
      <c r="H233" s="125">
        <v>6.15</v>
      </c>
      <c r="I233" s="358">
        <v>35</v>
      </c>
      <c r="J233" s="117">
        <f t="shared" ref="J233:J234" si="119">H233*G233*I233/1000</f>
        <v>2.0685525</v>
      </c>
      <c r="K233" s="118"/>
      <c r="L233" s="111">
        <v>35</v>
      </c>
      <c r="M233" s="117">
        <f t="shared" ref="M233:M234" si="120">H233*L233*G233/1000</f>
        <v>2.0685524999999996</v>
      </c>
      <c r="N233" s="119">
        <f t="shared" ref="N233:N234" si="121">I233-L233</f>
        <v>0</v>
      </c>
      <c r="O233" s="120">
        <f t="shared" ref="O233:O234" si="122">H233*N233*G233/1000</f>
        <v>0</v>
      </c>
      <c r="P233" s="111"/>
      <c r="Q233" s="32"/>
      <c r="R233" s="32"/>
    </row>
    <row r="234" spans="1:18">
      <c r="A234" s="110" t="s">
        <v>473</v>
      </c>
      <c r="B234" s="111" t="s">
        <v>232</v>
      </c>
      <c r="C234" s="112" t="s">
        <v>449</v>
      </c>
      <c r="D234" s="113" t="s">
        <v>19</v>
      </c>
      <c r="E234" s="369" t="s">
        <v>14</v>
      </c>
      <c r="F234" s="369" t="s">
        <v>34</v>
      </c>
      <c r="G234" s="370">
        <v>9.61</v>
      </c>
      <c r="H234" s="125">
        <v>6.15</v>
      </c>
      <c r="I234" s="358">
        <v>35</v>
      </c>
      <c r="J234" s="117">
        <f t="shared" si="119"/>
        <v>2.0685525</v>
      </c>
      <c r="K234" s="118"/>
      <c r="L234" s="111">
        <v>35</v>
      </c>
      <c r="M234" s="117">
        <f t="shared" si="120"/>
        <v>2.0685524999999996</v>
      </c>
      <c r="N234" s="119">
        <f t="shared" si="121"/>
        <v>0</v>
      </c>
      <c r="O234" s="120">
        <f t="shared" si="122"/>
        <v>0</v>
      </c>
      <c r="P234" s="111"/>
      <c r="Q234" s="32"/>
      <c r="R234" s="32"/>
    </row>
    <row r="235" spans="1:18">
      <c r="A235" s="110" t="s">
        <v>473</v>
      </c>
      <c r="B235" s="111" t="s">
        <v>232</v>
      </c>
      <c r="C235" s="112" t="s">
        <v>449</v>
      </c>
      <c r="D235" s="113" t="s">
        <v>19</v>
      </c>
      <c r="E235" s="369" t="s">
        <v>14</v>
      </c>
      <c r="F235" s="369" t="s">
        <v>34</v>
      </c>
      <c r="G235" s="370">
        <v>9.61</v>
      </c>
      <c r="H235" s="125">
        <v>6.15</v>
      </c>
      <c r="I235" s="358">
        <v>23</v>
      </c>
      <c r="J235" s="117">
        <f t="shared" ref="J235:J248" si="123">H235*G235*I235/1000</f>
        <v>1.3593344999999999</v>
      </c>
      <c r="K235" s="118"/>
      <c r="L235" s="111">
        <v>23</v>
      </c>
      <c r="M235" s="117">
        <f t="shared" ref="M235:M248" si="124">H235*L235*G235/1000</f>
        <v>1.3593345000000001</v>
      </c>
      <c r="N235" s="119">
        <f t="shared" ref="N235:N248" si="125">I235-L235</f>
        <v>0</v>
      </c>
      <c r="O235" s="120">
        <f t="shared" ref="O235:O248" si="126">H235*N235*G235/1000</f>
        <v>0</v>
      </c>
      <c r="P235" s="111"/>
      <c r="Q235" s="32"/>
      <c r="R235" s="32"/>
    </row>
    <row r="236" spans="1:18">
      <c r="A236" s="110" t="s">
        <v>473</v>
      </c>
      <c r="B236" s="111" t="s">
        <v>232</v>
      </c>
      <c r="C236" s="112" t="s">
        <v>449</v>
      </c>
      <c r="D236" s="113" t="s">
        <v>19</v>
      </c>
      <c r="E236" s="369" t="s">
        <v>14</v>
      </c>
      <c r="F236" s="369" t="s">
        <v>34</v>
      </c>
      <c r="G236" s="370">
        <v>9.61</v>
      </c>
      <c r="H236" s="125">
        <v>6.8</v>
      </c>
      <c r="I236" s="358">
        <v>8</v>
      </c>
      <c r="J236" s="117">
        <f t="shared" si="123"/>
        <v>0.52278400000000003</v>
      </c>
      <c r="K236" s="118"/>
      <c r="L236" s="111">
        <v>8</v>
      </c>
      <c r="M236" s="117">
        <f t="shared" si="124"/>
        <v>0.52278400000000003</v>
      </c>
      <c r="N236" s="119">
        <f t="shared" si="125"/>
        <v>0</v>
      </c>
      <c r="O236" s="120">
        <f t="shared" si="126"/>
        <v>0</v>
      </c>
      <c r="P236" s="111">
        <v>6.15</v>
      </c>
      <c r="Q236" s="32">
        <v>8</v>
      </c>
      <c r="R236" s="32"/>
    </row>
    <row r="237" spans="1:18">
      <c r="A237" s="110" t="s">
        <v>473</v>
      </c>
      <c r="B237" s="111" t="s">
        <v>232</v>
      </c>
      <c r="C237" s="112" t="s">
        <v>449</v>
      </c>
      <c r="D237" s="113" t="s">
        <v>19</v>
      </c>
      <c r="E237" s="369" t="s">
        <v>14</v>
      </c>
      <c r="F237" s="369" t="s">
        <v>34</v>
      </c>
      <c r="G237" s="370">
        <v>9.61</v>
      </c>
      <c r="H237" s="125">
        <v>8.5</v>
      </c>
      <c r="I237" s="358">
        <v>1</v>
      </c>
      <c r="J237" s="117">
        <f t="shared" si="123"/>
        <v>8.1685000000000008E-2</v>
      </c>
      <c r="K237" s="118"/>
      <c r="L237" s="111">
        <v>1</v>
      </c>
      <c r="M237" s="117">
        <f t="shared" si="124"/>
        <v>8.1685000000000008E-2</v>
      </c>
      <c r="N237" s="119">
        <f t="shared" si="125"/>
        <v>0</v>
      </c>
      <c r="O237" s="120">
        <f t="shared" si="126"/>
        <v>0</v>
      </c>
      <c r="P237" s="111">
        <v>7.5</v>
      </c>
      <c r="Q237" s="32">
        <v>1</v>
      </c>
      <c r="R237" s="32" t="s">
        <v>320</v>
      </c>
    </row>
    <row r="238" spans="1:18">
      <c r="A238" s="110" t="s">
        <v>473</v>
      </c>
      <c r="B238" s="111" t="s">
        <v>232</v>
      </c>
      <c r="C238" s="112" t="s">
        <v>449</v>
      </c>
      <c r="D238" s="113" t="s">
        <v>19</v>
      </c>
      <c r="E238" s="369" t="s">
        <v>14</v>
      </c>
      <c r="F238" s="369" t="s">
        <v>34</v>
      </c>
      <c r="G238" s="370">
        <v>9.61</v>
      </c>
      <c r="H238" s="125">
        <v>8.6</v>
      </c>
      <c r="I238" s="358">
        <v>2</v>
      </c>
      <c r="J238" s="117">
        <f t="shared" si="123"/>
        <v>0.16529199999999997</v>
      </c>
      <c r="K238" s="118"/>
      <c r="L238" s="111">
        <v>2</v>
      </c>
      <c r="M238" s="117">
        <f t="shared" si="124"/>
        <v>0.16529199999999997</v>
      </c>
      <c r="N238" s="119">
        <f t="shared" si="125"/>
        <v>0</v>
      </c>
      <c r="O238" s="120">
        <f t="shared" si="126"/>
        <v>0</v>
      </c>
      <c r="P238" s="111">
        <v>6.15</v>
      </c>
      <c r="Q238" s="32">
        <v>2</v>
      </c>
      <c r="R238" s="32"/>
    </row>
    <row r="239" spans="1:18">
      <c r="A239" s="110" t="s">
        <v>473</v>
      </c>
      <c r="B239" s="111" t="s">
        <v>232</v>
      </c>
      <c r="C239" s="112" t="s">
        <v>449</v>
      </c>
      <c r="D239" s="113" t="s">
        <v>19</v>
      </c>
      <c r="E239" s="369" t="s">
        <v>14</v>
      </c>
      <c r="F239" s="369" t="s">
        <v>34</v>
      </c>
      <c r="G239" s="370">
        <v>9.61</v>
      </c>
      <c r="H239" s="125">
        <v>8.75</v>
      </c>
      <c r="I239" s="358">
        <v>2</v>
      </c>
      <c r="J239" s="117">
        <f t="shared" si="123"/>
        <v>0.16817499999999999</v>
      </c>
      <c r="K239" s="118"/>
      <c r="L239" s="111">
        <v>2</v>
      </c>
      <c r="M239" s="117">
        <f t="shared" si="124"/>
        <v>0.16817499999999999</v>
      </c>
      <c r="N239" s="119">
        <f t="shared" si="125"/>
        <v>0</v>
      </c>
      <c r="O239" s="120">
        <f t="shared" si="126"/>
        <v>0</v>
      </c>
      <c r="P239" s="111"/>
      <c r="Q239" s="32"/>
      <c r="R239" s="32"/>
    </row>
    <row r="240" spans="1:18">
      <c r="A240" s="110" t="s">
        <v>473</v>
      </c>
      <c r="B240" s="111" t="s">
        <v>232</v>
      </c>
      <c r="C240" s="112" t="s">
        <v>449</v>
      </c>
      <c r="D240" s="113" t="s">
        <v>19</v>
      </c>
      <c r="E240" s="369" t="s">
        <v>14</v>
      </c>
      <c r="F240" s="369" t="s">
        <v>34</v>
      </c>
      <c r="G240" s="370">
        <v>9.61</v>
      </c>
      <c r="H240" s="125">
        <v>9.25</v>
      </c>
      <c r="I240" s="358">
        <v>1</v>
      </c>
      <c r="J240" s="117">
        <f t="shared" si="123"/>
        <v>8.8892499999999999E-2</v>
      </c>
      <c r="K240" s="118"/>
      <c r="L240" s="111">
        <v>1</v>
      </c>
      <c r="M240" s="117">
        <f t="shared" si="124"/>
        <v>8.8892499999999999E-2</v>
      </c>
      <c r="N240" s="119">
        <f t="shared" si="125"/>
        <v>0</v>
      </c>
      <c r="O240" s="120">
        <f t="shared" si="126"/>
        <v>0</v>
      </c>
      <c r="P240" s="111">
        <v>7.5</v>
      </c>
      <c r="Q240" s="32">
        <v>1</v>
      </c>
      <c r="R240" s="32" t="s">
        <v>320</v>
      </c>
    </row>
    <row r="241" spans="1:18">
      <c r="A241" s="110" t="s">
        <v>473</v>
      </c>
      <c r="B241" s="111" t="s">
        <v>232</v>
      </c>
      <c r="C241" s="112" t="s">
        <v>449</v>
      </c>
      <c r="D241" s="113" t="s">
        <v>19</v>
      </c>
      <c r="E241" s="369" t="s">
        <v>14</v>
      </c>
      <c r="F241" s="369" t="s">
        <v>34</v>
      </c>
      <c r="G241" s="370">
        <v>9.61</v>
      </c>
      <c r="H241" s="125">
        <v>9.5</v>
      </c>
      <c r="I241" s="358">
        <v>2</v>
      </c>
      <c r="J241" s="117">
        <f t="shared" si="123"/>
        <v>0.18258999999999997</v>
      </c>
      <c r="K241" s="118"/>
      <c r="L241" s="111">
        <v>2</v>
      </c>
      <c r="M241" s="117">
        <f t="shared" si="124"/>
        <v>0.18258999999999997</v>
      </c>
      <c r="N241" s="119">
        <f t="shared" si="125"/>
        <v>0</v>
      </c>
      <c r="O241" s="120">
        <f t="shared" si="126"/>
        <v>0</v>
      </c>
      <c r="P241" s="111">
        <v>7.5</v>
      </c>
      <c r="Q241" s="32">
        <v>2</v>
      </c>
      <c r="R241" s="32" t="s">
        <v>320</v>
      </c>
    </row>
    <row r="242" spans="1:18">
      <c r="A242" s="110" t="s">
        <v>473</v>
      </c>
      <c r="B242" s="111" t="s">
        <v>232</v>
      </c>
      <c r="C242" s="112" t="s">
        <v>449</v>
      </c>
      <c r="D242" s="113" t="s">
        <v>19</v>
      </c>
      <c r="E242" s="369" t="s">
        <v>14</v>
      </c>
      <c r="F242" s="369" t="s">
        <v>34</v>
      </c>
      <c r="G242" s="370">
        <v>9.61</v>
      </c>
      <c r="H242" s="125">
        <v>11.1</v>
      </c>
      <c r="I242" s="358">
        <v>1</v>
      </c>
      <c r="J242" s="117">
        <f t="shared" si="123"/>
        <v>0.10667099999999999</v>
      </c>
      <c r="K242" s="118"/>
      <c r="L242" s="111"/>
      <c r="M242" s="117">
        <f t="shared" si="124"/>
        <v>0</v>
      </c>
      <c r="N242" s="119">
        <f t="shared" si="125"/>
        <v>1</v>
      </c>
      <c r="O242" s="120">
        <f t="shared" si="126"/>
        <v>0.10667099999999999</v>
      </c>
      <c r="P242" s="111"/>
      <c r="Q242" s="32"/>
      <c r="R242" s="32"/>
    </row>
    <row r="243" spans="1:18">
      <c r="A243" s="110" t="s">
        <v>473</v>
      </c>
      <c r="B243" s="111" t="s">
        <v>232</v>
      </c>
      <c r="C243" s="112" t="s">
        <v>449</v>
      </c>
      <c r="D243" s="113" t="s">
        <v>19</v>
      </c>
      <c r="E243" s="369" t="s">
        <v>14</v>
      </c>
      <c r="F243" s="369" t="s">
        <v>34</v>
      </c>
      <c r="G243" s="370">
        <v>9.61</v>
      </c>
      <c r="H243" s="125">
        <v>5.9</v>
      </c>
      <c r="I243" s="358">
        <v>2</v>
      </c>
      <c r="J243" s="117">
        <f t="shared" si="123"/>
        <v>0.113398</v>
      </c>
      <c r="K243" s="118"/>
      <c r="L243" s="111"/>
      <c r="M243" s="117">
        <f t="shared" si="124"/>
        <v>0</v>
      </c>
      <c r="N243" s="119">
        <f t="shared" si="125"/>
        <v>2</v>
      </c>
      <c r="O243" s="120">
        <f t="shared" si="126"/>
        <v>0.113398</v>
      </c>
      <c r="P243" s="111"/>
      <c r="Q243" s="32"/>
      <c r="R243" s="32"/>
    </row>
    <row r="244" spans="1:18">
      <c r="A244" s="110" t="s">
        <v>473</v>
      </c>
      <c r="B244" s="111" t="s">
        <v>232</v>
      </c>
      <c r="C244" s="112" t="s">
        <v>449</v>
      </c>
      <c r="D244" s="113" t="s">
        <v>19</v>
      </c>
      <c r="E244" s="369" t="s">
        <v>14</v>
      </c>
      <c r="F244" s="369" t="s">
        <v>34</v>
      </c>
      <c r="G244" s="370">
        <v>9.61</v>
      </c>
      <c r="H244" s="125">
        <v>5.8</v>
      </c>
      <c r="I244" s="358">
        <v>1</v>
      </c>
      <c r="J244" s="117">
        <f t="shared" si="123"/>
        <v>5.5737999999999996E-2</v>
      </c>
      <c r="K244" s="118"/>
      <c r="L244" s="111"/>
      <c r="M244" s="117">
        <f t="shared" si="124"/>
        <v>0</v>
      </c>
      <c r="N244" s="119">
        <f t="shared" si="125"/>
        <v>1</v>
      </c>
      <c r="O244" s="120">
        <f t="shared" si="126"/>
        <v>5.5737999999999996E-2</v>
      </c>
      <c r="P244" s="111"/>
      <c r="Q244" s="32"/>
      <c r="R244" s="32"/>
    </row>
    <row r="245" spans="1:18">
      <c r="A245" s="110" t="s">
        <v>473</v>
      </c>
      <c r="B245" s="111" t="s">
        <v>232</v>
      </c>
      <c r="C245" s="112" t="s">
        <v>449</v>
      </c>
      <c r="D245" s="113" t="s">
        <v>19</v>
      </c>
      <c r="E245" s="369" t="s">
        <v>14</v>
      </c>
      <c r="F245" s="369" t="s">
        <v>34</v>
      </c>
      <c r="G245" s="370">
        <v>9.61</v>
      </c>
      <c r="H245" s="125">
        <v>6</v>
      </c>
      <c r="I245" s="358">
        <v>1</v>
      </c>
      <c r="J245" s="117">
        <f t="shared" si="123"/>
        <v>5.7659999999999996E-2</v>
      </c>
      <c r="K245" s="118"/>
      <c r="L245" s="111"/>
      <c r="M245" s="117">
        <f t="shared" si="124"/>
        <v>0</v>
      </c>
      <c r="N245" s="119">
        <f t="shared" si="125"/>
        <v>1</v>
      </c>
      <c r="O245" s="120">
        <f t="shared" si="126"/>
        <v>5.7659999999999996E-2</v>
      </c>
      <c r="P245" s="111"/>
      <c r="Q245" s="32"/>
      <c r="R245" s="32"/>
    </row>
    <row r="246" spans="1:18">
      <c r="A246" s="110" t="s">
        <v>473</v>
      </c>
      <c r="B246" s="111" t="s">
        <v>232</v>
      </c>
      <c r="C246" s="112" t="s">
        <v>449</v>
      </c>
      <c r="D246" s="113" t="s">
        <v>19</v>
      </c>
      <c r="E246" s="369" t="s">
        <v>14</v>
      </c>
      <c r="F246" s="369" t="s">
        <v>34</v>
      </c>
      <c r="G246" s="370">
        <v>9.61</v>
      </c>
      <c r="H246" s="125">
        <v>5.2</v>
      </c>
      <c r="I246" s="358">
        <v>1</v>
      </c>
      <c r="J246" s="117">
        <f t="shared" si="123"/>
        <v>4.9972000000000003E-2</v>
      </c>
      <c r="K246" s="118"/>
      <c r="L246" s="111"/>
      <c r="M246" s="117">
        <f t="shared" si="124"/>
        <v>0</v>
      </c>
      <c r="N246" s="119">
        <f t="shared" si="125"/>
        <v>1</v>
      </c>
      <c r="O246" s="120">
        <f t="shared" si="126"/>
        <v>4.9972000000000003E-2</v>
      </c>
      <c r="P246" s="111"/>
      <c r="Q246" s="32"/>
      <c r="R246" s="32"/>
    </row>
    <row r="247" spans="1:18">
      <c r="A247" s="110" t="s">
        <v>473</v>
      </c>
      <c r="B247" s="111" t="s">
        <v>232</v>
      </c>
      <c r="C247" s="112" t="s">
        <v>449</v>
      </c>
      <c r="D247" s="113" t="s">
        <v>19</v>
      </c>
      <c r="E247" s="369" t="s">
        <v>14</v>
      </c>
      <c r="F247" s="369" t="s">
        <v>34</v>
      </c>
      <c r="G247" s="370">
        <v>9.61</v>
      </c>
      <c r="H247" s="125">
        <v>5.7</v>
      </c>
      <c r="I247" s="358">
        <v>2</v>
      </c>
      <c r="J247" s="117">
        <f t="shared" si="123"/>
        <v>0.109554</v>
      </c>
      <c r="K247" s="118"/>
      <c r="L247" s="111"/>
      <c r="M247" s="117">
        <f t="shared" si="124"/>
        <v>0</v>
      </c>
      <c r="N247" s="119">
        <f t="shared" si="125"/>
        <v>2</v>
      </c>
      <c r="O247" s="120">
        <f t="shared" si="126"/>
        <v>0.109554</v>
      </c>
      <c r="P247" s="111"/>
      <c r="Q247" s="32"/>
      <c r="R247" s="32"/>
    </row>
    <row r="248" spans="1:18">
      <c r="A248" s="110" t="s">
        <v>473</v>
      </c>
      <c r="B248" s="111" t="s">
        <v>232</v>
      </c>
      <c r="C248" s="112" t="s">
        <v>449</v>
      </c>
      <c r="D248" s="113" t="s">
        <v>19</v>
      </c>
      <c r="E248" s="369" t="s">
        <v>14</v>
      </c>
      <c r="F248" s="369" t="s">
        <v>34</v>
      </c>
      <c r="G248" s="370">
        <v>9.61</v>
      </c>
      <c r="H248" s="125">
        <v>4.2</v>
      </c>
      <c r="I248" s="358">
        <v>1</v>
      </c>
      <c r="J248" s="117">
        <f t="shared" si="123"/>
        <v>4.0362000000000002E-2</v>
      </c>
      <c r="K248" s="118"/>
      <c r="L248" s="111"/>
      <c r="M248" s="117">
        <f t="shared" si="124"/>
        <v>0</v>
      </c>
      <c r="N248" s="119">
        <f t="shared" si="125"/>
        <v>1</v>
      </c>
      <c r="O248" s="120">
        <f t="shared" si="126"/>
        <v>4.0362000000000002E-2</v>
      </c>
      <c r="P248" s="111"/>
      <c r="Q248" s="32"/>
      <c r="R248" s="32"/>
    </row>
    <row r="249" spans="1:18">
      <c r="A249" s="110" t="s">
        <v>473</v>
      </c>
      <c r="B249" s="111" t="s">
        <v>232</v>
      </c>
      <c r="C249" s="112" t="s">
        <v>449</v>
      </c>
      <c r="D249" s="113" t="s">
        <v>19</v>
      </c>
      <c r="E249" s="369" t="s">
        <v>14</v>
      </c>
      <c r="F249" s="369" t="s">
        <v>34</v>
      </c>
      <c r="G249" s="370">
        <v>9.61</v>
      </c>
      <c r="H249" s="125">
        <v>6.15</v>
      </c>
      <c r="I249" s="358">
        <v>2</v>
      </c>
      <c r="J249" s="117">
        <f t="shared" ref="J249:J250" si="127">H249*G249*I249/1000</f>
        <v>0.118203</v>
      </c>
      <c r="K249" s="118"/>
      <c r="L249" s="111">
        <v>2</v>
      </c>
      <c r="M249" s="117">
        <f t="shared" ref="M249:M250" si="128">H249*L249*G249/1000</f>
        <v>0.118203</v>
      </c>
      <c r="N249" s="119">
        <f t="shared" ref="N249:N250" si="129">I249-L249</f>
        <v>0</v>
      </c>
      <c r="O249" s="120">
        <f t="shared" ref="O249:O250" si="130">H249*N249*G249/1000</f>
        <v>0</v>
      </c>
      <c r="P249" s="111"/>
      <c r="Q249" s="32"/>
      <c r="R249" s="32"/>
    </row>
    <row r="250" spans="1:18">
      <c r="A250" s="110" t="s">
        <v>473</v>
      </c>
      <c r="B250" s="111" t="s">
        <v>232</v>
      </c>
      <c r="C250" s="112" t="s">
        <v>449</v>
      </c>
      <c r="D250" s="113" t="s">
        <v>19</v>
      </c>
      <c r="E250" s="369" t="s">
        <v>14</v>
      </c>
      <c r="F250" s="369" t="s">
        <v>34</v>
      </c>
      <c r="G250" s="370">
        <v>9.61</v>
      </c>
      <c r="H250" s="125">
        <v>6.8</v>
      </c>
      <c r="I250" s="358">
        <v>1</v>
      </c>
      <c r="J250" s="117">
        <f t="shared" si="127"/>
        <v>6.5348000000000003E-2</v>
      </c>
      <c r="K250" s="118"/>
      <c r="L250" s="111">
        <v>1</v>
      </c>
      <c r="M250" s="117">
        <f t="shared" si="128"/>
        <v>6.5348000000000003E-2</v>
      </c>
      <c r="N250" s="119">
        <f t="shared" si="129"/>
        <v>0</v>
      </c>
      <c r="O250" s="120">
        <f t="shared" si="130"/>
        <v>0</v>
      </c>
      <c r="P250" s="111"/>
      <c r="Q250" s="32"/>
      <c r="R250" s="32"/>
    </row>
    <row r="251" spans="1:18">
      <c r="A251" s="110" t="s">
        <v>473</v>
      </c>
      <c r="B251" s="111" t="s">
        <v>232</v>
      </c>
      <c r="C251" s="112" t="s">
        <v>449</v>
      </c>
      <c r="D251" s="113" t="s">
        <v>19</v>
      </c>
      <c r="E251" s="369" t="s">
        <v>14</v>
      </c>
      <c r="F251" s="369" t="s">
        <v>34</v>
      </c>
      <c r="G251" s="370">
        <v>9.61</v>
      </c>
      <c r="H251" s="125">
        <v>6.15</v>
      </c>
      <c r="I251" s="32">
        <v>35</v>
      </c>
      <c r="J251" s="117">
        <f t="shared" ref="J251:J264" si="131">H251*G251*I251/1000</f>
        <v>2.0685525</v>
      </c>
      <c r="K251" s="118"/>
      <c r="L251" s="111">
        <v>35</v>
      </c>
      <c r="M251" s="117">
        <f t="shared" ref="M251:M264" si="132">H251*L251*G251/1000</f>
        <v>2.0685524999999996</v>
      </c>
      <c r="N251" s="119">
        <f t="shared" ref="N251:N264" si="133">I251-L251</f>
        <v>0</v>
      </c>
      <c r="O251" s="120">
        <f t="shared" ref="O251:O264" si="134">H251*N251*G251/1000</f>
        <v>0</v>
      </c>
      <c r="P251" s="111"/>
      <c r="Q251" s="32"/>
      <c r="R251" s="32"/>
    </row>
    <row r="252" spans="1:18">
      <c r="A252" s="110" t="s">
        <v>473</v>
      </c>
      <c r="B252" s="111" t="s">
        <v>232</v>
      </c>
      <c r="C252" s="112" t="s">
        <v>449</v>
      </c>
      <c r="D252" s="113" t="s">
        <v>19</v>
      </c>
      <c r="E252" s="369" t="s">
        <v>14</v>
      </c>
      <c r="F252" s="369" t="s">
        <v>34</v>
      </c>
      <c r="G252" s="370">
        <v>9.61</v>
      </c>
      <c r="H252" s="125">
        <v>6.15</v>
      </c>
      <c r="I252" s="32">
        <v>36</v>
      </c>
      <c r="J252" s="117">
        <f t="shared" si="131"/>
        <v>2.1276540000000002</v>
      </c>
      <c r="K252" s="118"/>
      <c r="L252" s="111">
        <v>36</v>
      </c>
      <c r="M252" s="117">
        <f t="shared" si="132"/>
        <v>2.1276540000000002</v>
      </c>
      <c r="N252" s="119">
        <f t="shared" si="133"/>
        <v>0</v>
      </c>
      <c r="O252" s="120">
        <f t="shared" si="134"/>
        <v>0</v>
      </c>
      <c r="P252" s="111"/>
      <c r="Q252" s="32"/>
      <c r="R252" s="32"/>
    </row>
    <row r="253" spans="1:18">
      <c r="A253" s="110" t="s">
        <v>473</v>
      </c>
      <c r="B253" s="111" t="s">
        <v>232</v>
      </c>
      <c r="C253" s="112" t="s">
        <v>449</v>
      </c>
      <c r="D253" s="113" t="s">
        <v>19</v>
      </c>
      <c r="E253" s="369" t="s">
        <v>14</v>
      </c>
      <c r="F253" s="369" t="s">
        <v>34</v>
      </c>
      <c r="G253" s="370">
        <v>9.61</v>
      </c>
      <c r="H253" s="125">
        <v>6.15</v>
      </c>
      <c r="I253" s="32">
        <v>36</v>
      </c>
      <c r="J253" s="117">
        <f t="shared" si="131"/>
        <v>2.1276540000000002</v>
      </c>
      <c r="K253" s="118"/>
      <c r="L253" s="111">
        <v>36</v>
      </c>
      <c r="M253" s="117">
        <f t="shared" si="132"/>
        <v>2.1276540000000002</v>
      </c>
      <c r="N253" s="119">
        <f t="shared" si="133"/>
        <v>0</v>
      </c>
      <c r="O253" s="120">
        <f t="shared" si="134"/>
        <v>0</v>
      </c>
      <c r="P253" s="111"/>
      <c r="Q253" s="32"/>
      <c r="R253" s="32"/>
    </row>
    <row r="254" spans="1:18">
      <c r="A254" s="110" t="s">
        <v>473</v>
      </c>
      <c r="B254" s="111" t="s">
        <v>232</v>
      </c>
      <c r="C254" s="112" t="s">
        <v>449</v>
      </c>
      <c r="D254" s="113" t="s">
        <v>19</v>
      </c>
      <c r="E254" s="369" t="s">
        <v>14</v>
      </c>
      <c r="F254" s="369" t="s">
        <v>34</v>
      </c>
      <c r="G254" s="370">
        <v>9.61</v>
      </c>
      <c r="H254" s="125">
        <v>6.8</v>
      </c>
      <c r="I254" s="32">
        <v>36</v>
      </c>
      <c r="J254" s="117">
        <f t="shared" si="131"/>
        <v>2.352528</v>
      </c>
      <c r="K254" s="118"/>
      <c r="L254" s="111">
        <v>36</v>
      </c>
      <c r="M254" s="117">
        <f t="shared" si="132"/>
        <v>2.352528</v>
      </c>
      <c r="N254" s="119">
        <f t="shared" si="133"/>
        <v>0</v>
      </c>
      <c r="O254" s="120">
        <f t="shared" si="134"/>
        <v>0</v>
      </c>
      <c r="P254" s="111"/>
      <c r="Q254" s="32"/>
      <c r="R254" s="32"/>
    </row>
    <row r="255" spans="1:18">
      <c r="A255" s="110" t="s">
        <v>473</v>
      </c>
      <c r="B255" s="111" t="s">
        <v>232</v>
      </c>
      <c r="C255" s="112" t="s">
        <v>449</v>
      </c>
      <c r="D255" s="113" t="s">
        <v>19</v>
      </c>
      <c r="E255" s="369" t="s">
        <v>14</v>
      </c>
      <c r="F255" s="369" t="s">
        <v>34</v>
      </c>
      <c r="G255" s="370">
        <v>9.61</v>
      </c>
      <c r="H255" s="125">
        <v>6.8</v>
      </c>
      <c r="I255" s="32">
        <v>35</v>
      </c>
      <c r="J255" s="117">
        <f t="shared" si="131"/>
        <v>2.2871799999999998</v>
      </c>
      <c r="K255" s="118"/>
      <c r="L255" s="111">
        <v>35</v>
      </c>
      <c r="M255" s="117">
        <f t="shared" si="132"/>
        <v>2.2871799999999998</v>
      </c>
      <c r="N255" s="119">
        <f t="shared" si="133"/>
        <v>0</v>
      </c>
      <c r="O255" s="120">
        <f t="shared" si="134"/>
        <v>0</v>
      </c>
      <c r="P255" s="111"/>
      <c r="Q255" s="32"/>
      <c r="R255" s="32"/>
    </row>
    <row r="256" spans="1:18">
      <c r="A256" s="110" t="s">
        <v>473</v>
      </c>
      <c r="B256" s="111" t="s">
        <v>232</v>
      </c>
      <c r="C256" s="112" t="s">
        <v>449</v>
      </c>
      <c r="D256" s="113" t="s">
        <v>19</v>
      </c>
      <c r="E256" s="369" t="s">
        <v>14</v>
      </c>
      <c r="F256" s="369" t="s">
        <v>34</v>
      </c>
      <c r="G256" s="370">
        <v>9.61</v>
      </c>
      <c r="H256" s="125">
        <v>6.8</v>
      </c>
      <c r="I256" s="32">
        <v>35</v>
      </c>
      <c r="J256" s="117">
        <f t="shared" si="131"/>
        <v>2.2871799999999998</v>
      </c>
      <c r="K256" s="118"/>
      <c r="L256" s="111">
        <v>35</v>
      </c>
      <c r="M256" s="117">
        <f t="shared" si="132"/>
        <v>2.2871799999999998</v>
      </c>
      <c r="N256" s="119">
        <f t="shared" si="133"/>
        <v>0</v>
      </c>
      <c r="O256" s="120">
        <f t="shared" si="134"/>
        <v>0</v>
      </c>
      <c r="P256" s="111"/>
      <c r="Q256" s="32"/>
      <c r="R256" s="32"/>
    </row>
    <row r="257" spans="1:18">
      <c r="A257" s="110" t="s">
        <v>473</v>
      </c>
      <c r="B257" s="111" t="s">
        <v>232</v>
      </c>
      <c r="C257" s="112" t="s">
        <v>449</v>
      </c>
      <c r="D257" s="113" t="s">
        <v>19</v>
      </c>
      <c r="E257" s="369" t="s">
        <v>14</v>
      </c>
      <c r="F257" s="369" t="s">
        <v>34</v>
      </c>
      <c r="G257" s="370">
        <v>9.61</v>
      </c>
      <c r="H257" s="125">
        <v>6.8</v>
      </c>
      <c r="I257" s="32">
        <v>35</v>
      </c>
      <c r="J257" s="117">
        <f t="shared" si="131"/>
        <v>2.2871799999999998</v>
      </c>
      <c r="K257" s="118"/>
      <c r="L257" s="111">
        <v>35</v>
      </c>
      <c r="M257" s="117">
        <f t="shared" si="132"/>
        <v>2.2871799999999998</v>
      </c>
      <c r="N257" s="119">
        <f t="shared" si="133"/>
        <v>0</v>
      </c>
      <c r="O257" s="120">
        <f t="shared" si="134"/>
        <v>0</v>
      </c>
      <c r="P257" s="111"/>
      <c r="Q257" s="32"/>
      <c r="R257" s="32"/>
    </row>
    <row r="258" spans="1:18">
      <c r="A258" s="110" t="s">
        <v>473</v>
      </c>
      <c r="B258" s="111" t="s">
        <v>232</v>
      </c>
      <c r="C258" s="112" t="s">
        <v>449</v>
      </c>
      <c r="D258" s="113" t="s">
        <v>19</v>
      </c>
      <c r="E258" s="369" t="s">
        <v>14</v>
      </c>
      <c r="F258" s="369" t="s">
        <v>34</v>
      </c>
      <c r="G258" s="370">
        <v>9.61</v>
      </c>
      <c r="H258" s="125">
        <v>6.8</v>
      </c>
      <c r="I258" s="32">
        <v>30</v>
      </c>
      <c r="J258" s="117">
        <f t="shared" si="131"/>
        <v>1.96044</v>
      </c>
      <c r="K258" s="118"/>
      <c r="L258" s="111">
        <v>30</v>
      </c>
      <c r="M258" s="117">
        <f t="shared" si="132"/>
        <v>1.9604399999999997</v>
      </c>
      <c r="N258" s="119">
        <f t="shared" si="133"/>
        <v>0</v>
      </c>
      <c r="O258" s="120">
        <f t="shared" si="134"/>
        <v>0</v>
      </c>
      <c r="P258" s="111"/>
      <c r="Q258" s="32"/>
      <c r="R258" s="32"/>
    </row>
    <row r="259" spans="1:18">
      <c r="A259" s="110" t="s">
        <v>473</v>
      </c>
      <c r="B259" s="111" t="s">
        <v>232</v>
      </c>
      <c r="C259" s="112" t="s">
        <v>449</v>
      </c>
      <c r="D259" s="113" t="s">
        <v>19</v>
      </c>
      <c r="E259" s="369" t="s">
        <v>14</v>
      </c>
      <c r="F259" s="369" t="s">
        <v>34</v>
      </c>
      <c r="G259" s="370">
        <v>9.61</v>
      </c>
      <c r="H259" s="125">
        <v>6.15</v>
      </c>
      <c r="I259" s="32">
        <v>35</v>
      </c>
      <c r="J259" s="117">
        <f t="shared" si="131"/>
        <v>2.0685525</v>
      </c>
      <c r="K259" s="118"/>
      <c r="L259" s="111">
        <v>35</v>
      </c>
      <c r="M259" s="117">
        <f t="shared" si="132"/>
        <v>2.0685524999999996</v>
      </c>
      <c r="N259" s="119">
        <f t="shared" si="133"/>
        <v>0</v>
      </c>
      <c r="O259" s="120">
        <f t="shared" si="134"/>
        <v>0</v>
      </c>
      <c r="P259" s="111"/>
      <c r="Q259" s="32"/>
      <c r="R259" s="32"/>
    </row>
    <row r="260" spans="1:18">
      <c r="A260" s="110" t="s">
        <v>473</v>
      </c>
      <c r="B260" s="111" t="s">
        <v>232</v>
      </c>
      <c r="C260" s="112" t="s">
        <v>449</v>
      </c>
      <c r="D260" s="113" t="s">
        <v>19</v>
      </c>
      <c r="E260" s="369" t="s">
        <v>14</v>
      </c>
      <c r="F260" s="369" t="s">
        <v>34</v>
      </c>
      <c r="G260" s="370">
        <v>9.61</v>
      </c>
      <c r="H260" s="125">
        <v>6.15</v>
      </c>
      <c r="I260" s="32">
        <v>35</v>
      </c>
      <c r="J260" s="117">
        <f t="shared" si="131"/>
        <v>2.0685525</v>
      </c>
      <c r="K260" s="118"/>
      <c r="L260" s="111">
        <v>35</v>
      </c>
      <c r="M260" s="117">
        <f t="shared" si="132"/>
        <v>2.0685524999999996</v>
      </c>
      <c r="N260" s="119">
        <f t="shared" si="133"/>
        <v>0</v>
      </c>
      <c r="O260" s="120">
        <f t="shared" si="134"/>
        <v>0</v>
      </c>
      <c r="P260" s="111"/>
      <c r="Q260" s="32"/>
      <c r="R260" s="32"/>
    </row>
    <row r="261" spans="1:18">
      <c r="A261" s="110" t="s">
        <v>473</v>
      </c>
      <c r="B261" s="111" t="s">
        <v>232</v>
      </c>
      <c r="C261" s="112" t="s">
        <v>449</v>
      </c>
      <c r="D261" s="113" t="s">
        <v>19</v>
      </c>
      <c r="E261" s="369" t="s">
        <v>14</v>
      </c>
      <c r="F261" s="369" t="s">
        <v>34</v>
      </c>
      <c r="G261" s="370">
        <v>9.61</v>
      </c>
      <c r="H261" s="125">
        <v>6.8</v>
      </c>
      <c r="I261" s="32">
        <v>35</v>
      </c>
      <c r="J261" s="117">
        <f t="shared" si="131"/>
        <v>2.2871799999999998</v>
      </c>
      <c r="K261" s="118"/>
      <c r="L261" s="111">
        <v>35</v>
      </c>
      <c r="M261" s="117">
        <f t="shared" si="132"/>
        <v>2.2871799999999998</v>
      </c>
      <c r="N261" s="119">
        <f t="shared" si="133"/>
        <v>0</v>
      </c>
      <c r="O261" s="120">
        <f t="shared" si="134"/>
        <v>0</v>
      </c>
      <c r="P261" s="111"/>
      <c r="Q261" s="32"/>
      <c r="R261" s="32"/>
    </row>
    <row r="262" spans="1:18">
      <c r="A262" s="110" t="s">
        <v>473</v>
      </c>
      <c r="B262" s="111" t="s">
        <v>232</v>
      </c>
      <c r="C262" s="112" t="s">
        <v>449</v>
      </c>
      <c r="D262" s="113" t="s">
        <v>19</v>
      </c>
      <c r="E262" s="369" t="s">
        <v>14</v>
      </c>
      <c r="F262" s="369" t="s">
        <v>34</v>
      </c>
      <c r="G262" s="370">
        <v>9.61</v>
      </c>
      <c r="H262" s="125">
        <v>6.15</v>
      </c>
      <c r="I262" s="32">
        <v>35</v>
      </c>
      <c r="J262" s="117">
        <f t="shared" si="131"/>
        <v>2.0685525</v>
      </c>
      <c r="K262" s="118"/>
      <c r="L262" s="111">
        <v>35</v>
      </c>
      <c r="M262" s="117">
        <f t="shared" si="132"/>
        <v>2.0685524999999996</v>
      </c>
      <c r="N262" s="119">
        <f t="shared" si="133"/>
        <v>0</v>
      </c>
      <c r="O262" s="120">
        <f t="shared" si="134"/>
        <v>0</v>
      </c>
      <c r="P262" s="111"/>
      <c r="Q262" s="32"/>
      <c r="R262" s="32"/>
    </row>
    <row r="263" spans="1:18">
      <c r="A263" s="110" t="s">
        <v>473</v>
      </c>
      <c r="B263" s="111" t="s">
        <v>232</v>
      </c>
      <c r="C263" s="112" t="s">
        <v>449</v>
      </c>
      <c r="D263" s="113" t="s">
        <v>19</v>
      </c>
      <c r="E263" s="369" t="s">
        <v>14</v>
      </c>
      <c r="F263" s="369" t="s">
        <v>34</v>
      </c>
      <c r="G263" s="370">
        <v>9.61</v>
      </c>
      <c r="H263" s="125">
        <v>6.15</v>
      </c>
      <c r="I263" s="32">
        <v>35</v>
      </c>
      <c r="J263" s="117">
        <f t="shared" si="131"/>
        <v>2.0685525</v>
      </c>
      <c r="K263" s="118"/>
      <c r="L263" s="111">
        <v>35</v>
      </c>
      <c r="M263" s="117">
        <f t="shared" si="132"/>
        <v>2.0685524999999996</v>
      </c>
      <c r="N263" s="119">
        <f t="shared" si="133"/>
        <v>0</v>
      </c>
      <c r="O263" s="120">
        <f t="shared" si="134"/>
        <v>0</v>
      </c>
      <c r="P263" s="111"/>
      <c r="Q263" s="32"/>
      <c r="R263" s="32"/>
    </row>
    <row r="264" spans="1:18">
      <c r="A264" s="110" t="s">
        <v>473</v>
      </c>
      <c r="B264" s="111" t="s">
        <v>232</v>
      </c>
      <c r="C264" s="112" t="s">
        <v>449</v>
      </c>
      <c r="D264" s="113" t="s">
        <v>19</v>
      </c>
      <c r="E264" s="369" t="s">
        <v>14</v>
      </c>
      <c r="F264" s="369" t="s">
        <v>34</v>
      </c>
      <c r="G264" s="370">
        <v>9.61</v>
      </c>
      <c r="H264" s="125">
        <v>6.15</v>
      </c>
      <c r="I264" s="32">
        <v>35</v>
      </c>
      <c r="J264" s="117">
        <f t="shared" si="131"/>
        <v>2.0685525</v>
      </c>
      <c r="K264" s="118"/>
      <c r="L264" s="111">
        <v>35</v>
      </c>
      <c r="M264" s="117">
        <f t="shared" si="132"/>
        <v>2.0685524999999996</v>
      </c>
      <c r="N264" s="119">
        <f t="shared" si="133"/>
        <v>0</v>
      </c>
      <c r="O264" s="120">
        <f t="shared" si="134"/>
        <v>0</v>
      </c>
      <c r="P264" s="111"/>
      <c r="Q264" s="32"/>
      <c r="R264" s="32"/>
    </row>
    <row r="265" spans="1:18">
      <c r="A265" s="110" t="s">
        <v>473</v>
      </c>
      <c r="B265" s="111" t="s">
        <v>232</v>
      </c>
      <c r="C265" s="112" t="s">
        <v>449</v>
      </c>
      <c r="D265" s="113" t="s">
        <v>19</v>
      </c>
      <c r="E265" s="369" t="s">
        <v>14</v>
      </c>
      <c r="F265" s="369" t="s">
        <v>34</v>
      </c>
      <c r="G265" s="370">
        <v>9.61</v>
      </c>
      <c r="H265" s="125">
        <v>6.8</v>
      </c>
      <c r="I265" s="32">
        <v>36</v>
      </c>
      <c r="J265" s="117">
        <f t="shared" ref="J265:J269" si="135">H265*G265*I265/1000</f>
        <v>2.352528</v>
      </c>
      <c r="K265" s="118"/>
      <c r="L265" s="111">
        <v>36</v>
      </c>
      <c r="M265" s="117">
        <f t="shared" ref="M265:M269" si="136">H265*L265*G265/1000</f>
        <v>2.352528</v>
      </c>
      <c r="N265" s="119">
        <f t="shared" ref="N265:N269" si="137">I265-L265</f>
        <v>0</v>
      </c>
      <c r="O265" s="120">
        <f t="shared" ref="O265:O268" si="138">H265*N265*G265/1000</f>
        <v>0</v>
      </c>
      <c r="P265" s="111"/>
      <c r="Q265" s="32"/>
      <c r="R265" s="32"/>
    </row>
    <row r="266" spans="1:18">
      <c r="A266" s="110" t="s">
        <v>473</v>
      </c>
      <c r="B266" s="111" t="s">
        <v>232</v>
      </c>
      <c r="C266" s="112" t="s">
        <v>449</v>
      </c>
      <c r="D266" s="113" t="s">
        <v>19</v>
      </c>
      <c r="E266" s="369" t="s">
        <v>14</v>
      </c>
      <c r="F266" s="369" t="s">
        <v>34</v>
      </c>
      <c r="G266" s="370">
        <v>9.61</v>
      </c>
      <c r="H266" s="125">
        <v>6.8</v>
      </c>
      <c r="I266" s="32">
        <v>36</v>
      </c>
      <c r="J266" s="117">
        <f t="shared" si="135"/>
        <v>2.352528</v>
      </c>
      <c r="K266" s="118"/>
      <c r="L266" s="111">
        <v>36</v>
      </c>
      <c r="M266" s="117">
        <f t="shared" si="136"/>
        <v>2.352528</v>
      </c>
      <c r="N266" s="119">
        <f t="shared" si="137"/>
        <v>0</v>
      </c>
      <c r="O266" s="120">
        <f t="shared" si="138"/>
        <v>0</v>
      </c>
      <c r="P266" s="111"/>
      <c r="Q266" s="32"/>
      <c r="R266" s="32"/>
    </row>
    <row r="267" spans="1:18">
      <c r="A267" s="110" t="s">
        <v>473</v>
      </c>
      <c r="B267" s="111" t="s">
        <v>232</v>
      </c>
      <c r="C267" s="112" t="s">
        <v>449</v>
      </c>
      <c r="D267" s="113" t="s">
        <v>19</v>
      </c>
      <c r="E267" s="369" t="s">
        <v>14</v>
      </c>
      <c r="F267" s="369" t="s">
        <v>34</v>
      </c>
      <c r="G267" s="370">
        <v>9.61</v>
      </c>
      <c r="H267" s="125">
        <v>6.8</v>
      </c>
      <c r="I267" s="32">
        <v>36</v>
      </c>
      <c r="J267" s="117">
        <f t="shared" si="135"/>
        <v>2.352528</v>
      </c>
      <c r="K267" s="118"/>
      <c r="L267" s="111">
        <v>36</v>
      </c>
      <c r="M267" s="117">
        <f t="shared" si="136"/>
        <v>2.352528</v>
      </c>
      <c r="N267" s="119">
        <f t="shared" si="137"/>
        <v>0</v>
      </c>
      <c r="O267" s="120">
        <f t="shared" si="138"/>
        <v>0</v>
      </c>
      <c r="P267" s="111"/>
      <c r="Q267" s="32"/>
      <c r="R267" s="32"/>
    </row>
    <row r="268" spans="1:18">
      <c r="A268" s="110" t="s">
        <v>473</v>
      </c>
      <c r="B268" s="111" t="s">
        <v>232</v>
      </c>
      <c r="C268" s="112" t="s">
        <v>449</v>
      </c>
      <c r="D268" s="113" t="s">
        <v>19</v>
      </c>
      <c r="E268" s="369" t="s">
        <v>14</v>
      </c>
      <c r="F268" s="369" t="s">
        <v>34</v>
      </c>
      <c r="G268" s="370">
        <v>9.61</v>
      </c>
      <c r="H268" s="125">
        <v>6.8</v>
      </c>
      <c r="I268" s="32">
        <v>36</v>
      </c>
      <c r="J268" s="117">
        <f t="shared" si="135"/>
        <v>2.352528</v>
      </c>
      <c r="K268" s="118"/>
      <c r="L268" s="111">
        <v>36</v>
      </c>
      <c r="M268" s="117">
        <f t="shared" si="136"/>
        <v>2.352528</v>
      </c>
      <c r="N268" s="119">
        <f t="shared" si="137"/>
        <v>0</v>
      </c>
      <c r="O268" s="120">
        <f t="shared" si="138"/>
        <v>0</v>
      </c>
      <c r="P268" s="111"/>
      <c r="Q268" s="32"/>
      <c r="R268" s="32"/>
    </row>
    <row r="269" spans="1:18">
      <c r="A269" s="110" t="s">
        <v>473</v>
      </c>
      <c r="B269" s="111" t="s">
        <v>232</v>
      </c>
      <c r="C269" s="112" t="s">
        <v>449</v>
      </c>
      <c r="D269" s="113" t="s">
        <v>19</v>
      </c>
      <c r="E269" s="369" t="s">
        <v>14</v>
      </c>
      <c r="F269" s="369" t="s">
        <v>34</v>
      </c>
      <c r="G269" s="370">
        <v>9.61</v>
      </c>
      <c r="H269" s="125">
        <v>6.8</v>
      </c>
      <c r="I269" s="32">
        <v>36</v>
      </c>
      <c r="J269" s="117">
        <f t="shared" si="135"/>
        <v>2.352528</v>
      </c>
      <c r="K269" s="118"/>
      <c r="L269" s="111">
        <v>36</v>
      </c>
      <c r="M269" s="117">
        <f t="shared" si="136"/>
        <v>2.352528</v>
      </c>
      <c r="N269" s="119">
        <f t="shared" si="137"/>
        <v>0</v>
      </c>
      <c r="O269" s="120">
        <f>H269*N269*G269/1000</f>
        <v>0</v>
      </c>
      <c r="P269" s="111"/>
      <c r="Q269" s="32"/>
      <c r="R269" s="32"/>
    </row>
    <row r="270" spans="1:18">
      <c r="A270" s="32"/>
      <c r="B270" s="32"/>
      <c r="C270" s="32"/>
      <c r="D270" s="32"/>
      <c r="E270" s="32"/>
      <c r="F270" s="32"/>
      <c r="G270" s="32"/>
      <c r="H270" s="32"/>
      <c r="I270" s="129">
        <f>SUM(I233:I269)</f>
        <v>789</v>
      </c>
      <c r="J270" s="124">
        <f>SUM(J233:J269)</f>
        <v>49.313715000000002</v>
      </c>
      <c r="K270" s="32"/>
      <c r="L270" s="129">
        <f>SUM(L233:L269)</f>
        <v>780</v>
      </c>
      <c r="M270" s="124">
        <f>SUM(M233:M269)</f>
        <v>48.780359999999995</v>
      </c>
      <c r="N270" s="129">
        <f>SUM(N233:N269)</f>
        <v>9</v>
      </c>
      <c r="O270" s="124">
        <f>SUM(O233:O269)</f>
        <v>0.53335499999999991</v>
      </c>
      <c r="P270" s="32"/>
      <c r="Q270" s="32"/>
      <c r="R270" s="32"/>
    </row>
    <row r="272" spans="1:18">
      <c r="A272" s="110" t="s">
        <v>473</v>
      </c>
      <c r="B272" s="111" t="s">
        <v>232</v>
      </c>
      <c r="C272" s="112" t="s">
        <v>449</v>
      </c>
      <c r="D272" s="113" t="s">
        <v>19</v>
      </c>
      <c r="E272" s="369" t="s">
        <v>14</v>
      </c>
      <c r="F272" s="369" t="s">
        <v>32</v>
      </c>
      <c r="G272" s="370">
        <v>8.32</v>
      </c>
      <c r="H272" s="125">
        <v>10.199999999999999</v>
      </c>
      <c r="I272" s="32">
        <v>35</v>
      </c>
      <c r="J272" s="117">
        <f t="shared" ref="J272" si="139">H272*G272*I272/1000</f>
        <v>2.97024</v>
      </c>
      <c r="K272" s="118"/>
      <c r="L272" s="111">
        <v>35</v>
      </c>
      <c r="M272" s="117">
        <f t="shared" ref="M272" si="140">H272*L272*G272/1000</f>
        <v>2.9702400000000004</v>
      </c>
      <c r="N272" s="119">
        <f t="shared" ref="N272" si="141">I272-L272</f>
        <v>0</v>
      </c>
      <c r="O272" s="120">
        <f t="shared" ref="O272" si="142">H272*N272*G272/1000</f>
        <v>0</v>
      </c>
      <c r="P272" s="111"/>
      <c r="Q272" s="32"/>
      <c r="R272" s="32"/>
    </row>
    <row r="273" spans="1:18">
      <c r="A273" s="110" t="s">
        <v>473</v>
      </c>
      <c r="B273" s="111" t="s">
        <v>232</v>
      </c>
      <c r="C273" s="112" t="s">
        <v>449</v>
      </c>
      <c r="D273" s="113" t="s">
        <v>19</v>
      </c>
      <c r="E273" s="369" t="s">
        <v>14</v>
      </c>
      <c r="F273" s="369" t="s">
        <v>32</v>
      </c>
      <c r="G273" s="370">
        <v>8.32</v>
      </c>
      <c r="H273" s="125">
        <v>10.199999999999999</v>
      </c>
      <c r="I273" s="32">
        <v>33</v>
      </c>
      <c r="J273" s="117">
        <f t="shared" ref="J273:J286" si="143">H273*G273*I273/1000</f>
        <v>2.8005119999999999</v>
      </c>
      <c r="K273" s="118"/>
      <c r="L273" s="111">
        <v>33</v>
      </c>
      <c r="M273" s="117">
        <f t="shared" ref="M273:M286" si="144">H273*L273*G273/1000</f>
        <v>2.8005119999999999</v>
      </c>
      <c r="N273" s="119">
        <f t="shared" ref="N273:N286" si="145">I273-L273</f>
        <v>0</v>
      </c>
      <c r="O273" s="120">
        <f t="shared" ref="O273:O286" si="146">H273*N273*G273/1000</f>
        <v>0</v>
      </c>
      <c r="P273" s="111"/>
      <c r="Q273" s="32"/>
      <c r="R273" s="32"/>
    </row>
    <row r="274" spans="1:18">
      <c r="A274" s="110" t="s">
        <v>473</v>
      </c>
      <c r="B274" s="111" t="s">
        <v>232</v>
      </c>
      <c r="C274" s="112" t="s">
        <v>449</v>
      </c>
      <c r="D274" s="113" t="s">
        <v>19</v>
      </c>
      <c r="E274" s="369" t="s">
        <v>14</v>
      </c>
      <c r="F274" s="369" t="s">
        <v>32</v>
      </c>
      <c r="G274" s="370">
        <v>8.32</v>
      </c>
      <c r="H274" s="125">
        <v>10.199999999999999</v>
      </c>
      <c r="I274" s="32">
        <v>33</v>
      </c>
      <c r="J274" s="117">
        <f t="shared" si="143"/>
        <v>2.8005119999999999</v>
      </c>
      <c r="K274" s="118"/>
      <c r="L274" s="111">
        <v>33</v>
      </c>
      <c r="M274" s="117">
        <f t="shared" si="144"/>
        <v>2.8005119999999999</v>
      </c>
      <c r="N274" s="119">
        <f t="shared" si="145"/>
        <v>0</v>
      </c>
      <c r="O274" s="120">
        <f t="shared" si="146"/>
        <v>0</v>
      </c>
      <c r="P274" s="111"/>
      <c r="Q274" s="32"/>
      <c r="R274" s="32"/>
    </row>
    <row r="275" spans="1:18">
      <c r="A275" s="110" t="s">
        <v>473</v>
      </c>
      <c r="B275" s="111" t="s">
        <v>232</v>
      </c>
      <c r="C275" s="112" t="s">
        <v>449</v>
      </c>
      <c r="D275" s="113" t="s">
        <v>19</v>
      </c>
      <c r="E275" s="369" t="s">
        <v>14</v>
      </c>
      <c r="F275" s="369" t="s">
        <v>32</v>
      </c>
      <c r="G275" s="370">
        <v>8.32</v>
      </c>
      <c r="H275" s="125">
        <v>10.199999999999999</v>
      </c>
      <c r="I275" s="32">
        <v>33</v>
      </c>
      <c r="J275" s="117">
        <f t="shared" si="143"/>
        <v>2.8005119999999999</v>
      </c>
      <c r="K275" s="118"/>
      <c r="L275" s="111">
        <v>33</v>
      </c>
      <c r="M275" s="117">
        <f t="shared" si="144"/>
        <v>2.8005119999999999</v>
      </c>
      <c r="N275" s="119">
        <f t="shared" si="145"/>
        <v>0</v>
      </c>
      <c r="O275" s="120">
        <f t="shared" si="146"/>
        <v>0</v>
      </c>
      <c r="P275" s="111"/>
      <c r="Q275" s="32"/>
      <c r="R275" s="32"/>
    </row>
    <row r="276" spans="1:18">
      <c r="A276" s="110" t="s">
        <v>473</v>
      </c>
      <c r="B276" s="111" t="s">
        <v>232</v>
      </c>
      <c r="C276" s="112" t="s">
        <v>449</v>
      </c>
      <c r="D276" s="113" t="s">
        <v>19</v>
      </c>
      <c r="E276" s="369" t="s">
        <v>14</v>
      </c>
      <c r="F276" s="369" t="s">
        <v>32</v>
      </c>
      <c r="G276" s="370">
        <v>8.32</v>
      </c>
      <c r="H276" s="125">
        <v>10.199999999999999</v>
      </c>
      <c r="I276" s="32">
        <v>33</v>
      </c>
      <c r="J276" s="117">
        <f t="shared" si="143"/>
        <v>2.8005119999999999</v>
      </c>
      <c r="K276" s="118"/>
      <c r="L276" s="111">
        <v>33</v>
      </c>
      <c r="M276" s="117">
        <f t="shared" si="144"/>
        <v>2.8005119999999999</v>
      </c>
      <c r="N276" s="119">
        <f t="shared" si="145"/>
        <v>0</v>
      </c>
      <c r="O276" s="120">
        <f t="shared" si="146"/>
        <v>0</v>
      </c>
      <c r="P276" s="111"/>
      <c r="Q276" s="32"/>
      <c r="R276" s="32"/>
    </row>
    <row r="277" spans="1:18">
      <c r="A277" s="110" t="s">
        <v>473</v>
      </c>
      <c r="B277" s="111" t="s">
        <v>232</v>
      </c>
      <c r="C277" s="112" t="s">
        <v>449</v>
      </c>
      <c r="D277" s="113" t="s">
        <v>19</v>
      </c>
      <c r="E277" s="369" t="s">
        <v>14</v>
      </c>
      <c r="F277" s="369" t="s">
        <v>32</v>
      </c>
      <c r="G277" s="370">
        <v>8.32</v>
      </c>
      <c r="H277" s="125">
        <v>10.199999999999999</v>
      </c>
      <c r="I277" s="32">
        <v>33</v>
      </c>
      <c r="J277" s="117">
        <f t="shared" si="143"/>
        <v>2.8005119999999999</v>
      </c>
      <c r="K277" s="118"/>
      <c r="L277" s="111">
        <v>33</v>
      </c>
      <c r="M277" s="117">
        <f t="shared" si="144"/>
        <v>2.8005119999999999</v>
      </c>
      <c r="N277" s="119">
        <f t="shared" si="145"/>
        <v>0</v>
      </c>
      <c r="O277" s="120">
        <f t="shared" si="146"/>
        <v>0</v>
      </c>
      <c r="P277" s="111"/>
      <c r="Q277" s="32"/>
      <c r="R277" s="32"/>
    </row>
    <row r="278" spans="1:18">
      <c r="A278" s="110" t="s">
        <v>473</v>
      </c>
      <c r="B278" s="111" t="s">
        <v>232</v>
      </c>
      <c r="C278" s="112" t="s">
        <v>449</v>
      </c>
      <c r="D278" s="113" t="s">
        <v>19</v>
      </c>
      <c r="E278" s="369" t="s">
        <v>14</v>
      </c>
      <c r="F278" s="369" t="s">
        <v>32</v>
      </c>
      <c r="G278" s="370">
        <v>8.32</v>
      </c>
      <c r="H278" s="125">
        <v>10.199999999999999</v>
      </c>
      <c r="I278" s="32">
        <v>25</v>
      </c>
      <c r="J278" s="117">
        <f t="shared" si="143"/>
        <v>2.1215999999999999</v>
      </c>
      <c r="K278" s="118"/>
      <c r="L278" s="111">
        <v>25</v>
      </c>
      <c r="M278" s="117">
        <f t="shared" si="144"/>
        <v>2.1215999999999999</v>
      </c>
      <c r="N278" s="119">
        <f t="shared" si="145"/>
        <v>0</v>
      </c>
      <c r="O278" s="120">
        <f t="shared" si="146"/>
        <v>0</v>
      </c>
      <c r="P278" s="111"/>
      <c r="Q278" s="32"/>
      <c r="R278" s="32"/>
    </row>
    <row r="279" spans="1:18">
      <c r="A279" s="110" t="s">
        <v>473</v>
      </c>
      <c r="B279" s="111" t="s">
        <v>232</v>
      </c>
      <c r="C279" s="112" t="s">
        <v>449</v>
      </c>
      <c r="D279" s="113" t="s">
        <v>19</v>
      </c>
      <c r="E279" s="369" t="s">
        <v>14</v>
      </c>
      <c r="F279" s="369" t="s">
        <v>32</v>
      </c>
      <c r="G279" s="370">
        <v>8.32</v>
      </c>
      <c r="H279" s="125">
        <v>9.6999999999999993</v>
      </c>
      <c r="I279" s="32">
        <v>3</v>
      </c>
      <c r="J279" s="117">
        <f t="shared" si="143"/>
        <v>0.24211199999999997</v>
      </c>
      <c r="K279" s="118"/>
      <c r="L279" s="111">
        <v>3</v>
      </c>
      <c r="M279" s="117">
        <f t="shared" si="144"/>
        <v>0.24211199999999999</v>
      </c>
      <c r="N279" s="119">
        <f t="shared" si="145"/>
        <v>0</v>
      </c>
      <c r="O279" s="120">
        <f t="shared" si="146"/>
        <v>0</v>
      </c>
      <c r="P279" s="111">
        <v>8.35</v>
      </c>
      <c r="Q279" s="45">
        <v>3</v>
      </c>
      <c r="R279" s="32" t="s">
        <v>631</v>
      </c>
    </row>
    <row r="280" spans="1:18">
      <c r="A280" s="110" t="s">
        <v>473</v>
      </c>
      <c r="B280" s="111" t="s">
        <v>232</v>
      </c>
      <c r="C280" s="112" t="s">
        <v>449</v>
      </c>
      <c r="D280" s="113" t="s">
        <v>19</v>
      </c>
      <c r="E280" s="369" t="s">
        <v>14</v>
      </c>
      <c r="F280" s="369" t="s">
        <v>32</v>
      </c>
      <c r="G280" s="370">
        <v>8.32</v>
      </c>
      <c r="H280" s="125">
        <v>9.3000000000000007</v>
      </c>
      <c r="I280" s="32">
        <v>1</v>
      </c>
      <c r="J280" s="117">
        <f t="shared" si="143"/>
        <v>7.7376E-2</v>
      </c>
      <c r="K280" s="118"/>
      <c r="L280" s="111">
        <v>1</v>
      </c>
      <c r="M280" s="117">
        <f t="shared" si="144"/>
        <v>7.7376E-2</v>
      </c>
      <c r="N280" s="119">
        <f t="shared" si="145"/>
        <v>0</v>
      </c>
      <c r="O280" s="120">
        <f t="shared" si="146"/>
        <v>0</v>
      </c>
      <c r="P280" s="111">
        <v>8.35</v>
      </c>
      <c r="Q280" s="45">
        <v>1</v>
      </c>
      <c r="R280" s="32" t="s">
        <v>631</v>
      </c>
    </row>
    <row r="281" spans="1:18">
      <c r="A281" s="110" t="s">
        <v>473</v>
      </c>
      <c r="B281" s="111" t="s">
        <v>232</v>
      </c>
      <c r="C281" s="112" t="s">
        <v>449</v>
      </c>
      <c r="D281" s="113" t="s">
        <v>19</v>
      </c>
      <c r="E281" s="369" t="s">
        <v>14</v>
      </c>
      <c r="F281" s="369" t="s">
        <v>32</v>
      </c>
      <c r="G281" s="370">
        <v>8.32</v>
      </c>
      <c r="H281" s="125">
        <v>8.5</v>
      </c>
      <c r="I281" s="32">
        <v>2</v>
      </c>
      <c r="J281" s="117">
        <f t="shared" si="143"/>
        <v>0.14144000000000001</v>
      </c>
      <c r="K281" s="118"/>
      <c r="L281" s="111">
        <v>2</v>
      </c>
      <c r="M281" s="117">
        <f t="shared" si="144"/>
        <v>0.14144000000000001</v>
      </c>
      <c r="N281" s="119">
        <f t="shared" si="145"/>
        <v>0</v>
      </c>
      <c r="O281" s="120">
        <f t="shared" si="146"/>
        <v>0</v>
      </c>
      <c r="P281" s="111">
        <v>8.35</v>
      </c>
      <c r="Q281" s="45">
        <v>2</v>
      </c>
      <c r="R281" s="32" t="s">
        <v>631</v>
      </c>
    </row>
    <row r="282" spans="1:18">
      <c r="A282" s="110" t="s">
        <v>473</v>
      </c>
      <c r="B282" s="111" t="s">
        <v>232</v>
      </c>
      <c r="C282" s="112" t="s">
        <v>449</v>
      </c>
      <c r="D282" s="113" t="s">
        <v>19</v>
      </c>
      <c r="E282" s="369" t="s">
        <v>14</v>
      </c>
      <c r="F282" s="369" t="s">
        <v>32</v>
      </c>
      <c r="G282" s="370">
        <v>8.32</v>
      </c>
      <c r="H282" s="125">
        <v>8</v>
      </c>
      <c r="I282" s="32">
        <v>1</v>
      </c>
      <c r="J282" s="117">
        <f t="shared" si="143"/>
        <v>6.6560000000000008E-2</v>
      </c>
      <c r="K282" s="118"/>
      <c r="L282" s="111"/>
      <c r="M282" s="117">
        <f t="shared" si="144"/>
        <v>0</v>
      </c>
      <c r="N282" s="119">
        <f t="shared" si="145"/>
        <v>1</v>
      </c>
      <c r="O282" s="120">
        <f t="shared" si="146"/>
        <v>6.6560000000000008E-2</v>
      </c>
      <c r="P282" s="111"/>
      <c r="Q282" s="32"/>
      <c r="R282" s="32"/>
    </row>
    <row r="283" spans="1:18">
      <c r="A283" s="110" t="s">
        <v>473</v>
      </c>
      <c r="B283" s="111" t="s">
        <v>232</v>
      </c>
      <c r="C283" s="112" t="s">
        <v>449</v>
      </c>
      <c r="D283" s="113" t="s">
        <v>19</v>
      </c>
      <c r="E283" s="369" t="s">
        <v>14</v>
      </c>
      <c r="F283" s="369" t="s">
        <v>32</v>
      </c>
      <c r="G283" s="370">
        <v>8.32</v>
      </c>
      <c r="H283" s="125">
        <v>10</v>
      </c>
      <c r="I283" s="32">
        <v>1</v>
      </c>
      <c r="J283" s="117">
        <f t="shared" si="143"/>
        <v>8.3199999999999996E-2</v>
      </c>
      <c r="K283" s="118"/>
      <c r="L283" s="111">
        <v>1</v>
      </c>
      <c r="M283" s="117">
        <f t="shared" si="144"/>
        <v>8.3199999999999996E-2</v>
      </c>
      <c r="N283" s="119">
        <f t="shared" si="145"/>
        <v>0</v>
      </c>
      <c r="O283" s="120">
        <f t="shared" si="146"/>
        <v>0</v>
      </c>
      <c r="P283" s="111"/>
      <c r="Q283" s="32"/>
      <c r="R283" s="32"/>
    </row>
    <row r="284" spans="1:18">
      <c r="A284" s="110" t="s">
        <v>473</v>
      </c>
      <c r="B284" s="111" t="s">
        <v>232</v>
      </c>
      <c r="C284" s="112" t="s">
        <v>449</v>
      </c>
      <c r="D284" s="113" t="s">
        <v>19</v>
      </c>
      <c r="E284" s="369" t="s">
        <v>14</v>
      </c>
      <c r="F284" s="369" t="s">
        <v>32</v>
      </c>
      <c r="G284" s="370">
        <v>8.32</v>
      </c>
      <c r="H284" s="125">
        <v>10.199999999999999</v>
      </c>
      <c r="I284" s="32">
        <v>34</v>
      </c>
      <c r="J284" s="117">
        <f t="shared" si="143"/>
        <v>2.8853759999999999</v>
      </c>
      <c r="K284" s="118"/>
      <c r="L284" s="111">
        <v>34</v>
      </c>
      <c r="M284" s="117">
        <f t="shared" si="144"/>
        <v>2.8853759999999999</v>
      </c>
      <c r="N284" s="119">
        <f t="shared" si="145"/>
        <v>0</v>
      </c>
      <c r="O284" s="120">
        <f t="shared" si="146"/>
        <v>0</v>
      </c>
      <c r="P284" s="111"/>
      <c r="Q284" s="32"/>
      <c r="R284" s="32"/>
    </row>
    <row r="285" spans="1:18">
      <c r="A285" s="110" t="s">
        <v>473</v>
      </c>
      <c r="B285" s="111" t="s">
        <v>232</v>
      </c>
      <c r="C285" s="112" t="s">
        <v>449</v>
      </c>
      <c r="D285" s="113" t="s">
        <v>19</v>
      </c>
      <c r="E285" s="369" t="s">
        <v>14</v>
      </c>
      <c r="F285" s="369" t="s">
        <v>32</v>
      </c>
      <c r="G285" s="370">
        <v>8.32</v>
      </c>
      <c r="H285" s="125">
        <v>11.35</v>
      </c>
      <c r="I285" s="32">
        <v>35</v>
      </c>
      <c r="J285" s="117">
        <f t="shared" si="143"/>
        <v>3.3051200000000001</v>
      </c>
      <c r="K285" s="118"/>
      <c r="L285" s="111">
        <v>35</v>
      </c>
      <c r="M285" s="117">
        <f t="shared" si="144"/>
        <v>3.3051200000000001</v>
      </c>
      <c r="N285" s="119">
        <f t="shared" si="145"/>
        <v>0</v>
      </c>
      <c r="O285" s="120">
        <f t="shared" si="146"/>
        <v>0</v>
      </c>
      <c r="P285" s="111"/>
      <c r="Q285" s="32"/>
      <c r="R285" s="32"/>
    </row>
    <row r="286" spans="1:18">
      <c r="A286" s="110" t="s">
        <v>473</v>
      </c>
      <c r="B286" s="111" t="s">
        <v>232</v>
      </c>
      <c r="C286" s="112" t="s">
        <v>449</v>
      </c>
      <c r="D286" s="113" t="s">
        <v>19</v>
      </c>
      <c r="E286" s="369" t="s">
        <v>14</v>
      </c>
      <c r="F286" s="369" t="s">
        <v>32</v>
      </c>
      <c r="G286" s="370">
        <v>8.32</v>
      </c>
      <c r="H286" s="125">
        <v>10.199999999999999</v>
      </c>
      <c r="I286" s="32">
        <v>35</v>
      </c>
      <c r="J286" s="117">
        <f t="shared" si="143"/>
        <v>2.97024</v>
      </c>
      <c r="K286" s="118"/>
      <c r="L286" s="111">
        <v>35</v>
      </c>
      <c r="M286" s="117">
        <f t="shared" si="144"/>
        <v>2.9702400000000004</v>
      </c>
      <c r="N286" s="119">
        <f t="shared" si="145"/>
        <v>0</v>
      </c>
      <c r="O286" s="120">
        <f t="shared" si="146"/>
        <v>0</v>
      </c>
      <c r="P286" s="111"/>
      <c r="Q286" s="32"/>
      <c r="R286" s="32"/>
    </row>
    <row r="287" spans="1:18">
      <c r="A287" s="110" t="s">
        <v>473</v>
      </c>
      <c r="B287" s="111" t="s">
        <v>232</v>
      </c>
      <c r="C287" s="112" t="s">
        <v>449</v>
      </c>
      <c r="D287" s="113" t="s">
        <v>19</v>
      </c>
      <c r="E287" s="369" t="s">
        <v>14</v>
      </c>
      <c r="F287" s="369" t="s">
        <v>32</v>
      </c>
      <c r="G287" s="370">
        <v>8.32</v>
      </c>
      <c r="H287" s="125">
        <v>10.199999999999999</v>
      </c>
      <c r="I287" s="358">
        <v>35</v>
      </c>
      <c r="J287" s="117">
        <f t="shared" ref="J287:J294" si="147">H287*G287*I287/1000</f>
        <v>2.97024</v>
      </c>
      <c r="K287" s="118"/>
      <c r="L287" s="111">
        <v>35</v>
      </c>
      <c r="M287" s="117">
        <f t="shared" ref="M287:M294" si="148">H287*L287*G287/1000</f>
        <v>2.9702400000000004</v>
      </c>
      <c r="N287" s="119">
        <f t="shared" ref="N287:N294" si="149">I287-L287</f>
        <v>0</v>
      </c>
      <c r="O287" s="120">
        <f t="shared" ref="O287:O294" si="150">H287*N287*G287/1000</f>
        <v>0</v>
      </c>
      <c r="P287" s="111"/>
      <c r="Q287" s="32"/>
      <c r="R287" s="32"/>
    </row>
    <row r="288" spans="1:18">
      <c r="A288" s="110" t="s">
        <v>473</v>
      </c>
      <c r="B288" s="111" t="s">
        <v>232</v>
      </c>
      <c r="C288" s="112" t="s">
        <v>449</v>
      </c>
      <c r="D288" s="113" t="s">
        <v>19</v>
      </c>
      <c r="E288" s="369" t="s">
        <v>14</v>
      </c>
      <c r="F288" s="369" t="s">
        <v>32</v>
      </c>
      <c r="G288" s="370">
        <v>8.32</v>
      </c>
      <c r="H288" s="125">
        <v>10.199999999999999</v>
      </c>
      <c r="I288" s="358">
        <v>35</v>
      </c>
      <c r="J288" s="117">
        <f t="shared" si="147"/>
        <v>2.97024</v>
      </c>
      <c r="K288" s="118"/>
      <c r="L288" s="111">
        <v>35</v>
      </c>
      <c r="M288" s="117">
        <f t="shared" si="148"/>
        <v>2.9702400000000004</v>
      </c>
      <c r="N288" s="119">
        <f t="shared" si="149"/>
        <v>0</v>
      </c>
      <c r="O288" s="120">
        <f t="shared" si="150"/>
        <v>0</v>
      </c>
      <c r="P288" s="111"/>
      <c r="Q288" s="32"/>
      <c r="R288" s="32"/>
    </row>
    <row r="289" spans="1:18">
      <c r="A289" s="110" t="s">
        <v>473</v>
      </c>
      <c r="B289" s="111" t="s">
        <v>232</v>
      </c>
      <c r="C289" s="112" t="s">
        <v>449</v>
      </c>
      <c r="D289" s="113" t="s">
        <v>19</v>
      </c>
      <c r="E289" s="369" t="s">
        <v>14</v>
      </c>
      <c r="F289" s="369" t="s">
        <v>32</v>
      </c>
      <c r="G289" s="370">
        <v>8.32</v>
      </c>
      <c r="H289" s="125">
        <v>10.199999999999999</v>
      </c>
      <c r="I289" s="358">
        <v>35</v>
      </c>
      <c r="J289" s="117">
        <f t="shared" si="147"/>
        <v>2.97024</v>
      </c>
      <c r="K289" s="118"/>
      <c r="L289" s="111">
        <v>35</v>
      </c>
      <c r="M289" s="117">
        <f t="shared" si="148"/>
        <v>2.9702400000000004</v>
      </c>
      <c r="N289" s="119">
        <f t="shared" si="149"/>
        <v>0</v>
      </c>
      <c r="O289" s="120">
        <f t="shared" si="150"/>
        <v>0</v>
      </c>
      <c r="P289" s="111"/>
      <c r="Q289" s="32"/>
      <c r="R289" s="32"/>
    </row>
    <row r="290" spans="1:18">
      <c r="A290" s="110" t="s">
        <v>473</v>
      </c>
      <c r="B290" s="111" t="s">
        <v>232</v>
      </c>
      <c r="C290" s="112" t="s">
        <v>449</v>
      </c>
      <c r="D290" s="113" t="s">
        <v>19</v>
      </c>
      <c r="E290" s="369" t="s">
        <v>14</v>
      </c>
      <c r="F290" s="369" t="s">
        <v>32</v>
      </c>
      <c r="G290" s="370">
        <v>8.32</v>
      </c>
      <c r="H290" s="125">
        <v>10.199999999999999</v>
      </c>
      <c r="I290" s="358">
        <v>35</v>
      </c>
      <c r="J290" s="117">
        <f t="shared" si="147"/>
        <v>2.97024</v>
      </c>
      <c r="K290" s="118"/>
      <c r="L290" s="111">
        <v>35</v>
      </c>
      <c r="M290" s="117">
        <f t="shared" si="148"/>
        <v>2.9702400000000004</v>
      </c>
      <c r="N290" s="119">
        <f t="shared" si="149"/>
        <v>0</v>
      </c>
      <c r="O290" s="120">
        <f t="shared" si="150"/>
        <v>0</v>
      </c>
      <c r="P290" s="111"/>
      <c r="Q290" s="32"/>
      <c r="R290" s="32"/>
    </row>
    <row r="291" spans="1:18">
      <c r="A291" s="110" t="s">
        <v>473</v>
      </c>
      <c r="B291" s="111" t="s">
        <v>232</v>
      </c>
      <c r="C291" s="112" t="s">
        <v>449</v>
      </c>
      <c r="D291" s="113" t="s">
        <v>19</v>
      </c>
      <c r="E291" s="369" t="s">
        <v>14</v>
      </c>
      <c r="F291" s="369" t="s">
        <v>32</v>
      </c>
      <c r="G291" s="370">
        <v>8.32</v>
      </c>
      <c r="H291" s="125">
        <v>10.199999999999999</v>
      </c>
      <c r="I291" s="358">
        <v>35</v>
      </c>
      <c r="J291" s="117">
        <f t="shared" si="147"/>
        <v>2.97024</v>
      </c>
      <c r="K291" s="118"/>
      <c r="L291" s="111">
        <v>35</v>
      </c>
      <c r="M291" s="117">
        <f t="shared" si="148"/>
        <v>2.9702400000000004</v>
      </c>
      <c r="N291" s="119">
        <f t="shared" si="149"/>
        <v>0</v>
      </c>
      <c r="O291" s="120">
        <f t="shared" si="150"/>
        <v>0</v>
      </c>
      <c r="P291" s="111"/>
      <c r="Q291" s="32"/>
      <c r="R291" s="32"/>
    </row>
    <row r="292" spans="1:18">
      <c r="A292" s="110" t="s">
        <v>473</v>
      </c>
      <c r="B292" s="111" t="s">
        <v>232</v>
      </c>
      <c r="C292" s="112" t="s">
        <v>449</v>
      </c>
      <c r="D292" s="113" t="s">
        <v>19</v>
      </c>
      <c r="E292" s="369" t="s">
        <v>14</v>
      </c>
      <c r="F292" s="369" t="s">
        <v>32</v>
      </c>
      <c r="G292" s="370">
        <v>8.32</v>
      </c>
      <c r="H292" s="125">
        <v>10.199999999999999</v>
      </c>
      <c r="I292" s="358">
        <v>35</v>
      </c>
      <c r="J292" s="117">
        <f t="shared" si="147"/>
        <v>2.97024</v>
      </c>
      <c r="K292" s="118"/>
      <c r="L292" s="111">
        <v>35</v>
      </c>
      <c r="M292" s="117">
        <f t="shared" si="148"/>
        <v>2.9702400000000004</v>
      </c>
      <c r="N292" s="119">
        <f t="shared" si="149"/>
        <v>0</v>
      </c>
      <c r="O292" s="120">
        <f t="shared" si="150"/>
        <v>0</v>
      </c>
      <c r="P292" s="111"/>
      <c r="Q292" s="32"/>
      <c r="R292" s="32"/>
    </row>
    <row r="293" spans="1:18">
      <c r="A293" s="110" t="s">
        <v>473</v>
      </c>
      <c r="B293" s="111" t="s">
        <v>232</v>
      </c>
      <c r="C293" s="112" t="s">
        <v>449</v>
      </c>
      <c r="D293" s="113" t="s">
        <v>19</v>
      </c>
      <c r="E293" s="369" t="s">
        <v>14</v>
      </c>
      <c r="F293" s="369" t="s">
        <v>32</v>
      </c>
      <c r="G293" s="370">
        <v>8.32</v>
      </c>
      <c r="H293" s="125">
        <v>10.199999999999999</v>
      </c>
      <c r="I293" s="358">
        <v>35</v>
      </c>
      <c r="J293" s="117">
        <f t="shared" si="147"/>
        <v>2.97024</v>
      </c>
      <c r="K293" s="118"/>
      <c r="L293" s="111">
        <v>35</v>
      </c>
      <c r="M293" s="117">
        <f t="shared" si="148"/>
        <v>2.9702400000000004</v>
      </c>
      <c r="N293" s="119">
        <f t="shared" si="149"/>
        <v>0</v>
      </c>
      <c r="O293" s="120">
        <f t="shared" si="150"/>
        <v>0</v>
      </c>
      <c r="P293" s="111"/>
      <c r="Q293" s="32"/>
      <c r="R293" s="32"/>
    </row>
    <row r="294" spans="1:18">
      <c r="A294" s="110" t="s">
        <v>473</v>
      </c>
      <c r="B294" s="111" t="s">
        <v>232</v>
      </c>
      <c r="C294" s="112" t="s">
        <v>449</v>
      </c>
      <c r="D294" s="113" t="s">
        <v>19</v>
      </c>
      <c r="E294" s="369" t="s">
        <v>14</v>
      </c>
      <c r="F294" s="369" t="s">
        <v>32</v>
      </c>
      <c r="G294" s="370">
        <v>8.32</v>
      </c>
      <c r="H294" s="125">
        <v>11.35</v>
      </c>
      <c r="I294" s="358">
        <v>30</v>
      </c>
      <c r="J294" s="117">
        <f t="shared" si="147"/>
        <v>2.8329599999999999</v>
      </c>
      <c r="K294" s="118"/>
      <c r="L294" s="111">
        <v>30</v>
      </c>
      <c r="M294" s="117">
        <f t="shared" si="148"/>
        <v>2.8329599999999999</v>
      </c>
      <c r="N294" s="119">
        <f t="shared" si="149"/>
        <v>0</v>
      </c>
      <c r="O294" s="120">
        <f t="shared" si="150"/>
        <v>0</v>
      </c>
      <c r="P294" s="111"/>
      <c r="Q294" s="32"/>
      <c r="R294" s="32"/>
    </row>
    <row r="295" spans="1:18">
      <c r="A295" s="110" t="s">
        <v>473</v>
      </c>
      <c r="B295" s="111" t="s">
        <v>232</v>
      </c>
      <c r="C295" s="112" t="s">
        <v>449</v>
      </c>
      <c r="D295" s="113" t="s">
        <v>19</v>
      </c>
      <c r="E295" s="369" t="s">
        <v>14</v>
      </c>
      <c r="F295" s="369" t="s">
        <v>32</v>
      </c>
      <c r="G295" s="370">
        <v>8.32</v>
      </c>
      <c r="H295" s="125">
        <v>10.199999999999999</v>
      </c>
      <c r="I295" s="358">
        <v>35</v>
      </c>
      <c r="J295" s="117">
        <f t="shared" ref="J295:J315" si="151">H295*G295*I295/1000</f>
        <v>2.97024</v>
      </c>
      <c r="K295" s="118"/>
      <c r="L295" s="111">
        <v>35</v>
      </c>
      <c r="M295" s="117">
        <f t="shared" ref="M295:M315" si="152">H295*L295*G295/1000</f>
        <v>2.9702400000000004</v>
      </c>
      <c r="N295" s="119">
        <f t="shared" ref="N295:N315" si="153">I295-L295</f>
        <v>0</v>
      </c>
      <c r="O295" s="120">
        <f t="shared" ref="O295:O315" si="154">H295*N295*G295/1000</f>
        <v>0</v>
      </c>
      <c r="P295" s="111"/>
      <c r="Q295" s="32"/>
      <c r="R295" s="32"/>
    </row>
    <row r="296" spans="1:18">
      <c r="A296" s="110" t="s">
        <v>473</v>
      </c>
      <c r="B296" s="111" t="s">
        <v>232</v>
      </c>
      <c r="C296" s="112" t="s">
        <v>449</v>
      </c>
      <c r="D296" s="113" t="s">
        <v>19</v>
      </c>
      <c r="E296" s="369" t="s">
        <v>14</v>
      </c>
      <c r="F296" s="369" t="s">
        <v>32</v>
      </c>
      <c r="G296" s="370">
        <v>8.32</v>
      </c>
      <c r="H296" s="125">
        <v>11.35</v>
      </c>
      <c r="I296" s="358">
        <v>35</v>
      </c>
      <c r="J296" s="117">
        <f t="shared" si="151"/>
        <v>3.3051200000000001</v>
      </c>
      <c r="K296" s="118"/>
      <c r="L296" s="111">
        <v>35</v>
      </c>
      <c r="M296" s="117">
        <f t="shared" si="152"/>
        <v>3.3051200000000001</v>
      </c>
      <c r="N296" s="119">
        <f t="shared" si="153"/>
        <v>0</v>
      </c>
      <c r="O296" s="120">
        <f t="shared" si="154"/>
        <v>0</v>
      </c>
      <c r="P296" s="111"/>
      <c r="Q296" s="32"/>
      <c r="R296" s="32"/>
    </row>
    <row r="297" spans="1:18">
      <c r="A297" s="110" t="s">
        <v>473</v>
      </c>
      <c r="B297" s="111" t="s">
        <v>232</v>
      </c>
      <c r="C297" s="112" t="s">
        <v>449</v>
      </c>
      <c r="D297" s="113" t="s">
        <v>19</v>
      </c>
      <c r="E297" s="369" t="s">
        <v>14</v>
      </c>
      <c r="F297" s="369" t="s">
        <v>32</v>
      </c>
      <c r="G297" s="370">
        <v>8.32</v>
      </c>
      <c r="H297" s="125">
        <v>10.199999999999999</v>
      </c>
      <c r="I297" s="358">
        <v>35</v>
      </c>
      <c r="J297" s="117">
        <f t="shared" si="151"/>
        <v>2.97024</v>
      </c>
      <c r="K297" s="118"/>
      <c r="L297" s="111">
        <v>35</v>
      </c>
      <c r="M297" s="117">
        <f t="shared" si="152"/>
        <v>2.9702400000000004</v>
      </c>
      <c r="N297" s="119">
        <f t="shared" si="153"/>
        <v>0</v>
      </c>
      <c r="O297" s="120">
        <f t="shared" si="154"/>
        <v>0</v>
      </c>
      <c r="P297" s="111"/>
      <c r="Q297" s="32"/>
      <c r="R297" s="32"/>
    </row>
    <row r="298" spans="1:18">
      <c r="A298" s="110" t="s">
        <v>473</v>
      </c>
      <c r="B298" s="111" t="s">
        <v>232</v>
      </c>
      <c r="C298" s="112" t="s">
        <v>449</v>
      </c>
      <c r="D298" s="113" t="s">
        <v>19</v>
      </c>
      <c r="E298" s="369" t="s">
        <v>14</v>
      </c>
      <c r="F298" s="369" t="s">
        <v>32</v>
      </c>
      <c r="G298" s="370">
        <v>8.32</v>
      </c>
      <c r="H298" s="125">
        <v>10.199999999999999</v>
      </c>
      <c r="I298" s="358">
        <v>35</v>
      </c>
      <c r="J298" s="117">
        <f t="shared" si="151"/>
        <v>2.97024</v>
      </c>
      <c r="K298" s="118"/>
      <c r="L298" s="111">
        <v>35</v>
      </c>
      <c r="M298" s="117">
        <f t="shared" si="152"/>
        <v>2.9702400000000004</v>
      </c>
      <c r="N298" s="119">
        <f t="shared" si="153"/>
        <v>0</v>
      </c>
      <c r="O298" s="120">
        <f t="shared" si="154"/>
        <v>0</v>
      </c>
      <c r="P298" s="111"/>
      <c r="Q298" s="32"/>
      <c r="R298" s="32"/>
    </row>
    <row r="299" spans="1:18">
      <c r="A299" s="110" t="s">
        <v>473</v>
      </c>
      <c r="B299" s="111" t="s">
        <v>232</v>
      </c>
      <c r="C299" s="112" t="s">
        <v>449</v>
      </c>
      <c r="D299" s="113" t="s">
        <v>19</v>
      </c>
      <c r="E299" s="369" t="s">
        <v>14</v>
      </c>
      <c r="F299" s="369" t="s">
        <v>32</v>
      </c>
      <c r="G299" s="370">
        <v>8.32</v>
      </c>
      <c r="H299" s="125">
        <v>10.199999999999999</v>
      </c>
      <c r="I299" s="358">
        <v>35</v>
      </c>
      <c r="J299" s="117">
        <f t="shared" si="151"/>
        <v>2.97024</v>
      </c>
      <c r="K299" s="118"/>
      <c r="L299" s="111">
        <v>35</v>
      </c>
      <c r="M299" s="117">
        <f t="shared" si="152"/>
        <v>2.9702400000000004</v>
      </c>
      <c r="N299" s="119">
        <f t="shared" si="153"/>
        <v>0</v>
      </c>
      <c r="O299" s="120">
        <f t="shared" si="154"/>
        <v>0</v>
      </c>
      <c r="P299" s="111"/>
      <c r="Q299" s="32"/>
      <c r="R299" s="32"/>
    </row>
    <row r="300" spans="1:18" s="213" customFormat="1">
      <c r="A300" s="110" t="s">
        <v>473</v>
      </c>
      <c r="B300" s="111" t="s">
        <v>232</v>
      </c>
      <c r="C300" s="112" t="s">
        <v>449</v>
      </c>
      <c r="D300" s="113" t="s">
        <v>19</v>
      </c>
      <c r="E300" s="369" t="s">
        <v>14</v>
      </c>
      <c r="F300" s="369" t="s">
        <v>32</v>
      </c>
      <c r="G300" s="370">
        <v>8.32</v>
      </c>
      <c r="H300" s="125">
        <v>10.199999999999999</v>
      </c>
      <c r="I300" s="358">
        <v>35</v>
      </c>
      <c r="J300" s="117">
        <f t="shared" si="151"/>
        <v>2.97024</v>
      </c>
      <c r="K300" s="118"/>
      <c r="L300" s="111">
        <v>35</v>
      </c>
      <c r="M300" s="117">
        <f t="shared" si="152"/>
        <v>2.9702400000000004</v>
      </c>
      <c r="N300" s="119">
        <f t="shared" si="153"/>
        <v>0</v>
      </c>
      <c r="O300" s="120">
        <f t="shared" si="154"/>
        <v>0</v>
      </c>
      <c r="P300" s="111"/>
      <c r="Q300" s="32"/>
      <c r="R300" s="32"/>
    </row>
    <row r="301" spans="1:18">
      <c r="A301" s="110" t="s">
        <v>473</v>
      </c>
      <c r="B301" s="111" t="s">
        <v>232</v>
      </c>
      <c r="C301" s="112" t="s">
        <v>449</v>
      </c>
      <c r="D301" s="113" t="s">
        <v>19</v>
      </c>
      <c r="E301" s="369" t="s">
        <v>14</v>
      </c>
      <c r="F301" s="369" t="s">
        <v>32</v>
      </c>
      <c r="G301" s="370">
        <v>8.32</v>
      </c>
      <c r="H301" s="125">
        <v>11.35</v>
      </c>
      <c r="I301" s="358">
        <v>35</v>
      </c>
      <c r="J301" s="117">
        <f t="shared" si="151"/>
        <v>3.3051200000000001</v>
      </c>
      <c r="K301" s="118"/>
      <c r="L301" s="111">
        <f>23+12</f>
        <v>35</v>
      </c>
      <c r="M301" s="117">
        <f t="shared" si="152"/>
        <v>3.3051200000000001</v>
      </c>
      <c r="N301" s="119">
        <f t="shared" si="153"/>
        <v>0</v>
      </c>
      <c r="O301" s="120">
        <f t="shared" si="154"/>
        <v>0</v>
      </c>
      <c r="P301" s="111">
        <v>10.199999999999999</v>
      </c>
      <c r="Q301" s="32">
        <v>12</v>
      </c>
      <c r="R301" s="32"/>
    </row>
    <row r="302" spans="1:18">
      <c r="A302" s="110" t="s">
        <v>473</v>
      </c>
      <c r="B302" s="111" t="s">
        <v>232</v>
      </c>
      <c r="C302" s="112" t="s">
        <v>449</v>
      </c>
      <c r="D302" s="113" t="s">
        <v>19</v>
      </c>
      <c r="E302" s="369" t="s">
        <v>14</v>
      </c>
      <c r="F302" s="369" t="s">
        <v>32</v>
      </c>
      <c r="G302" s="370">
        <v>8.32</v>
      </c>
      <c r="H302" s="125">
        <v>10.199999999999999</v>
      </c>
      <c r="I302" s="358">
        <v>36</v>
      </c>
      <c r="J302" s="117">
        <f t="shared" si="151"/>
        <v>3.0551039999999996</v>
      </c>
      <c r="K302" s="118"/>
      <c r="L302" s="111">
        <v>36</v>
      </c>
      <c r="M302" s="117">
        <f t="shared" si="152"/>
        <v>3.0551039999999996</v>
      </c>
      <c r="N302" s="119">
        <f t="shared" si="153"/>
        <v>0</v>
      </c>
      <c r="O302" s="120">
        <f t="shared" si="154"/>
        <v>0</v>
      </c>
      <c r="P302" s="111"/>
      <c r="Q302" s="32"/>
      <c r="R302" s="32"/>
    </row>
    <row r="303" spans="1:18">
      <c r="A303" s="110" t="s">
        <v>473</v>
      </c>
      <c r="B303" s="111" t="s">
        <v>232</v>
      </c>
      <c r="C303" s="112" t="s">
        <v>449</v>
      </c>
      <c r="D303" s="113" t="s">
        <v>19</v>
      </c>
      <c r="E303" s="369" t="s">
        <v>14</v>
      </c>
      <c r="F303" s="369" t="s">
        <v>32</v>
      </c>
      <c r="G303" s="370">
        <v>8.32</v>
      </c>
      <c r="H303" s="125">
        <v>10.5</v>
      </c>
      <c r="I303" s="358">
        <v>1</v>
      </c>
      <c r="J303" s="117">
        <f t="shared" si="151"/>
        <v>8.7359999999999993E-2</v>
      </c>
      <c r="K303" s="118"/>
      <c r="L303" s="111">
        <v>1</v>
      </c>
      <c r="M303" s="117">
        <f t="shared" si="152"/>
        <v>8.7359999999999993E-2</v>
      </c>
      <c r="N303" s="119">
        <f t="shared" si="153"/>
        <v>0</v>
      </c>
      <c r="O303" s="120">
        <f t="shared" si="154"/>
        <v>0</v>
      </c>
      <c r="P303" s="111"/>
      <c r="Q303" s="32"/>
      <c r="R303" s="32"/>
    </row>
    <row r="304" spans="1:18">
      <c r="A304" s="110" t="s">
        <v>473</v>
      </c>
      <c r="B304" s="111" t="s">
        <v>232</v>
      </c>
      <c r="C304" s="112" t="s">
        <v>449</v>
      </c>
      <c r="D304" s="113" t="s">
        <v>19</v>
      </c>
      <c r="E304" s="369" t="s">
        <v>14</v>
      </c>
      <c r="F304" s="369" t="s">
        <v>32</v>
      </c>
      <c r="G304" s="370">
        <v>8.32</v>
      </c>
      <c r="H304" s="125">
        <v>10</v>
      </c>
      <c r="I304" s="358">
        <v>1</v>
      </c>
      <c r="J304" s="117">
        <f t="shared" si="151"/>
        <v>8.3199999999999996E-2</v>
      </c>
      <c r="K304" s="118"/>
      <c r="L304" s="111">
        <v>1</v>
      </c>
      <c r="M304" s="117">
        <f t="shared" si="152"/>
        <v>8.3199999999999996E-2</v>
      </c>
      <c r="N304" s="119">
        <f t="shared" si="153"/>
        <v>0</v>
      </c>
      <c r="O304" s="120">
        <f t="shared" si="154"/>
        <v>0</v>
      </c>
      <c r="P304" s="111">
        <v>8.35</v>
      </c>
      <c r="Q304" s="45">
        <v>1</v>
      </c>
      <c r="R304" s="32" t="s">
        <v>631</v>
      </c>
    </row>
    <row r="305" spans="1:18">
      <c r="A305" s="110" t="s">
        <v>473</v>
      </c>
      <c r="B305" s="111" t="s">
        <v>232</v>
      </c>
      <c r="C305" s="112" t="s">
        <v>449</v>
      </c>
      <c r="D305" s="113" t="s">
        <v>19</v>
      </c>
      <c r="E305" s="369" t="s">
        <v>14</v>
      </c>
      <c r="F305" s="369" t="s">
        <v>32</v>
      </c>
      <c r="G305" s="370">
        <v>8.32</v>
      </c>
      <c r="H305" s="125">
        <v>10.199999999999999</v>
      </c>
      <c r="I305" s="358">
        <v>6</v>
      </c>
      <c r="J305" s="117">
        <f t="shared" si="151"/>
        <v>0.50918399999999997</v>
      </c>
      <c r="K305" s="118"/>
      <c r="L305" s="111">
        <v>6</v>
      </c>
      <c r="M305" s="117">
        <f t="shared" si="152"/>
        <v>0.50918399999999997</v>
      </c>
      <c r="N305" s="119">
        <f t="shared" si="153"/>
        <v>0</v>
      </c>
      <c r="O305" s="120">
        <f t="shared" si="154"/>
        <v>0</v>
      </c>
      <c r="P305" s="111"/>
      <c r="Q305" s="32"/>
      <c r="R305" s="32"/>
    </row>
    <row r="306" spans="1:18">
      <c r="A306" s="110" t="s">
        <v>473</v>
      </c>
      <c r="B306" s="111" t="s">
        <v>232</v>
      </c>
      <c r="C306" s="112" t="s">
        <v>449</v>
      </c>
      <c r="D306" s="113" t="s">
        <v>19</v>
      </c>
      <c r="E306" s="369" t="s">
        <v>14</v>
      </c>
      <c r="F306" s="369" t="s">
        <v>32</v>
      </c>
      <c r="G306" s="370">
        <v>8.32</v>
      </c>
      <c r="H306" s="125">
        <v>11.35</v>
      </c>
      <c r="I306" s="358">
        <v>7</v>
      </c>
      <c r="J306" s="117">
        <f t="shared" si="151"/>
        <v>0.66102400000000006</v>
      </c>
      <c r="K306" s="118"/>
      <c r="L306" s="111">
        <v>7</v>
      </c>
      <c r="M306" s="117">
        <f t="shared" si="152"/>
        <v>0.66102400000000006</v>
      </c>
      <c r="N306" s="119">
        <f t="shared" si="153"/>
        <v>0</v>
      </c>
      <c r="O306" s="120">
        <f t="shared" si="154"/>
        <v>0</v>
      </c>
      <c r="P306" s="111">
        <v>10.199999999999999</v>
      </c>
      <c r="Q306" s="32">
        <v>7</v>
      </c>
      <c r="R306" s="32"/>
    </row>
    <row r="307" spans="1:18">
      <c r="A307" s="110" t="s">
        <v>473</v>
      </c>
      <c r="B307" s="111" t="s">
        <v>232</v>
      </c>
      <c r="C307" s="112" t="s">
        <v>449</v>
      </c>
      <c r="D307" s="113" t="s">
        <v>19</v>
      </c>
      <c r="E307" s="369" t="s">
        <v>14</v>
      </c>
      <c r="F307" s="369" t="s">
        <v>32</v>
      </c>
      <c r="G307" s="370">
        <v>8.32</v>
      </c>
      <c r="H307" s="125">
        <v>8.5</v>
      </c>
      <c r="I307" s="358">
        <v>1</v>
      </c>
      <c r="J307" s="117">
        <f t="shared" si="151"/>
        <v>7.0720000000000005E-2</v>
      </c>
      <c r="K307" s="118"/>
      <c r="L307" s="111">
        <v>1</v>
      </c>
      <c r="M307" s="117">
        <f t="shared" si="152"/>
        <v>7.0720000000000005E-2</v>
      </c>
      <c r="N307" s="119">
        <f t="shared" si="153"/>
        <v>0</v>
      </c>
      <c r="O307" s="120">
        <f t="shared" si="154"/>
        <v>0</v>
      </c>
      <c r="P307" s="111">
        <v>8.35</v>
      </c>
      <c r="Q307" s="45">
        <v>1</v>
      </c>
      <c r="R307" s="32" t="s">
        <v>631</v>
      </c>
    </row>
    <row r="308" spans="1:18">
      <c r="A308" s="110" t="s">
        <v>473</v>
      </c>
      <c r="B308" s="111" t="s">
        <v>232</v>
      </c>
      <c r="C308" s="112" t="s">
        <v>449</v>
      </c>
      <c r="D308" s="113" t="s">
        <v>19</v>
      </c>
      <c r="E308" s="369" t="s">
        <v>14</v>
      </c>
      <c r="F308" s="369" t="s">
        <v>32</v>
      </c>
      <c r="G308" s="370">
        <v>8.32</v>
      </c>
      <c r="H308" s="125">
        <v>8.75</v>
      </c>
      <c r="I308" s="358">
        <v>1</v>
      </c>
      <c r="J308" s="117">
        <f t="shared" si="151"/>
        <v>7.2800000000000004E-2</v>
      </c>
      <c r="K308" s="118"/>
      <c r="L308" s="111">
        <v>1</v>
      </c>
      <c r="M308" s="117">
        <f t="shared" si="152"/>
        <v>7.2800000000000004E-2</v>
      </c>
      <c r="N308" s="119">
        <f t="shared" si="153"/>
        <v>0</v>
      </c>
      <c r="O308" s="120">
        <f t="shared" si="154"/>
        <v>0</v>
      </c>
      <c r="P308" s="111">
        <v>8.35</v>
      </c>
      <c r="Q308" s="45">
        <v>1</v>
      </c>
      <c r="R308" s="32" t="s">
        <v>631</v>
      </c>
    </row>
    <row r="309" spans="1:18">
      <c r="A309" s="110" t="s">
        <v>473</v>
      </c>
      <c r="B309" s="111" t="s">
        <v>232</v>
      </c>
      <c r="C309" s="112" t="s">
        <v>449</v>
      </c>
      <c r="D309" s="113" t="s">
        <v>19</v>
      </c>
      <c r="E309" s="369" t="s">
        <v>14</v>
      </c>
      <c r="F309" s="369" t="s">
        <v>32</v>
      </c>
      <c r="G309" s="370">
        <v>8.32</v>
      </c>
      <c r="H309" s="125">
        <v>9</v>
      </c>
      <c r="I309" s="358">
        <v>2</v>
      </c>
      <c r="J309" s="117">
        <f t="shared" si="151"/>
        <v>0.14976</v>
      </c>
      <c r="K309" s="118"/>
      <c r="L309" s="111">
        <v>2</v>
      </c>
      <c r="M309" s="117">
        <f t="shared" si="152"/>
        <v>0.14976</v>
      </c>
      <c r="N309" s="119">
        <f t="shared" si="153"/>
        <v>0</v>
      </c>
      <c r="O309" s="120">
        <f t="shared" si="154"/>
        <v>0</v>
      </c>
      <c r="P309" s="111">
        <v>8.35</v>
      </c>
      <c r="Q309" s="45">
        <v>2</v>
      </c>
      <c r="R309" s="32" t="s">
        <v>631</v>
      </c>
    </row>
    <row r="310" spans="1:18">
      <c r="A310" s="110" t="s">
        <v>473</v>
      </c>
      <c r="B310" s="111" t="s">
        <v>232</v>
      </c>
      <c r="C310" s="112" t="s">
        <v>449</v>
      </c>
      <c r="D310" s="113" t="s">
        <v>19</v>
      </c>
      <c r="E310" s="369" t="s">
        <v>14</v>
      </c>
      <c r="F310" s="369" t="s">
        <v>32</v>
      </c>
      <c r="G310" s="370">
        <v>8.32</v>
      </c>
      <c r="H310" s="125">
        <v>9.25</v>
      </c>
      <c r="I310" s="358">
        <v>1</v>
      </c>
      <c r="J310" s="117">
        <f t="shared" si="151"/>
        <v>7.6960000000000015E-2</v>
      </c>
      <c r="K310" s="118"/>
      <c r="L310" s="111">
        <v>1</v>
      </c>
      <c r="M310" s="117">
        <f t="shared" si="152"/>
        <v>7.6960000000000015E-2</v>
      </c>
      <c r="N310" s="119">
        <f t="shared" si="153"/>
        <v>0</v>
      </c>
      <c r="O310" s="120">
        <f t="shared" si="154"/>
        <v>0</v>
      </c>
      <c r="P310" s="111">
        <v>8.35</v>
      </c>
      <c r="Q310" s="45">
        <v>1</v>
      </c>
      <c r="R310" s="32" t="s">
        <v>631</v>
      </c>
    </row>
    <row r="311" spans="1:18">
      <c r="A311" s="110" t="s">
        <v>473</v>
      </c>
      <c r="B311" s="111" t="s">
        <v>232</v>
      </c>
      <c r="C311" s="112" t="s">
        <v>449</v>
      </c>
      <c r="D311" s="113" t="s">
        <v>19</v>
      </c>
      <c r="E311" s="369" t="s">
        <v>14</v>
      </c>
      <c r="F311" s="369" t="s">
        <v>32</v>
      </c>
      <c r="G311" s="370">
        <v>8.32</v>
      </c>
      <c r="H311" s="125">
        <v>9.5</v>
      </c>
      <c r="I311" s="358">
        <v>1</v>
      </c>
      <c r="J311" s="117">
        <f t="shared" si="151"/>
        <v>7.9040000000000013E-2</v>
      </c>
      <c r="K311" s="118"/>
      <c r="L311" s="111">
        <v>1</v>
      </c>
      <c r="M311" s="117">
        <f t="shared" si="152"/>
        <v>7.9040000000000013E-2</v>
      </c>
      <c r="N311" s="119">
        <f t="shared" si="153"/>
        <v>0</v>
      </c>
      <c r="O311" s="120">
        <f t="shared" si="154"/>
        <v>0</v>
      </c>
      <c r="P311" s="111"/>
      <c r="Q311" s="32"/>
      <c r="R311" s="32"/>
    </row>
    <row r="312" spans="1:18">
      <c r="A312" s="110" t="s">
        <v>473</v>
      </c>
      <c r="B312" s="111" t="s">
        <v>232</v>
      </c>
      <c r="C312" s="112" t="s">
        <v>449</v>
      </c>
      <c r="D312" s="113" t="s">
        <v>19</v>
      </c>
      <c r="E312" s="369" t="s">
        <v>14</v>
      </c>
      <c r="F312" s="369" t="s">
        <v>32</v>
      </c>
      <c r="G312" s="370">
        <v>8.32</v>
      </c>
      <c r="H312" s="125">
        <v>9.6</v>
      </c>
      <c r="I312" s="358">
        <v>3</v>
      </c>
      <c r="J312" s="117">
        <f t="shared" si="151"/>
        <v>0.239616</v>
      </c>
      <c r="K312" s="118"/>
      <c r="L312" s="111">
        <v>3</v>
      </c>
      <c r="M312" s="117">
        <f t="shared" si="152"/>
        <v>0.239616</v>
      </c>
      <c r="N312" s="119">
        <f t="shared" si="153"/>
        <v>0</v>
      </c>
      <c r="O312" s="120">
        <f t="shared" si="154"/>
        <v>0</v>
      </c>
      <c r="P312" s="111"/>
      <c r="Q312" s="32"/>
      <c r="R312" s="32"/>
    </row>
    <row r="313" spans="1:18">
      <c r="A313" s="110" t="s">
        <v>473</v>
      </c>
      <c r="B313" s="111" t="s">
        <v>232</v>
      </c>
      <c r="C313" s="112" t="s">
        <v>449</v>
      </c>
      <c r="D313" s="113" t="s">
        <v>19</v>
      </c>
      <c r="E313" s="369" t="s">
        <v>14</v>
      </c>
      <c r="F313" s="369" t="s">
        <v>32</v>
      </c>
      <c r="G313" s="370">
        <v>8.32</v>
      </c>
      <c r="H313" s="125">
        <v>9.8000000000000007</v>
      </c>
      <c r="I313" s="358">
        <v>1</v>
      </c>
      <c r="J313" s="117">
        <f t="shared" si="151"/>
        <v>8.1536000000000011E-2</v>
      </c>
      <c r="K313" s="118"/>
      <c r="L313" s="111">
        <v>1</v>
      </c>
      <c r="M313" s="117">
        <f t="shared" si="152"/>
        <v>8.1536000000000011E-2</v>
      </c>
      <c r="N313" s="119">
        <f t="shared" si="153"/>
        <v>0</v>
      </c>
      <c r="O313" s="120">
        <f t="shared" si="154"/>
        <v>0</v>
      </c>
      <c r="P313" s="111"/>
      <c r="Q313" s="32"/>
      <c r="R313" s="32"/>
    </row>
    <row r="314" spans="1:18">
      <c r="A314" s="110" t="s">
        <v>473</v>
      </c>
      <c r="B314" s="111" t="s">
        <v>232</v>
      </c>
      <c r="C314" s="112" t="s">
        <v>449</v>
      </c>
      <c r="D314" s="113" t="s">
        <v>19</v>
      </c>
      <c r="E314" s="369" t="s">
        <v>14</v>
      </c>
      <c r="F314" s="369" t="s">
        <v>32</v>
      </c>
      <c r="G314" s="370">
        <v>8.32</v>
      </c>
      <c r="H314" s="125">
        <v>10.5</v>
      </c>
      <c r="I314" s="358">
        <v>1</v>
      </c>
      <c r="J314" s="117">
        <f t="shared" si="151"/>
        <v>8.7359999999999993E-2</v>
      </c>
      <c r="K314" s="118"/>
      <c r="L314" s="111">
        <v>1</v>
      </c>
      <c r="M314" s="117">
        <f t="shared" si="152"/>
        <v>8.7359999999999993E-2</v>
      </c>
      <c r="N314" s="119">
        <f t="shared" si="153"/>
        <v>0</v>
      </c>
      <c r="O314" s="120">
        <f t="shared" si="154"/>
        <v>0</v>
      </c>
      <c r="P314" s="111">
        <v>10.199999999999999</v>
      </c>
      <c r="Q314" s="32">
        <v>1</v>
      </c>
      <c r="R314" s="32"/>
    </row>
    <row r="315" spans="1:18">
      <c r="A315" s="110" t="s">
        <v>473</v>
      </c>
      <c r="B315" s="111" t="s">
        <v>232</v>
      </c>
      <c r="C315" s="112" t="s">
        <v>449</v>
      </c>
      <c r="D315" s="113" t="s">
        <v>19</v>
      </c>
      <c r="E315" s="369" t="s">
        <v>14</v>
      </c>
      <c r="F315" s="369" t="s">
        <v>32</v>
      </c>
      <c r="G315" s="370">
        <v>8.32</v>
      </c>
      <c r="H315" s="125">
        <v>10</v>
      </c>
      <c r="I315" s="358">
        <v>8</v>
      </c>
      <c r="J315" s="117">
        <f t="shared" si="151"/>
        <v>0.66559999999999997</v>
      </c>
      <c r="K315" s="118"/>
      <c r="L315" s="111">
        <v>8</v>
      </c>
      <c r="M315" s="117">
        <f t="shared" si="152"/>
        <v>0.66559999999999997</v>
      </c>
      <c r="N315" s="119">
        <f t="shared" si="153"/>
        <v>0</v>
      </c>
      <c r="O315" s="120">
        <f t="shared" si="154"/>
        <v>0</v>
      </c>
      <c r="P315" s="111"/>
      <c r="Q315" s="32"/>
      <c r="R315" s="32"/>
    </row>
    <row r="316" spans="1:18">
      <c r="A316" s="32"/>
      <c r="B316" s="32"/>
      <c r="C316" s="32"/>
      <c r="D316" s="32"/>
      <c r="E316" s="32"/>
      <c r="F316" s="32"/>
      <c r="G316" s="32"/>
      <c r="H316" s="32"/>
      <c r="I316" s="129">
        <f>SUM(I272:I315)</f>
        <v>927</v>
      </c>
      <c r="J316" s="124">
        <f>SUM(J272:J315)</f>
        <v>79.871167999999997</v>
      </c>
      <c r="K316" s="32"/>
      <c r="L316" s="129">
        <f>SUM(L272:L315)</f>
        <v>926</v>
      </c>
      <c r="M316" s="124">
        <f>SUM(M272:M315)</f>
        <v>79.804608000000059</v>
      </c>
      <c r="N316" s="129">
        <f>SUM(N272:N315)</f>
        <v>1</v>
      </c>
      <c r="O316" s="124">
        <f>SUM(O272:O315)</f>
        <v>6.6560000000000008E-2</v>
      </c>
      <c r="P316" s="32"/>
      <c r="Q316" s="32"/>
      <c r="R316" s="32"/>
    </row>
    <row r="319" spans="1:18">
      <c r="A319" s="110" t="s">
        <v>472</v>
      </c>
      <c r="B319" s="111" t="s">
        <v>227</v>
      </c>
      <c r="C319" s="112" t="s">
        <v>228</v>
      </c>
      <c r="D319" s="113" t="s">
        <v>20</v>
      </c>
      <c r="E319" s="369" t="s">
        <v>15</v>
      </c>
      <c r="F319" s="369" t="s">
        <v>21</v>
      </c>
      <c r="G319" s="370">
        <v>6.97</v>
      </c>
      <c r="H319" s="125">
        <v>9.5</v>
      </c>
      <c r="I319" s="358">
        <f>41+43+38+36+25</f>
        <v>183</v>
      </c>
      <c r="J319" s="117">
        <f t="shared" ref="J319" si="155">H319*G319*I319/1000</f>
        <v>12.117345000000002</v>
      </c>
      <c r="K319" s="118"/>
      <c r="L319" s="111">
        <v>183</v>
      </c>
      <c r="M319" s="117">
        <f t="shared" ref="M319" si="156">H319*L319*G319/1000</f>
        <v>12.117344999999998</v>
      </c>
      <c r="N319" s="119">
        <f t="shared" ref="N319" si="157">I319-L319</f>
        <v>0</v>
      </c>
      <c r="O319" s="120">
        <f t="shared" ref="O319" si="158">H319*N319*G319/1000</f>
        <v>0</v>
      </c>
      <c r="P319" s="111"/>
      <c r="Q319" s="32"/>
      <c r="R319" s="32"/>
    </row>
    <row r="320" spans="1:18">
      <c r="A320" s="110" t="s">
        <v>472</v>
      </c>
      <c r="B320" s="111" t="s">
        <v>227</v>
      </c>
      <c r="C320" s="112" t="s">
        <v>228</v>
      </c>
      <c r="D320" s="113" t="s">
        <v>20</v>
      </c>
      <c r="E320" s="369" t="s">
        <v>15</v>
      </c>
      <c r="F320" s="369" t="s">
        <v>21</v>
      </c>
      <c r="G320" s="370">
        <v>6.97</v>
      </c>
      <c r="H320" s="125">
        <v>10.5</v>
      </c>
      <c r="I320" s="358">
        <f>36+44+4+20</f>
        <v>104</v>
      </c>
      <c r="J320" s="117">
        <f t="shared" ref="J320:J334" si="159">H320*G320*I320/1000</f>
        <v>7.6112399999999996</v>
      </c>
      <c r="K320" s="118"/>
      <c r="L320" s="111">
        <f>90+14</f>
        <v>104</v>
      </c>
      <c r="M320" s="117">
        <f t="shared" ref="M320:M334" si="160">H320*L320*G320/1000</f>
        <v>7.6112399999999996</v>
      </c>
      <c r="N320" s="119">
        <f t="shared" ref="N320:N334" si="161">I320-L320</f>
        <v>0</v>
      </c>
      <c r="O320" s="120">
        <f t="shared" ref="O320:O334" si="162">H320*N320*G320/1000</f>
        <v>0</v>
      </c>
      <c r="P320" s="111">
        <v>9.5</v>
      </c>
      <c r="Q320" s="32">
        <v>14</v>
      </c>
      <c r="R320" s="32"/>
    </row>
    <row r="321" spans="1:20">
      <c r="A321" s="110" t="s">
        <v>472</v>
      </c>
      <c r="B321" s="111" t="s">
        <v>227</v>
      </c>
      <c r="C321" s="112" t="s">
        <v>228</v>
      </c>
      <c r="D321" s="113" t="s">
        <v>20</v>
      </c>
      <c r="E321" s="369" t="s">
        <v>15</v>
      </c>
      <c r="F321" s="369" t="s">
        <v>21</v>
      </c>
      <c r="G321" s="370">
        <v>6.97</v>
      </c>
      <c r="H321" s="125">
        <v>11.5</v>
      </c>
      <c r="I321" s="358">
        <f>36+36+35+36+36+35+36+17+36+35+35+35+16</f>
        <v>424</v>
      </c>
      <c r="J321" s="117">
        <f t="shared" si="159"/>
        <v>33.985720000000001</v>
      </c>
      <c r="K321" s="118"/>
      <c r="L321" s="111">
        <f>424+49</f>
        <v>473</v>
      </c>
      <c r="M321" s="117">
        <f t="shared" si="160"/>
        <v>37.913314999999997</v>
      </c>
      <c r="N321" s="228">
        <f t="shared" si="161"/>
        <v>-49</v>
      </c>
      <c r="O321" s="229">
        <f t="shared" si="162"/>
        <v>-3.9275949999999997</v>
      </c>
      <c r="P321" s="44" t="s">
        <v>427</v>
      </c>
      <c r="Q321" s="44"/>
      <c r="R321" s="32"/>
    </row>
    <row r="322" spans="1:20">
      <c r="A322" s="110" t="s">
        <v>472</v>
      </c>
      <c r="B322" s="111" t="s">
        <v>227</v>
      </c>
      <c r="C322" s="112" t="s">
        <v>228</v>
      </c>
      <c r="D322" s="113" t="s">
        <v>20</v>
      </c>
      <c r="E322" s="369" t="s">
        <v>15</v>
      </c>
      <c r="F322" s="369" t="s">
        <v>21</v>
      </c>
      <c r="G322" s="370">
        <v>6.97</v>
      </c>
      <c r="H322" s="125">
        <v>12</v>
      </c>
      <c r="I322" s="358">
        <f>35+35+35+36+37+36+35+24+35+36+35+36+35+29</f>
        <v>479</v>
      </c>
      <c r="J322" s="117">
        <f t="shared" si="159"/>
        <v>40.063559999999995</v>
      </c>
      <c r="K322" s="118"/>
      <c r="L322" s="111">
        <f>465+14</f>
        <v>479</v>
      </c>
      <c r="M322" s="117">
        <f t="shared" si="160"/>
        <v>40.063559999999995</v>
      </c>
      <c r="N322" s="119">
        <f t="shared" si="161"/>
        <v>0</v>
      </c>
      <c r="O322" s="120">
        <f t="shared" si="162"/>
        <v>0</v>
      </c>
      <c r="P322" s="111">
        <v>11.5</v>
      </c>
      <c r="Q322" s="32">
        <v>14</v>
      </c>
      <c r="R322" s="32"/>
    </row>
    <row r="323" spans="1:20">
      <c r="A323" s="110" t="s">
        <v>472</v>
      </c>
      <c r="B323" s="111" t="s">
        <v>227</v>
      </c>
      <c r="C323" s="112" t="s">
        <v>228</v>
      </c>
      <c r="D323" s="113" t="s">
        <v>20</v>
      </c>
      <c r="E323" s="369" t="s">
        <v>15</v>
      </c>
      <c r="F323" s="369" t="s">
        <v>21</v>
      </c>
      <c r="G323" s="370">
        <v>6.97</v>
      </c>
      <c r="H323" s="125">
        <v>6</v>
      </c>
      <c r="I323" s="358">
        <v>1</v>
      </c>
      <c r="J323" s="117">
        <f t="shared" si="159"/>
        <v>4.1820000000000003E-2</v>
      </c>
      <c r="K323" s="118"/>
      <c r="L323" s="111">
        <v>1</v>
      </c>
      <c r="M323" s="117">
        <f t="shared" si="160"/>
        <v>4.1820000000000003E-2</v>
      </c>
      <c r="N323" s="119">
        <f t="shared" si="161"/>
        <v>0</v>
      </c>
      <c r="O323" s="120">
        <f t="shared" si="162"/>
        <v>0</v>
      </c>
      <c r="P323" s="159">
        <v>6</v>
      </c>
      <c r="Q323" s="45">
        <v>1</v>
      </c>
      <c r="R323" s="32" t="s">
        <v>629</v>
      </c>
    </row>
    <row r="324" spans="1:20">
      <c r="A324" s="110" t="s">
        <v>472</v>
      </c>
      <c r="B324" s="111" t="s">
        <v>227</v>
      </c>
      <c r="C324" s="112" t="s">
        <v>228</v>
      </c>
      <c r="D324" s="113" t="s">
        <v>20</v>
      </c>
      <c r="E324" s="369" t="s">
        <v>15</v>
      </c>
      <c r="F324" s="369" t="s">
        <v>21</v>
      </c>
      <c r="G324" s="370">
        <v>6.97</v>
      </c>
      <c r="H324" s="125">
        <v>7.5</v>
      </c>
      <c r="I324" s="358">
        <v>1</v>
      </c>
      <c r="J324" s="117">
        <f t="shared" si="159"/>
        <v>5.2275000000000002E-2</v>
      </c>
      <c r="K324" s="118"/>
      <c r="L324" s="111">
        <v>1</v>
      </c>
      <c r="M324" s="117">
        <f t="shared" si="160"/>
        <v>5.2275000000000002E-2</v>
      </c>
      <c r="N324" s="119">
        <f t="shared" si="161"/>
        <v>0</v>
      </c>
      <c r="O324" s="120">
        <f t="shared" si="162"/>
        <v>0</v>
      </c>
      <c r="P324" s="159">
        <v>7.6</v>
      </c>
      <c r="Q324" s="45">
        <v>1</v>
      </c>
      <c r="R324" s="32" t="s">
        <v>628</v>
      </c>
    </row>
    <row r="325" spans="1:20">
      <c r="A325" s="110" t="s">
        <v>472</v>
      </c>
      <c r="B325" s="111" t="s">
        <v>227</v>
      </c>
      <c r="C325" s="112" t="s">
        <v>228</v>
      </c>
      <c r="D325" s="113" t="s">
        <v>20</v>
      </c>
      <c r="E325" s="369" t="s">
        <v>15</v>
      </c>
      <c r="F325" s="369" t="s">
        <v>21</v>
      </c>
      <c r="G325" s="370">
        <v>6.97</v>
      </c>
      <c r="H325" s="125">
        <v>8</v>
      </c>
      <c r="I325" s="358">
        <v>1</v>
      </c>
      <c r="J325" s="117">
        <f t="shared" si="159"/>
        <v>5.5759999999999997E-2</v>
      </c>
      <c r="K325" s="118"/>
      <c r="L325" s="111">
        <v>1</v>
      </c>
      <c r="M325" s="117">
        <f t="shared" si="160"/>
        <v>5.5759999999999997E-2</v>
      </c>
      <c r="N325" s="119">
        <f t="shared" si="161"/>
        <v>0</v>
      </c>
      <c r="O325" s="120">
        <f t="shared" si="162"/>
        <v>0</v>
      </c>
      <c r="P325" s="159">
        <v>7.6</v>
      </c>
      <c r="Q325" s="45">
        <v>1</v>
      </c>
      <c r="R325" s="32" t="s">
        <v>628</v>
      </c>
    </row>
    <row r="326" spans="1:20">
      <c r="A326" s="110" t="s">
        <v>472</v>
      </c>
      <c r="B326" s="111" t="s">
        <v>227</v>
      </c>
      <c r="C326" s="112" t="s">
        <v>228</v>
      </c>
      <c r="D326" s="113" t="s">
        <v>20</v>
      </c>
      <c r="E326" s="369" t="s">
        <v>15</v>
      </c>
      <c r="F326" s="369" t="s">
        <v>21</v>
      </c>
      <c r="G326" s="370">
        <v>6.97</v>
      </c>
      <c r="H326" s="125">
        <v>8.1999999999999993</v>
      </c>
      <c r="I326" s="358">
        <v>1</v>
      </c>
      <c r="J326" s="117">
        <f t="shared" si="159"/>
        <v>5.7153999999999996E-2</v>
      </c>
      <c r="K326" s="118"/>
      <c r="L326" s="111">
        <v>1</v>
      </c>
      <c r="M326" s="117">
        <f t="shared" si="160"/>
        <v>5.7153999999999996E-2</v>
      </c>
      <c r="N326" s="119">
        <f t="shared" si="161"/>
        <v>0</v>
      </c>
      <c r="O326" s="120">
        <f t="shared" si="162"/>
        <v>0</v>
      </c>
      <c r="P326" s="159">
        <v>7.6</v>
      </c>
      <c r="Q326" s="45">
        <v>1</v>
      </c>
      <c r="R326" s="32" t="s">
        <v>628</v>
      </c>
    </row>
    <row r="327" spans="1:20">
      <c r="A327" s="110" t="s">
        <v>472</v>
      </c>
      <c r="B327" s="111" t="s">
        <v>227</v>
      </c>
      <c r="C327" s="112" t="s">
        <v>228</v>
      </c>
      <c r="D327" s="113" t="s">
        <v>20</v>
      </c>
      <c r="E327" s="369" t="s">
        <v>15</v>
      </c>
      <c r="F327" s="369" t="s">
        <v>21</v>
      </c>
      <c r="G327" s="370">
        <v>6.97</v>
      </c>
      <c r="H327" s="125">
        <v>8.5</v>
      </c>
      <c r="I327" s="358">
        <v>1</v>
      </c>
      <c r="J327" s="117">
        <f t="shared" si="159"/>
        <v>5.9244999999999999E-2</v>
      </c>
      <c r="K327" s="118"/>
      <c r="L327" s="111">
        <v>1</v>
      </c>
      <c r="M327" s="117">
        <f t="shared" si="160"/>
        <v>5.9244999999999999E-2</v>
      </c>
      <c r="N327" s="119">
        <f t="shared" si="161"/>
        <v>0</v>
      </c>
      <c r="O327" s="120">
        <f t="shared" si="162"/>
        <v>0</v>
      </c>
      <c r="P327" s="159">
        <v>7.6</v>
      </c>
      <c r="Q327" s="45">
        <v>1</v>
      </c>
      <c r="R327" s="32" t="s">
        <v>628</v>
      </c>
    </row>
    <row r="328" spans="1:20">
      <c r="A328" s="110" t="s">
        <v>472</v>
      </c>
      <c r="B328" s="111" t="s">
        <v>227</v>
      </c>
      <c r="C328" s="112" t="s">
        <v>228</v>
      </c>
      <c r="D328" s="113" t="s">
        <v>20</v>
      </c>
      <c r="E328" s="369" t="s">
        <v>15</v>
      </c>
      <c r="F328" s="369" t="s">
        <v>21</v>
      </c>
      <c r="G328" s="370">
        <v>6.97</v>
      </c>
      <c r="H328" s="125">
        <v>9.1999999999999993</v>
      </c>
      <c r="I328" s="358">
        <v>2</v>
      </c>
      <c r="J328" s="117">
        <f t="shared" si="159"/>
        <v>0.128248</v>
      </c>
      <c r="K328" s="118"/>
      <c r="L328" s="111">
        <v>2</v>
      </c>
      <c r="M328" s="117">
        <f t="shared" si="160"/>
        <v>0.128248</v>
      </c>
      <c r="N328" s="119">
        <f t="shared" si="161"/>
        <v>0</v>
      </c>
      <c r="O328" s="120">
        <f t="shared" si="162"/>
        <v>0</v>
      </c>
      <c r="P328" s="159">
        <v>9.1</v>
      </c>
      <c r="Q328" s="45">
        <v>2</v>
      </c>
      <c r="R328" s="32" t="s">
        <v>628</v>
      </c>
    </row>
    <row r="329" spans="1:20">
      <c r="A329" s="110" t="s">
        <v>472</v>
      </c>
      <c r="B329" s="111" t="s">
        <v>227</v>
      </c>
      <c r="C329" s="112" t="s">
        <v>228</v>
      </c>
      <c r="D329" s="113" t="s">
        <v>20</v>
      </c>
      <c r="E329" s="369" t="s">
        <v>15</v>
      </c>
      <c r="F329" s="369" t="s">
        <v>21</v>
      </c>
      <c r="G329" s="370">
        <v>6.97</v>
      </c>
      <c r="H329" s="125">
        <v>10.4</v>
      </c>
      <c r="I329" s="358">
        <v>1</v>
      </c>
      <c r="J329" s="117">
        <f t="shared" si="159"/>
        <v>7.2487999999999997E-2</v>
      </c>
      <c r="K329" s="118"/>
      <c r="L329" s="111">
        <v>1</v>
      </c>
      <c r="M329" s="117">
        <f t="shared" si="160"/>
        <v>7.2487999999999997E-2</v>
      </c>
      <c r="N329" s="119">
        <f t="shared" si="161"/>
        <v>0</v>
      </c>
      <c r="O329" s="120">
        <f t="shared" si="162"/>
        <v>0</v>
      </c>
      <c r="P329" s="159">
        <v>9.1</v>
      </c>
      <c r="Q329" s="45">
        <v>1</v>
      </c>
      <c r="R329" s="32" t="s">
        <v>628</v>
      </c>
    </row>
    <row r="330" spans="1:20">
      <c r="A330" s="110" t="s">
        <v>472</v>
      </c>
      <c r="B330" s="111" t="s">
        <v>227</v>
      </c>
      <c r="C330" s="112" t="s">
        <v>228</v>
      </c>
      <c r="D330" s="113" t="s">
        <v>20</v>
      </c>
      <c r="E330" s="369" t="s">
        <v>15</v>
      </c>
      <c r="F330" s="369" t="s">
        <v>21</v>
      </c>
      <c r="G330" s="370">
        <v>6.97</v>
      </c>
      <c r="H330" s="125">
        <v>7.25</v>
      </c>
      <c r="I330" s="358"/>
      <c r="J330" s="117">
        <f t="shared" si="159"/>
        <v>0</v>
      </c>
      <c r="K330" s="118"/>
      <c r="L330" s="111"/>
      <c r="M330" s="117">
        <f t="shared" si="160"/>
        <v>0</v>
      </c>
      <c r="N330" s="119">
        <f t="shared" si="161"/>
        <v>0</v>
      </c>
      <c r="O330" s="120">
        <f t="shared" si="162"/>
        <v>0</v>
      </c>
      <c r="P330" s="159"/>
      <c r="Q330" s="32"/>
      <c r="R330" s="32"/>
    </row>
    <row r="331" spans="1:20">
      <c r="A331" s="110" t="s">
        <v>472</v>
      </c>
      <c r="B331" s="111" t="s">
        <v>227</v>
      </c>
      <c r="C331" s="112" t="s">
        <v>228</v>
      </c>
      <c r="D331" s="113" t="s">
        <v>20</v>
      </c>
      <c r="E331" s="369" t="s">
        <v>15</v>
      </c>
      <c r="F331" s="369" t="s">
        <v>21</v>
      </c>
      <c r="G331" s="370">
        <v>6.97</v>
      </c>
      <c r="H331" s="125">
        <v>11</v>
      </c>
      <c r="I331" s="358">
        <f>8+6</f>
        <v>14</v>
      </c>
      <c r="J331" s="117">
        <f t="shared" si="159"/>
        <v>1.07338</v>
      </c>
      <c r="K331" s="118"/>
      <c r="L331" s="111">
        <f>9+3+2</f>
        <v>14</v>
      </c>
      <c r="M331" s="117">
        <f t="shared" si="160"/>
        <v>1.0733799999999998</v>
      </c>
      <c r="N331" s="119">
        <f t="shared" si="161"/>
        <v>0</v>
      </c>
      <c r="O331" s="120">
        <f t="shared" si="162"/>
        <v>0</v>
      </c>
      <c r="P331" s="159">
        <v>9.1</v>
      </c>
      <c r="Q331" s="45">
        <v>2</v>
      </c>
      <c r="R331" s="32" t="s">
        <v>628</v>
      </c>
      <c r="S331" s="111">
        <v>9.5</v>
      </c>
      <c r="T331" s="32">
        <v>3</v>
      </c>
    </row>
    <row r="332" spans="1:20">
      <c r="A332" s="110" t="s">
        <v>472</v>
      </c>
      <c r="B332" s="111" t="s">
        <v>227</v>
      </c>
      <c r="C332" s="112" t="s">
        <v>228</v>
      </c>
      <c r="D332" s="113" t="s">
        <v>20</v>
      </c>
      <c r="E332" s="369" t="s">
        <v>15</v>
      </c>
      <c r="F332" s="369" t="s">
        <v>21</v>
      </c>
      <c r="G332" s="370">
        <v>6.97</v>
      </c>
      <c r="H332" s="125">
        <v>10.1</v>
      </c>
      <c r="I332" s="358">
        <v>1</v>
      </c>
      <c r="J332" s="117">
        <f t="shared" si="159"/>
        <v>7.0396999999999987E-2</v>
      </c>
      <c r="K332" s="118"/>
      <c r="L332" s="111">
        <v>1</v>
      </c>
      <c r="M332" s="117">
        <f t="shared" si="160"/>
        <v>7.0396999999999987E-2</v>
      </c>
      <c r="N332" s="119">
        <f t="shared" si="161"/>
        <v>0</v>
      </c>
      <c r="O332" s="120">
        <f t="shared" si="162"/>
        <v>0</v>
      </c>
      <c r="P332" s="159">
        <v>9.1</v>
      </c>
      <c r="Q332" s="45">
        <v>1</v>
      </c>
      <c r="R332" s="32" t="s">
        <v>628</v>
      </c>
    </row>
    <row r="333" spans="1:20">
      <c r="A333" s="110" t="s">
        <v>472</v>
      </c>
      <c r="B333" s="111" t="s">
        <v>227</v>
      </c>
      <c r="C333" s="112" t="s">
        <v>228</v>
      </c>
      <c r="D333" s="113" t="s">
        <v>20</v>
      </c>
      <c r="E333" s="369" t="s">
        <v>15</v>
      </c>
      <c r="F333" s="369" t="s">
        <v>21</v>
      </c>
      <c r="G333" s="370">
        <v>6.97</v>
      </c>
      <c r="H333" s="125">
        <v>8.5</v>
      </c>
      <c r="I333" s="358">
        <v>1</v>
      </c>
      <c r="J333" s="117">
        <f t="shared" si="159"/>
        <v>5.9244999999999999E-2</v>
      </c>
      <c r="K333" s="118"/>
      <c r="L333" s="111">
        <v>1</v>
      </c>
      <c r="M333" s="117">
        <f t="shared" si="160"/>
        <v>5.9244999999999999E-2</v>
      </c>
      <c r="N333" s="119">
        <f t="shared" si="161"/>
        <v>0</v>
      </c>
      <c r="O333" s="120">
        <f t="shared" si="162"/>
        <v>0</v>
      </c>
      <c r="P333" s="159">
        <v>7.6</v>
      </c>
      <c r="Q333" s="45">
        <v>1</v>
      </c>
      <c r="R333" s="32" t="s">
        <v>628</v>
      </c>
    </row>
    <row r="334" spans="1:20">
      <c r="A334" s="110" t="s">
        <v>472</v>
      </c>
      <c r="B334" s="111" t="s">
        <v>227</v>
      </c>
      <c r="C334" s="112" t="s">
        <v>228</v>
      </c>
      <c r="D334" s="113" t="s">
        <v>20</v>
      </c>
      <c r="E334" s="369" t="s">
        <v>15</v>
      </c>
      <c r="F334" s="369" t="s">
        <v>21</v>
      </c>
      <c r="G334" s="370">
        <v>6.97</v>
      </c>
      <c r="H334" s="125">
        <v>12</v>
      </c>
      <c r="I334" s="358">
        <v>13</v>
      </c>
      <c r="J334" s="117">
        <f t="shared" si="159"/>
        <v>1.0873199999999998</v>
      </c>
      <c r="K334" s="118"/>
      <c r="L334" s="111">
        <v>13</v>
      </c>
      <c r="M334" s="117">
        <f t="shared" si="160"/>
        <v>1.0873199999999998</v>
      </c>
      <c r="N334" s="119">
        <f t="shared" si="161"/>
        <v>0</v>
      </c>
      <c r="O334" s="120">
        <f t="shared" si="162"/>
        <v>0</v>
      </c>
      <c r="P334" s="159">
        <v>11.5</v>
      </c>
      <c r="Q334" s="32">
        <v>13</v>
      </c>
      <c r="R334" s="32"/>
    </row>
    <row r="335" spans="1:20">
      <c r="I335" s="215">
        <f>SUM(I319:I334)</f>
        <v>1227</v>
      </c>
      <c r="J335" s="214">
        <f>SUM(J319:J334)</f>
        <v>96.535197000000011</v>
      </c>
      <c r="L335" s="215">
        <f>SUM(L319:L334)</f>
        <v>1276</v>
      </c>
      <c r="M335" s="214">
        <f>SUM(M319:M334)</f>
        <v>100.46279200000001</v>
      </c>
      <c r="N335" s="78">
        <f>SUM(N319:N334)</f>
        <v>-49</v>
      </c>
      <c r="O335" s="128">
        <f>SUM(O319:O334)</f>
        <v>-3.9275949999999997</v>
      </c>
    </row>
    <row r="337" spans="1:18">
      <c r="A337" s="110" t="s">
        <v>470</v>
      </c>
      <c r="B337" s="111" t="s">
        <v>227</v>
      </c>
      <c r="C337" s="112" t="s">
        <v>228</v>
      </c>
      <c r="D337" s="113" t="s">
        <v>20</v>
      </c>
      <c r="E337" s="369" t="s">
        <v>15</v>
      </c>
      <c r="F337" s="369" t="s">
        <v>32</v>
      </c>
      <c r="G337" s="370">
        <v>8.32</v>
      </c>
      <c r="H337" s="125">
        <v>8.1</v>
      </c>
      <c r="I337" s="358">
        <f>39+39+33+35+11+35+35+34+35+36+17</f>
        <v>349</v>
      </c>
      <c r="J337" s="117">
        <f t="shared" ref="J337" si="163">H337*G337*I337/1000</f>
        <v>23.519807999999998</v>
      </c>
      <c r="K337" s="118"/>
      <c r="L337" s="111">
        <v>349</v>
      </c>
      <c r="M337" s="117">
        <f t="shared" ref="M337" si="164">H337*L337*G337/1000</f>
        <v>23.519808000000001</v>
      </c>
      <c r="N337" s="119">
        <f t="shared" ref="N337" si="165">I337-L337</f>
        <v>0</v>
      </c>
      <c r="O337" s="120">
        <f t="shared" ref="O337" si="166">H337*N337*G337/1000</f>
        <v>0</v>
      </c>
      <c r="P337" s="111"/>
      <c r="Q337" s="32"/>
      <c r="R337" s="32"/>
    </row>
    <row r="338" spans="1:18">
      <c r="A338" s="110" t="s">
        <v>470</v>
      </c>
      <c r="B338" s="111" t="s">
        <v>227</v>
      </c>
      <c r="C338" s="112" t="s">
        <v>228</v>
      </c>
      <c r="D338" s="113" t="s">
        <v>20</v>
      </c>
      <c r="E338" s="369" t="s">
        <v>15</v>
      </c>
      <c r="F338" s="369" t="s">
        <v>32</v>
      </c>
      <c r="G338" s="370">
        <v>8.32</v>
      </c>
      <c r="H338" s="125">
        <v>12</v>
      </c>
      <c r="I338" s="358">
        <f>29+30+30+30+35+37+35+35+35+35+24+35+15</f>
        <v>405</v>
      </c>
      <c r="J338" s="117">
        <f t="shared" ref="J338:J354" si="167">H338*G338*I338/1000</f>
        <v>40.435200000000002</v>
      </c>
      <c r="K338" s="118"/>
      <c r="L338" s="111">
        <f>388+17</f>
        <v>405</v>
      </c>
      <c r="M338" s="117">
        <f t="shared" ref="M338:M354" si="168">H338*L338*G338/1000</f>
        <v>40.435200000000002</v>
      </c>
      <c r="N338" s="119">
        <f t="shared" ref="N338:N354" si="169">I338-L338</f>
        <v>0</v>
      </c>
      <c r="O338" s="120">
        <f t="shared" ref="O338:O354" si="170">H338*N338*G338/1000</f>
        <v>0</v>
      </c>
      <c r="P338" s="111"/>
      <c r="Q338" s="32"/>
      <c r="R338" s="32"/>
    </row>
    <row r="339" spans="1:18">
      <c r="A339" s="110" t="s">
        <v>470</v>
      </c>
      <c r="B339" s="111" t="s">
        <v>227</v>
      </c>
      <c r="C339" s="112" t="s">
        <v>228</v>
      </c>
      <c r="D339" s="113" t="s">
        <v>20</v>
      </c>
      <c r="E339" s="369" t="s">
        <v>15</v>
      </c>
      <c r="F339" s="369" t="s">
        <v>32</v>
      </c>
      <c r="G339" s="370">
        <v>8.32</v>
      </c>
      <c r="H339" s="125">
        <v>9.6</v>
      </c>
      <c r="I339" s="358">
        <v>4</v>
      </c>
      <c r="J339" s="117">
        <f t="shared" si="167"/>
        <v>0.31948799999999999</v>
      </c>
      <c r="K339" s="118"/>
      <c r="L339" s="111">
        <v>4</v>
      </c>
      <c r="M339" s="117">
        <f t="shared" si="168"/>
        <v>0.31948799999999999</v>
      </c>
      <c r="N339" s="119">
        <f t="shared" si="169"/>
        <v>0</v>
      </c>
      <c r="O339" s="120">
        <f t="shared" si="170"/>
        <v>0</v>
      </c>
      <c r="P339" s="111">
        <v>8.5</v>
      </c>
      <c r="Q339" s="32">
        <v>4</v>
      </c>
      <c r="R339" s="32"/>
    </row>
    <row r="340" spans="1:18">
      <c r="A340" s="110" t="s">
        <v>470</v>
      </c>
      <c r="B340" s="111" t="s">
        <v>227</v>
      </c>
      <c r="C340" s="112" t="s">
        <v>228</v>
      </c>
      <c r="D340" s="113" t="s">
        <v>20</v>
      </c>
      <c r="E340" s="369" t="s">
        <v>15</v>
      </c>
      <c r="F340" s="369" t="s">
        <v>32</v>
      </c>
      <c r="G340" s="370">
        <v>8.32</v>
      </c>
      <c r="H340" s="125">
        <v>7.7</v>
      </c>
      <c r="I340" s="358">
        <v>10</v>
      </c>
      <c r="J340" s="117">
        <f t="shared" si="167"/>
        <v>0.6406400000000001</v>
      </c>
      <c r="K340" s="118"/>
      <c r="L340" s="111">
        <v>10</v>
      </c>
      <c r="M340" s="117">
        <f t="shared" si="168"/>
        <v>0.64063999999999999</v>
      </c>
      <c r="N340" s="119">
        <f t="shared" si="169"/>
        <v>0</v>
      </c>
      <c r="O340" s="120">
        <f t="shared" si="170"/>
        <v>0</v>
      </c>
      <c r="P340" s="111"/>
      <c r="Q340" s="32"/>
      <c r="R340" s="32"/>
    </row>
    <row r="341" spans="1:18">
      <c r="A341" s="110" t="s">
        <v>470</v>
      </c>
      <c r="B341" s="111" t="s">
        <v>227</v>
      </c>
      <c r="C341" s="112" t="s">
        <v>228</v>
      </c>
      <c r="D341" s="113" t="s">
        <v>20</v>
      </c>
      <c r="E341" s="369" t="s">
        <v>15</v>
      </c>
      <c r="F341" s="369" t="s">
        <v>32</v>
      </c>
      <c r="G341" s="370">
        <v>8.32</v>
      </c>
      <c r="H341" s="125">
        <v>7.5</v>
      </c>
      <c r="I341" s="358">
        <v>3</v>
      </c>
      <c r="J341" s="117">
        <f t="shared" si="167"/>
        <v>0.18720000000000001</v>
      </c>
      <c r="K341" s="118"/>
      <c r="L341" s="111">
        <v>3</v>
      </c>
      <c r="M341" s="117">
        <f t="shared" si="168"/>
        <v>0.18720000000000001</v>
      </c>
      <c r="N341" s="119">
        <f t="shared" si="169"/>
        <v>0</v>
      </c>
      <c r="O341" s="120">
        <f t="shared" si="170"/>
        <v>0</v>
      </c>
      <c r="P341" s="111"/>
      <c r="Q341" s="32"/>
      <c r="R341" s="32"/>
    </row>
    <row r="342" spans="1:18">
      <c r="A342" s="110" t="s">
        <v>470</v>
      </c>
      <c r="B342" s="111" t="s">
        <v>227</v>
      </c>
      <c r="C342" s="112" t="s">
        <v>228</v>
      </c>
      <c r="D342" s="113" t="s">
        <v>20</v>
      </c>
      <c r="E342" s="369" t="s">
        <v>15</v>
      </c>
      <c r="F342" s="369" t="s">
        <v>32</v>
      </c>
      <c r="G342" s="370">
        <v>8.32</v>
      </c>
      <c r="H342" s="125">
        <v>7.25</v>
      </c>
      <c r="I342" s="358">
        <v>1</v>
      </c>
      <c r="J342" s="117">
        <f t="shared" si="167"/>
        <v>6.0319999999999999E-2</v>
      </c>
      <c r="K342" s="118"/>
      <c r="L342" s="111">
        <v>1</v>
      </c>
      <c r="M342" s="117">
        <f t="shared" si="168"/>
        <v>6.0319999999999999E-2</v>
      </c>
      <c r="N342" s="119">
        <f t="shared" si="169"/>
        <v>0</v>
      </c>
      <c r="O342" s="120">
        <f t="shared" si="170"/>
        <v>0</v>
      </c>
      <c r="P342" s="159">
        <v>6.3</v>
      </c>
      <c r="Q342" s="404">
        <v>1</v>
      </c>
      <c r="R342" s="32" t="s">
        <v>602</v>
      </c>
    </row>
    <row r="343" spans="1:18">
      <c r="A343" s="110" t="s">
        <v>470</v>
      </c>
      <c r="B343" s="111" t="s">
        <v>227</v>
      </c>
      <c r="C343" s="112" t="s">
        <v>228</v>
      </c>
      <c r="D343" s="113" t="s">
        <v>20</v>
      </c>
      <c r="E343" s="369" t="s">
        <v>15</v>
      </c>
      <c r="F343" s="369" t="s">
        <v>32</v>
      </c>
      <c r="G343" s="370">
        <v>8.32</v>
      </c>
      <c r="H343" s="125">
        <v>7</v>
      </c>
      <c r="I343" s="358">
        <v>3</v>
      </c>
      <c r="J343" s="117">
        <f t="shared" si="167"/>
        <v>0.17471999999999999</v>
      </c>
      <c r="K343" s="118"/>
      <c r="L343" s="111">
        <v>3</v>
      </c>
      <c r="M343" s="117">
        <f t="shared" si="168"/>
        <v>0.17471999999999999</v>
      </c>
      <c r="N343" s="119">
        <f t="shared" si="169"/>
        <v>0</v>
      </c>
      <c r="O343" s="120">
        <f t="shared" si="170"/>
        <v>0</v>
      </c>
      <c r="P343" s="159">
        <v>6.3</v>
      </c>
      <c r="Q343" s="404">
        <v>3</v>
      </c>
      <c r="R343" s="32" t="s">
        <v>602</v>
      </c>
    </row>
    <row r="344" spans="1:18">
      <c r="A344" s="110" t="s">
        <v>470</v>
      </c>
      <c r="B344" s="111" t="s">
        <v>227</v>
      </c>
      <c r="C344" s="112" t="s">
        <v>228</v>
      </c>
      <c r="D344" s="113" t="s">
        <v>20</v>
      </c>
      <c r="E344" s="369" t="s">
        <v>15</v>
      </c>
      <c r="F344" s="369" t="s">
        <v>32</v>
      </c>
      <c r="G344" s="370">
        <v>8.32</v>
      </c>
      <c r="H344" s="125">
        <v>6.9</v>
      </c>
      <c r="I344" s="358">
        <v>2</v>
      </c>
      <c r="J344" s="117">
        <f t="shared" si="167"/>
        <v>0.11481600000000002</v>
      </c>
      <c r="K344" s="118"/>
      <c r="L344" s="111">
        <v>2</v>
      </c>
      <c r="M344" s="117">
        <f t="shared" si="168"/>
        <v>0.11481600000000002</v>
      </c>
      <c r="N344" s="119">
        <f t="shared" si="169"/>
        <v>0</v>
      </c>
      <c r="O344" s="120">
        <f t="shared" si="170"/>
        <v>0</v>
      </c>
      <c r="P344" s="159">
        <v>6.3</v>
      </c>
      <c r="Q344" s="404">
        <v>2</v>
      </c>
      <c r="R344" s="32" t="s">
        <v>602</v>
      </c>
    </row>
    <row r="345" spans="1:18">
      <c r="A345" s="110" t="s">
        <v>470</v>
      </c>
      <c r="B345" s="111" t="s">
        <v>227</v>
      </c>
      <c r="C345" s="112" t="s">
        <v>228</v>
      </c>
      <c r="D345" s="113" t="s">
        <v>20</v>
      </c>
      <c r="E345" s="369" t="s">
        <v>15</v>
      </c>
      <c r="F345" s="369" t="s">
        <v>32</v>
      </c>
      <c r="G345" s="370">
        <v>8.32</v>
      </c>
      <c r="H345" s="125">
        <v>6.5</v>
      </c>
      <c r="I345" s="358">
        <v>4</v>
      </c>
      <c r="J345" s="117">
        <f t="shared" si="167"/>
        <v>0.21631999999999998</v>
      </c>
      <c r="K345" s="118"/>
      <c r="L345" s="111">
        <v>4</v>
      </c>
      <c r="M345" s="117">
        <f t="shared" si="168"/>
        <v>0.21631999999999998</v>
      </c>
      <c r="N345" s="119">
        <f t="shared" si="169"/>
        <v>0</v>
      </c>
      <c r="O345" s="120">
        <f t="shared" si="170"/>
        <v>0</v>
      </c>
      <c r="P345" s="159">
        <v>6.3</v>
      </c>
      <c r="Q345" s="404">
        <v>4</v>
      </c>
      <c r="R345" s="32" t="s">
        <v>602</v>
      </c>
    </row>
    <row r="346" spans="1:18">
      <c r="A346" s="110" t="s">
        <v>470</v>
      </c>
      <c r="B346" s="111" t="s">
        <v>227</v>
      </c>
      <c r="C346" s="112" t="s">
        <v>228</v>
      </c>
      <c r="D346" s="113" t="s">
        <v>20</v>
      </c>
      <c r="E346" s="369" t="s">
        <v>15</v>
      </c>
      <c r="F346" s="369" t="s">
        <v>32</v>
      </c>
      <c r="G346" s="370">
        <v>8.32</v>
      </c>
      <c r="H346" s="125">
        <v>6</v>
      </c>
      <c r="I346" s="358">
        <v>2</v>
      </c>
      <c r="J346" s="117">
        <f t="shared" si="167"/>
        <v>9.9839999999999998E-2</v>
      </c>
      <c r="K346" s="118"/>
      <c r="L346" s="111">
        <v>2</v>
      </c>
      <c r="M346" s="117">
        <f t="shared" si="168"/>
        <v>9.9839999999999998E-2</v>
      </c>
      <c r="N346" s="119">
        <f t="shared" si="169"/>
        <v>0</v>
      </c>
      <c r="O346" s="120">
        <f t="shared" si="170"/>
        <v>0</v>
      </c>
      <c r="P346" s="111">
        <v>6</v>
      </c>
      <c r="Q346" s="404">
        <v>2</v>
      </c>
      <c r="R346" s="32" t="s">
        <v>726</v>
      </c>
    </row>
    <row r="347" spans="1:18">
      <c r="A347" s="110" t="s">
        <v>470</v>
      </c>
      <c r="B347" s="111" t="s">
        <v>227</v>
      </c>
      <c r="C347" s="112" t="s">
        <v>228</v>
      </c>
      <c r="D347" s="113" t="s">
        <v>20</v>
      </c>
      <c r="E347" s="369" t="s">
        <v>15</v>
      </c>
      <c r="F347" s="369" t="s">
        <v>32</v>
      </c>
      <c r="G347" s="370">
        <v>8.32</v>
      </c>
      <c r="H347" s="125">
        <v>8.5</v>
      </c>
      <c r="I347" s="358">
        <f>26+35+37+37+33+27+28+35+35+34+34+35+35+35+35+35+35+22</f>
        <v>593</v>
      </c>
      <c r="J347" s="117">
        <f t="shared" si="167"/>
        <v>41.936959999999999</v>
      </c>
      <c r="K347" s="118"/>
      <c r="L347" s="111">
        <v>593</v>
      </c>
      <c r="M347" s="117">
        <f t="shared" si="168"/>
        <v>41.936959999999999</v>
      </c>
      <c r="N347" s="119">
        <f t="shared" si="169"/>
        <v>0</v>
      </c>
      <c r="O347" s="120">
        <f t="shared" si="170"/>
        <v>0</v>
      </c>
      <c r="P347" s="111"/>
      <c r="Q347" s="32"/>
      <c r="R347" s="32"/>
    </row>
    <row r="348" spans="1:18">
      <c r="A348" s="110" t="s">
        <v>470</v>
      </c>
      <c r="B348" s="111" t="s">
        <v>227</v>
      </c>
      <c r="C348" s="112" t="s">
        <v>228</v>
      </c>
      <c r="D348" s="113" t="s">
        <v>20</v>
      </c>
      <c r="E348" s="369" t="s">
        <v>15</v>
      </c>
      <c r="F348" s="369" t="s">
        <v>32</v>
      </c>
      <c r="G348" s="370">
        <v>8.32</v>
      </c>
      <c r="H348" s="125">
        <v>10</v>
      </c>
      <c r="I348" s="358">
        <f>37+35+32+35+33+33+31+36+35+33+12+35+36+35+36+31+36+35+35</f>
        <v>631</v>
      </c>
      <c r="J348" s="117">
        <f t="shared" si="167"/>
        <v>52.499200000000002</v>
      </c>
      <c r="K348" s="118"/>
      <c r="L348" s="111">
        <v>631</v>
      </c>
      <c r="M348" s="117">
        <f t="shared" si="168"/>
        <v>52.499200000000002</v>
      </c>
      <c r="N348" s="119">
        <f t="shared" si="169"/>
        <v>0</v>
      </c>
      <c r="O348" s="120">
        <f t="shared" si="170"/>
        <v>0</v>
      </c>
      <c r="P348" s="111"/>
      <c r="Q348" s="32"/>
      <c r="R348" s="32"/>
    </row>
    <row r="349" spans="1:18">
      <c r="A349" s="110" t="s">
        <v>470</v>
      </c>
      <c r="B349" s="111" t="s">
        <v>227</v>
      </c>
      <c r="C349" s="112" t="s">
        <v>228</v>
      </c>
      <c r="D349" s="113" t="s">
        <v>20</v>
      </c>
      <c r="E349" s="369" t="s">
        <v>15</v>
      </c>
      <c r="F349" s="369" t="s">
        <v>32</v>
      </c>
      <c r="G349" s="370">
        <v>8.32</v>
      </c>
      <c r="H349" s="125">
        <v>10.5</v>
      </c>
      <c r="I349" s="358">
        <f>25+7+28+5</f>
        <v>65</v>
      </c>
      <c r="J349" s="117">
        <f t="shared" si="167"/>
        <v>5.6783999999999999</v>
      </c>
      <c r="K349" s="118"/>
      <c r="L349" s="111">
        <v>65</v>
      </c>
      <c r="M349" s="117">
        <f t="shared" si="168"/>
        <v>5.6784000000000008</v>
      </c>
      <c r="N349" s="119">
        <f t="shared" si="169"/>
        <v>0</v>
      </c>
      <c r="O349" s="120">
        <f t="shared" si="170"/>
        <v>0</v>
      </c>
      <c r="P349" s="111"/>
      <c r="Q349" s="32"/>
      <c r="R349" s="32"/>
    </row>
    <row r="350" spans="1:18">
      <c r="A350" s="110" t="s">
        <v>470</v>
      </c>
      <c r="B350" s="111" t="s">
        <v>227</v>
      </c>
      <c r="C350" s="112" t="s">
        <v>228</v>
      </c>
      <c r="D350" s="113" t="s">
        <v>20</v>
      </c>
      <c r="E350" s="369" t="s">
        <v>15</v>
      </c>
      <c r="F350" s="369" t="s">
        <v>32</v>
      </c>
      <c r="G350" s="370">
        <v>8.32</v>
      </c>
      <c r="H350" s="125">
        <v>11</v>
      </c>
      <c r="I350" s="358">
        <f>30+30+10+35+11</f>
        <v>116</v>
      </c>
      <c r="J350" s="117">
        <f t="shared" si="167"/>
        <v>10.616320000000002</v>
      </c>
      <c r="K350" s="118"/>
      <c r="L350" s="111">
        <f>103+5+8</f>
        <v>116</v>
      </c>
      <c r="M350" s="117">
        <f t="shared" si="168"/>
        <v>10.61632</v>
      </c>
      <c r="N350" s="119">
        <f t="shared" si="169"/>
        <v>0</v>
      </c>
      <c r="O350" s="120">
        <f t="shared" si="170"/>
        <v>0</v>
      </c>
      <c r="P350" s="111">
        <v>10</v>
      </c>
      <c r="Q350" s="32">
        <v>5</v>
      </c>
      <c r="R350" s="32"/>
    </row>
    <row r="351" spans="1:18">
      <c r="A351" s="110" t="s">
        <v>470</v>
      </c>
      <c r="B351" s="111" t="s">
        <v>227</v>
      </c>
      <c r="C351" s="112" t="s">
        <v>228</v>
      </c>
      <c r="D351" s="113" t="s">
        <v>20</v>
      </c>
      <c r="E351" s="369" t="s">
        <v>15</v>
      </c>
      <c r="F351" s="369" t="s">
        <v>32</v>
      </c>
      <c r="G351" s="370">
        <v>8.32</v>
      </c>
      <c r="H351" s="125">
        <v>12</v>
      </c>
      <c r="I351" s="358">
        <f>32+32+26+15</f>
        <v>105</v>
      </c>
      <c r="J351" s="117">
        <f t="shared" si="167"/>
        <v>10.4832</v>
      </c>
      <c r="K351" s="118"/>
      <c r="L351" s="111">
        <v>105</v>
      </c>
      <c r="M351" s="117">
        <f t="shared" si="168"/>
        <v>10.4832</v>
      </c>
      <c r="N351" s="119">
        <f t="shared" si="169"/>
        <v>0</v>
      </c>
      <c r="O351" s="120">
        <f t="shared" si="170"/>
        <v>0</v>
      </c>
      <c r="P351" s="111"/>
      <c r="Q351" s="32"/>
      <c r="R351" s="32"/>
    </row>
    <row r="352" spans="1:18">
      <c r="A352" s="110" t="s">
        <v>470</v>
      </c>
      <c r="B352" s="111" t="s">
        <v>227</v>
      </c>
      <c r="C352" s="112" t="s">
        <v>228</v>
      </c>
      <c r="D352" s="113" t="s">
        <v>20</v>
      </c>
      <c r="E352" s="369" t="s">
        <v>15</v>
      </c>
      <c r="F352" s="369" t="s">
        <v>32</v>
      </c>
      <c r="G352" s="370">
        <v>8.32</v>
      </c>
      <c r="H352" s="125">
        <v>9.8000000000000007</v>
      </c>
      <c r="I352" s="358">
        <v>1</v>
      </c>
      <c r="J352" s="117">
        <f t="shared" si="167"/>
        <v>8.1536000000000011E-2</v>
      </c>
      <c r="K352" s="118"/>
      <c r="L352" s="111">
        <v>1</v>
      </c>
      <c r="M352" s="117">
        <f t="shared" si="168"/>
        <v>8.1536000000000011E-2</v>
      </c>
      <c r="N352" s="119">
        <f t="shared" si="169"/>
        <v>0</v>
      </c>
      <c r="O352" s="120">
        <f t="shared" si="170"/>
        <v>0</v>
      </c>
      <c r="P352" s="111">
        <v>10</v>
      </c>
      <c r="Q352" s="45">
        <v>1</v>
      </c>
      <c r="R352" s="32" t="s">
        <v>666</v>
      </c>
    </row>
    <row r="353" spans="1:18">
      <c r="A353" s="110" t="s">
        <v>470</v>
      </c>
      <c r="B353" s="111" t="s">
        <v>227</v>
      </c>
      <c r="C353" s="112" t="s">
        <v>228</v>
      </c>
      <c r="D353" s="113" t="s">
        <v>20</v>
      </c>
      <c r="E353" s="369" t="s">
        <v>15</v>
      </c>
      <c r="F353" s="369" t="s">
        <v>32</v>
      </c>
      <c r="G353" s="370">
        <v>8.32</v>
      </c>
      <c r="H353" s="125">
        <v>7.9</v>
      </c>
      <c r="I353" s="358">
        <v>2</v>
      </c>
      <c r="J353" s="117">
        <f t="shared" si="167"/>
        <v>0.13145600000000002</v>
      </c>
      <c r="K353" s="118"/>
      <c r="L353" s="111">
        <v>2</v>
      </c>
      <c r="M353" s="117">
        <f t="shared" si="168"/>
        <v>0.13145600000000002</v>
      </c>
      <c r="N353" s="119">
        <f t="shared" si="169"/>
        <v>0</v>
      </c>
      <c r="O353" s="120">
        <f t="shared" si="170"/>
        <v>0</v>
      </c>
      <c r="P353" s="111">
        <v>7.6</v>
      </c>
      <c r="Q353" s="45">
        <v>2</v>
      </c>
      <c r="R353" s="32" t="s">
        <v>602</v>
      </c>
    </row>
    <row r="354" spans="1:18">
      <c r="A354" s="110" t="s">
        <v>470</v>
      </c>
      <c r="B354" s="111" t="s">
        <v>227</v>
      </c>
      <c r="C354" s="112" t="s">
        <v>228</v>
      </c>
      <c r="D354" s="113" t="s">
        <v>20</v>
      </c>
      <c r="E354" s="369" t="s">
        <v>15</v>
      </c>
      <c r="F354" s="369" t="s">
        <v>32</v>
      </c>
      <c r="G354" s="370">
        <v>8.32</v>
      </c>
      <c r="H354" s="125">
        <v>7.8</v>
      </c>
      <c r="I354" s="358">
        <v>2</v>
      </c>
      <c r="J354" s="117">
        <f t="shared" si="167"/>
        <v>0.12979199999999999</v>
      </c>
      <c r="K354" s="118"/>
      <c r="L354" s="111">
        <v>2</v>
      </c>
      <c r="M354" s="117">
        <f t="shared" si="168"/>
        <v>0.12979199999999999</v>
      </c>
      <c r="N354" s="119">
        <f t="shared" si="169"/>
        <v>0</v>
      </c>
      <c r="O354" s="120">
        <f t="shared" si="170"/>
        <v>0</v>
      </c>
      <c r="P354" s="111">
        <v>7.6</v>
      </c>
      <c r="Q354" s="45">
        <v>2</v>
      </c>
      <c r="R354" s="32" t="s">
        <v>602</v>
      </c>
    </row>
    <row r="355" spans="1:18">
      <c r="A355" s="110" t="s">
        <v>470</v>
      </c>
      <c r="B355" s="111" t="s">
        <v>227</v>
      </c>
      <c r="C355" s="112" t="s">
        <v>228</v>
      </c>
      <c r="D355" s="113" t="s">
        <v>20</v>
      </c>
      <c r="E355" s="369" t="s">
        <v>15</v>
      </c>
      <c r="F355" s="369" t="s">
        <v>32</v>
      </c>
      <c r="G355" s="370">
        <v>8.32</v>
      </c>
      <c r="H355" s="126">
        <v>7.6</v>
      </c>
      <c r="I355" s="358">
        <v>2</v>
      </c>
      <c r="J355" s="117">
        <f t="shared" ref="J355:J372" si="171">H355*G355*I355/1000</f>
        <v>0.12646399999999999</v>
      </c>
      <c r="K355" s="118"/>
      <c r="L355" s="111">
        <v>2</v>
      </c>
      <c r="M355" s="117">
        <f t="shared" ref="M355:M372" si="172">H355*L355*G355/1000</f>
        <v>0.12646399999999999</v>
      </c>
      <c r="N355" s="119">
        <f t="shared" ref="N355:N372" si="173">I355-L355</f>
        <v>0</v>
      </c>
      <c r="O355" s="120">
        <f t="shared" ref="O355:O372" si="174">H355*N355*G355/1000</f>
        <v>0</v>
      </c>
      <c r="P355" s="111">
        <v>7.6</v>
      </c>
      <c r="Q355" s="45">
        <v>2</v>
      </c>
      <c r="R355" s="32" t="s">
        <v>602</v>
      </c>
    </row>
    <row r="356" spans="1:18">
      <c r="A356" s="110" t="s">
        <v>470</v>
      </c>
      <c r="B356" s="111" t="s">
        <v>227</v>
      </c>
      <c r="C356" s="112" t="s">
        <v>228</v>
      </c>
      <c r="D356" s="113" t="s">
        <v>20</v>
      </c>
      <c r="E356" s="369" t="s">
        <v>15</v>
      </c>
      <c r="F356" s="369" t="s">
        <v>32</v>
      </c>
      <c r="G356" s="370">
        <v>8.32</v>
      </c>
      <c r="H356" s="126">
        <v>7.5</v>
      </c>
      <c r="I356" s="358">
        <v>2</v>
      </c>
      <c r="J356" s="117">
        <f t="shared" si="171"/>
        <v>0.12480000000000001</v>
      </c>
      <c r="K356" s="118"/>
      <c r="L356" s="111">
        <v>2</v>
      </c>
      <c r="M356" s="117">
        <f t="shared" si="172"/>
        <v>0.12480000000000001</v>
      </c>
      <c r="N356" s="119">
        <f t="shared" si="173"/>
        <v>0</v>
      </c>
      <c r="O356" s="120">
        <f t="shared" si="174"/>
        <v>0</v>
      </c>
      <c r="P356" s="111">
        <v>6.3</v>
      </c>
      <c r="Q356" s="45">
        <v>2</v>
      </c>
      <c r="R356" s="32" t="s">
        <v>602</v>
      </c>
    </row>
    <row r="357" spans="1:18">
      <c r="A357" s="110" t="s">
        <v>470</v>
      </c>
      <c r="B357" s="111" t="s">
        <v>227</v>
      </c>
      <c r="C357" s="112" t="s">
        <v>228</v>
      </c>
      <c r="D357" s="113" t="s">
        <v>20</v>
      </c>
      <c r="E357" s="369" t="s">
        <v>15</v>
      </c>
      <c r="F357" s="369" t="s">
        <v>32</v>
      </c>
      <c r="G357" s="370">
        <v>8.32</v>
      </c>
      <c r="H357" s="126">
        <v>7.4</v>
      </c>
      <c r="I357" s="358">
        <v>1</v>
      </c>
      <c r="J357" s="117">
        <f t="shared" si="171"/>
        <v>6.1568000000000005E-2</v>
      </c>
      <c r="K357" s="118"/>
      <c r="L357" s="111">
        <v>1</v>
      </c>
      <c r="M357" s="117">
        <f t="shared" si="172"/>
        <v>6.1568000000000005E-2</v>
      </c>
      <c r="N357" s="119">
        <f t="shared" si="173"/>
        <v>0</v>
      </c>
      <c r="O357" s="120">
        <f t="shared" si="174"/>
        <v>0</v>
      </c>
      <c r="P357" s="111">
        <v>6.3</v>
      </c>
      <c r="Q357" s="45">
        <v>1</v>
      </c>
      <c r="R357" s="32" t="s">
        <v>602</v>
      </c>
    </row>
    <row r="358" spans="1:18">
      <c r="A358" s="110" t="s">
        <v>470</v>
      </c>
      <c r="B358" s="111" t="s">
        <v>227</v>
      </c>
      <c r="C358" s="112" t="s">
        <v>228</v>
      </c>
      <c r="D358" s="113" t="s">
        <v>20</v>
      </c>
      <c r="E358" s="369" t="s">
        <v>15</v>
      </c>
      <c r="F358" s="369" t="s">
        <v>32</v>
      </c>
      <c r="G358" s="370">
        <v>8.32</v>
      </c>
      <c r="H358" s="126">
        <v>7.2</v>
      </c>
      <c r="I358" s="358">
        <v>2</v>
      </c>
      <c r="J358" s="117">
        <f t="shared" si="171"/>
        <v>0.11980800000000001</v>
      </c>
      <c r="K358" s="118"/>
      <c r="L358" s="111">
        <v>2</v>
      </c>
      <c r="M358" s="117">
        <f t="shared" si="172"/>
        <v>0.11980800000000001</v>
      </c>
      <c r="N358" s="119">
        <f t="shared" si="173"/>
        <v>0</v>
      </c>
      <c r="O358" s="120">
        <f t="shared" si="174"/>
        <v>0</v>
      </c>
      <c r="P358" s="111">
        <v>6.3</v>
      </c>
      <c r="Q358" s="45">
        <v>2</v>
      </c>
      <c r="R358" s="32" t="s">
        <v>602</v>
      </c>
    </row>
    <row r="359" spans="1:18">
      <c r="A359" s="110" t="s">
        <v>470</v>
      </c>
      <c r="B359" s="111" t="s">
        <v>227</v>
      </c>
      <c r="C359" s="112" t="s">
        <v>228</v>
      </c>
      <c r="D359" s="113" t="s">
        <v>20</v>
      </c>
      <c r="E359" s="369" t="s">
        <v>15</v>
      </c>
      <c r="F359" s="369" t="s">
        <v>32</v>
      </c>
      <c r="G359" s="370">
        <v>8.32</v>
      </c>
      <c r="H359" s="126">
        <v>6.8</v>
      </c>
      <c r="I359" s="358">
        <v>1</v>
      </c>
      <c r="J359" s="117">
        <f t="shared" si="171"/>
        <v>5.6576000000000001E-2</v>
      </c>
      <c r="K359" s="118"/>
      <c r="L359" s="111">
        <v>1</v>
      </c>
      <c r="M359" s="117">
        <f t="shared" si="172"/>
        <v>5.6576000000000001E-2</v>
      </c>
      <c r="N359" s="119">
        <f t="shared" si="173"/>
        <v>0</v>
      </c>
      <c r="O359" s="120">
        <f t="shared" si="174"/>
        <v>0</v>
      </c>
      <c r="P359" s="111">
        <v>6.3</v>
      </c>
      <c r="Q359" s="45">
        <v>1</v>
      </c>
      <c r="R359" s="32" t="s">
        <v>602</v>
      </c>
    </row>
    <row r="360" spans="1:18">
      <c r="A360" s="110" t="s">
        <v>470</v>
      </c>
      <c r="B360" s="111" t="s">
        <v>227</v>
      </c>
      <c r="C360" s="112" t="s">
        <v>228</v>
      </c>
      <c r="D360" s="113" t="s">
        <v>20</v>
      </c>
      <c r="E360" s="369" t="s">
        <v>15</v>
      </c>
      <c r="F360" s="369" t="s">
        <v>32</v>
      </c>
      <c r="G360" s="370">
        <v>8.32</v>
      </c>
      <c r="H360" s="126">
        <v>6.3</v>
      </c>
      <c r="I360" s="358">
        <v>1</v>
      </c>
      <c r="J360" s="117">
        <f t="shared" si="171"/>
        <v>5.2415999999999997E-2</v>
      </c>
      <c r="K360" s="118"/>
      <c r="L360" s="111">
        <v>1</v>
      </c>
      <c r="M360" s="117">
        <f t="shared" si="172"/>
        <v>5.2415999999999997E-2</v>
      </c>
      <c r="N360" s="119">
        <f t="shared" si="173"/>
        <v>0</v>
      </c>
      <c r="O360" s="120">
        <f t="shared" si="174"/>
        <v>0</v>
      </c>
      <c r="P360" s="111">
        <v>6.3</v>
      </c>
      <c r="Q360" s="45">
        <v>1</v>
      </c>
      <c r="R360" s="32" t="s">
        <v>602</v>
      </c>
    </row>
    <row r="361" spans="1:18">
      <c r="A361" s="110" t="s">
        <v>470</v>
      </c>
      <c r="B361" s="111" t="s">
        <v>227</v>
      </c>
      <c r="C361" s="112" t="s">
        <v>228</v>
      </c>
      <c r="D361" s="113" t="s">
        <v>20</v>
      </c>
      <c r="E361" s="369" t="s">
        <v>15</v>
      </c>
      <c r="F361" s="369" t="s">
        <v>32</v>
      </c>
      <c r="G361" s="370">
        <v>8.32</v>
      </c>
      <c r="H361" s="126">
        <v>9.5</v>
      </c>
      <c r="I361" s="358">
        <v>6</v>
      </c>
      <c r="J361" s="117">
        <f t="shared" si="171"/>
        <v>0.47423999999999999</v>
      </c>
      <c r="K361" s="118"/>
      <c r="L361" s="111">
        <v>6</v>
      </c>
      <c r="M361" s="117">
        <f t="shared" si="172"/>
        <v>0.47423999999999999</v>
      </c>
      <c r="N361" s="119">
        <f t="shared" si="173"/>
        <v>0</v>
      </c>
      <c r="O361" s="120">
        <f t="shared" si="174"/>
        <v>0</v>
      </c>
      <c r="P361" s="111">
        <v>8.5</v>
      </c>
      <c r="Q361" s="32"/>
      <c r="R361" s="32"/>
    </row>
    <row r="362" spans="1:18">
      <c r="A362" s="110" t="s">
        <v>470</v>
      </c>
      <c r="B362" s="111" t="s">
        <v>227</v>
      </c>
      <c r="C362" s="112" t="s">
        <v>228</v>
      </c>
      <c r="D362" s="113" t="s">
        <v>20</v>
      </c>
      <c r="E362" s="369" t="s">
        <v>15</v>
      </c>
      <c r="F362" s="369" t="s">
        <v>32</v>
      </c>
      <c r="G362" s="370">
        <v>8.32</v>
      </c>
      <c r="H362" s="126">
        <v>7.5</v>
      </c>
      <c r="I362" s="358">
        <v>3</v>
      </c>
      <c r="J362" s="117">
        <f t="shared" si="171"/>
        <v>0.18720000000000001</v>
      </c>
      <c r="K362" s="118"/>
      <c r="L362" s="111">
        <v>3</v>
      </c>
      <c r="M362" s="117">
        <f t="shared" si="172"/>
        <v>0.18720000000000001</v>
      </c>
      <c r="N362" s="119">
        <f t="shared" si="173"/>
        <v>0</v>
      </c>
      <c r="O362" s="120">
        <f t="shared" si="174"/>
        <v>0</v>
      </c>
      <c r="P362" s="111"/>
      <c r="Q362" s="32"/>
      <c r="R362" s="32"/>
    </row>
    <row r="363" spans="1:18">
      <c r="A363" s="110" t="s">
        <v>470</v>
      </c>
      <c r="B363" s="111" t="s">
        <v>227</v>
      </c>
      <c r="C363" s="112" t="s">
        <v>228</v>
      </c>
      <c r="D363" s="113" t="s">
        <v>20</v>
      </c>
      <c r="E363" s="369" t="s">
        <v>15</v>
      </c>
      <c r="F363" s="369" t="s">
        <v>32</v>
      </c>
      <c r="G363" s="370">
        <v>8.32</v>
      </c>
      <c r="H363" s="126">
        <v>7.9</v>
      </c>
      <c r="I363" s="358">
        <v>1</v>
      </c>
      <c r="J363" s="117">
        <f t="shared" si="171"/>
        <v>6.5728000000000009E-2</v>
      </c>
      <c r="K363" s="118"/>
      <c r="L363" s="111">
        <v>1</v>
      </c>
      <c r="M363" s="117">
        <f t="shared" si="172"/>
        <v>6.5728000000000009E-2</v>
      </c>
      <c r="N363" s="119">
        <f t="shared" si="173"/>
        <v>0</v>
      </c>
      <c r="O363" s="120">
        <f t="shared" si="174"/>
        <v>0</v>
      </c>
      <c r="P363" s="111">
        <v>6.3</v>
      </c>
      <c r="Q363" s="45">
        <v>1</v>
      </c>
      <c r="R363" s="32" t="s">
        <v>602</v>
      </c>
    </row>
    <row r="364" spans="1:18">
      <c r="A364" s="110" t="s">
        <v>470</v>
      </c>
      <c r="B364" s="111" t="s">
        <v>227</v>
      </c>
      <c r="C364" s="112" t="s">
        <v>228</v>
      </c>
      <c r="D364" s="113" t="s">
        <v>20</v>
      </c>
      <c r="E364" s="369" t="s">
        <v>15</v>
      </c>
      <c r="F364" s="369" t="s">
        <v>32</v>
      </c>
      <c r="G364" s="370">
        <v>8.32</v>
      </c>
      <c r="H364" s="126">
        <v>7.8</v>
      </c>
      <c r="I364" s="358">
        <v>3</v>
      </c>
      <c r="J364" s="117">
        <f t="shared" si="171"/>
        <v>0.194688</v>
      </c>
      <c r="K364" s="118"/>
      <c r="L364" s="111">
        <v>3</v>
      </c>
      <c r="M364" s="117">
        <f t="shared" si="172"/>
        <v>0.194688</v>
      </c>
      <c r="N364" s="119">
        <f t="shared" si="173"/>
        <v>0</v>
      </c>
      <c r="O364" s="120">
        <f t="shared" si="174"/>
        <v>0</v>
      </c>
      <c r="P364" s="111">
        <v>6.3</v>
      </c>
      <c r="Q364" s="45">
        <v>3</v>
      </c>
      <c r="R364" s="32" t="s">
        <v>602</v>
      </c>
    </row>
    <row r="365" spans="1:18">
      <c r="A365" s="110" t="s">
        <v>470</v>
      </c>
      <c r="B365" s="111" t="s">
        <v>227</v>
      </c>
      <c r="C365" s="112" t="s">
        <v>228</v>
      </c>
      <c r="D365" s="113" t="s">
        <v>20</v>
      </c>
      <c r="E365" s="369" t="s">
        <v>15</v>
      </c>
      <c r="F365" s="369" t="s">
        <v>32</v>
      </c>
      <c r="G365" s="370">
        <v>8.32</v>
      </c>
      <c r="H365" s="126">
        <v>7.2</v>
      </c>
      <c r="I365" s="358">
        <v>3</v>
      </c>
      <c r="J365" s="117">
        <f t="shared" si="171"/>
        <v>0.17971200000000001</v>
      </c>
      <c r="K365" s="118"/>
      <c r="L365" s="111">
        <v>3</v>
      </c>
      <c r="M365" s="117">
        <f t="shared" si="172"/>
        <v>0.17971200000000001</v>
      </c>
      <c r="N365" s="119">
        <f t="shared" si="173"/>
        <v>0</v>
      </c>
      <c r="O365" s="120">
        <f t="shared" si="174"/>
        <v>0</v>
      </c>
      <c r="P365" s="111">
        <v>6.3</v>
      </c>
      <c r="Q365" s="45">
        <v>3</v>
      </c>
      <c r="R365" s="32" t="s">
        <v>602</v>
      </c>
    </row>
    <row r="366" spans="1:18">
      <c r="A366" s="110" t="s">
        <v>470</v>
      </c>
      <c r="B366" s="111" t="s">
        <v>227</v>
      </c>
      <c r="C366" s="112" t="s">
        <v>228</v>
      </c>
      <c r="D366" s="113" t="s">
        <v>20</v>
      </c>
      <c r="E366" s="369" t="s">
        <v>15</v>
      </c>
      <c r="F366" s="369" t="s">
        <v>32</v>
      </c>
      <c r="G366" s="370">
        <v>8.32</v>
      </c>
      <c r="H366" s="126">
        <v>7.1</v>
      </c>
      <c r="I366" s="358">
        <v>2</v>
      </c>
      <c r="J366" s="117">
        <f t="shared" si="171"/>
        <v>0.11814399999999999</v>
      </c>
      <c r="K366" s="118"/>
      <c r="L366" s="111">
        <v>2</v>
      </c>
      <c r="M366" s="117">
        <f t="shared" si="172"/>
        <v>0.11814399999999999</v>
      </c>
      <c r="N366" s="119">
        <f t="shared" si="173"/>
        <v>0</v>
      </c>
      <c r="O366" s="120">
        <f t="shared" si="174"/>
        <v>0</v>
      </c>
      <c r="P366" s="111">
        <v>6.3</v>
      </c>
      <c r="Q366" s="45">
        <v>2</v>
      </c>
      <c r="R366" s="32" t="s">
        <v>602</v>
      </c>
    </row>
    <row r="367" spans="1:18">
      <c r="A367" s="110" t="s">
        <v>470</v>
      </c>
      <c r="B367" s="111" t="s">
        <v>227</v>
      </c>
      <c r="C367" s="112" t="s">
        <v>228</v>
      </c>
      <c r="D367" s="113" t="s">
        <v>20</v>
      </c>
      <c r="E367" s="369" t="s">
        <v>15</v>
      </c>
      <c r="F367" s="369" t="s">
        <v>32</v>
      </c>
      <c r="G367" s="370">
        <v>8.32</v>
      </c>
      <c r="H367" s="126">
        <v>6.9</v>
      </c>
      <c r="I367" s="358">
        <v>1</v>
      </c>
      <c r="J367" s="117">
        <f t="shared" si="171"/>
        <v>5.7408000000000008E-2</v>
      </c>
      <c r="K367" s="118"/>
      <c r="L367" s="111">
        <v>1</v>
      </c>
      <c r="M367" s="117">
        <f t="shared" si="172"/>
        <v>5.7408000000000008E-2</v>
      </c>
      <c r="N367" s="119">
        <f t="shared" si="173"/>
        <v>0</v>
      </c>
      <c r="O367" s="120">
        <f t="shared" si="174"/>
        <v>0</v>
      </c>
      <c r="P367" s="111">
        <v>6.3</v>
      </c>
      <c r="Q367" s="45">
        <v>1</v>
      </c>
      <c r="R367" s="32" t="s">
        <v>602</v>
      </c>
    </row>
    <row r="368" spans="1:18">
      <c r="A368" s="110" t="s">
        <v>470</v>
      </c>
      <c r="B368" s="111" t="s">
        <v>227</v>
      </c>
      <c r="C368" s="112" t="s">
        <v>228</v>
      </c>
      <c r="D368" s="113" t="s">
        <v>20</v>
      </c>
      <c r="E368" s="369" t="s">
        <v>15</v>
      </c>
      <c r="F368" s="369" t="s">
        <v>32</v>
      </c>
      <c r="G368" s="370">
        <v>8.32</v>
      </c>
      <c r="H368" s="126">
        <v>6.8</v>
      </c>
      <c r="I368" s="358">
        <v>2</v>
      </c>
      <c r="J368" s="117">
        <f t="shared" si="171"/>
        <v>0.113152</v>
      </c>
      <c r="K368" s="118"/>
      <c r="L368" s="111">
        <v>2</v>
      </c>
      <c r="M368" s="117">
        <f t="shared" si="172"/>
        <v>0.113152</v>
      </c>
      <c r="N368" s="119">
        <f t="shared" si="173"/>
        <v>0</v>
      </c>
      <c r="O368" s="120">
        <f t="shared" si="174"/>
        <v>0</v>
      </c>
      <c r="P368" s="111">
        <v>6.3</v>
      </c>
      <c r="Q368" s="45">
        <v>2</v>
      </c>
      <c r="R368" s="32" t="s">
        <v>602</v>
      </c>
    </row>
    <row r="369" spans="1:18">
      <c r="A369" s="110" t="s">
        <v>470</v>
      </c>
      <c r="B369" s="111" t="s">
        <v>227</v>
      </c>
      <c r="C369" s="112" t="s">
        <v>228</v>
      </c>
      <c r="D369" s="113" t="s">
        <v>20</v>
      </c>
      <c r="E369" s="369" t="s">
        <v>15</v>
      </c>
      <c r="F369" s="369" t="s">
        <v>32</v>
      </c>
      <c r="G369" s="370">
        <v>8.32</v>
      </c>
      <c r="H369" s="126">
        <v>6.6</v>
      </c>
      <c r="I369" s="358">
        <v>1</v>
      </c>
      <c r="J369" s="117">
        <f t="shared" si="171"/>
        <v>5.4912000000000002E-2</v>
      </c>
      <c r="K369" s="118"/>
      <c r="L369" s="111">
        <v>1</v>
      </c>
      <c r="M369" s="117">
        <f t="shared" si="172"/>
        <v>5.4912000000000002E-2</v>
      </c>
      <c r="N369" s="119">
        <f t="shared" si="173"/>
        <v>0</v>
      </c>
      <c r="O369" s="120">
        <f t="shared" si="174"/>
        <v>0</v>
      </c>
      <c r="P369" s="111">
        <v>6.3</v>
      </c>
      <c r="Q369" s="45">
        <v>1</v>
      </c>
      <c r="R369" s="32" t="s">
        <v>602</v>
      </c>
    </row>
    <row r="370" spans="1:18">
      <c r="A370" s="110" t="s">
        <v>470</v>
      </c>
      <c r="B370" s="111" t="s">
        <v>227</v>
      </c>
      <c r="C370" s="112" t="s">
        <v>228</v>
      </c>
      <c r="D370" s="113" t="s">
        <v>20</v>
      </c>
      <c r="E370" s="369" t="s">
        <v>15</v>
      </c>
      <c r="F370" s="369" t="s">
        <v>32</v>
      </c>
      <c r="G370" s="370">
        <v>8.32</v>
      </c>
      <c r="H370" s="126">
        <v>6.4</v>
      </c>
      <c r="I370" s="358">
        <v>1</v>
      </c>
      <c r="J370" s="117">
        <f t="shared" si="171"/>
        <v>5.3248000000000004E-2</v>
      </c>
      <c r="K370" s="118"/>
      <c r="L370" s="111">
        <v>1</v>
      </c>
      <c r="M370" s="117">
        <f t="shared" si="172"/>
        <v>5.3248000000000004E-2</v>
      </c>
      <c r="N370" s="119">
        <f t="shared" si="173"/>
        <v>0</v>
      </c>
      <c r="O370" s="120">
        <f t="shared" si="174"/>
        <v>0</v>
      </c>
      <c r="P370" s="111">
        <v>6.3</v>
      </c>
      <c r="Q370" s="45">
        <v>1</v>
      </c>
      <c r="R370" s="32" t="s">
        <v>602</v>
      </c>
    </row>
    <row r="371" spans="1:18">
      <c r="A371" s="110" t="s">
        <v>470</v>
      </c>
      <c r="B371" s="111" t="s">
        <v>227</v>
      </c>
      <c r="C371" s="112" t="s">
        <v>228</v>
      </c>
      <c r="D371" s="113" t="s">
        <v>20</v>
      </c>
      <c r="E371" s="369" t="s">
        <v>15</v>
      </c>
      <c r="F371" s="369" t="s">
        <v>32</v>
      </c>
      <c r="G371" s="370">
        <v>8.32</v>
      </c>
      <c r="H371" s="126">
        <v>8.5</v>
      </c>
      <c r="I371" s="358">
        <v>2</v>
      </c>
      <c r="J371" s="117">
        <f t="shared" si="171"/>
        <v>0.14144000000000001</v>
      </c>
      <c r="K371" s="118"/>
      <c r="L371" s="111">
        <v>2</v>
      </c>
      <c r="M371" s="117">
        <f t="shared" si="172"/>
        <v>0.14144000000000001</v>
      </c>
      <c r="N371" s="119">
        <f t="shared" si="173"/>
        <v>0</v>
      </c>
      <c r="O371" s="120">
        <f t="shared" si="174"/>
        <v>0</v>
      </c>
      <c r="P371" s="111"/>
      <c r="Q371" s="32"/>
      <c r="R371" s="32"/>
    </row>
    <row r="372" spans="1:18">
      <c r="A372" s="110" t="s">
        <v>470</v>
      </c>
      <c r="B372" s="111" t="s">
        <v>227</v>
      </c>
      <c r="C372" s="112" t="s">
        <v>228</v>
      </c>
      <c r="D372" s="113" t="s">
        <v>20</v>
      </c>
      <c r="E372" s="369" t="s">
        <v>15</v>
      </c>
      <c r="F372" s="369" t="s">
        <v>32</v>
      </c>
      <c r="G372" s="370">
        <v>8.32</v>
      </c>
      <c r="H372" s="126">
        <v>8</v>
      </c>
      <c r="I372" s="358">
        <v>1</v>
      </c>
      <c r="J372" s="117">
        <f t="shared" si="171"/>
        <v>6.6560000000000008E-2</v>
      </c>
      <c r="K372" s="118"/>
      <c r="L372" s="111">
        <v>1</v>
      </c>
      <c r="M372" s="117">
        <f t="shared" si="172"/>
        <v>6.6560000000000008E-2</v>
      </c>
      <c r="N372" s="119">
        <f t="shared" si="173"/>
        <v>0</v>
      </c>
      <c r="O372" s="120">
        <f t="shared" si="174"/>
        <v>0</v>
      </c>
      <c r="P372" s="111">
        <v>6.3</v>
      </c>
      <c r="Q372" s="45">
        <v>1</v>
      </c>
      <c r="R372" s="32" t="s">
        <v>602</v>
      </c>
    </row>
    <row r="373" spans="1:18">
      <c r="I373" s="215">
        <f>SUM(I337:I372)</f>
        <v>2333</v>
      </c>
      <c r="J373" s="214">
        <f>SUM(J337:J372)</f>
        <v>189.5732800000001</v>
      </c>
      <c r="L373" s="215">
        <f>SUM(L337:L372)</f>
        <v>2333</v>
      </c>
      <c r="M373" s="214">
        <f>SUM(M337:M372)</f>
        <v>189.5732800000001</v>
      </c>
      <c r="N373" s="78">
        <f>SUM(N337:N372)</f>
        <v>0</v>
      </c>
      <c r="O373" s="128">
        <f>SUM(O337:O372)</f>
        <v>0</v>
      </c>
    </row>
    <row r="375" spans="1:18">
      <c r="A375" s="110" t="s">
        <v>665</v>
      </c>
      <c r="B375" s="111" t="s">
        <v>232</v>
      </c>
      <c r="C375" s="112" t="s">
        <v>449</v>
      </c>
      <c r="D375" s="113" t="s">
        <v>20</v>
      </c>
      <c r="E375" s="369" t="s">
        <v>15</v>
      </c>
      <c r="F375" s="369" t="s">
        <v>34</v>
      </c>
      <c r="G375" s="370">
        <v>9.61</v>
      </c>
      <c r="H375" s="125">
        <v>7.6</v>
      </c>
      <c r="I375" s="358">
        <v>11</v>
      </c>
      <c r="J375" s="117">
        <f t="shared" ref="J375" si="175">H375*G375*I375/1000</f>
        <v>0.80339599999999989</v>
      </c>
      <c r="K375" s="118"/>
      <c r="L375" s="111">
        <v>11</v>
      </c>
      <c r="M375" s="117">
        <f t="shared" ref="M375" si="176">H375*L375*G375/1000</f>
        <v>0.80339599999999989</v>
      </c>
      <c r="N375" s="119">
        <f t="shared" ref="N375" si="177">I375-L375</f>
        <v>0</v>
      </c>
      <c r="O375" s="120">
        <f t="shared" ref="O375" si="178">H375*N375*G375/1000</f>
        <v>0</v>
      </c>
      <c r="P375" s="111"/>
      <c r="Q375" s="32"/>
      <c r="R375" s="32"/>
    </row>
    <row r="376" spans="1:18">
      <c r="A376" s="110" t="s">
        <v>665</v>
      </c>
      <c r="B376" s="111" t="s">
        <v>232</v>
      </c>
      <c r="C376" s="112" t="s">
        <v>449</v>
      </c>
      <c r="D376" s="113" t="s">
        <v>20</v>
      </c>
      <c r="E376" s="369" t="s">
        <v>15</v>
      </c>
      <c r="F376" s="369" t="s">
        <v>34</v>
      </c>
      <c r="G376" s="370">
        <v>9.61</v>
      </c>
      <c r="H376" s="125">
        <v>10</v>
      </c>
      <c r="I376" s="358">
        <v>1</v>
      </c>
      <c r="J376" s="117">
        <f t="shared" ref="J376:J394" si="179">H376*G376*I376/1000</f>
        <v>9.6099999999999991E-2</v>
      </c>
      <c r="K376" s="118"/>
      <c r="L376" s="111">
        <v>1</v>
      </c>
      <c r="M376" s="117">
        <f t="shared" ref="M376:M394" si="180">H376*L376*G376/1000</f>
        <v>9.6099999999999991E-2</v>
      </c>
      <c r="N376" s="119">
        <f t="shared" ref="N376:N394" si="181">I376-L376</f>
        <v>0</v>
      </c>
      <c r="O376" s="120">
        <f t="shared" ref="O376:O394" si="182">H376*N376*G376/1000</f>
        <v>0</v>
      </c>
      <c r="P376" s="111"/>
      <c r="Q376" s="32"/>
      <c r="R376" s="32"/>
    </row>
    <row r="377" spans="1:18">
      <c r="A377" s="110" t="s">
        <v>665</v>
      </c>
      <c r="B377" s="111" t="s">
        <v>232</v>
      </c>
      <c r="C377" s="112" t="s">
        <v>449</v>
      </c>
      <c r="D377" s="113" t="s">
        <v>20</v>
      </c>
      <c r="E377" s="369" t="s">
        <v>15</v>
      </c>
      <c r="F377" s="369" t="s">
        <v>34</v>
      </c>
      <c r="G377" s="370">
        <v>9.61</v>
      </c>
      <c r="H377" s="125">
        <v>11</v>
      </c>
      <c r="I377" s="358">
        <v>4</v>
      </c>
      <c r="J377" s="117">
        <f t="shared" si="179"/>
        <v>0.42283999999999999</v>
      </c>
      <c r="K377" s="118"/>
      <c r="L377" s="111">
        <f>2+2</f>
        <v>4</v>
      </c>
      <c r="M377" s="117">
        <f t="shared" si="180"/>
        <v>0.42283999999999999</v>
      </c>
      <c r="N377" s="119">
        <f t="shared" si="181"/>
        <v>0</v>
      </c>
      <c r="O377" s="120">
        <f t="shared" si="182"/>
        <v>0</v>
      </c>
      <c r="P377" s="159">
        <v>7.6</v>
      </c>
      <c r="Q377" s="32">
        <v>2</v>
      </c>
      <c r="R377" s="32"/>
    </row>
    <row r="378" spans="1:18">
      <c r="A378" s="110" t="s">
        <v>665</v>
      </c>
      <c r="B378" s="111" t="s">
        <v>232</v>
      </c>
      <c r="C378" s="112" t="s">
        <v>449</v>
      </c>
      <c r="D378" s="113" t="s">
        <v>20</v>
      </c>
      <c r="E378" s="369" t="s">
        <v>15</v>
      </c>
      <c r="F378" s="369" t="s">
        <v>34</v>
      </c>
      <c r="G378" s="370">
        <v>9.61</v>
      </c>
      <c r="H378" s="125">
        <v>12</v>
      </c>
      <c r="I378" s="358">
        <v>1</v>
      </c>
      <c r="J378" s="117">
        <f t="shared" si="179"/>
        <v>0.11531999999999999</v>
      </c>
      <c r="K378" s="118"/>
      <c r="L378" s="111">
        <v>1</v>
      </c>
      <c r="M378" s="117">
        <f t="shared" si="180"/>
        <v>0.11531999999999999</v>
      </c>
      <c r="N378" s="119">
        <f t="shared" si="181"/>
        <v>0</v>
      </c>
      <c r="O378" s="120">
        <f t="shared" si="182"/>
        <v>0</v>
      </c>
      <c r="P378" s="159">
        <v>7.6</v>
      </c>
      <c r="Q378" s="32">
        <v>1</v>
      </c>
      <c r="R378" s="32"/>
    </row>
    <row r="379" spans="1:18">
      <c r="A379" s="110" t="s">
        <v>665</v>
      </c>
      <c r="B379" s="111" t="s">
        <v>232</v>
      </c>
      <c r="C379" s="112" t="s">
        <v>449</v>
      </c>
      <c r="D379" s="113" t="s">
        <v>20</v>
      </c>
      <c r="E379" s="369" t="s">
        <v>15</v>
      </c>
      <c r="F379" s="369" t="s">
        <v>34</v>
      </c>
      <c r="G379" s="370">
        <v>9.61</v>
      </c>
      <c r="H379" s="125">
        <v>9</v>
      </c>
      <c r="I379" s="358">
        <v>2</v>
      </c>
      <c r="J379" s="117">
        <f t="shared" si="179"/>
        <v>0.17297999999999999</v>
      </c>
      <c r="K379" s="118"/>
      <c r="L379" s="111">
        <v>2</v>
      </c>
      <c r="M379" s="117">
        <f t="shared" si="180"/>
        <v>0.17297999999999999</v>
      </c>
      <c r="N379" s="119">
        <f t="shared" si="181"/>
        <v>0</v>
      </c>
      <c r="O379" s="120">
        <f t="shared" si="182"/>
        <v>0</v>
      </c>
      <c r="P379" s="111"/>
      <c r="Q379" s="32"/>
      <c r="R379" s="32"/>
    </row>
    <row r="380" spans="1:18">
      <c r="A380" s="110" t="s">
        <v>665</v>
      </c>
      <c r="B380" s="111" t="s">
        <v>232</v>
      </c>
      <c r="C380" s="112" t="s">
        <v>449</v>
      </c>
      <c r="D380" s="113" t="s">
        <v>20</v>
      </c>
      <c r="E380" s="369" t="s">
        <v>15</v>
      </c>
      <c r="F380" s="369" t="s">
        <v>34</v>
      </c>
      <c r="G380" s="370">
        <v>9.61</v>
      </c>
      <c r="H380" s="125">
        <v>9.5</v>
      </c>
      <c r="I380" s="358">
        <v>1</v>
      </c>
      <c r="J380" s="117">
        <f t="shared" si="179"/>
        <v>9.1294999999999987E-2</v>
      </c>
      <c r="K380" s="118"/>
      <c r="L380" s="111">
        <v>1</v>
      </c>
      <c r="M380" s="117">
        <f t="shared" si="180"/>
        <v>9.1294999999999987E-2</v>
      </c>
      <c r="N380" s="119">
        <f t="shared" si="181"/>
        <v>0</v>
      </c>
      <c r="O380" s="120">
        <f t="shared" si="182"/>
        <v>0</v>
      </c>
      <c r="P380" s="159">
        <v>7.6</v>
      </c>
      <c r="Q380" s="32">
        <v>1</v>
      </c>
      <c r="R380" s="32"/>
    </row>
    <row r="381" spans="1:18">
      <c r="A381" s="110" t="s">
        <v>665</v>
      </c>
      <c r="B381" s="111" t="s">
        <v>232</v>
      </c>
      <c r="C381" s="112" t="s">
        <v>449</v>
      </c>
      <c r="D381" s="113" t="s">
        <v>20</v>
      </c>
      <c r="E381" s="369" t="s">
        <v>15</v>
      </c>
      <c r="F381" s="369" t="s">
        <v>34</v>
      </c>
      <c r="G381" s="370">
        <v>9.61</v>
      </c>
      <c r="H381" s="125">
        <v>11.25</v>
      </c>
      <c r="I381" s="358">
        <v>2</v>
      </c>
      <c r="J381" s="117">
        <f t="shared" si="179"/>
        <v>0.216225</v>
      </c>
      <c r="K381" s="118"/>
      <c r="L381" s="111">
        <v>2</v>
      </c>
      <c r="M381" s="117">
        <f t="shared" si="180"/>
        <v>0.216225</v>
      </c>
      <c r="N381" s="119">
        <f t="shared" si="181"/>
        <v>0</v>
      </c>
      <c r="O381" s="120">
        <f t="shared" si="182"/>
        <v>0</v>
      </c>
      <c r="P381" s="159"/>
      <c r="Q381" s="32"/>
      <c r="R381" s="32"/>
    </row>
    <row r="382" spans="1:18">
      <c r="A382" s="110" t="s">
        <v>665</v>
      </c>
      <c r="B382" s="111" t="s">
        <v>232</v>
      </c>
      <c r="C382" s="112" t="s">
        <v>449</v>
      </c>
      <c r="D382" s="113" t="s">
        <v>20</v>
      </c>
      <c r="E382" s="369" t="s">
        <v>15</v>
      </c>
      <c r="F382" s="369" t="s">
        <v>34</v>
      </c>
      <c r="G382" s="370">
        <v>9.61</v>
      </c>
      <c r="H382" s="125">
        <v>12</v>
      </c>
      <c r="I382" s="358">
        <v>7</v>
      </c>
      <c r="J382" s="117">
        <f t="shared" si="179"/>
        <v>0.80723999999999996</v>
      </c>
      <c r="K382" s="118"/>
      <c r="L382" s="111">
        <v>7</v>
      </c>
      <c r="M382" s="117">
        <f t="shared" si="180"/>
        <v>0.80723999999999996</v>
      </c>
      <c r="N382" s="119">
        <f t="shared" si="181"/>
        <v>0</v>
      </c>
      <c r="O382" s="120">
        <f t="shared" si="182"/>
        <v>0</v>
      </c>
      <c r="P382" s="159"/>
      <c r="Q382" s="32"/>
      <c r="R382" s="32"/>
    </row>
    <row r="383" spans="1:18">
      <c r="A383" s="110" t="s">
        <v>665</v>
      </c>
      <c r="B383" s="111" t="s">
        <v>232</v>
      </c>
      <c r="C383" s="112" t="s">
        <v>449</v>
      </c>
      <c r="D383" s="113" t="s">
        <v>20</v>
      </c>
      <c r="E383" s="369" t="s">
        <v>15</v>
      </c>
      <c r="F383" s="369" t="s">
        <v>34</v>
      </c>
      <c r="G383" s="370">
        <v>9.61</v>
      </c>
      <c r="H383" s="125">
        <v>10</v>
      </c>
      <c r="I383" s="358">
        <v>9</v>
      </c>
      <c r="J383" s="117">
        <f t="shared" si="179"/>
        <v>0.8649</v>
      </c>
      <c r="K383" s="118"/>
      <c r="L383" s="111">
        <v>9</v>
      </c>
      <c r="M383" s="117">
        <f t="shared" si="180"/>
        <v>0.8649</v>
      </c>
      <c r="N383" s="119">
        <f t="shared" si="181"/>
        <v>0</v>
      </c>
      <c r="O383" s="120">
        <f t="shared" si="182"/>
        <v>0</v>
      </c>
      <c r="P383" s="159"/>
      <c r="Q383" s="32"/>
      <c r="R383" s="32"/>
    </row>
    <row r="384" spans="1:18">
      <c r="A384" s="110" t="s">
        <v>665</v>
      </c>
      <c r="B384" s="111" t="s">
        <v>232</v>
      </c>
      <c r="C384" s="112" t="s">
        <v>449</v>
      </c>
      <c r="D384" s="113" t="s">
        <v>20</v>
      </c>
      <c r="E384" s="369" t="s">
        <v>15</v>
      </c>
      <c r="F384" s="369" t="s">
        <v>34</v>
      </c>
      <c r="G384" s="370">
        <v>9.61</v>
      </c>
      <c r="H384" s="125">
        <v>9</v>
      </c>
      <c r="I384" s="358">
        <v>1</v>
      </c>
      <c r="J384" s="117">
        <f t="shared" si="179"/>
        <v>8.6489999999999997E-2</v>
      </c>
      <c r="K384" s="118"/>
      <c r="L384" s="111">
        <v>1</v>
      </c>
      <c r="M384" s="117">
        <f t="shared" si="180"/>
        <v>8.6489999999999997E-2</v>
      </c>
      <c r="N384" s="119">
        <f t="shared" si="181"/>
        <v>0</v>
      </c>
      <c r="O384" s="120">
        <f t="shared" si="182"/>
        <v>0</v>
      </c>
      <c r="P384" s="159">
        <v>7.6</v>
      </c>
      <c r="Q384" s="32">
        <v>1</v>
      </c>
      <c r="R384" s="32"/>
    </row>
    <row r="385" spans="1:18">
      <c r="A385" s="110" t="s">
        <v>665</v>
      </c>
      <c r="B385" s="111" t="s">
        <v>232</v>
      </c>
      <c r="C385" s="112" t="s">
        <v>449</v>
      </c>
      <c r="D385" s="113" t="s">
        <v>20</v>
      </c>
      <c r="E385" s="369" t="s">
        <v>15</v>
      </c>
      <c r="F385" s="369" t="s">
        <v>34</v>
      </c>
      <c r="G385" s="370">
        <v>9.61</v>
      </c>
      <c r="H385" s="125">
        <v>9.5</v>
      </c>
      <c r="I385" s="358">
        <v>3</v>
      </c>
      <c r="J385" s="117">
        <f t="shared" si="179"/>
        <v>0.27388499999999999</v>
      </c>
      <c r="K385" s="118"/>
      <c r="L385" s="111">
        <f>1+2</f>
        <v>3</v>
      </c>
      <c r="M385" s="117">
        <f t="shared" si="180"/>
        <v>0.27388499999999999</v>
      </c>
      <c r="N385" s="119">
        <f t="shared" si="181"/>
        <v>0</v>
      </c>
      <c r="O385" s="120">
        <f t="shared" si="182"/>
        <v>0</v>
      </c>
      <c r="P385" s="159">
        <v>7.6</v>
      </c>
      <c r="Q385" s="32">
        <v>2</v>
      </c>
      <c r="R385" s="32"/>
    </row>
    <row r="386" spans="1:18">
      <c r="A386" s="110" t="s">
        <v>665</v>
      </c>
      <c r="B386" s="111" t="s">
        <v>232</v>
      </c>
      <c r="C386" s="112" t="s">
        <v>449</v>
      </c>
      <c r="D386" s="113" t="s">
        <v>20</v>
      </c>
      <c r="E386" s="369" t="s">
        <v>15</v>
      </c>
      <c r="F386" s="369" t="s">
        <v>34</v>
      </c>
      <c r="G386" s="370">
        <v>9.61</v>
      </c>
      <c r="H386" s="125">
        <v>12</v>
      </c>
      <c r="I386" s="358">
        <v>3</v>
      </c>
      <c r="J386" s="117">
        <f t="shared" si="179"/>
        <v>0.34595999999999999</v>
      </c>
      <c r="K386" s="118"/>
      <c r="L386" s="111">
        <v>3</v>
      </c>
      <c r="M386" s="117">
        <f t="shared" si="180"/>
        <v>0.34595999999999999</v>
      </c>
      <c r="N386" s="119">
        <f t="shared" si="181"/>
        <v>0</v>
      </c>
      <c r="O386" s="120">
        <f t="shared" si="182"/>
        <v>0</v>
      </c>
      <c r="P386" s="111"/>
      <c r="Q386" s="32"/>
      <c r="R386" s="32"/>
    </row>
    <row r="387" spans="1:18">
      <c r="A387" s="110" t="s">
        <v>665</v>
      </c>
      <c r="B387" s="111" t="s">
        <v>232</v>
      </c>
      <c r="C387" s="112" t="s">
        <v>449</v>
      </c>
      <c r="D387" s="113" t="s">
        <v>20</v>
      </c>
      <c r="E387" s="369" t="s">
        <v>15</v>
      </c>
      <c r="F387" s="369" t="s">
        <v>34</v>
      </c>
      <c r="G387" s="370">
        <v>9.61</v>
      </c>
      <c r="H387" s="125">
        <v>7.6</v>
      </c>
      <c r="I387" s="358">
        <v>35</v>
      </c>
      <c r="J387" s="117">
        <f t="shared" si="179"/>
        <v>2.55626</v>
      </c>
      <c r="K387" s="118"/>
      <c r="L387" s="111">
        <v>35</v>
      </c>
      <c r="M387" s="117">
        <f t="shared" si="180"/>
        <v>2.55626</v>
      </c>
      <c r="N387" s="119">
        <f t="shared" si="181"/>
        <v>0</v>
      </c>
      <c r="O387" s="120">
        <f t="shared" si="182"/>
        <v>0</v>
      </c>
      <c r="P387" s="111"/>
      <c r="Q387" s="32"/>
      <c r="R387" s="32"/>
    </row>
    <row r="388" spans="1:18">
      <c r="A388" s="110" t="s">
        <v>665</v>
      </c>
      <c r="B388" s="111" t="s">
        <v>232</v>
      </c>
      <c r="C388" s="112" t="s">
        <v>449</v>
      </c>
      <c r="D388" s="113" t="s">
        <v>20</v>
      </c>
      <c r="E388" s="369" t="s">
        <v>15</v>
      </c>
      <c r="F388" s="369" t="s">
        <v>34</v>
      </c>
      <c r="G388" s="370">
        <v>9.61</v>
      </c>
      <c r="H388" s="125">
        <v>7.6</v>
      </c>
      <c r="I388" s="358">
        <v>38</v>
      </c>
      <c r="J388" s="117">
        <f t="shared" si="179"/>
        <v>2.7753679999999994</v>
      </c>
      <c r="K388" s="118"/>
      <c r="L388" s="111">
        <v>38</v>
      </c>
      <c r="M388" s="117">
        <f t="shared" si="180"/>
        <v>2.7753679999999998</v>
      </c>
      <c r="N388" s="119">
        <f t="shared" si="181"/>
        <v>0</v>
      </c>
      <c r="O388" s="120">
        <f t="shared" si="182"/>
        <v>0</v>
      </c>
      <c r="P388" s="111"/>
      <c r="Q388" s="32"/>
      <c r="R388" s="32"/>
    </row>
    <row r="389" spans="1:18">
      <c r="A389" s="110" t="s">
        <v>665</v>
      </c>
      <c r="B389" s="111" t="s">
        <v>232</v>
      </c>
      <c r="C389" s="112" t="s">
        <v>449</v>
      </c>
      <c r="D389" s="113" t="s">
        <v>20</v>
      </c>
      <c r="E389" s="369" t="s">
        <v>15</v>
      </c>
      <c r="F389" s="369" t="s">
        <v>34</v>
      </c>
      <c r="G389" s="370">
        <v>9.61</v>
      </c>
      <c r="H389" s="125">
        <v>7.6</v>
      </c>
      <c r="I389" s="358">
        <v>7</v>
      </c>
      <c r="J389" s="117">
        <f t="shared" si="179"/>
        <v>0.51125199999999993</v>
      </c>
      <c r="K389" s="118"/>
      <c r="L389" s="111">
        <v>7</v>
      </c>
      <c r="M389" s="117">
        <f t="shared" si="180"/>
        <v>0.51125199999999993</v>
      </c>
      <c r="N389" s="119">
        <f t="shared" si="181"/>
        <v>0</v>
      </c>
      <c r="O389" s="120">
        <f t="shared" si="182"/>
        <v>0</v>
      </c>
      <c r="P389" s="111"/>
      <c r="Q389" s="32"/>
      <c r="R389" s="32"/>
    </row>
    <row r="390" spans="1:18">
      <c r="A390" s="110" t="s">
        <v>665</v>
      </c>
      <c r="B390" s="111" t="s">
        <v>232</v>
      </c>
      <c r="C390" s="112" t="s">
        <v>449</v>
      </c>
      <c r="D390" s="113" t="s">
        <v>20</v>
      </c>
      <c r="E390" s="369" t="s">
        <v>15</v>
      </c>
      <c r="F390" s="369" t="s">
        <v>34</v>
      </c>
      <c r="G390" s="370">
        <v>9.61</v>
      </c>
      <c r="H390" s="125">
        <v>6</v>
      </c>
      <c r="I390" s="358">
        <v>1</v>
      </c>
      <c r="J390" s="117">
        <f t="shared" si="179"/>
        <v>5.7659999999999996E-2</v>
      </c>
      <c r="K390" s="118"/>
      <c r="L390" s="111">
        <v>1</v>
      </c>
      <c r="M390" s="117">
        <f t="shared" si="180"/>
        <v>5.7659999999999996E-2</v>
      </c>
      <c r="N390" s="119">
        <f t="shared" si="181"/>
        <v>0</v>
      </c>
      <c r="O390" s="120">
        <f t="shared" si="182"/>
        <v>0</v>
      </c>
      <c r="P390" s="111"/>
      <c r="Q390" s="32"/>
      <c r="R390" s="32"/>
    </row>
    <row r="391" spans="1:18">
      <c r="A391" s="110" t="s">
        <v>665</v>
      </c>
      <c r="B391" s="111" t="s">
        <v>232</v>
      </c>
      <c r="C391" s="112" t="s">
        <v>449</v>
      </c>
      <c r="D391" s="113" t="s">
        <v>20</v>
      </c>
      <c r="E391" s="369" t="s">
        <v>15</v>
      </c>
      <c r="F391" s="369" t="s">
        <v>34</v>
      </c>
      <c r="G391" s="370">
        <v>9.61</v>
      </c>
      <c r="H391" s="125">
        <v>7.05</v>
      </c>
      <c r="I391" s="358">
        <v>4</v>
      </c>
      <c r="J391" s="117">
        <f t="shared" si="179"/>
        <v>0.27100199999999997</v>
      </c>
      <c r="K391" s="118"/>
      <c r="L391" s="111">
        <v>4</v>
      </c>
      <c r="M391" s="117">
        <f t="shared" si="180"/>
        <v>0.27100199999999997</v>
      </c>
      <c r="N391" s="119">
        <f t="shared" si="181"/>
        <v>0</v>
      </c>
      <c r="O391" s="120">
        <f t="shared" si="182"/>
        <v>0</v>
      </c>
      <c r="P391" s="111"/>
      <c r="Q391" s="32"/>
      <c r="R391" s="32"/>
    </row>
    <row r="392" spans="1:18">
      <c r="A392" s="110" t="s">
        <v>665</v>
      </c>
      <c r="B392" s="111" t="s">
        <v>232</v>
      </c>
      <c r="C392" s="112" t="s">
        <v>449</v>
      </c>
      <c r="D392" s="113" t="s">
        <v>20</v>
      </c>
      <c r="E392" s="369" t="s">
        <v>15</v>
      </c>
      <c r="F392" s="369" t="s">
        <v>34</v>
      </c>
      <c r="G392" s="370">
        <v>9.61</v>
      </c>
      <c r="H392" s="125">
        <v>6.1</v>
      </c>
      <c r="I392" s="358">
        <v>2</v>
      </c>
      <c r="J392" s="117">
        <f t="shared" si="179"/>
        <v>0.11724199999999999</v>
      </c>
      <c r="K392" s="118"/>
      <c r="L392" s="111">
        <v>2</v>
      </c>
      <c r="M392" s="117">
        <f t="shared" si="180"/>
        <v>0.11724199999999999</v>
      </c>
      <c r="N392" s="119">
        <f t="shared" si="181"/>
        <v>0</v>
      </c>
      <c r="O392" s="120">
        <f t="shared" si="182"/>
        <v>0</v>
      </c>
      <c r="P392" s="111"/>
      <c r="Q392" s="32"/>
      <c r="R392" s="32"/>
    </row>
    <row r="393" spans="1:18">
      <c r="A393" s="110" t="s">
        <v>665</v>
      </c>
      <c r="B393" s="111" t="s">
        <v>232</v>
      </c>
      <c r="C393" s="112" t="s">
        <v>449</v>
      </c>
      <c r="D393" s="113" t="s">
        <v>20</v>
      </c>
      <c r="E393" s="369" t="s">
        <v>15</v>
      </c>
      <c r="F393" s="369" t="s">
        <v>34</v>
      </c>
      <c r="G393" s="370">
        <v>9.61</v>
      </c>
      <c r="H393" s="125">
        <v>6.6</v>
      </c>
      <c r="I393" s="358">
        <v>1</v>
      </c>
      <c r="J393" s="117">
        <f t="shared" si="179"/>
        <v>6.3425999999999996E-2</v>
      </c>
      <c r="K393" s="118"/>
      <c r="L393" s="111">
        <v>1</v>
      </c>
      <c r="M393" s="117">
        <f t="shared" si="180"/>
        <v>6.3425999999999996E-2</v>
      </c>
      <c r="N393" s="119">
        <f t="shared" si="181"/>
        <v>0</v>
      </c>
      <c r="O393" s="120">
        <f t="shared" si="182"/>
        <v>0</v>
      </c>
      <c r="P393" s="111"/>
      <c r="Q393" s="32"/>
      <c r="R393" s="32"/>
    </row>
    <row r="394" spans="1:18">
      <c r="A394" s="110" t="s">
        <v>665</v>
      </c>
      <c r="B394" s="111" t="s">
        <v>232</v>
      </c>
      <c r="C394" s="112" t="s">
        <v>449</v>
      </c>
      <c r="D394" s="113" t="s">
        <v>20</v>
      </c>
      <c r="E394" s="369" t="s">
        <v>15</v>
      </c>
      <c r="F394" s="369" t="s">
        <v>34</v>
      </c>
      <c r="G394" s="370">
        <v>9.61</v>
      </c>
      <c r="H394" s="125">
        <v>6</v>
      </c>
      <c r="I394" s="358">
        <v>1</v>
      </c>
      <c r="J394" s="117">
        <f t="shared" si="179"/>
        <v>5.7659999999999996E-2</v>
      </c>
      <c r="K394" s="118"/>
      <c r="L394" s="111">
        <v>1</v>
      </c>
      <c r="M394" s="117">
        <f t="shared" si="180"/>
        <v>5.7659999999999996E-2</v>
      </c>
      <c r="N394" s="119">
        <f t="shared" si="181"/>
        <v>0</v>
      </c>
      <c r="O394" s="120">
        <f t="shared" si="182"/>
        <v>0</v>
      </c>
      <c r="P394" s="111"/>
      <c r="Q394" s="32"/>
      <c r="R394" s="32"/>
    </row>
    <row r="395" spans="1:18">
      <c r="A395" s="110" t="s">
        <v>665</v>
      </c>
      <c r="B395" s="111" t="s">
        <v>232</v>
      </c>
      <c r="C395" s="112" t="s">
        <v>449</v>
      </c>
      <c r="D395" s="113" t="s">
        <v>20</v>
      </c>
      <c r="E395" s="369" t="s">
        <v>15</v>
      </c>
      <c r="F395" s="369" t="s">
        <v>34</v>
      </c>
      <c r="G395" s="370">
        <v>9.61</v>
      </c>
      <c r="H395" s="126">
        <v>7</v>
      </c>
      <c r="I395" s="188">
        <v>1</v>
      </c>
      <c r="J395" s="117">
        <f t="shared" ref="J395:J406" si="183">H395*G395*I395/1000</f>
        <v>6.7269999999999996E-2</v>
      </c>
      <c r="K395" s="118"/>
      <c r="L395" s="111">
        <v>1</v>
      </c>
      <c r="M395" s="117">
        <f t="shared" ref="M395:M406" si="184">H395*L395*G395/1000</f>
        <v>6.7269999999999996E-2</v>
      </c>
      <c r="N395" s="119">
        <f t="shared" ref="N395:N406" si="185">I395-L395</f>
        <v>0</v>
      </c>
      <c r="O395" s="120">
        <f t="shared" ref="O395:O406" si="186">H395*N395*G395/1000</f>
        <v>0</v>
      </c>
      <c r="P395" s="111"/>
      <c r="Q395" s="32"/>
      <c r="R395" s="32"/>
    </row>
    <row r="396" spans="1:18">
      <c r="A396" s="110" t="s">
        <v>665</v>
      </c>
      <c r="B396" s="111" t="s">
        <v>232</v>
      </c>
      <c r="C396" s="112" t="s">
        <v>449</v>
      </c>
      <c r="D396" s="113" t="s">
        <v>20</v>
      </c>
      <c r="E396" s="369" t="s">
        <v>15</v>
      </c>
      <c r="F396" s="369" t="s">
        <v>34</v>
      </c>
      <c r="G396" s="370">
        <v>9.61</v>
      </c>
      <c r="H396" s="126">
        <v>9</v>
      </c>
      <c r="I396" s="188">
        <v>2</v>
      </c>
      <c r="J396" s="117">
        <f t="shared" si="183"/>
        <v>0.17297999999999999</v>
      </c>
      <c r="K396" s="118"/>
      <c r="L396" s="111">
        <v>2</v>
      </c>
      <c r="M396" s="117">
        <f t="shared" si="184"/>
        <v>0.17297999999999999</v>
      </c>
      <c r="N396" s="119">
        <f t="shared" si="185"/>
        <v>0</v>
      </c>
      <c r="O396" s="120">
        <f t="shared" si="186"/>
        <v>0</v>
      </c>
      <c r="P396" s="111"/>
      <c r="Q396" s="32"/>
      <c r="R396" s="32"/>
    </row>
    <row r="397" spans="1:18">
      <c r="A397" s="110" t="s">
        <v>665</v>
      </c>
      <c r="B397" s="111" t="s">
        <v>232</v>
      </c>
      <c r="C397" s="112" t="s">
        <v>449</v>
      </c>
      <c r="D397" s="113" t="s">
        <v>20</v>
      </c>
      <c r="E397" s="369" t="s">
        <v>15</v>
      </c>
      <c r="F397" s="369" t="s">
        <v>34</v>
      </c>
      <c r="G397" s="370">
        <v>9.61</v>
      </c>
      <c r="H397" s="126">
        <v>9.5</v>
      </c>
      <c r="I397" s="188">
        <v>3</v>
      </c>
      <c r="J397" s="117">
        <f t="shared" si="183"/>
        <v>0.27388499999999999</v>
      </c>
      <c r="K397" s="118"/>
      <c r="L397" s="111">
        <v>3</v>
      </c>
      <c r="M397" s="117">
        <f t="shared" si="184"/>
        <v>0.27388499999999999</v>
      </c>
      <c r="N397" s="119">
        <f t="shared" si="185"/>
        <v>0</v>
      </c>
      <c r="O397" s="120">
        <f t="shared" si="186"/>
        <v>0</v>
      </c>
      <c r="P397" s="111"/>
      <c r="Q397" s="32"/>
      <c r="R397" s="32"/>
    </row>
    <row r="398" spans="1:18">
      <c r="A398" s="110" t="s">
        <v>665</v>
      </c>
      <c r="B398" s="111" t="s">
        <v>232</v>
      </c>
      <c r="C398" s="112" t="s">
        <v>449</v>
      </c>
      <c r="D398" s="113" t="s">
        <v>20</v>
      </c>
      <c r="E398" s="369" t="s">
        <v>15</v>
      </c>
      <c r="F398" s="369" t="s">
        <v>34</v>
      </c>
      <c r="G398" s="370">
        <v>9.61</v>
      </c>
      <c r="H398" s="126">
        <v>10</v>
      </c>
      <c r="I398" s="188">
        <v>4</v>
      </c>
      <c r="J398" s="117">
        <f t="shared" si="183"/>
        <v>0.38439999999999996</v>
      </c>
      <c r="K398" s="118"/>
      <c r="L398" s="111">
        <v>4</v>
      </c>
      <c r="M398" s="117">
        <f t="shared" si="184"/>
        <v>0.38439999999999996</v>
      </c>
      <c r="N398" s="119">
        <f t="shared" si="185"/>
        <v>0</v>
      </c>
      <c r="O398" s="120">
        <f t="shared" si="186"/>
        <v>0</v>
      </c>
      <c r="P398" s="111"/>
      <c r="Q398" s="32"/>
      <c r="R398" s="32"/>
    </row>
    <row r="399" spans="1:18">
      <c r="A399" s="110" t="s">
        <v>665</v>
      </c>
      <c r="B399" s="111" t="s">
        <v>232</v>
      </c>
      <c r="C399" s="112" t="s">
        <v>449</v>
      </c>
      <c r="D399" s="113" t="s">
        <v>20</v>
      </c>
      <c r="E399" s="369" t="s">
        <v>15</v>
      </c>
      <c r="F399" s="369" t="s">
        <v>34</v>
      </c>
      <c r="G399" s="370">
        <v>9.61</v>
      </c>
      <c r="H399" s="126">
        <v>11.25</v>
      </c>
      <c r="I399" s="188">
        <v>1</v>
      </c>
      <c r="J399" s="117">
        <f t="shared" si="183"/>
        <v>0.1081125</v>
      </c>
      <c r="K399" s="118"/>
      <c r="L399" s="111">
        <v>1</v>
      </c>
      <c r="M399" s="117">
        <f t="shared" si="184"/>
        <v>0.1081125</v>
      </c>
      <c r="N399" s="119">
        <f t="shared" si="185"/>
        <v>0</v>
      </c>
      <c r="O399" s="120">
        <f t="shared" si="186"/>
        <v>0</v>
      </c>
      <c r="P399" s="111"/>
      <c r="Q399" s="32"/>
      <c r="R399" s="32"/>
    </row>
    <row r="400" spans="1:18">
      <c r="A400" s="110" t="s">
        <v>665</v>
      </c>
      <c r="B400" s="111" t="s">
        <v>232</v>
      </c>
      <c r="C400" s="112" t="s">
        <v>449</v>
      </c>
      <c r="D400" s="113" t="s">
        <v>20</v>
      </c>
      <c r="E400" s="369" t="s">
        <v>15</v>
      </c>
      <c r="F400" s="369" t="s">
        <v>34</v>
      </c>
      <c r="G400" s="370">
        <v>9.61</v>
      </c>
      <c r="H400" s="126">
        <v>7.6</v>
      </c>
      <c r="I400" s="188">
        <v>5</v>
      </c>
      <c r="J400" s="117">
        <f t="shared" si="183"/>
        <v>0.36517999999999995</v>
      </c>
      <c r="K400" s="118"/>
      <c r="L400" s="111">
        <v>5</v>
      </c>
      <c r="M400" s="117">
        <f t="shared" si="184"/>
        <v>0.36517999999999995</v>
      </c>
      <c r="N400" s="119">
        <f t="shared" si="185"/>
        <v>0</v>
      </c>
      <c r="O400" s="120">
        <f t="shared" si="186"/>
        <v>0</v>
      </c>
      <c r="P400" s="111"/>
      <c r="Q400" s="32"/>
      <c r="R400" s="32"/>
    </row>
    <row r="401" spans="1:18">
      <c r="A401" s="110" t="s">
        <v>665</v>
      </c>
      <c r="B401" s="111" t="s">
        <v>232</v>
      </c>
      <c r="C401" s="112" t="s">
        <v>449</v>
      </c>
      <c r="D401" s="113" t="s">
        <v>20</v>
      </c>
      <c r="E401" s="369" t="s">
        <v>15</v>
      </c>
      <c r="F401" s="369" t="s">
        <v>34</v>
      </c>
      <c r="G401" s="370">
        <v>9.61</v>
      </c>
      <c r="H401" s="126">
        <v>12</v>
      </c>
      <c r="I401" s="188">
        <v>2</v>
      </c>
      <c r="J401" s="117">
        <f t="shared" si="183"/>
        <v>0.23063999999999998</v>
      </c>
      <c r="K401" s="118"/>
      <c r="L401" s="111">
        <v>2</v>
      </c>
      <c r="M401" s="117">
        <f t="shared" si="184"/>
        <v>0.23063999999999998</v>
      </c>
      <c r="N401" s="119">
        <f t="shared" si="185"/>
        <v>0</v>
      </c>
      <c r="O401" s="120">
        <f t="shared" si="186"/>
        <v>0</v>
      </c>
      <c r="P401" s="111"/>
      <c r="Q401" s="32"/>
      <c r="R401" s="32"/>
    </row>
    <row r="402" spans="1:18">
      <c r="A402" s="110" t="s">
        <v>665</v>
      </c>
      <c r="B402" s="111" t="s">
        <v>232</v>
      </c>
      <c r="C402" s="112" t="s">
        <v>449</v>
      </c>
      <c r="D402" s="113" t="s">
        <v>20</v>
      </c>
      <c r="E402" s="369" t="s">
        <v>15</v>
      </c>
      <c r="F402" s="369" t="s">
        <v>34</v>
      </c>
      <c r="G402" s="370">
        <v>9.61</v>
      </c>
      <c r="H402" s="126">
        <v>12</v>
      </c>
      <c r="I402" s="188">
        <v>11</v>
      </c>
      <c r="J402" s="117">
        <f t="shared" si="183"/>
        <v>1.2685200000000001</v>
      </c>
      <c r="K402" s="118"/>
      <c r="L402" s="111">
        <v>11</v>
      </c>
      <c r="M402" s="117">
        <f t="shared" si="184"/>
        <v>1.2685200000000001</v>
      </c>
      <c r="N402" s="119">
        <f t="shared" si="185"/>
        <v>0</v>
      </c>
      <c r="O402" s="120">
        <f t="shared" si="186"/>
        <v>0</v>
      </c>
      <c r="P402" s="111"/>
      <c r="Q402" s="32"/>
      <c r="R402" s="32"/>
    </row>
    <row r="403" spans="1:18">
      <c r="A403" s="110" t="s">
        <v>665</v>
      </c>
      <c r="B403" s="111" t="s">
        <v>232</v>
      </c>
      <c r="C403" s="112" t="s">
        <v>449</v>
      </c>
      <c r="D403" s="113" t="s">
        <v>20</v>
      </c>
      <c r="E403" s="369" t="s">
        <v>15</v>
      </c>
      <c r="F403" s="369" t="s">
        <v>34</v>
      </c>
      <c r="G403" s="370">
        <v>9.61</v>
      </c>
      <c r="H403" s="126">
        <v>7.6</v>
      </c>
      <c r="I403" s="188">
        <v>35</v>
      </c>
      <c r="J403" s="117">
        <f t="shared" si="183"/>
        <v>2.55626</v>
      </c>
      <c r="K403" s="118"/>
      <c r="L403" s="111">
        <v>35</v>
      </c>
      <c r="M403" s="117">
        <f t="shared" si="184"/>
        <v>2.55626</v>
      </c>
      <c r="N403" s="119">
        <f t="shared" si="185"/>
        <v>0</v>
      </c>
      <c r="O403" s="120">
        <f t="shared" si="186"/>
        <v>0</v>
      </c>
      <c r="P403" s="111"/>
      <c r="Q403" s="32"/>
      <c r="R403" s="32"/>
    </row>
    <row r="404" spans="1:18">
      <c r="A404" s="110" t="s">
        <v>665</v>
      </c>
      <c r="B404" s="111" t="s">
        <v>232</v>
      </c>
      <c r="C404" s="112" t="s">
        <v>449</v>
      </c>
      <c r="D404" s="113" t="s">
        <v>20</v>
      </c>
      <c r="E404" s="369" t="s">
        <v>15</v>
      </c>
      <c r="F404" s="369" t="s">
        <v>34</v>
      </c>
      <c r="G404" s="370">
        <v>9.61</v>
      </c>
      <c r="H404" s="126">
        <v>7.6</v>
      </c>
      <c r="I404" s="188">
        <v>33</v>
      </c>
      <c r="J404" s="117">
        <f t="shared" si="183"/>
        <v>2.4101879999999998</v>
      </c>
      <c r="K404" s="118"/>
      <c r="L404" s="111">
        <v>33</v>
      </c>
      <c r="M404" s="117">
        <f t="shared" si="184"/>
        <v>2.4101879999999998</v>
      </c>
      <c r="N404" s="119">
        <f t="shared" si="185"/>
        <v>0</v>
      </c>
      <c r="O404" s="120">
        <f t="shared" si="186"/>
        <v>0</v>
      </c>
      <c r="P404" s="111"/>
      <c r="Q404" s="32"/>
      <c r="R404" s="32"/>
    </row>
    <row r="405" spans="1:18">
      <c r="A405" s="110" t="s">
        <v>665</v>
      </c>
      <c r="B405" s="111" t="s">
        <v>232</v>
      </c>
      <c r="C405" s="112" t="s">
        <v>449</v>
      </c>
      <c r="D405" s="113" t="s">
        <v>20</v>
      </c>
      <c r="E405" s="369" t="s">
        <v>15</v>
      </c>
      <c r="F405" s="369" t="s">
        <v>34</v>
      </c>
      <c r="G405" s="370">
        <v>9.61</v>
      </c>
      <c r="H405" s="126">
        <v>7</v>
      </c>
      <c r="I405" s="188">
        <v>6</v>
      </c>
      <c r="J405" s="117">
        <f t="shared" si="183"/>
        <v>0.40361999999999998</v>
      </c>
      <c r="K405" s="118"/>
      <c r="L405" s="111">
        <f>4+2</f>
        <v>6</v>
      </c>
      <c r="M405" s="117">
        <f t="shared" si="184"/>
        <v>0.40361999999999998</v>
      </c>
      <c r="N405" s="119">
        <f t="shared" si="185"/>
        <v>0</v>
      </c>
      <c r="O405" s="120">
        <f t="shared" si="186"/>
        <v>0</v>
      </c>
      <c r="P405" s="111">
        <v>7.05</v>
      </c>
      <c r="Q405" s="32">
        <v>2</v>
      </c>
      <c r="R405" s="32"/>
    </row>
    <row r="406" spans="1:18">
      <c r="A406" s="110" t="s">
        <v>665</v>
      </c>
      <c r="B406" s="111" t="s">
        <v>232</v>
      </c>
      <c r="C406" s="112" t="s">
        <v>449</v>
      </c>
      <c r="D406" s="113" t="s">
        <v>20</v>
      </c>
      <c r="E406" s="369" t="s">
        <v>15</v>
      </c>
      <c r="F406" s="369" t="s">
        <v>34</v>
      </c>
      <c r="G406" s="370">
        <v>9.61</v>
      </c>
      <c r="H406" s="126">
        <v>8.5</v>
      </c>
      <c r="I406" s="188">
        <v>2</v>
      </c>
      <c r="J406" s="117">
        <f t="shared" si="183"/>
        <v>0.16337000000000002</v>
      </c>
      <c r="K406" s="118"/>
      <c r="L406" s="111">
        <f>1+1</f>
        <v>2</v>
      </c>
      <c r="M406" s="117">
        <f t="shared" si="184"/>
        <v>0.16337000000000002</v>
      </c>
      <c r="N406" s="119">
        <f t="shared" si="185"/>
        <v>0</v>
      </c>
      <c r="O406" s="120">
        <f t="shared" si="186"/>
        <v>0</v>
      </c>
      <c r="P406" s="111">
        <v>7.6</v>
      </c>
      <c r="Q406" s="32">
        <v>1</v>
      </c>
      <c r="R406" s="32"/>
    </row>
    <row r="407" spans="1:18">
      <c r="I407" s="215">
        <f>SUM(I375:I406)</f>
        <v>239</v>
      </c>
      <c r="J407" s="214">
        <f>SUM(J375:J406)</f>
        <v>19.110926500000001</v>
      </c>
      <c r="L407" s="215">
        <f>SUM(L375:L406)</f>
        <v>239</v>
      </c>
      <c r="M407" s="128">
        <f>SUM(M375:M406)</f>
        <v>19.110926500000001</v>
      </c>
      <c r="N407" s="78">
        <f>SUM(N375:N406)</f>
        <v>0</v>
      </c>
      <c r="O407" s="128">
        <f>SUM(O375:O406)</f>
        <v>0</v>
      </c>
    </row>
    <row r="409" spans="1:18">
      <c r="A409" s="110" t="s">
        <v>665</v>
      </c>
      <c r="B409" s="111" t="s">
        <v>232</v>
      </c>
      <c r="C409" s="112" t="s">
        <v>449</v>
      </c>
      <c r="D409" s="113" t="s">
        <v>20</v>
      </c>
      <c r="E409" s="369" t="s">
        <v>15</v>
      </c>
      <c r="F409" s="369" t="s">
        <v>32</v>
      </c>
      <c r="G409" s="370">
        <v>8.3000000000000007</v>
      </c>
      <c r="H409" s="125">
        <v>10</v>
      </c>
      <c r="I409" s="358">
        <v>2</v>
      </c>
      <c r="J409" s="117">
        <f t="shared" ref="J409" si="187">H409*G409*I409/1000</f>
        <v>0.16600000000000001</v>
      </c>
      <c r="K409" s="118"/>
      <c r="L409" s="111">
        <v>2</v>
      </c>
      <c r="M409" s="117">
        <f t="shared" ref="M409" si="188">H409*L409*G409/1000</f>
        <v>0.16600000000000001</v>
      </c>
      <c r="N409" s="119">
        <f t="shared" ref="N409" si="189">I409-L409</f>
        <v>0</v>
      </c>
      <c r="O409" s="120">
        <f t="shared" ref="O409" si="190">H409*N409*G409/1000</f>
        <v>0</v>
      </c>
      <c r="P409" s="111"/>
      <c r="Q409" s="32"/>
      <c r="R409" s="32"/>
    </row>
    <row r="410" spans="1:18">
      <c r="A410" s="110" t="s">
        <v>665</v>
      </c>
      <c r="B410" s="111" t="s">
        <v>232</v>
      </c>
      <c r="C410" s="112" t="s">
        <v>449</v>
      </c>
      <c r="D410" s="113" t="s">
        <v>20</v>
      </c>
      <c r="E410" s="369" t="s">
        <v>15</v>
      </c>
      <c r="F410" s="369" t="s">
        <v>32</v>
      </c>
      <c r="G410" s="370">
        <v>8.3000000000000007</v>
      </c>
      <c r="H410" s="125">
        <v>11</v>
      </c>
      <c r="I410" s="358">
        <v>7</v>
      </c>
      <c r="J410" s="117">
        <f t="shared" ref="J410:J424" si="191">H410*G410*I410/1000</f>
        <v>0.63910000000000011</v>
      </c>
      <c r="K410" s="118"/>
      <c r="L410" s="111">
        <v>7</v>
      </c>
      <c r="M410" s="117">
        <f t="shared" ref="M410:M424" si="192">H410*L410*G410/1000</f>
        <v>0.6391</v>
      </c>
      <c r="N410" s="119">
        <f t="shared" ref="N410:N424" si="193">I410-L410</f>
        <v>0</v>
      </c>
      <c r="O410" s="120">
        <f t="shared" ref="O410:O424" si="194">H410*N410*G410/1000</f>
        <v>0</v>
      </c>
      <c r="P410" s="111"/>
      <c r="Q410" s="32"/>
      <c r="R410" s="32"/>
    </row>
    <row r="411" spans="1:18">
      <c r="A411" s="110" t="s">
        <v>665</v>
      </c>
      <c r="B411" s="111" t="s">
        <v>232</v>
      </c>
      <c r="C411" s="112" t="s">
        <v>449</v>
      </c>
      <c r="D411" s="113" t="s">
        <v>20</v>
      </c>
      <c r="E411" s="369" t="s">
        <v>15</v>
      </c>
      <c r="F411" s="369" t="s">
        <v>32</v>
      </c>
      <c r="G411" s="370">
        <v>8.3000000000000007</v>
      </c>
      <c r="H411" s="125">
        <v>11</v>
      </c>
      <c r="I411" s="358">
        <v>3</v>
      </c>
      <c r="J411" s="117">
        <f t="shared" si="191"/>
        <v>0.27390000000000003</v>
      </c>
      <c r="K411" s="118"/>
      <c r="L411" s="111">
        <v>3</v>
      </c>
      <c r="M411" s="117">
        <f t="shared" si="192"/>
        <v>0.27390000000000003</v>
      </c>
      <c r="N411" s="119">
        <f t="shared" si="193"/>
        <v>0</v>
      </c>
      <c r="O411" s="120">
        <f t="shared" si="194"/>
        <v>0</v>
      </c>
      <c r="P411" s="111"/>
      <c r="Q411" s="32"/>
      <c r="R411" s="32"/>
    </row>
    <row r="412" spans="1:18">
      <c r="A412" s="110" t="s">
        <v>665</v>
      </c>
      <c r="B412" s="111" t="s">
        <v>232</v>
      </c>
      <c r="C412" s="112" t="s">
        <v>449</v>
      </c>
      <c r="D412" s="113" t="s">
        <v>20</v>
      </c>
      <c r="E412" s="369" t="s">
        <v>15</v>
      </c>
      <c r="F412" s="369" t="s">
        <v>32</v>
      </c>
      <c r="G412" s="370">
        <v>8.3000000000000007</v>
      </c>
      <c r="H412" s="125">
        <v>11.5</v>
      </c>
      <c r="I412" s="358">
        <v>13</v>
      </c>
      <c r="J412" s="117">
        <f t="shared" si="191"/>
        <v>1.2408500000000002</v>
      </c>
      <c r="K412" s="118"/>
      <c r="L412" s="111">
        <v>13</v>
      </c>
      <c r="M412" s="117">
        <f t="shared" si="192"/>
        <v>1.2408500000000002</v>
      </c>
      <c r="N412" s="119">
        <f t="shared" si="193"/>
        <v>0</v>
      </c>
      <c r="O412" s="120">
        <f t="shared" si="194"/>
        <v>0</v>
      </c>
      <c r="P412" s="111"/>
      <c r="Q412" s="32"/>
      <c r="R412" s="32"/>
    </row>
    <row r="413" spans="1:18">
      <c r="A413" s="110" t="s">
        <v>665</v>
      </c>
      <c r="B413" s="111" t="s">
        <v>232</v>
      </c>
      <c r="C413" s="112" t="s">
        <v>449</v>
      </c>
      <c r="D413" s="113" t="s">
        <v>20</v>
      </c>
      <c r="E413" s="369" t="s">
        <v>15</v>
      </c>
      <c r="F413" s="369" t="s">
        <v>32</v>
      </c>
      <c r="G413" s="370">
        <v>8.3000000000000007</v>
      </c>
      <c r="H413" s="125">
        <v>7.5</v>
      </c>
      <c r="I413" s="358">
        <v>30</v>
      </c>
      <c r="J413" s="117">
        <f t="shared" si="191"/>
        <v>1.8675000000000002</v>
      </c>
      <c r="K413" s="118"/>
      <c r="L413" s="111">
        <v>30</v>
      </c>
      <c r="M413" s="117">
        <f t="shared" si="192"/>
        <v>1.8675000000000002</v>
      </c>
      <c r="N413" s="119">
        <f t="shared" si="193"/>
        <v>0</v>
      </c>
      <c r="O413" s="120">
        <f t="shared" si="194"/>
        <v>0</v>
      </c>
      <c r="P413" s="111"/>
      <c r="Q413" s="32"/>
      <c r="R413" s="32"/>
    </row>
    <row r="414" spans="1:18">
      <c r="A414" s="110" t="s">
        <v>665</v>
      </c>
      <c r="B414" s="111" t="s">
        <v>232</v>
      </c>
      <c r="C414" s="112" t="s">
        <v>449</v>
      </c>
      <c r="D414" s="113" t="s">
        <v>20</v>
      </c>
      <c r="E414" s="369" t="s">
        <v>15</v>
      </c>
      <c r="F414" s="369" t="s">
        <v>32</v>
      </c>
      <c r="G414" s="370">
        <v>8.3000000000000007</v>
      </c>
      <c r="H414" s="125">
        <v>9</v>
      </c>
      <c r="I414" s="358">
        <v>14</v>
      </c>
      <c r="J414" s="117">
        <f t="shared" si="191"/>
        <v>1.0458000000000001</v>
      </c>
      <c r="K414" s="118"/>
      <c r="L414" s="111">
        <v>14</v>
      </c>
      <c r="M414" s="117">
        <f t="shared" si="192"/>
        <v>1.0458000000000003</v>
      </c>
      <c r="N414" s="119">
        <f t="shared" si="193"/>
        <v>0</v>
      </c>
      <c r="O414" s="120">
        <f t="shared" si="194"/>
        <v>0</v>
      </c>
      <c r="P414" s="111"/>
      <c r="Q414" s="32"/>
      <c r="R414" s="32"/>
    </row>
    <row r="415" spans="1:18">
      <c r="A415" s="110" t="s">
        <v>665</v>
      </c>
      <c r="B415" s="111" t="s">
        <v>232</v>
      </c>
      <c r="C415" s="112" t="s">
        <v>449</v>
      </c>
      <c r="D415" s="113" t="s">
        <v>20</v>
      </c>
      <c r="E415" s="369" t="s">
        <v>15</v>
      </c>
      <c r="F415" s="369" t="s">
        <v>32</v>
      </c>
      <c r="G415" s="370">
        <v>8.3000000000000007</v>
      </c>
      <c r="H415" s="125">
        <v>6</v>
      </c>
      <c r="I415" s="358">
        <v>1</v>
      </c>
      <c r="J415" s="117">
        <f t="shared" si="191"/>
        <v>4.9800000000000004E-2</v>
      </c>
      <c r="K415" s="118"/>
      <c r="L415" s="111">
        <v>1</v>
      </c>
      <c r="M415" s="117">
        <f t="shared" si="192"/>
        <v>4.9800000000000004E-2</v>
      </c>
      <c r="N415" s="119">
        <f t="shared" si="193"/>
        <v>0</v>
      </c>
      <c r="O415" s="120">
        <f t="shared" si="194"/>
        <v>0</v>
      </c>
      <c r="P415" s="111"/>
      <c r="Q415" s="32"/>
      <c r="R415" s="32"/>
    </row>
    <row r="416" spans="1:18">
      <c r="A416" s="110" t="s">
        <v>665</v>
      </c>
      <c r="B416" s="111" t="s">
        <v>232</v>
      </c>
      <c r="C416" s="112" t="s">
        <v>449</v>
      </c>
      <c r="D416" s="113" t="s">
        <v>20</v>
      </c>
      <c r="E416" s="369" t="s">
        <v>15</v>
      </c>
      <c r="F416" s="369" t="s">
        <v>32</v>
      </c>
      <c r="G416" s="370">
        <v>8.3000000000000007</v>
      </c>
      <c r="H416" s="125">
        <v>10</v>
      </c>
      <c r="I416" s="358">
        <v>3</v>
      </c>
      <c r="J416" s="117">
        <f t="shared" si="191"/>
        <v>0.249</v>
      </c>
      <c r="K416" s="118"/>
      <c r="L416" s="111">
        <v>3</v>
      </c>
      <c r="M416" s="117">
        <f t="shared" si="192"/>
        <v>0.24900000000000003</v>
      </c>
      <c r="N416" s="119">
        <f t="shared" si="193"/>
        <v>0</v>
      </c>
      <c r="O416" s="120">
        <f t="shared" si="194"/>
        <v>0</v>
      </c>
      <c r="P416" s="111"/>
      <c r="Q416" s="32"/>
      <c r="R416" s="32"/>
    </row>
    <row r="417" spans="1:18">
      <c r="A417" s="110" t="s">
        <v>665</v>
      </c>
      <c r="B417" s="111" t="s">
        <v>232</v>
      </c>
      <c r="C417" s="112" t="s">
        <v>449</v>
      </c>
      <c r="D417" s="113" t="s">
        <v>20</v>
      </c>
      <c r="E417" s="369" t="s">
        <v>15</v>
      </c>
      <c r="F417" s="369" t="s">
        <v>32</v>
      </c>
      <c r="G417" s="370">
        <v>8.3000000000000007</v>
      </c>
      <c r="H417" s="125">
        <v>12</v>
      </c>
      <c r="I417" s="358">
        <v>14</v>
      </c>
      <c r="J417" s="117">
        <f t="shared" si="191"/>
        <v>1.3944000000000001</v>
      </c>
      <c r="K417" s="118"/>
      <c r="L417" s="111">
        <v>14</v>
      </c>
      <c r="M417" s="117">
        <f t="shared" si="192"/>
        <v>1.3944000000000001</v>
      </c>
      <c r="N417" s="119">
        <f t="shared" si="193"/>
        <v>0</v>
      </c>
      <c r="O417" s="120">
        <f t="shared" si="194"/>
        <v>0</v>
      </c>
      <c r="P417" s="111"/>
      <c r="Q417" s="32"/>
      <c r="R417" s="32"/>
    </row>
    <row r="418" spans="1:18">
      <c r="A418" s="110" t="s">
        <v>665</v>
      </c>
      <c r="B418" s="111" t="s">
        <v>232</v>
      </c>
      <c r="C418" s="112" t="s">
        <v>449</v>
      </c>
      <c r="D418" s="113" t="s">
        <v>20</v>
      </c>
      <c r="E418" s="369" t="s">
        <v>15</v>
      </c>
      <c r="F418" s="369" t="s">
        <v>32</v>
      </c>
      <c r="G418" s="370">
        <v>8.3000000000000007</v>
      </c>
      <c r="H418" s="125">
        <v>8.8000000000000007</v>
      </c>
      <c r="I418" s="358">
        <v>2</v>
      </c>
      <c r="J418" s="117">
        <f t="shared" si="191"/>
        <v>0.14608000000000002</v>
      </c>
      <c r="K418" s="118"/>
      <c r="L418" s="111">
        <f>1+1</f>
        <v>2</v>
      </c>
      <c r="M418" s="117">
        <f t="shared" si="192"/>
        <v>0.14608000000000002</v>
      </c>
      <c r="N418" s="119">
        <f t="shared" si="193"/>
        <v>0</v>
      </c>
      <c r="O418" s="120">
        <f t="shared" si="194"/>
        <v>0</v>
      </c>
      <c r="P418" s="111">
        <v>6</v>
      </c>
      <c r="Q418" s="32">
        <v>1</v>
      </c>
      <c r="R418" s="32"/>
    </row>
    <row r="419" spans="1:18">
      <c r="A419" s="110" t="s">
        <v>665</v>
      </c>
      <c r="B419" s="111" t="s">
        <v>232</v>
      </c>
      <c r="C419" s="112" t="s">
        <v>449</v>
      </c>
      <c r="D419" s="113" t="s">
        <v>20</v>
      </c>
      <c r="E419" s="369" t="s">
        <v>15</v>
      </c>
      <c r="F419" s="369" t="s">
        <v>32</v>
      </c>
      <c r="G419" s="370">
        <v>8.3000000000000007</v>
      </c>
      <c r="H419" s="125">
        <v>11</v>
      </c>
      <c r="I419" s="358">
        <v>1</v>
      </c>
      <c r="J419" s="117">
        <f t="shared" si="191"/>
        <v>9.1300000000000006E-2</v>
      </c>
      <c r="K419" s="118"/>
      <c r="L419" s="111">
        <v>1</v>
      </c>
      <c r="M419" s="117">
        <f t="shared" si="192"/>
        <v>9.1300000000000006E-2</v>
      </c>
      <c r="N419" s="119">
        <f t="shared" si="193"/>
        <v>0</v>
      </c>
      <c r="O419" s="120">
        <f t="shared" si="194"/>
        <v>0</v>
      </c>
      <c r="P419" s="111"/>
      <c r="Q419" s="32"/>
      <c r="R419" s="32"/>
    </row>
    <row r="420" spans="1:18">
      <c r="A420" s="110" t="s">
        <v>665</v>
      </c>
      <c r="B420" s="111" t="s">
        <v>232</v>
      </c>
      <c r="C420" s="112" t="s">
        <v>449</v>
      </c>
      <c r="D420" s="113" t="s">
        <v>20</v>
      </c>
      <c r="E420" s="369" t="s">
        <v>15</v>
      </c>
      <c r="F420" s="369" t="s">
        <v>32</v>
      </c>
      <c r="G420" s="370">
        <v>8.3000000000000007</v>
      </c>
      <c r="H420" s="125">
        <v>11.5</v>
      </c>
      <c r="I420" s="358">
        <v>9</v>
      </c>
      <c r="J420" s="117">
        <f t="shared" si="191"/>
        <v>0.85905000000000009</v>
      </c>
      <c r="K420" s="118"/>
      <c r="L420" s="111">
        <f>3+3+3</f>
        <v>9</v>
      </c>
      <c r="M420" s="117">
        <f t="shared" si="192"/>
        <v>0.85905000000000009</v>
      </c>
      <c r="N420" s="119">
        <f t="shared" si="193"/>
        <v>0</v>
      </c>
      <c r="O420" s="120">
        <f t="shared" si="194"/>
        <v>0</v>
      </c>
      <c r="P420" s="111"/>
      <c r="Q420" s="32"/>
      <c r="R420" s="32"/>
    </row>
    <row r="421" spans="1:18">
      <c r="A421" s="110" t="s">
        <v>665</v>
      </c>
      <c r="B421" s="111" t="s">
        <v>232</v>
      </c>
      <c r="C421" s="112" t="s">
        <v>449</v>
      </c>
      <c r="D421" s="113" t="s">
        <v>20</v>
      </c>
      <c r="E421" s="369" t="s">
        <v>15</v>
      </c>
      <c r="F421" s="369" t="s">
        <v>32</v>
      </c>
      <c r="G421" s="370">
        <v>8.3000000000000007</v>
      </c>
      <c r="H421" s="125">
        <v>7.5</v>
      </c>
      <c r="I421" s="358">
        <v>12</v>
      </c>
      <c r="J421" s="117">
        <f t="shared" si="191"/>
        <v>0.74700000000000011</v>
      </c>
      <c r="K421" s="118"/>
      <c r="L421" s="111">
        <v>12</v>
      </c>
      <c r="M421" s="117">
        <f t="shared" si="192"/>
        <v>0.74700000000000011</v>
      </c>
      <c r="N421" s="119">
        <f t="shared" si="193"/>
        <v>0</v>
      </c>
      <c r="O421" s="120">
        <f t="shared" si="194"/>
        <v>0</v>
      </c>
      <c r="P421" s="111"/>
      <c r="Q421" s="32"/>
      <c r="R421" s="32"/>
    </row>
    <row r="422" spans="1:18">
      <c r="A422" s="110" t="s">
        <v>665</v>
      </c>
      <c r="B422" s="111" t="s">
        <v>232</v>
      </c>
      <c r="C422" s="112" t="s">
        <v>449</v>
      </c>
      <c r="D422" s="113" t="s">
        <v>20</v>
      </c>
      <c r="E422" s="369" t="s">
        <v>15</v>
      </c>
      <c r="F422" s="369" t="s">
        <v>32</v>
      </c>
      <c r="G422" s="370">
        <v>8.3000000000000007</v>
      </c>
      <c r="H422" s="125">
        <v>9</v>
      </c>
      <c r="I422" s="358">
        <v>6</v>
      </c>
      <c r="J422" s="117">
        <f t="shared" si="191"/>
        <v>0.44820000000000004</v>
      </c>
      <c r="K422" s="118"/>
      <c r="L422" s="111">
        <v>6</v>
      </c>
      <c r="M422" s="117">
        <f t="shared" si="192"/>
        <v>0.44820000000000004</v>
      </c>
      <c r="N422" s="119">
        <f t="shared" si="193"/>
        <v>0</v>
      </c>
      <c r="O422" s="120">
        <f t="shared" si="194"/>
        <v>0</v>
      </c>
      <c r="P422" s="111"/>
      <c r="Q422" s="32"/>
      <c r="R422" s="32"/>
    </row>
    <row r="423" spans="1:18">
      <c r="A423" s="110" t="s">
        <v>665</v>
      </c>
      <c r="B423" s="111" t="s">
        <v>232</v>
      </c>
      <c r="C423" s="112" t="s">
        <v>449</v>
      </c>
      <c r="D423" s="113" t="s">
        <v>20</v>
      </c>
      <c r="E423" s="369" t="s">
        <v>15</v>
      </c>
      <c r="F423" s="369" t="s">
        <v>32</v>
      </c>
      <c r="G423" s="370">
        <v>8.3000000000000007</v>
      </c>
      <c r="H423" s="125">
        <v>11</v>
      </c>
      <c r="I423" s="358">
        <v>2</v>
      </c>
      <c r="J423" s="117">
        <f t="shared" si="191"/>
        <v>0.18260000000000001</v>
      </c>
      <c r="K423" s="118"/>
      <c r="L423" s="111">
        <v>2</v>
      </c>
      <c r="M423" s="117">
        <f t="shared" si="192"/>
        <v>0.18260000000000001</v>
      </c>
      <c r="N423" s="119">
        <f t="shared" si="193"/>
        <v>0</v>
      </c>
      <c r="O423" s="120">
        <f t="shared" si="194"/>
        <v>0</v>
      </c>
      <c r="P423" s="111"/>
      <c r="Q423" s="32"/>
      <c r="R423" s="32"/>
    </row>
    <row r="424" spans="1:18">
      <c r="A424" s="110" t="s">
        <v>665</v>
      </c>
      <c r="B424" s="111" t="s">
        <v>232</v>
      </c>
      <c r="C424" s="112" t="s">
        <v>449</v>
      </c>
      <c r="D424" s="113" t="s">
        <v>20</v>
      </c>
      <c r="E424" s="369" t="s">
        <v>15</v>
      </c>
      <c r="F424" s="369" t="s">
        <v>32</v>
      </c>
      <c r="G424" s="370">
        <v>8.3000000000000007</v>
      </c>
      <c r="H424" s="125">
        <v>11.5</v>
      </c>
      <c r="I424" s="358">
        <v>26</v>
      </c>
      <c r="J424" s="117">
        <f t="shared" si="191"/>
        <v>2.4817000000000005</v>
      </c>
      <c r="K424" s="118"/>
      <c r="L424" s="111">
        <v>26</v>
      </c>
      <c r="M424" s="117">
        <f t="shared" si="192"/>
        <v>2.4817000000000005</v>
      </c>
      <c r="N424" s="119">
        <f t="shared" si="193"/>
        <v>0</v>
      </c>
      <c r="O424" s="120">
        <f t="shared" si="194"/>
        <v>0</v>
      </c>
      <c r="P424" s="111"/>
      <c r="Q424" s="32"/>
      <c r="R424" s="32"/>
    </row>
    <row r="425" spans="1:18">
      <c r="A425" s="110" t="s">
        <v>665</v>
      </c>
      <c r="B425" s="111" t="s">
        <v>232</v>
      </c>
      <c r="C425" s="112" t="s">
        <v>449</v>
      </c>
      <c r="D425" s="113" t="s">
        <v>20</v>
      </c>
      <c r="E425" s="369" t="s">
        <v>15</v>
      </c>
      <c r="F425" s="369" t="s">
        <v>32</v>
      </c>
      <c r="G425" s="370">
        <v>8.3000000000000007</v>
      </c>
      <c r="H425" s="125">
        <v>10</v>
      </c>
      <c r="I425" s="358">
        <v>6</v>
      </c>
      <c r="J425" s="117">
        <f t="shared" ref="J425:J426" si="195">H425*G425*I425/1000</f>
        <v>0.498</v>
      </c>
      <c r="K425" s="118"/>
      <c r="L425" s="111">
        <v>6</v>
      </c>
      <c r="M425" s="117">
        <f t="shared" ref="M425:M426" si="196">H425*L425*G425/1000</f>
        <v>0.49800000000000005</v>
      </c>
      <c r="N425" s="119">
        <f t="shared" ref="N425" si="197">I425-L425</f>
        <v>0</v>
      </c>
      <c r="O425" s="120">
        <f t="shared" ref="O425" si="198">H425*N425*G425/1000</f>
        <v>0</v>
      </c>
      <c r="P425" s="111"/>
      <c r="Q425" s="32"/>
      <c r="R425" s="32"/>
    </row>
    <row r="426" spans="1:18">
      <c r="A426" s="110" t="s">
        <v>665</v>
      </c>
      <c r="B426" s="111" t="s">
        <v>232</v>
      </c>
      <c r="C426" s="112" t="s">
        <v>449</v>
      </c>
      <c r="D426" s="113" t="s">
        <v>20</v>
      </c>
      <c r="E426" s="369" t="s">
        <v>15</v>
      </c>
      <c r="F426" s="369" t="s">
        <v>32</v>
      </c>
      <c r="G426" s="370">
        <v>8.3000000000000007</v>
      </c>
      <c r="H426" s="125">
        <v>12</v>
      </c>
      <c r="I426" s="358">
        <v>8</v>
      </c>
      <c r="J426" s="117">
        <f t="shared" si="195"/>
        <v>0.79680000000000006</v>
      </c>
      <c r="K426" s="118"/>
      <c r="L426" s="111">
        <v>8</v>
      </c>
      <c r="M426" s="117">
        <f t="shared" si="196"/>
        <v>0.79680000000000006</v>
      </c>
      <c r="N426" s="119">
        <f>I426-L426</f>
        <v>0</v>
      </c>
      <c r="O426" s="120">
        <f>H426*N426*G426/1000</f>
        <v>0</v>
      </c>
      <c r="P426" s="111"/>
      <c r="Q426" s="32"/>
      <c r="R426" s="32"/>
    </row>
    <row r="427" spans="1:18" s="213" customFormat="1">
      <c r="A427" s="110" t="s">
        <v>665</v>
      </c>
      <c r="B427" s="111" t="s">
        <v>232</v>
      </c>
      <c r="C427" s="112" t="s">
        <v>449</v>
      </c>
      <c r="D427" s="113" t="s">
        <v>20</v>
      </c>
      <c r="E427" s="369" t="s">
        <v>15</v>
      </c>
      <c r="F427" s="369" t="s">
        <v>32</v>
      </c>
      <c r="G427" s="370">
        <v>8.3000000000000007</v>
      </c>
      <c r="H427" s="125">
        <v>9.5</v>
      </c>
      <c r="I427" s="358">
        <v>2</v>
      </c>
      <c r="J427" s="117">
        <f t="shared" ref="J427" si="199">H427*G427*I427/1000</f>
        <v>0.15770000000000001</v>
      </c>
      <c r="K427" s="118"/>
      <c r="L427" s="111">
        <v>2</v>
      </c>
      <c r="M427" s="117">
        <f t="shared" ref="M427" si="200">H427*L427*G427/1000</f>
        <v>0.15770000000000001</v>
      </c>
      <c r="N427" s="119">
        <f>I427-L427</f>
        <v>0</v>
      </c>
      <c r="O427" s="120">
        <f>H427*N427*G427/1000</f>
        <v>0</v>
      </c>
      <c r="P427" s="111" t="s">
        <v>727</v>
      </c>
      <c r="Q427" s="32">
        <v>2</v>
      </c>
      <c r="R427" s="32" t="s">
        <v>728</v>
      </c>
    </row>
    <row r="428" spans="1:18">
      <c r="I428" s="215">
        <f>SUM(I409:I427)</f>
        <v>161</v>
      </c>
      <c r="J428" s="214">
        <f>SUM(J409:J427)</f>
        <v>13.33478</v>
      </c>
      <c r="L428" s="215">
        <f>SUM(L409:L427)</f>
        <v>161</v>
      </c>
      <c r="M428" s="214">
        <f>SUM(M409:M427)</f>
        <v>13.33478</v>
      </c>
      <c r="N428" s="215">
        <f>SUM(N409:N427)</f>
        <v>0</v>
      </c>
      <c r="O428" s="214">
        <f>SUM(O409:O427)</f>
        <v>0</v>
      </c>
    </row>
    <row r="430" spans="1:18">
      <c r="A430" s="110" t="s">
        <v>665</v>
      </c>
      <c r="B430" s="111" t="s">
        <v>227</v>
      </c>
      <c r="C430" s="112" t="s">
        <v>449</v>
      </c>
      <c r="D430" s="113" t="s">
        <v>17</v>
      </c>
      <c r="E430" s="369" t="s">
        <v>15</v>
      </c>
      <c r="F430" s="369" t="s">
        <v>34</v>
      </c>
      <c r="G430" s="370">
        <v>9.61</v>
      </c>
      <c r="H430" s="125">
        <v>11.8</v>
      </c>
      <c r="I430" s="358">
        <v>1</v>
      </c>
      <c r="J430" s="117">
        <f t="shared" ref="J430" si="201">H430*G430*I430/1000</f>
        <v>0.113398</v>
      </c>
      <c r="K430" s="118"/>
      <c r="L430" s="111">
        <v>1</v>
      </c>
      <c r="M430" s="117">
        <f t="shared" ref="M430" si="202">H430*L430*G430/1000</f>
        <v>0.113398</v>
      </c>
      <c r="N430" s="119">
        <f t="shared" ref="N430" si="203">I430-L430</f>
        <v>0</v>
      </c>
      <c r="O430" s="120">
        <f t="shared" ref="O430" si="204">H430*N430*G430/1000</f>
        <v>0</v>
      </c>
      <c r="P430" s="111"/>
      <c r="Q430" s="32"/>
      <c r="R430" s="32"/>
    </row>
    <row r="431" spans="1:18">
      <c r="A431" s="110" t="s">
        <v>665</v>
      </c>
      <c r="B431" s="111" t="s">
        <v>227</v>
      </c>
      <c r="C431" s="112" t="s">
        <v>449</v>
      </c>
      <c r="D431" s="113" t="s">
        <v>17</v>
      </c>
      <c r="E431" s="369" t="s">
        <v>15</v>
      </c>
      <c r="F431" s="369" t="s">
        <v>34</v>
      </c>
      <c r="G431" s="370">
        <v>9.61</v>
      </c>
      <c r="H431" s="125">
        <v>12</v>
      </c>
      <c r="I431" s="358">
        <v>10</v>
      </c>
      <c r="J431" s="117">
        <f t="shared" ref="J431:J438" si="205">H431*G431*I431/1000</f>
        <v>1.1531999999999998</v>
      </c>
      <c r="K431" s="118"/>
      <c r="L431" s="358">
        <v>10</v>
      </c>
      <c r="M431" s="117">
        <f t="shared" ref="M431:M438" si="206">H431*L431*G431/1000</f>
        <v>1.1531999999999998</v>
      </c>
      <c r="N431" s="119">
        <f t="shared" ref="N431:N438" si="207">I431-L431</f>
        <v>0</v>
      </c>
      <c r="O431" s="120">
        <f t="shared" ref="O431:O438" si="208">H431*N431*G431/1000</f>
        <v>0</v>
      </c>
      <c r="P431" s="111"/>
      <c r="Q431" s="32"/>
      <c r="R431" s="32"/>
    </row>
    <row r="432" spans="1:18">
      <c r="A432" s="110" t="s">
        <v>665</v>
      </c>
      <c r="B432" s="111" t="s">
        <v>227</v>
      </c>
      <c r="C432" s="112" t="s">
        <v>449</v>
      </c>
      <c r="D432" s="113" t="s">
        <v>17</v>
      </c>
      <c r="E432" s="369" t="s">
        <v>15</v>
      </c>
      <c r="F432" s="369" t="s">
        <v>34</v>
      </c>
      <c r="G432" s="370">
        <v>9.61</v>
      </c>
      <c r="H432" s="125">
        <v>12</v>
      </c>
      <c r="I432" s="358">
        <v>26</v>
      </c>
      <c r="J432" s="117">
        <f t="shared" si="205"/>
        <v>2.9983199999999997</v>
      </c>
      <c r="K432" s="118"/>
      <c r="L432" s="358">
        <v>26</v>
      </c>
      <c r="M432" s="117">
        <f t="shared" si="206"/>
        <v>2.9983199999999997</v>
      </c>
      <c r="N432" s="119">
        <f t="shared" si="207"/>
        <v>0</v>
      </c>
      <c r="O432" s="120">
        <f t="shared" si="208"/>
        <v>0</v>
      </c>
      <c r="P432" s="111"/>
      <c r="Q432" s="32"/>
      <c r="R432" s="32"/>
    </row>
    <row r="433" spans="1:18">
      <c r="A433" s="110" t="s">
        <v>665</v>
      </c>
      <c r="B433" s="111" t="s">
        <v>227</v>
      </c>
      <c r="C433" s="112" t="s">
        <v>449</v>
      </c>
      <c r="D433" s="113" t="s">
        <v>17</v>
      </c>
      <c r="E433" s="369" t="s">
        <v>15</v>
      </c>
      <c r="F433" s="369" t="s">
        <v>34</v>
      </c>
      <c r="G433" s="370">
        <v>9.61</v>
      </c>
      <c r="H433" s="125">
        <v>10.8</v>
      </c>
      <c r="I433" s="358">
        <v>1</v>
      </c>
      <c r="J433" s="117">
        <f t="shared" si="205"/>
        <v>0.10378799999999999</v>
      </c>
      <c r="K433" s="118"/>
      <c r="L433" s="358">
        <v>1</v>
      </c>
      <c r="M433" s="117">
        <f t="shared" si="206"/>
        <v>0.10378799999999999</v>
      </c>
      <c r="N433" s="119">
        <f t="shared" si="207"/>
        <v>0</v>
      </c>
      <c r="O433" s="120">
        <f t="shared" si="208"/>
        <v>0</v>
      </c>
      <c r="P433" s="111"/>
      <c r="Q433" s="32"/>
      <c r="R433" s="32"/>
    </row>
    <row r="434" spans="1:18">
      <c r="A434" s="110" t="s">
        <v>665</v>
      </c>
      <c r="B434" s="111" t="s">
        <v>227</v>
      </c>
      <c r="C434" s="112" t="s">
        <v>449</v>
      </c>
      <c r="D434" s="113" t="s">
        <v>17</v>
      </c>
      <c r="E434" s="369" t="s">
        <v>15</v>
      </c>
      <c r="F434" s="369" t="s">
        <v>34</v>
      </c>
      <c r="G434" s="370">
        <v>9.61</v>
      </c>
      <c r="H434" s="125">
        <v>11</v>
      </c>
      <c r="I434" s="358">
        <v>1</v>
      </c>
      <c r="J434" s="117">
        <f t="shared" si="205"/>
        <v>0.10571</v>
      </c>
      <c r="K434" s="118"/>
      <c r="L434" s="358">
        <v>1</v>
      </c>
      <c r="M434" s="117">
        <f t="shared" si="206"/>
        <v>0.10571</v>
      </c>
      <c r="N434" s="119">
        <f t="shared" si="207"/>
        <v>0</v>
      </c>
      <c r="O434" s="120">
        <f t="shared" si="208"/>
        <v>0</v>
      </c>
      <c r="P434" s="111"/>
      <c r="Q434" s="32"/>
      <c r="R434" s="32"/>
    </row>
    <row r="435" spans="1:18">
      <c r="A435" s="110" t="s">
        <v>665</v>
      </c>
      <c r="B435" s="111" t="s">
        <v>227</v>
      </c>
      <c r="C435" s="112" t="s">
        <v>449</v>
      </c>
      <c r="D435" s="113" t="s">
        <v>17</v>
      </c>
      <c r="E435" s="369" t="s">
        <v>15</v>
      </c>
      <c r="F435" s="369" t="s">
        <v>34</v>
      </c>
      <c r="G435" s="370">
        <v>9.61</v>
      </c>
      <c r="H435" s="125">
        <v>12</v>
      </c>
      <c r="I435" s="358">
        <v>24</v>
      </c>
      <c r="J435" s="117">
        <f t="shared" si="205"/>
        <v>2.7676799999999999</v>
      </c>
      <c r="K435" s="118"/>
      <c r="L435" s="358">
        <v>24</v>
      </c>
      <c r="M435" s="117">
        <f t="shared" si="206"/>
        <v>2.7676799999999999</v>
      </c>
      <c r="N435" s="119">
        <f t="shared" si="207"/>
        <v>0</v>
      </c>
      <c r="O435" s="120">
        <f t="shared" si="208"/>
        <v>0</v>
      </c>
      <c r="P435" s="111"/>
      <c r="Q435" s="32"/>
      <c r="R435" s="32"/>
    </row>
    <row r="436" spans="1:18">
      <c r="A436" s="110" t="s">
        <v>665</v>
      </c>
      <c r="B436" s="111" t="s">
        <v>227</v>
      </c>
      <c r="C436" s="112" t="s">
        <v>449</v>
      </c>
      <c r="D436" s="113" t="s">
        <v>17</v>
      </c>
      <c r="E436" s="369" t="s">
        <v>15</v>
      </c>
      <c r="F436" s="369" t="s">
        <v>34</v>
      </c>
      <c r="G436" s="370">
        <v>9.61</v>
      </c>
      <c r="H436" s="125">
        <v>12</v>
      </c>
      <c r="I436" s="358">
        <v>14</v>
      </c>
      <c r="J436" s="117">
        <f t="shared" si="205"/>
        <v>1.6144799999999999</v>
      </c>
      <c r="K436" s="118"/>
      <c r="L436" s="111">
        <f>2+7</f>
        <v>9</v>
      </c>
      <c r="M436" s="117">
        <f t="shared" si="206"/>
        <v>1.0378799999999999</v>
      </c>
      <c r="N436" s="119">
        <f t="shared" si="207"/>
        <v>5</v>
      </c>
      <c r="O436" s="120">
        <f t="shared" si="208"/>
        <v>0.57659999999999989</v>
      </c>
      <c r="P436" s="111">
        <v>11.8</v>
      </c>
      <c r="Q436" s="32">
        <v>7</v>
      </c>
      <c r="R436" s="32"/>
    </row>
    <row r="437" spans="1:18">
      <c r="A437" s="110" t="s">
        <v>665</v>
      </c>
      <c r="B437" s="111" t="s">
        <v>227</v>
      </c>
      <c r="C437" s="112" t="s">
        <v>449</v>
      </c>
      <c r="D437" s="113" t="s">
        <v>17</v>
      </c>
      <c r="E437" s="369" t="s">
        <v>15</v>
      </c>
      <c r="F437" s="369" t="s">
        <v>34</v>
      </c>
      <c r="G437" s="370">
        <v>9.61</v>
      </c>
      <c r="H437" s="125">
        <v>11.8</v>
      </c>
      <c r="I437" s="358">
        <v>9</v>
      </c>
      <c r="J437" s="117">
        <f t="shared" si="205"/>
        <v>1.0205820000000001</v>
      </c>
      <c r="K437" s="118"/>
      <c r="L437" s="358">
        <v>9</v>
      </c>
      <c r="M437" s="117">
        <f t="shared" si="206"/>
        <v>1.0205820000000001</v>
      </c>
      <c r="N437" s="119">
        <f t="shared" si="207"/>
        <v>0</v>
      </c>
      <c r="O437" s="120">
        <f t="shared" si="208"/>
        <v>0</v>
      </c>
      <c r="P437" s="111"/>
      <c r="Q437" s="32"/>
      <c r="R437" s="32"/>
    </row>
    <row r="438" spans="1:18">
      <c r="A438" s="110" t="s">
        <v>665</v>
      </c>
      <c r="B438" s="111" t="s">
        <v>227</v>
      </c>
      <c r="C438" s="112" t="s">
        <v>449</v>
      </c>
      <c r="D438" s="113" t="s">
        <v>17</v>
      </c>
      <c r="E438" s="369" t="s">
        <v>15</v>
      </c>
      <c r="F438" s="369" t="s">
        <v>34</v>
      </c>
      <c r="G438" s="370">
        <v>9.61</v>
      </c>
      <c r="H438" s="125">
        <v>11.3</v>
      </c>
      <c r="I438" s="358">
        <v>1</v>
      </c>
      <c r="J438" s="117">
        <f t="shared" si="205"/>
        <v>0.10859300000000001</v>
      </c>
      <c r="K438" s="118"/>
      <c r="L438" s="358"/>
      <c r="M438" s="117">
        <f t="shared" si="206"/>
        <v>0</v>
      </c>
      <c r="N438" s="119">
        <f t="shared" si="207"/>
        <v>1</v>
      </c>
      <c r="O438" s="120">
        <f t="shared" si="208"/>
        <v>0.10859300000000001</v>
      </c>
      <c r="P438" s="111"/>
      <c r="Q438" s="32"/>
      <c r="R438" s="32"/>
    </row>
    <row r="439" spans="1:18" s="213" customFormat="1">
      <c r="A439" s="110" t="s">
        <v>665</v>
      </c>
      <c r="B439" s="111" t="s">
        <v>227</v>
      </c>
      <c r="C439" s="112" t="s">
        <v>449</v>
      </c>
      <c r="D439" s="113" t="s">
        <v>17</v>
      </c>
      <c r="E439" s="369" t="s">
        <v>15</v>
      </c>
      <c r="F439" s="369" t="s">
        <v>34</v>
      </c>
      <c r="G439" s="370">
        <v>9.61</v>
      </c>
      <c r="H439" s="125">
        <v>11.8</v>
      </c>
      <c r="I439" s="358">
        <v>1</v>
      </c>
      <c r="J439" s="117">
        <f t="shared" ref="J439:J444" si="209">H439*G439*I439/1000</f>
        <v>0.113398</v>
      </c>
      <c r="K439" s="118"/>
      <c r="L439" s="358">
        <v>1</v>
      </c>
      <c r="M439" s="117">
        <f t="shared" ref="M439:M444" si="210">H439*L439*G439/1000</f>
        <v>0.113398</v>
      </c>
      <c r="N439" s="119">
        <f t="shared" ref="N439:N444" si="211">I439-L439</f>
        <v>0</v>
      </c>
      <c r="O439" s="120">
        <f t="shared" ref="O439:O444" si="212">H439*N439*G439/1000</f>
        <v>0</v>
      </c>
      <c r="P439" s="111"/>
      <c r="Q439" s="32"/>
      <c r="R439" s="32"/>
    </row>
    <row r="440" spans="1:18" s="213" customFormat="1">
      <c r="A440" s="110" t="s">
        <v>665</v>
      </c>
      <c r="B440" s="111" t="s">
        <v>227</v>
      </c>
      <c r="C440" s="112" t="s">
        <v>449</v>
      </c>
      <c r="D440" s="113" t="s">
        <v>17</v>
      </c>
      <c r="E440" s="369" t="s">
        <v>15</v>
      </c>
      <c r="F440" s="369" t="s">
        <v>34</v>
      </c>
      <c r="G440" s="370">
        <v>9.61</v>
      </c>
      <c r="H440" s="125">
        <v>11.9</v>
      </c>
      <c r="I440" s="358">
        <v>1</v>
      </c>
      <c r="J440" s="117">
        <f t="shared" si="209"/>
        <v>0.11435899999999999</v>
      </c>
      <c r="K440" s="118"/>
      <c r="L440" s="358"/>
      <c r="M440" s="117">
        <f t="shared" si="210"/>
        <v>0</v>
      </c>
      <c r="N440" s="119">
        <f t="shared" si="211"/>
        <v>1</v>
      </c>
      <c r="O440" s="120">
        <f t="shared" si="212"/>
        <v>0.11435899999999999</v>
      </c>
      <c r="P440" s="111"/>
      <c r="Q440" s="32"/>
      <c r="R440" s="32"/>
    </row>
    <row r="441" spans="1:18" s="213" customFormat="1">
      <c r="A441" s="110" t="s">
        <v>665</v>
      </c>
      <c r="B441" s="111" t="s">
        <v>227</v>
      </c>
      <c r="C441" s="112" t="s">
        <v>449</v>
      </c>
      <c r="D441" s="113" t="s">
        <v>17</v>
      </c>
      <c r="E441" s="369" t="s">
        <v>15</v>
      </c>
      <c r="F441" s="369" t="s">
        <v>34</v>
      </c>
      <c r="G441" s="370">
        <v>9.61</v>
      </c>
      <c r="H441" s="125">
        <v>9</v>
      </c>
      <c r="I441" s="358">
        <v>1</v>
      </c>
      <c r="J441" s="117">
        <f t="shared" si="209"/>
        <v>8.6489999999999997E-2</v>
      </c>
      <c r="K441" s="118"/>
      <c r="L441" s="358"/>
      <c r="M441" s="117">
        <f t="shared" si="210"/>
        <v>0</v>
      </c>
      <c r="N441" s="119">
        <f t="shared" si="211"/>
        <v>1</v>
      </c>
      <c r="O441" s="120">
        <f t="shared" si="212"/>
        <v>8.6489999999999997E-2</v>
      </c>
      <c r="P441" s="111"/>
      <c r="Q441" s="32"/>
      <c r="R441" s="32"/>
    </row>
    <row r="442" spans="1:18" s="213" customFormat="1">
      <c r="A442" s="110" t="s">
        <v>665</v>
      </c>
      <c r="B442" s="111" t="s">
        <v>227</v>
      </c>
      <c r="C442" s="112" t="s">
        <v>449</v>
      </c>
      <c r="D442" s="113" t="s">
        <v>17</v>
      </c>
      <c r="E442" s="369" t="s">
        <v>15</v>
      </c>
      <c r="F442" s="369" t="s">
        <v>34</v>
      </c>
      <c r="G442" s="370">
        <v>9.61</v>
      </c>
      <c r="H442" s="125">
        <v>11.5</v>
      </c>
      <c r="I442" s="358">
        <v>1</v>
      </c>
      <c r="J442" s="117">
        <f t="shared" si="209"/>
        <v>0.11051499999999999</v>
      </c>
      <c r="K442" s="118"/>
      <c r="L442" s="358"/>
      <c r="M442" s="117">
        <f t="shared" si="210"/>
        <v>0</v>
      </c>
      <c r="N442" s="119">
        <f t="shared" si="211"/>
        <v>1</v>
      </c>
      <c r="O442" s="120">
        <f t="shared" si="212"/>
        <v>0.11051499999999999</v>
      </c>
      <c r="P442" s="111"/>
      <c r="Q442" s="32"/>
      <c r="R442" s="32"/>
    </row>
    <row r="443" spans="1:18" s="213" customFormat="1">
      <c r="A443" s="110" t="s">
        <v>665</v>
      </c>
      <c r="B443" s="111" t="s">
        <v>227</v>
      </c>
      <c r="C443" s="112" t="s">
        <v>449</v>
      </c>
      <c r="D443" s="113" t="s">
        <v>17</v>
      </c>
      <c r="E443" s="369" t="s">
        <v>15</v>
      </c>
      <c r="F443" s="369" t="s">
        <v>34</v>
      </c>
      <c r="G443" s="370">
        <v>9.61</v>
      </c>
      <c r="H443" s="125">
        <v>11.8</v>
      </c>
      <c r="I443" s="358">
        <v>2</v>
      </c>
      <c r="J443" s="117">
        <f t="shared" si="209"/>
        <v>0.226796</v>
      </c>
      <c r="K443" s="118"/>
      <c r="L443" s="358">
        <v>2</v>
      </c>
      <c r="M443" s="117">
        <f t="shared" si="210"/>
        <v>0.226796</v>
      </c>
      <c r="N443" s="119">
        <f t="shared" si="211"/>
        <v>0</v>
      </c>
      <c r="O443" s="120">
        <f t="shared" si="212"/>
        <v>0</v>
      </c>
      <c r="P443" s="111"/>
      <c r="Q443" s="32"/>
      <c r="R443" s="32"/>
    </row>
    <row r="444" spans="1:18" s="213" customFormat="1">
      <c r="A444" s="110" t="s">
        <v>665</v>
      </c>
      <c r="B444" s="111" t="s">
        <v>227</v>
      </c>
      <c r="C444" s="112" t="s">
        <v>449</v>
      </c>
      <c r="D444" s="113" t="s">
        <v>17</v>
      </c>
      <c r="E444" s="369" t="s">
        <v>15</v>
      </c>
      <c r="F444" s="369" t="s">
        <v>34</v>
      </c>
      <c r="G444" s="370">
        <v>9.61</v>
      </c>
      <c r="H444" s="125">
        <v>12</v>
      </c>
      <c r="I444" s="358">
        <v>2</v>
      </c>
      <c r="J444" s="117">
        <f t="shared" si="209"/>
        <v>0.23063999999999998</v>
      </c>
      <c r="K444" s="118"/>
      <c r="L444" s="358"/>
      <c r="M444" s="117">
        <f t="shared" si="210"/>
        <v>0</v>
      </c>
      <c r="N444" s="119">
        <f t="shared" si="211"/>
        <v>2</v>
      </c>
      <c r="O444" s="120">
        <f t="shared" si="212"/>
        <v>0.23063999999999998</v>
      </c>
      <c r="P444" s="111"/>
      <c r="Q444" s="32"/>
      <c r="R444" s="32"/>
    </row>
    <row r="445" spans="1:18">
      <c r="I445" s="215">
        <f>SUM(I430:I444)</f>
        <v>95</v>
      </c>
      <c r="J445" s="214">
        <f>SUM(J430:J444)</f>
        <v>10.867949000000001</v>
      </c>
      <c r="L445" s="215">
        <f>SUM(L430:L444)</f>
        <v>84</v>
      </c>
      <c r="M445" s="214">
        <f>SUM(M430:M444)</f>
        <v>9.6407519999999991</v>
      </c>
      <c r="N445" s="78">
        <f>SUM(N430:N444)</f>
        <v>11</v>
      </c>
      <c r="O445" s="128">
        <f>SUM(O430:O444)</f>
        <v>1.2271969999999999</v>
      </c>
    </row>
    <row r="447" spans="1:18">
      <c r="A447" s="110" t="s">
        <v>665</v>
      </c>
      <c r="B447" s="111" t="s">
        <v>227</v>
      </c>
      <c r="C447" s="112" t="s">
        <v>449</v>
      </c>
      <c r="D447" s="113" t="s">
        <v>17</v>
      </c>
      <c r="E447" s="369" t="s">
        <v>15</v>
      </c>
      <c r="F447" s="369" t="s">
        <v>32</v>
      </c>
      <c r="G447" s="370">
        <v>8.3000000000000007</v>
      </c>
      <c r="H447" s="125">
        <v>11.5</v>
      </c>
      <c r="I447" s="358">
        <v>33</v>
      </c>
      <c r="J447" s="117">
        <f>H447*G447*I447/1000</f>
        <v>3.1498499999999998</v>
      </c>
      <c r="K447" s="118"/>
      <c r="L447" s="111">
        <v>33</v>
      </c>
      <c r="M447" s="117">
        <f>H447*L447*G447/1000</f>
        <v>3.1498500000000003</v>
      </c>
      <c r="N447" s="119">
        <f>I447-L447</f>
        <v>0</v>
      </c>
      <c r="O447" s="120">
        <f>H447*N447*G447/1000</f>
        <v>0</v>
      </c>
      <c r="P447" s="111"/>
      <c r="Q447" s="32"/>
      <c r="R447" s="32"/>
    </row>
    <row r="448" spans="1:18">
      <c r="A448" s="110" t="s">
        <v>665</v>
      </c>
      <c r="B448" s="111" t="s">
        <v>227</v>
      </c>
      <c r="C448" s="112" t="s">
        <v>449</v>
      </c>
      <c r="D448" s="113" t="s">
        <v>17</v>
      </c>
      <c r="E448" s="369" t="s">
        <v>15</v>
      </c>
      <c r="F448" s="369" t="s">
        <v>32</v>
      </c>
      <c r="G448" s="370">
        <v>8.3000000000000007</v>
      </c>
      <c r="H448" s="125">
        <v>9</v>
      </c>
      <c r="I448" s="358">
        <v>44</v>
      </c>
      <c r="J448" s="117">
        <f t="shared" ref="J448:J463" si="213">H448*G448*I448/1000</f>
        <v>3.2868000000000004</v>
      </c>
      <c r="K448" s="118"/>
      <c r="L448" s="111">
        <v>44</v>
      </c>
      <c r="M448" s="117">
        <f t="shared" ref="M448:M463" si="214">H448*L448*G448/1000</f>
        <v>3.2868000000000004</v>
      </c>
      <c r="N448" s="119">
        <f t="shared" ref="N448:N463" si="215">I448-L448</f>
        <v>0</v>
      </c>
      <c r="O448" s="120">
        <f t="shared" ref="O448:O463" si="216">H448*N448*G448/1000</f>
        <v>0</v>
      </c>
      <c r="P448" s="111"/>
      <c r="Q448" s="32"/>
      <c r="R448" s="32"/>
    </row>
    <row r="449" spans="1:18">
      <c r="A449" s="110" t="s">
        <v>665</v>
      </c>
      <c r="B449" s="111" t="s">
        <v>227</v>
      </c>
      <c r="C449" s="112" t="s">
        <v>449</v>
      </c>
      <c r="D449" s="113" t="s">
        <v>17</v>
      </c>
      <c r="E449" s="369" t="s">
        <v>15</v>
      </c>
      <c r="F449" s="369" t="s">
        <v>32</v>
      </c>
      <c r="G449" s="370">
        <v>8.3000000000000007</v>
      </c>
      <c r="H449" s="125">
        <v>11.5</v>
      </c>
      <c r="I449" s="358">
        <v>33</v>
      </c>
      <c r="J449" s="117">
        <f t="shared" si="213"/>
        <v>3.1498499999999998</v>
      </c>
      <c r="K449" s="118"/>
      <c r="L449" s="111">
        <v>33</v>
      </c>
      <c r="M449" s="117">
        <f t="shared" si="214"/>
        <v>3.1498500000000003</v>
      </c>
      <c r="N449" s="119">
        <f t="shared" si="215"/>
        <v>0</v>
      </c>
      <c r="O449" s="120">
        <f t="shared" si="216"/>
        <v>0</v>
      </c>
      <c r="P449" s="111"/>
      <c r="Q449" s="32"/>
      <c r="R449" s="32"/>
    </row>
    <row r="450" spans="1:18">
      <c r="A450" s="110" t="s">
        <v>665</v>
      </c>
      <c r="B450" s="111" t="s">
        <v>227</v>
      </c>
      <c r="C450" s="112" t="s">
        <v>449</v>
      </c>
      <c r="D450" s="113" t="s">
        <v>17</v>
      </c>
      <c r="E450" s="369" t="s">
        <v>15</v>
      </c>
      <c r="F450" s="369" t="s">
        <v>32</v>
      </c>
      <c r="G450" s="370">
        <v>8.3000000000000007</v>
      </c>
      <c r="H450" s="125">
        <v>11.5</v>
      </c>
      <c r="I450" s="358">
        <v>32</v>
      </c>
      <c r="J450" s="117">
        <f t="shared" si="213"/>
        <v>3.0544000000000002</v>
      </c>
      <c r="K450" s="118"/>
      <c r="L450" s="111">
        <v>32</v>
      </c>
      <c r="M450" s="117">
        <f t="shared" si="214"/>
        <v>3.0544000000000002</v>
      </c>
      <c r="N450" s="119">
        <f t="shared" si="215"/>
        <v>0</v>
      </c>
      <c r="O450" s="120">
        <f t="shared" si="216"/>
        <v>0</v>
      </c>
      <c r="P450" s="111"/>
      <c r="Q450" s="32"/>
      <c r="R450" s="32"/>
    </row>
    <row r="451" spans="1:18">
      <c r="A451" s="110" t="s">
        <v>665</v>
      </c>
      <c r="B451" s="111" t="s">
        <v>227</v>
      </c>
      <c r="C451" s="112" t="s">
        <v>449</v>
      </c>
      <c r="D451" s="113" t="s">
        <v>17</v>
      </c>
      <c r="E451" s="369" t="s">
        <v>15</v>
      </c>
      <c r="F451" s="369" t="s">
        <v>32</v>
      </c>
      <c r="G451" s="370">
        <v>8.3000000000000007</v>
      </c>
      <c r="H451" s="125">
        <v>8.8000000000000007</v>
      </c>
      <c r="I451" s="358">
        <v>6</v>
      </c>
      <c r="J451" s="117">
        <f t="shared" si="213"/>
        <v>0.43824000000000002</v>
      </c>
      <c r="K451" s="118"/>
      <c r="L451" s="111">
        <v>6</v>
      </c>
      <c r="M451" s="117">
        <f t="shared" si="214"/>
        <v>0.43824000000000007</v>
      </c>
      <c r="N451" s="119">
        <f t="shared" si="215"/>
        <v>0</v>
      </c>
      <c r="O451" s="120">
        <f t="shared" si="216"/>
        <v>0</v>
      </c>
      <c r="P451" s="111"/>
      <c r="Q451" s="32"/>
      <c r="R451" s="32"/>
    </row>
    <row r="452" spans="1:18">
      <c r="A452" s="110" t="s">
        <v>665</v>
      </c>
      <c r="B452" s="111" t="s">
        <v>227</v>
      </c>
      <c r="C452" s="112" t="s">
        <v>449</v>
      </c>
      <c r="D452" s="113" t="s">
        <v>17</v>
      </c>
      <c r="E452" s="369" t="s">
        <v>15</v>
      </c>
      <c r="F452" s="369" t="s">
        <v>32</v>
      </c>
      <c r="G452" s="370">
        <v>8.3000000000000007</v>
      </c>
      <c r="H452" s="125">
        <v>9</v>
      </c>
      <c r="I452" s="358">
        <v>31</v>
      </c>
      <c r="J452" s="117">
        <f t="shared" si="213"/>
        <v>2.3157000000000001</v>
      </c>
      <c r="K452" s="118"/>
      <c r="L452" s="111">
        <v>31</v>
      </c>
      <c r="M452" s="117">
        <f t="shared" si="214"/>
        <v>2.3157000000000001</v>
      </c>
      <c r="N452" s="119">
        <f t="shared" si="215"/>
        <v>0</v>
      </c>
      <c r="O452" s="120">
        <f t="shared" si="216"/>
        <v>0</v>
      </c>
      <c r="P452" s="111"/>
      <c r="Q452" s="32"/>
      <c r="R452" s="32"/>
    </row>
    <row r="453" spans="1:18">
      <c r="A453" s="110" t="s">
        <v>665</v>
      </c>
      <c r="B453" s="111" t="s">
        <v>227</v>
      </c>
      <c r="C453" s="112" t="s">
        <v>449</v>
      </c>
      <c r="D453" s="113" t="s">
        <v>17</v>
      </c>
      <c r="E453" s="369" t="s">
        <v>15</v>
      </c>
      <c r="F453" s="369" t="s">
        <v>32</v>
      </c>
      <c r="G453" s="370">
        <v>8.3000000000000007</v>
      </c>
      <c r="H453" s="125">
        <v>11</v>
      </c>
      <c r="I453" s="358">
        <v>12</v>
      </c>
      <c r="J453" s="117">
        <f t="shared" si="213"/>
        <v>1.0956000000000001</v>
      </c>
      <c r="K453" s="118"/>
      <c r="L453" s="111">
        <v>12</v>
      </c>
      <c r="M453" s="117">
        <f t="shared" si="214"/>
        <v>1.0956000000000001</v>
      </c>
      <c r="N453" s="119">
        <f t="shared" si="215"/>
        <v>0</v>
      </c>
      <c r="O453" s="120">
        <f t="shared" si="216"/>
        <v>0</v>
      </c>
      <c r="P453" s="111"/>
      <c r="Q453" s="32"/>
      <c r="R453" s="32"/>
    </row>
    <row r="454" spans="1:18">
      <c r="A454" s="110" t="s">
        <v>665</v>
      </c>
      <c r="B454" s="111" t="s">
        <v>227</v>
      </c>
      <c r="C454" s="112" t="s">
        <v>449</v>
      </c>
      <c r="D454" s="113" t="s">
        <v>17</v>
      </c>
      <c r="E454" s="369" t="s">
        <v>15</v>
      </c>
      <c r="F454" s="369" t="s">
        <v>32</v>
      </c>
      <c r="G454" s="370">
        <v>8.3000000000000007</v>
      </c>
      <c r="H454" s="125">
        <v>11.5</v>
      </c>
      <c r="I454" s="358">
        <v>10</v>
      </c>
      <c r="J454" s="117">
        <f t="shared" si="213"/>
        <v>0.95450000000000002</v>
      </c>
      <c r="K454" s="118"/>
      <c r="L454" s="111">
        <v>10</v>
      </c>
      <c r="M454" s="117">
        <f t="shared" si="214"/>
        <v>0.95450000000000013</v>
      </c>
      <c r="N454" s="119">
        <f t="shared" si="215"/>
        <v>0</v>
      </c>
      <c r="O454" s="120">
        <f t="shared" si="216"/>
        <v>0</v>
      </c>
      <c r="P454" s="111"/>
      <c r="Q454" s="32"/>
      <c r="R454" s="32"/>
    </row>
    <row r="455" spans="1:18">
      <c r="A455" s="110" t="s">
        <v>665</v>
      </c>
      <c r="B455" s="111" t="s">
        <v>227</v>
      </c>
      <c r="C455" s="112" t="s">
        <v>449</v>
      </c>
      <c r="D455" s="113" t="s">
        <v>17</v>
      </c>
      <c r="E455" s="369" t="s">
        <v>15</v>
      </c>
      <c r="F455" s="369" t="s">
        <v>32</v>
      </c>
      <c r="G455" s="370">
        <v>8.3000000000000007</v>
      </c>
      <c r="H455" s="125">
        <v>7.5</v>
      </c>
      <c r="I455" s="358">
        <v>14</v>
      </c>
      <c r="J455" s="117">
        <f t="shared" si="213"/>
        <v>0.87150000000000016</v>
      </c>
      <c r="K455" s="118"/>
      <c r="L455" s="111">
        <v>14</v>
      </c>
      <c r="M455" s="117">
        <f t="shared" si="214"/>
        <v>0.87150000000000016</v>
      </c>
      <c r="N455" s="119">
        <f t="shared" si="215"/>
        <v>0</v>
      </c>
      <c r="O455" s="120">
        <f t="shared" si="216"/>
        <v>0</v>
      </c>
      <c r="P455" s="111"/>
      <c r="Q455" s="32"/>
      <c r="R455" s="32"/>
    </row>
    <row r="456" spans="1:18">
      <c r="A456" s="110" t="s">
        <v>665</v>
      </c>
      <c r="B456" s="111" t="s">
        <v>227</v>
      </c>
      <c r="C456" s="112" t="s">
        <v>449</v>
      </c>
      <c r="D456" s="113" t="s">
        <v>17</v>
      </c>
      <c r="E456" s="369" t="s">
        <v>15</v>
      </c>
      <c r="F456" s="369" t="s">
        <v>32</v>
      </c>
      <c r="G456" s="370">
        <v>8.3000000000000007</v>
      </c>
      <c r="H456" s="125">
        <v>8.1999999999999993</v>
      </c>
      <c r="I456" s="358">
        <v>19</v>
      </c>
      <c r="J456" s="117">
        <f t="shared" si="213"/>
        <v>1.2931400000000002</v>
      </c>
      <c r="K456" s="118"/>
      <c r="L456" s="111">
        <v>19</v>
      </c>
      <c r="M456" s="117">
        <f t="shared" si="214"/>
        <v>1.29314</v>
      </c>
      <c r="N456" s="119">
        <f t="shared" si="215"/>
        <v>0</v>
      </c>
      <c r="O456" s="120">
        <f t="shared" si="216"/>
        <v>0</v>
      </c>
      <c r="P456" s="111"/>
      <c r="Q456" s="32"/>
      <c r="R456" s="32"/>
    </row>
    <row r="457" spans="1:18">
      <c r="A457" s="110" t="s">
        <v>665</v>
      </c>
      <c r="B457" s="111" t="s">
        <v>227</v>
      </c>
      <c r="C457" s="112" t="s">
        <v>449</v>
      </c>
      <c r="D457" s="113" t="s">
        <v>17</v>
      </c>
      <c r="E457" s="369" t="s">
        <v>15</v>
      </c>
      <c r="F457" s="369" t="s">
        <v>32</v>
      </c>
      <c r="G457" s="370">
        <v>8.3000000000000007</v>
      </c>
      <c r="H457" s="125">
        <v>10</v>
      </c>
      <c r="I457" s="358">
        <v>6</v>
      </c>
      <c r="J457" s="117">
        <f t="shared" si="213"/>
        <v>0.498</v>
      </c>
      <c r="K457" s="118"/>
      <c r="L457" s="111">
        <v>6</v>
      </c>
      <c r="M457" s="117">
        <f t="shared" si="214"/>
        <v>0.49800000000000005</v>
      </c>
      <c r="N457" s="119">
        <f t="shared" si="215"/>
        <v>0</v>
      </c>
      <c r="O457" s="120">
        <f t="shared" si="216"/>
        <v>0</v>
      </c>
      <c r="P457" s="111"/>
      <c r="Q457" s="32"/>
      <c r="R457" s="32"/>
    </row>
    <row r="458" spans="1:18">
      <c r="A458" s="110" t="s">
        <v>665</v>
      </c>
      <c r="B458" s="111" t="s">
        <v>227</v>
      </c>
      <c r="C458" s="112" t="s">
        <v>449</v>
      </c>
      <c r="D458" s="113" t="s">
        <v>17</v>
      </c>
      <c r="E458" s="369" t="s">
        <v>15</v>
      </c>
      <c r="F458" s="369" t="s">
        <v>32</v>
      </c>
      <c r="G458" s="370">
        <v>8.3000000000000007</v>
      </c>
      <c r="H458" s="125">
        <v>10.199999999999999</v>
      </c>
      <c r="I458" s="358">
        <v>5</v>
      </c>
      <c r="J458" s="117">
        <f t="shared" si="213"/>
        <v>0.42329999999999995</v>
      </c>
      <c r="K458" s="118"/>
      <c r="L458" s="111">
        <v>5</v>
      </c>
      <c r="M458" s="117">
        <f t="shared" si="214"/>
        <v>0.42330000000000001</v>
      </c>
      <c r="N458" s="119">
        <f t="shared" si="215"/>
        <v>0</v>
      </c>
      <c r="O458" s="120">
        <f t="shared" si="216"/>
        <v>0</v>
      </c>
      <c r="P458" s="111"/>
      <c r="Q458" s="32"/>
      <c r="R458" s="32"/>
    </row>
    <row r="459" spans="1:18">
      <c r="A459" s="110" t="s">
        <v>665</v>
      </c>
      <c r="B459" s="111" t="s">
        <v>227</v>
      </c>
      <c r="C459" s="112" t="s">
        <v>449</v>
      </c>
      <c r="D459" s="113" t="s">
        <v>17</v>
      </c>
      <c r="E459" s="369" t="s">
        <v>15</v>
      </c>
      <c r="F459" s="369" t="s">
        <v>32</v>
      </c>
      <c r="G459" s="370">
        <v>8.3000000000000007</v>
      </c>
      <c r="H459" s="125">
        <v>10.5</v>
      </c>
      <c r="I459" s="358">
        <v>11</v>
      </c>
      <c r="J459" s="117">
        <f t="shared" si="213"/>
        <v>0.95865000000000011</v>
      </c>
      <c r="K459" s="118"/>
      <c r="L459" s="111">
        <v>11</v>
      </c>
      <c r="M459" s="117">
        <f t="shared" si="214"/>
        <v>0.95865000000000011</v>
      </c>
      <c r="N459" s="119">
        <f t="shared" si="215"/>
        <v>0</v>
      </c>
      <c r="O459" s="120">
        <f t="shared" si="216"/>
        <v>0</v>
      </c>
      <c r="P459" s="111"/>
      <c r="Q459" s="32"/>
      <c r="R459" s="32"/>
    </row>
    <row r="460" spans="1:18">
      <c r="A460" s="110" t="s">
        <v>665</v>
      </c>
      <c r="B460" s="111" t="s">
        <v>227</v>
      </c>
      <c r="C460" s="112" t="s">
        <v>449</v>
      </c>
      <c r="D460" s="113" t="s">
        <v>17</v>
      </c>
      <c r="E460" s="369" t="s">
        <v>15</v>
      </c>
      <c r="F460" s="369" t="s">
        <v>32</v>
      </c>
      <c r="G460" s="370">
        <v>8.3000000000000007</v>
      </c>
      <c r="H460" s="125">
        <v>7.3</v>
      </c>
      <c r="I460" s="358">
        <v>4</v>
      </c>
      <c r="J460" s="117">
        <f t="shared" si="213"/>
        <v>0.24236000000000002</v>
      </c>
      <c r="K460" s="118"/>
      <c r="L460" s="111">
        <v>4</v>
      </c>
      <c r="M460" s="117">
        <f t="shared" si="214"/>
        <v>0.24236000000000002</v>
      </c>
      <c r="N460" s="119">
        <f t="shared" si="215"/>
        <v>0</v>
      </c>
      <c r="O460" s="120">
        <f t="shared" si="216"/>
        <v>0</v>
      </c>
      <c r="P460" s="111">
        <v>6.3</v>
      </c>
      <c r="Q460" s="45">
        <v>4</v>
      </c>
      <c r="R460" s="32" t="s">
        <v>729</v>
      </c>
    </row>
    <row r="461" spans="1:18">
      <c r="A461" s="110" t="s">
        <v>665</v>
      </c>
      <c r="B461" s="111" t="s">
        <v>227</v>
      </c>
      <c r="C461" s="112" t="s">
        <v>449</v>
      </c>
      <c r="D461" s="113" t="s">
        <v>17</v>
      </c>
      <c r="E461" s="369" t="s">
        <v>15</v>
      </c>
      <c r="F461" s="369" t="s">
        <v>32</v>
      </c>
      <c r="G461" s="370">
        <v>8.3000000000000007</v>
      </c>
      <c r="H461" s="125">
        <v>9.5</v>
      </c>
      <c r="I461" s="358">
        <v>1</v>
      </c>
      <c r="J461" s="117">
        <f t="shared" si="213"/>
        <v>7.8850000000000003E-2</v>
      </c>
      <c r="K461" s="118"/>
      <c r="L461" s="111">
        <v>1</v>
      </c>
      <c r="M461" s="117">
        <f t="shared" si="214"/>
        <v>7.8850000000000003E-2</v>
      </c>
      <c r="N461" s="119">
        <f t="shared" si="215"/>
        <v>0</v>
      </c>
      <c r="O461" s="120">
        <f t="shared" si="216"/>
        <v>0</v>
      </c>
      <c r="P461" s="130">
        <v>8.8000000000000007</v>
      </c>
      <c r="Q461" s="32">
        <v>1</v>
      </c>
      <c r="R461" s="32" t="s">
        <v>249</v>
      </c>
    </row>
    <row r="462" spans="1:18">
      <c r="A462" s="110" t="s">
        <v>665</v>
      </c>
      <c r="B462" s="111" t="s">
        <v>227</v>
      </c>
      <c r="C462" s="112" t="s">
        <v>449</v>
      </c>
      <c r="D462" s="113" t="s">
        <v>17</v>
      </c>
      <c r="E462" s="369" t="s">
        <v>15</v>
      </c>
      <c r="F462" s="369" t="s">
        <v>32</v>
      </c>
      <c r="G462" s="370">
        <v>8.3000000000000007</v>
      </c>
      <c r="H462" s="125">
        <v>12</v>
      </c>
      <c r="I462" s="358">
        <v>2</v>
      </c>
      <c r="J462" s="117">
        <f t="shared" si="213"/>
        <v>0.19920000000000002</v>
      </c>
      <c r="K462" s="118"/>
      <c r="L462" s="111">
        <f>1+1</f>
        <v>2</v>
      </c>
      <c r="M462" s="117">
        <f t="shared" si="214"/>
        <v>0.19920000000000002</v>
      </c>
      <c r="N462" s="119">
        <f t="shared" si="215"/>
        <v>0</v>
      </c>
      <c r="O462" s="120">
        <f t="shared" si="216"/>
        <v>0</v>
      </c>
      <c r="P462" s="159">
        <v>12</v>
      </c>
      <c r="Q462" s="32">
        <v>1</v>
      </c>
      <c r="R462" s="32" t="s">
        <v>249</v>
      </c>
    </row>
    <row r="463" spans="1:18">
      <c r="A463" s="110" t="s">
        <v>665</v>
      </c>
      <c r="B463" s="111" t="s">
        <v>227</v>
      </c>
      <c r="C463" s="112" t="s">
        <v>449</v>
      </c>
      <c r="D463" s="113" t="s">
        <v>17</v>
      </c>
      <c r="E463" s="369" t="s">
        <v>15</v>
      </c>
      <c r="F463" s="369" t="s">
        <v>32</v>
      </c>
      <c r="G463" s="370">
        <v>8.3000000000000007</v>
      </c>
      <c r="H463" s="125">
        <v>12.15</v>
      </c>
      <c r="I463" s="358">
        <v>1</v>
      </c>
      <c r="J463" s="117">
        <f t="shared" si="213"/>
        <v>0.10084500000000002</v>
      </c>
      <c r="K463" s="118"/>
      <c r="L463" s="111">
        <v>1</v>
      </c>
      <c r="M463" s="117">
        <f t="shared" si="214"/>
        <v>0.10084500000000002</v>
      </c>
      <c r="N463" s="119">
        <f t="shared" si="215"/>
        <v>0</v>
      </c>
      <c r="O463" s="120">
        <f t="shared" si="216"/>
        <v>0</v>
      </c>
      <c r="P463" s="159">
        <v>12</v>
      </c>
      <c r="Q463" s="32">
        <v>1</v>
      </c>
      <c r="R463" s="32" t="s">
        <v>249</v>
      </c>
    </row>
    <row r="464" spans="1:18">
      <c r="A464" s="110" t="s">
        <v>665</v>
      </c>
      <c r="B464" s="111" t="s">
        <v>227</v>
      </c>
      <c r="C464" s="112" t="s">
        <v>449</v>
      </c>
      <c r="D464" s="113" t="s">
        <v>17</v>
      </c>
      <c r="E464" s="369" t="s">
        <v>15</v>
      </c>
      <c r="F464" s="369" t="s">
        <v>32</v>
      </c>
      <c r="G464" s="370">
        <v>8.3000000000000007</v>
      </c>
      <c r="H464" s="125">
        <v>12.2</v>
      </c>
      <c r="I464" s="358">
        <v>1</v>
      </c>
      <c r="J464" s="117">
        <f t="shared" ref="J464:J477" si="217">H464*G464*I464/1000</f>
        <v>0.10126</v>
      </c>
      <c r="K464" s="118"/>
      <c r="L464" s="111">
        <v>1</v>
      </c>
      <c r="M464" s="117">
        <f t="shared" ref="M464:M477" si="218">H464*L464*G464/1000</f>
        <v>0.10126</v>
      </c>
      <c r="N464" s="119">
        <f t="shared" ref="N464:N477" si="219">I464-L464</f>
        <v>0</v>
      </c>
      <c r="O464" s="120">
        <f t="shared" ref="O464:O477" si="220">H464*N464*G464/1000</f>
        <v>0</v>
      </c>
      <c r="P464" s="159">
        <v>12</v>
      </c>
      <c r="Q464" s="32">
        <v>1</v>
      </c>
      <c r="R464" s="32" t="s">
        <v>249</v>
      </c>
    </row>
    <row r="465" spans="1:18">
      <c r="A465" s="110" t="s">
        <v>665</v>
      </c>
      <c r="B465" s="111" t="s">
        <v>227</v>
      </c>
      <c r="C465" s="112" t="s">
        <v>449</v>
      </c>
      <c r="D465" s="113" t="s">
        <v>17</v>
      </c>
      <c r="E465" s="369" t="s">
        <v>15</v>
      </c>
      <c r="F465" s="369" t="s">
        <v>32</v>
      </c>
      <c r="G465" s="370">
        <v>8.3000000000000007</v>
      </c>
      <c r="H465" s="125">
        <v>8.1999999999999993</v>
      </c>
      <c r="I465" s="358">
        <v>33</v>
      </c>
      <c r="J465" s="117">
        <f t="shared" si="217"/>
        <v>2.2459799999999999</v>
      </c>
      <c r="K465" s="118"/>
      <c r="L465" s="111">
        <v>33</v>
      </c>
      <c r="M465" s="117">
        <f t="shared" si="218"/>
        <v>2.2459799999999999</v>
      </c>
      <c r="N465" s="119">
        <f t="shared" si="219"/>
        <v>0</v>
      </c>
      <c r="O465" s="120">
        <f t="shared" si="220"/>
        <v>0</v>
      </c>
      <c r="P465" s="111"/>
      <c r="Q465" s="32"/>
      <c r="R465" s="32"/>
    </row>
    <row r="466" spans="1:18">
      <c r="A466" s="110" t="s">
        <v>665</v>
      </c>
      <c r="B466" s="111" t="s">
        <v>227</v>
      </c>
      <c r="C466" s="112" t="s">
        <v>449</v>
      </c>
      <c r="D466" s="113" t="s">
        <v>17</v>
      </c>
      <c r="E466" s="369" t="s">
        <v>15</v>
      </c>
      <c r="F466" s="369" t="s">
        <v>32</v>
      </c>
      <c r="G466" s="370">
        <v>8.3000000000000007</v>
      </c>
      <c r="H466" s="125">
        <v>8.1999999999999993</v>
      </c>
      <c r="I466" s="358">
        <v>10</v>
      </c>
      <c r="J466" s="117">
        <f t="shared" si="217"/>
        <v>0.68059999999999998</v>
      </c>
      <c r="K466" s="118"/>
      <c r="L466" s="111">
        <v>10</v>
      </c>
      <c r="M466" s="117">
        <f t="shared" si="218"/>
        <v>0.68059999999999998</v>
      </c>
      <c r="N466" s="119">
        <f t="shared" si="219"/>
        <v>0</v>
      </c>
      <c r="O466" s="120">
        <f t="shared" si="220"/>
        <v>0</v>
      </c>
      <c r="P466" s="111"/>
      <c r="Q466" s="32"/>
      <c r="R466" s="32"/>
    </row>
    <row r="467" spans="1:18">
      <c r="A467" s="110" t="s">
        <v>665</v>
      </c>
      <c r="B467" s="111" t="s">
        <v>227</v>
      </c>
      <c r="C467" s="112" t="s">
        <v>449</v>
      </c>
      <c r="D467" s="113" t="s">
        <v>17</v>
      </c>
      <c r="E467" s="369" t="s">
        <v>15</v>
      </c>
      <c r="F467" s="369" t="s">
        <v>32</v>
      </c>
      <c r="G467" s="370">
        <v>8.3000000000000007</v>
      </c>
      <c r="H467" s="125">
        <v>12</v>
      </c>
      <c r="I467" s="358">
        <v>26</v>
      </c>
      <c r="J467" s="117">
        <f t="shared" si="217"/>
        <v>2.5896000000000003</v>
      </c>
      <c r="K467" s="118"/>
      <c r="L467" s="111">
        <v>26</v>
      </c>
      <c r="M467" s="117">
        <f t="shared" si="218"/>
        <v>2.5896000000000003</v>
      </c>
      <c r="N467" s="119">
        <f t="shared" si="219"/>
        <v>0</v>
      </c>
      <c r="O467" s="120">
        <f t="shared" si="220"/>
        <v>0</v>
      </c>
      <c r="P467" s="111"/>
      <c r="Q467" s="32"/>
      <c r="R467" s="32"/>
    </row>
    <row r="468" spans="1:18">
      <c r="A468" s="110" t="s">
        <v>665</v>
      </c>
      <c r="B468" s="111" t="s">
        <v>227</v>
      </c>
      <c r="C468" s="112" t="s">
        <v>449</v>
      </c>
      <c r="D468" s="113" t="s">
        <v>17</v>
      </c>
      <c r="E468" s="369" t="s">
        <v>15</v>
      </c>
      <c r="F468" s="369" t="s">
        <v>32</v>
      </c>
      <c r="G468" s="370">
        <v>8.3000000000000007</v>
      </c>
      <c r="H468" s="125">
        <v>7.5</v>
      </c>
      <c r="I468" s="358">
        <v>5</v>
      </c>
      <c r="J468" s="117">
        <f t="shared" si="217"/>
        <v>0.31125000000000008</v>
      </c>
      <c r="K468" s="118"/>
      <c r="L468" s="111">
        <v>5</v>
      </c>
      <c r="M468" s="117">
        <f t="shared" si="218"/>
        <v>0.31125000000000003</v>
      </c>
      <c r="N468" s="119">
        <f t="shared" si="219"/>
        <v>0</v>
      </c>
      <c r="O468" s="120">
        <f t="shared" si="220"/>
        <v>0</v>
      </c>
      <c r="P468" s="111"/>
      <c r="Q468" s="32"/>
      <c r="R468" s="32"/>
    </row>
    <row r="469" spans="1:18">
      <c r="A469" s="110" t="s">
        <v>665</v>
      </c>
      <c r="B469" s="111" t="s">
        <v>227</v>
      </c>
      <c r="C469" s="112" t="s">
        <v>449</v>
      </c>
      <c r="D469" s="113" t="s">
        <v>17</v>
      </c>
      <c r="E469" s="369" t="s">
        <v>15</v>
      </c>
      <c r="F469" s="369" t="s">
        <v>32</v>
      </c>
      <c r="G469" s="370">
        <v>8.3000000000000007</v>
      </c>
      <c r="H469" s="125">
        <v>9</v>
      </c>
      <c r="I469" s="358">
        <v>21</v>
      </c>
      <c r="J469" s="117">
        <f t="shared" si="217"/>
        <v>1.5687</v>
      </c>
      <c r="K469" s="118"/>
      <c r="L469" s="111">
        <v>21</v>
      </c>
      <c r="M469" s="117">
        <f t="shared" si="218"/>
        <v>1.5687</v>
      </c>
      <c r="N469" s="119">
        <f t="shared" si="219"/>
        <v>0</v>
      </c>
      <c r="O469" s="120">
        <f t="shared" si="220"/>
        <v>0</v>
      </c>
      <c r="P469" s="111"/>
      <c r="Q469" s="32"/>
      <c r="R469" s="32"/>
    </row>
    <row r="470" spans="1:18">
      <c r="A470" s="110" t="s">
        <v>665</v>
      </c>
      <c r="B470" s="111" t="s">
        <v>227</v>
      </c>
      <c r="C470" s="112" t="s">
        <v>449</v>
      </c>
      <c r="D470" s="113" t="s">
        <v>17</v>
      </c>
      <c r="E470" s="369" t="s">
        <v>15</v>
      </c>
      <c r="F470" s="369" t="s">
        <v>32</v>
      </c>
      <c r="G470" s="370">
        <v>8.3000000000000007</v>
      </c>
      <c r="H470" s="125">
        <v>9</v>
      </c>
      <c r="I470" s="358">
        <v>35</v>
      </c>
      <c r="J470" s="117">
        <f t="shared" si="217"/>
        <v>2.6145</v>
      </c>
      <c r="K470" s="118"/>
      <c r="L470" s="111">
        <v>35</v>
      </c>
      <c r="M470" s="117">
        <f t="shared" si="218"/>
        <v>2.6145</v>
      </c>
      <c r="N470" s="119">
        <f t="shared" si="219"/>
        <v>0</v>
      </c>
      <c r="O470" s="120">
        <f t="shared" si="220"/>
        <v>0</v>
      </c>
      <c r="P470" s="111"/>
      <c r="Q470" s="32"/>
      <c r="R470" s="32"/>
    </row>
    <row r="471" spans="1:18">
      <c r="A471" s="110" t="s">
        <v>665</v>
      </c>
      <c r="B471" s="111" t="s">
        <v>227</v>
      </c>
      <c r="C471" s="112" t="s">
        <v>449</v>
      </c>
      <c r="D471" s="113" t="s">
        <v>17</v>
      </c>
      <c r="E471" s="369" t="s">
        <v>15</v>
      </c>
      <c r="F471" s="369" t="s">
        <v>32</v>
      </c>
      <c r="G471" s="370">
        <v>8.3000000000000007</v>
      </c>
      <c r="H471" s="125">
        <v>10</v>
      </c>
      <c r="I471" s="358">
        <v>6</v>
      </c>
      <c r="J471" s="117">
        <f t="shared" si="217"/>
        <v>0.498</v>
      </c>
      <c r="K471" s="118"/>
      <c r="L471" s="111">
        <v>6</v>
      </c>
      <c r="M471" s="117">
        <f t="shared" si="218"/>
        <v>0.49800000000000005</v>
      </c>
      <c r="N471" s="119">
        <f t="shared" si="219"/>
        <v>0</v>
      </c>
      <c r="O471" s="120">
        <f t="shared" si="220"/>
        <v>0</v>
      </c>
      <c r="P471" s="111"/>
      <c r="Q471" s="32"/>
      <c r="R471" s="32"/>
    </row>
    <row r="472" spans="1:18">
      <c r="A472" s="110" t="s">
        <v>665</v>
      </c>
      <c r="B472" s="111" t="s">
        <v>227</v>
      </c>
      <c r="C472" s="112" t="s">
        <v>449</v>
      </c>
      <c r="D472" s="113" t="s">
        <v>17</v>
      </c>
      <c r="E472" s="369" t="s">
        <v>15</v>
      </c>
      <c r="F472" s="369" t="s">
        <v>32</v>
      </c>
      <c r="G472" s="370">
        <v>8.3000000000000007</v>
      </c>
      <c r="H472" s="125">
        <v>10.199999999999999</v>
      </c>
      <c r="I472" s="358">
        <v>5</v>
      </c>
      <c r="J472" s="117">
        <f t="shared" si="217"/>
        <v>0.42329999999999995</v>
      </c>
      <c r="K472" s="118"/>
      <c r="L472" s="111">
        <v>5</v>
      </c>
      <c r="M472" s="117">
        <f t="shared" si="218"/>
        <v>0.42330000000000001</v>
      </c>
      <c r="N472" s="119">
        <f t="shared" si="219"/>
        <v>0</v>
      </c>
      <c r="O472" s="120">
        <f t="shared" si="220"/>
        <v>0</v>
      </c>
      <c r="P472" s="111"/>
      <c r="Q472" s="32"/>
      <c r="R472" s="32"/>
    </row>
    <row r="473" spans="1:18">
      <c r="A473" s="110" t="s">
        <v>665</v>
      </c>
      <c r="B473" s="111" t="s">
        <v>227</v>
      </c>
      <c r="C473" s="112" t="s">
        <v>449</v>
      </c>
      <c r="D473" s="113" t="s">
        <v>17</v>
      </c>
      <c r="E473" s="369" t="s">
        <v>15</v>
      </c>
      <c r="F473" s="369" t="s">
        <v>32</v>
      </c>
      <c r="G473" s="370">
        <v>8.3000000000000007</v>
      </c>
      <c r="H473" s="125">
        <v>10.5</v>
      </c>
      <c r="I473" s="358">
        <v>4</v>
      </c>
      <c r="J473" s="117">
        <f t="shared" si="217"/>
        <v>0.34860000000000002</v>
      </c>
      <c r="K473" s="118"/>
      <c r="L473" s="111">
        <v>4</v>
      </c>
      <c r="M473" s="117">
        <f t="shared" si="218"/>
        <v>0.34860000000000002</v>
      </c>
      <c r="N473" s="119">
        <f t="shared" si="219"/>
        <v>0</v>
      </c>
      <c r="O473" s="120">
        <f t="shared" si="220"/>
        <v>0</v>
      </c>
      <c r="P473" s="111"/>
      <c r="Q473" s="32"/>
      <c r="R473" s="32"/>
    </row>
    <row r="474" spans="1:18">
      <c r="A474" s="110" t="s">
        <v>665</v>
      </c>
      <c r="B474" s="111" t="s">
        <v>227</v>
      </c>
      <c r="C474" s="112" t="s">
        <v>449</v>
      </c>
      <c r="D474" s="113" t="s">
        <v>17</v>
      </c>
      <c r="E474" s="369" t="s">
        <v>15</v>
      </c>
      <c r="F474" s="369" t="s">
        <v>32</v>
      </c>
      <c r="G474" s="370">
        <v>8.3000000000000007</v>
      </c>
      <c r="H474" s="125">
        <v>11</v>
      </c>
      <c r="I474" s="358">
        <v>12</v>
      </c>
      <c r="J474" s="117">
        <f t="shared" si="217"/>
        <v>1.0956000000000001</v>
      </c>
      <c r="K474" s="118"/>
      <c r="L474" s="111">
        <v>12</v>
      </c>
      <c r="M474" s="117">
        <f t="shared" si="218"/>
        <v>1.0956000000000001</v>
      </c>
      <c r="N474" s="119">
        <f t="shared" si="219"/>
        <v>0</v>
      </c>
      <c r="O474" s="120">
        <f t="shared" si="220"/>
        <v>0</v>
      </c>
      <c r="P474" s="111"/>
      <c r="Q474" s="32"/>
      <c r="R474" s="32"/>
    </row>
    <row r="475" spans="1:18">
      <c r="A475" s="110" t="s">
        <v>665</v>
      </c>
      <c r="B475" s="111" t="s">
        <v>227</v>
      </c>
      <c r="C475" s="112" t="s">
        <v>449</v>
      </c>
      <c r="D475" s="113" t="s">
        <v>17</v>
      </c>
      <c r="E475" s="369" t="s">
        <v>15</v>
      </c>
      <c r="F475" s="369" t="s">
        <v>32</v>
      </c>
      <c r="G475" s="370">
        <v>8.3000000000000007</v>
      </c>
      <c r="H475" s="125">
        <v>11.5</v>
      </c>
      <c r="I475" s="358">
        <v>30</v>
      </c>
      <c r="J475" s="117">
        <f t="shared" si="217"/>
        <v>2.8635000000000002</v>
      </c>
      <c r="K475" s="118"/>
      <c r="L475" s="111">
        <v>30</v>
      </c>
      <c r="M475" s="117">
        <f t="shared" si="218"/>
        <v>2.8635000000000006</v>
      </c>
      <c r="N475" s="119">
        <f t="shared" si="219"/>
        <v>0</v>
      </c>
      <c r="O475" s="120">
        <f t="shared" si="220"/>
        <v>0</v>
      </c>
      <c r="P475" s="111"/>
      <c r="Q475" s="32"/>
      <c r="R475" s="32"/>
    </row>
    <row r="476" spans="1:18">
      <c r="A476" s="110" t="s">
        <v>665</v>
      </c>
      <c r="B476" s="111" t="s">
        <v>227</v>
      </c>
      <c r="C476" s="112" t="s">
        <v>449</v>
      </c>
      <c r="D476" s="113" t="s">
        <v>17</v>
      </c>
      <c r="E476" s="369" t="s">
        <v>15</v>
      </c>
      <c r="F476" s="369" t="s">
        <v>32</v>
      </c>
      <c r="G476" s="370">
        <v>8.3000000000000007</v>
      </c>
      <c r="H476" s="125">
        <v>12</v>
      </c>
      <c r="I476" s="358">
        <v>33</v>
      </c>
      <c r="J476" s="117">
        <f t="shared" si="217"/>
        <v>3.2868000000000004</v>
      </c>
      <c r="K476" s="118"/>
      <c r="L476" s="111">
        <v>33</v>
      </c>
      <c r="M476" s="117">
        <f t="shared" si="218"/>
        <v>3.2868000000000004</v>
      </c>
      <c r="N476" s="119">
        <f t="shared" si="219"/>
        <v>0</v>
      </c>
      <c r="O476" s="120">
        <f t="shared" si="220"/>
        <v>0</v>
      </c>
      <c r="P476" s="111"/>
      <c r="Q476" s="32"/>
      <c r="R476" s="32"/>
    </row>
    <row r="477" spans="1:18">
      <c r="A477" s="110" t="s">
        <v>665</v>
      </c>
      <c r="B477" s="111" t="s">
        <v>227</v>
      </c>
      <c r="C477" s="112" t="s">
        <v>449</v>
      </c>
      <c r="D477" s="113" t="s">
        <v>17</v>
      </c>
      <c r="E477" s="369" t="s">
        <v>15</v>
      </c>
      <c r="F477" s="369" t="s">
        <v>32</v>
      </c>
      <c r="G477" s="370">
        <v>8.3000000000000007</v>
      </c>
      <c r="H477" s="125">
        <v>12</v>
      </c>
      <c r="I477" s="358">
        <v>33</v>
      </c>
      <c r="J477" s="117">
        <f t="shared" si="217"/>
        <v>3.2868000000000004</v>
      </c>
      <c r="K477" s="118"/>
      <c r="L477" s="111">
        <v>33</v>
      </c>
      <c r="M477" s="117">
        <f t="shared" si="218"/>
        <v>3.2868000000000004</v>
      </c>
      <c r="N477" s="119">
        <f t="shared" si="219"/>
        <v>0</v>
      </c>
      <c r="O477" s="120">
        <f t="shared" si="220"/>
        <v>0</v>
      </c>
      <c r="P477" s="111"/>
      <c r="Q477" s="32"/>
      <c r="R477" s="32"/>
    </row>
    <row r="478" spans="1:18">
      <c r="A478" s="110" t="s">
        <v>665</v>
      </c>
      <c r="B478" s="111" t="s">
        <v>227</v>
      </c>
      <c r="C478" s="112" t="s">
        <v>449</v>
      </c>
      <c r="D478" s="113" t="s">
        <v>17</v>
      </c>
      <c r="E478" s="369" t="s">
        <v>15</v>
      </c>
      <c r="F478" s="369" t="s">
        <v>32</v>
      </c>
      <c r="G478" s="370">
        <v>8.3000000000000007</v>
      </c>
      <c r="H478" s="125">
        <v>12</v>
      </c>
      <c r="I478" s="358">
        <v>9</v>
      </c>
      <c r="J478" s="117">
        <f t="shared" ref="J478:J480" si="221">H478*G478*I478/1000</f>
        <v>0.89640000000000009</v>
      </c>
      <c r="K478" s="118"/>
      <c r="L478" s="111">
        <v>9</v>
      </c>
      <c r="M478" s="117">
        <f t="shared" ref="M478:M480" si="222">H478*L478*G478/1000</f>
        <v>0.89640000000000009</v>
      </c>
      <c r="N478" s="119">
        <f t="shared" ref="N478:N480" si="223">I478-L478</f>
        <v>0</v>
      </c>
      <c r="O478" s="120">
        <f t="shared" ref="O478:O480" si="224">H478*N478*G478/1000</f>
        <v>0</v>
      </c>
      <c r="P478" s="111"/>
      <c r="Q478" s="32"/>
      <c r="R478" s="32"/>
    </row>
    <row r="479" spans="1:18">
      <c r="A479" s="110" t="s">
        <v>665</v>
      </c>
      <c r="B479" s="111" t="s">
        <v>227</v>
      </c>
      <c r="C479" s="112" t="s">
        <v>449</v>
      </c>
      <c r="D479" s="113" t="s">
        <v>17</v>
      </c>
      <c r="E479" s="369" t="s">
        <v>15</v>
      </c>
      <c r="F479" s="369" t="s">
        <v>32</v>
      </c>
      <c r="G479" s="370">
        <v>8.3000000000000007</v>
      </c>
      <c r="H479" s="125">
        <v>11.7</v>
      </c>
      <c r="I479" s="358">
        <v>4</v>
      </c>
      <c r="J479" s="117">
        <f t="shared" si="221"/>
        <v>0.38844000000000001</v>
      </c>
      <c r="K479" s="118"/>
      <c r="L479" s="111">
        <v>4</v>
      </c>
      <c r="M479" s="117">
        <f t="shared" si="222"/>
        <v>0.38844000000000001</v>
      </c>
      <c r="N479" s="119">
        <f t="shared" si="223"/>
        <v>0</v>
      </c>
      <c r="O479" s="120">
        <f t="shared" si="224"/>
        <v>0</v>
      </c>
      <c r="P479" s="111"/>
      <c r="Q479" s="32"/>
      <c r="R479" s="32"/>
    </row>
    <row r="480" spans="1:18">
      <c r="A480" s="110" t="s">
        <v>665</v>
      </c>
      <c r="B480" s="111" t="s">
        <v>227</v>
      </c>
      <c r="C480" s="112" t="s">
        <v>449</v>
      </c>
      <c r="D480" s="113" t="s">
        <v>17</v>
      </c>
      <c r="E480" s="369" t="s">
        <v>15</v>
      </c>
      <c r="F480" s="369" t="s">
        <v>32</v>
      </c>
      <c r="G480" s="370">
        <v>8.3000000000000007</v>
      </c>
      <c r="H480" s="125">
        <v>11.5</v>
      </c>
      <c r="I480" s="358">
        <v>15</v>
      </c>
      <c r="J480" s="117">
        <f t="shared" si="221"/>
        <v>1.4317500000000001</v>
      </c>
      <c r="K480" s="118"/>
      <c r="L480" s="111">
        <v>15</v>
      </c>
      <c r="M480" s="117">
        <f t="shared" si="222"/>
        <v>1.4317500000000003</v>
      </c>
      <c r="N480" s="119">
        <f t="shared" si="223"/>
        <v>0</v>
      </c>
      <c r="O480" s="120">
        <f t="shared" si="224"/>
        <v>0</v>
      </c>
      <c r="P480" s="111"/>
      <c r="Q480" s="32"/>
      <c r="R480" s="32"/>
    </row>
    <row r="481" spans="1:18">
      <c r="A481" s="110" t="s">
        <v>665</v>
      </c>
      <c r="B481" s="111" t="s">
        <v>227</v>
      </c>
      <c r="C481" s="112" t="s">
        <v>449</v>
      </c>
      <c r="D481" s="113" t="s">
        <v>17</v>
      </c>
      <c r="E481" s="369" t="s">
        <v>15</v>
      </c>
      <c r="F481" s="369" t="s">
        <v>32</v>
      </c>
      <c r="G481" s="370">
        <v>8.3000000000000007</v>
      </c>
      <c r="H481" s="125">
        <v>12</v>
      </c>
      <c r="I481" s="358">
        <v>33</v>
      </c>
      <c r="J481" s="117">
        <f t="shared" ref="J481:J483" si="225">H481*G481*I481/1000</f>
        <v>3.2868000000000004</v>
      </c>
      <c r="K481" s="118"/>
      <c r="L481" s="111">
        <v>33</v>
      </c>
      <c r="M481" s="117">
        <f t="shared" ref="M481:M483" si="226">H481*L481*G481/1000</f>
        <v>3.2868000000000004</v>
      </c>
      <c r="N481" s="119">
        <f t="shared" ref="N481:N483" si="227">I481-L481</f>
        <v>0</v>
      </c>
      <c r="O481" s="120">
        <f t="shared" ref="O481:O483" si="228">H481*N481*G481/1000</f>
        <v>0</v>
      </c>
      <c r="P481" s="111"/>
      <c r="Q481" s="32"/>
      <c r="R481" s="32"/>
    </row>
    <row r="482" spans="1:18">
      <c r="A482" s="110" t="s">
        <v>665</v>
      </c>
      <c r="B482" s="111" t="s">
        <v>227</v>
      </c>
      <c r="C482" s="112" t="s">
        <v>449</v>
      </c>
      <c r="D482" s="113" t="s">
        <v>17</v>
      </c>
      <c r="E482" s="369" t="s">
        <v>15</v>
      </c>
      <c r="F482" s="369" t="s">
        <v>32</v>
      </c>
      <c r="G482" s="370">
        <v>8.3000000000000007</v>
      </c>
      <c r="H482" s="125">
        <v>12</v>
      </c>
      <c r="I482" s="358">
        <v>33</v>
      </c>
      <c r="J482" s="117">
        <f t="shared" si="225"/>
        <v>3.2868000000000004</v>
      </c>
      <c r="K482" s="118"/>
      <c r="L482" s="111">
        <v>33</v>
      </c>
      <c r="M482" s="117">
        <f t="shared" si="226"/>
        <v>3.2868000000000004</v>
      </c>
      <c r="N482" s="119">
        <f t="shared" si="227"/>
        <v>0</v>
      </c>
      <c r="O482" s="120">
        <f t="shared" si="228"/>
        <v>0</v>
      </c>
      <c r="P482" s="111"/>
      <c r="Q482" s="32"/>
      <c r="R482" s="32"/>
    </row>
    <row r="483" spans="1:18">
      <c r="A483" s="110" t="s">
        <v>665</v>
      </c>
      <c r="B483" s="111" t="s">
        <v>227</v>
      </c>
      <c r="C483" s="112" t="s">
        <v>449</v>
      </c>
      <c r="D483" s="113" t="s">
        <v>17</v>
      </c>
      <c r="E483" s="369" t="s">
        <v>15</v>
      </c>
      <c r="F483" s="369" t="s">
        <v>32</v>
      </c>
      <c r="G483" s="370">
        <v>8.3000000000000007</v>
      </c>
      <c r="H483" s="125">
        <v>8.1999999999999993</v>
      </c>
      <c r="I483" s="358">
        <v>36</v>
      </c>
      <c r="J483" s="117">
        <f t="shared" si="225"/>
        <v>2.4501599999999999</v>
      </c>
      <c r="K483" s="118"/>
      <c r="L483" s="111">
        <v>36</v>
      </c>
      <c r="M483" s="117">
        <f t="shared" si="226"/>
        <v>2.4501600000000003</v>
      </c>
      <c r="N483" s="119">
        <f t="shared" si="227"/>
        <v>0</v>
      </c>
      <c r="O483" s="120">
        <f t="shared" si="228"/>
        <v>0</v>
      </c>
      <c r="P483" s="111"/>
      <c r="Q483" s="32"/>
      <c r="R483" s="32"/>
    </row>
    <row r="484" spans="1:18">
      <c r="A484" s="110" t="s">
        <v>665</v>
      </c>
      <c r="B484" s="111" t="s">
        <v>227</v>
      </c>
      <c r="C484" s="112" t="s">
        <v>449</v>
      </c>
      <c r="D484" s="113" t="s">
        <v>17</v>
      </c>
      <c r="E484" s="369" t="s">
        <v>15</v>
      </c>
      <c r="F484" s="369" t="s">
        <v>32</v>
      </c>
      <c r="G484" s="370">
        <v>8.3000000000000007</v>
      </c>
      <c r="H484" s="125">
        <v>12</v>
      </c>
      <c r="I484" s="358">
        <v>33</v>
      </c>
      <c r="J484" s="117">
        <f t="shared" ref="J484:J489" si="229">H484*G484*I484/1000</f>
        <v>3.2868000000000004</v>
      </c>
      <c r="K484" s="118"/>
      <c r="L484" s="111">
        <v>33</v>
      </c>
      <c r="M484" s="117">
        <f t="shared" ref="M484:M489" si="230">H484*L484*G484/1000</f>
        <v>3.2868000000000004</v>
      </c>
      <c r="N484" s="119">
        <f t="shared" ref="N484:N489" si="231">I484-L484</f>
        <v>0</v>
      </c>
      <c r="O484" s="120">
        <f t="shared" ref="O484:O489" si="232">H484*N484*G484/1000</f>
        <v>0</v>
      </c>
      <c r="P484" s="111"/>
      <c r="Q484" s="32"/>
      <c r="R484" s="32"/>
    </row>
    <row r="485" spans="1:18">
      <c r="A485" s="110" t="s">
        <v>665</v>
      </c>
      <c r="B485" s="111" t="s">
        <v>227</v>
      </c>
      <c r="C485" s="112" t="s">
        <v>449</v>
      </c>
      <c r="D485" s="113" t="s">
        <v>17</v>
      </c>
      <c r="E485" s="369" t="s">
        <v>15</v>
      </c>
      <c r="F485" s="369" t="s">
        <v>32</v>
      </c>
      <c r="G485" s="370">
        <v>8.3000000000000007</v>
      </c>
      <c r="H485" s="125">
        <v>12</v>
      </c>
      <c r="I485" s="358">
        <v>32</v>
      </c>
      <c r="J485" s="117">
        <f t="shared" si="229"/>
        <v>3.1872000000000003</v>
      </c>
      <c r="K485" s="118"/>
      <c r="L485" s="111">
        <v>32</v>
      </c>
      <c r="M485" s="117">
        <f t="shared" si="230"/>
        <v>3.1872000000000003</v>
      </c>
      <c r="N485" s="119">
        <f t="shared" si="231"/>
        <v>0</v>
      </c>
      <c r="O485" s="120">
        <f t="shared" si="232"/>
        <v>0</v>
      </c>
      <c r="P485" s="111"/>
      <c r="Q485" s="32"/>
      <c r="R485" s="32"/>
    </row>
    <row r="486" spans="1:18">
      <c r="A486" s="110" t="s">
        <v>665</v>
      </c>
      <c r="B486" s="111" t="s">
        <v>227</v>
      </c>
      <c r="C486" s="112" t="s">
        <v>449</v>
      </c>
      <c r="D486" s="113" t="s">
        <v>17</v>
      </c>
      <c r="E486" s="369" t="s">
        <v>15</v>
      </c>
      <c r="F486" s="369" t="s">
        <v>32</v>
      </c>
      <c r="G486" s="370">
        <v>8.3000000000000007</v>
      </c>
      <c r="H486" s="125">
        <v>8.1999999999999993</v>
      </c>
      <c r="I486" s="358">
        <v>40</v>
      </c>
      <c r="J486" s="117">
        <f t="shared" si="229"/>
        <v>2.7223999999999999</v>
      </c>
      <c r="K486" s="118"/>
      <c r="L486" s="111">
        <v>40</v>
      </c>
      <c r="M486" s="117">
        <f t="shared" si="230"/>
        <v>2.7223999999999999</v>
      </c>
      <c r="N486" s="119">
        <f t="shared" si="231"/>
        <v>0</v>
      </c>
      <c r="O486" s="120">
        <f t="shared" si="232"/>
        <v>0</v>
      </c>
      <c r="P486" s="111"/>
      <c r="Q486" s="32"/>
      <c r="R486" s="32"/>
    </row>
    <row r="487" spans="1:18">
      <c r="A487" s="110" t="s">
        <v>665</v>
      </c>
      <c r="B487" s="111" t="s">
        <v>227</v>
      </c>
      <c r="C487" s="112" t="s">
        <v>449</v>
      </c>
      <c r="D487" s="113" t="s">
        <v>17</v>
      </c>
      <c r="E487" s="369" t="s">
        <v>15</v>
      </c>
      <c r="F487" s="369" t="s">
        <v>32</v>
      </c>
      <c r="G487" s="370">
        <v>8.3000000000000007</v>
      </c>
      <c r="H487" s="125">
        <v>9</v>
      </c>
      <c r="I487" s="358">
        <v>40</v>
      </c>
      <c r="J487" s="117">
        <f t="shared" si="229"/>
        <v>2.988</v>
      </c>
      <c r="K487" s="118"/>
      <c r="L487" s="111">
        <v>40</v>
      </c>
      <c r="M487" s="117">
        <f t="shared" si="230"/>
        <v>2.9880000000000004</v>
      </c>
      <c r="N487" s="119">
        <f t="shared" si="231"/>
        <v>0</v>
      </c>
      <c r="O487" s="120">
        <f t="shared" si="232"/>
        <v>0</v>
      </c>
      <c r="P487" s="111"/>
      <c r="Q487" s="32"/>
      <c r="R487" s="32"/>
    </row>
    <row r="488" spans="1:18">
      <c r="A488" s="110" t="s">
        <v>665</v>
      </c>
      <c r="B488" s="111" t="s">
        <v>227</v>
      </c>
      <c r="C488" s="112" t="s">
        <v>449</v>
      </c>
      <c r="D488" s="113" t="s">
        <v>17</v>
      </c>
      <c r="E488" s="369" t="s">
        <v>15</v>
      </c>
      <c r="F488" s="369" t="s">
        <v>32</v>
      </c>
      <c r="G488" s="370">
        <v>8.3000000000000007</v>
      </c>
      <c r="H488" s="125">
        <v>12</v>
      </c>
      <c r="I488" s="358">
        <v>26</v>
      </c>
      <c r="J488" s="117">
        <f t="shared" si="229"/>
        <v>2.5896000000000003</v>
      </c>
      <c r="K488" s="118"/>
      <c r="L488" s="111">
        <v>26</v>
      </c>
      <c r="M488" s="117">
        <f t="shared" si="230"/>
        <v>2.5896000000000003</v>
      </c>
      <c r="N488" s="119">
        <f t="shared" si="231"/>
        <v>0</v>
      </c>
      <c r="O488" s="120">
        <f t="shared" si="232"/>
        <v>0</v>
      </c>
      <c r="P488" s="111"/>
      <c r="Q488" s="32"/>
      <c r="R488" s="32"/>
    </row>
    <row r="489" spans="1:18">
      <c r="A489" s="110" t="s">
        <v>665</v>
      </c>
      <c r="B489" s="111" t="s">
        <v>227</v>
      </c>
      <c r="C489" s="112" t="s">
        <v>449</v>
      </c>
      <c r="D489" s="113" t="s">
        <v>17</v>
      </c>
      <c r="E489" s="369" t="s">
        <v>15</v>
      </c>
      <c r="F489" s="369" t="s">
        <v>32</v>
      </c>
      <c r="G489" s="370">
        <v>8.3000000000000007</v>
      </c>
      <c r="H489" s="125">
        <v>11.7</v>
      </c>
      <c r="I489" s="358">
        <v>17</v>
      </c>
      <c r="J489" s="117">
        <f t="shared" si="229"/>
        <v>1.6508699999999998</v>
      </c>
      <c r="K489" s="118"/>
      <c r="L489" s="111">
        <v>17</v>
      </c>
      <c r="M489" s="117">
        <f t="shared" si="230"/>
        <v>1.6508699999999998</v>
      </c>
      <c r="N489" s="119">
        <f t="shared" si="231"/>
        <v>0</v>
      </c>
      <c r="O489" s="120">
        <f t="shared" si="232"/>
        <v>0</v>
      </c>
      <c r="P489" s="111"/>
      <c r="Q489" s="32"/>
      <c r="R489" s="32"/>
    </row>
    <row r="490" spans="1:18">
      <c r="A490" s="110" t="s">
        <v>665</v>
      </c>
      <c r="B490" s="111" t="s">
        <v>227</v>
      </c>
      <c r="C490" s="112" t="s">
        <v>449</v>
      </c>
      <c r="D490" s="113" t="s">
        <v>17</v>
      </c>
      <c r="E490" s="369" t="s">
        <v>15</v>
      </c>
      <c r="F490" s="369" t="s">
        <v>32</v>
      </c>
      <c r="G490" s="370">
        <v>8.3000000000000007</v>
      </c>
      <c r="H490" s="125">
        <v>12</v>
      </c>
      <c r="I490" s="358">
        <v>40</v>
      </c>
      <c r="J490" s="117">
        <f t="shared" ref="J490:J494" si="233">H490*G490*I490/1000</f>
        <v>3.9840000000000004</v>
      </c>
      <c r="K490" s="118"/>
      <c r="L490" s="111">
        <v>40</v>
      </c>
      <c r="M490" s="117">
        <f t="shared" ref="M490:M494" si="234">H490*L490*G490/1000</f>
        <v>3.9840000000000004</v>
      </c>
      <c r="N490" s="119">
        <f t="shared" ref="N490:N493" si="235">I490-L490</f>
        <v>0</v>
      </c>
      <c r="O490" s="120">
        <f t="shared" ref="O490:O493" si="236">H490*N490*G490/1000</f>
        <v>0</v>
      </c>
      <c r="P490" s="111"/>
      <c r="Q490" s="32"/>
      <c r="R490" s="32"/>
    </row>
    <row r="491" spans="1:18">
      <c r="A491" s="110" t="s">
        <v>665</v>
      </c>
      <c r="B491" s="111" t="s">
        <v>227</v>
      </c>
      <c r="C491" s="112" t="s">
        <v>449</v>
      </c>
      <c r="D491" s="113" t="s">
        <v>17</v>
      </c>
      <c r="E491" s="369" t="s">
        <v>15</v>
      </c>
      <c r="F491" s="369" t="s">
        <v>32</v>
      </c>
      <c r="G491" s="370">
        <v>8.3000000000000007</v>
      </c>
      <c r="H491" s="125">
        <v>12</v>
      </c>
      <c r="I491" s="358">
        <v>40</v>
      </c>
      <c r="J491" s="117">
        <f t="shared" si="233"/>
        <v>3.9840000000000004</v>
      </c>
      <c r="K491" s="118"/>
      <c r="L491" s="111">
        <v>40</v>
      </c>
      <c r="M491" s="117">
        <f t="shared" si="234"/>
        <v>3.9840000000000004</v>
      </c>
      <c r="N491" s="119">
        <f t="shared" si="235"/>
        <v>0</v>
      </c>
      <c r="O491" s="120">
        <f t="shared" si="236"/>
        <v>0</v>
      </c>
      <c r="P491" s="111"/>
      <c r="Q491" s="32"/>
      <c r="R491" s="32"/>
    </row>
    <row r="492" spans="1:18">
      <c r="A492" s="110" t="s">
        <v>665</v>
      </c>
      <c r="B492" s="111" t="s">
        <v>227</v>
      </c>
      <c r="C492" s="112" t="s">
        <v>449</v>
      </c>
      <c r="D492" s="113" t="s">
        <v>17</v>
      </c>
      <c r="E492" s="369" t="s">
        <v>15</v>
      </c>
      <c r="F492" s="369" t="s">
        <v>32</v>
      </c>
      <c r="G492" s="370">
        <v>8.3000000000000007</v>
      </c>
      <c r="H492" s="125">
        <v>12</v>
      </c>
      <c r="I492" s="358">
        <v>40</v>
      </c>
      <c r="J492" s="117">
        <f t="shared" si="233"/>
        <v>3.9840000000000004</v>
      </c>
      <c r="K492" s="118"/>
      <c r="L492" s="111">
        <v>40</v>
      </c>
      <c r="M492" s="117">
        <f t="shared" si="234"/>
        <v>3.9840000000000004</v>
      </c>
      <c r="N492" s="119">
        <f t="shared" si="235"/>
        <v>0</v>
      </c>
      <c r="O492" s="120">
        <f t="shared" si="236"/>
        <v>0</v>
      </c>
      <c r="P492" s="111"/>
      <c r="Q492" s="32"/>
      <c r="R492" s="32"/>
    </row>
    <row r="493" spans="1:18">
      <c r="A493" s="110" t="s">
        <v>665</v>
      </c>
      <c r="B493" s="111" t="s">
        <v>227</v>
      </c>
      <c r="C493" s="112" t="s">
        <v>449</v>
      </c>
      <c r="D493" s="113" t="s">
        <v>17</v>
      </c>
      <c r="E493" s="369" t="s">
        <v>15</v>
      </c>
      <c r="F493" s="369" t="s">
        <v>32</v>
      </c>
      <c r="G493" s="370">
        <v>8.3000000000000007</v>
      </c>
      <c r="H493" s="125">
        <v>12</v>
      </c>
      <c r="I493" s="358">
        <v>35</v>
      </c>
      <c r="J493" s="117">
        <f t="shared" si="233"/>
        <v>3.4860000000000007</v>
      </c>
      <c r="K493" s="118"/>
      <c r="L493" s="111">
        <v>35</v>
      </c>
      <c r="M493" s="117">
        <f t="shared" si="234"/>
        <v>3.4860000000000007</v>
      </c>
      <c r="N493" s="119">
        <f t="shared" si="235"/>
        <v>0</v>
      </c>
      <c r="O493" s="120">
        <f t="shared" si="236"/>
        <v>0</v>
      </c>
      <c r="P493" s="111"/>
      <c r="Q493" s="32"/>
      <c r="R493" s="32"/>
    </row>
    <row r="494" spans="1:18">
      <c r="A494" s="110" t="s">
        <v>665</v>
      </c>
      <c r="B494" s="111" t="s">
        <v>227</v>
      </c>
      <c r="C494" s="112" t="s">
        <v>449</v>
      </c>
      <c r="D494" s="113" t="s">
        <v>17</v>
      </c>
      <c r="E494" s="369" t="s">
        <v>15</v>
      </c>
      <c r="F494" s="369" t="s">
        <v>32</v>
      </c>
      <c r="G494" s="370">
        <v>8.3000000000000007</v>
      </c>
      <c r="H494" s="125">
        <v>8.1999999999999993</v>
      </c>
      <c r="I494" s="358">
        <v>39</v>
      </c>
      <c r="J494" s="117">
        <f t="shared" si="233"/>
        <v>2.6543400000000004</v>
      </c>
      <c r="K494" s="118"/>
      <c r="L494" s="111">
        <v>39</v>
      </c>
      <c r="M494" s="117">
        <f t="shared" si="234"/>
        <v>2.6543399999999995</v>
      </c>
      <c r="N494" s="119">
        <f>I494-L494</f>
        <v>0</v>
      </c>
      <c r="O494" s="120">
        <f>H494*N494*G494/1000</f>
        <v>0</v>
      </c>
      <c r="P494" s="111"/>
      <c r="Q494" s="32"/>
      <c r="R494" s="32"/>
    </row>
    <row r="495" spans="1:18">
      <c r="A495" s="32"/>
      <c r="B495" s="32"/>
      <c r="C495" s="32"/>
      <c r="D495" s="32"/>
      <c r="E495" s="32"/>
      <c r="F495" s="32"/>
      <c r="G495" s="32"/>
      <c r="H495" s="32"/>
      <c r="I495" s="129">
        <f>SUM(I447:I494)</f>
        <v>1030</v>
      </c>
      <c r="J495" s="124">
        <f>SUM(J447:J494)</f>
        <v>90.282834999999992</v>
      </c>
      <c r="K495" s="32"/>
      <c r="L495" s="129">
        <f>SUM(L447:L494)</f>
        <v>1030</v>
      </c>
      <c r="M495" s="124">
        <f>SUM(M447:M494)</f>
        <v>90.282834999999992</v>
      </c>
      <c r="N495" s="131">
        <f>SUM(N447:N494)</f>
        <v>0</v>
      </c>
      <c r="O495" s="124">
        <f>SUM(O447:O494)</f>
        <v>0</v>
      </c>
      <c r="P495" s="32"/>
      <c r="Q495" s="32"/>
      <c r="R495" s="32"/>
    </row>
    <row r="497" spans="1:18">
      <c r="A497" s="110" t="s">
        <v>665</v>
      </c>
      <c r="B497" s="111" t="s">
        <v>227</v>
      </c>
      <c r="C497" s="112" t="s">
        <v>449</v>
      </c>
      <c r="D497" s="113" t="s">
        <v>24</v>
      </c>
      <c r="E497" s="369" t="s">
        <v>14</v>
      </c>
      <c r="F497" s="369" t="s">
        <v>21</v>
      </c>
      <c r="G497" s="370">
        <v>6.97</v>
      </c>
      <c r="H497" s="125">
        <v>12</v>
      </c>
      <c r="I497" s="358">
        <v>36</v>
      </c>
      <c r="J497" s="117">
        <f t="shared" ref="J497" si="237">H497*G497*I497/1000</f>
        <v>3.0110399999999999</v>
      </c>
      <c r="K497" s="118"/>
      <c r="L497" s="111">
        <v>36</v>
      </c>
      <c r="M497" s="117">
        <f t="shared" ref="M497" si="238">H497*L497*G497/1000</f>
        <v>3.0110399999999999</v>
      </c>
      <c r="N497" s="119">
        <f t="shared" ref="N497" si="239">I497-L497</f>
        <v>0</v>
      </c>
      <c r="O497" s="120">
        <f t="shared" ref="O497" si="240">H497*N497*G497/1000</f>
        <v>0</v>
      </c>
      <c r="P497" s="111"/>
      <c r="Q497" s="32"/>
      <c r="R497" s="32"/>
    </row>
    <row r="498" spans="1:18">
      <c r="A498" s="110" t="s">
        <v>665</v>
      </c>
      <c r="B498" s="111" t="s">
        <v>227</v>
      </c>
      <c r="C498" s="112" t="s">
        <v>449</v>
      </c>
      <c r="D498" s="113" t="s">
        <v>24</v>
      </c>
      <c r="E498" s="369" t="s">
        <v>14</v>
      </c>
      <c r="F498" s="369" t="s">
        <v>21</v>
      </c>
      <c r="G498" s="370">
        <v>6.97</v>
      </c>
      <c r="H498" s="125">
        <v>12</v>
      </c>
      <c r="I498" s="358">
        <v>40</v>
      </c>
      <c r="J498" s="117">
        <f t="shared" ref="J498:J516" si="241">H498*G498*I498/1000</f>
        <v>3.3456000000000001</v>
      </c>
      <c r="K498" s="118"/>
      <c r="L498" s="111">
        <v>40</v>
      </c>
      <c r="M498" s="117">
        <f t="shared" ref="M498:M516" si="242">H498*L498*G498/1000</f>
        <v>3.3456000000000001</v>
      </c>
      <c r="N498" s="119">
        <f t="shared" ref="N498:N516" si="243">I498-L498</f>
        <v>0</v>
      </c>
      <c r="O498" s="120">
        <f t="shared" ref="O498:O516" si="244">H498*N498*G498/1000</f>
        <v>0</v>
      </c>
      <c r="P498" s="111"/>
      <c r="Q498" s="32"/>
      <c r="R498" s="32"/>
    </row>
    <row r="499" spans="1:18">
      <c r="A499" s="110" t="s">
        <v>665</v>
      </c>
      <c r="B499" s="111" t="s">
        <v>227</v>
      </c>
      <c r="C499" s="112" t="s">
        <v>449</v>
      </c>
      <c r="D499" s="113" t="s">
        <v>24</v>
      </c>
      <c r="E499" s="369" t="s">
        <v>14</v>
      </c>
      <c r="F499" s="369" t="s">
        <v>21</v>
      </c>
      <c r="G499" s="370">
        <v>6.97</v>
      </c>
      <c r="H499" s="125">
        <v>10.65</v>
      </c>
      <c r="I499" s="358">
        <v>36</v>
      </c>
      <c r="J499" s="117">
        <f t="shared" si="241"/>
        <v>2.6722980000000001</v>
      </c>
      <c r="K499" s="118"/>
      <c r="L499" s="111">
        <v>36</v>
      </c>
      <c r="M499" s="117">
        <f t="shared" si="242"/>
        <v>2.6722980000000001</v>
      </c>
      <c r="N499" s="119">
        <f t="shared" si="243"/>
        <v>0</v>
      </c>
      <c r="O499" s="120">
        <f t="shared" si="244"/>
        <v>0</v>
      </c>
      <c r="P499" s="111"/>
      <c r="Q499" s="32"/>
      <c r="R499" s="32"/>
    </row>
    <row r="500" spans="1:18">
      <c r="A500" s="110" t="s">
        <v>665</v>
      </c>
      <c r="B500" s="111" t="s">
        <v>227</v>
      </c>
      <c r="C500" s="112" t="s">
        <v>449</v>
      </c>
      <c r="D500" s="113" t="s">
        <v>24</v>
      </c>
      <c r="E500" s="369" t="s">
        <v>14</v>
      </c>
      <c r="F500" s="369" t="s">
        <v>21</v>
      </c>
      <c r="G500" s="370">
        <v>6.97</v>
      </c>
      <c r="H500" s="125">
        <v>8.8000000000000007</v>
      </c>
      <c r="I500" s="358">
        <v>40</v>
      </c>
      <c r="J500" s="117">
        <f t="shared" si="241"/>
        <v>2.4534400000000001</v>
      </c>
      <c r="K500" s="118"/>
      <c r="L500" s="111">
        <v>40</v>
      </c>
      <c r="M500" s="117">
        <f t="shared" si="242"/>
        <v>2.4534400000000001</v>
      </c>
      <c r="N500" s="119">
        <f t="shared" si="243"/>
        <v>0</v>
      </c>
      <c r="O500" s="120">
        <f t="shared" si="244"/>
        <v>0</v>
      </c>
      <c r="P500" s="111"/>
      <c r="Q500" s="32"/>
      <c r="R500" s="32"/>
    </row>
    <row r="501" spans="1:18">
      <c r="A501" s="110" t="s">
        <v>665</v>
      </c>
      <c r="B501" s="111" t="s">
        <v>227</v>
      </c>
      <c r="C501" s="112" t="s">
        <v>449</v>
      </c>
      <c r="D501" s="113" t="s">
        <v>24</v>
      </c>
      <c r="E501" s="369" t="s">
        <v>14</v>
      </c>
      <c r="F501" s="369" t="s">
        <v>21</v>
      </c>
      <c r="G501" s="370">
        <v>6.97</v>
      </c>
      <c r="H501" s="125">
        <v>8.8000000000000007</v>
      </c>
      <c r="I501" s="358">
        <v>40</v>
      </c>
      <c r="J501" s="117">
        <f t="shared" si="241"/>
        <v>2.4534400000000001</v>
      </c>
      <c r="K501" s="118"/>
      <c r="L501" s="111">
        <v>40</v>
      </c>
      <c r="M501" s="117">
        <f t="shared" si="242"/>
        <v>2.4534400000000001</v>
      </c>
      <c r="N501" s="119">
        <f t="shared" si="243"/>
        <v>0</v>
      </c>
      <c r="O501" s="120">
        <f t="shared" si="244"/>
        <v>0</v>
      </c>
      <c r="P501" s="111"/>
      <c r="Q501" s="32"/>
      <c r="R501" s="32"/>
    </row>
    <row r="502" spans="1:18">
      <c r="A502" s="110" t="s">
        <v>665</v>
      </c>
      <c r="B502" s="111" t="s">
        <v>227</v>
      </c>
      <c r="C502" s="112" t="s">
        <v>449</v>
      </c>
      <c r="D502" s="113" t="s">
        <v>24</v>
      </c>
      <c r="E502" s="369" t="s">
        <v>14</v>
      </c>
      <c r="F502" s="369" t="s">
        <v>21</v>
      </c>
      <c r="G502" s="370">
        <v>6.97</v>
      </c>
      <c r="H502" s="125">
        <v>8.8000000000000007</v>
      </c>
      <c r="I502" s="358">
        <v>31</v>
      </c>
      <c r="J502" s="117">
        <f t="shared" si="241"/>
        <v>1.9014160000000002</v>
      </c>
      <c r="K502" s="118"/>
      <c r="L502" s="111">
        <v>31</v>
      </c>
      <c r="M502" s="117">
        <f t="shared" si="242"/>
        <v>1.901416</v>
      </c>
      <c r="N502" s="119">
        <f t="shared" si="243"/>
        <v>0</v>
      </c>
      <c r="O502" s="120">
        <f t="shared" si="244"/>
        <v>0</v>
      </c>
      <c r="P502" s="111"/>
      <c r="Q502" s="32"/>
      <c r="R502" s="32"/>
    </row>
    <row r="503" spans="1:18">
      <c r="A503" s="110" t="s">
        <v>665</v>
      </c>
      <c r="B503" s="111" t="s">
        <v>227</v>
      </c>
      <c r="C503" s="112" t="s">
        <v>449</v>
      </c>
      <c r="D503" s="113" t="s">
        <v>24</v>
      </c>
      <c r="E503" s="369" t="s">
        <v>14</v>
      </c>
      <c r="F503" s="369" t="s">
        <v>21</v>
      </c>
      <c r="G503" s="370">
        <v>6.97</v>
      </c>
      <c r="H503" s="125">
        <v>12</v>
      </c>
      <c r="I503" s="358">
        <v>9</v>
      </c>
      <c r="J503" s="117">
        <f t="shared" si="241"/>
        <v>0.75275999999999998</v>
      </c>
      <c r="K503" s="118"/>
      <c r="L503" s="111">
        <v>9</v>
      </c>
      <c r="M503" s="117">
        <f t="shared" si="242"/>
        <v>0.75275999999999998</v>
      </c>
      <c r="N503" s="119">
        <f t="shared" si="243"/>
        <v>0</v>
      </c>
      <c r="O503" s="120">
        <f t="shared" si="244"/>
        <v>0</v>
      </c>
      <c r="P503" s="111"/>
      <c r="Q503" s="32"/>
      <c r="R503" s="32"/>
    </row>
    <row r="504" spans="1:18">
      <c r="A504" s="110" t="s">
        <v>665</v>
      </c>
      <c r="B504" s="111" t="s">
        <v>227</v>
      </c>
      <c r="C504" s="112" t="s">
        <v>449</v>
      </c>
      <c r="D504" s="113" t="s">
        <v>24</v>
      </c>
      <c r="E504" s="369" t="s">
        <v>14</v>
      </c>
      <c r="F504" s="369" t="s">
        <v>21</v>
      </c>
      <c r="G504" s="370">
        <v>6.97</v>
      </c>
      <c r="H504" s="125">
        <v>11.5</v>
      </c>
      <c r="I504" s="358">
        <v>9</v>
      </c>
      <c r="J504" s="117">
        <f t="shared" si="241"/>
        <v>0.72139500000000001</v>
      </c>
      <c r="K504" s="118"/>
      <c r="L504" s="111">
        <v>9</v>
      </c>
      <c r="M504" s="117">
        <f t="shared" si="242"/>
        <v>0.72139500000000001</v>
      </c>
      <c r="N504" s="119">
        <f t="shared" si="243"/>
        <v>0</v>
      </c>
      <c r="O504" s="120">
        <f t="shared" si="244"/>
        <v>0</v>
      </c>
      <c r="P504" s="111">
        <v>11</v>
      </c>
      <c r="Q504" s="32">
        <v>9</v>
      </c>
      <c r="R504" s="32"/>
    </row>
    <row r="505" spans="1:18">
      <c r="A505" s="110" t="s">
        <v>665</v>
      </c>
      <c r="B505" s="111" t="s">
        <v>227</v>
      </c>
      <c r="C505" s="112" t="s">
        <v>449</v>
      </c>
      <c r="D505" s="113" t="s">
        <v>24</v>
      </c>
      <c r="E505" s="369" t="s">
        <v>14</v>
      </c>
      <c r="F505" s="369" t="s">
        <v>21</v>
      </c>
      <c r="G505" s="370">
        <v>6.97</v>
      </c>
      <c r="H505" s="125">
        <v>11</v>
      </c>
      <c r="I505" s="358">
        <v>28</v>
      </c>
      <c r="J505" s="117">
        <f t="shared" si="241"/>
        <v>2.14676</v>
      </c>
      <c r="K505" s="118"/>
      <c r="L505" s="111">
        <v>28</v>
      </c>
      <c r="M505" s="117">
        <f t="shared" si="242"/>
        <v>2.1467599999999996</v>
      </c>
      <c r="N505" s="119">
        <f t="shared" si="243"/>
        <v>0</v>
      </c>
      <c r="O505" s="120">
        <f t="shared" si="244"/>
        <v>0</v>
      </c>
      <c r="P505" s="111"/>
      <c r="Q505" s="32"/>
      <c r="R505" s="32"/>
    </row>
    <row r="506" spans="1:18">
      <c r="A506" s="110" t="s">
        <v>665</v>
      </c>
      <c r="B506" s="111" t="s">
        <v>227</v>
      </c>
      <c r="C506" s="112" t="s">
        <v>449</v>
      </c>
      <c r="D506" s="113" t="s">
        <v>24</v>
      </c>
      <c r="E506" s="369" t="s">
        <v>14</v>
      </c>
      <c r="F506" s="369" t="s">
        <v>21</v>
      </c>
      <c r="G506" s="370">
        <v>6.97</v>
      </c>
      <c r="H506" s="125">
        <v>9.5</v>
      </c>
      <c r="I506" s="358">
        <v>13</v>
      </c>
      <c r="J506" s="117">
        <f t="shared" si="241"/>
        <v>0.86079500000000009</v>
      </c>
      <c r="K506" s="118"/>
      <c r="L506" s="111">
        <v>13</v>
      </c>
      <c r="M506" s="117">
        <f t="shared" si="242"/>
        <v>0.86079499999999998</v>
      </c>
      <c r="N506" s="119">
        <f t="shared" si="243"/>
        <v>0</v>
      </c>
      <c r="O506" s="120">
        <f t="shared" si="244"/>
        <v>0</v>
      </c>
      <c r="P506" s="111"/>
      <c r="Q506" s="32"/>
      <c r="R506" s="32"/>
    </row>
    <row r="507" spans="1:18">
      <c r="A507" s="110" t="s">
        <v>665</v>
      </c>
      <c r="B507" s="111" t="s">
        <v>227</v>
      </c>
      <c r="C507" s="112" t="s">
        <v>449</v>
      </c>
      <c r="D507" s="113" t="s">
        <v>24</v>
      </c>
      <c r="E507" s="369" t="s">
        <v>14</v>
      </c>
      <c r="F507" s="369" t="s">
        <v>21</v>
      </c>
      <c r="G507" s="370">
        <v>6.97</v>
      </c>
      <c r="H507" s="125">
        <v>6.6</v>
      </c>
      <c r="I507" s="358">
        <v>31</v>
      </c>
      <c r="J507" s="117">
        <f t="shared" si="241"/>
        <v>1.4260619999999999</v>
      </c>
      <c r="K507" s="118"/>
      <c r="L507" s="111">
        <v>31</v>
      </c>
      <c r="M507" s="117">
        <f t="shared" si="242"/>
        <v>1.4260619999999999</v>
      </c>
      <c r="N507" s="119">
        <f t="shared" si="243"/>
        <v>0</v>
      </c>
      <c r="O507" s="120">
        <f t="shared" si="244"/>
        <v>0</v>
      </c>
      <c r="P507" s="111"/>
      <c r="Q507" s="32"/>
      <c r="R507" s="32"/>
    </row>
    <row r="508" spans="1:18">
      <c r="A508" s="110" t="s">
        <v>665</v>
      </c>
      <c r="B508" s="111" t="s">
        <v>227</v>
      </c>
      <c r="C508" s="112" t="s">
        <v>449</v>
      </c>
      <c r="D508" s="113" t="s">
        <v>24</v>
      </c>
      <c r="E508" s="369" t="s">
        <v>14</v>
      </c>
      <c r="F508" s="369" t="s">
        <v>21</v>
      </c>
      <c r="G508" s="370">
        <v>6.97</v>
      </c>
      <c r="H508" s="125">
        <v>10</v>
      </c>
      <c r="I508" s="358">
        <v>41</v>
      </c>
      <c r="J508" s="117">
        <f t="shared" si="241"/>
        <v>2.8577000000000004</v>
      </c>
      <c r="K508" s="118"/>
      <c r="L508" s="111">
        <f>41+7</f>
        <v>48</v>
      </c>
      <c r="M508" s="117">
        <f t="shared" si="242"/>
        <v>3.3456000000000001</v>
      </c>
      <c r="N508" s="180">
        <f t="shared" si="243"/>
        <v>-7</v>
      </c>
      <c r="O508" s="181">
        <f t="shared" si="244"/>
        <v>-0.4879</v>
      </c>
      <c r="P508" s="111" t="s">
        <v>751</v>
      </c>
      <c r="Q508" s="32"/>
      <c r="R508" s="32"/>
    </row>
    <row r="509" spans="1:18">
      <c r="A509" s="110" t="s">
        <v>665</v>
      </c>
      <c r="B509" s="111" t="s">
        <v>227</v>
      </c>
      <c r="C509" s="112" t="s">
        <v>449</v>
      </c>
      <c r="D509" s="113" t="s">
        <v>24</v>
      </c>
      <c r="E509" s="369" t="s">
        <v>14</v>
      </c>
      <c r="F509" s="369" t="s">
        <v>21</v>
      </c>
      <c r="G509" s="370">
        <v>6.97</v>
      </c>
      <c r="H509" s="125">
        <v>8.1999999999999993</v>
      </c>
      <c r="I509" s="358">
        <v>2</v>
      </c>
      <c r="J509" s="117">
        <f t="shared" si="241"/>
        <v>0.11430799999999999</v>
      </c>
      <c r="K509" s="118"/>
      <c r="L509" s="111">
        <v>2</v>
      </c>
      <c r="M509" s="117">
        <f t="shared" si="242"/>
        <v>0.11430799999999999</v>
      </c>
      <c r="N509" s="119">
        <f t="shared" si="243"/>
        <v>0</v>
      </c>
      <c r="O509" s="120">
        <f t="shared" si="244"/>
        <v>0</v>
      </c>
      <c r="P509" s="111">
        <v>6.6</v>
      </c>
      <c r="Q509" s="32">
        <v>2</v>
      </c>
      <c r="R509" s="32"/>
    </row>
    <row r="510" spans="1:18">
      <c r="A510" s="110" t="s">
        <v>665</v>
      </c>
      <c r="B510" s="111" t="s">
        <v>227</v>
      </c>
      <c r="C510" s="112" t="s">
        <v>449</v>
      </c>
      <c r="D510" s="113" t="s">
        <v>24</v>
      </c>
      <c r="E510" s="369" t="s">
        <v>14</v>
      </c>
      <c r="F510" s="369" t="s">
        <v>21</v>
      </c>
      <c r="G510" s="370">
        <v>6.97</v>
      </c>
      <c r="H510" s="125">
        <v>8.5</v>
      </c>
      <c r="I510" s="358">
        <v>1</v>
      </c>
      <c r="J510" s="117">
        <f t="shared" si="241"/>
        <v>5.9244999999999999E-2</v>
      </c>
      <c r="K510" s="118"/>
      <c r="L510" s="111">
        <v>1</v>
      </c>
      <c r="M510" s="117">
        <f t="shared" si="242"/>
        <v>5.9244999999999999E-2</v>
      </c>
      <c r="N510" s="119">
        <f t="shared" si="243"/>
        <v>0</v>
      </c>
      <c r="O510" s="120">
        <f t="shared" si="244"/>
        <v>0</v>
      </c>
      <c r="P510" s="111">
        <v>6.6</v>
      </c>
      <c r="Q510" s="32">
        <v>1</v>
      </c>
      <c r="R510" s="32"/>
    </row>
    <row r="511" spans="1:18">
      <c r="A511" s="110" t="s">
        <v>665</v>
      </c>
      <c r="B511" s="111" t="s">
        <v>227</v>
      </c>
      <c r="C511" s="112" t="s">
        <v>449</v>
      </c>
      <c r="D511" s="113" t="s">
        <v>24</v>
      </c>
      <c r="E511" s="369" t="s">
        <v>14</v>
      </c>
      <c r="F511" s="369" t="s">
        <v>21</v>
      </c>
      <c r="G511" s="370">
        <v>6.97</v>
      </c>
      <c r="H511" s="125">
        <v>12</v>
      </c>
      <c r="I511" s="358">
        <v>32</v>
      </c>
      <c r="J511" s="117">
        <f t="shared" si="241"/>
        <v>2.6764800000000002</v>
      </c>
      <c r="K511" s="118"/>
      <c r="L511" s="111">
        <v>32</v>
      </c>
      <c r="M511" s="117">
        <f t="shared" si="242"/>
        <v>2.6764800000000002</v>
      </c>
      <c r="N511" s="119">
        <f t="shared" si="243"/>
        <v>0</v>
      </c>
      <c r="O511" s="120">
        <f t="shared" si="244"/>
        <v>0</v>
      </c>
      <c r="P511" s="111"/>
      <c r="Q511" s="32"/>
      <c r="R511" s="32"/>
    </row>
    <row r="512" spans="1:18">
      <c r="A512" s="110" t="s">
        <v>665</v>
      </c>
      <c r="B512" s="111" t="s">
        <v>227</v>
      </c>
      <c r="C512" s="112" t="s">
        <v>449</v>
      </c>
      <c r="D512" s="113" t="s">
        <v>24</v>
      </c>
      <c r="E512" s="369" t="s">
        <v>14</v>
      </c>
      <c r="F512" s="369" t="s">
        <v>21</v>
      </c>
      <c r="G512" s="370">
        <v>6.97</v>
      </c>
      <c r="H512" s="125">
        <v>8.8000000000000007</v>
      </c>
      <c r="I512" s="358">
        <v>36</v>
      </c>
      <c r="J512" s="117">
        <f t="shared" si="241"/>
        <v>2.2080959999999998</v>
      </c>
      <c r="K512" s="118"/>
      <c r="L512" s="111">
        <v>36</v>
      </c>
      <c r="M512" s="117">
        <f t="shared" si="242"/>
        <v>2.2080959999999998</v>
      </c>
      <c r="N512" s="119">
        <f t="shared" si="243"/>
        <v>0</v>
      </c>
      <c r="O512" s="120">
        <f t="shared" si="244"/>
        <v>0</v>
      </c>
      <c r="P512" s="111"/>
      <c r="Q512" s="32"/>
      <c r="R512" s="32"/>
    </row>
    <row r="513" spans="1:18">
      <c r="A513" s="110" t="s">
        <v>665</v>
      </c>
      <c r="B513" s="111" t="s">
        <v>227</v>
      </c>
      <c r="C513" s="112" t="s">
        <v>449</v>
      </c>
      <c r="D513" s="113" t="s">
        <v>24</v>
      </c>
      <c r="E513" s="369" t="s">
        <v>14</v>
      </c>
      <c r="F513" s="369" t="s">
        <v>21</v>
      </c>
      <c r="G513" s="370">
        <v>6.97</v>
      </c>
      <c r="H513" s="125">
        <v>8.8000000000000007</v>
      </c>
      <c r="I513" s="358">
        <v>32</v>
      </c>
      <c r="J513" s="117">
        <f t="shared" si="241"/>
        <v>1.9627520000000003</v>
      </c>
      <c r="K513" s="118"/>
      <c r="L513" s="111">
        <v>32</v>
      </c>
      <c r="M513" s="117">
        <f t="shared" si="242"/>
        <v>1.9627520000000003</v>
      </c>
      <c r="N513" s="119">
        <f t="shared" si="243"/>
        <v>0</v>
      </c>
      <c r="O513" s="120">
        <f t="shared" si="244"/>
        <v>0</v>
      </c>
      <c r="P513" s="111"/>
      <c r="Q513" s="32"/>
      <c r="R513" s="32"/>
    </row>
    <row r="514" spans="1:18">
      <c r="A514" s="110" t="s">
        <v>665</v>
      </c>
      <c r="B514" s="111" t="s">
        <v>227</v>
      </c>
      <c r="C514" s="112" t="s">
        <v>449</v>
      </c>
      <c r="D514" s="113" t="s">
        <v>24</v>
      </c>
      <c r="E514" s="369" t="s">
        <v>14</v>
      </c>
      <c r="F514" s="369" t="s">
        <v>21</v>
      </c>
      <c r="G514" s="370">
        <v>6.97</v>
      </c>
      <c r="H514" s="125">
        <v>12</v>
      </c>
      <c r="I514" s="358">
        <v>28</v>
      </c>
      <c r="J514" s="117">
        <f t="shared" si="241"/>
        <v>2.34192</v>
      </c>
      <c r="K514" s="118"/>
      <c r="L514" s="111">
        <v>28</v>
      </c>
      <c r="M514" s="117">
        <f t="shared" si="242"/>
        <v>2.34192</v>
      </c>
      <c r="N514" s="119">
        <f t="shared" si="243"/>
        <v>0</v>
      </c>
      <c r="O514" s="120">
        <f t="shared" si="244"/>
        <v>0</v>
      </c>
      <c r="P514" s="111"/>
      <c r="Q514" s="32"/>
      <c r="R514" s="32"/>
    </row>
    <row r="515" spans="1:18">
      <c r="A515" s="110" t="s">
        <v>665</v>
      </c>
      <c r="B515" s="111" t="s">
        <v>227</v>
      </c>
      <c r="C515" s="112" t="s">
        <v>449</v>
      </c>
      <c r="D515" s="113" t="s">
        <v>24</v>
      </c>
      <c r="E515" s="369" t="s">
        <v>14</v>
      </c>
      <c r="F515" s="369" t="s">
        <v>21</v>
      </c>
      <c r="G515" s="370">
        <v>6.97</v>
      </c>
      <c r="H515" s="125">
        <v>10</v>
      </c>
      <c r="I515" s="358">
        <v>32</v>
      </c>
      <c r="J515" s="117">
        <f t="shared" si="241"/>
        <v>2.2303999999999999</v>
      </c>
      <c r="K515" s="118"/>
      <c r="L515" s="111">
        <f>15+3+14</f>
        <v>32</v>
      </c>
      <c r="M515" s="117">
        <f t="shared" si="242"/>
        <v>2.2303999999999999</v>
      </c>
      <c r="N515" s="119">
        <f t="shared" si="243"/>
        <v>0</v>
      </c>
      <c r="O515" s="120">
        <f t="shared" si="244"/>
        <v>0</v>
      </c>
      <c r="P515" s="111"/>
      <c r="Q515" s="32"/>
      <c r="R515" s="32"/>
    </row>
    <row r="516" spans="1:18">
      <c r="A516" s="110" t="s">
        <v>665</v>
      </c>
      <c r="B516" s="111" t="s">
        <v>227</v>
      </c>
      <c r="C516" s="112" t="s">
        <v>449</v>
      </c>
      <c r="D516" s="113" t="s">
        <v>24</v>
      </c>
      <c r="E516" s="369" t="s">
        <v>14</v>
      </c>
      <c r="F516" s="369" t="s">
        <v>21</v>
      </c>
      <c r="G516" s="370">
        <v>6.97</v>
      </c>
      <c r="H516" s="125">
        <v>6.6</v>
      </c>
      <c r="I516" s="358">
        <v>43</v>
      </c>
      <c r="J516" s="117">
        <f t="shared" si="241"/>
        <v>1.9780859999999998</v>
      </c>
      <c r="K516" s="118"/>
      <c r="L516" s="111">
        <v>43</v>
      </c>
      <c r="M516" s="117">
        <f t="shared" si="242"/>
        <v>1.978086</v>
      </c>
      <c r="N516" s="119">
        <f t="shared" si="243"/>
        <v>0</v>
      </c>
      <c r="O516" s="120">
        <f t="shared" si="244"/>
        <v>0</v>
      </c>
      <c r="P516" s="111"/>
      <c r="Q516" s="32"/>
      <c r="R516" s="32"/>
    </row>
    <row r="517" spans="1:18">
      <c r="A517" s="110" t="s">
        <v>665</v>
      </c>
      <c r="B517" s="111" t="s">
        <v>227</v>
      </c>
      <c r="C517" s="112" t="s">
        <v>449</v>
      </c>
      <c r="D517" s="113" t="s">
        <v>24</v>
      </c>
      <c r="E517" s="369" t="s">
        <v>14</v>
      </c>
      <c r="F517" s="369" t="s">
        <v>21</v>
      </c>
      <c r="G517" s="370">
        <v>6.97</v>
      </c>
      <c r="H517" s="125">
        <v>11</v>
      </c>
      <c r="I517" s="358">
        <v>32</v>
      </c>
      <c r="J517" s="117">
        <f t="shared" ref="J517:J535" si="245">H517*G517*I517/1000</f>
        <v>2.4534400000000001</v>
      </c>
      <c r="K517" s="118"/>
      <c r="L517" s="111">
        <v>32</v>
      </c>
      <c r="M517" s="117">
        <f t="shared" ref="M517:M535" si="246">H517*L517*G517/1000</f>
        <v>2.4534400000000001</v>
      </c>
      <c r="N517" s="119">
        <f t="shared" ref="N517:N535" si="247">I517-L517</f>
        <v>0</v>
      </c>
      <c r="O517" s="120">
        <f t="shared" ref="O517:O535" si="248">H517*N517*G517/1000</f>
        <v>0</v>
      </c>
      <c r="P517" s="111"/>
      <c r="Q517" s="32"/>
      <c r="R517" s="32"/>
    </row>
    <row r="518" spans="1:18">
      <c r="A518" s="110" t="s">
        <v>665</v>
      </c>
      <c r="B518" s="111" t="s">
        <v>227</v>
      </c>
      <c r="C518" s="112" t="s">
        <v>449</v>
      </c>
      <c r="D518" s="113" t="s">
        <v>24</v>
      </c>
      <c r="E518" s="369" t="s">
        <v>14</v>
      </c>
      <c r="F518" s="369" t="s">
        <v>21</v>
      </c>
      <c r="G518" s="370">
        <v>6.97</v>
      </c>
      <c r="H518" s="125">
        <v>10.65</v>
      </c>
      <c r="I518" s="358">
        <v>32</v>
      </c>
      <c r="J518" s="117">
        <f t="shared" si="245"/>
        <v>2.3753760000000002</v>
      </c>
      <c r="K518" s="118"/>
      <c r="L518" s="111">
        <v>32</v>
      </c>
      <c r="M518" s="117">
        <f t="shared" si="246"/>
        <v>2.3753760000000002</v>
      </c>
      <c r="N518" s="119">
        <f t="shared" si="247"/>
        <v>0</v>
      </c>
      <c r="O518" s="120">
        <f t="shared" si="248"/>
        <v>0</v>
      </c>
      <c r="P518" s="111"/>
      <c r="Q518" s="32"/>
      <c r="R518" s="32"/>
    </row>
    <row r="519" spans="1:18">
      <c r="A519" s="110" t="s">
        <v>665</v>
      </c>
      <c r="B519" s="111" t="s">
        <v>227</v>
      </c>
      <c r="C519" s="112" t="s">
        <v>449</v>
      </c>
      <c r="D519" s="113" t="s">
        <v>24</v>
      </c>
      <c r="E519" s="369" t="s">
        <v>14</v>
      </c>
      <c r="F519" s="369" t="s">
        <v>21</v>
      </c>
      <c r="G519" s="370">
        <v>6.97</v>
      </c>
      <c r="H519" s="125">
        <v>11</v>
      </c>
      <c r="I519" s="358">
        <v>12</v>
      </c>
      <c r="J519" s="117">
        <f t="shared" si="245"/>
        <v>0.92003999999999997</v>
      </c>
      <c r="K519" s="118"/>
      <c r="L519" s="111">
        <v>12</v>
      </c>
      <c r="M519" s="117">
        <f t="shared" si="246"/>
        <v>0.92003999999999997</v>
      </c>
      <c r="N519" s="119">
        <f t="shared" si="247"/>
        <v>0</v>
      </c>
      <c r="O519" s="120">
        <f t="shared" si="248"/>
        <v>0</v>
      </c>
      <c r="P519" s="111"/>
      <c r="Q519" s="32"/>
      <c r="R519" s="32"/>
    </row>
    <row r="520" spans="1:18">
      <c r="A520" s="110" t="s">
        <v>665</v>
      </c>
      <c r="B520" s="111" t="s">
        <v>227</v>
      </c>
      <c r="C520" s="112" t="s">
        <v>449</v>
      </c>
      <c r="D520" s="113" t="s">
        <v>24</v>
      </c>
      <c r="E520" s="369" t="s">
        <v>14</v>
      </c>
      <c r="F520" s="369" t="s">
        <v>21</v>
      </c>
      <c r="G520" s="370">
        <v>6.97</v>
      </c>
      <c r="H520" s="125">
        <v>12</v>
      </c>
      <c r="I520" s="358">
        <v>12</v>
      </c>
      <c r="J520" s="117">
        <f t="shared" si="245"/>
        <v>1.0036800000000001</v>
      </c>
      <c r="K520" s="118"/>
      <c r="L520" s="111">
        <f>12+4</f>
        <v>16</v>
      </c>
      <c r="M520" s="117">
        <f t="shared" si="246"/>
        <v>1.3382400000000001</v>
      </c>
      <c r="N520" s="180">
        <f t="shared" si="247"/>
        <v>-4</v>
      </c>
      <c r="O520" s="181">
        <f t="shared" si="248"/>
        <v>-0.33456000000000002</v>
      </c>
      <c r="P520" s="111" t="s">
        <v>751</v>
      </c>
      <c r="Q520" s="32"/>
      <c r="R520" s="32"/>
    </row>
    <row r="521" spans="1:18">
      <c r="A521" s="110" t="s">
        <v>665</v>
      </c>
      <c r="B521" s="111" t="s">
        <v>227</v>
      </c>
      <c r="C521" s="112" t="s">
        <v>449</v>
      </c>
      <c r="D521" s="113" t="s">
        <v>24</v>
      </c>
      <c r="E521" s="369" t="s">
        <v>14</v>
      </c>
      <c r="F521" s="369" t="s">
        <v>21</v>
      </c>
      <c r="G521" s="370">
        <v>6.97</v>
      </c>
      <c r="H521" s="125">
        <v>9.5</v>
      </c>
      <c r="I521" s="358">
        <v>10</v>
      </c>
      <c r="J521" s="117">
        <f t="shared" si="245"/>
        <v>0.66215000000000013</v>
      </c>
      <c r="K521" s="118"/>
      <c r="L521" s="111">
        <f>4+6+15</f>
        <v>25</v>
      </c>
      <c r="M521" s="117">
        <f t="shared" si="246"/>
        <v>1.655375</v>
      </c>
      <c r="N521" s="180">
        <f t="shared" si="247"/>
        <v>-15</v>
      </c>
      <c r="O521" s="181">
        <f t="shared" si="248"/>
        <v>-0.99322499999999991</v>
      </c>
      <c r="P521" s="111" t="s">
        <v>751</v>
      </c>
      <c r="Q521" s="32"/>
      <c r="R521" s="32"/>
    </row>
    <row r="522" spans="1:18">
      <c r="A522" s="110" t="s">
        <v>665</v>
      </c>
      <c r="B522" s="111" t="s">
        <v>227</v>
      </c>
      <c r="C522" s="112" t="s">
        <v>449</v>
      </c>
      <c r="D522" s="113" t="s">
        <v>24</v>
      </c>
      <c r="E522" s="369" t="s">
        <v>14</v>
      </c>
      <c r="F522" s="369" t="s">
        <v>21</v>
      </c>
      <c r="G522" s="370">
        <v>6.97</v>
      </c>
      <c r="H522" s="125">
        <v>10</v>
      </c>
      <c r="I522" s="358">
        <v>20</v>
      </c>
      <c r="J522" s="117">
        <f t="shared" si="245"/>
        <v>1.3939999999999999</v>
      </c>
      <c r="K522" s="118"/>
      <c r="L522" s="111">
        <v>20</v>
      </c>
      <c r="M522" s="117">
        <f t="shared" si="246"/>
        <v>1.3939999999999999</v>
      </c>
      <c r="N522" s="119">
        <f t="shared" si="247"/>
        <v>0</v>
      </c>
      <c r="O522" s="120">
        <f t="shared" si="248"/>
        <v>0</v>
      </c>
      <c r="P522" s="111"/>
      <c r="Q522" s="32"/>
      <c r="R522" s="32"/>
    </row>
    <row r="523" spans="1:18">
      <c r="A523" s="110" t="s">
        <v>665</v>
      </c>
      <c r="B523" s="111" t="s">
        <v>227</v>
      </c>
      <c r="C523" s="112" t="s">
        <v>449</v>
      </c>
      <c r="D523" s="113" t="s">
        <v>24</v>
      </c>
      <c r="E523" s="369" t="s">
        <v>14</v>
      </c>
      <c r="F523" s="369" t="s">
        <v>21</v>
      </c>
      <c r="G523" s="370">
        <v>6.97</v>
      </c>
      <c r="H523" s="125">
        <v>8.8000000000000007</v>
      </c>
      <c r="I523" s="358">
        <v>21</v>
      </c>
      <c r="J523" s="117">
        <f t="shared" si="245"/>
        <v>1.2880560000000001</v>
      </c>
      <c r="K523" s="118"/>
      <c r="L523" s="111">
        <v>21</v>
      </c>
      <c r="M523" s="117">
        <f t="shared" si="246"/>
        <v>1.2880560000000001</v>
      </c>
      <c r="N523" s="119">
        <f t="shared" si="247"/>
        <v>0</v>
      </c>
      <c r="O523" s="120">
        <f t="shared" si="248"/>
        <v>0</v>
      </c>
      <c r="P523" s="111"/>
      <c r="Q523" s="32"/>
      <c r="R523" s="32"/>
    </row>
    <row r="524" spans="1:18">
      <c r="A524" s="110" t="s">
        <v>665</v>
      </c>
      <c r="B524" s="111" t="s">
        <v>227</v>
      </c>
      <c r="C524" s="112" t="s">
        <v>449</v>
      </c>
      <c r="D524" s="113" t="s">
        <v>24</v>
      </c>
      <c r="E524" s="369" t="s">
        <v>14</v>
      </c>
      <c r="F524" s="369" t="s">
        <v>21</v>
      </c>
      <c r="G524" s="370">
        <v>6.97</v>
      </c>
      <c r="H524" s="125">
        <v>6.6</v>
      </c>
      <c r="I524" s="358">
        <v>38</v>
      </c>
      <c r="J524" s="117">
        <f t="shared" si="245"/>
        <v>1.7480759999999997</v>
      </c>
      <c r="K524" s="118"/>
      <c r="L524" s="111">
        <v>38</v>
      </c>
      <c r="M524" s="117">
        <f t="shared" si="246"/>
        <v>1.7480759999999997</v>
      </c>
      <c r="N524" s="119">
        <f t="shared" si="247"/>
        <v>0</v>
      </c>
      <c r="O524" s="120">
        <f t="shared" si="248"/>
        <v>0</v>
      </c>
      <c r="P524" s="111"/>
      <c r="Q524" s="32"/>
      <c r="R524" s="32"/>
    </row>
    <row r="525" spans="1:18">
      <c r="A525" s="110" t="s">
        <v>665</v>
      </c>
      <c r="B525" s="111" t="s">
        <v>227</v>
      </c>
      <c r="C525" s="112" t="s">
        <v>449</v>
      </c>
      <c r="D525" s="113" t="s">
        <v>24</v>
      </c>
      <c r="E525" s="369" t="s">
        <v>14</v>
      </c>
      <c r="F525" s="369" t="s">
        <v>21</v>
      </c>
      <c r="G525" s="370">
        <v>6.97</v>
      </c>
      <c r="H525" s="125">
        <v>10</v>
      </c>
      <c r="I525" s="358">
        <v>15</v>
      </c>
      <c r="J525" s="117">
        <f t="shared" si="245"/>
        <v>1.0455000000000001</v>
      </c>
      <c r="K525" s="118"/>
      <c r="L525" s="111">
        <v>15</v>
      </c>
      <c r="M525" s="117">
        <f t="shared" si="246"/>
        <v>1.0455000000000001</v>
      </c>
      <c r="N525" s="119">
        <f t="shared" si="247"/>
        <v>0</v>
      </c>
      <c r="O525" s="120">
        <f t="shared" si="248"/>
        <v>0</v>
      </c>
      <c r="P525" s="111"/>
      <c r="Q525" s="32"/>
      <c r="R525" s="32"/>
    </row>
    <row r="526" spans="1:18">
      <c r="A526" s="110" t="s">
        <v>665</v>
      </c>
      <c r="B526" s="111" t="s">
        <v>227</v>
      </c>
      <c r="C526" s="112" t="s">
        <v>449</v>
      </c>
      <c r="D526" s="113" t="s">
        <v>24</v>
      </c>
      <c r="E526" s="369" t="s">
        <v>14</v>
      </c>
      <c r="F526" s="369" t="s">
        <v>21</v>
      </c>
      <c r="G526" s="370">
        <v>6.97</v>
      </c>
      <c r="H526" s="125">
        <v>10.65</v>
      </c>
      <c r="I526" s="358">
        <v>10</v>
      </c>
      <c r="J526" s="117">
        <f t="shared" si="245"/>
        <v>0.7423050000000001</v>
      </c>
      <c r="K526" s="118"/>
      <c r="L526" s="111">
        <f>2+8</f>
        <v>10</v>
      </c>
      <c r="M526" s="117">
        <f t="shared" si="246"/>
        <v>0.74230499999999999</v>
      </c>
      <c r="N526" s="119">
        <f t="shared" si="247"/>
        <v>0</v>
      </c>
      <c r="O526" s="120">
        <f t="shared" si="248"/>
        <v>0</v>
      </c>
      <c r="P526" s="111"/>
      <c r="Q526" s="32"/>
      <c r="R526" s="32"/>
    </row>
    <row r="527" spans="1:18">
      <c r="A527" s="110" t="s">
        <v>665</v>
      </c>
      <c r="B527" s="111" t="s">
        <v>227</v>
      </c>
      <c r="C527" s="112" t="s">
        <v>449</v>
      </c>
      <c r="D527" s="113" t="s">
        <v>24</v>
      </c>
      <c r="E527" s="369" t="s">
        <v>14</v>
      </c>
      <c r="F527" s="369" t="s">
        <v>21</v>
      </c>
      <c r="G527" s="370">
        <v>6.97</v>
      </c>
      <c r="H527" s="125">
        <v>5.6</v>
      </c>
      <c r="I527" s="358">
        <v>1</v>
      </c>
      <c r="J527" s="117">
        <f t="shared" si="245"/>
        <v>3.9031999999999997E-2</v>
      </c>
      <c r="K527" s="118"/>
      <c r="L527" s="111"/>
      <c r="M527" s="117">
        <f t="shared" si="246"/>
        <v>0</v>
      </c>
      <c r="N527" s="119">
        <f t="shared" si="247"/>
        <v>1</v>
      </c>
      <c r="O527" s="120">
        <f t="shared" si="248"/>
        <v>3.9031999999999997E-2</v>
      </c>
      <c r="P527" s="111"/>
      <c r="Q527" s="32"/>
      <c r="R527" s="32"/>
    </row>
    <row r="528" spans="1:18">
      <c r="A528" s="110" t="s">
        <v>665</v>
      </c>
      <c r="B528" s="111" t="s">
        <v>227</v>
      </c>
      <c r="C528" s="112" t="s">
        <v>449</v>
      </c>
      <c r="D528" s="113" t="s">
        <v>24</v>
      </c>
      <c r="E528" s="369" t="s">
        <v>14</v>
      </c>
      <c r="F528" s="369" t="s">
        <v>21</v>
      </c>
      <c r="G528" s="370">
        <v>6.97</v>
      </c>
      <c r="H528" s="125">
        <v>6</v>
      </c>
      <c r="I528" s="358">
        <v>1</v>
      </c>
      <c r="J528" s="117">
        <f t="shared" si="245"/>
        <v>4.1820000000000003E-2</v>
      </c>
      <c r="K528" s="118"/>
      <c r="L528" s="111"/>
      <c r="M528" s="117">
        <f t="shared" si="246"/>
        <v>0</v>
      </c>
      <c r="N528" s="119">
        <f t="shared" si="247"/>
        <v>1</v>
      </c>
      <c r="O528" s="120">
        <f t="shared" si="248"/>
        <v>4.1820000000000003E-2</v>
      </c>
      <c r="P528" s="111"/>
      <c r="Q528" s="32"/>
      <c r="R528" s="32"/>
    </row>
    <row r="529" spans="1:18">
      <c r="A529" s="110" t="s">
        <v>665</v>
      </c>
      <c r="B529" s="111" t="s">
        <v>227</v>
      </c>
      <c r="C529" s="112" t="s">
        <v>449</v>
      </c>
      <c r="D529" s="113" t="s">
        <v>24</v>
      </c>
      <c r="E529" s="369" t="s">
        <v>14</v>
      </c>
      <c r="F529" s="369" t="s">
        <v>21</v>
      </c>
      <c r="G529" s="370">
        <v>6.97</v>
      </c>
      <c r="H529" s="125">
        <v>6.2</v>
      </c>
      <c r="I529" s="358">
        <v>3</v>
      </c>
      <c r="J529" s="117">
        <f t="shared" si="245"/>
        <v>0.12964200000000001</v>
      </c>
      <c r="K529" s="118"/>
      <c r="L529" s="111"/>
      <c r="M529" s="117">
        <f t="shared" si="246"/>
        <v>0</v>
      </c>
      <c r="N529" s="119">
        <f t="shared" si="247"/>
        <v>3</v>
      </c>
      <c r="O529" s="120">
        <f t="shared" si="248"/>
        <v>0.12964200000000001</v>
      </c>
      <c r="P529" s="111"/>
      <c r="Q529" s="32"/>
      <c r="R529" s="32"/>
    </row>
    <row r="530" spans="1:18">
      <c r="A530" s="110" t="s">
        <v>665</v>
      </c>
      <c r="B530" s="111" t="s">
        <v>227</v>
      </c>
      <c r="C530" s="112" t="s">
        <v>449</v>
      </c>
      <c r="D530" s="113" t="s">
        <v>24</v>
      </c>
      <c r="E530" s="369" t="s">
        <v>14</v>
      </c>
      <c r="F530" s="369" t="s">
        <v>21</v>
      </c>
      <c r="G530" s="370">
        <v>6.97</v>
      </c>
      <c r="H530" s="125">
        <v>6.5</v>
      </c>
      <c r="I530" s="358">
        <v>2</v>
      </c>
      <c r="J530" s="117">
        <f t="shared" si="245"/>
        <v>9.0609999999999996E-2</v>
      </c>
      <c r="K530" s="118"/>
      <c r="L530" s="111"/>
      <c r="M530" s="117">
        <f t="shared" si="246"/>
        <v>0</v>
      </c>
      <c r="N530" s="119">
        <f t="shared" si="247"/>
        <v>2</v>
      </c>
      <c r="O530" s="120">
        <f t="shared" si="248"/>
        <v>9.0609999999999996E-2</v>
      </c>
      <c r="P530" s="111"/>
      <c r="Q530" s="32"/>
      <c r="R530" s="32"/>
    </row>
    <row r="531" spans="1:18">
      <c r="A531" s="110" t="s">
        <v>665</v>
      </c>
      <c r="B531" s="111" t="s">
        <v>227</v>
      </c>
      <c r="C531" s="112" t="s">
        <v>449</v>
      </c>
      <c r="D531" s="113" t="s">
        <v>24</v>
      </c>
      <c r="E531" s="369" t="s">
        <v>14</v>
      </c>
      <c r="F531" s="369" t="s">
        <v>21</v>
      </c>
      <c r="G531" s="370">
        <v>6.97</v>
      </c>
      <c r="H531" s="125">
        <v>7.5</v>
      </c>
      <c r="I531" s="358">
        <v>1</v>
      </c>
      <c r="J531" s="117">
        <f t="shared" si="245"/>
        <v>5.2275000000000002E-2</v>
      </c>
      <c r="K531" s="118"/>
      <c r="L531" s="111">
        <v>1</v>
      </c>
      <c r="M531" s="117">
        <f t="shared" si="246"/>
        <v>5.2275000000000002E-2</v>
      </c>
      <c r="N531" s="119">
        <f t="shared" si="247"/>
        <v>0</v>
      </c>
      <c r="O531" s="120">
        <f t="shared" si="248"/>
        <v>0</v>
      </c>
      <c r="P531" s="111"/>
      <c r="Q531" s="32"/>
      <c r="R531" s="32"/>
    </row>
    <row r="532" spans="1:18">
      <c r="A532" s="110" t="s">
        <v>665</v>
      </c>
      <c r="B532" s="111" t="s">
        <v>227</v>
      </c>
      <c r="C532" s="112" t="s">
        <v>449</v>
      </c>
      <c r="D532" s="113" t="s">
        <v>24</v>
      </c>
      <c r="E532" s="369" t="s">
        <v>14</v>
      </c>
      <c r="F532" s="369" t="s">
        <v>21</v>
      </c>
      <c r="G532" s="370">
        <v>6.97</v>
      </c>
      <c r="H532" s="125">
        <v>8</v>
      </c>
      <c r="I532" s="358">
        <v>2</v>
      </c>
      <c r="J532" s="117">
        <f t="shared" si="245"/>
        <v>0.11151999999999999</v>
      </c>
      <c r="K532" s="118"/>
      <c r="L532" s="111">
        <v>2</v>
      </c>
      <c r="M532" s="117">
        <f t="shared" si="246"/>
        <v>0.11151999999999999</v>
      </c>
      <c r="N532" s="119">
        <f t="shared" si="247"/>
        <v>0</v>
      </c>
      <c r="O532" s="120">
        <f t="shared" si="248"/>
        <v>0</v>
      </c>
      <c r="P532" s="111"/>
      <c r="Q532" s="32"/>
      <c r="R532" s="32"/>
    </row>
    <row r="533" spans="1:18">
      <c r="A533" s="110" t="s">
        <v>665</v>
      </c>
      <c r="B533" s="111" t="s">
        <v>227</v>
      </c>
      <c r="C533" s="112" t="s">
        <v>449</v>
      </c>
      <c r="D533" s="113" t="s">
        <v>24</v>
      </c>
      <c r="E533" s="369" t="s">
        <v>14</v>
      </c>
      <c r="F533" s="369" t="s">
        <v>21</v>
      </c>
      <c r="G533" s="370">
        <v>6.97</v>
      </c>
      <c r="H533" s="125">
        <v>8.3000000000000007</v>
      </c>
      <c r="I533" s="358">
        <v>2</v>
      </c>
      <c r="J533" s="117">
        <f t="shared" si="245"/>
        <v>0.11570200000000001</v>
      </c>
      <c r="K533" s="118"/>
      <c r="L533" s="111">
        <v>2</v>
      </c>
      <c r="M533" s="117">
        <f t="shared" si="246"/>
        <v>0.11570200000000001</v>
      </c>
      <c r="N533" s="119">
        <f t="shared" si="247"/>
        <v>0</v>
      </c>
      <c r="O533" s="120">
        <f t="shared" si="248"/>
        <v>0</v>
      </c>
      <c r="P533" s="111"/>
      <c r="Q533" s="32"/>
      <c r="R533" s="32"/>
    </row>
    <row r="534" spans="1:18">
      <c r="A534" s="110" t="s">
        <v>665</v>
      </c>
      <c r="B534" s="111" t="s">
        <v>227</v>
      </c>
      <c r="C534" s="112" t="s">
        <v>449</v>
      </c>
      <c r="D534" s="113" t="s">
        <v>24</v>
      </c>
      <c r="E534" s="369" t="s">
        <v>14</v>
      </c>
      <c r="F534" s="369" t="s">
        <v>21</v>
      </c>
      <c r="G534" s="370">
        <v>6.97</v>
      </c>
      <c r="H534" s="125">
        <v>8.5</v>
      </c>
      <c r="I534" s="358">
        <v>1</v>
      </c>
      <c r="J534" s="117">
        <f t="shared" si="245"/>
        <v>5.9244999999999999E-2</v>
      </c>
      <c r="K534" s="118"/>
      <c r="L534" s="111">
        <v>1</v>
      </c>
      <c r="M534" s="117">
        <f t="shared" si="246"/>
        <v>5.9244999999999999E-2</v>
      </c>
      <c r="N534" s="119">
        <f t="shared" si="247"/>
        <v>0</v>
      </c>
      <c r="O534" s="120">
        <f t="shared" si="248"/>
        <v>0</v>
      </c>
      <c r="P534" s="111"/>
      <c r="Q534" s="32"/>
      <c r="R534" s="32"/>
    </row>
    <row r="535" spans="1:18">
      <c r="A535" s="110" t="s">
        <v>665</v>
      </c>
      <c r="B535" s="111" t="s">
        <v>227</v>
      </c>
      <c r="C535" s="112" t="s">
        <v>449</v>
      </c>
      <c r="D535" s="113" t="s">
        <v>24</v>
      </c>
      <c r="E535" s="369" t="s">
        <v>14</v>
      </c>
      <c r="F535" s="369" t="s">
        <v>21</v>
      </c>
      <c r="G535" s="370">
        <v>6.97</v>
      </c>
      <c r="H535" s="125">
        <v>9.1</v>
      </c>
      <c r="I535" s="358">
        <v>2</v>
      </c>
      <c r="J535" s="117">
        <f t="shared" si="245"/>
        <v>0.12685399999999999</v>
      </c>
      <c r="K535" s="118"/>
      <c r="L535" s="111">
        <v>2</v>
      </c>
      <c r="M535" s="117">
        <f t="shared" si="246"/>
        <v>0.12685399999999999</v>
      </c>
      <c r="N535" s="119">
        <f t="shared" si="247"/>
        <v>0</v>
      </c>
      <c r="O535" s="120">
        <f t="shared" si="248"/>
        <v>0</v>
      </c>
      <c r="P535" s="111"/>
      <c r="Q535" s="32"/>
      <c r="R535" s="32"/>
    </row>
    <row r="536" spans="1:18">
      <c r="I536" s="215">
        <f>SUM(I497:I535)</f>
        <v>777</v>
      </c>
      <c r="J536" s="214">
        <f>SUM(J497:J535)</f>
        <v>52.573315999999998</v>
      </c>
      <c r="L536" s="215">
        <f>SUM(L497:L535)</f>
        <v>796</v>
      </c>
      <c r="M536" s="214">
        <f>SUM(M497:M535)</f>
        <v>54.087897000000005</v>
      </c>
      <c r="N536" s="215">
        <f>SUM(N497:N535)</f>
        <v>-19</v>
      </c>
      <c r="O536" s="214">
        <f>SUM(O497:O535)</f>
        <v>-1.5145809999999997</v>
      </c>
    </row>
    <row r="538" spans="1:18">
      <c r="A538" s="110" t="s">
        <v>665</v>
      </c>
      <c r="B538" s="111" t="s">
        <v>227</v>
      </c>
      <c r="C538" s="112" t="s">
        <v>449</v>
      </c>
      <c r="D538" s="113" t="s">
        <v>24</v>
      </c>
      <c r="E538" s="369" t="s">
        <v>14</v>
      </c>
      <c r="F538" s="369" t="s">
        <v>34</v>
      </c>
      <c r="G538" s="370">
        <v>9.61</v>
      </c>
      <c r="H538" s="125">
        <v>7.5</v>
      </c>
      <c r="I538" s="358">
        <v>16</v>
      </c>
      <c r="J538" s="117">
        <f t="shared" ref="J538" si="249">H538*G538*I538/1000</f>
        <v>1.1531999999999998</v>
      </c>
      <c r="K538" s="118"/>
      <c r="L538" s="111">
        <v>16</v>
      </c>
      <c r="M538" s="117">
        <f t="shared" ref="M538" si="250">H538*L538*G538/1000</f>
        <v>1.1531999999999998</v>
      </c>
      <c r="N538" s="119">
        <f t="shared" ref="N538" si="251">I538-L538</f>
        <v>0</v>
      </c>
      <c r="O538" s="120">
        <f t="shared" ref="O538" si="252">H538*N538*G538/1000</f>
        <v>0</v>
      </c>
      <c r="P538" s="111"/>
      <c r="Q538" s="32"/>
      <c r="R538" s="32"/>
    </row>
    <row r="539" spans="1:18">
      <c r="A539" s="110" t="s">
        <v>665</v>
      </c>
      <c r="B539" s="111" t="s">
        <v>227</v>
      </c>
      <c r="C539" s="112" t="s">
        <v>449</v>
      </c>
      <c r="D539" s="113" t="s">
        <v>24</v>
      </c>
      <c r="E539" s="369" t="s">
        <v>14</v>
      </c>
      <c r="F539" s="369" t="s">
        <v>34</v>
      </c>
      <c r="G539" s="370">
        <v>9.61</v>
      </c>
      <c r="H539" s="125">
        <v>6.4</v>
      </c>
      <c r="I539" s="358">
        <v>4</v>
      </c>
      <c r="J539" s="117">
        <f t="shared" ref="J539:J545" si="253">H539*G539*I539/1000</f>
        <v>0.24601599999999998</v>
      </c>
      <c r="K539" s="118"/>
      <c r="L539" s="111">
        <v>4</v>
      </c>
      <c r="M539" s="117">
        <f t="shared" ref="M539:M545" si="254">H539*L539*G539/1000</f>
        <v>0.24601599999999998</v>
      </c>
      <c r="N539" s="119">
        <f t="shared" ref="N539:N545" si="255">I539-L539</f>
        <v>0</v>
      </c>
      <c r="O539" s="120">
        <f t="shared" ref="O539:O545" si="256">H539*N539*G539/1000</f>
        <v>0</v>
      </c>
      <c r="P539" s="111"/>
      <c r="Q539" s="32"/>
      <c r="R539" s="32"/>
    </row>
    <row r="540" spans="1:18">
      <c r="A540" s="110" t="s">
        <v>665</v>
      </c>
      <c r="B540" s="111" t="s">
        <v>227</v>
      </c>
      <c r="C540" s="112" t="s">
        <v>449</v>
      </c>
      <c r="D540" s="113" t="s">
        <v>24</v>
      </c>
      <c r="E540" s="369" t="s">
        <v>14</v>
      </c>
      <c r="F540" s="369" t="s">
        <v>34</v>
      </c>
      <c r="G540" s="370">
        <v>9.61</v>
      </c>
      <c r="H540" s="125">
        <v>11.4</v>
      </c>
      <c r="I540" s="358">
        <v>29</v>
      </c>
      <c r="J540" s="117">
        <f t="shared" si="253"/>
        <v>3.1770660000000004</v>
      </c>
      <c r="K540" s="118"/>
      <c r="L540" s="111">
        <v>29</v>
      </c>
      <c r="M540" s="117">
        <f t="shared" si="254"/>
        <v>3.1770659999999999</v>
      </c>
      <c r="N540" s="119">
        <f t="shared" si="255"/>
        <v>0</v>
      </c>
      <c r="O540" s="120">
        <f t="shared" si="256"/>
        <v>0</v>
      </c>
      <c r="P540" s="111"/>
      <c r="Q540" s="32"/>
      <c r="R540" s="32"/>
    </row>
    <row r="541" spans="1:18">
      <c r="A541" s="110" t="s">
        <v>665</v>
      </c>
      <c r="B541" s="111" t="s">
        <v>227</v>
      </c>
      <c r="C541" s="112" t="s">
        <v>449</v>
      </c>
      <c r="D541" s="113" t="s">
        <v>24</v>
      </c>
      <c r="E541" s="369" t="s">
        <v>14</v>
      </c>
      <c r="F541" s="369" t="s">
        <v>34</v>
      </c>
      <c r="G541" s="370">
        <v>9.61</v>
      </c>
      <c r="H541" s="125">
        <v>9.4</v>
      </c>
      <c r="I541" s="358">
        <v>1</v>
      </c>
      <c r="J541" s="117">
        <f t="shared" si="253"/>
        <v>9.0333999999999998E-2</v>
      </c>
      <c r="K541" s="118"/>
      <c r="L541" s="111"/>
      <c r="M541" s="117">
        <f t="shared" si="254"/>
        <v>0</v>
      </c>
      <c r="N541" s="119">
        <f t="shared" si="255"/>
        <v>1</v>
      </c>
      <c r="O541" s="120">
        <f t="shared" si="256"/>
        <v>9.0333999999999998E-2</v>
      </c>
      <c r="P541" s="111"/>
      <c r="Q541" s="32"/>
      <c r="R541" s="32"/>
    </row>
    <row r="542" spans="1:18">
      <c r="A542" s="110" t="s">
        <v>665</v>
      </c>
      <c r="B542" s="111" t="s">
        <v>227</v>
      </c>
      <c r="C542" s="112" t="s">
        <v>449</v>
      </c>
      <c r="D542" s="113" t="s">
        <v>24</v>
      </c>
      <c r="E542" s="369" t="s">
        <v>14</v>
      </c>
      <c r="F542" s="369" t="s">
        <v>34</v>
      </c>
      <c r="G542" s="370">
        <v>9.61</v>
      </c>
      <c r="H542" s="125">
        <v>10</v>
      </c>
      <c r="I542" s="358">
        <v>1</v>
      </c>
      <c r="J542" s="117">
        <f t="shared" si="253"/>
        <v>9.6099999999999991E-2</v>
      </c>
      <c r="K542" s="118"/>
      <c r="L542" s="111"/>
      <c r="M542" s="117">
        <f t="shared" si="254"/>
        <v>0</v>
      </c>
      <c r="N542" s="119">
        <f t="shared" si="255"/>
        <v>1</v>
      </c>
      <c r="O542" s="120">
        <f t="shared" si="256"/>
        <v>9.6099999999999991E-2</v>
      </c>
      <c r="P542" s="111"/>
      <c r="Q542" s="32"/>
      <c r="R542" s="32"/>
    </row>
    <row r="543" spans="1:18">
      <c r="A543" s="110" t="s">
        <v>665</v>
      </c>
      <c r="B543" s="111" t="s">
        <v>227</v>
      </c>
      <c r="C543" s="112" t="s">
        <v>449</v>
      </c>
      <c r="D543" s="113" t="s">
        <v>24</v>
      </c>
      <c r="E543" s="369" t="s">
        <v>14</v>
      </c>
      <c r="F543" s="369" t="s">
        <v>34</v>
      </c>
      <c r="G543" s="370">
        <v>9.61</v>
      </c>
      <c r="H543" s="125">
        <v>10.7</v>
      </c>
      <c r="I543" s="358">
        <v>2</v>
      </c>
      <c r="J543" s="117">
        <f t="shared" si="253"/>
        <v>0.20565399999999998</v>
      </c>
      <c r="K543" s="118"/>
      <c r="L543" s="111"/>
      <c r="M543" s="117">
        <f t="shared" si="254"/>
        <v>0</v>
      </c>
      <c r="N543" s="119">
        <f t="shared" si="255"/>
        <v>2</v>
      </c>
      <c r="O543" s="120">
        <f t="shared" si="256"/>
        <v>0.20565399999999998</v>
      </c>
      <c r="P543" s="111"/>
      <c r="Q543" s="32"/>
      <c r="R543" s="32"/>
    </row>
    <row r="544" spans="1:18">
      <c r="A544" s="110" t="s">
        <v>665</v>
      </c>
      <c r="B544" s="111" t="s">
        <v>227</v>
      </c>
      <c r="C544" s="112" t="s">
        <v>449</v>
      </c>
      <c r="D544" s="113" t="s">
        <v>24</v>
      </c>
      <c r="E544" s="369" t="s">
        <v>14</v>
      </c>
      <c r="F544" s="369" t="s">
        <v>34</v>
      </c>
      <c r="G544" s="370">
        <v>9.61</v>
      </c>
      <c r="H544" s="125">
        <v>11.4</v>
      </c>
      <c r="I544" s="358">
        <v>3</v>
      </c>
      <c r="J544" s="117">
        <f t="shared" si="253"/>
        <v>0.32866200000000001</v>
      </c>
      <c r="K544" s="118"/>
      <c r="L544" s="111"/>
      <c r="M544" s="117">
        <f t="shared" si="254"/>
        <v>0</v>
      </c>
      <c r="N544" s="119">
        <f t="shared" si="255"/>
        <v>3</v>
      </c>
      <c r="O544" s="120">
        <f t="shared" si="256"/>
        <v>0.32866200000000001</v>
      </c>
      <c r="P544" s="111"/>
      <c r="Q544" s="32"/>
      <c r="R544" s="32"/>
    </row>
    <row r="545" spans="1:18">
      <c r="A545" s="110" t="s">
        <v>665</v>
      </c>
      <c r="B545" s="111" t="s">
        <v>227</v>
      </c>
      <c r="C545" s="112" t="s">
        <v>449</v>
      </c>
      <c r="D545" s="113" t="s">
        <v>24</v>
      </c>
      <c r="E545" s="369" t="s">
        <v>14</v>
      </c>
      <c r="F545" s="369" t="s">
        <v>34</v>
      </c>
      <c r="G545" s="370">
        <v>9.61</v>
      </c>
      <c r="H545" s="125">
        <v>7.4</v>
      </c>
      <c r="I545" s="358">
        <v>1</v>
      </c>
      <c r="J545" s="117">
        <f t="shared" si="253"/>
        <v>7.1114000000000011E-2</v>
      </c>
      <c r="K545" s="118"/>
      <c r="L545" s="111"/>
      <c r="M545" s="117">
        <f t="shared" si="254"/>
        <v>0</v>
      </c>
      <c r="N545" s="119">
        <f t="shared" si="255"/>
        <v>1</v>
      </c>
      <c r="O545" s="120">
        <f t="shared" si="256"/>
        <v>7.1114000000000011E-2</v>
      </c>
      <c r="P545" s="111"/>
      <c r="Q545" s="32"/>
      <c r="R545" s="32"/>
    </row>
    <row r="546" spans="1:18">
      <c r="I546" s="215">
        <f>SUM(I538:I545)</f>
        <v>57</v>
      </c>
      <c r="J546" s="214">
        <f>SUM(J538:J545)</f>
        <v>5.3681459999999994</v>
      </c>
      <c r="L546" s="215">
        <f>SUM(L538:L545)</f>
        <v>49</v>
      </c>
      <c r="M546" s="214">
        <f>SUM(M538:M545)</f>
        <v>4.576282</v>
      </c>
      <c r="N546" s="78">
        <f>SUM(N538:N545)</f>
        <v>8</v>
      </c>
      <c r="O546" s="214">
        <f>SUM(O538:O545)</f>
        <v>0.79186400000000001</v>
      </c>
    </row>
    <row r="548" spans="1:18">
      <c r="A548" s="110" t="s">
        <v>665</v>
      </c>
      <c r="B548" s="111" t="s">
        <v>227</v>
      </c>
      <c r="C548" s="112" t="s">
        <v>449</v>
      </c>
      <c r="D548" s="113" t="s">
        <v>24</v>
      </c>
      <c r="E548" s="369" t="s">
        <v>14</v>
      </c>
      <c r="F548" s="369" t="s">
        <v>32</v>
      </c>
      <c r="G548" s="370">
        <v>8.3000000000000007</v>
      </c>
      <c r="H548" s="125">
        <v>6.2</v>
      </c>
      <c r="I548" s="358">
        <f>44+14+2+28+2</f>
        <v>90</v>
      </c>
      <c r="J548" s="117">
        <f t="shared" ref="J548:J553" si="257">H548*G548*I548/1000</f>
        <v>4.6314000000000002</v>
      </c>
      <c r="K548" s="118"/>
      <c r="L548" s="358">
        <f>44+14+2+28+2</f>
        <v>90</v>
      </c>
      <c r="M548" s="117">
        <f t="shared" ref="M548:M553" si="258">H548*L548*G548/1000</f>
        <v>4.6314000000000002</v>
      </c>
      <c r="N548" s="119">
        <f t="shared" ref="N548:N553" si="259">I548-L548</f>
        <v>0</v>
      </c>
      <c r="O548" s="120">
        <f t="shared" ref="O548:O553" si="260">H548*N548*G548/1000</f>
        <v>0</v>
      </c>
      <c r="P548" s="111"/>
      <c r="Q548" s="32"/>
      <c r="R548" s="32"/>
    </row>
    <row r="549" spans="1:18">
      <c r="A549" s="110" t="s">
        <v>665</v>
      </c>
      <c r="B549" s="111" t="s">
        <v>227</v>
      </c>
      <c r="C549" s="112" t="s">
        <v>449</v>
      </c>
      <c r="D549" s="113" t="s">
        <v>24</v>
      </c>
      <c r="E549" s="369" t="s">
        <v>14</v>
      </c>
      <c r="F549" s="369" t="s">
        <v>32</v>
      </c>
      <c r="G549" s="370">
        <v>8.3000000000000007</v>
      </c>
      <c r="H549" s="125">
        <v>6.3</v>
      </c>
      <c r="I549" s="358">
        <f>38+27+30+36+33+27</f>
        <v>191</v>
      </c>
      <c r="J549" s="117">
        <f t="shared" si="257"/>
        <v>9.9873900000000013</v>
      </c>
      <c r="K549" s="118"/>
      <c r="L549" s="111">
        <v>191</v>
      </c>
      <c r="M549" s="117">
        <f t="shared" si="258"/>
        <v>9.9873900000000013</v>
      </c>
      <c r="N549" s="119">
        <f t="shared" si="259"/>
        <v>0</v>
      </c>
      <c r="O549" s="120">
        <f t="shared" si="260"/>
        <v>0</v>
      </c>
      <c r="P549" s="111"/>
      <c r="Q549" s="32"/>
      <c r="R549" s="32"/>
    </row>
    <row r="550" spans="1:18">
      <c r="A550" s="110" t="s">
        <v>665</v>
      </c>
      <c r="B550" s="111" t="s">
        <v>227</v>
      </c>
      <c r="C550" s="112" t="s">
        <v>449</v>
      </c>
      <c r="D550" s="113" t="s">
        <v>24</v>
      </c>
      <c r="E550" s="369" t="s">
        <v>14</v>
      </c>
      <c r="F550" s="369" t="s">
        <v>32</v>
      </c>
      <c r="G550" s="370">
        <v>8.3000000000000007</v>
      </c>
      <c r="H550" s="125">
        <v>9</v>
      </c>
      <c r="I550" s="358">
        <f>20+19</f>
        <v>39</v>
      </c>
      <c r="J550" s="117">
        <f t="shared" si="257"/>
        <v>2.9133</v>
      </c>
      <c r="K550" s="118"/>
      <c r="L550" s="111">
        <v>39</v>
      </c>
      <c r="M550" s="117">
        <f t="shared" si="258"/>
        <v>2.9133</v>
      </c>
      <c r="N550" s="119">
        <f t="shared" si="259"/>
        <v>0</v>
      </c>
      <c r="O550" s="120">
        <f t="shared" si="260"/>
        <v>0</v>
      </c>
      <c r="P550" s="111"/>
      <c r="Q550" s="32"/>
      <c r="R550" s="32"/>
    </row>
    <row r="551" spans="1:18">
      <c r="A551" s="110" t="s">
        <v>665</v>
      </c>
      <c r="B551" s="111" t="s">
        <v>227</v>
      </c>
      <c r="C551" s="112" t="s">
        <v>449</v>
      </c>
      <c r="D551" s="113" t="s">
        <v>24</v>
      </c>
      <c r="E551" s="369" t="s">
        <v>14</v>
      </c>
      <c r="F551" s="369" t="s">
        <v>32</v>
      </c>
      <c r="G551" s="370">
        <v>8.3000000000000007</v>
      </c>
      <c r="H551" s="125">
        <v>12</v>
      </c>
      <c r="I551" s="358">
        <f>32+32+32+32+32+7+35+22+30+30+33+30+30+32+30+32+28</f>
        <v>499</v>
      </c>
      <c r="J551" s="117">
        <f t="shared" si="257"/>
        <v>49.700400000000002</v>
      </c>
      <c r="K551" s="118"/>
      <c r="L551" s="111">
        <f>499+36</f>
        <v>535</v>
      </c>
      <c r="M551" s="117">
        <f t="shared" si="258"/>
        <v>53.286000000000008</v>
      </c>
      <c r="N551" s="180">
        <f t="shared" si="259"/>
        <v>-36</v>
      </c>
      <c r="O551" s="397">
        <f t="shared" si="260"/>
        <v>-3.5856000000000003</v>
      </c>
      <c r="P551" s="111" t="s">
        <v>304</v>
      </c>
      <c r="Q551" s="32"/>
      <c r="R551" s="32"/>
    </row>
    <row r="552" spans="1:18">
      <c r="A552" s="110" t="s">
        <v>665</v>
      </c>
      <c r="B552" s="111" t="s">
        <v>227</v>
      </c>
      <c r="C552" s="112" t="s">
        <v>449</v>
      </c>
      <c r="D552" s="113" t="s">
        <v>24</v>
      </c>
      <c r="E552" s="369" t="s">
        <v>14</v>
      </c>
      <c r="F552" s="369" t="s">
        <v>32</v>
      </c>
      <c r="G552" s="370">
        <v>8.3000000000000007</v>
      </c>
      <c r="H552" s="125">
        <v>12.7</v>
      </c>
      <c r="I552" s="358">
        <v>1</v>
      </c>
      <c r="J552" s="117">
        <f t="shared" si="257"/>
        <v>0.10540999999999999</v>
      </c>
      <c r="K552" s="118" t="s">
        <v>252</v>
      </c>
      <c r="L552" s="111"/>
      <c r="M552" s="117">
        <f t="shared" si="258"/>
        <v>0</v>
      </c>
      <c r="N552" s="119">
        <f t="shared" si="259"/>
        <v>1</v>
      </c>
      <c r="O552" s="120">
        <f t="shared" si="260"/>
        <v>0.10540999999999999</v>
      </c>
      <c r="P552" s="111"/>
      <c r="Q552" s="32"/>
      <c r="R552" s="32"/>
    </row>
    <row r="553" spans="1:18">
      <c r="A553" s="110" t="s">
        <v>665</v>
      </c>
      <c r="B553" s="111" t="s">
        <v>227</v>
      </c>
      <c r="C553" s="112" t="s">
        <v>449</v>
      </c>
      <c r="D553" s="113" t="s">
        <v>24</v>
      </c>
      <c r="E553" s="369" t="s">
        <v>14</v>
      </c>
      <c r="F553" s="369" t="s">
        <v>32</v>
      </c>
      <c r="G553" s="370">
        <v>8.3000000000000007</v>
      </c>
      <c r="H553" s="125">
        <v>11.8</v>
      </c>
      <c r="I553" s="358">
        <v>2</v>
      </c>
      <c r="J553" s="117">
        <f t="shared" si="257"/>
        <v>0.19588000000000003</v>
      </c>
      <c r="K553" s="118" t="s">
        <v>252</v>
      </c>
      <c r="L553" s="111"/>
      <c r="M553" s="117">
        <f t="shared" si="258"/>
        <v>0</v>
      </c>
      <c r="N553" s="119">
        <f t="shared" si="259"/>
        <v>2</v>
      </c>
      <c r="O553" s="120">
        <f t="shared" si="260"/>
        <v>0.19588000000000003</v>
      </c>
      <c r="P553" s="111"/>
      <c r="Q553" s="32"/>
      <c r="R553" s="32"/>
    </row>
    <row r="554" spans="1:18">
      <c r="A554" s="110" t="s">
        <v>665</v>
      </c>
      <c r="B554" s="111" t="s">
        <v>227</v>
      </c>
      <c r="C554" s="112" t="s">
        <v>449</v>
      </c>
      <c r="D554" s="113" t="s">
        <v>24</v>
      </c>
      <c r="E554" s="369" t="s">
        <v>14</v>
      </c>
      <c r="F554" s="369" t="s">
        <v>32</v>
      </c>
      <c r="G554" s="370">
        <v>8.3000000000000007</v>
      </c>
      <c r="H554" s="126">
        <v>9</v>
      </c>
      <c r="I554">
        <v>1</v>
      </c>
      <c r="J554" s="117">
        <f t="shared" ref="J554:J575" si="261">H554*G554*I554/1000</f>
        <v>7.4700000000000003E-2</v>
      </c>
      <c r="K554" s="118" t="s">
        <v>252</v>
      </c>
      <c r="L554" s="111">
        <v>1</v>
      </c>
      <c r="M554" s="117">
        <f t="shared" ref="M554:M575" si="262">H554*L554*G554/1000</f>
        <v>7.4700000000000003E-2</v>
      </c>
      <c r="N554" s="119">
        <f t="shared" ref="N554:N575" si="263">I554-L554</f>
        <v>0</v>
      </c>
      <c r="O554" s="120">
        <f t="shared" ref="O554:O575" si="264">H554*N554*G554/1000</f>
        <v>0</v>
      </c>
      <c r="P554" s="111">
        <v>6.2</v>
      </c>
      <c r="Q554" s="32">
        <v>1</v>
      </c>
      <c r="R554" s="32"/>
    </row>
    <row r="555" spans="1:18">
      <c r="A555" s="110" t="s">
        <v>665</v>
      </c>
      <c r="B555" s="111" t="s">
        <v>227</v>
      </c>
      <c r="C555" s="112" t="s">
        <v>449</v>
      </c>
      <c r="D555" s="113" t="s">
        <v>24</v>
      </c>
      <c r="E555" s="369" t="s">
        <v>14</v>
      </c>
      <c r="F555" s="369" t="s">
        <v>32</v>
      </c>
      <c r="G555" s="370">
        <v>8.3000000000000007</v>
      </c>
      <c r="H555" s="126">
        <v>6.7</v>
      </c>
      <c r="I555">
        <v>1</v>
      </c>
      <c r="J555" s="117">
        <f t="shared" si="261"/>
        <v>5.5610000000000007E-2</v>
      </c>
      <c r="K555" s="118" t="s">
        <v>252</v>
      </c>
      <c r="L555" s="111">
        <v>1</v>
      </c>
      <c r="M555" s="117">
        <f t="shared" si="262"/>
        <v>5.5610000000000007E-2</v>
      </c>
      <c r="N555" s="119">
        <f t="shared" si="263"/>
        <v>0</v>
      </c>
      <c r="O555" s="120">
        <f t="shared" si="264"/>
        <v>0</v>
      </c>
      <c r="P555" s="111">
        <v>6.2</v>
      </c>
      <c r="Q555" s="32">
        <v>1</v>
      </c>
      <c r="R555" s="32"/>
    </row>
    <row r="556" spans="1:18">
      <c r="A556" s="110" t="s">
        <v>665</v>
      </c>
      <c r="B556" s="111" t="s">
        <v>227</v>
      </c>
      <c r="C556" s="112" t="s">
        <v>449</v>
      </c>
      <c r="D556" s="113" t="s">
        <v>24</v>
      </c>
      <c r="E556" s="369" t="s">
        <v>14</v>
      </c>
      <c r="F556" s="369" t="s">
        <v>32</v>
      </c>
      <c r="G556" s="370">
        <v>8.3000000000000007</v>
      </c>
      <c r="H556" s="126">
        <v>11.7</v>
      </c>
      <c r="I556">
        <v>6</v>
      </c>
      <c r="J556" s="117">
        <f t="shared" si="261"/>
        <v>0.58265999999999996</v>
      </c>
      <c r="K556" s="118"/>
      <c r="L556" s="111">
        <v>4</v>
      </c>
      <c r="M556" s="117">
        <f t="shared" si="262"/>
        <v>0.38844000000000001</v>
      </c>
      <c r="N556" s="119">
        <f t="shared" si="263"/>
        <v>2</v>
      </c>
      <c r="O556" s="120">
        <f t="shared" si="264"/>
        <v>0.19422</v>
      </c>
      <c r="P556" s="111">
        <v>8.35</v>
      </c>
      <c r="Q556" s="32">
        <v>4</v>
      </c>
      <c r="R556" s="32"/>
    </row>
    <row r="557" spans="1:18">
      <c r="A557" s="110" t="s">
        <v>665</v>
      </c>
      <c r="B557" s="111" t="s">
        <v>227</v>
      </c>
      <c r="C557" s="112" t="s">
        <v>449</v>
      </c>
      <c r="D557" s="113" t="s">
        <v>24</v>
      </c>
      <c r="E557" s="369" t="s">
        <v>14</v>
      </c>
      <c r="F557" s="369" t="s">
        <v>32</v>
      </c>
      <c r="G557" s="370">
        <v>8.3000000000000007</v>
      </c>
      <c r="H557" s="126">
        <v>11.5</v>
      </c>
      <c r="I557">
        <v>11</v>
      </c>
      <c r="J557" s="117">
        <f t="shared" si="261"/>
        <v>1.0499499999999999</v>
      </c>
      <c r="K557" s="118"/>
      <c r="L557" s="111">
        <v>11</v>
      </c>
      <c r="M557" s="117">
        <f t="shared" si="262"/>
        <v>1.0499499999999999</v>
      </c>
      <c r="N557" s="119">
        <f t="shared" si="263"/>
        <v>0</v>
      </c>
      <c r="O557" s="120">
        <f t="shared" si="264"/>
        <v>0</v>
      </c>
      <c r="P557" s="111">
        <v>9</v>
      </c>
      <c r="Q557" s="32">
        <v>11</v>
      </c>
      <c r="R557" s="32"/>
    </row>
    <row r="558" spans="1:18">
      <c r="A558" s="110" t="s">
        <v>665</v>
      </c>
      <c r="B558" s="111" t="s">
        <v>227</v>
      </c>
      <c r="C558" s="112" t="s">
        <v>449</v>
      </c>
      <c r="D558" s="113" t="s">
        <v>24</v>
      </c>
      <c r="E558" s="369" t="s">
        <v>14</v>
      </c>
      <c r="F558" s="369" t="s">
        <v>32</v>
      </c>
      <c r="G558" s="370">
        <v>8.3000000000000007</v>
      </c>
      <c r="H558" s="126">
        <v>11</v>
      </c>
      <c r="I558">
        <v>2</v>
      </c>
      <c r="J558" s="117">
        <f t="shared" si="261"/>
        <v>0.18260000000000001</v>
      </c>
      <c r="K558" s="118"/>
      <c r="L558" s="111">
        <v>2</v>
      </c>
      <c r="M558" s="117">
        <f t="shared" si="262"/>
        <v>0.18260000000000001</v>
      </c>
      <c r="N558" s="119">
        <f t="shared" si="263"/>
        <v>0</v>
      </c>
      <c r="O558" s="120">
        <f t="shared" si="264"/>
        <v>0</v>
      </c>
      <c r="P558" s="111">
        <v>9</v>
      </c>
      <c r="Q558" s="32">
        <v>2</v>
      </c>
      <c r="R558" s="32"/>
    </row>
    <row r="559" spans="1:18">
      <c r="A559" s="110" t="s">
        <v>665</v>
      </c>
      <c r="B559" s="111" t="s">
        <v>227</v>
      </c>
      <c r="C559" s="112" t="s">
        <v>449</v>
      </c>
      <c r="D559" s="113" t="s">
        <v>24</v>
      </c>
      <c r="E559" s="369" t="s">
        <v>14</v>
      </c>
      <c r="F559" s="369" t="s">
        <v>32</v>
      </c>
      <c r="G559" s="370">
        <v>8.3000000000000007</v>
      </c>
      <c r="H559" s="126">
        <v>10.7</v>
      </c>
      <c r="I559">
        <v>4</v>
      </c>
      <c r="J559" s="117">
        <f t="shared" si="261"/>
        <v>0.35524</v>
      </c>
      <c r="K559" s="118"/>
      <c r="L559" s="111">
        <v>4</v>
      </c>
      <c r="M559" s="117">
        <f t="shared" si="262"/>
        <v>0.35524</v>
      </c>
      <c r="N559" s="119">
        <f t="shared" si="263"/>
        <v>0</v>
      </c>
      <c r="O559" s="120">
        <f t="shared" si="264"/>
        <v>0</v>
      </c>
      <c r="P559" s="111">
        <v>9</v>
      </c>
      <c r="Q559" s="32">
        <v>4</v>
      </c>
      <c r="R559" s="32"/>
    </row>
    <row r="560" spans="1:18">
      <c r="A560" s="110" t="s">
        <v>665</v>
      </c>
      <c r="B560" s="111" t="s">
        <v>227</v>
      </c>
      <c r="C560" s="112" t="s">
        <v>449</v>
      </c>
      <c r="D560" s="113" t="s">
        <v>24</v>
      </c>
      <c r="E560" s="369" t="s">
        <v>14</v>
      </c>
      <c r="F560" s="369" t="s">
        <v>32</v>
      </c>
      <c r="G560" s="370">
        <v>8.3000000000000007</v>
      </c>
      <c r="H560" s="126">
        <v>10</v>
      </c>
      <c r="I560">
        <v>6</v>
      </c>
      <c r="J560" s="117">
        <f t="shared" si="261"/>
        <v>0.498</v>
      </c>
      <c r="K560" s="118"/>
      <c r="L560" s="111">
        <v>6</v>
      </c>
      <c r="M560" s="117">
        <f t="shared" si="262"/>
        <v>0.49800000000000005</v>
      </c>
      <c r="N560" s="119">
        <f t="shared" si="263"/>
        <v>0</v>
      </c>
      <c r="O560" s="120">
        <f t="shared" si="264"/>
        <v>0</v>
      </c>
      <c r="P560" s="111">
        <v>9</v>
      </c>
      <c r="Q560" s="32">
        <v>6</v>
      </c>
      <c r="R560" s="32"/>
    </row>
    <row r="561" spans="1:18">
      <c r="A561" s="110" t="s">
        <v>665</v>
      </c>
      <c r="B561" s="111" t="s">
        <v>227</v>
      </c>
      <c r="C561" s="112" t="s">
        <v>449</v>
      </c>
      <c r="D561" s="113" t="s">
        <v>24</v>
      </c>
      <c r="E561" s="369" t="s">
        <v>14</v>
      </c>
      <c r="F561" s="369" t="s">
        <v>32</v>
      </c>
      <c r="G561" s="370">
        <v>8.3000000000000007</v>
      </c>
      <c r="H561" s="126">
        <v>8.1</v>
      </c>
      <c r="I561">
        <v>1</v>
      </c>
      <c r="J561" s="117">
        <f t="shared" si="261"/>
        <v>6.7229999999999998E-2</v>
      </c>
      <c r="K561" s="118"/>
      <c r="L561" s="111">
        <v>1</v>
      </c>
      <c r="M561" s="117">
        <f t="shared" si="262"/>
        <v>6.7229999999999998E-2</v>
      </c>
      <c r="N561" s="119">
        <f t="shared" si="263"/>
        <v>0</v>
      </c>
      <c r="O561" s="120">
        <f t="shared" si="264"/>
        <v>0</v>
      </c>
      <c r="P561" s="111">
        <v>6.3</v>
      </c>
      <c r="Q561" s="32">
        <v>1</v>
      </c>
      <c r="R561" s="32"/>
    </row>
    <row r="562" spans="1:18">
      <c r="A562" s="110" t="s">
        <v>665</v>
      </c>
      <c r="B562" s="111" t="s">
        <v>227</v>
      </c>
      <c r="C562" s="112" t="s">
        <v>449</v>
      </c>
      <c r="D562" s="113" t="s">
        <v>24</v>
      </c>
      <c r="E562" s="369" t="s">
        <v>14</v>
      </c>
      <c r="F562" s="369" t="s">
        <v>32</v>
      </c>
      <c r="G562" s="370">
        <v>8.3000000000000007</v>
      </c>
      <c r="H562" s="126">
        <v>7.2</v>
      </c>
      <c r="I562">
        <v>2</v>
      </c>
      <c r="J562" s="117">
        <f t="shared" si="261"/>
        <v>0.11952000000000002</v>
      </c>
      <c r="K562" s="118"/>
      <c r="L562" s="111">
        <v>2</v>
      </c>
      <c r="M562" s="117">
        <f t="shared" si="262"/>
        <v>0.11952000000000002</v>
      </c>
      <c r="N562" s="119">
        <f t="shared" si="263"/>
        <v>0</v>
      </c>
      <c r="O562" s="120">
        <f t="shared" si="264"/>
        <v>0</v>
      </c>
      <c r="P562" s="111">
        <v>6.2</v>
      </c>
      <c r="Q562" s="32">
        <v>2</v>
      </c>
      <c r="R562" s="32"/>
    </row>
    <row r="563" spans="1:18">
      <c r="A563" s="110" t="s">
        <v>665</v>
      </c>
      <c r="B563" s="111" t="s">
        <v>227</v>
      </c>
      <c r="C563" s="112" t="s">
        <v>449</v>
      </c>
      <c r="D563" s="113" t="s">
        <v>24</v>
      </c>
      <c r="E563" s="369" t="s">
        <v>14</v>
      </c>
      <c r="F563" s="369" t="s">
        <v>32</v>
      </c>
      <c r="G563" s="370">
        <v>8.3000000000000007</v>
      </c>
      <c r="H563" s="126">
        <v>8.35</v>
      </c>
      <c r="I563">
        <f>7</f>
        <v>7</v>
      </c>
      <c r="J563" s="117">
        <f t="shared" si="261"/>
        <v>0.48513500000000004</v>
      </c>
      <c r="K563" s="118"/>
      <c r="L563" s="111">
        <v>7</v>
      </c>
      <c r="M563" s="117">
        <f t="shared" si="262"/>
        <v>0.48513499999999998</v>
      </c>
      <c r="N563" s="119">
        <f t="shared" si="263"/>
        <v>0</v>
      </c>
      <c r="O563" s="120">
        <f t="shared" si="264"/>
        <v>0</v>
      </c>
      <c r="P563" s="111"/>
      <c r="Q563" s="32"/>
      <c r="R563" s="32"/>
    </row>
    <row r="564" spans="1:18">
      <c r="A564" s="110" t="s">
        <v>665</v>
      </c>
      <c r="B564" s="111" t="s">
        <v>227</v>
      </c>
      <c r="C564" s="112" t="s">
        <v>449</v>
      </c>
      <c r="D564" s="113" t="s">
        <v>24</v>
      </c>
      <c r="E564" s="369" t="s">
        <v>14</v>
      </c>
      <c r="F564" s="369" t="s">
        <v>32</v>
      </c>
      <c r="G564" s="370">
        <v>8.3000000000000007</v>
      </c>
      <c r="H564" s="126">
        <v>12</v>
      </c>
      <c r="I564">
        <v>31</v>
      </c>
      <c r="J564" s="117">
        <f t="shared" si="261"/>
        <v>3.0876000000000006</v>
      </c>
      <c r="K564" s="118"/>
      <c r="L564" s="111">
        <v>31</v>
      </c>
      <c r="M564" s="117">
        <f t="shared" si="262"/>
        <v>3.0876000000000006</v>
      </c>
      <c r="N564" s="119">
        <f t="shared" si="263"/>
        <v>0</v>
      </c>
      <c r="O564" s="120">
        <f t="shared" si="264"/>
        <v>0</v>
      </c>
      <c r="P564" s="111"/>
      <c r="Q564" s="32"/>
      <c r="R564" s="32"/>
    </row>
    <row r="565" spans="1:18">
      <c r="A565" s="110" t="s">
        <v>665</v>
      </c>
      <c r="B565" s="111" t="s">
        <v>227</v>
      </c>
      <c r="C565" s="112" t="s">
        <v>449</v>
      </c>
      <c r="D565" s="113" t="s">
        <v>24</v>
      </c>
      <c r="E565" s="369" t="s">
        <v>14</v>
      </c>
      <c r="F565" s="369" t="s">
        <v>32</v>
      </c>
      <c r="G565" s="370">
        <v>8.3000000000000007</v>
      </c>
      <c r="H565" s="126">
        <v>11.7</v>
      </c>
      <c r="I565">
        <v>13</v>
      </c>
      <c r="J565" s="117">
        <f t="shared" si="261"/>
        <v>1.2624300000000002</v>
      </c>
      <c r="K565" s="118"/>
      <c r="L565" s="111">
        <v>3</v>
      </c>
      <c r="M565" s="117">
        <f t="shared" si="262"/>
        <v>0.29132999999999998</v>
      </c>
      <c r="N565" s="119">
        <f t="shared" si="263"/>
        <v>10</v>
      </c>
      <c r="O565" s="120">
        <f t="shared" si="264"/>
        <v>0.97110000000000019</v>
      </c>
      <c r="P565" s="111">
        <v>11.7</v>
      </c>
      <c r="Q565" s="32">
        <v>3</v>
      </c>
      <c r="R565" s="32" t="s">
        <v>773</v>
      </c>
    </row>
    <row r="566" spans="1:18">
      <c r="A566" s="110" t="s">
        <v>665</v>
      </c>
      <c r="B566" s="111" t="s">
        <v>227</v>
      </c>
      <c r="C566" s="112" t="s">
        <v>449</v>
      </c>
      <c r="D566" s="113" t="s">
        <v>24</v>
      </c>
      <c r="E566" s="369" t="s">
        <v>14</v>
      </c>
      <c r="F566" s="369" t="s">
        <v>32</v>
      </c>
      <c r="G566" s="370">
        <v>8.3000000000000007</v>
      </c>
      <c r="H566" s="126">
        <v>11.5</v>
      </c>
      <c r="I566">
        <v>4</v>
      </c>
      <c r="J566" s="117">
        <f t="shared" si="261"/>
        <v>0.38180000000000003</v>
      </c>
      <c r="K566" s="118"/>
      <c r="L566" s="111">
        <v>4</v>
      </c>
      <c r="M566" s="117">
        <f t="shared" si="262"/>
        <v>0.38180000000000003</v>
      </c>
      <c r="N566" s="119">
        <f t="shared" si="263"/>
        <v>0</v>
      </c>
      <c r="O566" s="120">
        <f t="shared" si="264"/>
        <v>0</v>
      </c>
      <c r="P566" s="111">
        <v>9</v>
      </c>
      <c r="Q566" s="32">
        <v>4</v>
      </c>
      <c r="R566" s="32"/>
    </row>
    <row r="567" spans="1:18">
      <c r="A567" s="110" t="s">
        <v>665</v>
      </c>
      <c r="B567" s="111" t="s">
        <v>227</v>
      </c>
      <c r="C567" s="112" t="s">
        <v>449</v>
      </c>
      <c r="D567" s="113" t="s">
        <v>24</v>
      </c>
      <c r="E567" s="369" t="s">
        <v>14</v>
      </c>
      <c r="F567" s="369" t="s">
        <v>32</v>
      </c>
      <c r="G567" s="370">
        <v>8.3000000000000007</v>
      </c>
      <c r="H567" s="126">
        <v>11</v>
      </c>
      <c r="I567">
        <v>8</v>
      </c>
      <c r="J567" s="117">
        <f t="shared" si="261"/>
        <v>0.73040000000000005</v>
      </c>
      <c r="K567" s="118"/>
      <c r="L567" s="111">
        <v>8</v>
      </c>
      <c r="M567" s="117">
        <f t="shared" si="262"/>
        <v>0.73040000000000005</v>
      </c>
      <c r="N567" s="119">
        <f t="shared" si="263"/>
        <v>0</v>
      </c>
      <c r="O567" s="120">
        <f t="shared" si="264"/>
        <v>0</v>
      </c>
      <c r="P567" s="111">
        <v>9</v>
      </c>
      <c r="Q567" s="32">
        <v>8</v>
      </c>
      <c r="R567" s="32"/>
    </row>
    <row r="568" spans="1:18">
      <c r="A568" s="110" t="s">
        <v>665</v>
      </c>
      <c r="B568" s="111" t="s">
        <v>227</v>
      </c>
      <c r="C568" s="112" t="s">
        <v>449</v>
      </c>
      <c r="D568" s="113" t="s">
        <v>24</v>
      </c>
      <c r="E568" s="369" t="s">
        <v>14</v>
      </c>
      <c r="F568" s="369" t="s">
        <v>32</v>
      </c>
      <c r="G568" s="370">
        <v>8.3000000000000007</v>
      </c>
      <c r="H568" s="126">
        <v>11.2</v>
      </c>
      <c r="I568">
        <v>1</v>
      </c>
      <c r="J568" s="117">
        <f t="shared" si="261"/>
        <v>9.2960000000000015E-2</v>
      </c>
      <c r="K568" s="118"/>
      <c r="L568" s="111">
        <v>1</v>
      </c>
      <c r="M568" s="117">
        <f t="shared" si="262"/>
        <v>9.2960000000000015E-2</v>
      </c>
      <c r="N568" s="119">
        <f t="shared" si="263"/>
        <v>0</v>
      </c>
      <c r="O568" s="120">
        <f t="shared" si="264"/>
        <v>0</v>
      </c>
      <c r="P568" s="111">
        <v>9</v>
      </c>
      <c r="Q568" s="32">
        <v>1</v>
      </c>
      <c r="R568" s="32"/>
    </row>
    <row r="569" spans="1:18">
      <c r="A569" s="110" t="s">
        <v>665</v>
      </c>
      <c r="B569" s="111" t="s">
        <v>227</v>
      </c>
      <c r="C569" s="112" t="s">
        <v>449</v>
      </c>
      <c r="D569" s="113" t="s">
        <v>24</v>
      </c>
      <c r="E569" s="369" t="s">
        <v>14</v>
      </c>
      <c r="F569" s="369" t="s">
        <v>32</v>
      </c>
      <c r="G569" s="370">
        <v>8.3000000000000007</v>
      </c>
      <c r="H569" s="126">
        <v>10.7</v>
      </c>
      <c r="I569">
        <v>1</v>
      </c>
      <c r="J569" s="117">
        <f t="shared" si="261"/>
        <v>8.881E-2</v>
      </c>
      <c r="K569" s="118"/>
      <c r="L569" s="111">
        <v>1</v>
      </c>
      <c r="M569" s="117">
        <f t="shared" si="262"/>
        <v>8.881E-2</v>
      </c>
      <c r="N569" s="119">
        <f t="shared" si="263"/>
        <v>0</v>
      </c>
      <c r="O569" s="120">
        <f t="shared" si="264"/>
        <v>0</v>
      </c>
      <c r="P569" s="111">
        <v>9</v>
      </c>
      <c r="Q569" s="32">
        <v>1</v>
      </c>
      <c r="R569" s="32"/>
    </row>
    <row r="570" spans="1:18">
      <c r="A570" s="110" t="s">
        <v>665</v>
      </c>
      <c r="B570" s="111" t="s">
        <v>227</v>
      </c>
      <c r="C570" s="112" t="s">
        <v>449</v>
      </c>
      <c r="D570" s="113" t="s">
        <v>24</v>
      </c>
      <c r="E570" s="369" t="s">
        <v>14</v>
      </c>
      <c r="F570" s="369" t="s">
        <v>32</v>
      </c>
      <c r="G570" s="370">
        <v>8.3000000000000007</v>
      </c>
      <c r="H570" s="126">
        <v>10.25</v>
      </c>
      <c r="I570">
        <v>3</v>
      </c>
      <c r="J570" s="117">
        <f t="shared" si="261"/>
        <v>0.25522500000000004</v>
      </c>
      <c r="K570" s="118"/>
      <c r="L570" s="111">
        <v>3</v>
      </c>
      <c r="M570" s="117">
        <f t="shared" si="262"/>
        <v>0.25522500000000004</v>
      </c>
      <c r="N570" s="119">
        <f t="shared" si="263"/>
        <v>0</v>
      </c>
      <c r="O570" s="120">
        <f t="shared" si="264"/>
        <v>0</v>
      </c>
      <c r="P570" s="111">
        <v>8.35</v>
      </c>
      <c r="Q570" s="32">
        <v>3</v>
      </c>
      <c r="R570" s="32"/>
    </row>
    <row r="571" spans="1:18">
      <c r="A571" s="110" t="s">
        <v>665</v>
      </c>
      <c r="B571" s="111" t="s">
        <v>227</v>
      </c>
      <c r="C571" s="112" t="s">
        <v>449</v>
      </c>
      <c r="D571" s="113" t="s">
        <v>24</v>
      </c>
      <c r="E571" s="369" t="s">
        <v>14</v>
      </c>
      <c r="F571" s="369" t="s">
        <v>32</v>
      </c>
      <c r="G571" s="370">
        <v>8.3000000000000007</v>
      </c>
      <c r="H571" s="126">
        <v>12</v>
      </c>
      <c r="I571">
        <v>3</v>
      </c>
      <c r="J571" s="117">
        <f t="shared" si="261"/>
        <v>0.29880000000000001</v>
      </c>
      <c r="K571" s="118"/>
      <c r="L571" s="111">
        <v>3</v>
      </c>
      <c r="M571" s="117">
        <f t="shared" si="262"/>
        <v>0.29880000000000001</v>
      </c>
      <c r="N571" s="119">
        <f t="shared" si="263"/>
        <v>0</v>
      </c>
      <c r="O571" s="120">
        <f t="shared" si="264"/>
        <v>0</v>
      </c>
      <c r="P571" s="111"/>
      <c r="Q571" s="32"/>
      <c r="R571" s="32"/>
    </row>
    <row r="572" spans="1:18">
      <c r="A572" s="110" t="s">
        <v>665</v>
      </c>
      <c r="B572" s="111" t="s">
        <v>227</v>
      </c>
      <c r="C572" s="112" t="s">
        <v>449</v>
      </c>
      <c r="D572" s="113" t="s">
        <v>24</v>
      </c>
      <c r="E572" s="369" t="s">
        <v>14</v>
      </c>
      <c r="F572" s="369" t="s">
        <v>32</v>
      </c>
      <c r="G572" s="370">
        <v>8.3000000000000007</v>
      </c>
      <c r="H572" s="126">
        <v>8.1999999999999993</v>
      </c>
      <c r="I572">
        <v>2</v>
      </c>
      <c r="J572" s="117">
        <f t="shared" si="261"/>
        <v>0.13611999999999999</v>
      </c>
      <c r="K572" s="118"/>
      <c r="L572" s="111">
        <v>2</v>
      </c>
      <c r="M572" s="117">
        <f t="shared" si="262"/>
        <v>0.13611999999999999</v>
      </c>
      <c r="N572" s="119">
        <f t="shared" si="263"/>
        <v>0</v>
      </c>
      <c r="O572" s="120">
        <f t="shared" si="264"/>
        <v>0</v>
      </c>
      <c r="P572" s="111">
        <v>6.2</v>
      </c>
      <c r="Q572" s="32">
        <v>2</v>
      </c>
      <c r="R572" s="32"/>
    </row>
    <row r="573" spans="1:18">
      <c r="A573" s="110" t="s">
        <v>665</v>
      </c>
      <c r="B573" s="111" t="s">
        <v>227</v>
      </c>
      <c r="C573" s="112" t="s">
        <v>449</v>
      </c>
      <c r="D573" s="113" t="s">
        <v>24</v>
      </c>
      <c r="E573" s="369" t="s">
        <v>14</v>
      </c>
      <c r="F573" s="369" t="s">
        <v>32</v>
      </c>
      <c r="G573" s="370">
        <v>8.3000000000000007</v>
      </c>
      <c r="H573" s="126">
        <v>11</v>
      </c>
      <c r="I573">
        <v>4</v>
      </c>
      <c r="J573" s="117">
        <f t="shared" si="261"/>
        <v>0.36520000000000002</v>
      </c>
      <c r="K573" s="118"/>
      <c r="L573" s="111">
        <v>4</v>
      </c>
      <c r="M573" s="117">
        <f t="shared" si="262"/>
        <v>0.36520000000000002</v>
      </c>
      <c r="N573" s="119">
        <f t="shared" si="263"/>
        <v>0</v>
      </c>
      <c r="O573" s="120">
        <f t="shared" si="264"/>
        <v>0</v>
      </c>
      <c r="P573" s="111">
        <v>8.35</v>
      </c>
      <c r="Q573" s="32">
        <v>4</v>
      </c>
      <c r="R573" s="32"/>
    </row>
    <row r="574" spans="1:18">
      <c r="A574" s="110" t="s">
        <v>665</v>
      </c>
      <c r="B574" s="111" t="s">
        <v>227</v>
      </c>
      <c r="C574" s="112" t="s">
        <v>449</v>
      </c>
      <c r="D574" s="113" t="s">
        <v>24</v>
      </c>
      <c r="E574" s="369" t="s">
        <v>14</v>
      </c>
      <c r="F574" s="369" t="s">
        <v>32</v>
      </c>
      <c r="G574" s="370">
        <v>8.3000000000000007</v>
      </c>
      <c r="H574" s="126">
        <v>11.5</v>
      </c>
      <c r="I574">
        <v>1</v>
      </c>
      <c r="J574" s="117">
        <f t="shared" si="261"/>
        <v>9.5450000000000007E-2</v>
      </c>
      <c r="K574" s="118"/>
      <c r="L574" s="111">
        <v>1</v>
      </c>
      <c r="M574" s="117">
        <f t="shared" si="262"/>
        <v>9.5450000000000007E-2</v>
      </c>
      <c r="N574" s="119">
        <f t="shared" si="263"/>
        <v>0</v>
      </c>
      <c r="O574" s="120">
        <f t="shared" si="264"/>
        <v>0</v>
      </c>
      <c r="P574" s="111">
        <v>8.35</v>
      </c>
      <c r="Q574" s="32">
        <v>1</v>
      </c>
      <c r="R574" s="32"/>
    </row>
    <row r="575" spans="1:18">
      <c r="A575" s="110" t="s">
        <v>665</v>
      </c>
      <c r="B575" s="111" t="s">
        <v>227</v>
      </c>
      <c r="C575" s="112" t="s">
        <v>449</v>
      </c>
      <c r="D575" s="113" t="s">
        <v>24</v>
      </c>
      <c r="E575" s="369" t="s">
        <v>14</v>
      </c>
      <c r="F575" s="369" t="s">
        <v>32</v>
      </c>
      <c r="G575" s="370">
        <v>8.3000000000000007</v>
      </c>
      <c r="H575" s="126">
        <v>11.7</v>
      </c>
      <c r="I575">
        <v>5</v>
      </c>
      <c r="J575" s="117">
        <f t="shared" si="261"/>
        <v>0.48555000000000004</v>
      </c>
      <c r="K575" s="118"/>
      <c r="L575" s="111">
        <v>5</v>
      </c>
      <c r="M575" s="117">
        <f t="shared" si="262"/>
        <v>0.48555000000000009</v>
      </c>
      <c r="N575" s="119">
        <f t="shared" si="263"/>
        <v>0</v>
      </c>
      <c r="O575" s="120">
        <f t="shared" si="264"/>
        <v>0</v>
      </c>
      <c r="P575" s="111">
        <v>8.35</v>
      </c>
      <c r="Q575" s="32">
        <v>5</v>
      </c>
      <c r="R575" s="32"/>
    </row>
    <row r="576" spans="1:18">
      <c r="I576" s="215">
        <f>SUM(I548:I575)</f>
        <v>939</v>
      </c>
      <c r="J576" s="214">
        <f>SUM(J548:J575)</f>
        <v>78.284769999999995</v>
      </c>
      <c r="L576" s="215">
        <f>SUM(L548:L575)</f>
        <v>960</v>
      </c>
      <c r="M576" s="214">
        <f>SUM(M548:M575)</f>
        <v>80.403760000000005</v>
      </c>
      <c r="N576" s="78">
        <f>SUM(N548:N575)</f>
        <v>-21</v>
      </c>
      <c r="O576" s="214">
        <f>SUM(O548:O575)</f>
        <v>-2.1189900000000002</v>
      </c>
    </row>
    <row r="579" spans="1:18">
      <c r="A579" s="110" t="s">
        <v>665</v>
      </c>
      <c r="B579" s="111" t="s">
        <v>227</v>
      </c>
      <c r="C579" s="112" t="s">
        <v>449</v>
      </c>
      <c r="D579" s="113" t="s">
        <v>20</v>
      </c>
      <c r="E579" s="369" t="s">
        <v>15</v>
      </c>
      <c r="F579" s="369" t="s">
        <v>21</v>
      </c>
      <c r="G579" s="370">
        <v>6.97</v>
      </c>
      <c r="H579" s="125">
        <v>9.5</v>
      </c>
      <c r="I579" s="358">
        <v>3</v>
      </c>
      <c r="J579" s="117">
        <f t="shared" ref="J579" si="265">H579*G579*I579/1000</f>
        <v>0.19864500000000002</v>
      </c>
      <c r="K579" s="118"/>
      <c r="L579" s="111">
        <v>3</v>
      </c>
      <c r="M579" s="117">
        <f t="shared" ref="M579" si="266">H579*L579*G579/1000</f>
        <v>0.19864499999999999</v>
      </c>
      <c r="N579" s="145">
        <f t="shared" ref="N579" si="267">I579-L579</f>
        <v>0</v>
      </c>
      <c r="O579" s="146">
        <f t="shared" ref="O579" si="268">H579*N579*G579/1000</f>
        <v>0</v>
      </c>
      <c r="P579" s="111" t="s">
        <v>695</v>
      </c>
      <c r="Q579" s="32"/>
      <c r="R579" s="32"/>
    </row>
    <row r="580" spans="1:18">
      <c r="A580" s="110" t="s">
        <v>665</v>
      </c>
      <c r="B580" s="111" t="s">
        <v>227</v>
      </c>
      <c r="C580" s="112" t="s">
        <v>449</v>
      </c>
      <c r="D580" s="113" t="s">
        <v>20</v>
      </c>
      <c r="E580" s="369" t="s">
        <v>15</v>
      </c>
      <c r="F580" s="369" t="s">
        <v>21</v>
      </c>
      <c r="G580" s="370">
        <v>6.97</v>
      </c>
      <c r="H580" s="125">
        <v>11.5</v>
      </c>
      <c r="I580" s="358">
        <f>33+17</f>
        <v>50</v>
      </c>
      <c r="J580" s="117">
        <f t="shared" ref="J580:J587" si="269">H580*G580*I580/1000</f>
        <v>4.0077499999999997</v>
      </c>
      <c r="K580" s="118"/>
      <c r="L580" s="358">
        <f>33+17</f>
        <v>50</v>
      </c>
      <c r="M580" s="117">
        <f t="shared" ref="M580:M587" si="270">H580*L580*G580/1000</f>
        <v>4.0077499999999997</v>
      </c>
      <c r="N580" s="145">
        <f t="shared" ref="N580:N587" si="271">I580-L580</f>
        <v>0</v>
      </c>
      <c r="O580" s="146">
        <f t="shared" ref="O580:O587" si="272">H580*N580*G580/1000</f>
        <v>0</v>
      </c>
      <c r="P580" s="111"/>
      <c r="Q580" s="32"/>
      <c r="R580" s="32"/>
    </row>
    <row r="581" spans="1:18">
      <c r="A581" s="110" t="s">
        <v>665</v>
      </c>
      <c r="B581" s="111" t="s">
        <v>227</v>
      </c>
      <c r="C581" s="112" t="s">
        <v>449</v>
      </c>
      <c r="D581" s="113" t="s">
        <v>20</v>
      </c>
      <c r="E581" s="369" t="s">
        <v>15</v>
      </c>
      <c r="F581" s="369" t="s">
        <v>21</v>
      </c>
      <c r="G581" s="370">
        <v>6.97</v>
      </c>
      <c r="H581" s="125">
        <v>11</v>
      </c>
      <c r="I581" s="358">
        <v>2</v>
      </c>
      <c r="J581" s="117">
        <f t="shared" si="269"/>
        <v>0.15334</v>
      </c>
      <c r="K581" s="118"/>
      <c r="L581" s="111">
        <v>2</v>
      </c>
      <c r="M581" s="117">
        <f t="shared" si="270"/>
        <v>0.15334</v>
      </c>
      <c r="N581" s="145">
        <f t="shared" si="271"/>
        <v>0</v>
      </c>
      <c r="O581" s="146">
        <f t="shared" si="272"/>
        <v>0</v>
      </c>
      <c r="P581" s="111" t="s">
        <v>695</v>
      </c>
      <c r="Q581" s="32"/>
      <c r="R581" s="32"/>
    </row>
    <row r="582" spans="1:18">
      <c r="A582" s="110" t="s">
        <v>665</v>
      </c>
      <c r="B582" s="111" t="s">
        <v>227</v>
      </c>
      <c r="C582" s="112" t="s">
        <v>449</v>
      </c>
      <c r="D582" s="113" t="s">
        <v>20</v>
      </c>
      <c r="E582" s="369" t="s">
        <v>15</v>
      </c>
      <c r="F582" s="369" t="s">
        <v>21</v>
      </c>
      <c r="G582" s="370">
        <v>6.97</v>
      </c>
      <c r="H582" s="125">
        <v>11.5</v>
      </c>
      <c r="I582" s="358">
        <v>2</v>
      </c>
      <c r="J582" s="117">
        <f t="shared" si="269"/>
        <v>0.16031000000000001</v>
      </c>
      <c r="K582" s="118"/>
      <c r="L582" s="111">
        <v>2</v>
      </c>
      <c r="M582" s="117">
        <f t="shared" si="270"/>
        <v>0.16031000000000001</v>
      </c>
      <c r="N582" s="145">
        <f t="shared" si="271"/>
        <v>0</v>
      </c>
      <c r="O582" s="146">
        <f t="shared" si="272"/>
        <v>0</v>
      </c>
      <c r="P582" s="111">
        <v>11.2</v>
      </c>
      <c r="Q582" s="32">
        <v>2</v>
      </c>
      <c r="R582" s="32"/>
    </row>
    <row r="583" spans="1:18">
      <c r="A583" s="110" t="s">
        <v>665</v>
      </c>
      <c r="B583" s="111" t="s">
        <v>227</v>
      </c>
      <c r="C583" s="112" t="s">
        <v>449</v>
      </c>
      <c r="D583" s="113" t="s">
        <v>20</v>
      </c>
      <c r="E583" s="369" t="s">
        <v>15</v>
      </c>
      <c r="F583" s="369" t="s">
        <v>21</v>
      </c>
      <c r="G583" s="370">
        <v>6.97</v>
      </c>
      <c r="H583" s="125">
        <v>11.2</v>
      </c>
      <c r="I583" s="358">
        <v>2</v>
      </c>
      <c r="J583" s="117">
        <f t="shared" si="269"/>
        <v>0.15612799999999999</v>
      </c>
      <c r="K583" s="118"/>
      <c r="L583" s="111">
        <v>2</v>
      </c>
      <c r="M583" s="117">
        <f t="shared" si="270"/>
        <v>0.15612799999999999</v>
      </c>
      <c r="N583" s="145">
        <f t="shared" si="271"/>
        <v>0</v>
      </c>
      <c r="O583" s="146">
        <f t="shared" si="272"/>
        <v>0</v>
      </c>
      <c r="P583" s="111"/>
      <c r="Q583" s="32"/>
      <c r="R583" s="32"/>
    </row>
    <row r="584" spans="1:18">
      <c r="A584" s="110" t="s">
        <v>665</v>
      </c>
      <c r="B584" s="111" t="s">
        <v>227</v>
      </c>
      <c r="C584" s="112" t="s">
        <v>449</v>
      </c>
      <c r="D584" s="113" t="s">
        <v>20</v>
      </c>
      <c r="E584" s="369" t="s">
        <v>15</v>
      </c>
      <c r="F584" s="369" t="s">
        <v>21</v>
      </c>
      <c r="G584" s="370">
        <v>6.97</v>
      </c>
      <c r="H584" s="125">
        <v>11.2</v>
      </c>
      <c r="I584" s="358">
        <f>4+8</f>
        <v>12</v>
      </c>
      <c r="J584" s="117">
        <f t="shared" si="269"/>
        <v>0.93676799999999993</v>
      </c>
      <c r="K584" s="118"/>
      <c r="L584" s="111">
        <f>12+1</f>
        <v>13</v>
      </c>
      <c r="M584" s="117">
        <f t="shared" si="270"/>
        <v>1.014832</v>
      </c>
      <c r="N584" s="230">
        <f t="shared" si="271"/>
        <v>-1</v>
      </c>
      <c r="O584" s="231">
        <f t="shared" si="272"/>
        <v>-7.8063999999999995E-2</v>
      </c>
      <c r="P584" s="44" t="s">
        <v>752</v>
      </c>
      <c r="Q584" s="32"/>
      <c r="R584" s="32"/>
    </row>
    <row r="585" spans="1:18">
      <c r="A585" s="110" t="s">
        <v>665</v>
      </c>
      <c r="B585" s="111" t="s">
        <v>227</v>
      </c>
      <c r="C585" s="112" t="s">
        <v>449</v>
      </c>
      <c r="D585" s="113" t="s">
        <v>20</v>
      </c>
      <c r="E585" s="369" t="s">
        <v>15</v>
      </c>
      <c r="F585" s="369" t="s">
        <v>21</v>
      </c>
      <c r="G585" s="370">
        <v>6.97</v>
      </c>
      <c r="H585" s="125">
        <v>11.9</v>
      </c>
      <c r="I585" s="358">
        <f>23+31</f>
        <v>54</v>
      </c>
      <c r="J585" s="117">
        <f t="shared" si="269"/>
        <v>4.4789219999999998</v>
      </c>
      <c r="K585" s="118"/>
      <c r="L585" s="111">
        <f>54+6</f>
        <v>60</v>
      </c>
      <c r="M585" s="117">
        <f t="shared" si="270"/>
        <v>4.9765800000000002</v>
      </c>
      <c r="N585" s="230">
        <f t="shared" si="271"/>
        <v>-6</v>
      </c>
      <c r="O585" s="231">
        <f t="shared" si="272"/>
        <v>-0.49765799999999999</v>
      </c>
      <c r="P585" s="44" t="s">
        <v>752</v>
      </c>
      <c r="Q585" s="32"/>
      <c r="R585" s="32"/>
    </row>
    <row r="586" spans="1:18">
      <c r="A586" s="110" t="s">
        <v>665</v>
      </c>
      <c r="B586" s="111" t="s">
        <v>227</v>
      </c>
      <c r="C586" s="112" t="s">
        <v>449</v>
      </c>
      <c r="D586" s="113" t="s">
        <v>20</v>
      </c>
      <c r="E586" s="369" t="s">
        <v>15</v>
      </c>
      <c r="F586" s="369" t="s">
        <v>21</v>
      </c>
      <c r="G586" s="370">
        <v>6.97</v>
      </c>
      <c r="H586" s="125">
        <v>8</v>
      </c>
      <c r="I586" s="358">
        <v>1</v>
      </c>
      <c r="J586" s="117">
        <f t="shared" si="269"/>
        <v>5.5759999999999997E-2</v>
      </c>
      <c r="K586" s="118"/>
      <c r="L586" s="111">
        <v>1</v>
      </c>
      <c r="M586" s="117">
        <f t="shared" si="270"/>
        <v>5.5759999999999997E-2</v>
      </c>
      <c r="N586" s="145">
        <f t="shared" si="271"/>
        <v>0</v>
      </c>
      <c r="O586" s="146">
        <f t="shared" si="272"/>
        <v>0</v>
      </c>
      <c r="P586" s="111" t="s">
        <v>695</v>
      </c>
      <c r="Q586" s="32"/>
      <c r="R586" s="32"/>
    </row>
    <row r="587" spans="1:18">
      <c r="A587" s="110" t="s">
        <v>665</v>
      </c>
      <c r="B587" s="111" t="s">
        <v>227</v>
      </c>
      <c r="C587" s="112" t="s">
        <v>449</v>
      </c>
      <c r="D587" s="113" t="s">
        <v>20</v>
      </c>
      <c r="E587" s="369" t="s">
        <v>15</v>
      </c>
      <c r="F587" s="369" t="s">
        <v>21</v>
      </c>
      <c r="G587" s="370">
        <v>6.97</v>
      </c>
      <c r="H587" s="125">
        <v>9.5</v>
      </c>
      <c r="I587" s="358">
        <v>9</v>
      </c>
      <c r="J587" s="117">
        <f t="shared" si="269"/>
        <v>0.5959350000000001</v>
      </c>
      <c r="K587" s="118"/>
      <c r="L587" s="111">
        <v>9</v>
      </c>
      <c r="M587" s="117">
        <f t="shared" si="270"/>
        <v>0.59593499999999999</v>
      </c>
      <c r="N587" s="145">
        <f t="shared" si="271"/>
        <v>0</v>
      </c>
      <c r="O587" s="146">
        <f t="shared" si="272"/>
        <v>0</v>
      </c>
      <c r="P587" s="111"/>
      <c r="Q587" s="32"/>
      <c r="R587" s="32"/>
    </row>
    <row r="588" spans="1:18">
      <c r="I588" s="215">
        <f>SUM(I579:I587)</f>
        <v>135</v>
      </c>
      <c r="J588" s="214">
        <f>SUM(J579:J587)</f>
        <v>10.743558</v>
      </c>
      <c r="L588" s="215">
        <f>SUM(L579:L587)</f>
        <v>142</v>
      </c>
      <c r="M588" s="214">
        <f>SUM(M579:M587)</f>
        <v>11.319279999999999</v>
      </c>
      <c r="N588" s="484">
        <f>SUM(N579:N587)</f>
        <v>-7</v>
      </c>
      <c r="O588" s="485">
        <f>SUM(O579:O587)</f>
        <v>-0.57572199999999996</v>
      </c>
    </row>
    <row r="591" spans="1:18">
      <c r="A591" s="110" t="s">
        <v>696</v>
      </c>
      <c r="B591" s="111" t="s">
        <v>227</v>
      </c>
      <c r="C591" s="112" t="s">
        <v>449</v>
      </c>
      <c r="D591" s="113" t="s">
        <v>17</v>
      </c>
      <c r="E591" s="369" t="s">
        <v>15</v>
      </c>
      <c r="F591" s="369" t="s">
        <v>32</v>
      </c>
      <c r="G591" s="370">
        <v>8.32</v>
      </c>
      <c r="H591" s="126">
        <v>9</v>
      </c>
      <c r="I591" s="213">
        <v>36</v>
      </c>
      <c r="J591" s="117">
        <f t="shared" ref="J591" si="273">H591*G591*I591/1000</f>
        <v>2.6956799999999999</v>
      </c>
      <c r="K591" s="118"/>
      <c r="L591" s="111">
        <v>36</v>
      </c>
      <c r="M591" s="117">
        <f t="shared" ref="M591" si="274">H591*L591*G591/1000</f>
        <v>2.6956800000000003</v>
      </c>
      <c r="N591" s="119">
        <f t="shared" ref="N591" si="275">I591-L591</f>
        <v>0</v>
      </c>
      <c r="O591" s="120">
        <f t="shared" ref="O591" si="276">H591*N591*G591/1000</f>
        <v>0</v>
      </c>
      <c r="P591" s="111"/>
      <c r="Q591" s="32"/>
      <c r="R591" s="32"/>
    </row>
    <row r="592" spans="1:18">
      <c r="A592" s="110" t="s">
        <v>696</v>
      </c>
      <c r="B592" s="111" t="s">
        <v>227</v>
      </c>
      <c r="C592" s="112" t="s">
        <v>449</v>
      </c>
      <c r="D592" s="113" t="s">
        <v>17</v>
      </c>
      <c r="E592" s="369" t="s">
        <v>15</v>
      </c>
      <c r="F592" s="369" t="s">
        <v>32</v>
      </c>
      <c r="G592" s="370">
        <v>8.32</v>
      </c>
      <c r="H592" s="126">
        <v>10.5</v>
      </c>
      <c r="I592" s="213">
        <v>33</v>
      </c>
      <c r="J592" s="117">
        <f t="shared" ref="J592:J655" si="277">H592*G592*I592/1000</f>
        <v>2.8828800000000001</v>
      </c>
      <c r="K592" s="118"/>
      <c r="L592" s="111">
        <v>33</v>
      </c>
      <c r="M592" s="117">
        <f t="shared" ref="M592:M655" si="278">H592*L592*G592/1000</f>
        <v>2.8828800000000001</v>
      </c>
      <c r="N592" s="119">
        <f t="shared" ref="N592:N655" si="279">I592-L592</f>
        <v>0</v>
      </c>
      <c r="O592" s="120">
        <f t="shared" ref="O592:O655" si="280">H592*N592*G592/1000</f>
        <v>0</v>
      </c>
      <c r="P592" s="111"/>
      <c r="Q592" s="32"/>
      <c r="R592" s="32"/>
    </row>
    <row r="593" spans="1:18">
      <c r="A593" s="110" t="s">
        <v>696</v>
      </c>
      <c r="B593" s="111" t="s">
        <v>227</v>
      </c>
      <c r="C593" s="112" t="s">
        <v>449</v>
      </c>
      <c r="D593" s="113" t="s">
        <v>17</v>
      </c>
      <c r="E593" s="369" t="s">
        <v>15</v>
      </c>
      <c r="F593" s="369" t="s">
        <v>32</v>
      </c>
      <c r="G593" s="370">
        <v>8.32</v>
      </c>
      <c r="H593" s="126">
        <v>9</v>
      </c>
      <c r="I593" s="213">
        <v>35</v>
      </c>
      <c r="J593" s="117">
        <f t="shared" si="277"/>
        <v>2.6207999999999996</v>
      </c>
      <c r="K593" s="118"/>
      <c r="L593" s="111">
        <v>35</v>
      </c>
      <c r="M593" s="117">
        <f t="shared" si="278"/>
        <v>2.6208</v>
      </c>
      <c r="N593" s="119">
        <f t="shared" si="279"/>
        <v>0</v>
      </c>
      <c r="O593" s="120">
        <f t="shared" si="280"/>
        <v>0</v>
      </c>
      <c r="P593" s="111"/>
      <c r="Q593" s="32"/>
      <c r="R593" s="32"/>
    </row>
    <row r="594" spans="1:18">
      <c r="A594" s="110" t="s">
        <v>696</v>
      </c>
      <c r="B594" s="111" t="s">
        <v>227</v>
      </c>
      <c r="C594" s="112" t="s">
        <v>449</v>
      </c>
      <c r="D594" s="113" t="s">
        <v>17</v>
      </c>
      <c r="E594" s="369" t="s">
        <v>15</v>
      </c>
      <c r="F594" s="369" t="s">
        <v>32</v>
      </c>
      <c r="G594" s="370">
        <v>8.32</v>
      </c>
      <c r="H594" s="126">
        <v>10.5</v>
      </c>
      <c r="I594" s="213">
        <v>4</v>
      </c>
      <c r="J594" s="117">
        <f t="shared" si="277"/>
        <v>0.34943999999999997</v>
      </c>
      <c r="K594" s="118"/>
      <c r="L594" s="111">
        <v>4</v>
      </c>
      <c r="M594" s="117">
        <f t="shared" si="278"/>
        <v>0.34943999999999997</v>
      </c>
      <c r="N594" s="119">
        <f t="shared" si="279"/>
        <v>0</v>
      </c>
      <c r="O594" s="120">
        <f t="shared" si="280"/>
        <v>0</v>
      </c>
      <c r="P594" s="111"/>
      <c r="Q594" s="32"/>
      <c r="R594" s="32"/>
    </row>
    <row r="595" spans="1:18">
      <c r="A595" s="110" t="s">
        <v>696</v>
      </c>
      <c r="B595" s="111" t="s">
        <v>227</v>
      </c>
      <c r="C595" s="112" t="s">
        <v>449</v>
      </c>
      <c r="D595" s="113" t="s">
        <v>17</v>
      </c>
      <c r="E595" s="369" t="s">
        <v>15</v>
      </c>
      <c r="F595" s="369" t="s">
        <v>32</v>
      </c>
      <c r="G595" s="370">
        <v>8.32</v>
      </c>
      <c r="H595" s="126">
        <v>11</v>
      </c>
      <c r="I595" s="213">
        <v>29</v>
      </c>
      <c r="J595" s="117">
        <f t="shared" si="277"/>
        <v>2.6540800000000004</v>
      </c>
      <c r="K595" s="118"/>
      <c r="L595" s="111">
        <v>29</v>
      </c>
      <c r="M595" s="117">
        <f t="shared" si="278"/>
        <v>2.65408</v>
      </c>
      <c r="N595" s="119">
        <f t="shared" si="279"/>
        <v>0</v>
      </c>
      <c r="O595" s="120">
        <f t="shared" si="280"/>
        <v>0</v>
      </c>
      <c r="P595" s="111"/>
      <c r="Q595" s="32"/>
      <c r="R595" s="32"/>
    </row>
    <row r="596" spans="1:18">
      <c r="A596" s="110" t="s">
        <v>696</v>
      </c>
      <c r="B596" s="111" t="s">
        <v>227</v>
      </c>
      <c r="C596" s="112" t="s">
        <v>449</v>
      </c>
      <c r="D596" s="113" t="s">
        <v>17</v>
      </c>
      <c r="E596" s="369" t="s">
        <v>15</v>
      </c>
      <c r="F596" s="369" t="s">
        <v>32</v>
      </c>
      <c r="G596" s="370">
        <v>8.32</v>
      </c>
      <c r="H596" s="126">
        <v>11.5</v>
      </c>
      <c r="I596" s="213">
        <v>16</v>
      </c>
      <c r="J596" s="117">
        <f t="shared" si="277"/>
        <v>1.53088</v>
      </c>
      <c r="K596" s="118"/>
      <c r="L596" s="111">
        <v>16</v>
      </c>
      <c r="M596" s="117">
        <f t="shared" si="278"/>
        <v>1.53088</v>
      </c>
      <c r="N596" s="119">
        <f t="shared" si="279"/>
        <v>0</v>
      </c>
      <c r="O596" s="120">
        <f t="shared" si="280"/>
        <v>0</v>
      </c>
      <c r="P596" s="111" t="s">
        <v>697</v>
      </c>
      <c r="Q596" s="32">
        <v>16</v>
      </c>
      <c r="R596" s="32"/>
    </row>
    <row r="597" spans="1:18">
      <c r="A597" s="110" t="s">
        <v>696</v>
      </c>
      <c r="B597" s="111" t="s">
        <v>227</v>
      </c>
      <c r="C597" s="112" t="s">
        <v>449</v>
      </c>
      <c r="D597" s="113" t="s">
        <v>17</v>
      </c>
      <c r="E597" s="369" t="s">
        <v>15</v>
      </c>
      <c r="F597" s="369" t="s">
        <v>32</v>
      </c>
      <c r="G597" s="370">
        <v>8.32</v>
      </c>
      <c r="H597" s="126">
        <v>10</v>
      </c>
      <c r="I597" s="213">
        <v>41</v>
      </c>
      <c r="J597" s="117">
        <f t="shared" si="277"/>
        <v>3.4112000000000005</v>
      </c>
      <c r="K597" s="118"/>
      <c r="L597" s="111">
        <v>41</v>
      </c>
      <c r="M597" s="117">
        <f t="shared" si="278"/>
        <v>3.4112000000000005</v>
      </c>
      <c r="N597" s="119">
        <f t="shared" si="279"/>
        <v>0</v>
      </c>
      <c r="O597" s="120">
        <f t="shared" si="280"/>
        <v>0</v>
      </c>
      <c r="P597" s="111"/>
      <c r="Q597" s="32"/>
      <c r="R597" s="32"/>
    </row>
    <row r="598" spans="1:18">
      <c r="A598" s="110" t="s">
        <v>696</v>
      </c>
      <c r="B598" s="111" t="s">
        <v>227</v>
      </c>
      <c r="C598" s="112" t="s">
        <v>449</v>
      </c>
      <c r="D598" s="113" t="s">
        <v>17</v>
      </c>
      <c r="E598" s="369" t="s">
        <v>15</v>
      </c>
      <c r="F598" s="369" t="s">
        <v>32</v>
      </c>
      <c r="G598" s="370">
        <v>8.32</v>
      </c>
      <c r="H598" s="126">
        <v>10.199999999999999</v>
      </c>
      <c r="I598" s="213">
        <v>25</v>
      </c>
      <c r="J598" s="117">
        <f t="shared" si="277"/>
        <v>2.1215999999999999</v>
      </c>
      <c r="K598" s="118"/>
      <c r="L598" s="111">
        <v>25</v>
      </c>
      <c r="M598" s="117">
        <f t="shared" si="278"/>
        <v>2.1215999999999999</v>
      </c>
      <c r="N598" s="119">
        <f t="shared" si="279"/>
        <v>0</v>
      </c>
      <c r="O598" s="120">
        <f t="shared" si="280"/>
        <v>0</v>
      </c>
      <c r="P598" s="111"/>
      <c r="Q598" s="32"/>
      <c r="R598" s="32"/>
    </row>
    <row r="599" spans="1:18">
      <c r="A599" s="110" t="s">
        <v>696</v>
      </c>
      <c r="B599" s="111" t="s">
        <v>227</v>
      </c>
      <c r="C599" s="112" t="s">
        <v>449</v>
      </c>
      <c r="D599" s="113" t="s">
        <v>17</v>
      </c>
      <c r="E599" s="369" t="s">
        <v>15</v>
      </c>
      <c r="F599" s="369" t="s">
        <v>32</v>
      </c>
      <c r="G599" s="370">
        <v>8.32</v>
      </c>
      <c r="H599" s="126">
        <v>9</v>
      </c>
      <c r="I599" s="213">
        <v>40</v>
      </c>
      <c r="J599" s="117">
        <f t="shared" si="277"/>
        <v>2.9951999999999996</v>
      </c>
      <c r="K599" s="118"/>
      <c r="L599" s="111">
        <f>40+12</f>
        <v>52</v>
      </c>
      <c r="M599" s="117">
        <f t="shared" si="278"/>
        <v>3.8937600000000003</v>
      </c>
      <c r="N599" s="180">
        <f t="shared" si="279"/>
        <v>-12</v>
      </c>
      <c r="O599" s="181">
        <f t="shared" si="280"/>
        <v>-0.89856000000000003</v>
      </c>
      <c r="P599" s="111" t="s">
        <v>253</v>
      </c>
      <c r="Q599" s="32"/>
      <c r="R599" s="32"/>
    </row>
    <row r="600" spans="1:18">
      <c r="A600" s="110" t="s">
        <v>696</v>
      </c>
      <c r="B600" s="111" t="s">
        <v>227</v>
      </c>
      <c r="C600" s="112" t="s">
        <v>449</v>
      </c>
      <c r="D600" s="113" t="s">
        <v>17</v>
      </c>
      <c r="E600" s="369" t="s">
        <v>15</v>
      </c>
      <c r="F600" s="369" t="s">
        <v>32</v>
      </c>
      <c r="G600" s="370">
        <v>8.32</v>
      </c>
      <c r="H600" s="126">
        <v>7.5</v>
      </c>
      <c r="I600" s="213">
        <v>27</v>
      </c>
      <c r="J600" s="117">
        <f t="shared" si="277"/>
        <v>1.6848000000000001</v>
      </c>
      <c r="K600" s="118"/>
      <c r="L600" s="111">
        <v>27</v>
      </c>
      <c r="M600" s="117">
        <f t="shared" si="278"/>
        <v>1.6847999999999999</v>
      </c>
      <c r="N600" s="119">
        <f t="shared" si="279"/>
        <v>0</v>
      </c>
      <c r="O600" s="120">
        <f t="shared" si="280"/>
        <v>0</v>
      </c>
      <c r="P600" s="111"/>
      <c r="Q600" s="32"/>
      <c r="R600" s="32"/>
    </row>
    <row r="601" spans="1:18">
      <c r="A601" s="110" t="s">
        <v>696</v>
      </c>
      <c r="B601" s="111" t="s">
        <v>227</v>
      </c>
      <c r="C601" s="112" t="s">
        <v>449</v>
      </c>
      <c r="D601" s="113" t="s">
        <v>17</v>
      </c>
      <c r="E601" s="369" t="s">
        <v>15</v>
      </c>
      <c r="F601" s="369" t="s">
        <v>32</v>
      </c>
      <c r="G601" s="370">
        <v>8.32</v>
      </c>
      <c r="H601" s="126">
        <v>8.1999999999999993</v>
      </c>
      <c r="I601" s="213">
        <v>10</v>
      </c>
      <c r="J601" s="117">
        <f t="shared" si="277"/>
        <v>0.68223999999999985</v>
      </c>
      <c r="K601" s="118"/>
      <c r="L601" s="111">
        <v>10</v>
      </c>
      <c r="M601" s="117">
        <f t="shared" si="278"/>
        <v>0.68223999999999996</v>
      </c>
      <c r="N601" s="119">
        <f t="shared" si="279"/>
        <v>0</v>
      </c>
      <c r="O601" s="120">
        <f t="shared" si="280"/>
        <v>0</v>
      </c>
      <c r="P601" s="111"/>
      <c r="Q601" s="32"/>
      <c r="R601" s="32"/>
    </row>
    <row r="602" spans="1:18">
      <c r="A602" s="110" t="s">
        <v>696</v>
      </c>
      <c r="B602" s="111" t="s">
        <v>227</v>
      </c>
      <c r="C602" s="112" t="s">
        <v>449</v>
      </c>
      <c r="D602" s="113" t="s">
        <v>17</v>
      </c>
      <c r="E602" s="369" t="s">
        <v>15</v>
      </c>
      <c r="F602" s="369" t="s">
        <v>32</v>
      </c>
      <c r="G602" s="370">
        <v>8.32</v>
      </c>
      <c r="H602" s="126">
        <v>8.8000000000000007</v>
      </c>
      <c r="I602" s="213">
        <v>12</v>
      </c>
      <c r="J602" s="117">
        <f t="shared" si="277"/>
        <v>0.87859200000000015</v>
      </c>
      <c r="K602" s="118"/>
      <c r="L602" s="111">
        <f>12+15</f>
        <v>27</v>
      </c>
      <c r="M602" s="117">
        <f t="shared" si="278"/>
        <v>1.9768320000000004</v>
      </c>
      <c r="N602" s="180">
        <f t="shared" si="279"/>
        <v>-15</v>
      </c>
      <c r="O602" s="181">
        <f t="shared" si="280"/>
        <v>-1.0982400000000001</v>
      </c>
      <c r="P602" s="111" t="s">
        <v>253</v>
      </c>
      <c r="Q602" s="32"/>
      <c r="R602" s="32"/>
    </row>
    <row r="603" spans="1:18">
      <c r="A603" s="110" t="s">
        <v>696</v>
      </c>
      <c r="B603" s="111" t="s">
        <v>227</v>
      </c>
      <c r="C603" s="112" t="s">
        <v>449</v>
      </c>
      <c r="D603" s="113" t="s">
        <v>17</v>
      </c>
      <c r="E603" s="369" t="s">
        <v>15</v>
      </c>
      <c r="F603" s="369" t="s">
        <v>32</v>
      </c>
      <c r="G603" s="370">
        <v>8.32</v>
      </c>
      <c r="H603" s="126">
        <v>6.4</v>
      </c>
      <c r="I603" s="213">
        <v>1</v>
      </c>
      <c r="J603" s="117">
        <f t="shared" si="277"/>
        <v>5.3248000000000004E-2</v>
      </c>
      <c r="K603" s="118"/>
      <c r="L603" s="111">
        <v>1</v>
      </c>
      <c r="M603" s="117">
        <f t="shared" si="278"/>
        <v>5.3248000000000004E-2</v>
      </c>
      <c r="N603" s="119">
        <f t="shared" si="279"/>
        <v>0</v>
      </c>
      <c r="O603" s="120">
        <f t="shared" si="280"/>
        <v>0</v>
      </c>
      <c r="P603" s="111">
        <v>6.3</v>
      </c>
      <c r="Q603" s="45">
        <v>1</v>
      </c>
      <c r="R603" s="32" t="s">
        <v>602</v>
      </c>
    </row>
    <row r="604" spans="1:18">
      <c r="A604" s="110" t="s">
        <v>696</v>
      </c>
      <c r="B604" s="111" t="s">
        <v>227</v>
      </c>
      <c r="C604" s="112" t="s">
        <v>449</v>
      </c>
      <c r="D604" s="113" t="s">
        <v>17</v>
      </c>
      <c r="E604" s="369" t="s">
        <v>15</v>
      </c>
      <c r="F604" s="369" t="s">
        <v>32</v>
      </c>
      <c r="G604" s="370">
        <v>8.32</v>
      </c>
      <c r="H604" s="126">
        <v>8.1999999999999993</v>
      </c>
      <c r="I604" s="213">
        <v>1</v>
      </c>
      <c r="J604" s="117">
        <f t="shared" si="277"/>
        <v>6.8223999999999993E-2</v>
      </c>
      <c r="K604" s="118"/>
      <c r="L604" s="111">
        <v>1</v>
      </c>
      <c r="M604" s="117">
        <f t="shared" si="278"/>
        <v>6.8223999999999993E-2</v>
      </c>
      <c r="N604" s="119">
        <f t="shared" si="279"/>
        <v>0</v>
      </c>
      <c r="O604" s="120">
        <f t="shared" si="280"/>
        <v>0</v>
      </c>
      <c r="P604" s="111"/>
      <c r="Q604" s="32"/>
      <c r="R604" s="32"/>
    </row>
    <row r="605" spans="1:18">
      <c r="A605" s="110" t="s">
        <v>696</v>
      </c>
      <c r="B605" s="111" t="s">
        <v>227</v>
      </c>
      <c r="C605" s="112" t="s">
        <v>449</v>
      </c>
      <c r="D605" s="113" t="s">
        <v>17</v>
      </c>
      <c r="E605" s="369" t="s">
        <v>15</v>
      </c>
      <c r="F605" s="369" t="s">
        <v>32</v>
      </c>
      <c r="G605" s="370">
        <v>8.32</v>
      </c>
      <c r="H605" s="126">
        <v>10.5</v>
      </c>
      <c r="I605" s="213">
        <v>2</v>
      </c>
      <c r="J605" s="117">
        <f t="shared" si="277"/>
        <v>0.17471999999999999</v>
      </c>
      <c r="K605" s="118"/>
      <c r="L605" s="111">
        <v>2</v>
      </c>
      <c r="M605" s="117">
        <f t="shared" si="278"/>
        <v>0.17471999999999999</v>
      </c>
      <c r="N605" s="119">
        <f t="shared" si="279"/>
        <v>0</v>
      </c>
      <c r="O605" s="120">
        <f t="shared" si="280"/>
        <v>0</v>
      </c>
      <c r="P605" s="111"/>
      <c r="Q605" s="32"/>
      <c r="R605" s="32"/>
    </row>
    <row r="606" spans="1:18">
      <c r="A606" s="110" t="s">
        <v>696</v>
      </c>
      <c r="B606" s="111" t="s">
        <v>227</v>
      </c>
      <c r="C606" s="112" t="s">
        <v>449</v>
      </c>
      <c r="D606" s="113" t="s">
        <v>17</v>
      </c>
      <c r="E606" s="369" t="s">
        <v>15</v>
      </c>
      <c r="F606" s="369" t="s">
        <v>32</v>
      </c>
      <c r="G606" s="370">
        <v>8.32</v>
      </c>
      <c r="H606" s="126">
        <v>10</v>
      </c>
      <c r="I606" s="213">
        <v>33</v>
      </c>
      <c r="J606" s="117">
        <f t="shared" si="277"/>
        <v>2.7456</v>
      </c>
      <c r="K606" s="118"/>
      <c r="L606" s="111">
        <v>33</v>
      </c>
      <c r="M606" s="117">
        <f t="shared" si="278"/>
        <v>2.7456</v>
      </c>
      <c r="N606" s="119">
        <f t="shared" si="279"/>
        <v>0</v>
      </c>
      <c r="O606" s="120">
        <f t="shared" si="280"/>
        <v>0</v>
      </c>
      <c r="P606" s="111"/>
      <c r="Q606" s="32"/>
      <c r="R606" s="32"/>
    </row>
    <row r="607" spans="1:18">
      <c r="A607" s="110" t="s">
        <v>696</v>
      </c>
      <c r="B607" s="111" t="s">
        <v>227</v>
      </c>
      <c r="C607" s="112" t="s">
        <v>449</v>
      </c>
      <c r="D607" s="113" t="s">
        <v>17</v>
      </c>
      <c r="E607" s="369" t="s">
        <v>15</v>
      </c>
      <c r="F607" s="369" t="s">
        <v>32</v>
      </c>
      <c r="G607" s="370">
        <v>8.32</v>
      </c>
      <c r="H607" s="126">
        <v>11</v>
      </c>
      <c r="I607" s="213">
        <v>20</v>
      </c>
      <c r="J607" s="117">
        <f t="shared" si="277"/>
        <v>1.8304</v>
      </c>
      <c r="K607" s="118"/>
      <c r="L607" s="111">
        <v>20</v>
      </c>
      <c r="M607" s="117">
        <f t="shared" si="278"/>
        <v>1.8304</v>
      </c>
      <c r="N607" s="119">
        <f t="shared" si="279"/>
        <v>0</v>
      </c>
      <c r="O607" s="120">
        <f t="shared" si="280"/>
        <v>0</v>
      </c>
      <c r="P607" s="111"/>
      <c r="Q607" s="32"/>
      <c r="R607" s="32"/>
    </row>
    <row r="608" spans="1:18">
      <c r="A608" s="110" t="s">
        <v>696</v>
      </c>
      <c r="B608" s="111" t="s">
        <v>227</v>
      </c>
      <c r="C608" s="112" t="s">
        <v>449</v>
      </c>
      <c r="D608" s="113" t="s">
        <v>17</v>
      </c>
      <c r="E608" s="369" t="s">
        <v>15</v>
      </c>
      <c r="F608" s="369" t="s">
        <v>32</v>
      </c>
      <c r="G608" s="370">
        <v>8.32</v>
      </c>
      <c r="H608" s="126">
        <v>10.5</v>
      </c>
      <c r="I608" s="213">
        <v>21</v>
      </c>
      <c r="J608" s="117">
        <f t="shared" si="277"/>
        <v>1.83456</v>
      </c>
      <c r="K608" s="118"/>
      <c r="L608" s="111">
        <v>21</v>
      </c>
      <c r="M608" s="117">
        <f t="shared" si="278"/>
        <v>1.8345600000000002</v>
      </c>
      <c r="N608" s="119">
        <f t="shared" si="279"/>
        <v>0</v>
      </c>
      <c r="O608" s="120">
        <f t="shared" si="280"/>
        <v>0</v>
      </c>
      <c r="P608" s="111"/>
      <c r="Q608" s="32"/>
      <c r="R608" s="32"/>
    </row>
    <row r="609" spans="1:18">
      <c r="A609" s="110" t="s">
        <v>696</v>
      </c>
      <c r="B609" s="111" t="s">
        <v>227</v>
      </c>
      <c r="C609" s="112" t="s">
        <v>449</v>
      </c>
      <c r="D609" s="113" t="s">
        <v>17</v>
      </c>
      <c r="E609" s="369" t="s">
        <v>15</v>
      </c>
      <c r="F609" s="369" t="s">
        <v>32</v>
      </c>
      <c r="G609" s="370">
        <v>8.32</v>
      </c>
      <c r="H609" s="126">
        <v>10.199999999999999</v>
      </c>
      <c r="I609" s="213">
        <v>26</v>
      </c>
      <c r="J609" s="117">
        <f t="shared" si="277"/>
        <v>2.206464</v>
      </c>
      <c r="K609" s="118"/>
      <c r="L609" s="111">
        <v>26</v>
      </c>
      <c r="M609" s="117">
        <f t="shared" si="278"/>
        <v>2.206464</v>
      </c>
      <c r="N609" s="119">
        <f t="shared" si="279"/>
        <v>0</v>
      </c>
      <c r="O609" s="120">
        <f t="shared" si="280"/>
        <v>0</v>
      </c>
      <c r="P609" s="111"/>
      <c r="Q609" s="32"/>
      <c r="R609" s="32"/>
    </row>
    <row r="610" spans="1:18">
      <c r="A610" s="110" t="s">
        <v>696</v>
      </c>
      <c r="B610" s="111" t="s">
        <v>227</v>
      </c>
      <c r="C610" s="112" t="s">
        <v>449</v>
      </c>
      <c r="D610" s="113" t="s">
        <v>17</v>
      </c>
      <c r="E610" s="369" t="s">
        <v>15</v>
      </c>
      <c r="F610" s="369" t="s">
        <v>32</v>
      </c>
      <c r="G610" s="370">
        <v>8.32</v>
      </c>
      <c r="H610" s="126">
        <v>10</v>
      </c>
      <c r="I610" s="213">
        <v>31</v>
      </c>
      <c r="J610" s="117">
        <f t="shared" si="277"/>
        <v>2.5792000000000002</v>
      </c>
      <c r="K610" s="118"/>
      <c r="L610" s="111">
        <v>31</v>
      </c>
      <c r="M610" s="117">
        <f t="shared" si="278"/>
        <v>2.5792000000000002</v>
      </c>
      <c r="N610" s="119">
        <f t="shared" si="279"/>
        <v>0</v>
      </c>
      <c r="O610" s="120">
        <f t="shared" si="280"/>
        <v>0</v>
      </c>
      <c r="P610" s="111"/>
      <c r="Q610" s="32"/>
      <c r="R610" s="32"/>
    </row>
    <row r="611" spans="1:18">
      <c r="A611" s="110" t="s">
        <v>696</v>
      </c>
      <c r="B611" s="111" t="s">
        <v>227</v>
      </c>
      <c r="C611" s="112" t="s">
        <v>449</v>
      </c>
      <c r="D611" s="113" t="s">
        <v>17</v>
      </c>
      <c r="E611" s="369" t="s">
        <v>15</v>
      </c>
      <c r="F611" s="369" t="s">
        <v>32</v>
      </c>
      <c r="G611" s="370">
        <v>8.32</v>
      </c>
      <c r="H611" s="126">
        <v>10</v>
      </c>
      <c r="I611" s="213">
        <v>17</v>
      </c>
      <c r="J611" s="117">
        <f t="shared" si="277"/>
        <v>1.4144000000000001</v>
      </c>
      <c r="K611" s="118"/>
      <c r="L611" s="111">
        <v>17</v>
      </c>
      <c r="M611" s="117">
        <f t="shared" si="278"/>
        <v>1.4144000000000001</v>
      </c>
      <c r="N611" s="119">
        <f t="shared" si="279"/>
        <v>0</v>
      </c>
      <c r="O611" s="120">
        <f t="shared" si="280"/>
        <v>0</v>
      </c>
      <c r="P611" s="111"/>
      <c r="Q611" s="32"/>
      <c r="R611" s="32"/>
    </row>
    <row r="612" spans="1:18">
      <c r="A612" s="110" t="s">
        <v>696</v>
      </c>
      <c r="B612" s="111" t="s">
        <v>227</v>
      </c>
      <c r="C612" s="112" t="s">
        <v>449</v>
      </c>
      <c r="D612" s="113" t="s">
        <v>17</v>
      </c>
      <c r="E612" s="369" t="s">
        <v>15</v>
      </c>
      <c r="F612" s="369" t="s">
        <v>32</v>
      </c>
      <c r="G612" s="370">
        <v>8.32</v>
      </c>
      <c r="H612" s="126">
        <v>9</v>
      </c>
      <c r="I612" s="213">
        <v>18</v>
      </c>
      <c r="J612" s="117">
        <f t="shared" si="277"/>
        <v>1.3478399999999999</v>
      </c>
      <c r="K612" s="118"/>
      <c r="L612" s="111">
        <v>18</v>
      </c>
      <c r="M612" s="117">
        <f t="shared" si="278"/>
        <v>1.3478400000000001</v>
      </c>
      <c r="N612" s="119">
        <f t="shared" si="279"/>
        <v>0</v>
      </c>
      <c r="O612" s="120">
        <f t="shared" si="280"/>
        <v>0</v>
      </c>
      <c r="P612" s="111"/>
      <c r="Q612" s="32"/>
      <c r="R612" s="32"/>
    </row>
    <row r="613" spans="1:18">
      <c r="A613" s="110" t="s">
        <v>696</v>
      </c>
      <c r="B613" s="111" t="s">
        <v>227</v>
      </c>
      <c r="C613" s="112" t="s">
        <v>449</v>
      </c>
      <c r="D613" s="113" t="s">
        <v>17</v>
      </c>
      <c r="E613" s="369" t="s">
        <v>15</v>
      </c>
      <c r="F613" s="369" t="s">
        <v>32</v>
      </c>
      <c r="G613" s="370">
        <v>8.32</v>
      </c>
      <c r="H613" s="126">
        <v>7.5</v>
      </c>
      <c r="I613" s="213">
        <v>30</v>
      </c>
      <c r="J613" s="117">
        <f t="shared" si="277"/>
        <v>1.8720000000000003</v>
      </c>
      <c r="K613" s="118"/>
      <c r="L613" s="111">
        <v>30</v>
      </c>
      <c r="M613" s="117">
        <f t="shared" si="278"/>
        <v>1.8720000000000001</v>
      </c>
      <c r="N613" s="119">
        <f t="shared" si="279"/>
        <v>0</v>
      </c>
      <c r="O613" s="120">
        <f t="shared" si="280"/>
        <v>0</v>
      </c>
      <c r="P613" s="111"/>
      <c r="Q613" s="32"/>
      <c r="R613" s="32"/>
    </row>
    <row r="614" spans="1:18">
      <c r="A614" s="110" t="s">
        <v>696</v>
      </c>
      <c r="B614" s="111" t="s">
        <v>227</v>
      </c>
      <c r="C614" s="112" t="s">
        <v>449</v>
      </c>
      <c r="D614" s="113" t="s">
        <v>17</v>
      </c>
      <c r="E614" s="369" t="s">
        <v>15</v>
      </c>
      <c r="F614" s="369" t="s">
        <v>32</v>
      </c>
      <c r="G614" s="370">
        <v>8.32</v>
      </c>
      <c r="H614" s="126">
        <v>7.5</v>
      </c>
      <c r="I614" s="213">
        <v>12</v>
      </c>
      <c r="J614" s="117">
        <f t="shared" si="277"/>
        <v>0.74880000000000002</v>
      </c>
      <c r="K614" s="118"/>
      <c r="L614" s="111">
        <v>12</v>
      </c>
      <c r="M614" s="117">
        <f t="shared" si="278"/>
        <v>0.74880000000000002</v>
      </c>
      <c r="N614" s="119">
        <f t="shared" si="279"/>
        <v>0</v>
      </c>
      <c r="O614" s="120">
        <f t="shared" si="280"/>
        <v>0</v>
      </c>
      <c r="P614" s="111"/>
      <c r="Q614" s="32"/>
      <c r="R614" s="32"/>
    </row>
    <row r="615" spans="1:18">
      <c r="A615" s="110" t="s">
        <v>696</v>
      </c>
      <c r="B615" s="111" t="s">
        <v>227</v>
      </c>
      <c r="C615" s="112" t="s">
        <v>449</v>
      </c>
      <c r="D615" s="113" t="s">
        <v>17</v>
      </c>
      <c r="E615" s="369" t="s">
        <v>15</v>
      </c>
      <c r="F615" s="369" t="s">
        <v>32</v>
      </c>
      <c r="G615" s="370">
        <v>8.32</v>
      </c>
      <c r="H615" s="126">
        <v>12</v>
      </c>
      <c r="I615" s="213">
        <v>4</v>
      </c>
      <c r="J615" s="117">
        <f t="shared" si="277"/>
        <v>0.39935999999999999</v>
      </c>
      <c r="K615" s="118"/>
      <c r="L615" s="111">
        <v>4</v>
      </c>
      <c r="M615" s="117">
        <f t="shared" si="278"/>
        <v>0.39935999999999999</v>
      </c>
      <c r="N615" s="119">
        <f t="shared" si="279"/>
        <v>0</v>
      </c>
      <c r="O615" s="120">
        <f t="shared" si="280"/>
        <v>0</v>
      </c>
      <c r="P615" s="111">
        <v>11.7</v>
      </c>
      <c r="Q615" s="32">
        <v>4</v>
      </c>
      <c r="R615" s="32"/>
    </row>
    <row r="616" spans="1:18">
      <c r="A616" s="110" t="s">
        <v>696</v>
      </c>
      <c r="B616" s="111" t="s">
        <v>227</v>
      </c>
      <c r="C616" s="112" t="s">
        <v>449</v>
      </c>
      <c r="D616" s="113" t="s">
        <v>17</v>
      </c>
      <c r="E616" s="369" t="s">
        <v>15</v>
      </c>
      <c r="F616" s="369" t="s">
        <v>32</v>
      </c>
      <c r="G616" s="370">
        <v>8.32</v>
      </c>
      <c r="H616" s="126">
        <v>11.5</v>
      </c>
      <c r="I616" s="213">
        <v>11</v>
      </c>
      <c r="J616" s="117">
        <f t="shared" si="277"/>
        <v>1.0524800000000001</v>
      </c>
      <c r="K616" s="118"/>
      <c r="L616" s="111">
        <v>11</v>
      </c>
      <c r="M616" s="117">
        <f t="shared" si="278"/>
        <v>1.0524800000000001</v>
      </c>
      <c r="N616" s="119">
        <f t="shared" si="279"/>
        <v>0</v>
      </c>
      <c r="O616" s="120">
        <f t="shared" si="280"/>
        <v>0</v>
      </c>
      <c r="P616" s="111"/>
      <c r="Q616" s="32"/>
      <c r="R616" s="32"/>
    </row>
    <row r="617" spans="1:18">
      <c r="A617" s="110" t="s">
        <v>696</v>
      </c>
      <c r="B617" s="111" t="s">
        <v>227</v>
      </c>
      <c r="C617" s="112" t="s">
        <v>449</v>
      </c>
      <c r="D617" s="113" t="s">
        <v>17</v>
      </c>
      <c r="E617" s="369" t="s">
        <v>15</v>
      </c>
      <c r="F617" s="369" t="s">
        <v>32</v>
      </c>
      <c r="G617" s="370">
        <v>8.32</v>
      </c>
      <c r="H617" s="126">
        <v>8.8000000000000007</v>
      </c>
      <c r="I617" s="213">
        <v>7</v>
      </c>
      <c r="J617" s="117">
        <f t="shared" si="277"/>
        <v>0.51251200000000008</v>
      </c>
      <c r="K617" s="118"/>
      <c r="L617" s="111">
        <v>7</v>
      </c>
      <c r="M617" s="117">
        <f t="shared" si="278"/>
        <v>0.51251200000000008</v>
      </c>
      <c r="N617" s="119">
        <f t="shared" si="279"/>
        <v>0</v>
      </c>
      <c r="O617" s="120">
        <f t="shared" si="280"/>
        <v>0</v>
      </c>
      <c r="P617" s="111"/>
      <c r="Q617" s="32"/>
      <c r="R617" s="32"/>
    </row>
    <row r="618" spans="1:18">
      <c r="A618" s="110" t="s">
        <v>696</v>
      </c>
      <c r="B618" s="111" t="s">
        <v>227</v>
      </c>
      <c r="C618" s="112" t="s">
        <v>449</v>
      </c>
      <c r="D618" s="113" t="s">
        <v>17</v>
      </c>
      <c r="E618" s="369" t="s">
        <v>15</v>
      </c>
      <c r="F618" s="369" t="s">
        <v>32</v>
      </c>
      <c r="G618" s="370">
        <v>8.32</v>
      </c>
      <c r="H618" s="126">
        <v>7</v>
      </c>
      <c r="I618" s="213">
        <v>2</v>
      </c>
      <c r="J618" s="117">
        <f t="shared" si="277"/>
        <v>0.11648</v>
      </c>
      <c r="K618" s="118"/>
      <c r="L618" s="111">
        <v>2</v>
      </c>
      <c r="M618" s="117">
        <f t="shared" si="278"/>
        <v>0.11648</v>
      </c>
      <c r="N618" s="119">
        <f t="shared" si="279"/>
        <v>0</v>
      </c>
      <c r="O618" s="120">
        <f t="shared" si="280"/>
        <v>0</v>
      </c>
      <c r="P618" s="111">
        <v>6.3</v>
      </c>
      <c r="Q618" s="45">
        <v>2</v>
      </c>
      <c r="R618" s="32" t="s">
        <v>602</v>
      </c>
    </row>
    <row r="619" spans="1:18">
      <c r="A619" s="110" t="s">
        <v>696</v>
      </c>
      <c r="B619" s="111" t="s">
        <v>227</v>
      </c>
      <c r="C619" s="112" t="s">
        <v>449</v>
      </c>
      <c r="D619" s="113" t="s">
        <v>17</v>
      </c>
      <c r="E619" s="369" t="s">
        <v>15</v>
      </c>
      <c r="F619" s="369" t="s">
        <v>32</v>
      </c>
      <c r="G619" s="370">
        <v>8.32</v>
      </c>
      <c r="H619" s="126">
        <v>7.25</v>
      </c>
      <c r="I619" s="213">
        <v>1</v>
      </c>
      <c r="J619" s="117">
        <f t="shared" si="277"/>
        <v>6.0319999999999999E-2</v>
      </c>
      <c r="K619" s="118"/>
      <c r="L619" s="111">
        <v>1</v>
      </c>
      <c r="M619" s="117">
        <f t="shared" si="278"/>
        <v>6.0319999999999999E-2</v>
      </c>
      <c r="N619" s="119">
        <f t="shared" si="279"/>
        <v>0</v>
      </c>
      <c r="O619" s="120">
        <f t="shared" si="280"/>
        <v>0</v>
      </c>
      <c r="P619" s="111">
        <v>6.3</v>
      </c>
      <c r="Q619" s="45">
        <v>1</v>
      </c>
      <c r="R619" s="32" t="s">
        <v>602</v>
      </c>
    </row>
    <row r="620" spans="1:18">
      <c r="A620" s="110" t="s">
        <v>696</v>
      </c>
      <c r="B620" s="111" t="s">
        <v>227</v>
      </c>
      <c r="C620" s="112" t="s">
        <v>449</v>
      </c>
      <c r="D620" s="113" t="s">
        <v>17</v>
      </c>
      <c r="E620" s="369" t="s">
        <v>15</v>
      </c>
      <c r="F620" s="369" t="s">
        <v>32</v>
      </c>
      <c r="G620" s="370">
        <v>8.32</v>
      </c>
      <c r="H620" s="126">
        <v>8.1999999999999993</v>
      </c>
      <c r="I620" s="213">
        <v>1</v>
      </c>
      <c r="J620" s="117">
        <f t="shared" si="277"/>
        <v>6.8223999999999993E-2</v>
      </c>
      <c r="K620" s="118"/>
      <c r="L620" s="111">
        <v>1</v>
      </c>
      <c r="M620" s="117">
        <f t="shared" si="278"/>
        <v>6.8223999999999993E-2</v>
      </c>
      <c r="N620" s="119">
        <f t="shared" si="279"/>
        <v>0</v>
      </c>
      <c r="O620" s="120">
        <f t="shared" si="280"/>
        <v>0</v>
      </c>
      <c r="P620" s="111"/>
      <c r="Q620" s="32"/>
      <c r="R620" s="32"/>
    </row>
    <row r="621" spans="1:18">
      <c r="A621" s="110" t="s">
        <v>696</v>
      </c>
      <c r="B621" s="111" t="s">
        <v>227</v>
      </c>
      <c r="C621" s="112" t="s">
        <v>449</v>
      </c>
      <c r="D621" s="113" t="s">
        <v>17</v>
      </c>
      <c r="E621" s="369" t="s">
        <v>15</v>
      </c>
      <c r="F621" s="369" t="s">
        <v>32</v>
      </c>
      <c r="G621" s="370">
        <v>8.32</v>
      </c>
      <c r="H621" s="126">
        <v>8.5</v>
      </c>
      <c r="I621" s="213">
        <v>1</v>
      </c>
      <c r="J621" s="117">
        <f t="shared" si="277"/>
        <v>7.0720000000000005E-2</v>
      </c>
      <c r="K621" s="118"/>
      <c r="L621" s="111">
        <v>1</v>
      </c>
      <c r="M621" s="117">
        <f t="shared" si="278"/>
        <v>7.0720000000000005E-2</v>
      </c>
      <c r="N621" s="119">
        <f t="shared" si="279"/>
        <v>0</v>
      </c>
      <c r="O621" s="120">
        <f t="shared" si="280"/>
        <v>0</v>
      </c>
      <c r="P621" s="159">
        <v>8.1999999999999993</v>
      </c>
      <c r="Q621" s="32">
        <v>1</v>
      </c>
      <c r="R621" s="32"/>
    </row>
    <row r="622" spans="1:18">
      <c r="A622" s="110" t="s">
        <v>696</v>
      </c>
      <c r="B622" s="111" t="s">
        <v>227</v>
      </c>
      <c r="C622" s="112" t="s">
        <v>449</v>
      </c>
      <c r="D622" s="113" t="s">
        <v>17</v>
      </c>
      <c r="E622" s="369" t="s">
        <v>15</v>
      </c>
      <c r="F622" s="369" t="s">
        <v>32</v>
      </c>
      <c r="G622" s="370">
        <v>8.32</v>
      </c>
      <c r="H622" s="126">
        <v>9.5</v>
      </c>
      <c r="I622" s="213">
        <v>2</v>
      </c>
      <c r="J622" s="117">
        <f t="shared" si="277"/>
        <v>0.15808000000000003</v>
      </c>
      <c r="K622" s="118"/>
      <c r="L622" s="111">
        <v>2</v>
      </c>
      <c r="M622" s="117">
        <f t="shared" si="278"/>
        <v>0.15808000000000003</v>
      </c>
      <c r="N622" s="119">
        <f t="shared" si="279"/>
        <v>0</v>
      </c>
      <c r="O622" s="120">
        <f t="shared" si="280"/>
        <v>0</v>
      </c>
      <c r="P622" s="159">
        <v>8.1999999999999993</v>
      </c>
      <c r="Q622" s="32">
        <v>2</v>
      </c>
      <c r="R622" s="32"/>
    </row>
    <row r="623" spans="1:18">
      <c r="A623" s="110" t="s">
        <v>696</v>
      </c>
      <c r="B623" s="111" t="s">
        <v>227</v>
      </c>
      <c r="C623" s="112" t="s">
        <v>449</v>
      </c>
      <c r="D623" s="113" t="s">
        <v>17</v>
      </c>
      <c r="E623" s="369" t="s">
        <v>15</v>
      </c>
      <c r="F623" s="369" t="s">
        <v>32</v>
      </c>
      <c r="G623" s="370">
        <v>8.32</v>
      </c>
      <c r="H623" s="126">
        <v>10.3</v>
      </c>
      <c r="I623" s="213">
        <v>1</v>
      </c>
      <c r="J623" s="117">
        <f t="shared" si="277"/>
        <v>8.5696000000000008E-2</v>
      </c>
      <c r="K623" s="118"/>
      <c r="L623" s="111">
        <v>1</v>
      </c>
      <c r="M623" s="117">
        <f t="shared" si="278"/>
        <v>8.5696000000000008E-2</v>
      </c>
      <c r="N623" s="119">
        <f t="shared" si="279"/>
        <v>0</v>
      </c>
      <c r="O623" s="120">
        <f t="shared" si="280"/>
        <v>0</v>
      </c>
      <c r="P623" s="159">
        <v>8.1999999999999993</v>
      </c>
      <c r="Q623" s="32">
        <v>1</v>
      </c>
      <c r="R623" s="32"/>
    </row>
    <row r="624" spans="1:18">
      <c r="A624" s="110" t="s">
        <v>696</v>
      </c>
      <c r="B624" s="111" t="s">
        <v>227</v>
      </c>
      <c r="C624" s="112" t="s">
        <v>449</v>
      </c>
      <c r="D624" s="113" t="s">
        <v>17</v>
      </c>
      <c r="E624" s="369" t="s">
        <v>15</v>
      </c>
      <c r="F624" s="369" t="s">
        <v>32</v>
      </c>
      <c r="G624" s="370">
        <v>8.32</v>
      </c>
      <c r="H624" s="126">
        <v>11</v>
      </c>
      <c r="I624" s="213">
        <v>35</v>
      </c>
      <c r="J624" s="117">
        <f t="shared" si="277"/>
        <v>3.2032000000000003</v>
      </c>
      <c r="K624" s="118"/>
      <c r="L624" s="111">
        <v>35</v>
      </c>
      <c r="M624" s="117">
        <f t="shared" si="278"/>
        <v>3.2032000000000003</v>
      </c>
      <c r="N624" s="119">
        <f t="shared" si="279"/>
        <v>0</v>
      </c>
      <c r="O624" s="120">
        <f t="shared" si="280"/>
        <v>0</v>
      </c>
      <c r="P624" s="111"/>
      <c r="Q624" s="32"/>
      <c r="R624" s="32"/>
    </row>
    <row r="625" spans="1:18">
      <c r="A625" s="110" t="s">
        <v>696</v>
      </c>
      <c r="B625" s="111" t="s">
        <v>227</v>
      </c>
      <c r="C625" s="112" t="s">
        <v>449</v>
      </c>
      <c r="D625" s="113" t="s">
        <v>17</v>
      </c>
      <c r="E625" s="369" t="s">
        <v>15</v>
      </c>
      <c r="F625" s="369" t="s">
        <v>32</v>
      </c>
      <c r="G625" s="370">
        <v>8.32</v>
      </c>
      <c r="H625" s="126">
        <v>11</v>
      </c>
      <c r="I625" s="213">
        <v>35</v>
      </c>
      <c r="J625" s="117">
        <f t="shared" si="277"/>
        <v>3.2032000000000003</v>
      </c>
      <c r="K625" s="118"/>
      <c r="L625" s="111">
        <v>35</v>
      </c>
      <c r="M625" s="117">
        <f t="shared" si="278"/>
        <v>3.2032000000000003</v>
      </c>
      <c r="N625" s="119">
        <f t="shared" si="279"/>
        <v>0</v>
      </c>
      <c r="O625" s="120">
        <f t="shared" si="280"/>
        <v>0</v>
      </c>
      <c r="P625" s="111"/>
      <c r="Q625" s="32"/>
      <c r="R625" s="32"/>
    </row>
    <row r="626" spans="1:18">
      <c r="A626" s="110" t="s">
        <v>696</v>
      </c>
      <c r="B626" s="111" t="s">
        <v>227</v>
      </c>
      <c r="C626" s="112" t="s">
        <v>449</v>
      </c>
      <c r="D626" s="113" t="s">
        <v>17</v>
      </c>
      <c r="E626" s="369" t="s">
        <v>15</v>
      </c>
      <c r="F626" s="369" t="s">
        <v>32</v>
      </c>
      <c r="G626" s="370">
        <v>8.32</v>
      </c>
      <c r="H626" s="126">
        <v>10.5</v>
      </c>
      <c r="I626" s="213">
        <v>35</v>
      </c>
      <c r="J626" s="117">
        <f t="shared" si="277"/>
        <v>3.0575999999999999</v>
      </c>
      <c r="K626" s="118"/>
      <c r="L626" s="111">
        <v>35</v>
      </c>
      <c r="M626" s="117">
        <f t="shared" si="278"/>
        <v>3.0575999999999999</v>
      </c>
      <c r="N626" s="119">
        <f t="shared" si="279"/>
        <v>0</v>
      </c>
      <c r="O626" s="120">
        <f t="shared" si="280"/>
        <v>0</v>
      </c>
      <c r="P626" s="111"/>
      <c r="Q626" s="32"/>
      <c r="R626" s="32"/>
    </row>
    <row r="627" spans="1:18">
      <c r="A627" s="110" t="s">
        <v>696</v>
      </c>
      <c r="B627" s="111" t="s">
        <v>227</v>
      </c>
      <c r="C627" s="112" t="s">
        <v>449</v>
      </c>
      <c r="D627" s="113" t="s">
        <v>17</v>
      </c>
      <c r="E627" s="369" t="s">
        <v>15</v>
      </c>
      <c r="F627" s="369" t="s">
        <v>32</v>
      </c>
      <c r="G627" s="370">
        <v>8.32</v>
      </c>
      <c r="H627" s="126">
        <v>10.5</v>
      </c>
      <c r="I627" s="213">
        <v>35</v>
      </c>
      <c r="J627" s="117">
        <f t="shared" si="277"/>
        <v>3.0575999999999999</v>
      </c>
      <c r="K627" s="118"/>
      <c r="L627" s="111">
        <v>35</v>
      </c>
      <c r="M627" s="117">
        <f t="shared" si="278"/>
        <v>3.0575999999999999</v>
      </c>
      <c r="N627" s="119">
        <f t="shared" si="279"/>
        <v>0</v>
      </c>
      <c r="O627" s="120">
        <f t="shared" si="280"/>
        <v>0</v>
      </c>
      <c r="P627" s="111"/>
      <c r="Q627" s="32"/>
      <c r="R627" s="32"/>
    </row>
    <row r="628" spans="1:18">
      <c r="A628" s="110" t="s">
        <v>696</v>
      </c>
      <c r="B628" s="111" t="s">
        <v>227</v>
      </c>
      <c r="C628" s="112" t="s">
        <v>449</v>
      </c>
      <c r="D628" s="113" t="s">
        <v>17</v>
      </c>
      <c r="E628" s="369" t="s">
        <v>15</v>
      </c>
      <c r="F628" s="369" t="s">
        <v>32</v>
      </c>
      <c r="G628" s="370">
        <v>8.32</v>
      </c>
      <c r="H628" s="126">
        <v>10.5</v>
      </c>
      <c r="I628" s="213">
        <v>35</v>
      </c>
      <c r="J628" s="117">
        <f t="shared" si="277"/>
        <v>3.0575999999999999</v>
      </c>
      <c r="K628" s="118"/>
      <c r="L628" s="111">
        <v>35</v>
      </c>
      <c r="M628" s="117">
        <f t="shared" si="278"/>
        <v>3.0575999999999999</v>
      </c>
      <c r="N628" s="119">
        <f t="shared" si="279"/>
        <v>0</v>
      </c>
      <c r="O628" s="120">
        <f t="shared" si="280"/>
        <v>0</v>
      </c>
      <c r="P628" s="111"/>
      <c r="Q628" s="32"/>
      <c r="R628" s="32"/>
    </row>
    <row r="629" spans="1:18">
      <c r="A629" s="110" t="s">
        <v>696</v>
      </c>
      <c r="B629" s="111" t="s">
        <v>227</v>
      </c>
      <c r="C629" s="112" t="s">
        <v>449</v>
      </c>
      <c r="D629" s="113" t="s">
        <v>17</v>
      </c>
      <c r="E629" s="369" t="s">
        <v>15</v>
      </c>
      <c r="F629" s="369" t="s">
        <v>32</v>
      </c>
      <c r="G629" s="370">
        <v>8.32</v>
      </c>
      <c r="H629" s="126">
        <v>10.5</v>
      </c>
      <c r="I629" s="213">
        <v>35</v>
      </c>
      <c r="J629" s="117">
        <f t="shared" si="277"/>
        <v>3.0575999999999999</v>
      </c>
      <c r="K629" s="118"/>
      <c r="L629" s="111">
        <v>35</v>
      </c>
      <c r="M629" s="117">
        <f t="shared" si="278"/>
        <v>3.0575999999999999</v>
      </c>
      <c r="N629" s="119">
        <f t="shared" si="279"/>
        <v>0</v>
      </c>
      <c r="O629" s="120">
        <f t="shared" si="280"/>
        <v>0</v>
      </c>
      <c r="P629" s="111"/>
      <c r="Q629" s="32"/>
      <c r="R629" s="32"/>
    </row>
    <row r="630" spans="1:18">
      <c r="A630" s="110" t="s">
        <v>696</v>
      </c>
      <c r="B630" s="111" t="s">
        <v>227</v>
      </c>
      <c r="C630" s="112" t="s">
        <v>449</v>
      </c>
      <c r="D630" s="113" t="s">
        <v>17</v>
      </c>
      <c r="E630" s="369" t="s">
        <v>15</v>
      </c>
      <c r="F630" s="369" t="s">
        <v>32</v>
      </c>
      <c r="G630" s="370">
        <v>8.32</v>
      </c>
      <c r="H630" s="126">
        <v>11</v>
      </c>
      <c r="I630" s="213">
        <v>30</v>
      </c>
      <c r="J630" s="117">
        <f t="shared" si="277"/>
        <v>2.7456000000000005</v>
      </c>
      <c r="K630" s="118"/>
      <c r="L630" s="111">
        <v>30</v>
      </c>
      <c r="M630" s="117">
        <f t="shared" si="278"/>
        <v>2.7456</v>
      </c>
      <c r="N630" s="119">
        <f t="shared" si="279"/>
        <v>0</v>
      </c>
      <c r="O630" s="120">
        <f t="shared" si="280"/>
        <v>0</v>
      </c>
      <c r="P630" s="111"/>
      <c r="Q630" s="32"/>
      <c r="R630" s="32"/>
    </row>
    <row r="631" spans="1:18">
      <c r="A631" s="110" t="s">
        <v>696</v>
      </c>
      <c r="B631" s="111" t="s">
        <v>227</v>
      </c>
      <c r="C631" s="112" t="s">
        <v>449</v>
      </c>
      <c r="D631" s="113" t="s">
        <v>17</v>
      </c>
      <c r="E631" s="369" t="s">
        <v>15</v>
      </c>
      <c r="F631" s="369" t="s">
        <v>32</v>
      </c>
      <c r="G631" s="370">
        <v>8.32</v>
      </c>
      <c r="H631" s="126">
        <v>10.5</v>
      </c>
      <c r="I631" s="213">
        <v>35</v>
      </c>
      <c r="J631" s="117">
        <f t="shared" si="277"/>
        <v>3.0575999999999999</v>
      </c>
      <c r="K631" s="118"/>
      <c r="L631" s="111">
        <v>35</v>
      </c>
      <c r="M631" s="117">
        <f t="shared" si="278"/>
        <v>3.0575999999999999</v>
      </c>
      <c r="N631" s="119">
        <f t="shared" si="279"/>
        <v>0</v>
      </c>
      <c r="O631" s="120">
        <f t="shared" si="280"/>
        <v>0</v>
      </c>
      <c r="P631" s="111"/>
      <c r="Q631" s="32"/>
      <c r="R631" s="32"/>
    </row>
    <row r="632" spans="1:18">
      <c r="A632" s="110" t="s">
        <v>696</v>
      </c>
      <c r="B632" s="111" t="s">
        <v>227</v>
      </c>
      <c r="C632" s="112" t="s">
        <v>449</v>
      </c>
      <c r="D632" s="113" t="s">
        <v>17</v>
      </c>
      <c r="E632" s="369" t="s">
        <v>15</v>
      </c>
      <c r="F632" s="369" t="s">
        <v>32</v>
      </c>
      <c r="G632" s="370">
        <v>8.32</v>
      </c>
      <c r="H632" s="126">
        <v>10.5</v>
      </c>
      <c r="I632" s="213">
        <v>35</v>
      </c>
      <c r="J632" s="117">
        <f t="shared" si="277"/>
        <v>3.0575999999999999</v>
      </c>
      <c r="K632" s="118"/>
      <c r="L632" s="111">
        <v>35</v>
      </c>
      <c r="M632" s="117">
        <f t="shared" si="278"/>
        <v>3.0575999999999999</v>
      </c>
      <c r="N632" s="119">
        <f t="shared" si="279"/>
        <v>0</v>
      </c>
      <c r="O632" s="120">
        <f t="shared" si="280"/>
        <v>0</v>
      </c>
      <c r="P632" s="111"/>
      <c r="Q632" s="32"/>
      <c r="R632" s="32"/>
    </row>
    <row r="633" spans="1:18">
      <c r="A633" s="110" t="s">
        <v>696</v>
      </c>
      <c r="B633" s="111" t="s">
        <v>227</v>
      </c>
      <c r="C633" s="112" t="s">
        <v>449</v>
      </c>
      <c r="D633" s="113" t="s">
        <v>17</v>
      </c>
      <c r="E633" s="369" t="s">
        <v>15</v>
      </c>
      <c r="F633" s="369" t="s">
        <v>32</v>
      </c>
      <c r="G633" s="370">
        <v>8.32</v>
      </c>
      <c r="H633" s="126">
        <v>10.5</v>
      </c>
      <c r="I633" s="213">
        <v>34</v>
      </c>
      <c r="J633" s="117">
        <f t="shared" si="277"/>
        <v>2.97024</v>
      </c>
      <c r="K633" s="118"/>
      <c r="L633" s="111">
        <v>34</v>
      </c>
      <c r="M633" s="117">
        <f t="shared" si="278"/>
        <v>2.9702400000000004</v>
      </c>
      <c r="N633" s="119">
        <f t="shared" si="279"/>
        <v>0</v>
      </c>
      <c r="O633" s="120">
        <f t="shared" si="280"/>
        <v>0</v>
      </c>
      <c r="P633" s="111"/>
      <c r="Q633" s="32"/>
      <c r="R633" s="32"/>
    </row>
    <row r="634" spans="1:18">
      <c r="A634" s="110" t="s">
        <v>696</v>
      </c>
      <c r="B634" s="111" t="s">
        <v>227</v>
      </c>
      <c r="C634" s="112" t="s">
        <v>449</v>
      </c>
      <c r="D634" s="113" t="s">
        <v>17</v>
      </c>
      <c r="E634" s="369" t="s">
        <v>15</v>
      </c>
      <c r="F634" s="369" t="s">
        <v>32</v>
      </c>
      <c r="G634" s="370">
        <v>8.32</v>
      </c>
      <c r="H634" s="126">
        <v>10.5</v>
      </c>
      <c r="I634" s="213">
        <v>36</v>
      </c>
      <c r="J634" s="117">
        <f t="shared" si="277"/>
        <v>3.1449600000000002</v>
      </c>
      <c r="K634" s="118"/>
      <c r="L634" s="111">
        <v>36</v>
      </c>
      <c r="M634" s="117">
        <f t="shared" si="278"/>
        <v>3.1449600000000002</v>
      </c>
      <c r="N634" s="119">
        <f t="shared" si="279"/>
        <v>0</v>
      </c>
      <c r="O634" s="120">
        <f t="shared" si="280"/>
        <v>0</v>
      </c>
      <c r="P634" s="111"/>
      <c r="Q634" s="32"/>
      <c r="R634" s="32"/>
    </row>
    <row r="635" spans="1:18">
      <c r="A635" s="110" t="s">
        <v>696</v>
      </c>
      <c r="B635" s="111" t="s">
        <v>227</v>
      </c>
      <c r="C635" s="112" t="s">
        <v>449</v>
      </c>
      <c r="D635" s="113" t="s">
        <v>17</v>
      </c>
      <c r="E635" s="369" t="s">
        <v>15</v>
      </c>
      <c r="F635" s="369" t="s">
        <v>32</v>
      </c>
      <c r="G635" s="370">
        <v>8.32</v>
      </c>
      <c r="H635" s="126">
        <v>9</v>
      </c>
      <c r="I635" s="213">
        <v>30</v>
      </c>
      <c r="J635" s="117">
        <f t="shared" si="277"/>
        <v>2.2463999999999995</v>
      </c>
      <c r="K635" s="118"/>
      <c r="L635" s="111">
        <v>30</v>
      </c>
      <c r="M635" s="117">
        <f t="shared" si="278"/>
        <v>2.2464</v>
      </c>
      <c r="N635" s="119">
        <f t="shared" si="279"/>
        <v>0</v>
      </c>
      <c r="O635" s="120">
        <f t="shared" si="280"/>
        <v>0</v>
      </c>
      <c r="P635" s="111"/>
      <c r="Q635" s="32"/>
      <c r="R635" s="32"/>
    </row>
    <row r="636" spans="1:18">
      <c r="A636" s="110" t="s">
        <v>696</v>
      </c>
      <c r="B636" s="111" t="s">
        <v>227</v>
      </c>
      <c r="C636" s="112" t="s">
        <v>449</v>
      </c>
      <c r="D636" s="113" t="s">
        <v>17</v>
      </c>
      <c r="E636" s="369" t="s">
        <v>15</v>
      </c>
      <c r="F636" s="369" t="s">
        <v>32</v>
      </c>
      <c r="G636" s="370">
        <v>8.32</v>
      </c>
      <c r="H636" s="126">
        <v>11</v>
      </c>
      <c r="I636" s="213">
        <v>33</v>
      </c>
      <c r="J636" s="117">
        <f t="shared" si="277"/>
        <v>3.0201600000000002</v>
      </c>
      <c r="K636" s="118"/>
      <c r="L636" s="111">
        <v>33</v>
      </c>
      <c r="M636" s="117">
        <f t="shared" si="278"/>
        <v>3.0201600000000002</v>
      </c>
      <c r="N636" s="119">
        <f t="shared" si="279"/>
        <v>0</v>
      </c>
      <c r="O636" s="120">
        <f t="shared" si="280"/>
        <v>0</v>
      </c>
      <c r="P636" s="111"/>
      <c r="Q636" s="32"/>
      <c r="R636" s="32"/>
    </row>
    <row r="637" spans="1:18">
      <c r="A637" s="110" t="s">
        <v>696</v>
      </c>
      <c r="B637" s="111" t="s">
        <v>227</v>
      </c>
      <c r="C637" s="112" t="s">
        <v>449</v>
      </c>
      <c r="D637" s="113" t="s">
        <v>17</v>
      </c>
      <c r="E637" s="369" t="s">
        <v>15</v>
      </c>
      <c r="F637" s="369" t="s">
        <v>32</v>
      </c>
      <c r="G637" s="370">
        <v>8.32</v>
      </c>
      <c r="H637" s="126">
        <v>11</v>
      </c>
      <c r="I637" s="213">
        <v>33</v>
      </c>
      <c r="J637" s="117">
        <f t="shared" si="277"/>
        <v>3.0201600000000002</v>
      </c>
      <c r="K637" s="118"/>
      <c r="L637" s="111">
        <v>33</v>
      </c>
      <c r="M637" s="117">
        <f t="shared" si="278"/>
        <v>3.0201600000000002</v>
      </c>
      <c r="N637" s="119">
        <f t="shared" si="279"/>
        <v>0</v>
      </c>
      <c r="O637" s="120">
        <f t="shared" si="280"/>
        <v>0</v>
      </c>
      <c r="P637" s="111"/>
      <c r="Q637" s="32"/>
      <c r="R637" s="32"/>
    </row>
    <row r="638" spans="1:18">
      <c r="A638" s="110" t="s">
        <v>696</v>
      </c>
      <c r="B638" s="111" t="s">
        <v>227</v>
      </c>
      <c r="C638" s="112" t="s">
        <v>449</v>
      </c>
      <c r="D638" s="113" t="s">
        <v>17</v>
      </c>
      <c r="E638" s="369" t="s">
        <v>15</v>
      </c>
      <c r="F638" s="369" t="s">
        <v>32</v>
      </c>
      <c r="G638" s="370">
        <v>8.32</v>
      </c>
      <c r="H638" s="126">
        <v>10.5</v>
      </c>
      <c r="I638" s="213">
        <v>33</v>
      </c>
      <c r="J638" s="117">
        <f t="shared" si="277"/>
        <v>2.8828800000000001</v>
      </c>
      <c r="K638" s="118"/>
      <c r="L638" s="111">
        <v>33</v>
      </c>
      <c r="M638" s="117">
        <f t="shared" si="278"/>
        <v>2.8828800000000001</v>
      </c>
      <c r="N638" s="119">
        <f t="shared" si="279"/>
        <v>0</v>
      </c>
      <c r="O638" s="120">
        <f t="shared" si="280"/>
        <v>0</v>
      </c>
      <c r="P638" s="111"/>
      <c r="Q638" s="32"/>
      <c r="R638" s="32"/>
    </row>
    <row r="639" spans="1:18">
      <c r="A639" s="110" t="s">
        <v>696</v>
      </c>
      <c r="B639" s="111" t="s">
        <v>227</v>
      </c>
      <c r="C639" s="112" t="s">
        <v>449</v>
      </c>
      <c r="D639" s="113" t="s">
        <v>17</v>
      </c>
      <c r="E639" s="369" t="s">
        <v>15</v>
      </c>
      <c r="F639" s="369" t="s">
        <v>32</v>
      </c>
      <c r="G639" s="370">
        <v>8.32</v>
      </c>
      <c r="H639" s="126">
        <v>9</v>
      </c>
      <c r="I639" s="213">
        <v>33</v>
      </c>
      <c r="J639" s="117">
        <f t="shared" si="277"/>
        <v>2.4710399999999999</v>
      </c>
      <c r="K639" s="118"/>
      <c r="L639" s="111">
        <v>33</v>
      </c>
      <c r="M639" s="117">
        <f t="shared" si="278"/>
        <v>2.4710399999999999</v>
      </c>
      <c r="N639" s="119">
        <f t="shared" si="279"/>
        <v>0</v>
      </c>
      <c r="O639" s="120">
        <f t="shared" si="280"/>
        <v>0</v>
      </c>
      <c r="P639" s="111"/>
      <c r="Q639" s="32"/>
      <c r="R639" s="32"/>
    </row>
    <row r="640" spans="1:18">
      <c r="A640" s="110" t="s">
        <v>696</v>
      </c>
      <c r="B640" s="111" t="s">
        <v>227</v>
      </c>
      <c r="C640" s="112" t="s">
        <v>449</v>
      </c>
      <c r="D640" s="113" t="s">
        <v>17</v>
      </c>
      <c r="E640" s="369" t="s">
        <v>15</v>
      </c>
      <c r="F640" s="369" t="s">
        <v>32</v>
      </c>
      <c r="G640" s="370">
        <v>8.32</v>
      </c>
      <c r="H640" s="126">
        <v>11</v>
      </c>
      <c r="I640" s="213">
        <v>33</v>
      </c>
      <c r="J640" s="117">
        <f t="shared" si="277"/>
        <v>3.0201600000000002</v>
      </c>
      <c r="K640" s="118"/>
      <c r="L640" s="111">
        <v>33</v>
      </c>
      <c r="M640" s="117">
        <f t="shared" si="278"/>
        <v>3.0201600000000002</v>
      </c>
      <c r="N640" s="119">
        <f t="shared" si="279"/>
        <v>0</v>
      </c>
      <c r="O640" s="120">
        <f t="shared" si="280"/>
        <v>0</v>
      </c>
      <c r="P640" s="111"/>
      <c r="Q640" s="32"/>
      <c r="R640" s="32"/>
    </row>
    <row r="641" spans="1:20">
      <c r="A641" s="110" t="s">
        <v>696</v>
      </c>
      <c r="B641" s="111" t="s">
        <v>227</v>
      </c>
      <c r="C641" s="112" t="s">
        <v>449</v>
      </c>
      <c r="D641" s="113" t="s">
        <v>17</v>
      </c>
      <c r="E641" s="369" t="s">
        <v>15</v>
      </c>
      <c r="F641" s="369" t="s">
        <v>32</v>
      </c>
      <c r="G641" s="370">
        <v>8.32</v>
      </c>
      <c r="H641" s="126">
        <v>10.5</v>
      </c>
      <c r="I641" s="213">
        <v>33</v>
      </c>
      <c r="J641" s="117">
        <f t="shared" si="277"/>
        <v>2.8828800000000001</v>
      </c>
      <c r="K641" s="118"/>
      <c r="L641" s="111">
        <v>33</v>
      </c>
      <c r="M641" s="117">
        <f t="shared" si="278"/>
        <v>2.8828800000000001</v>
      </c>
      <c r="N641" s="119">
        <f t="shared" si="279"/>
        <v>0</v>
      </c>
      <c r="O641" s="120">
        <f t="shared" si="280"/>
        <v>0</v>
      </c>
      <c r="P641" s="111"/>
      <c r="Q641" s="32"/>
      <c r="R641" s="32"/>
    </row>
    <row r="642" spans="1:20">
      <c r="A642" s="110" t="s">
        <v>696</v>
      </c>
      <c r="B642" s="111" t="s">
        <v>227</v>
      </c>
      <c r="C642" s="112" t="s">
        <v>449</v>
      </c>
      <c r="D642" s="113" t="s">
        <v>17</v>
      </c>
      <c r="E642" s="369" t="s">
        <v>15</v>
      </c>
      <c r="F642" s="369" t="s">
        <v>32</v>
      </c>
      <c r="G642" s="370">
        <v>8.32</v>
      </c>
      <c r="H642" s="126">
        <v>10.5</v>
      </c>
      <c r="I642" s="213">
        <v>33</v>
      </c>
      <c r="J642" s="117">
        <f t="shared" si="277"/>
        <v>2.8828800000000001</v>
      </c>
      <c r="K642" s="118"/>
      <c r="L642" s="111">
        <v>33</v>
      </c>
      <c r="M642" s="117">
        <f t="shared" si="278"/>
        <v>2.8828800000000001</v>
      </c>
      <c r="N642" s="119">
        <f t="shared" si="279"/>
        <v>0</v>
      </c>
      <c r="O642" s="120">
        <f t="shared" si="280"/>
        <v>0</v>
      </c>
      <c r="P642" s="111"/>
      <c r="Q642" s="32"/>
      <c r="R642" s="32"/>
    </row>
    <row r="643" spans="1:20">
      <c r="A643" s="110" t="s">
        <v>696</v>
      </c>
      <c r="B643" s="111" t="s">
        <v>227</v>
      </c>
      <c r="C643" s="112" t="s">
        <v>449</v>
      </c>
      <c r="D643" s="113" t="s">
        <v>17</v>
      </c>
      <c r="E643" s="369" t="s">
        <v>15</v>
      </c>
      <c r="F643" s="369" t="s">
        <v>32</v>
      </c>
      <c r="G643" s="370">
        <v>8.32</v>
      </c>
      <c r="H643" s="126">
        <v>10.5</v>
      </c>
      <c r="I643" s="213">
        <v>33</v>
      </c>
      <c r="J643" s="117">
        <f t="shared" si="277"/>
        <v>2.8828800000000001</v>
      </c>
      <c r="K643" s="118"/>
      <c r="L643" s="111">
        <v>33</v>
      </c>
      <c r="M643" s="117">
        <f t="shared" si="278"/>
        <v>2.8828800000000001</v>
      </c>
      <c r="N643" s="119">
        <f t="shared" si="279"/>
        <v>0</v>
      </c>
      <c r="O643" s="120">
        <f t="shared" si="280"/>
        <v>0</v>
      </c>
      <c r="P643" s="111"/>
      <c r="Q643" s="32"/>
      <c r="R643" s="32"/>
    </row>
    <row r="644" spans="1:20">
      <c r="A644" s="110" t="s">
        <v>696</v>
      </c>
      <c r="B644" s="111" t="s">
        <v>227</v>
      </c>
      <c r="C644" s="112" t="s">
        <v>449</v>
      </c>
      <c r="D644" s="113" t="s">
        <v>17</v>
      </c>
      <c r="E644" s="369" t="s">
        <v>15</v>
      </c>
      <c r="F644" s="369" t="s">
        <v>32</v>
      </c>
      <c r="G644" s="370">
        <v>8.32</v>
      </c>
      <c r="H644" s="126">
        <v>10.5</v>
      </c>
      <c r="I644" s="213">
        <v>33</v>
      </c>
      <c r="J644" s="117">
        <f t="shared" si="277"/>
        <v>2.8828800000000001</v>
      </c>
      <c r="K644" s="118"/>
      <c r="L644" s="111">
        <v>33</v>
      </c>
      <c r="M644" s="117">
        <f t="shared" si="278"/>
        <v>2.8828800000000001</v>
      </c>
      <c r="N644" s="119">
        <f t="shared" si="279"/>
        <v>0</v>
      </c>
      <c r="O644" s="120">
        <f t="shared" si="280"/>
        <v>0</v>
      </c>
      <c r="P644" s="111"/>
      <c r="Q644" s="32"/>
      <c r="R644" s="32"/>
    </row>
    <row r="645" spans="1:20">
      <c r="A645" s="110" t="s">
        <v>696</v>
      </c>
      <c r="B645" s="111" t="s">
        <v>227</v>
      </c>
      <c r="C645" s="112" t="s">
        <v>449</v>
      </c>
      <c r="D645" s="113" t="s">
        <v>17</v>
      </c>
      <c r="E645" s="369" t="s">
        <v>15</v>
      </c>
      <c r="F645" s="369" t="s">
        <v>32</v>
      </c>
      <c r="G645" s="370">
        <v>8.32</v>
      </c>
      <c r="H645" s="126">
        <v>10.5</v>
      </c>
      <c r="I645" s="213">
        <v>33</v>
      </c>
      <c r="J645" s="117">
        <f t="shared" si="277"/>
        <v>2.8828800000000001</v>
      </c>
      <c r="K645" s="118"/>
      <c r="L645" s="111">
        <v>33</v>
      </c>
      <c r="M645" s="117">
        <f t="shared" si="278"/>
        <v>2.8828800000000001</v>
      </c>
      <c r="N645" s="119">
        <f t="shared" si="279"/>
        <v>0</v>
      </c>
      <c r="O645" s="120">
        <f t="shared" si="280"/>
        <v>0</v>
      </c>
      <c r="P645" s="111"/>
      <c r="Q645" s="32"/>
      <c r="R645" s="32"/>
    </row>
    <row r="646" spans="1:20">
      <c r="A646" s="110" t="s">
        <v>696</v>
      </c>
      <c r="B646" s="111" t="s">
        <v>227</v>
      </c>
      <c r="C646" s="112" t="s">
        <v>449</v>
      </c>
      <c r="D646" s="113" t="s">
        <v>17</v>
      </c>
      <c r="E646" s="369" t="s">
        <v>15</v>
      </c>
      <c r="F646" s="369" t="s">
        <v>32</v>
      </c>
      <c r="G646" s="370">
        <v>8.32</v>
      </c>
      <c r="H646" s="126">
        <v>11.5</v>
      </c>
      <c r="I646" s="213">
        <v>33</v>
      </c>
      <c r="J646" s="117">
        <f t="shared" si="277"/>
        <v>3.1574400000000002</v>
      </c>
      <c r="K646" s="118"/>
      <c r="L646" s="111">
        <v>33</v>
      </c>
      <c r="M646" s="117">
        <f t="shared" si="278"/>
        <v>3.1574400000000002</v>
      </c>
      <c r="N646" s="119">
        <f t="shared" si="279"/>
        <v>0</v>
      </c>
      <c r="O646" s="120">
        <f t="shared" si="280"/>
        <v>0</v>
      </c>
      <c r="P646" s="111"/>
      <c r="Q646" s="32"/>
      <c r="R646" s="32"/>
    </row>
    <row r="647" spans="1:20">
      <c r="A647" s="110" t="s">
        <v>696</v>
      </c>
      <c r="B647" s="111" t="s">
        <v>227</v>
      </c>
      <c r="C647" s="112" t="s">
        <v>449</v>
      </c>
      <c r="D647" s="113" t="s">
        <v>17</v>
      </c>
      <c r="E647" s="369" t="s">
        <v>15</v>
      </c>
      <c r="F647" s="369" t="s">
        <v>32</v>
      </c>
      <c r="G647" s="370">
        <v>8.32</v>
      </c>
      <c r="H647" s="126">
        <v>9</v>
      </c>
      <c r="I647" s="213">
        <v>44</v>
      </c>
      <c r="J647" s="117">
        <f t="shared" si="277"/>
        <v>3.2947199999999999</v>
      </c>
      <c r="K647" s="118"/>
      <c r="L647" s="111">
        <v>44</v>
      </c>
      <c r="M647" s="117">
        <f t="shared" si="278"/>
        <v>3.2947200000000003</v>
      </c>
      <c r="N647" s="119">
        <f t="shared" si="279"/>
        <v>0</v>
      </c>
      <c r="O647" s="120">
        <f t="shared" si="280"/>
        <v>0</v>
      </c>
      <c r="P647" s="111"/>
      <c r="Q647" s="32"/>
      <c r="R647" s="32"/>
    </row>
    <row r="648" spans="1:20">
      <c r="A648" s="110" t="s">
        <v>696</v>
      </c>
      <c r="B648" s="111" t="s">
        <v>227</v>
      </c>
      <c r="C648" s="112" t="s">
        <v>449</v>
      </c>
      <c r="D648" s="113" t="s">
        <v>17</v>
      </c>
      <c r="E648" s="369" t="s">
        <v>15</v>
      </c>
      <c r="F648" s="369" t="s">
        <v>32</v>
      </c>
      <c r="G648" s="370">
        <v>8.32</v>
      </c>
      <c r="H648" s="126">
        <v>11.5</v>
      </c>
      <c r="I648" s="213">
        <v>33</v>
      </c>
      <c r="J648" s="117">
        <f t="shared" si="277"/>
        <v>3.1574400000000002</v>
      </c>
      <c r="K648" s="118"/>
      <c r="L648" s="111">
        <v>33</v>
      </c>
      <c r="M648" s="117">
        <f t="shared" si="278"/>
        <v>3.1574400000000002</v>
      </c>
      <c r="N648" s="119">
        <f t="shared" si="279"/>
        <v>0</v>
      </c>
      <c r="O648" s="120">
        <f t="shared" si="280"/>
        <v>0</v>
      </c>
      <c r="P648" s="111"/>
      <c r="Q648" s="32"/>
      <c r="R648" s="32"/>
    </row>
    <row r="649" spans="1:20">
      <c r="A649" s="110" t="s">
        <v>696</v>
      </c>
      <c r="B649" s="111" t="s">
        <v>227</v>
      </c>
      <c r="C649" s="112" t="s">
        <v>449</v>
      </c>
      <c r="D649" s="113" t="s">
        <v>17</v>
      </c>
      <c r="E649" s="369" t="s">
        <v>15</v>
      </c>
      <c r="F649" s="369" t="s">
        <v>32</v>
      </c>
      <c r="G649" s="370">
        <v>8.32</v>
      </c>
      <c r="H649" s="126">
        <v>11.5</v>
      </c>
      <c r="I649" s="213">
        <v>32</v>
      </c>
      <c r="J649" s="117">
        <f t="shared" si="277"/>
        <v>3.06176</v>
      </c>
      <c r="K649" s="118"/>
      <c r="L649" s="111">
        <v>32</v>
      </c>
      <c r="M649" s="117">
        <f t="shared" si="278"/>
        <v>3.06176</v>
      </c>
      <c r="N649" s="119">
        <f t="shared" si="279"/>
        <v>0</v>
      </c>
      <c r="O649" s="120">
        <f t="shared" si="280"/>
        <v>0</v>
      </c>
      <c r="P649" s="111"/>
      <c r="Q649" s="32"/>
      <c r="R649" s="32"/>
    </row>
    <row r="650" spans="1:20">
      <c r="A650" s="110" t="s">
        <v>696</v>
      </c>
      <c r="B650" s="111" t="s">
        <v>227</v>
      </c>
      <c r="C650" s="112" t="s">
        <v>449</v>
      </c>
      <c r="D650" s="113" t="s">
        <v>17</v>
      </c>
      <c r="E650" s="369" t="s">
        <v>15</v>
      </c>
      <c r="F650" s="369" t="s">
        <v>32</v>
      </c>
      <c r="G650" s="370">
        <v>8.32</v>
      </c>
      <c r="H650" s="126">
        <v>8.8000000000000007</v>
      </c>
      <c r="I650" s="213">
        <v>6</v>
      </c>
      <c r="J650" s="117">
        <f t="shared" si="277"/>
        <v>0.43929600000000008</v>
      </c>
      <c r="K650" s="118"/>
      <c r="L650" s="111">
        <v>6</v>
      </c>
      <c r="M650" s="117">
        <f t="shared" si="278"/>
        <v>0.43929600000000008</v>
      </c>
      <c r="N650" s="119">
        <f t="shared" si="279"/>
        <v>0</v>
      </c>
      <c r="O650" s="120">
        <f t="shared" si="280"/>
        <v>0</v>
      </c>
      <c r="P650" s="111"/>
      <c r="Q650" s="32"/>
      <c r="R650" s="32"/>
    </row>
    <row r="651" spans="1:20">
      <c r="A651" s="110" t="s">
        <v>696</v>
      </c>
      <c r="B651" s="111" t="s">
        <v>227</v>
      </c>
      <c r="C651" s="112" t="s">
        <v>449</v>
      </c>
      <c r="D651" s="113" t="s">
        <v>17</v>
      </c>
      <c r="E651" s="369" t="s">
        <v>15</v>
      </c>
      <c r="F651" s="369" t="s">
        <v>32</v>
      </c>
      <c r="G651" s="370">
        <v>8.32</v>
      </c>
      <c r="H651" s="126">
        <v>9</v>
      </c>
      <c r="I651" s="213">
        <v>31</v>
      </c>
      <c r="J651" s="117">
        <f t="shared" si="277"/>
        <v>2.3212799999999998</v>
      </c>
      <c r="K651" s="118"/>
      <c r="L651" s="111">
        <v>31</v>
      </c>
      <c r="M651" s="117">
        <f t="shared" si="278"/>
        <v>2.3212800000000002</v>
      </c>
      <c r="N651" s="119">
        <f t="shared" si="279"/>
        <v>0</v>
      </c>
      <c r="O651" s="120">
        <f t="shared" si="280"/>
        <v>0</v>
      </c>
      <c r="P651" s="111"/>
      <c r="Q651" s="32"/>
      <c r="R651" s="32"/>
    </row>
    <row r="652" spans="1:20">
      <c r="A652" s="110" t="s">
        <v>696</v>
      </c>
      <c r="B652" s="111" t="s">
        <v>227</v>
      </c>
      <c r="C652" s="112" t="s">
        <v>449</v>
      </c>
      <c r="D652" s="113" t="s">
        <v>17</v>
      </c>
      <c r="E652" s="369" t="s">
        <v>15</v>
      </c>
      <c r="F652" s="369" t="s">
        <v>32</v>
      </c>
      <c r="G652" s="370">
        <v>8.32</v>
      </c>
      <c r="H652" s="126">
        <v>11</v>
      </c>
      <c r="I652" s="213">
        <v>12</v>
      </c>
      <c r="J652" s="117">
        <f t="shared" si="277"/>
        <v>1.0982400000000003</v>
      </c>
      <c r="K652" s="118"/>
      <c r="L652" s="111">
        <f>7+5</f>
        <v>12</v>
      </c>
      <c r="M652" s="117">
        <f t="shared" si="278"/>
        <v>1.0982400000000001</v>
      </c>
      <c r="N652" s="119">
        <f t="shared" si="279"/>
        <v>0</v>
      </c>
      <c r="O652" s="120">
        <f t="shared" si="280"/>
        <v>0</v>
      </c>
      <c r="P652" s="111">
        <v>9</v>
      </c>
      <c r="Q652" s="32">
        <v>5</v>
      </c>
      <c r="R652" s="32"/>
    </row>
    <row r="653" spans="1:20">
      <c r="A653" s="110" t="s">
        <v>696</v>
      </c>
      <c r="B653" s="111" t="s">
        <v>227</v>
      </c>
      <c r="C653" s="112" t="s">
        <v>449</v>
      </c>
      <c r="D653" s="113" t="s">
        <v>17</v>
      </c>
      <c r="E653" s="369" t="s">
        <v>15</v>
      </c>
      <c r="F653" s="369" t="s">
        <v>32</v>
      </c>
      <c r="G653" s="370">
        <v>8.32</v>
      </c>
      <c r="H653" s="126">
        <v>11.5</v>
      </c>
      <c r="I653" s="213">
        <v>10</v>
      </c>
      <c r="J653" s="117">
        <f t="shared" si="277"/>
        <v>0.95680000000000009</v>
      </c>
      <c r="K653" s="118"/>
      <c r="L653" s="111">
        <v>10</v>
      </c>
      <c r="M653" s="117">
        <f t="shared" si="278"/>
        <v>0.95680000000000009</v>
      </c>
      <c r="N653" s="119">
        <f t="shared" si="279"/>
        <v>0</v>
      </c>
      <c r="O653" s="120">
        <f t="shared" si="280"/>
        <v>0</v>
      </c>
      <c r="P653" s="111"/>
      <c r="Q653" s="32"/>
      <c r="R653" s="32"/>
    </row>
    <row r="654" spans="1:20">
      <c r="A654" s="110" t="s">
        <v>696</v>
      </c>
      <c r="B654" s="111" t="s">
        <v>227</v>
      </c>
      <c r="C654" s="112" t="s">
        <v>449</v>
      </c>
      <c r="D654" s="113" t="s">
        <v>17</v>
      </c>
      <c r="E654" s="369" t="s">
        <v>15</v>
      </c>
      <c r="F654" s="369" t="s">
        <v>32</v>
      </c>
      <c r="G654" s="370">
        <v>8.32</v>
      </c>
      <c r="H654" s="126">
        <v>7.5</v>
      </c>
      <c r="I654" s="213">
        <v>14</v>
      </c>
      <c r="J654" s="117">
        <f t="shared" si="277"/>
        <v>0.87360000000000015</v>
      </c>
      <c r="K654" s="118"/>
      <c r="L654" s="111">
        <f>9+5</f>
        <v>14</v>
      </c>
      <c r="M654" s="117">
        <f t="shared" si="278"/>
        <v>0.87360000000000004</v>
      </c>
      <c r="N654" s="119">
        <f t="shared" si="279"/>
        <v>0</v>
      </c>
      <c r="O654" s="120">
        <f t="shared" si="280"/>
        <v>0</v>
      </c>
      <c r="P654" s="111">
        <v>6.3</v>
      </c>
      <c r="Q654" s="45">
        <v>1</v>
      </c>
      <c r="R654" s="32" t="s">
        <v>602</v>
      </c>
      <c r="S654" s="186">
        <v>4</v>
      </c>
      <c r="T654" s="213" t="s">
        <v>743</v>
      </c>
    </row>
    <row r="655" spans="1:20">
      <c r="A655" s="110" t="s">
        <v>696</v>
      </c>
      <c r="B655" s="111" t="s">
        <v>227</v>
      </c>
      <c r="C655" s="112" t="s">
        <v>449</v>
      </c>
      <c r="D655" s="113" t="s">
        <v>17</v>
      </c>
      <c r="E655" s="369" t="s">
        <v>15</v>
      </c>
      <c r="F655" s="369" t="s">
        <v>32</v>
      </c>
      <c r="G655" s="370">
        <v>8.32</v>
      </c>
      <c r="H655" s="126">
        <v>8.1999999999999993</v>
      </c>
      <c r="I655" s="213">
        <v>19</v>
      </c>
      <c r="J655" s="117">
        <f t="shared" si="277"/>
        <v>1.2962559999999999</v>
      </c>
      <c r="K655" s="118"/>
      <c r="L655" s="111">
        <v>19</v>
      </c>
      <c r="M655" s="117">
        <f t="shared" si="278"/>
        <v>1.2962559999999999</v>
      </c>
      <c r="N655" s="119">
        <f t="shared" si="279"/>
        <v>0</v>
      </c>
      <c r="O655" s="120">
        <f t="shared" si="280"/>
        <v>0</v>
      </c>
      <c r="P655" s="111"/>
      <c r="Q655" s="32"/>
      <c r="R655" s="32"/>
    </row>
    <row r="656" spans="1:20">
      <c r="A656" s="110" t="s">
        <v>696</v>
      </c>
      <c r="B656" s="111" t="s">
        <v>227</v>
      </c>
      <c r="C656" s="112" t="s">
        <v>449</v>
      </c>
      <c r="D656" s="113" t="s">
        <v>17</v>
      </c>
      <c r="E656" s="369" t="s">
        <v>15</v>
      </c>
      <c r="F656" s="369" t="s">
        <v>32</v>
      </c>
      <c r="G656" s="370">
        <v>8.32</v>
      </c>
      <c r="H656" s="126">
        <v>10</v>
      </c>
      <c r="I656" s="213">
        <v>6</v>
      </c>
      <c r="J656" s="117">
        <f t="shared" ref="J656:J693" si="281">H656*G656*I656/1000</f>
        <v>0.49920000000000003</v>
      </c>
      <c r="K656" s="118"/>
      <c r="L656" s="111">
        <v>6</v>
      </c>
      <c r="M656" s="117">
        <f t="shared" ref="M656:M693" si="282">H656*L656*G656/1000</f>
        <v>0.49920000000000003</v>
      </c>
      <c r="N656" s="119">
        <f t="shared" ref="N656:N693" si="283">I656-L656</f>
        <v>0</v>
      </c>
      <c r="O656" s="120">
        <f t="shared" ref="O656:O693" si="284">H656*N656*G656/1000</f>
        <v>0</v>
      </c>
      <c r="P656" s="111">
        <v>8.1999999999999993</v>
      </c>
      <c r="Q656" s="32">
        <v>6</v>
      </c>
      <c r="R656" s="32"/>
    </row>
    <row r="657" spans="1:18">
      <c r="A657" s="110" t="s">
        <v>696</v>
      </c>
      <c r="B657" s="111" t="s">
        <v>227</v>
      </c>
      <c r="C657" s="112" t="s">
        <v>449</v>
      </c>
      <c r="D657" s="113" t="s">
        <v>17</v>
      </c>
      <c r="E657" s="369" t="s">
        <v>15</v>
      </c>
      <c r="F657" s="369" t="s">
        <v>32</v>
      </c>
      <c r="G657" s="370">
        <v>8.32</v>
      </c>
      <c r="H657" s="126">
        <v>10.199999999999999</v>
      </c>
      <c r="I657" s="213">
        <v>5</v>
      </c>
      <c r="J657" s="117">
        <f t="shared" si="281"/>
        <v>0.42431999999999992</v>
      </c>
      <c r="K657" s="118"/>
      <c r="L657" s="111">
        <v>5</v>
      </c>
      <c r="M657" s="117">
        <f t="shared" si="282"/>
        <v>0.42431999999999997</v>
      </c>
      <c r="N657" s="119">
        <f t="shared" si="283"/>
        <v>0</v>
      </c>
      <c r="O657" s="120">
        <f t="shared" si="284"/>
        <v>0</v>
      </c>
      <c r="P657" s="111"/>
      <c r="Q657" s="32"/>
      <c r="R657" s="32"/>
    </row>
    <row r="658" spans="1:18">
      <c r="A658" s="110" t="s">
        <v>696</v>
      </c>
      <c r="B658" s="111" t="s">
        <v>227</v>
      </c>
      <c r="C658" s="112" t="s">
        <v>449</v>
      </c>
      <c r="D658" s="113" t="s">
        <v>17</v>
      </c>
      <c r="E658" s="369" t="s">
        <v>15</v>
      </c>
      <c r="F658" s="369" t="s">
        <v>32</v>
      </c>
      <c r="G658" s="370">
        <v>8.32</v>
      </c>
      <c r="H658" s="126">
        <v>10.5</v>
      </c>
      <c r="I658" s="213">
        <v>11</v>
      </c>
      <c r="J658" s="117">
        <f t="shared" si="281"/>
        <v>0.96096000000000004</v>
      </c>
      <c r="K658" s="118"/>
      <c r="L658" s="111">
        <v>11</v>
      </c>
      <c r="M658" s="117">
        <f t="shared" si="282"/>
        <v>0.96096000000000004</v>
      </c>
      <c r="N658" s="119">
        <f t="shared" si="283"/>
        <v>0</v>
      </c>
      <c r="O658" s="120">
        <f t="shared" si="284"/>
        <v>0</v>
      </c>
      <c r="P658" s="111"/>
      <c r="Q658" s="32"/>
      <c r="R658" s="32"/>
    </row>
    <row r="659" spans="1:18">
      <c r="A659" s="110" t="s">
        <v>696</v>
      </c>
      <c r="B659" s="111" t="s">
        <v>227</v>
      </c>
      <c r="C659" s="112" t="s">
        <v>449</v>
      </c>
      <c r="D659" s="113" t="s">
        <v>17</v>
      </c>
      <c r="E659" s="369" t="s">
        <v>15</v>
      </c>
      <c r="F659" s="369" t="s">
        <v>32</v>
      </c>
      <c r="G659" s="370">
        <v>8.32</v>
      </c>
      <c r="H659" s="126">
        <v>7.3</v>
      </c>
      <c r="I659" s="213">
        <v>4</v>
      </c>
      <c r="J659" s="117">
        <f t="shared" si="281"/>
        <v>0.24294399999999999</v>
      </c>
      <c r="K659" s="118"/>
      <c r="L659" s="111">
        <v>4</v>
      </c>
      <c r="M659" s="117">
        <f t="shared" si="282"/>
        <v>0.24294399999999999</v>
      </c>
      <c r="N659" s="145">
        <f t="shared" si="283"/>
        <v>0</v>
      </c>
      <c r="O659" s="120">
        <f t="shared" si="284"/>
        <v>0</v>
      </c>
      <c r="P659" s="111">
        <v>6.3</v>
      </c>
      <c r="Q659" s="32">
        <v>4</v>
      </c>
      <c r="R659" s="32" t="s">
        <v>602</v>
      </c>
    </row>
    <row r="660" spans="1:18">
      <c r="A660" s="110" t="s">
        <v>696</v>
      </c>
      <c r="B660" s="111" t="s">
        <v>227</v>
      </c>
      <c r="C660" s="112" t="s">
        <v>449</v>
      </c>
      <c r="D660" s="113" t="s">
        <v>17</v>
      </c>
      <c r="E660" s="369" t="s">
        <v>15</v>
      </c>
      <c r="F660" s="369" t="s">
        <v>32</v>
      </c>
      <c r="G660" s="370">
        <v>8.32</v>
      </c>
      <c r="H660" s="126">
        <v>9.5</v>
      </c>
      <c r="I660" s="213">
        <v>1</v>
      </c>
      <c r="J660" s="117">
        <f t="shared" si="281"/>
        <v>7.9040000000000013E-2</v>
      </c>
      <c r="K660" s="118"/>
      <c r="L660" s="111">
        <v>1</v>
      </c>
      <c r="M660" s="117">
        <f t="shared" si="282"/>
        <v>7.9040000000000013E-2</v>
      </c>
      <c r="N660" s="119">
        <f t="shared" si="283"/>
        <v>0</v>
      </c>
      <c r="O660" s="120">
        <f t="shared" si="284"/>
        <v>0</v>
      </c>
      <c r="P660" s="111">
        <v>8.1999999999999993</v>
      </c>
      <c r="Q660" s="32">
        <v>1</v>
      </c>
      <c r="R660" s="32"/>
    </row>
    <row r="661" spans="1:18">
      <c r="A661" s="110" t="s">
        <v>696</v>
      </c>
      <c r="B661" s="111" t="s">
        <v>227</v>
      </c>
      <c r="C661" s="112" t="s">
        <v>449</v>
      </c>
      <c r="D661" s="113" t="s">
        <v>17</v>
      </c>
      <c r="E661" s="369" t="s">
        <v>15</v>
      </c>
      <c r="F661" s="369" t="s">
        <v>32</v>
      </c>
      <c r="G661" s="370">
        <v>8.32</v>
      </c>
      <c r="H661" s="126">
        <v>12</v>
      </c>
      <c r="I661" s="213">
        <v>2</v>
      </c>
      <c r="J661" s="117">
        <f t="shared" si="281"/>
        <v>0.19968</v>
      </c>
      <c r="K661" s="118"/>
      <c r="L661" s="111">
        <v>2</v>
      </c>
      <c r="M661" s="117">
        <f t="shared" si="282"/>
        <v>0.19968</v>
      </c>
      <c r="N661" s="119">
        <f t="shared" si="283"/>
        <v>0</v>
      </c>
      <c r="O661" s="120">
        <f t="shared" si="284"/>
        <v>0</v>
      </c>
      <c r="P661" s="111">
        <v>11.7</v>
      </c>
      <c r="Q661" s="32">
        <v>1</v>
      </c>
      <c r="R661" s="32"/>
    </row>
    <row r="662" spans="1:18">
      <c r="A662" s="110" t="s">
        <v>696</v>
      </c>
      <c r="B662" s="111" t="s">
        <v>227</v>
      </c>
      <c r="C662" s="112" t="s">
        <v>449</v>
      </c>
      <c r="D662" s="113" t="s">
        <v>17</v>
      </c>
      <c r="E662" s="369" t="s">
        <v>15</v>
      </c>
      <c r="F662" s="369" t="s">
        <v>32</v>
      </c>
      <c r="G662" s="370">
        <v>8.32</v>
      </c>
      <c r="H662" s="126">
        <v>12.15</v>
      </c>
      <c r="I662" s="213">
        <v>1</v>
      </c>
      <c r="J662" s="117">
        <f t="shared" si="281"/>
        <v>0.10108800000000001</v>
      </c>
      <c r="K662" s="118"/>
      <c r="L662" s="111">
        <v>1</v>
      </c>
      <c r="M662" s="117">
        <f t="shared" si="282"/>
        <v>0.10108800000000001</v>
      </c>
      <c r="N662" s="119">
        <f t="shared" si="283"/>
        <v>0</v>
      </c>
      <c r="O662" s="120">
        <f t="shared" si="284"/>
        <v>0</v>
      </c>
      <c r="P662" s="111">
        <v>11.7</v>
      </c>
      <c r="Q662" s="32">
        <v>1</v>
      </c>
      <c r="R662" s="32"/>
    </row>
    <row r="663" spans="1:18">
      <c r="A663" s="110" t="s">
        <v>696</v>
      </c>
      <c r="B663" s="111" t="s">
        <v>227</v>
      </c>
      <c r="C663" s="112" t="s">
        <v>449</v>
      </c>
      <c r="D663" s="113" t="s">
        <v>17</v>
      </c>
      <c r="E663" s="369" t="s">
        <v>15</v>
      </c>
      <c r="F663" s="369" t="s">
        <v>32</v>
      </c>
      <c r="G663" s="370">
        <v>8.32</v>
      </c>
      <c r="H663" s="126">
        <v>12.2</v>
      </c>
      <c r="I663" s="213">
        <v>1</v>
      </c>
      <c r="J663" s="117">
        <f t="shared" si="281"/>
        <v>0.101504</v>
      </c>
      <c r="K663" s="118"/>
      <c r="L663" s="111">
        <v>1</v>
      </c>
      <c r="M663" s="117">
        <f t="shared" si="282"/>
        <v>0.101504</v>
      </c>
      <c r="N663" s="119">
        <f t="shared" si="283"/>
        <v>0</v>
      </c>
      <c r="O663" s="120">
        <f t="shared" si="284"/>
        <v>0</v>
      </c>
      <c r="P663" s="111">
        <v>11.7</v>
      </c>
      <c r="Q663" s="32">
        <v>1</v>
      </c>
      <c r="R663" s="32"/>
    </row>
    <row r="664" spans="1:18">
      <c r="A664" s="110" t="s">
        <v>696</v>
      </c>
      <c r="B664" s="111" t="s">
        <v>227</v>
      </c>
      <c r="C664" s="112" t="s">
        <v>449</v>
      </c>
      <c r="D664" s="113" t="s">
        <v>17</v>
      </c>
      <c r="E664" s="369" t="s">
        <v>15</v>
      </c>
      <c r="F664" s="369" t="s">
        <v>32</v>
      </c>
      <c r="G664" s="370">
        <v>8.32</v>
      </c>
      <c r="H664" s="126">
        <v>8.1999999999999993</v>
      </c>
      <c r="I664" s="213">
        <v>33</v>
      </c>
      <c r="J664" s="117">
        <f t="shared" si="281"/>
        <v>2.2513919999999996</v>
      </c>
      <c r="K664" s="118"/>
      <c r="L664" s="111">
        <v>33</v>
      </c>
      <c r="M664" s="117">
        <f t="shared" si="282"/>
        <v>2.2513919999999996</v>
      </c>
      <c r="N664" s="119">
        <f t="shared" si="283"/>
        <v>0</v>
      </c>
      <c r="O664" s="120">
        <f t="shared" si="284"/>
        <v>0</v>
      </c>
      <c r="P664" s="111"/>
      <c r="Q664" s="32"/>
      <c r="R664" s="32"/>
    </row>
    <row r="665" spans="1:18">
      <c r="A665" s="110" t="s">
        <v>696</v>
      </c>
      <c r="B665" s="111" t="s">
        <v>227</v>
      </c>
      <c r="C665" s="112" t="s">
        <v>449</v>
      </c>
      <c r="D665" s="113" t="s">
        <v>17</v>
      </c>
      <c r="E665" s="369" t="s">
        <v>15</v>
      </c>
      <c r="F665" s="369" t="s">
        <v>32</v>
      </c>
      <c r="G665" s="370">
        <v>8.32</v>
      </c>
      <c r="H665" s="126">
        <v>8.1999999999999993</v>
      </c>
      <c r="I665" s="213">
        <v>10</v>
      </c>
      <c r="J665" s="117">
        <f t="shared" si="281"/>
        <v>0.68223999999999985</v>
      </c>
      <c r="K665" s="118"/>
      <c r="L665" s="111">
        <v>10</v>
      </c>
      <c r="M665" s="117">
        <f t="shared" si="282"/>
        <v>0.68223999999999996</v>
      </c>
      <c r="N665" s="119">
        <f t="shared" si="283"/>
        <v>0</v>
      </c>
      <c r="O665" s="120">
        <f t="shared" si="284"/>
        <v>0</v>
      </c>
      <c r="P665" s="111"/>
      <c r="Q665" s="32"/>
      <c r="R665" s="32"/>
    </row>
    <row r="666" spans="1:18">
      <c r="A666" s="110" t="s">
        <v>696</v>
      </c>
      <c r="B666" s="111" t="s">
        <v>227</v>
      </c>
      <c r="C666" s="112" t="s">
        <v>449</v>
      </c>
      <c r="D666" s="113" t="s">
        <v>17</v>
      </c>
      <c r="E666" s="369" t="s">
        <v>15</v>
      </c>
      <c r="F666" s="369" t="s">
        <v>32</v>
      </c>
      <c r="G666" s="370">
        <v>8.32</v>
      </c>
      <c r="H666" s="126">
        <v>12</v>
      </c>
      <c r="I666" s="213">
        <v>26</v>
      </c>
      <c r="J666" s="117">
        <f t="shared" si="281"/>
        <v>2.5958399999999999</v>
      </c>
      <c r="K666" s="118"/>
      <c r="L666" s="111">
        <v>26</v>
      </c>
      <c r="M666" s="117">
        <f t="shared" si="282"/>
        <v>2.5958399999999999</v>
      </c>
      <c r="N666" s="119">
        <f t="shared" si="283"/>
        <v>0</v>
      </c>
      <c r="O666" s="120">
        <f t="shared" si="284"/>
        <v>0</v>
      </c>
      <c r="P666" s="111"/>
      <c r="Q666" s="32"/>
      <c r="R666" s="32"/>
    </row>
    <row r="667" spans="1:18">
      <c r="A667" s="110" t="s">
        <v>696</v>
      </c>
      <c r="B667" s="111" t="s">
        <v>227</v>
      </c>
      <c r="C667" s="112" t="s">
        <v>449</v>
      </c>
      <c r="D667" s="113" t="s">
        <v>17</v>
      </c>
      <c r="E667" s="369" t="s">
        <v>15</v>
      </c>
      <c r="F667" s="369" t="s">
        <v>32</v>
      </c>
      <c r="G667" s="370">
        <v>8.32</v>
      </c>
      <c r="H667" s="126">
        <v>7.5</v>
      </c>
      <c r="I667" s="213">
        <v>5</v>
      </c>
      <c r="J667" s="117">
        <f t="shared" si="281"/>
        <v>0.312</v>
      </c>
      <c r="K667" s="118"/>
      <c r="L667" s="111">
        <v>5</v>
      </c>
      <c r="M667" s="117">
        <f t="shared" si="282"/>
        <v>0.312</v>
      </c>
      <c r="N667" s="119">
        <f t="shared" si="283"/>
        <v>0</v>
      </c>
      <c r="O667" s="120">
        <f t="shared" si="284"/>
        <v>0</v>
      </c>
      <c r="P667" s="111">
        <v>6.3</v>
      </c>
      <c r="Q667" s="45">
        <v>5</v>
      </c>
      <c r="R667" s="32" t="s">
        <v>602</v>
      </c>
    </row>
    <row r="668" spans="1:18">
      <c r="A668" s="110" t="s">
        <v>696</v>
      </c>
      <c r="B668" s="111" t="s">
        <v>227</v>
      </c>
      <c r="C668" s="112" t="s">
        <v>449</v>
      </c>
      <c r="D668" s="113" t="s">
        <v>17</v>
      </c>
      <c r="E668" s="369" t="s">
        <v>15</v>
      </c>
      <c r="F668" s="369" t="s">
        <v>32</v>
      </c>
      <c r="G668" s="370">
        <v>8.32</v>
      </c>
      <c r="H668" s="126">
        <v>9</v>
      </c>
      <c r="I668" s="213">
        <v>21</v>
      </c>
      <c r="J668" s="117">
        <f t="shared" si="281"/>
        <v>1.5724800000000001</v>
      </c>
      <c r="K668" s="118"/>
      <c r="L668" s="111">
        <v>21</v>
      </c>
      <c r="M668" s="117">
        <f t="shared" si="282"/>
        <v>1.5724800000000001</v>
      </c>
      <c r="N668" s="119">
        <f t="shared" si="283"/>
        <v>0</v>
      </c>
      <c r="O668" s="120">
        <f t="shared" si="284"/>
        <v>0</v>
      </c>
      <c r="P668" s="111"/>
      <c r="Q668" s="32"/>
      <c r="R668" s="32"/>
    </row>
    <row r="669" spans="1:18">
      <c r="A669" s="110" t="s">
        <v>696</v>
      </c>
      <c r="B669" s="111" t="s">
        <v>227</v>
      </c>
      <c r="C669" s="112" t="s">
        <v>449</v>
      </c>
      <c r="D669" s="113" t="s">
        <v>17</v>
      </c>
      <c r="E669" s="369" t="s">
        <v>15</v>
      </c>
      <c r="F669" s="369" t="s">
        <v>32</v>
      </c>
      <c r="G669" s="370">
        <v>8.32</v>
      </c>
      <c r="H669" s="126">
        <v>9</v>
      </c>
      <c r="I669" s="213">
        <v>35</v>
      </c>
      <c r="J669" s="117">
        <f t="shared" si="281"/>
        <v>2.6207999999999996</v>
      </c>
      <c r="K669" s="118"/>
      <c r="L669" s="111">
        <v>35</v>
      </c>
      <c r="M669" s="117">
        <f t="shared" si="282"/>
        <v>2.6208</v>
      </c>
      <c r="N669" s="119">
        <f t="shared" si="283"/>
        <v>0</v>
      </c>
      <c r="O669" s="120">
        <f t="shared" si="284"/>
        <v>0</v>
      </c>
      <c r="P669" s="111"/>
      <c r="Q669" s="32"/>
      <c r="R669" s="32"/>
    </row>
    <row r="670" spans="1:18">
      <c r="A670" s="110" t="s">
        <v>696</v>
      </c>
      <c r="B670" s="111" t="s">
        <v>227</v>
      </c>
      <c r="C670" s="112" t="s">
        <v>449</v>
      </c>
      <c r="D670" s="113" t="s">
        <v>17</v>
      </c>
      <c r="E670" s="369" t="s">
        <v>15</v>
      </c>
      <c r="F670" s="369" t="s">
        <v>32</v>
      </c>
      <c r="G670" s="370">
        <v>8.32</v>
      </c>
      <c r="H670" s="126">
        <v>10</v>
      </c>
      <c r="I670" s="213">
        <v>6</v>
      </c>
      <c r="J670" s="117">
        <f t="shared" si="281"/>
        <v>0.49920000000000003</v>
      </c>
      <c r="K670" s="118"/>
      <c r="L670" s="111">
        <v>6</v>
      </c>
      <c r="M670" s="117">
        <f t="shared" si="282"/>
        <v>0.49920000000000003</v>
      </c>
      <c r="N670" s="119">
        <f t="shared" si="283"/>
        <v>0</v>
      </c>
      <c r="O670" s="120">
        <f t="shared" si="284"/>
        <v>0</v>
      </c>
      <c r="P670" s="111">
        <v>8.1999999999999993</v>
      </c>
      <c r="Q670" s="32">
        <v>6</v>
      </c>
      <c r="R670" s="32"/>
    </row>
    <row r="671" spans="1:18">
      <c r="A671" s="110" t="s">
        <v>696</v>
      </c>
      <c r="B671" s="111" t="s">
        <v>227</v>
      </c>
      <c r="C671" s="112" t="s">
        <v>449</v>
      </c>
      <c r="D671" s="113" t="s">
        <v>17</v>
      </c>
      <c r="E671" s="369" t="s">
        <v>15</v>
      </c>
      <c r="F671" s="369" t="s">
        <v>32</v>
      </c>
      <c r="G671" s="370">
        <v>8.32</v>
      </c>
      <c r="H671" s="126">
        <v>10.199999999999999</v>
      </c>
      <c r="I671" s="213">
        <v>5</v>
      </c>
      <c r="J671" s="117">
        <f t="shared" si="281"/>
        <v>0.42431999999999992</v>
      </c>
      <c r="K671" s="118"/>
      <c r="L671" s="111">
        <v>5</v>
      </c>
      <c r="M671" s="117">
        <f t="shared" si="282"/>
        <v>0.42431999999999997</v>
      </c>
      <c r="N671" s="119">
        <f t="shared" si="283"/>
        <v>0</v>
      </c>
      <c r="O671" s="120">
        <f t="shared" si="284"/>
        <v>0</v>
      </c>
      <c r="P671" s="111"/>
      <c r="Q671" s="32"/>
      <c r="R671" s="32"/>
    </row>
    <row r="672" spans="1:18">
      <c r="A672" s="110" t="s">
        <v>696</v>
      </c>
      <c r="B672" s="111" t="s">
        <v>227</v>
      </c>
      <c r="C672" s="112" t="s">
        <v>449</v>
      </c>
      <c r="D672" s="113" t="s">
        <v>17</v>
      </c>
      <c r="E672" s="369" t="s">
        <v>15</v>
      </c>
      <c r="F672" s="369" t="s">
        <v>32</v>
      </c>
      <c r="G672" s="370">
        <v>8.32</v>
      </c>
      <c r="H672" s="126">
        <v>10.5</v>
      </c>
      <c r="I672" s="213">
        <v>4</v>
      </c>
      <c r="J672" s="117">
        <f t="shared" si="281"/>
        <v>0.34943999999999997</v>
      </c>
      <c r="K672" s="118"/>
      <c r="L672" s="111">
        <v>4</v>
      </c>
      <c r="M672" s="117">
        <f t="shared" si="282"/>
        <v>0.34943999999999997</v>
      </c>
      <c r="N672" s="119">
        <f t="shared" si="283"/>
        <v>0</v>
      </c>
      <c r="O672" s="120">
        <f t="shared" si="284"/>
        <v>0</v>
      </c>
      <c r="P672" s="111"/>
      <c r="Q672" s="32"/>
      <c r="R672" s="32"/>
    </row>
    <row r="673" spans="1:18">
      <c r="A673" s="110" t="s">
        <v>696</v>
      </c>
      <c r="B673" s="111" t="s">
        <v>227</v>
      </c>
      <c r="C673" s="112" t="s">
        <v>449</v>
      </c>
      <c r="D673" s="113" t="s">
        <v>17</v>
      </c>
      <c r="E673" s="369" t="s">
        <v>15</v>
      </c>
      <c r="F673" s="369" t="s">
        <v>32</v>
      </c>
      <c r="G673" s="370">
        <v>8.32</v>
      </c>
      <c r="H673" s="126">
        <v>11</v>
      </c>
      <c r="I673" s="213">
        <v>12</v>
      </c>
      <c r="J673" s="117">
        <f t="shared" si="281"/>
        <v>1.0982400000000003</v>
      </c>
      <c r="K673" s="118"/>
      <c r="L673" s="111">
        <v>12</v>
      </c>
      <c r="M673" s="117">
        <f t="shared" si="282"/>
        <v>1.0982400000000001</v>
      </c>
      <c r="N673" s="119">
        <f t="shared" si="283"/>
        <v>0</v>
      </c>
      <c r="O673" s="120">
        <f t="shared" si="284"/>
        <v>0</v>
      </c>
      <c r="P673" s="111">
        <v>9</v>
      </c>
      <c r="Q673" s="32">
        <v>12</v>
      </c>
      <c r="R673" s="32"/>
    </row>
    <row r="674" spans="1:18">
      <c r="A674" s="110" t="s">
        <v>696</v>
      </c>
      <c r="B674" s="111" t="s">
        <v>227</v>
      </c>
      <c r="C674" s="112" t="s">
        <v>449</v>
      </c>
      <c r="D674" s="113" t="s">
        <v>17</v>
      </c>
      <c r="E674" s="369" t="s">
        <v>15</v>
      </c>
      <c r="F674" s="369" t="s">
        <v>32</v>
      </c>
      <c r="G674" s="370">
        <v>8.32</v>
      </c>
      <c r="H674" s="126">
        <v>11.5</v>
      </c>
      <c r="I674" s="213">
        <v>30</v>
      </c>
      <c r="J674" s="117">
        <f t="shared" si="281"/>
        <v>2.8704000000000001</v>
      </c>
      <c r="K674" s="118"/>
      <c r="L674" s="111">
        <v>30</v>
      </c>
      <c r="M674" s="117">
        <f t="shared" si="282"/>
        <v>2.8704000000000001</v>
      </c>
      <c r="N674" s="119">
        <f t="shared" si="283"/>
        <v>0</v>
      </c>
      <c r="O674" s="120">
        <f t="shared" si="284"/>
        <v>0</v>
      </c>
      <c r="P674" s="111"/>
      <c r="Q674" s="32"/>
      <c r="R674" s="32"/>
    </row>
    <row r="675" spans="1:18">
      <c r="A675" s="110" t="s">
        <v>696</v>
      </c>
      <c r="B675" s="111" t="s">
        <v>227</v>
      </c>
      <c r="C675" s="112" t="s">
        <v>449</v>
      </c>
      <c r="D675" s="113" t="s">
        <v>17</v>
      </c>
      <c r="E675" s="369" t="s">
        <v>15</v>
      </c>
      <c r="F675" s="369" t="s">
        <v>32</v>
      </c>
      <c r="G675" s="370">
        <v>8.32</v>
      </c>
      <c r="H675" s="126">
        <v>12</v>
      </c>
      <c r="I675" s="213">
        <v>33</v>
      </c>
      <c r="J675" s="117">
        <f t="shared" si="281"/>
        <v>3.2947200000000003</v>
      </c>
      <c r="K675" s="118"/>
      <c r="L675" s="111">
        <v>33</v>
      </c>
      <c r="M675" s="117">
        <f t="shared" si="282"/>
        <v>3.2947200000000003</v>
      </c>
      <c r="N675" s="119">
        <f t="shared" si="283"/>
        <v>0</v>
      </c>
      <c r="O675" s="120">
        <f t="shared" si="284"/>
        <v>0</v>
      </c>
      <c r="P675" s="111"/>
      <c r="Q675" s="32"/>
      <c r="R675" s="32"/>
    </row>
    <row r="676" spans="1:18">
      <c r="A676" s="110" t="s">
        <v>696</v>
      </c>
      <c r="B676" s="111" t="s">
        <v>227</v>
      </c>
      <c r="C676" s="112" t="s">
        <v>449</v>
      </c>
      <c r="D676" s="113" t="s">
        <v>17</v>
      </c>
      <c r="E676" s="369" t="s">
        <v>15</v>
      </c>
      <c r="F676" s="369" t="s">
        <v>32</v>
      </c>
      <c r="G676" s="370">
        <v>8.32</v>
      </c>
      <c r="H676" s="126">
        <v>12</v>
      </c>
      <c r="I676" s="213">
        <v>33</v>
      </c>
      <c r="J676" s="117">
        <f t="shared" si="281"/>
        <v>3.2947200000000003</v>
      </c>
      <c r="K676" s="118"/>
      <c r="L676" s="111">
        <v>33</v>
      </c>
      <c r="M676" s="117">
        <f t="shared" si="282"/>
        <v>3.2947200000000003</v>
      </c>
      <c r="N676" s="119">
        <f t="shared" si="283"/>
        <v>0</v>
      </c>
      <c r="O676" s="120">
        <f t="shared" si="284"/>
        <v>0</v>
      </c>
      <c r="P676" s="111"/>
      <c r="Q676" s="32"/>
      <c r="R676" s="32"/>
    </row>
    <row r="677" spans="1:18">
      <c r="A677" s="110" t="s">
        <v>696</v>
      </c>
      <c r="B677" s="111" t="s">
        <v>227</v>
      </c>
      <c r="C677" s="112" t="s">
        <v>449</v>
      </c>
      <c r="D677" s="113" t="s">
        <v>17</v>
      </c>
      <c r="E677" s="369" t="s">
        <v>15</v>
      </c>
      <c r="F677" s="369" t="s">
        <v>32</v>
      </c>
      <c r="G677" s="370">
        <v>8.32</v>
      </c>
      <c r="H677" s="126">
        <v>12</v>
      </c>
      <c r="I677" s="213">
        <v>9</v>
      </c>
      <c r="J677" s="117">
        <f t="shared" si="281"/>
        <v>0.89856000000000003</v>
      </c>
      <c r="K677" s="118"/>
      <c r="L677" s="111">
        <v>9</v>
      </c>
      <c r="M677" s="117">
        <f t="shared" si="282"/>
        <v>0.89856000000000003</v>
      </c>
      <c r="N677" s="119">
        <f t="shared" si="283"/>
        <v>0</v>
      </c>
      <c r="O677" s="120">
        <f t="shared" si="284"/>
        <v>0</v>
      </c>
      <c r="P677" s="111"/>
      <c r="Q677" s="32"/>
      <c r="R677" s="32"/>
    </row>
    <row r="678" spans="1:18">
      <c r="A678" s="110" t="s">
        <v>696</v>
      </c>
      <c r="B678" s="111" t="s">
        <v>227</v>
      </c>
      <c r="C678" s="112" t="s">
        <v>449</v>
      </c>
      <c r="D678" s="113" t="s">
        <v>17</v>
      </c>
      <c r="E678" s="369" t="s">
        <v>15</v>
      </c>
      <c r="F678" s="369" t="s">
        <v>32</v>
      </c>
      <c r="G678" s="370">
        <v>8.32</v>
      </c>
      <c r="H678" s="126">
        <v>11.7</v>
      </c>
      <c r="I678" s="213">
        <v>4</v>
      </c>
      <c r="J678" s="117">
        <f t="shared" si="281"/>
        <v>0.389376</v>
      </c>
      <c r="K678" s="118"/>
      <c r="L678" s="111">
        <v>4</v>
      </c>
      <c r="M678" s="117">
        <f t="shared" si="282"/>
        <v>0.389376</v>
      </c>
      <c r="N678" s="119">
        <f t="shared" si="283"/>
        <v>0</v>
      </c>
      <c r="O678" s="120">
        <f t="shared" si="284"/>
        <v>0</v>
      </c>
      <c r="P678" s="111"/>
      <c r="Q678" s="32"/>
      <c r="R678" s="32"/>
    </row>
    <row r="679" spans="1:18">
      <c r="A679" s="110" t="s">
        <v>696</v>
      </c>
      <c r="B679" s="111" t="s">
        <v>227</v>
      </c>
      <c r="C679" s="112" t="s">
        <v>449</v>
      </c>
      <c r="D679" s="113" t="s">
        <v>17</v>
      </c>
      <c r="E679" s="369" t="s">
        <v>15</v>
      </c>
      <c r="F679" s="369" t="s">
        <v>32</v>
      </c>
      <c r="G679" s="370">
        <v>8.32</v>
      </c>
      <c r="H679" s="126">
        <v>11.5</v>
      </c>
      <c r="I679" s="213">
        <v>15</v>
      </c>
      <c r="J679" s="117">
        <f t="shared" si="281"/>
        <v>1.4352</v>
      </c>
      <c r="K679" s="118"/>
      <c r="L679" s="111">
        <v>15</v>
      </c>
      <c r="M679" s="117">
        <f t="shared" si="282"/>
        <v>1.4352</v>
      </c>
      <c r="N679" s="119">
        <f t="shared" si="283"/>
        <v>0</v>
      </c>
      <c r="O679" s="120">
        <f t="shared" si="284"/>
        <v>0</v>
      </c>
      <c r="P679" s="111"/>
      <c r="Q679" s="32"/>
      <c r="R679" s="32"/>
    </row>
    <row r="680" spans="1:18">
      <c r="A680" s="110" t="s">
        <v>696</v>
      </c>
      <c r="B680" s="111" t="s">
        <v>227</v>
      </c>
      <c r="C680" s="112" t="s">
        <v>449</v>
      </c>
      <c r="D680" s="113" t="s">
        <v>17</v>
      </c>
      <c r="E680" s="369" t="s">
        <v>15</v>
      </c>
      <c r="F680" s="369" t="s">
        <v>32</v>
      </c>
      <c r="G680" s="370">
        <v>8.32</v>
      </c>
      <c r="H680" s="126">
        <v>12</v>
      </c>
      <c r="I680" s="213">
        <v>33</v>
      </c>
      <c r="J680" s="117">
        <f t="shared" si="281"/>
        <v>3.2947200000000003</v>
      </c>
      <c r="K680" s="118"/>
      <c r="L680" s="111">
        <v>33</v>
      </c>
      <c r="M680" s="117">
        <f t="shared" si="282"/>
        <v>3.2947200000000003</v>
      </c>
      <c r="N680" s="119">
        <f t="shared" si="283"/>
        <v>0</v>
      </c>
      <c r="O680" s="120">
        <f t="shared" si="284"/>
        <v>0</v>
      </c>
      <c r="P680" s="111"/>
      <c r="Q680" s="32"/>
      <c r="R680" s="32"/>
    </row>
    <row r="681" spans="1:18">
      <c r="A681" s="110" t="s">
        <v>696</v>
      </c>
      <c r="B681" s="111" t="s">
        <v>227</v>
      </c>
      <c r="C681" s="112" t="s">
        <v>449</v>
      </c>
      <c r="D681" s="113" t="s">
        <v>17</v>
      </c>
      <c r="E681" s="369" t="s">
        <v>15</v>
      </c>
      <c r="F681" s="369" t="s">
        <v>32</v>
      </c>
      <c r="G681" s="370">
        <v>8.32</v>
      </c>
      <c r="H681" s="126">
        <v>12</v>
      </c>
      <c r="I681" s="213">
        <v>33</v>
      </c>
      <c r="J681" s="117">
        <f t="shared" si="281"/>
        <v>3.2947200000000003</v>
      </c>
      <c r="K681" s="118"/>
      <c r="L681" s="111">
        <v>33</v>
      </c>
      <c r="M681" s="117">
        <f t="shared" si="282"/>
        <v>3.2947200000000003</v>
      </c>
      <c r="N681" s="119">
        <f t="shared" si="283"/>
        <v>0</v>
      </c>
      <c r="O681" s="120">
        <f t="shared" si="284"/>
        <v>0</v>
      </c>
      <c r="P681" s="111"/>
      <c r="Q681" s="32"/>
      <c r="R681" s="32"/>
    </row>
    <row r="682" spans="1:18">
      <c r="A682" s="110" t="s">
        <v>696</v>
      </c>
      <c r="B682" s="111" t="s">
        <v>227</v>
      </c>
      <c r="C682" s="112" t="s">
        <v>449</v>
      </c>
      <c r="D682" s="113" t="s">
        <v>17</v>
      </c>
      <c r="E682" s="369" t="s">
        <v>15</v>
      </c>
      <c r="F682" s="369" t="s">
        <v>32</v>
      </c>
      <c r="G682" s="370">
        <v>8.32</v>
      </c>
      <c r="H682" s="126">
        <v>8.1999999999999993</v>
      </c>
      <c r="I682" s="213">
        <v>36</v>
      </c>
      <c r="J682" s="117">
        <f t="shared" si="281"/>
        <v>2.4560639999999996</v>
      </c>
      <c r="K682" s="118"/>
      <c r="L682" s="111">
        <v>36</v>
      </c>
      <c r="M682" s="117">
        <f t="shared" si="282"/>
        <v>2.456064</v>
      </c>
      <c r="N682" s="119">
        <f t="shared" si="283"/>
        <v>0</v>
      </c>
      <c r="O682" s="120">
        <f t="shared" si="284"/>
        <v>0</v>
      </c>
      <c r="P682" s="111"/>
      <c r="Q682" s="32"/>
      <c r="R682" s="32"/>
    </row>
    <row r="683" spans="1:18">
      <c r="A683" s="110" t="s">
        <v>696</v>
      </c>
      <c r="B683" s="111" t="s">
        <v>227</v>
      </c>
      <c r="C683" s="112" t="s">
        <v>449</v>
      </c>
      <c r="D683" s="113" t="s">
        <v>17</v>
      </c>
      <c r="E683" s="369" t="s">
        <v>15</v>
      </c>
      <c r="F683" s="369" t="s">
        <v>32</v>
      </c>
      <c r="G683" s="370">
        <v>8.32</v>
      </c>
      <c r="H683" s="126">
        <v>12</v>
      </c>
      <c r="I683" s="213">
        <v>33</v>
      </c>
      <c r="J683" s="117">
        <f t="shared" si="281"/>
        <v>3.2947200000000003</v>
      </c>
      <c r="K683" s="118"/>
      <c r="L683" s="111">
        <v>33</v>
      </c>
      <c r="M683" s="117">
        <f t="shared" si="282"/>
        <v>3.2947200000000003</v>
      </c>
      <c r="N683" s="119">
        <f t="shared" si="283"/>
        <v>0</v>
      </c>
      <c r="O683" s="120">
        <f t="shared" si="284"/>
        <v>0</v>
      </c>
      <c r="P683" s="111"/>
      <c r="Q683" s="32"/>
      <c r="R683" s="32"/>
    </row>
    <row r="684" spans="1:18">
      <c r="A684" s="110" t="s">
        <v>696</v>
      </c>
      <c r="B684" s="111" t="s">
        <v>227</v>
      </c>
      <c r="C684" s="112" t="s">
        <v>449</v>
      </c>
      <c r="D684" s="113" t="s">
        <v>17</v>
      </c>
      <c r="E684" s="369" t="s">
        <v>15</v>
      </c>
      <c r="F684" s="369" t="s">
        <v>32</v>
      </c>
      <c r="G684" s="370">
        <v>8.32</v>
      </c>
      <c r="H684" s="126">
        <v>12</v>
      </c>
      <c r="I684" s="213">
        <v>32</v>
      </c>
      <c r="J684" s="117">
        <f t="shared" si="281"/>
        <v>3.1948799999999999</v>
      </c>
      <c r="K684" s="118"/>
      <c r="L684" s="111">
        <v>32</v>
      </c>
      <c r="M684" s="117">
        <f t="shared" si="282"/>
        <v>3.1948799999999999</v>
      </c>
      <c r="N684" s="119">
        <f t="shared" si="283"/>
        <v>0</v>
      </c>
      <c r="O684" s="120">
        <f t="shared" si="284"/>
        <v>0</v>
      </c>
      <c r="P684" s="111"/>
      <c r="Q684" s="32"/>
      <c r="R684" s="32"/>
    </row>
    <row r="685" spans="1:18">
      <c r="A685" s="110" t="s">
        <v>696</v>
      </c>
      <c r="B685" s="111" t="s">
        <v>227</v>
      </c>
      <c r="C685" s="112" t="s">
        <v>449</v>
      </c>
      <c r="D685" s="113" t="s">
        <v>17</v>
      </c>
      <c r="E685" s="369" t="s">
        <v>15</v>
      </c>
      <c r="F685" s="369" t="s">
        <v>32</v>
      </c>
      <c r="G685" s="370">
        <v>8.32</v>
      </c>
      <c r="H685" s="126">
        <v>8.1999999999999993</v>
      </c>
      <c r="I685" s="213">
        <v>40</v>
      </c>
      <c r="J685" s="117">
        <f t="shared" si="281"/>
        <v>2.7289599999999994</v>
      </c>
      <c r="K685" s="118"/>
      <c r="L685" s="111">
        <v>40</v>
      </c>
      <c r="M685" s="117">
        <f t="shared" si="282"/>
        <v>2.7289599999999998</v>
      </c>
      <c r="N685" s="119">
        <f t="shared" si="283"/>
        <v>0</v>
      </c>
      <c r="O685" s="120">
        <f t="shared" si="284"/>
        <v>0</v>
      </c>
      <c r="P685" s="111"/>
      <c r="Q685" s="32"/>
      <c r="R685" s="32"/>
    </row>
    <row r="686" spans="1:18">
      <c r="A686" s="110" t="s">
        <v>696</v>
      </c>
      <c r="B686" s="111" t="s">
        <v>227</v>
      </c>
      <c r="C686" s="112" t="s">
        <v>449</v>
      </c>
      <c r="D686" s="113" t="s">
        <v>17</v>
      </c>
      <c r="E686" s="369" t="s">
        <v>15</v>
      </c>
      <c r="F686" s="369" t="s">
        <v>32</v>
      </c>
      <c r="G686" s="370">
        <v>8.32</v>
      </c>
      <c r="H686" s="126">
        <v>9</v>
      </c>
      <c r="I686" s="213">
        <v>40</v>
      </c>
      <c r="J686" s="117">
        <f t="shared" si="281"/>
        <v>2.9951999999999996</v>
      </c>
      <c r="K686" s="118"/>
      <c r="L686" s="111">
        <v>40</v>
      </c>
      <c r="M686" s="117">
        <f t="shared" si="282"/>
        <v>2.9952000000000001</v>
      </c>
      <c r="N686" s="119">
        <f t="shared" si="283"/>
        <v>0</v>
      </c>
      <c r="O686" s="120">
        <f t="shared" si="284"/>
        <v>0</v>
      </c>
      <c r="P686" s="111"/>
      <c r="Q686" s="32"/>
      <c r="R686" s="32"/>
    </row>
    <row r="687" spans="1:18">
      <c r="A687" s="110" t="s">
        <v>696</v>
      </c>
      <c r="B687" s="111" t="s">
        <v>227</v>
      </c>
      <c r="C687" s="112" t="s">
        <v>449</v>
      </c>
      <c r="D687" s="113" t="s">
        <v>17</v>
      </c>
      <c r="E687" s="369" t="s">
        <v>15</v>
      </c>
      <c r="F687" s="369" t="s">
        <v>32</v>
      </c>
      <c r="G687" s="370">
        <v>8.32</v>
      </c>
      <c r="H687" s="126">
        <v>12</v>
      </c>
      <c r="I687" s="213">
        <v>26</v>
      </c>
      <c r="J687" s="117">
        <f t="shared" si="281"/>
        <v>2.5958399999999999</v>
      </c>
      <c r="K687" s="118"/>
      <c r="L687" s="111">
        <v>26</v>
      </c>
      <c r="M687" s="117">
        <f t="shared" si="282"/>
        <v>2.5958399999999999</v>
      </c>
      <c r="N687" s="119">
        <f t="shared" si="283"/>
        <v>0</v>
      </c>
      <c r="O687" s="120">
        <f t="shared" si="284"/>
        <v>0</v>
      </c>
      <c r="P687" s="111"/>
      <c r="Q687" s="32"/>
      <c r="R687" s="32"/>
    </row>
    <row r="688" spans="1:18">
      <c r="A688" s="110" t="s">
        <v>696</v>
      </c>
      <c r="B688" s="111" t="s">
        <v>227</v>
      </c>
      <c r="C688" s="112" t="s">
        <v>449</v>
      </c>
      <c r="D688" s="113" t="s">
        <v>17</v>
      </c>
      <c r="E688" s="369" t="s">
        <v>15</v>
      </c>
      <c r="F688" s="369" t="s">
        <v>32</v>
      </c>
      <c r="G688" s="370">
        <v>8.32</v>
      </c>
      <c r="H688" s="126">
        <v>11.7</v>
      </c>
      <c r="I688" s="213">
        <v>17</v>
      </c>
      <c r="J688" s="117">
        <f t="shared" si="281"/>
        <v>1.6548479999999999</v>
      </c>
      <c r="K688" s="118"/>
      <c r="L688" s="111">
        <v>17</v>
      </c>
      <c r="M688" s="117">
        <f t="shared" si="282"/>
        <v>1.6548479999999999</v>
      </c>
      <c r="N688" s="119">
        <f t="shared" si="283"/>
        <v>0</v>
      </c>
      <c r="O688" s="120">
        <f t="shared" si="284"/>
        <v>0</v>
      </c>
      <c r="P688" s="111"/>
      <c r="Q688" s="32"/>
      <c r="R688" s="32"/>
    </row>
    <row r="689" spans="1:18">
      <c r="A689" s="110" t="s">
        <v>696</v>
      </c>
      <c r="B689" s="111" t="s">
        <v>227</v>
      </c>
      <c r="C689" s="112" t="s">
        <v>449</v>
      </c>
      <c r="D689" s="113" t="s">
        <v>17</v>
      </c>
      <c r="E689" s="369" t="s">
        <v>15</v>
      </c>
      <c r="F689" s="369" t="s">
        <v>32</v>
      </c>
      <c r="G689" s="370">
        <v>8.32</v>
      </c>
      <c r="H689" s="126">
        <v>12</v>
      </c>
      <c r="I689" s="213">
        <v>40</v>
      </c>
      <c r="J689" s="117">
        <f t="shared" si="281"/>
        <v>3.9936000000000003</v>
      </c>
      <c r="K689" s="118"/>
      <c r="L689" s="111">
        <v>40</v>
      </c>
      <c r="M689" s="117">
        <f t="shared" si="282"/>
        <v>3.9936000000000003</v>
      </c>
      <c r="N689" s="119">
        <f t="shared" si="283"/>
        <v>0</v>
      </c>
      <c r="O689" s="120">
        <f t="shared" si="284"/>
        <v>0</v>
      </c>
      <c r="P689" s="111"/>
      <c r="Q689" s="32"/>
      <c r="R689" s="32"/>
    </row>
    <row r="690" spans="1:18">
      <c r="A690" s="110" t="s">
        <v>696</v>
      </c>
      <c r="B690" s="111" t="s">
        <v>227</v>
      </c>
      <c r="C690" s="112" t="s">
        <v>449</v>
      </c>
      <c r="D690" s="113" t="s">
        <v>17</v>
      </c>
      <c r="E690" s="369" t="s">
        <v>15</v>
      </c>
      <c r="F690" s="369" t="s">
        <v>32</v>
      </c>
      <c r="G690" s="370">
        <v>8.32</v>
      </c>
      <c r="H690" s="126">
        <v>12</v>
      </c>
      <c r="I690" s="213">
        <v>40</v>
      </c>
      <c r="J690" s="117">
        <f t="shared" si="281"/>
        <v>3.9936000000000003</v>
      </c>
      <c r="K690" s="118"/>
      <c r="L690" s="111">
        <v>40</v>
      </c>
      <c r="M690" s="117">
        <f t="shared" si="282"/>
        <v>3.9936000000000003</v>
      </c>
      <c r="N690" s="119">
        <f t="shared" si="283"/>
        <v>0</v>
      </c>
      <c r="O690" s="120">
        <f t="shared" si="284"/>
        <v>0</v>
      </c>
      <c r="P690" s="111"/>
      <c r="Q690" s="32"/>
      <c r="R690" s="32"/>
    </row>
    <row r="691" spans="1:18">
      <c r="A691" s="110" t="s">
        <v>696</v>
      </c>
      <c r="B691" s="111" t="s">
        <v>227</v>
      </c>
      <c r="C691" s="112" t="s">
        <v>449</v>
      </c>
      <c r="D691" s="113" t="s">
        <v>17</v>
      </c>
      <c r="E691" s="369" t="s">
        <v>15</v>
      </c>
      <c r="F691" s="369" t="s">
        <v>32</v>
      </c>
      <c r="G691" s="370">
        <v>8.32</v>
      </c>
      <c r="H691" s="126">
        <v>12</v>
      </c>
      <c r="I691" s="213">
        <v>40</v>
      </c>
      <c r="J691" s="117">
        <f t="shared" si="281"/>
        <v>3.9936000000000003</v>
      </c>
      <c r="K691" s="118"/>
      <c r="L691" s="111">
        <v>40</v>
      </c>
      <c r="M691" s="117">
        <f t="shared" si="282"/>
        <v>3.9936000000000003</v>
      </c>
      <c r="N691" s="119">
        <f t="shared" si="283"/>
        <v>0</v>
      </c>
      <c r="O691" s="120">
        <f t="shared" si="284"/>
        <v>0</v>
      </c>
      <c r="P691" s="111"/>
      <c r="Q691" s="32"/>
      <c r="R691" s="32"/>
    </row>
    <row r="692" spans="1:18">
      <c r="A692" s="110" t="s">
        <v>696</v>
      </c>
      <c r="B692" s="111" t="s">
        <v>227</v>
      </c>
      <c r="C692" s="112" t="s">
        <v>449</v>
      </c>
      <c r="D692" s="113" t="s">
        <v>17</v>
      </c>
      <c r="E692" s="369" t="s">
        <v>15</v>
      </c>
      <c r="F692" s="369" t="s">
        <v>32</v>
      </c>
      <c r="G692" s="370">
        <v>8.32</v>
      </c>
      <c r="H692" s="126">
        <v>12</v>
      </c>
      <c r="I692" s="213">
        <v>35</v>
      </c>
      <c r="J692" s="117">
        <f t="shared" si="281"/>
        <v>3.4944000000000002</v>
      </c>
      <c r="K692" s="118"/>
      <c r="L692" s="111">
        <v>35</v>
      </c>
      <c r="M692" s="117">
        <f t="shared" si="282"/>
        <v>3.4944000000000002</v>
      </c>
      <c r="N692" s="119">
        <f t="shared" si="283"/>
        <v>0</v>
      </c>
      <c r="O692" s="120">
        <f t="shared" si="284"/>
        <v>0</v>
      </c>
      <c r="P692" s="111"/>
      <c r="Q692" s="32"/>
      <c r="R692" s="32"/>
    </row>
    <row r="693" spans="1:18">
      <c r="A693" s="110" t="s">
        <v>696</v>
      </c>
      <c r="B693" s="111" t="s">
        <v>227</v>
      </c>
      <c r="C693" s="112" t="s">
        <v>449</v>
      </c>
      <c r="D693" s="113" t="s">
        <v>17</v>
      </c>
      <c r="E693" s="369" t="s">
        <v>15</v>
      </c>
      <c r="F693" s="369" t="s">
        <v>32</v>
      </c>
      <c r="G693" s="370">
        <v>8.32</v>
      </c>
      <c r="H693" s="126">
        <v>8.1999999999999993</v>
      </c>
      <c r="I693" s="213">
        <v>39</v>
      </c>
      <c r="J693" s="117">
        <f t="shared" si="281"/>
        <v>2.6607359999999995</v>
      </c>
      <c r="K693" s="118"/>
      <c r="L693" s="111">
        <v>39</v>
      </c>
      <c r="M693" s="117">
        <f t="shared" si="282"/>
        <v>2.660736</v>
      </c>
      <c r="N693" s="119">
        <f t="shared" si="283"/>
        <v>0</v>
      </c>
      <c r="O693" s="120">
        <f t="shared" si="284"/>
        <v>0</v>
      </c>
      <c r="P693" s="111"/>
      <c r="Q693" s="32"/>
      <c r="R693" s="32"/>
    </row>
    <row r="694" spans="1:18">
      <c r="I694" s="215">
        <f>SUM(I591:I693)</f>
        <v>2320</v>
      </c>
      <c r="J694" s="214">
        <f>SUM(J591:J693)</f>
        <v>199.09510400000008</v>
      </c>
      <c r="L694" s="215">
        <f>SUM(L591:L693)</f>
        <v>2347</v>
      </c>
      <c r="M694" s="214">
        <f>SUM(M591:M693)</f>
        <v>201.09190400000011</v>
      </c>
      <c r="N694" s="78">
        <f>SUM(N591:N693)</f>
        <v>-27</v>
      </c>
      <c r="O694" s="128">
        <f>SUM(O591:O693)</f>
        <v>-1.9968000000000001</v>
      </c>
    </row>
    <row r="696" spans="1:18">
      <c r="A696" s="110" t="s">
        <v>750</v>
      </c>
      <c r="B696" s="111" t="s">
        <v>749</v>
      </c>
      <c r="C696" s="112" t="s">
        <v>449</v>
      </c>
      <c r="D696" s="113" t="s">
        <v>17</v>
      </c>
      <c r="E696" s="369" t="s">
        <v>15</v>
      </c>
      <c r="F696" s="369" t="s">
        <v>21</v>
      </c>
      <c r="G696" s="370">
        <v>6.97</v>
      </c>
      <c r="H696" s="125">
        <v>12</v>
      </c>
      <c r="I696" s="32">
        <v>3</v>
      </c>
      <c r="J696" s="117">
        <f t="shared" ref="J696" si="285">H696*G696*I696/1000</f>
        <v>0.25092000000000003</v>
      </c>
      <c r="K696" s="118"/>
      <c r="L696" s="111">
        <v>3</v>
      </c>
      <c r="M696" s="117">
        <f t="shared" ref="M696" si="286">H696*L696*G696/1000</f>
        <v>0.25091999999999998</v>
      </c>
      <c r="N696" s="119">
        <f t="shared" ref="N696" si="287">I696-L696</f>
        <v>0</v>
      </c>
      <c r="O696" s="120">
        <f t="shared" ref="O696" si="288">H696*N696*G696/1000</f>
        <v>0</v>
      </c>
      <c r="P696" s="111"/>
      <c r="Q696" s="32"/>
      <c r="R696" s="32"/>
    </row>
    <row r="697" spans="1:18">
      <c r="A697" s="110" t="s">
        <v>750</v>
      </c>
      <c r="B697" s="111" t="s">
        <v>749</v>
      </c>
      <c r="C697" s="112" t="s">
        <v>449</v>
      </c>
      <c r="D697" s="113" t="s">
        <v>17</v>
      </c>
      <c r="E697" s="369" t="s">
        <v>15</v>
      </c>
      <c r="F697" s="369" t="s">
        <v>21</v>
      </c>
      <c r="G697" s="370">
        <v>6.97</v>
      </c>
      <c r="H697" s="125">
        <v>11.7</v>
      </c>
      <c r="I697" s="32">
        <v>9</v>
      </c>
      <c r="J697" s="117">
        <f t="shared" ref="J697:J722" si="289">H697*G697*I697/1000</f>
        <v>0.73394099999999995</v>
      </c>
      <c r="K697" s="118"/>
      <c r="L697" s="111">
        <v>9</v>
      </c>
      <c r="M697" s="117">
        <f t="shared" ref="M697:M722" si="290">H697*L697*G697/1000</f>
        <v>0.73394099999999995</v>
      </c>
      <c r="N697" s="119">
        <f t="shared" ref="N697:N722" si="291">I697-L697</f>
        <v>0</v>
      </c>
      <c r="O697" s="120">
        <f t="shared" ref="O697:O722" si="292">H697*N697*G697/1000</f>
        <v>0</v>
      </c>
      <c r="P697" s="159">
        <v>11</v>
      </c>
      <c r="Q697" s="32">
        <v>9</v>
      </c>
      <c r="R697" s="32"/>
    </row>
    <row r="698" spans="1:18">
      <c r="A698" s="110" t="s">
        <v>750</v>
      </c>
      <c r="B698" s="111" t="s">
        <v>749</v>
      </c>
      <c r="C698" s="112" t="s">
        <v>449</v>
      </c>
      <c r="D698" s="113" t="s">
        <v>17</v>
      </c>
      <c r="E698" s="369" t="s">
        <v>15</v>
      </c>
      <c r="F698" s="369" t="s">
        <v>21</v>
      </c>
      <c r="G698" s="370">
        <v>6.97</v>
      </c>
      <c r="H698" s="125">
        <v>10.9</v>
      </c>
      <c r="I698" s="32">
        <v>1</v>
      </c>
      <c r="J698" s="117">
        <f t="shared" si="289"/>
        <v>7.5972999999999999E-2</v>
      </c>
      <c r="K698" s="118"/>
      <c r="L698" s="111">
        <v>1</v>
      </c>
      <c r="M698" s="117">
        <f t="shared" si="290"/>
        <v>7.5972999999999999E-2</v>
      </c>
      <c r="N698" s="119">
        <f t="shared" si="291"/>
        <v>0</v>
      </c>
      <c r="O698" s="120">
        <f t="shared" si="292"/>
        <v>0</v>
      </c>
      <c r="P698" s="111">
        <v>10.4</v>
      </c>
      <c r="Q698" s="32">
        <v>1</v>
      </c>
      <c r="R698" s="32"/>
    </row>
    <row r="699" spans="1:18">
      <c r="A699" s="110" t="s">
        <v>750</v>
      </c>
      <c r="B699" s="111" t="s">
        <v>749</v>
      </c>
      <c r="C699" s="112" t="s">
        <v>449</v>
      </c>
      <c r="D699" s="113" t="s">
        <v>17</v>
      </c>
      <c r="E699" s="369" t="s">
        <v>15</v>
      </c>
      <c r="F699" s="369" t="s">
        <v>21</v>
      </c>
      <c r="G699" s="370">
        <v>6.97</v>
      </c>
      <c r="H699" s="125">
        <v>8.5</v>
      </c>
      <c r="I699" s="32">
        <v>1</v>
      </c>
      <c r="J699" s="117">
        <f t="shared" si="289"/>
        <v>5.9244999999999999E-2</v>
      </c>
      <c r="K699" s="118"/>
      <c r="L699" s="111">
        <v>1</v>
      </c>
      <c r="M699" s="117">
        <f t="shared" si="290"/>
        <v>5.9244999999999999E-2</v>
      </c>
      <c r="N699" s="119">
        <f t="shared" si="291"/>
        <v>0</v>
      </c>
      <c r="O699" s="120">
        <f t="shared" si="292"/>
        <v>0</v>
      </c>
      <c r="P699" s="111">
        <v>7.3</v>
      </c>
      <c r="Q699" s="32"/>
      <c r="R699" s="32"/>
    </row>
    <row r="700" spans="1:18">
      <c r="A700" s="110" t="s">
        <v>750</v>
      </c>
      <c r="B700" s="111" t="s">
        <v>749</v>
      </c>
      <c r="C700" s="112" t="s">
        <v>449</v>
      </c>
      <c r="D700" s="113" t="s">
        <v>17</v>
      </c>
      <c r="E700" s="369" t="s">
        <v>15</v>
      </c>
      <c r="F700" s="369" t="s">
        <v>21</v>
      </c>
      <c r="G700" s="370">
        <v>6.97</v>
      </c>
      <c r="H700" s="125">
        <v>8.9</v>
      </c>
      <c r="I700" s="32">
        <v>1</v>
      </c>
      <c r="J700" s="117">
        <f t="shared" si="289"/>
        <v>6.2032999999999998E-2</v>
      </c>
      <c r="K700" s="118"/>
      <c r="L700" s="111">
        <v>1</v>
      </c>
      <c r="M700" s="117">
        <f t="shared" si="290"/>
        <v>6.2032999999999998E-2</v>
      </c>
      <c r="N700" s="119">
        <f t="shared" si="291"/>
        <v>0</v>
      </c>
      <c r="O700" s="120">
        <f t="shared" si="292"/>
        <v>0</v>
      </c>
      <c r="P700" s="111">
        <v>7.3</v>
      </c>
      <c r="Q700" s="32"/>
      <c r="R700" s="32"/>
    </row>
    <row r="701" spans="1:18">
      <c r="A701" s="110" t="s">
        <v>750</v>
      </c>
      <c r="B701" s="111" t="s">
        <v>749</v>
      </c>
      <c r="C701" s="112" t="s">
        <v>449</v>
      </c>
      <c r="D701" s="113" t="s">
        <v>17</v>
      </c>
      <c r="E701" s="369" t="s">
        <v>15</v>
      </c>
      <c r="F701" s="369" t="s">
        <v>21</v>
      </c>
      <c r="G701" s="370">
        <v>6.97</v>
      </c>
      <c r="H701" s="125">
        <v>8.6</v>
      </c>
      <c r="I701" s="32">
        <v>2</v>
      </c>
      <c r="J701" s="117">
        <f t="shared" si="289"/>
        <v>0.11988399999999999</v>
      </c>
      <c r="K701" s="118"/>
      <c r="L701" s="111">
        <v>2</v>
      </c>
      <c r="M701" s="117">
        <f t="shared" si="290"/>
        <v>0.11988399999999999</v>
      </c>
      <c r="N701" s="119">
        <f t="shared" si="291"/>
        <v>0</v>
      </c>
      <c r="O701" s="120">
        <f t="shared" si="292"/>
        <v>0</v>
      </c>
      <c r="P701" s="111">
        <v>7.3</v>
      </c>
      <c r="Q701" s="32"/>
      <c r="R701" s="32"/>
    </row>
    <row r="702" spans="1:18">
      <c r="A702" s="110" t="s">
        <v>750</v>
      </c>
      <c r="B702" s="111" t="s">
        <v>749</v>
      </c>
      <c r="C702" s="112" t="s">
        <v>449</v>
      </c>
      <c r="D702" s="113" t="s">
        <v>17</v>
      </c>
      <c r="E702" s="369" t="s">
        <v>15</v>
      </c>
      <c r="F702" s="369" t="s">
        <v>21</v>
      </c>
      <c r="G702" s="370">
        <v>6.97</v>
      </c>
      <c r="H702" s="125">
        <v>8.5</v>
      </c>
      <c r="I702" s="32">
        <v>1</v>
      </c>
      <c r="J702" s="117">
        <f t="shared" si="289"/>
        <v>5.9244999999999999E-2</v>
      </c>
      <c r="K702" s="118"/>
      <c r="L702" s="111">
        <v>1</v>
      </c>
      <c r="M702" s="117">
        <f t="shared" si="290"/>
        <v>5.9244999999999999E-2</v>
      </c>
      <c r="N702" s="119">
        <f t="shared" si="291"/>
        <v>0</v>
      </c>
      <c r="O702" s="120">
        <f t="shared" si="292"/>
        <v>0</v>
      </c>
      <c r="P702" s="111">
        <v>7.3</v>
      </c>
      <c r="Q702" s="32"/>
      <c r="R702" s="32"/>
    </row>
    <row r="703" spans="1:18">
      <c r="A703" s="110" t="s">
        <v>750</v>
      </c>
      <c r="B703" s="111" t="s">
        <v>749</v>
      </c>
      <c r="C703" s="112" t="s">
        <v>449</v>
      </c>
      <c r="D703" s="113" t="s">
        <v>17</v>
      </c>
      <c r="E703" s="369" t="s">
        <v>15</v>
      </c>
      <c r="F703" s="369" t="s">
        <v>21</v>
      </c>
      <c r="G703" s="370">
        <v>6.97</v>
      </c>
      <c r="H703" s="125">
        <v>8.4</v>
      </c>
      <c r="I703" s="32">
        <v>1</v>
      </c>
      <c r="J703" s="117">
        <f t="shared" si="289"/>
        <v>5.8548000000000003E-2</v>
      </c>
      <c r="K703" s="118"/>
      <c r="L703" s="111">
        <v>1</v>
      </c>
      <c r="M703" s="117">
        <f t="shared" si="290"/>
        <v>5.8548000000000003E-2</v>
      </c>
      <c r="N703" s="119">
        <f t="shared" si="291"/>
        <v>0</v>
      </c>
      <c r="O703" s="120">
        <f t="shared" si="292"/>
        <v>0</v>
      </c>
      <c r="P703" s="111">
        <v>7.3</v>
      </c>
      <c r="Q703" s="32"/>
      <c r="R703" s="32"/>
    </row>
    <row r="704" spans="1:18">
      <c r="A704" s="110" t="s">
        <v>750</v>
      </c>
      <c r="B704" s="111" t="s">
        <v>749</v>
      </c>
      <c r="C704" s="112" t="s">
        <v>449</v>
      </c>
      <c r="D704" s="113" t="s">
        <v>17</v>
      </c>
      <c r="E704" s="369" t="s">
        <v>15</v>
      </c>
      <c r="F704" s="369" t="s">
        <v>21</v>
      </c>
      <c r="G704" s="370">
        <v>6.97</v>
      </c>
      <c r="H704" s="125">
        <v>7.7</v>
      </c>
      <c r="I704" s="32">
        <v>1</v>
      </c>
      <c r="J704" s="117">
        <f t="shared" si="289"/>
        <v>5.3668999999999994E-2</v>
      </c>
      <c r="K704" s="118"/>
      <c r="L704" s="111">
        <v>1</v>
      </c>
      <c r="M704" s="117">
        <f t="shared" si="290"/>
        <v>5.3668999999999994E-2</v>
      </c>
      <c r="N704" s="119">
        <f t="shared" si="291"/>
        <v>0</v>
      </c>
      <c r="O704" s="120">
        <f t="shared" si="292"/>
        <v>0</v>
      </c>
      <c r="P704" s="111">
        <v>7.3</v>
      </c>
      <c r="Q704" s="32"/>
      <c r="R704" s="32"/>
    </row>
    <row r="705" spans="1:18">
      <c r="A705" s="110" t="s">
        <v>750</v>
      </c>
      <c r="B705" s="111" t="s">
        <v>749</v>
      </c>
      <c r="C705" s="112" t="s">
        <v>449</v>
      </c>
      <c r="D705" s="113" t="s">
        <v>17</v>
      </c>
      <c r="E705" s="369" t="s">
        <v>15</v>
      </c>
      <c r="F705" s="369" t="s">
        <v>21</v>
      </c>
      <c r="G705" s="370">
        <v>6.97</v>
      </c>
      <c r="H705" s="125">
        <v>7.1</v>
      </c>
      <c r="I705" s="32">
        <v>3</v>
      </c>
      <c r="J705" s="117">
        <f t="shared" si="289"/>
        <v>0.14846099999999998</v>
      </c>
      <c r="K705" s="118"/>
      <c r="L705" s="111"/>
      <c r="M705" s="117">
        <f t="shared" si="290"/>
        <v>0</v>
      </c>
      <c r="N705" s="119">
        <f t="shared" si="291"/>
        <v>3</v>
      </c>
      <c r="O705" s="120">
        <f t="shared" si="292"/>
        <v>0.14846099999999998</v>
      </c>
      <c r="P705" s="111"/>
      <c r="Q705" s="32"/>
      <c r="R705" s="32"/>
    </row>
    <row r="706" spans="1:18">
      <c r="A706" s="110" t="s">
        <v>750</v>
      </c>
      <c r="B706" s="111" t="s">
        <v>749</v>
      </c>
      <c r="C706" s="112" t="s">
        <v>449</v>
      </c>
      <c r="D706" s="113" t="s">
        <v>17</v>
      </c>
      <c r="E706" s="369" t="s">
        <v>15</v>
      </c>
      <c r="F706" s="369" t="s">
        <v>21</v>
      </c>
      <c r="G706" s="370">
        <v>6.97</v>
      </c>
      <c r="H706" s="125">
        <v>7</v>
      </c>
      <c r="I706" s="32">
        <v>9</v>
      </c>
      <c r="J706" s="117">
        <f t="shared" si="289"/>
        <v>0.43911</v>
      </c>
      <c r="K706" s="118"/>
      <c r="L706" s="111"/>
      <c r="M706" s="117">
        <f t="shared" si="290"/>
        <v>0</v>
      </c>
      <c r="N706" s="119">
        <f t="shared" si="291"/>
        <v>9</v>
      </c>
      <c r="O706" s="120">
        <f t="shared" si="292"/>
        <v>0.43910999999999994</v>
      </c>
      <c r="P706" s="111"/>
      <c r="Q706" s="32"/>
      <c r="R706" s="32"/>
    </row>
    <row r="707" spans="1:18">
      <c r="A707" s="110" t="s">
        <v>750</v>
      </c>
      <c r="B707" s="111" t="s">
        <v>749</v>
      </c>
      <c r="C707" s="112" t="s">
        <v>449</v>
      </c>
      <c r="D707" s="113" t="s">
        <v>17</v>
      </c>
      <c r="E707" s="369" t="s">
        <v>15</v>
      </c>
      <c r="F707" s="369" t="s">
        <v>21</v>
      </c>
      <c r="G707" s="370">
        <v>6.97</v>
      </c>
      <c r="H707" s="125">
        <v>6.9</v>
      </c>
      <c r="I707" s="32">
        <v>1</v>
      </c>
      <c r="J707" s="117">
        <f t="shared" si="289"/>
        <v>4.8093000000000004E-2</v>
      </c>
      <c r="K707" s="118"/>
      <c r="L707" s="111"/>
      <c r="M707" s="117">
        <f t="shared" si="290"/>
        <v>0</v>
      </c>
      <c r="N707" s="119">
        <f t="shared" si="291"/>
        <v>1</v>
      </c>
      <c r="O707" s="120">
        <f t="shared" si="292"/>
        <v>4.8093000000000004E-2</v>
      </c>
      <c r="P707" s="111"/>
      <c r="Q707" s="32"/>
      <c r="R707" s="32"/>
    </row>
    <row r="708" spans="1:18">
      <c r="A708" s="110" t="s">
        <v>750</v>
      </c>
      <c r="B708" s="111" t="s">
        <v>749</v>
      </c>
      <c r="C708" s="112" t="s">
        <v>449</v>
      </c>
      <c r="D708" s="113" t="s">
        <v>17</v>
      </c>
      <c r="E708" s="369" t="s">
        <v>15</v>
      </c>
      <c r="F708" s="369" t="s">
        <v>21</v>
      </c>
      <c r="G708" s="370">
        <v>6.97</v>
      </c>
      <c r="H708" s="125">
        <v>6.8</v>
      </c>
      <c r="I708" s="32">
        <v>3</v>
      </c>
      <c r="J708" s="117">
        <f t="shared" si="289"/>
        <v>0.14218799999999998</v>
      </c>
      <c r="K708" s="118"/>
      <c r="L708" s="111"/>
      <c r="M708" s="117">
        <f t="shared" si="290"/>
        <v>0</v>
      </c>
      <c r="N708" s="119">
        <f t="shared" si="291"/>
        <v>3</v>
      </c>
      <c r="O708" s="120">
        <f t="shared" si="292"/>
        <v>0.14218799999999998</v>
      </c>
      <c r="P708" s="111"/>
      <c r="Q708" s="32"/>
      <c r="R708" s="32"/>
    </row>
    <row r="709" spans="1:18">
      <c r="A709" s="110" t="s">
        <v>750</v>
      </c>
      <c r="B709" s="111" t="s">
        <v>749</v>
      </c>
      <c r="C709" s="112" t="s">
        <v>449</v>
      </c>
      <c r="D709" s="113" t="s">
        <v>17</v>
      </c>
      <c r="E709" s="369" t="s">
        <v>15</v>
      </c>
      <c r="F709" s="369" t="s">
        <v>21</v>
      </c>
      <c r="G709" s="370">
        <v>6.97</v>
      </c>
      <c r="H709" s="125">
        <v>6.5</v>
      </c>
      <c r="I709" s="32">
        <v>1</v>
      </c>
      <c r="J709" s="117">
        <f t="shared" si="289"/>
        <v>4.5304999999999998E-2</v>
      </c>
      <c r="K709" s="118"/>
      <c r="L709" s="111"/>
      <c r="M709" s="117">
        <f t="shared" si="290"/>
        <v>0</v>
      </c>
      <c r="N709" s="119">
        <f t="shared" si="291"/>
        <v>1</v>
      </c>
      <c r="O709" s="120">
        <f t="shared" si="292"/>
        <v>4.5304999999999998E-2</v>
      </c>
      <c r="P709" s="111"/>
      <c r="Q709" s="32"/>
      <c r="R709" s="32"/>
    </row>
    <row r="710" spans="1:18">
      <c r="A710" s="110" t="s">
        <v>750</v>
      </c>
      <c r="B710" s="111" t="s">
        <v>749</v>
      </c>
      <c r="C710" s="112" t="s">
        <v>449</v>
      </c>
      <c r="D710" s="113" t="s">
        <v>17</v>
      </c>
      <c r="E710" s="369" t="s">
        <v>15</v>
      </c>
      <c r="F710" s="369" t="s">
        <v>21</v>
      </c>
      <c r="G710" s="370">
        <v>6.97</v>
      </c>
      <c r="H710" s="125">
        <v>6.2</v>
      </c>
      <c r="I710" s="32">
        <v>1</v>
      </c>
      <c r="J710" s="117">
        <f t="shared" si="289"/>
        <v>4.3213999999999995E-2</v>
      </c>
      <c r="K710" s="118"/>
      <c r="L710" s="111"/>
      <c r="M710" s="117">
        <f t="shared" si="290"/>
        <v>0</v>
      </c>
      <c r="N710" s="119">
        <f t="shared" si="291"/>
        <v>1</v>
      </c>
      <c r="O710" s="120">
        <f t="shared" si="292"/>
        <v>4.3213999999999995E-2</v>
      </c>
      <c r="P710" s="111"/>
      <c r="Q710" s="32"/>
      <c r="R710" s="32"/>
    </row>
    <row r="711" spans="1:18">
      <c r="A711" s="110" t="s">
        <v>750</v>
      </c>
      <c r="B711" s="111" t="s">
        <v>749</v>
      </c>
      <c r="C711" s="112" t="s">
        <v>449</v>
      </c>
      <c r="D711" s="113" t="s">
        <v>17</v>
      </c>
      <c r="E711" s="369" t="s">
        <v>15</v>
      </c>
      <c r="F711" s="369" t="s">
        <v>21</v>
      </c>
      <c r="G711" s="370">
        <v>6.97</v>
      </c>
      <c r="H711" s="125">
        <v>7.3</v>
      </c>
      <c r="I711" s="32">
        <v>20</v>
      </c>
      <c r="J711" s="117">
        <f t="shared" si="289"/>
        <v>1.01762</v>
      </c>
      <c r="K711" s="118"/>
      <c r="L711" s="111">
        <f>20+15</f>
        <v>35</v>
      </c>
      <c r="M711" s="117">
        <f t="shared" si="290"/>
        <v>1.7808349999999999</v>
      </c>
      <c r="N711" s="180">
        <f t="shared" si="291"/>
        <v>-15</v>
      </c>
      <c r="O711" s="181">
        <f t="shared" si="292"/>
        <v>-0.76321499999999987</v>
      </c>
      <c r="P711" s="111" t="s">
        <v>253</v>
      </c>
      <c r="Q711" s="32"/>
      <c r="R711" s="32"/>
    </row>
    <row r="712" spans="1:18">
      <c r="A712" s="110" t="s">
        <v>750</v>
      </c>
      <c r="B712" s="111" t="s">
        <v>749</v>
      </c>
      <c r="C712" s="112" t="s">
        <v>449</v>
      </c>
      <c r="D712" s="113" t="s">
        <v>17</v>
      </c>
      <c r="E712" s="369" t="s">
        <v>15</v>
      </c>
      <c r="F712" s="369" t="s">
        <v>21</v>
      </c>
      <c r="G712" s="370">
        <v>6.97</v>
      </c>
      <c r="H712" s="125">
        <v>9</v>
      </c>
      <c r="I712" s="32">
        <v>41</v>
      </c>
      <c r="J712" s="117">
        <f t="shared" si="289"/>
        <v>2.57193</v>
      </c>
      <c r="K712" s="118"/>
      <c r="L712" s="111">
        <v>41</v>
      </c>
      <c r="M712" s="117">
        <f t="shared" si="290"/>
        <v>2.57193</v>
      </c>
      <c r="N712" s="119">
        <f t="shared" si="291"/>
        <v>0</v>
      </c>
      <c r="O712" s="120">
        <f t="shared" si="292"/>
        <v>0</v>
      </c>
      <c r="P712" s="111"/>
      <c r="Q712" s="32"/>
      <c r="R712" s="32"/>
    </row>
    <row r="713" spans="1:18">
      <c r="A713" s="110" t="s">
        <v>750</v>
      </c>
      <c r="B713" s="111" t="s">
        <v>749</v>
      </c>
      <c r="C713" s="112" t="s">
        <v>449</v>
      </c>
      <c r="D713" s="113" t="s">
        <v>17</v>
      </c>
      <c r="E713" s="369" t="s">
        <v>15</v>
      </c>
      <c r="F713" s="369" t="s">
        <v>21</v>
      </c>
      <c r="G713" s="370">
        <v>6.97</v>
      </c>
      <c r="H713" s="125">
        <v>9</v>
      </c>
      <c r="I713" s="32">
        <v>15</v>
      </c>
      <c r="J713" s="117">
        <f t="shared" si="289"/>
        <v>0.94094999999999995</v>
      </c>
      <c r="K713" s="118"/>
      <c r="L713" s="111">
        <v>15</v>
      </c>
      <c r="M713" s="117">
        <f t="shared" si="290"/>
        <v>0.94094999999999995</v>
      </c>
      <c r="N713" s="119">
        <f t="shared" si="291"/>
        <v>0</v>
      </c>
      <c r="O713" s="120">
        <f t="shared" si="292"/>
        <v>0</v>
      </c>
      <c r="P713" s="111"/>
      <c r="Q713" s="32"/>
      <c r="R713" s="32"/>
    </row>
    <row r="714" spans="1:18">
      <c r="A714" s="110" t="s">
        <v>750</v>
      </c>
      <c r="B714" s="111" t="s">
        <v>749</v>
      </c>
      <c r="C714" s="112" t="s">
        <v>449</v>
      </c>
      <c r="D714" s="113" t="s">
        <v>17</v>
      </c>
      <c r="E714" s="369" t="s">
        <v>15</v>
      </c>
      <c r="F714" s="369" t="s">
        <v>21</v>
      </c>
      <c r="G714" s="370">
        <v>6.97</v>
      </c>
      <c r="H714" s="125">
        <v>9.5</v>
      </c>
      <c r="I714" s="32">
        <v>4</v>
      </c>
      <c r="J714" s="117">
        <f t="shared" si="289"/>
        <v>0.26486000000000004</v>
      </c>
      <c r="K714" s="118"/>
      <c r="L714" s="111">
        <v>4</v>
      </c>
      <c r="M714" s="117">
        <f t="shared" si="290"/>
        <v>0.26486000000000004</v>
      </c>
      <c r="N714" s="119">
        <f t="shared" si="291"/>
        <v>0</v>
      </c>
      <c r="O714" s="120">
        <f t="shared" si="292"/>
        <v>0</v>
      </c>
      <c r="P714" s="111"/>
      <c r="Q714" s="32"/>
      <c r="R714" s="32"/>
    </row>
    <row r="715" spans="1:18">
      <c r="A715" s="110" t="s">
        <v>750</v>
      </c>
      <c r="B715" s="111" t="s">
        <v>749</v>
      </c>
      <c r="C715" s="112" t="s">
        <v>449</v>
      </c>
      <c r="D715" s="113" t="s">
        <v>17</v>
      </c>
      <c r="E715" s="369" t="s">
        <v>15</v>
      </c>
      <c r="F715" s="369" t="s">
        <v>21</v>
      </c>
      <c r="G715" s="370">
        <v>6.97</v>
      </c>
      <c r="H715" s="125">
        <v>10</v>
      </c>
      <c r="I715" s="32">
        <v>23</v>
      </c>
      <c r="J715" s="117">
        <f t="shared" si="289"/>
        <v>1.6031000000000002</v>
      </c>
      <c r="K715" s="118"/>
      <c r="L715" s="111">
        <v>23</v>
      </c>
      <c r="M715" s="117">
        <f t="shared" si="290"/>
        <v>1.6031</v>
      </c>
      <c r="N715" s="119">
        <f t="shared" si="291"/>
        <v>0</v>
      </c>
      <c r="O715" s="120">
        <f t="shared" si="292"/>
        <v>0</v>
      </c>
      <c r="P715" s="111"/>
      <c r="Q715" s="32"/>
      <c r="R715" s="32"/>
    </row>
    <row r="716" spans="1:18">
      <c r="A716" s="110" t="s">
        <v>750</v>
      </c>
      <c r="B716" s="111" t="s">
        <v>749</v>
      </c>
      <c r="C716" s="112" t="s">
        <v>449</v>
      </c>
      <c r="D716" s="113" t="s">
        <v>17</v>
      </c>
      <c r="E716" s="369" t="s">
        <v>15</v>
      </c>
      <c r="F716" s="369" t="s">
        <v>21</v>
      </c>
      <c r="G716" s="370">
        <v>6.97</v>
      </c>
      <c r="H716" s="125">
        <v>10.5</v>
      </c>
      <c r="I716" s="32">
        <v>2</v>
      </c>
      <c r="J716" s="117">
        <f t="shared" si="289"/>
        <v>0.14637</v>
      </c>
      <c r="K716" s="118"/>
      <c r="L716" s="111">
        <v>2</v>
      </c>
      <c r="M716" s="117">
        <f t="shared" si="290"/>
        <v>0.14637</v>
      </c>
      <c r="N716" s="119">
        <f t="shared" si="291"/>
        <v>0</v>
      </c>
      <c r="O716" s="120">
        <f t="shared" si="292"/>
        <v>0</v>
      </c>
      <c r="P716" s="111"/>
      <c r="Q716" s="32"/>
      <c r="R716" s="32"/>
    </row>
    <row r="717" spans="1:18">
      <c r="A717" s="110" t="s">
        <v>750</v>
      </c>
      <c r="B717" s="111" t="s">
        <v>749</v>
      </c>
      <c r="C717" s="112" t="s">
        <v>449</v>
      </c>
      <c r="D717" s="113" t="s">
        <v>17</v>
      </c>
      <c r="E717" s="369" t="s">
        <v>15</v>
      </c>
      <c r="F717" s="369" t="s">
        <v>21</v>
      </c>
      <c r="G717" s="370">
        <v>6.97</v>
      </c>
      <c r="H717" s="125">
        <v>11.1</v>
      </c>
      <c r="I717" s="32">
        <v>1</v>
      </c>
      <c r="J717" s="117">
        <f t="shared" si="289"/>
        <v>7.7366999999999991E-2</v>
      </c>
      <c r="K717" s="118"/>
      <c r="L717" s="111">
        <v>1</v>
      </c>
      <c r="M717" s="117">
        <f t="shared" si="290"/>
        <v>7.7366999999999991E-2</v>
      </c>
      <c r="N717" s="119">
        <f t="shared" si="291"/>
        <v>0</v>
      </c>
      <c r="O717" s="120">
        <f t="shared" si="292"/>
        <v>0</v>
      </c>
      <c r="P717" s="111">
        <v>11</v>
      </c>
      <c r="Q717" s="32">
        <v>1</v>
      </c>
      <c r="R717" s="32"/>
    </row>
    <row r="718" spans="1:18">
      <c r="A718" s="110" t="s">
        <v>750</v>
      </c>
      <c r="B718" s="111" t="s">
        <v>749</v>
      </c>
      <c r="C718" s="112" t="s">
        <v>449</v>
      </c>
      <c r="D718" s="113" t="s">
        <v>17</v>
      </c>
      <c r="E718" s="369" t="s">
        <v>15</v>
      </c>
      <c r="F718" s="369" t="s">
        <v>21</v>
      </c>
      <c r="G718" s="370">
        <v>6.97</v>
      </c>
      <c r="H718" s="125">
        <v>11.5</v>
      </c>
      <c r="I718" s="32">
        <v>1</v>
      </c>
      <c r="J718" s="117">
        <f t="shared" si="289"/>
        <v>8.0155000000000004E-2</v>
      </c>
      <c r="K718" s="118"/>
      <c r="L718" s="111">
        <v>1</v>
      </c>
      <c r="M718" s="117">
        <f t="shared" si="290"/>
        <v>8.0155000000000004E-2</v>
      </c>
      <c r="N718" s="119">
        <f t="shared" si="291"/>
        <v>0</v>
      </c>
      <c r="O718" s="120">
        <f t="shared" si="292"/>
        <v>0</v>
      </c>
      <c r="P718" s="111">
        <v>11</v>
      </c>
      <c r="Q718" s="32">
        <v>1</v>
      </c>
      <c r="R718" s="32"/>
    </row>
    <row r="719" spans="1:18">
      <c r="A719" s="110" t="s">
        <v>750</v>
      </c>
      <c r="B719" s="111" t="s">
        <v>749</v>
      </c>
      <c r="C719" s="112" t="s">
        <v>449</v>
      </c>
      <c r="D719" s="113" t="s">
        <v>17</v>
      </c>
      <c r="E719" s="369" t="s">
        <v>15</v>
      </c>
      <c r="F719" s="369" t="s">
        <v>21</v>
      </c>
      <c r="G719" s="370">
        <v>6.97</v>
      </c>
      <c r="H719" s="125">
        <v>11.7</v>
      </c>
      <c r="I719" s="32">
        <v>1</v>
      </c>
      <c r="J719" s="117">
        <f t="shared" si="289"/>
        <v>8.1548999999999996E-2</v>
      </c>
      <c r="K719" s="118"/>
      <c r="L719" s="111">
        <v>1</v>
      </c>
      <c r="M719" s="117">
        <f t="shared" si="290"/>
        <v>8.1548999999999996E-2</v>
      </c>
      <c r="N719" s="119">
        <f t="shared" si="291"/>
        <v>0</v>
      </c>
      <c r="O719" s="120">
        <f t="shared" si="292"/>
        <v>0</v>
      </c>
      <c r="P719" s="159">
        <v>11</v>
      </c>
      <c r="Q719" s="32">
        <v>1</v>
      </c>
      <c r="R719" s="32"/>
    </row>
    <row r="720" spans="1:18">
      <c r="A720" s="110" t="s">
        <v>750</v>
      </c>
      <c r="B720" s="111" t="s">
        <v>749</v>
      </c>
      <c r="C720" s="112" t="s">
        <v>449</v>
      </c>
      <c r="D720" s="113" t="s">
        <v>17</v>
      </c>
      <c r="E720" s="369" t="s">
        <v>15</v>
      </c>
      <c r="F720" s="369" t="s">
        <v>21</v>
      </c>
      <c r="G720" s="370">
        <v>6.97</v>
      </c>
      <c r="H720" s="125">
        <v>12</v>
      </c>
      <c r="I720" s="32">
        <v>6</v>
      </c>
      <c r="J720" s="117">
        <f t="shared" si="289"/>
        <v>0.50184000000000006</v>
      </c>
      <c r="K720" s="118"/>
      <c r="L720" s="111">
        <v>6</v>
      </c>
      <c r="M720" s="117">
        <f t="shared" si="290"/>
        <v>0.50183999999999995</v>
      </c>
      <c r="N720" s="119">
        <f t="shared" si="291"/>
        <v>0</v>
      </c>
      <c r="O720" s="120">
        <f t="shared" si="292"/>
        <v>0</v>
      </c>
      <c r="P720" s="111"/>
      <c r="Q720" s="32"/>
      <c r="R720" s="32"/>
    </row>
    <row r="721" spans="1:18">
      <c r="A721" s="110" t="s">
        <v>750</v>
      </c>
      <c r="B721" s="111" t="s">
        <v>749</v>
      </c>
      <c r="C721" s="112" t="s">
        <v>449</v>
      </c>
      <c r="D721" s="113" t="s">
        <v>17</v>
      </c>
      <c r="E721" s="369" t="s">
        <v>15</v>
      </c>
      <c r="F721" s="369" t="s">
        <v>21</v>
      </c>
      <c r="G721" s="370">
        <v>6.97</v>
      </c>
      <c r="H721" s="125">
        <v>8.4</v>
      </c>
      <c r="I721" s="32">
        <v>1</v>
      </c>
      <c r="J721" s="117">
        <f t="shared" si="289"/>
        <v>5.8548000000000003E-2</v>
      </c>
      <c r="K721" s="118"/>
      <c r="L721" s="111">
        <v>1</v>
      </c>
      <c r="M721" s="117">
        <f t="shared" si="290"/>
        <v>5.8548000000000003E-2</v>
      </c>
      <c r="N721" s="119">
        <f t="shared" si="291"/>
        <v>0</v>
      </c>
      <c r="O721" s="120">
        <f t="shared" si="292"/>
        <v>0</v>
      </c>
      <c r="P721" s="111">
        <v>7.3</v>
      </c>
      <c r="Q721" s="32">
        <v>1</v>
      </c>
      <c r="R721" s="32"/>
    </row>
    <row r="722" spans="1:18">
      <c r="A722" s="110" t="s">
        <v>750</v>
      </c>
      <c r="B722" s="111" t="s">
        <v>749</v>
      </c>
      <c r="C722" s="112" t="s">
        <v>449</v>
      </c>
      <c r="D722" s="113" t="s">
        <v>17</v>
      </c>
      <c r="E722" s="369" t="s">
        <v>15</v>
      </c>
      <c r="F722" s="369" t="s">
        <v>21</v>
      </c>
      <c r="G722" s="370">
        <v>6.97</v>
      </c>
      <c r="H722" s="125">
        <v>8.75</v>
      </c>
      <c r="I722" s="32">
        <v>2</v>
      </c>
      <c r="J722" s="117">
        <f t="shared" si="289"/>
        <v>0.121975</v>
      </c>
      <c r="K722" s="118"/>
      <c r="L722" s="111">
        <v>2</v>
      </c>
      <c r="M722" s="117">
        <f t="shared" si="290"/>
        <v>0.121975</v>
      </c>
      <c r="N722" s="119">
        <f t="shared" si="291"/>
        <v>0</v>
      </c>
      <c r="O722" s="120">
        <f t="shared" si="292"/>
        <v>0</v>
      </c>
      <c r="P722" s="111">
        <v>7.3</v>
      </c>
      <c r="Q722" s="32">
        <v>2</v>
      </c>
      <c r="R722" s="32"/>
    </row>
    <row r="723" spans="1:18">
      <c r="A723" s="110" t="s">
        <v>750</v>
      </c>
      <c r="B723" s="111" t="s">
        <v>749</v>
      </c>
      <c r="C723" s="112" t="s">
        <v>449</v>
      </c>
      <c r="D723" s="113" t="s">
        <v>17</v>
      </c>
      <c r="E723" s="369" t="s">
        <v>15</v>
      </c>
      <c r="F723" s="369" t="s">
        <v>21</v>
      </c>
      <c r="G723" s="370">
        <v>6.97</v>
      </c>
      <c r="H723" s="125">
        <v>12</v>
      </c>
      <c r="I723" s="32">
        <v>21</v>
      </c>
      <c r="J723" s="117">
        <f t="shared" ref="J723:J736" si="293">H723*G723*I723/1000</f>
        <v>1.75644</v>
      </c>
      <c r="K723" s="118"/>
      <c r="L723" s="111">
        <v>21</v>
      </c>
      <c r="M723" s="117">
        <f t="shared" ref="M723:M736" si="294">H723*L723*G723/1000</f>
        <v>1.7564399999999998</v>
      </c>
      <c r="N723" s="119">
        <f t="shared" ref="N723:N736" si="295">I723-L723</f>
        <v>0</v>
      </c>
      <c r="O723" s="120">
        <f t="shared" ref="O723:O736" si="296">H723*N723*G723/1000</f>
        <v>0</v>
      </c>
      <c r="P723" s="111">
        <v>10.4</v>
      </c>
      <c r="Q723" s="32">
        <v>4</v>
      </c>
      <c r="R723" s="32"/>
    </row>
    <row r="724" spans="1:18">
      <c r="A724" s="110" t="s">
        <v>750</v>
      </c>
      <c r="B724" s="111" t="s">
        <v>749</v>
      </c>
      <c r="C724" s="112" t="s">
        <v>449</v>
      </c>
      <c r="D724" s="113" t="s">
        <v>17</v>
      </c>
      <c r="E724" s="369" t="s">
        <v>15</v>
      </c>
      <c r="F724" s="369" t="s">
        <v>21</v>
      </c>
      <c r="G724" s="370">
        <v>6.97</v>
      </c>
      <c r="H724" s="125">
        <v>10</v>
      </c>
      <c r="I724" s="32">
        <v>22</v>
      </c>
      <c r="J724" s="117">
        <f t="shared" si="293"/>
        <v>1.5334000000000001</v>
      </c>
      <c r="K724" s="118"/>
      <c r="L724" s="111">
        <v>22</v>
      </c>
      <c r="M724" s="117">
        <f t="shared" si="294"/>
        <v>1.5333999999999999</v>
      </c>
      <c r="N724" s="119">
        <f t="shared" si="295"/>
        <v>0</v>
      </c>
      <c r="O724" s="120">
        <f t="shared" si="296"/>
        <v>0</v>
      </c>
      <c r="P724" s="111"/>
      <c r="Q724" s="32"/>
      <c r="R724" s="32"/>
    </row>
    <row r="725" spans="1:18">
      <c r="A725" s="110" t="s">
        <v>750</v>
      </c>
      <c r="B725" s="111" t="s">
        <v>749</v>
      </c>
      <c r="C725" s="112" t="s">
        <v>449</v>
      </c>
      <c r="D725" s="113" t="s">
        <v>17</v>
      </c>
      <c r="E725" s="369" t="s">
        <v>15</v>
      </c>
      <c r="F725" s="369" t="s">
        <v>21</v>
      </c>
      <c r="G725" s="370">
        <v>6.97</v>
      </c>
      <c r="H725" s="125">
        <v>9</v>
      </c>
      <c r="I725" s="32">
        <v>31</v>
      </c>
      <c r="J725" s="117">
        <f t="shared" si="293"/>
        <v>1.9446299999999999</v>
      </c>
      <c r="K725" s="118"/>
      <c r="L725" s="111">
        <v>31</v>
      </c>
      <c r="M725" s="117">
        <f t="shared" si="294"/>
        <v>1.9446299999999999</v>
      </c>
      <c r="N725" s="119">
        <f t="shared" si="295"/>
        <v>0</v>
      </c>
      <c r="O725" s="120">
        <f t="shared" si="296"/>
        <v>0</v>
      </c>
      <c r="P725" s="111"/>
      <c r="Q725" s="32"/>
      <c r="R725" s="32"/>
    </row>
    <row r="726" spans="1:18">
      <c r="A726" s="110" t="s">
        <v>750</v>
      </c>
      <c r="B726" s="111" t="s">
        <v>749</v>
      </c>
      <c r="C726" s="112" t="s">
        <v>449</v>
      </c>
      <c r="D726" s="113" t="s">
        <v>17</v>
      </c>
      <c r="E726" s="369" t="s">
        <v>15</v>
      </c>
      <c r="F726" s="369" t="s">
        <v>21</v>
      </c>
      <c r="G726" s="370">
        <v>6.97</v>
      </c>
      <c r="H726" s="125">
        <v>9</v>
      </c>
      <c r="I726" s="32">
        <v>31</v>
      </c>
      <c r="J726" s="117">
        <f t="shared" si="293"/>
        <v>1.9446299999999999</v>
      </c>
      <c r="K726" s="118"/>
      <c r="L726" s="111">
        <v>31</v>
      </c>
      <c r="M726" s="117">
        <f t="shared" si="294"/>
        <v>1.9446299999999999</v>
      </c>
      <c r="N726" s="119">
        <f t="shared" si="295"/>
        <v>0</v>
      </c>
      <c r="O726" s="120">
        <f t="shared" si="296"/>
        <v>0</v>
      </c>
      <c r="P726" s="111"/>
      <c r="Q726" s="32"/>
      <c r="R726" s="32"/>
    </row>
    <row r="727" spans="1:18">
      <c r="A727" s="110" t="s">
        <v>750</v>
      </c>
      <c r="B727" s="111" t="s">
        <v>749</v>
      </c>
      <c r="C727" s="112" t="s">
        <v>449</v>
      </c>
      <c r="D727" s="113" t="s">
        <v>17</v>
      </c>
      <c r="E727" s="369" t="s">
        <v>15</v>
      </c>
      <c r="F727" s="369" t="s">
        <v>21</v>
      </c>
      <c r="G727" s="370">
        <v>6.97</v>
      </c>
      <c r="H727" s="125">
        <v>7.3</v>
      </c>
      <c r="I727" s="32">
        <v>13</v>
      </c>
      <c r="J727" s="117">
        <f t="shared" si="293"/>
        <v>0.66145299999999996</v>
      </c>
      <c r="K727" s="118"/>
      <c r="L727" s="111">
        <v>13</v>
      </c>
      <c r="M727" s="117">
        <f t="shared" si="294"/>
        <v>0.66145299999999985</v>
      </c>
      <c r="N727" s="119">
        <f t="shared" si="295"/>
        <v>0</v>
      </c>
      <c r="O727" s="120">
        <f t="shared" si="296"/>
        <v>0</v>
      </c>
      <c r="P727" s="111"/>
      <c r="Q727" s="32"/>
      <c r="R727" s="32"/>
    </row>
    <row r="728" spans="1:18">
      <c r="A728" s="110" t="s">
        <v>750</v>
      </c>
      <c r="B728" s="111" t="s">
        <v>749</v>
      </c>
      <c r="C728" s="112" t="s">
        <v>449</v>
      </c>
      <c r="D728" s="113" t="s">
        <v>17</v>
      </c>
      <c r="E728" s="369" t="s">
        <v>15</v>
      </c>
      <c r="F728" s="369" t="s">
        <v>21</v>
      </c>
      <c r="G728" s="370">
        <v>6.97</v>
      </c>
      <c r="H728" s="125">
        <v>9.5</v>
      </c>
      <c r="I728" s="32">
        <v>5</v>
      </c>
      <c r="J728" s="117">
        <f t="shared" si="293"/>
        <v>0.33107500000000006</v>
      </c>
      <c r="K728" s="118"/>
      <c r="L728" s="111">
        <v>5</v>
      </c>
      <c r="M728" s="117">
        <f t="shared" si="294"/>
        <v>0.33107500000000001</v>
      </c>
      <c r="N728" s="119">
        <f t="shared" si="295"/>
        <v>0</v>
      </c>
      <c r="O728" s="120">
        <f t="shared" si="296"/>
        <v>0</v>
      </c>
      <c r="P728" s="111"/>
      <c r="Q728" s="32"/>
      <c r="R728" s="32"/>
    </row>
    <row r="729" spans="1:18">
      <c r="A729" s="110" t="s">
        <v>750</v>
      </c>
      <c r="B729" s="111" t="s">
        <v>749</v>
      </c>
      <c r="C729" s="112" t="s">
        <v>449</v>
      </c>
      <c r="D729" s="113" t="s">
        <v>17</v>
      </c>
      <c r="E729" s="369" t="s">
        <v>15</v>
      </c>
      <c r="F729" s="369" t="s">
        <v>21</v>
      </c>
      <c r="G729" s="370">
        <v>6.97</v>
      </c>
      <c r="H729" s="125">
        <v>10.4</v>
      </c>
      <c r="I729" s="32">
        <v>1</v>
      </c>
      <c r="J729" s="117">
        <f t="shared" si="293"/>
        <v>7.2487999999999997E-2</v>
      </c>
      <c r="K729" s="118"/>
      <c r="L729" s="111">
        <v>1</v>
      </c>
      <c r="M729" s="117">
        <f t="shared" si="294"/>
        <v>7.2487999999999997E-2</v>
      </c>
      <c r="N729" s="119">
        <f t="shared" si="295"/>
        <v>0</v>
      </c>
      <c r="O729" s="120">
        <f t="shared" si="296"/>
        <v>0</v>
      </c>
      <c r="P729" s="111"/>
      <c r="Q729" s="32"/>
      <c r="R729" s="32"/>
    </row>
    <row r="730" spans="1:18">
      <c r="A730" s="110" t="s">
        <v>750</v>
      </c>
      <c r="B730" s="111" t="s">
        <v>749</v>
      </c>
      <c r="C730" s="112" t="s">
        <v>449</v>
      </c>
      <c r="D730" s="113" t="s">
        <v>17</v>
      </c>
      <c r="E730" s="369" t="s">
        <v>15</v>
      </c>
      <c r="F730" s="369" t="s">
        <v>21</v>
      </c>
      <c r="G730" s="370">
        <v>6.97</v>
      </c>
      <c r="H730" s="125">
        <v>11</v>
      </c>
      <c r="I730" s="32">
        <v>2</v>
      </c>
      <c r="J730" s="117">
        <f t="shared" si="293"/>
        <v>0.15334</v>
      </c>
      <c r="K730" s="118"/>
      <c r="L730" s="111">
        <v>2</v>
      </c>
      <c r="M730" s="117">
        <f t="shared" si="294"/>
        <v>0.15334</v>
      </c>
      <c r="N730" s="119">
        <f t="shared" si="295"/>
        <v>0</v>
      </c>
      <c r="O730" s="120">
        <f t="shared" si="296"/>
        <v>0</v>
      </c>
      <c r="P730" s="111"/>
      <c r="Q730" s="32"/>
      <c r="R730" s="32"/>
    </row>
    <row r="731" spans="1:18">
      <c r="A731" s="110" t="s">
        <v>750</v>
      </c>
      <c r="B731" s="111" t="s">
        <v>749</v>
      </c>
      <c r="C731" s="112" t="s">
        <v>449</v>
      </c>
      <c r="D731" s="113" t="s">
        <v>17</v>
      </c>
      <c r="E731" s="369" t="s">
        <v>15</v>
      </c>
      <c r="F731" s="369" t="s">
        <v>21</v>
      </c>
      <c r="G731" s="370">
        <v>6.97</v>
      </c>
      <c r="H731" s="125">
        <v>11.1</v>
      </c>
      <c r="I731" s="32">
        <v>1</v>
      </c>
      <c r="J731" s="117">
        <f t="shared" si="293"/>
        <v>7.7366999999999991E-2</v>
      </c>
      <c r="K731" s="118"/>
      <c r="L731" s="111">
        <v>1</v>
      </c>
      <c r="M731" s="117">
        <f t="shared" si="294"/>
        <v>7.7366999999999991E-2</v>
      </c>
      <c r="N731" s="119">
        <f t="shared" si="295"/>
        <v>0</v>
      </c>
      <c r="O731" s="120">
        <f t="shared" si="296"/>
        <v>0</v>
      </c>
      <c r="P731" s="111"/>
      <c r="Q731" s="32"/>
      <c r="R731" s="32"/>
    </row>
    <row r="732" spans="1:18">
      <c r="A732" s="110" t="s">
        <v>750</v>
      </c>
      <c r="B732" s="111" t="s">
        <v>749</v>
      </c>
      <c r="C732" s="112" t="s">
        <v>449</v>
      </c>
      <c r="D732" s="113" t="s">
        <v>17</v>
      </c>
      <c r="E732" s="369" t="s">
        <v>15</v>
      </c>
      <c r="F732" s="369" t="s">
        <v>21</v>
      </c>
      <c r="G732" s="370">
        <v>6.97</v>
      </c>
      <c r="H732" s="125">
        <v>11.5</v>
      </c>
      <c r="I732" s="32">
        <v>1</v>
      </c>
      <c r="J732" s="117">
        <f t="shared" si="293"/>
        <v>8.0155000000000004E-2</v>
      </c>
      <c r="K732" s="118"/>
      <c r="L732" s="111">
        <v>1</v>
      </c>
      <c r="M732" s="117">
        <f t="shared" si="294"/>
        <v>8.0155000000000004E-2</v>
      </c>
      <c r="N732" s="119">
        <f t="shared" si="295"/>
        <v>0</v>
      </c>
      <c r="O732" s="120">
        <f t="shared" si="296"/>
        <v>0</v>
      </c>
      <c r="P732" s="111"/>
      <c r="Q732" s="32"/>
      <c r="R732" s="32"/>
    </row>
    <row r="733" spans="1:18">
      <c r="A733" s="110" t="s">
        <v>750</v>
      </c>
      <c r="B733" s="111" t="s">
        <v>749</v>
      </c>
      <c r="C733" s="112" t="s">
        <v>449</v>
      </c>
      <c r="D733" s="113" t="s">
        <v>17</v>
      </c>
      <c r="E733" s="369" t="s">
        <v>15</v>
      </c>
      <c r="F733" s="369" t="s">
        <v>21</v>
      </c>
      <c r="G733" s="370">
        <v>6.97</v>
      </c>
      <c r="H733" s="125">
        <v>11.7</v>
      </c>
      <c r="I733" s="32">
        <v>6</v>
      </c>
      <c r="J733" s="117">
        <f t="shared" si="293"/>
        <v>0.48929400000000001</v>
      </c>
      <c r="K733" s="118"/>
      <c r="L733" s="111">
        <v>6</v>
      </c>
      <c r="M733" s="117">
        <f t="shared" si="294"/>
        <v>0.48929399999999995</v>
      </c>
      <c r="N733" s="119">
        <f t="shared" si="295"/>
        <v>0</v>
      </c>
      <c r="O733" s="120">
        <f t="shared" si="296"/>
        <v>0</v>
      </c>
      <c r="P733" s="159">
        <v>11</v>
      </c>
      <c r="Q733" s="32">
        <v>6</v>
      </c>
      <c r="R733" s="32"/>
    </row>
    <row r="734" spans="1:18">
      <c r="A734" s="110" t="s">
        <v>750</v>
      </c>
      <c r="B734" s="111" t="s">
        <v>749</v>
      </c>
      <c r="C734" s="112" t="s">
        <v>449</v>
      </c>
      <c r="D734" s="113" t="s">
        <v>17</v>
      </c>
      <c r="E734" s="369" t="s">
        <v>15</v>
      </c>
      <c r="F734" s="369" t="s">
        <v>21</v>
      </c>
      <c r="G734" s="370">
        <v>6.97</v>
      </c>
      <c r="H734" s="125">
        <v>7</v>
      </c>
      <c r="I734" s="32">
        <v>1</v>
      </c>
      <c r="J734" s="117">
        <f t="shared" si="293"/>
        <v>4.879E-2</v>
      </c>
      <c r="K734" s="118"/>
      <c r="L734" s="111"/>
      <c r="M734" s="117">
        <f t="shared" si="294"/>
        <v>0</v>
      </c>
      <c r="N734" s="119">
        <f t="shared" si="295"/>
        <v>1</v>
      </c>
      <c r="O734" s="120">
        <f t="shared" si="296"/>
        <v>4.879E-2</v>
      </c>
      <c r="P734" s="111"/>
      <c r="Q734" s="32"/>
      <c r="R734" s="32"/>
    </row>
    <row r="735" spans="1:18">
      <c r="A735" s="110" t="s">
        <v>750</v>
      </c>
      <c r="B735" s="111" t="s">
        <v>749</v>
      </c>
      <c r="C735" s="112" t="s">
        <v>449</v>
      </c>
      <c r="D735" s="113" t="s">
        <v>17</v>
      </c>
      <c r="E735" s="369" t="s">
        <v>15</v>
      </c>
      <c r="F735" s="369" t="s">
        <v>21</v>
      </c>
      <c r="G735" s="370">
        <v>6.97</v>
      </c>
      <c r="H735" s="125">
        <v>8.5</v>
      </c>
      <c r="I735" s="32">
        <v>1</v>
      </c>
      <c r="J735" s="117">
        <f t="shared" si="293"/>
        <v>5.9244999999999999E-2</v>
      </c>
      <c r="K735" s="118"/>
      <c r="L735" s="111">
        <v>1</v>
      </c>
      <c r="M735" s="117">
        <f t="shared" si="294"/>
        <v>5.9244999999999999E-2</v>
      </c>
      <c r="N735" s="119">
        <f t="shared" si="295"/>
        <v>0</v>
      </c>
      <c r="O735" s="120">
        <f t="shared" si="296"/>
        <v>0</v>
      </c>
      <c r="P735" s="111">
        <v>7.3</v>
      </c>
      <c r="Q735" s="32">
        <v>1</v>
      </c>
      <c r="R735" s="32"/>
    </row>
    <row r="736" spans="1:18">
      <c r="A736" s="110" t="s">
        <v>750</v>
      </c>
      <c r="B736" s="111" t="s">
        <v>749</v>
      </c>
      <c r="C736" s="112" t="s">
        <v>449</v>
      </c>
      <c r="D736" s="113" t="s">
        <v>17</v>
      </c>
      <c r="E736" s="369" t="s">
        <v>15</v>
      </c>
      <c r="F736" s="369" t="s">
        <v>21</v>
      </c>
      <c r="G736" s="370">
        <v>6.97</v>
      </c>
      <c r="H736" s="125">
        <v>8.6999999999999993</v>
      </c>
      <c r="I736" s="32">
        <v>2</v>
      </c>
      <c r="J736" s="117">
        <f t="shared" si="293"/>
        <v>0.121278</v>
      </c>
      <c r="K736" s="118"/>
      <c r="L736" s="111">
        <v>2</v>
      </c>
      <c r="M736" s="117">
        <f t="shared" si="294"/>
        <v>0.121278</v>
      </c>
      <c r="N736" s="119">
        <f t="shared" si="295"/>
        <v>0</v>
      </c>
      <c r="O736" s="120">
        <f t="shared" si="296"/>
        <v>0</v>
      </c>
      <c r="P736" s="111">
        <v>7.3</v>
      </c>
      <c r="Q736" s="32">
        <v>2</v>
      </c>
      <c r="R736" s="32"/>
    </row>
    <row r="737" spans="1:18">
      <c r="A737" s="110" t="s">
        <v>750</v>
      </c>
      <c r="B737" s="111" t="s">
        <v>749</v>
      </c>
      <c r="C737" s="112" t="s">
        <v>449</v>
      </c>
      <c r="D737" s="113" t="s">
        <v>17</v>
      </c>
      <c r="E737" s="369" t="s">
        <v>15</v>
      </c>
      <c r="F737" s="369" t="s">
        <v>21</v>
      </c>
      <c r="G737" s="370">
        <v>6.97</v>
      </c>
      <c r="H737" s="125">
        <v>7.3</v>
      </c>
      <c r="I737" s="32">
        <v>41</v>
      </c>
      <c r="J737" s="117">
        <f t="shared" ref="J737:J763" si="297">H737*G737*I737/1000</f>
        <v>2.0861209999999999</v>
      </c>
      <c r="K737" s="118"/>
      <c r="L737" s="111">
        <v>41</v>
      </c>
      <c r="M737" s="117">
        <f t="shared" ref="M737:M763" si="298">H737*L737*G737/1000</f>
        <v>2.0861209999999999</v>
      </c>
      <c r="N737" s="119">
        <f t="shared" ref="N737:N763" si="299">I737-L737</f>
        <v>0</v>
      </c>
      <c r="O737" s="120">
        <f t="shared" ref="O737:O763" si="300">H737*N737*G737/1000</f>
        <v>0</v>
      </c>
      <c r="P737" s="111"/>
      <c r="Q737" s="32"/>
      <c r="R737" s="32"/>
    </row>
    <row r="738" spans="1:18">
      <c r="A738" s="110" t="s">
        <v>750</v>
      </c>
      <c r="B738" s="111" t="s">
        <v>749</v>
      </c>
      <c r="C738" s="112" t="s">
        <v>449</v>
      </c>
      <c r="D738" s="113" t="s">
        <v>17</v>
      </c>
      <c r="E738" s="369" t="s">
        <v>15</v>
      </c>
      <c r="F738" s="369" t="s">
        <v>21</v>
      </c>
      <c r="G738" s="370">
        <v>6.97</v>
      </c>
      <c r="H738" s="125">
        <v>7.3</v>
      </c>
      <c r="I738" s="32">
        <v>41</v>
      </c>
      <c r="J738" s="117">
        <f t="shared" si="297"/>
        <v>2.0861209999999999</v>
      </c>
      <c r="K738" s="118"/>
      <c r="L738" s="111">
        <v>41</v>
      </c>
      <c r="M738" s="117">
        <f t="shared" si="298"/>
        <v>2.0861209999999999</v>
      </c>
      <c r="N738" s="119">
        <f t="shared" si="299"/>
        <v>0</v>
      </c>
      <c r="O738" s="120">
        <f t="shared" si="300"/>
        <v>0</v>
      </c>
      <c r="P738" s="111"/>
      <c r="Q738" s="32"/>
      <c r="R738" s="32"/>
    </row>
    <row r="739" spans="1:18">
      <c r="A739" s="110" t="s">
        <v>750</v>
      </c>
      <c r="B739" s="111" t="s">
        <v>749</v>
      </c>
      <c r="C739" s="112" t="s">
        <v>449</v>
      </c>
      <c r="D739" s="113" t="s">
        <v>17</v>
      </c>
      <c r="E739" s="369" t="s">
        <v>15</v>
      </c>
      <c r="F739" s="369" t="s">
        <v>21</v>
      </c>
      <c r="G739" s="370">
        <v>6.97</v>
      </c>
      <c r="H739" s="125">
        <v>7.3</v>
      </c>
      <c r="I739" s="32">
        <v>44</v>
      </c>
      <c r="J739" s="117">
        <f t="shared" si="297"/>
        <v>2.2387640000000002</v>
      </c>
      <c r="K739" s="118"/>
      <c r="L739" s="111">
        <v>44</v>
      </c>
      <c r="M739" s="117">
        <f t="shared" si="298"/>
        <v>2.2387639999999998</v>
      </c>
      <c r="N739" s="119">
        <f t="shared" si="299"/>
        <v>0</v>
      </c>
      <c r="O739" s="120">
        <f t="shared" si="300"/>
        <v>0</v>
      </c>
      <c r="P739" s="111"/>
      <c r="Q739" s="32"/>
      <c r="R739" s="32"/>
    </row>
    <row r="740" spans="1:18">
      <c r="A740" s="110" t="s">
        <v>750</v>
      </c>
      <c r="B740" s="111" t="s">
        <v>749</v>
      </c>
      <c r="C740" s="112" t="s">
        <v>449</v>
      </c>
      <c r="D740" s="113" t="s">
        <v>17</v>
      </c>
      <c r="E740" s="369" t="s">
        <v>15</v>
      </c>
      <c r="F740" s="369" t="s">
        <v>21</v>
      </c>
      <c r="G740" s="370">
        <v>6.97</v>
      </c>
      <c r="H740" s="125">
        <v>7.3</v>
      </c>
      <c r="I740" s="32">
        <v>44</v>
      </c>
      <c r="J740" s="117">
        <f t="shared" si="297"/>
        <v>2.2387640000000002</v>
      </c>
      <c r="K740" s="118"/>
      <c r="L740" s="111">
        <v>44</v>
      </c>
      <c r="M740" s="117">
        <f t="shared" si="298"/>
        <v>2.2387639999999998</v>
      </c>
      <c r="N740" s="119">
        <f t="shared" si="299"/>
        <v>0</v>
      </c>
      <c r="O740" s="120">
        <f t="shared" si="300"/>
        <v>0</v>
      </c>
      <c r="P740" s="111"/>
      <c r="Q740" s="32"/>
      <c r="R740" s="32"/>
    </row>
    <row r="741" spans="1:18">
      <c r="A741" s="110" t="s">
        <v>750</v>
      </c>
      <c r="B741" s="111" t="s">
        <v>749</v>
      </c>
      <c r="C741" s="112" t="s">
        <v>449</v>
      </c>
      <c r="D741" s="113" t="s">
        <v>17</v>
      </c>
      <c r="E741" s="369" t="s">
        <v>15</v>
      </c>
      <c r="F741" s="369" t="s">
        <v>21</v>
      </c>
      <c r="G741" s="370">
        <v>6.97</v>
      </c>
      <c r="H741" s="125">
        <v>7.3</v>
      </c>
      <c r="I741" s="32">
        <v>43</v>
      </c>
      <c r="J741" s="117">
        <f t="shared" si="297"/>
        <v>2.1878829999999998</v>
      </c>
      <c r="K741" s="118"/>
      <c r="L741" s="111">
        <v>43</v>
      </c>
      <c r="M741" s="117">
        <f t="shared" si="298"/>
        <v>2.1878829999999998</v>
      </c>
      <c r="N741" s="119">
        <f t="shared" si="299"/>
        <v>0</v>
      </c>
      <c r="O741" s="120">
        <f t="shared" si="300"/>
        <v>0</v>
      </c>
      <c r="P741" s="111"/>
      <c r="Q741" s="32"/>
      <c r="R741" s="32"/>
    </row>
    <row r="742" spans="1:18">
      <c r="A742" s="110" t="s">
        <v>750</v>
      </c>
      <c r="B742" s="111" t="s">
        <v>749</v>
      </c>
      <c r="C742" s="112" t="s">
        <v>449</v>
      </c>
      <c r="D742" s="113" t="s">
        <v>17</v>
      </c>
      <c r="E742" s="369" t="s">
        <v>15</v>
      </c>
      <c r="F742" s="369" t="s">
        <v>21</v>
      </c>
      <c r="G742" s="370">
        <v>6.97</v>
      </c>
      <c r="H742" s="125">
        <v>7.3</v>
      </c>
      <c r="I742" s="32">
        <v>48</v>
      </c>
      <c r="J742" s="117">
        <f t="shared" si="297"/>
        <v>2.442288</v>
      </c>
      <c r="K742" s="118"/>
      <c r="L742" s="111">
        <v>48</v>
      </c>
      <c r="M742" s="117">
        <f t="shared" si="298"/>
        <v>2.4422879999999996</v>
      </c>
      <c r="N742" s="119">
        <f t="shared" si="299"/>
        <v>0</v>
      </c>
      <c r="O742" s="120">
        <f t="shared" si="300"/>
        <v>0</v>
      </c>
      <c r="P742" s="111"/>
      <c r="Q742" s="32"/>
      <c r="R742" s="32"/>
    </row>
    <row r="743" spans="1:18">
      <c r="A743" s="110" t="s">
        <v>750</v>
      </c>
      <c r="B743" s="111" t="s">
        <v>749</v>
      </c>
      <c r="C743" s="112" t="s">
        <v>449</v>
      </c>
      <c r="D743" s="113" t="s">
        <v>17</v>
      </c>
      <c r="E743" s="369" t="s">
        <v>15</v>
      </c>
      <c r="F743" s="369" t="s">
        <v>21</v>
      </c>
      <c r="G743" s="370">
        <v>6.97</v>
      </c>
      <c r="H743" s="125">
        <v>7.3</v>
      </c>
      <c r="I743" s="32">
        <v>50</v>
      </c>
      <c r="J743" s="117">
        <f t="shared" si="297"/>
        <v>2.5440500000000004</v>
      </c>
      <c r="K743" s="118"/>
      <c r="L743" s="111">
        <v>50</v>
      </c>
      <c r="M743" s="117">
        <f t="shared" si="298"/>
        <v>2.5440499999999999</v>
      </c>
      <c r="N743" s="119">
        <f t="shared" si="299"/>
        <v>0</v>
      </c>
      <c r="O743" s="120">
        <f t="shared" si="300"/>
        <v>0</v>
      </c>
      <c r="P743" s="111"/>
      <c r="Q743" s="32"/>
      <c r="R743" s="32"/>
    </row>
    <row r="744" spans="1:18">
      <c r="A744" s="110" t="s">
        <v>750</v>
      </c>
      <c r="B744" s="111" t="s">
        <v>749</v>
      </c>
      <c r="C744" s="112" t="s">
        <v>449</v>
      </c>
      <c r="D744" s="113" t="s">
        <v>17</v>
      </c>
      <c r="E744" s="369" t="s">
        <v>15</v>
      </c>
      <c r="F744" s="369" t="s">
        <v>21</v>
      </c>
      <c r="G744" s="370">
        <v>6.97</v>
      </c>
      <c r="H744" s="125">
        <v>10.4</v>
      </c>
      <c r="I744" s="32">
        <v>38</v>
      </c>
      <c r="J744" s="117">
        <f t="shared" si="297"/>
        <v>2.7545439999999997</v>
      </c>
      <c r="K744" s="118"/>
      <c r="L744" s="111">
        <v>38</v>
      </c>
      <c r="M744" s="117">
        <f t="shared" si="298"/>
        <v>2.7545439999999997</v>
      </c>
      <c r="N744" s="119">
        <f t="shared" si="299"/>
        <v>0</v>
      </c>
      <c r="O744" s="120">
        <f t="shared" si="300"/>
        <v>0</v>
      </c>
      <c r="P744" s="111"/>
      <c r="Q744" s="32"/>
      <c r="R744" s="32"/>
    </row>
    <row r="745" spans="1:18">
      <c r="A745" s="110" t="s">
        <v>750</v>
      </c>
      <c r="B745" s="111" t="s">
        <v>749</v>
      </c>
      <c r="C745" s="112" t="s">
        <v>449</v>
      </c>
      <c r="D745" s="113" t="s">
        <v>17</v>
      </c>
      <c r="E745" s="369" t="s">
        <v>15</v>
      </c>
      <c r="F745" s="369" t="s">
        <v>21</v>
      </c>
      <c r="G745" s="370">
        <v>6.97</v>
      </c>
      <c r="H745" s="125">
        <v>9.5</v>
      </c>
      <c r="I745" s="32">
        <v>38</v>
      </c>
      <c r="J745" s="117">
        <f t="shared" si="297"/>
        <v>2.5161700000000002</v>
      </c>
      <c r="K745" s="118"/>
      <c r="L745" s="111">
        <v>38</v>
      </c>
      <c r="M745" s="117">
        <f t="shared" si="298"/>
        <v>2.5161700000000002</v>
      </c>
      <c r="N745" s="119">
        <f t="shared" si="299"/>
        <v>0</v>
      </c>
      <c r="O745" s="120">
        <f t="shared" si="300"/>
        <v>0</v>
      </c>
      <c r="P745" s="111"/>
      <c r="Q745" s="32"/>
      <c r="R745" s="32"/>
    </row>
    <row r="746" spans="1:18">
      <c r="A746" s="110" t="s">
        <v>750</v>
      </c>
      <c r="B746" s="111" t="s">
        <v>749</v>
      </c>
      <c r="C746" s="112" t="s">
        <v>449</v>
      </c>
      <c r="D746" s="113" t="s">
        <v>17</v>
      </c>
      <c r="E746" s="369" t="s">
        <v>15</v>
      </c>
      <c r="F746" s="369" t="s">
        <v>21</v>
      </c>
      <c r="G746" s="370">
        <v>6.97</v>
      </c>
      <c r="H746" s="125">
        <v>11.5</v>
      </c>
      <c r="I746" s="32">
        <v>18</v>
      </c>
      <c r="J746" s="117">
        <f t="shared" si="297"/>
        <v>1.44279</v>
      </c>
      <c r="K746" s="118"/>
      <c r="L746" s="111">
        <v>18</v>
      </c>
      <c r="M746" s="117">
        <f t="shared" si="298"/>
        <v>1.44279</v>
      </c>
      <c r="N746" s="119">
        <f t="shared" si="299"/>
        <v>0</v>
      </c>
      <c r="O746" s="120">
        <f t="shared" si="300"/>
        <v>0</v>
      </c>
      <c r="P746" s="111"/>
      <c r="Q746" s="32"/>
      <c r="R746" s="32"/>
    </row>
    <row r="747" spans="1:18">
      <c r="A747" s="110" t="s">
        <v>750</v>
      </c>
      <c r="B747" s="111" t="s">
        <v>749</v>
      </c>
      <c r="C747" s="112" t="s">
        <v>449</v>
      </c>
      <c r="D747" s="113" t="s">
        <v>17</v>
      </c>
      <c r="E747" s="369" t="s">
        <v>15</v>
      </c>
      <c r="F747" s="369" t="s">
        <v>21</v>
      </c>
      <c r="G747" s="370">
        <v>6.97</v>
      </c>
      <c r="H747" s="125">
        <v>7.3</v>
      </c>
      <c r="I747" s="32">
        <v>35</v>
      </c>
      <c r="J747" s="117">
        <f t="shared" si="297"/>
        <v>1.7808349999999999</v>
      </c>
      <c r="K747" s="118"/>
      <c r="L747" s="111">
        <v>35</v>
      </c>
      <c r="M747" s="117">
        <f t="shared" si="298"/>
        <v>1.7808349999999999</v>
      </c>
      <c r="N747" s="119">
        <f t="shared" si="299"/>
        <v>0</v>
      </c>
      <c r="O747" s="120">
        <f t="shared" si="300"/>
        <v>0</v>
      </c>
      <c r="P747" s="111"/>
      <c r="Q747" s="32"/>
      <c r="R747" s="32"/>
    </row>
    <row r="748" spans="1:18">
      <c r="A748" s="110" t="s">
        <v>750</v>
      </c>
      <c r="B748" s="111" t="s">
        <v>749</v>
      </c>
      <c r="C748" s="112" t="s">
        <v>449</v>
      </c>
      <c r="D748" s="113" t="s">
        <v>17</v>
      </c>
      <c r="E748" s="369" t="s">
        <v>15</v>
      </c>
      <c r="F748" s="369" t="s">
        <v>21</v>
      </c>
      <c r="G748" s="370">
        <v>6.97</v>
      </c>
      <c r="H748" s="125">
        <v>9</v>
      </c>
      <c r="I748" s="32">
        <v>16</v>
      </c>
      <c r="J748" s="117">
        <f t="shared" si="297"/>
        <v>1.0036799999999999</v>
      </c>
      <c r="K748" s="118"/>
      <c r="L748" s="111">
        <v>16</v>
      </c>
      <c r="M748" s="117">
        <f t="shared" si="298"/>
        <v>1.0036799999999999</v>
      </c>
      <c r="N748" s="119">
        <f t="shared" si="299"/>
        <v>0</v>
      </c>
      <c r="O748" s="120">
        <f t="shared" si="300"/>
        <v>0</v>
      </c>
      <c r="P748" s="111"/>
      <c r="Q748" s="32"/>
      <c r="R748" s="32"/>
    </row>
    <row r="749" spans="1:18">
      <c r="A749" s="110" t="s">
        <v>750</v>
      </c>
      <c r="B749" s="111" t="s">
        <v>749</v>
      </c>
      <c r="C749" s="112" t="s">
        <v>449</v>
      </c>
      <c r="D749" s="113" t="s">
        <v>17</v>
      </c>
      <c r="E749" s="369" t="s">
        <v>15</v>
      </c>
      <c r="F749" s="369" t="s">
        <v>21</v>
      </c>
      <c r="G749" s="370">
        <v>6.97</v>
      </c>
      <c r="H749" s="125">
        <v>9</v>
      </c>
      <c r="I749" s="32">
        <v>34</v>
      </c>
      <c r="J749" s="117">
        <f t="shared" si="297"/>
        <v>2.1328199999999997</v>
      </c>
      <c r="K749" s="118"/>
      <c r="L749" s="111">
        <v>34</v>
      </c>
      <c r="M749" s="117">
        <f t="shared" si="298"/>
        <v>2.1328199999999997</v>
      </c>
      <c r="N749" s="119">
        <f t="shared" si="299"/>
        <v>0</v>
      </c>
      <c r="O749" s="120">
        <f t="shared" si="300"/>
        <v>0</v>
      </c>
      <c r="P749" s="111"/>
      <c r="Q749" s="32"/>
      <c r="R749" s="32"/>
    </row>
    <row r="750" spans="1:18">
      <c r="A750" s="110" t="s">
        <v>750</v>
      </c>
      <c r="B750" s="111" t="s">
        <v>749</v>
      </c>
      <c r="C750" s="112" t="s">
        <v>449</v>
      </c>
      <c r="D750" s="113" t="s">
        <v>17</v>
      </c>
      <c r="E750" s="369" t="s">
        <v>15</v>
      </c>
      <c r="F750" s="369" t="s">
        <v>21</v>
      </c>
      <c r="G750" s="370">
        <v>6.97</v>
      </c>
      <c r="H750" s="125">
        <v>9.5</v>
      </c>
      <c r="I750" s="32">
        <v>10</v>
      </c>
      <c r="J750" s="117">
        <f t="shared" si="297"/>
        <v>0.66215000000000013</v>
      </c>
      <c r="K750" s="118"/>
      <c r="L750" s="111">
        <v>10</v>
      </c>
      <c r="M750" s="117">
        <f t="shared" si="298"/>
        <v>0.66215000000000002</v>
      </c>
      <c r="N750" s="119">
        <f t="shared" si="299"/>
        <v>0</v>
      </c>
      <c r="O750" s="120">
        <f t="shared" si="300"/>
        <v>0</v>
      </c>
      <c r="P750" s="111"/>
      <c r="Q750" s="32"/>
      <c r="R750" s="32"/>
    </row>
    <row r="751" spans="1:18">
      <c r="A751" s="110" t="s">
        <v>750</v>
      </c>
      <c r="B751" s="111" t="s">
        <v>749</v>
      </c>
      <c r="C751" s="112" t="s">
        <v>449</v>
      </c>
      <c r="D751" s="113" t="s">
        <v>17</v>
      </c>
      <c r="E751" s="369" t="s">
        <v>15</v>
      </c>
      <c r="F751" s="369" t="s">
        <v>21</v>
      </c>
      <c r="G751" s="370">
        <v>6.97</v>
      </c>
      <c r="H751" s="125">
        <v>11</v>
      </c>
      <c r="I751" s="32">
        <v>28</v>
      </c>
      <c r="J751" s="117">
        <f t="shared" si="297"/>
        <v>2.14676</v>
      </c>
      <c r="K751" s="118"/>
      <c r="L751" s="111">
        <v>28</v>
      </c>
      <c r="M751" s="117">
        <f t="shared" si="298"/>
        <v>2.1467599999999996</v>
      </c>
      <c r="N751" s="119">
        <f t="shared" si="299"/>
        <v>0</v>
      </c>
      <c r="O751" s="120">
        <f t="shared" si="300"/>
        <v>0</v>
      </c>
      <c r="P751" s="111"/>
      <c r="Q751" s="32"/>
      <c r="R751" s="32"/>
    </row>
    <row r="752" spans="1:18">
      <c r="A752" s="110" t="s">
        <v>750</v>
      </c>
      <c r="B752" s="111" t="s">
        <v>749</v>
      </c>
      <c r="C752" s="112" t="s">
        <v>449</v>
      </c>
      <c r="D752" s="113" t="s">
        <v>17</v>
      </c>
      <c r="E752" s="369" t="s">
        <v>15</v>
      </c>
      <c r="F752" s="369" t="s">
        <v>21</v>
      </c>
      <c r="G752" s="370">
        <v>6.97</v>
      </c>
      <c r="H752" s="125">
        <v>11.1</v>
      </c>
      <c r="I752" s="32">
        <v>6</v>
      </c>
      <c r="J752" s="117">
        <f t="shared" si="297"/>
        <v>0.46420199999999995</v>
      </c>
      <c r="K752" s="118"/>
      <c r="L752" s="111">
        <v>6</v>
      </c>
      <c r="M752" s="117">
        <f t="shared" si="298"/>
        <v>0.46420199999999995</v>
      </c>
      <c r="N752" s="119">
        <f t="shared" si="299"/>
        <v>0</v>
      </c>
      <c r="O752" s="120">
        <f t="shared" si="300"/>
        <v>0</v>
      </c>
      <c r="P752" s="111"/>
      <c r="Q752" s="32"/>
      <c r="R752" s="32"/>
    </row>
    <row r="753" spans="1:18">
      <c r="A753" s="110" t="s">
        <v>750</v>
      </c>
      <c r="B753" s="111" t="s">
        <v>749</v>
      </c>
      <c r="C753" s="112" t="s">
        <v>449</v>
      </c>
      <c r="D753" s="113" t="s">
        <v>17</v>
      </c>
      <c r="E753" s="369" t="s">
        <v>15</v>
      </c>
      <c r="F753" s="369" t="s">
        <v>21</v>
      </c>
      <c r="G753" s="370">
        <v>6.97</v>
      </c>
      <c r="H753" s="125">
        <v>11.7</v>
      </c>
      <c r="I753" s="32">
        <v>4</v>
      </c>
      <c r="J753" s="117">
        <f t="shared" si="297"/>
        <v>0.32619599999999999</v>
      </c>
      <c r="K753" s="118"/>
      <c r="L753" s="111">
        <v>4</v>
      </c>
      <c r="M753" s="117">
        <f t="shared" si="298"/>
        <v>0.32619599999999999</v>
      </c>
      <c r="N753" s="119">
        <f t="shared" si="299"/>
        <v>0</v>
      </c>
      <c r="O753" s="120">
        <f t="shared" si="300"/>
        <v>0</v>
      </c>
      <c r="P753" s="159">
        <v>10.4</v>
      </c>
      <c r="Q753" s="32">
        <v>4</v>
      </c>
      <c r="R753" s="32"/>
    </row>
    <row r="754" spans="1:18">
      <c r="A754" s="110" t="s">
        <v>750</v>
      </c>
      <c r="B754" s="111" t="s">
        <v>749</v>
      </c>
      <c r="C754" s="112" t="s">
        <v>449</v>
      </c>
      <c r="D754" s="113" t="s">
        <v>17</v>
      </c>
      <c r="E754" s="369" t="s">
        <v>15</v>
      </c>
      <c r="F754" s="369" t="s">
        <v>21</v>
      </c>
      <c r="G754" s="370">
        <v>6.97</v>
      </c>
      <c r="H754" s="125">
        <v>12</v>
      </c>
      <c r="I754" s="32">
        <v>6</v>
      </c>
      <c r="J754" s="117">
        <f t="shared" si="297"/>
        <v>0.50184000000000006</v>
      </c>
      <c r="K754" s="118"/>
      <c r="L754" s="111">
        <v>6</v>
      </c>
      <c r="M754" s="117">
        <f t="shared" si="298"/>
        <v>0.50183999999999995</v>
      </c>
      <c r="N754" s="119">
        <f t="shared" si="299"/>
        <v>0</v>
      </c>
      <c r="O754" s="120">
        <f t="shared" si="300"/>
        <v>0</v>
      </c>
      <c r="P754" s="111"/>
      <c r="Q754" s="32"/>
      <c r="R754" s="32"/>
    </row>
    <row r="755" spans="1:18">
      <c r="A755" s="110" t="s">
        <v>750</v>
      </c>
      <c r="B755" s="111" t="s">
        <v>749</v>
      </c>
      <c r="C755" s="112" t="s">
        <v>449</v>
      </c>
      <c r="D755" s="113" t="s">
        <v>17</v>
      </c>
      <c r="E755" s="369" t="s">
        <v>15</v>
      </c>
      <c r="F755" s="369" t="s">
        <v>21</v>
      </c>
      <c r="G755" s="370">
        <v>6.97</v>
      </c>
      <c r="H755" s="125">
        <v>10</v>
      </c>
      <c r="I755" s="32">
        <v>12</v>
      </c>
      <c r="J755" s="117">
        <f t="shared" si="297"/>
        <v>0.83640000000000014</v>
      </c>
      <c r="K755" s="118"/>
      <c r="L755" s="111">
        <v>12</v>
      </c>
      <c r="M755" s="117">
        <f t="shared" si="298"/>
        <v>0.83640000000000003</v>
      </c>
      <c r="N755" s="119">
        <f t="shared" si="299"/>
        <v>0</v>
      </c>
      <c r="O755" s="120">
        <f t="shared" si="300"/>
        <v>0</v>
      </c>
      <c r="P755" s="111"/>
      <c r="Q755" s="32"/>
      <c r="R755" s="32"/>
    </row>
    <row r="756" spans="1:18">
      <c r="A756" s="110" t="s">
        <v>750</v>
      </c>
      <c r="B756" s="111" t="s">
        <v>749</v>
      </c>
      <c r="C756" s="112" t="s">
        <v>449</v>
      </c>
      <c r="D756" s="113" t="s">
        <v>17</v>
      </c>
      <c r="E756" s="369" t="s">
        <v>15</v>
      </c>
      <c r="F756" s="369" t="s">
        <v>21</v>
      </c>
      <c r="G756" s="370">
        <v>6.97</v>
      </c>
      <c r="H756" s="125">
        <v>10.4</v>
      </c>
      <c r="I756" s="32">
        <v>17</v>
      </c>
      <c r="J756" s="117">
        <f t="shared" si="297"/>
        <v>1.2322960000000001</v>
      </c>
      <c r="K756" s="118"/>
      <c r="L756" s="111">
        <v>17</v>
      </c>
      <c r="M756" s="117">
        <f t="shared" si="298"/>
        <v>1.2322960000000001</v>
      </c>
      <c r="N756" s="119">
        <f t="shared" si="299"/>
        <v>0</v>
      </c>
      <c r="O756" s="120">
        <f t="shared" si="300"/>
        <v>0</v>
      </c>
      <c r="P756" s="111"/>
      <c r="Q756" s="32"/>
      <c r="R756" s="32"/>
    </row>
    <row r="757" spans="1:18">
      <c r="A757" s="110" t="s">
        <v>750</v>
      </c>
      <c r="B757" s="111" t="s">
        <v>749</v>
      </c>
      <c r="C757" s="112" t="s">
        <v>449</v>
      </c>
      <c r="D757" s="113" t="s">
        <v>17</v>
      </c>
      <c r="E757" s="369" t="s">
        <v>15</v>
      </c>
      <c r="F757" s="369" t="s">
        <v>21</v>
      </c>
      <c r="G757" s="370">
        <v>6.97</v>
      </c>
      <c r="H757" s="125">
        <v>6.2</v>
      </c>
      <c r="I757" s="32">
        <v>1</v>
      </c>
      <c r="J757" s="117">
        <f t="shared" si="297"/>
        <v>4.3213999999999995E-2</v>
      </c>
      <c r="K757" s="118"/>
      <c r="L757" s="111"/>
      <c r="M757" s="117">
        <f t="shared" si="298"/>
        <v>0</v>
      </c>
      <c r="N757" s="119">
        <f t="shared" si="299"/>
        <v>1</v>
      </c>
      <c r="O757" s="120">
        <f t="shared" si="300"/>
        <v>4.3213999999999995E-2</v>
      </c>
      <c r="P757" s="111"/>
      <c r="Q757" s="32"/>
      <c r="R757" s="32"/>
    </row>
    <row r="758" spans="1:18">
      <c r="A758" s="110" t="s">
        <v>750</v>
      </c>
      <c r="B758" s="111" t="s">
        <v>749</v>
      </c>
      <c r="C758" s="112" t="s">
        <v>449</v>
      </c>
      <c r="D758" s="113" t="s">
        <v>17</v>
      </c>
      <c r="E758" s="369" t="s">
        <v>15</v>
      </c>
      <c r="F758" s="369" t="s">
        <v>21</v>
      </c>
      <c r="G758" s="370">
        <v>6.97</v>
      </c>
      <c r="H758" s="125">
        <v>6.6</v>
      </c>
      <c r="I758" s="32">
        <v>2</v>
      </c>
      <c r="J758" s="117">
        <f t="shared" si="297"/>
        <v>9.2003999999999989E-2</v>
      </c>
      <c r="K758" s="118"/>
      <c r="L758" s="111"/>
      <c r="M758" s="117">
        <f t="shared" si="298"/>
        <v>0</v>
      </c>
      <c r="N758" s="119">
        <f t="shared" si="299"/>
        <v>2</v>
      </c>
      <c r="O758" s="120">
        <f t="shared" si="300"/>
        <v>9.2003999999999989E-2</v>
      </c>
      <c r="P758" s="111"/>
      <c r="Q758" s="32"/>
      <c r="R758" s="32"/>
    </row>
    <row r="759" spans="1:18">
      <c r="A759" s="110" t="s">
        <v>750</v>
      </c>
      <c r="B759" s="111" t="s">
        <v>749</v>
      </c>
      <c r="C759" s="112" t="s">
        <v>449</v>
      </c>
      <c r="D759" s="113" t="s">
        <v>17</v>
      </c>
      <c r="E759" s="369" t="s">
        <v>15</v>
      </c>
      <c r="F759" s="369" t="s">
        <v>21</v>
      </c>
      <c r="G759" s="370">
        <v>6.97</v>
      </c>
      <c r="H759" s="125">
        <v>6.9</v>
      </c>
      <c r="I759" s="32">
        <v>1</v>
      </c>
      <c r="J759" s="117">
        <f t="shared" si="297"/>
        <v>4.8093000000000004E-2</v>
      </c>
      <c r="K759" s="118"/>
      <c r="L759" s="111"/>
      <c r="M759" s="117">
        <f t="shared" si="298"/>
        <v>0</v>
      </c>
      <c r="N759" s="119">
        <f t="shared" si="299"/>
        <v>1</v>
      </c>
      <c r="O759" s="120">
        <f t="shared" si="300"/>
        <v>4.8093000000000004E-2</v>
      </c>
      <c r="P759" s="111"/>
      <c r="Q759" s="32"/>
      <c r="R759" s="32"/>
    </row>
    <row r="760" spans="1:18">
      <c r="A760" s="110" t="s">
        <v>750</v>
      </c>
      <c r="B760" s="111" t="s">
        <v>749</v>
      </c>
      <c r="C760" s="112" t="s">
        <v>449</v>
      </c>
      <c r="D760" s="113" t="s">
        <v>17</v>
      </c>
      <c r="E760" s="369" t="s">
        <v>15</v>
      </c>
      <c r="F760" s="369" t="s">
        <v>21</v>
      </c>
      <c r="G760" s="370">
        <v>6.97</v>
      </c>
      <c r="H760" s="125">
        <v>7</v>
      </c>
      <c r="I760" s="32">
        <v>9</v>
      </c>
      <c r="J760" s="117">
        <f t="shared" si="297"/>
        <v>0.43911</v>
      </c>
      <c r="K760" s="118"/>
      <c r="L760" s="111"/>
      <c r="M760" s="117">
        <f t="shared" si="298"/>
        <v>0</v>
      </c>
      <c r="N760" s="119">
        <f t="shared" si="299"/>
        <v>9</v>
      </c>
      <c r="O760" s="120">
        <f t="shared" si="300"/>
        <v>0.43910999999999994</v>
      </c>
      <c r="P760" s="111"/>
      <c r="Q760" s="32"/>
      <c r="R760" s="32"/>
    </row>
    <row r="761" spans="1:18">
      <c r="A761" s="110" t="s">
        <v>750</v>
      </c>
      <c r="B761" s="111" t="s">
        <v>749</v>
      </c>
      <c r="C761" s="112" t="s">
        <v>449</v>
      </c>
      <c r="D761" s="113" t="s">
        <v>17</v>
      </c>
      <c r="E761" s="369" t="s">
        <v>15</v>
      </c>
      <c r="F761" s="369" t="s">
        <v>21</v>
      </c>
      <c r="G761" s="370">
        <v>6.97</v>
      </c>
      <c r="H761" s="125">
        <v>7.2</v>
      </c>
      <c r="I761" s="32">
        <v>1</v>
      </c>
      <c r="J761" s="117">
        <f t="shared" si="297"/>
        <v>5.0183999999999999E-2</v>
      </c>
      <c r="K761" s="118"/>
      <c r="L761" s="111"/>
      <c r="M761" s="117">
        <f t="shared" si="298"/>
        <v>0</v>
      </c>
      <c r="N761" s="119">
        <f t="shared" si="299"/>
        <v>1</v>
      </c>
      <c r="O761" s="120">
        <f t="shared" si="300"/>
        <v>5.0183999999999999E-2</v>
      </c>
      <c r="P761" s="111"/>
      <c r="Q761" s="32"/>
      <c r="R761" s="32"/>
    </row>
    <row r="762" spans="1:18">
      <c r="A762" s="110" t="s">
        <v>750</v>
      </c>
      <c r="B762" s="111" t="s">
        <v>749</v>
      </c>
      <c r="C762" s="112" t="s">
        <v>449</v>
      </c>
      <c r="D762" s="113" t="s">
        <v>17</v>
      </c>
      <c r="E762" s="369" t="s">
        <v>15</v>
      </c>
      <c r="F762" s="369" t="s">
        <v>21</v>
      </c>
      <c r="G762" s="370">
        <v>6.97</v>
      </c>
      <c r="H762" s="125">
        <v>8.5</v>
      </c>
      <c r="I762" s="32">
        <v>1</v>
      </c>
      <c r="J762" s="117">
        <f t="shared" si="297"/>
        <v>5.9244999999999999E-2</v>
      </c>
      <c r="K762" s="118"/>
      <c r="L762" s="111">
        <v>1</v>
      </c>
      <c r="M762" s="117">
        <f t="shared" si="298"/>
        <v>5.9244999999999999E-2</v>
      </c>
      <c r="N762" s="119">
        <f t="shared" si="299"/>
        <v>0</v>
      </c>
      <c r="O762" s="120">
        <f t="shared" si="300"/>
        <v>0</v>
      </c>
      <c r="P762" s="111">
        <v>7.3</v>
      </c>
      <c r="Q762" s="32">
        <v>1</v>
      </c>
      <c r="R762" s="32"/>
    </row>
    <row r="763" spans="1:18">
      <c r="A763" s="110" t="s">
        <v>750</v>
      </c>
      <c r="B763" s="111" t="s">
        <v>749</v>
      </c>
      <c r="C763" s="112" t="s">
        <v>449</v>
      </c>
      <c r="D763" s="113" t="s">
        <v>17</v>
      </c>
      <c r="E763" s="369" t="s">
        <v>15</v>
      </c>
      <c r="F763" s="369" t="s">
        <v>21</v>
      </c>
      <c r="G763" s="370">
        <v>6.97</v>
      </c>
      <c r="H763" s="125">
        <v>7.3</v>
      </c>
      <c r="I763" s="32">
        <v>43</v>
      </c>
      <c r="J763" s="117">
        <f t="shared" si="297"/>
        <v>2.1878829999999998</v>
      </c>
      <c r="K763" s="118"/>
      <c r="L763" s="111">
        <v>43</v>
      </c>
      <c r="M763" s="117">
        <f t="shared" si="298"/>
        <v>2.1878829999999998</v>
      </c>
      <c r="N763" s="119">
        <f t="shared" si="299"/>
        <v>0</v>
      </c>
      <c r="O763" s="120">
        <f t="shared" si="300"/>
        <v>0</v>
      </c>
      <c r="P763" s="111"/>
      <c r="Q763" s="32"/>
      <c r="R763" s="32"/>
    </row>
    <row r="764" spans="1:18">
      <c r="A764" s="110" t="s">
        <v>750</v>
      </c>
      <c r="B764" s="111" t="s">
        <v>749</v>
      </c>
      <c r="C764" s="112" t="s">
        <v>449</v>
      </c>
      <c r="D764" s="113" t="s">
        <v>17</v>
      </c>
      <c r="E764" s="369" t="s">
        <v>15</v>
      </c>
      <c r="F764" s="369" t="s">
        <v>21</v>
      </c>
      <c r="G764" s="370">
        <v>6.97</v>
      </c>
      <c r="H764" s="125">
        <v>10.4</v>
      </c>
      <c r="I764" s="32">
        <v>33</v>
      </c>
      <c r="J764" s="117">
        <f t="shared" ref="J764:J786" si="301">H764*G764*I764/1000</f>
        <v>2.3921039999999998</v>
      </c>
      <c r="K764" s="118"/>
      <c r="L764" s="111">
        <v>33</v>
      </c>
      <c r="M764" s="117">
        <f t="shared" ref="M764:M786" si="302">H764*L764*G764/1000</f>
        <v>2.3921039999999998</v>
      </c>
      <c r="N764" s="119">
        <f t="shared" ref="N764:N786" si="303">I764-L764</f>
        <v>0</v>
      </c>
      <c r="O764" s="120">
        <f t="shared" ref="O764:O786" si="304">H764*N764*G764/1000</f>
        <v>0</v>
      </c>
      <c r="P764" s="111"/>
      <c r="Q764" s="32"/>
      <c r="R764" s="32"/>
    </row>
    <row r="765" spans="1:18">
      <c r="A765" s="110" t="s">
        <v>750</v>
      </c>
      <c r="B765" s="111" t="s">
        <v>749</v>
      </c>
      <c r="C765" s="112" t="s">
        <v>449</v>
      </c>
      <c r="D765" s="113" t="s">
        <v>17</v>
      </c>
      <c r="E765" s="369" t="s">
        <v>15</v>
      </c>
      <c r="F765" s="369" t="s">
        <v>21</v>
      </c>
      <c r="G765" s="370">
        <v>6.97</v>
      </c>
      <c r="H765" s="125">
        <v>11</v>
      </c>
      <c r="I765" s="32">
        <v>33</v>
      </c>
      <c r="J765" s="117">
        <f t="shared" si="301"/>
        <v>2.5301100000000001</v>
      </c>
      <c r="K765" s="118"/>
      <c r="L765" s="111">
        <v>33</v>
      </c>
      <c r="M765" s="117">
        <f t="shared" si="302"/>
        <v>2.5301100000000001</v>
      </c>
      <c r="N765" s="119">
        <f t="shared" si="303"/>
        <v>0</v>
      </c>
      <c r="O765" s="120">
        <f t="shared" si="304"/>
        <v>0</v>
      </c>
      <c r="P765" s="111"/>
      <c r="Q765" s="32"/>
      <c r="R765" s="32"/>
    </row>
    <row r="766" spans="1:18">
      <c r="A766" s="110" t="s">
        <v>750</v>
      </c>
      <c r="B766" s="111" t="s">
        <v>749</v>
      </c>
      <c r="C766" s="112" t="s">
        <v>449</v>
      </c>
      <c r="D766" s="113" t="s">
        <v>17</v>
      </c>
      <c r="E766" s="369" t="s">
        <v>15</v>
      </c>
      <c r="F766" s="369" t="s">
        <v>21</v>
      </c>
      <c r="G766" s="370">
        <v>6.97</v>
      </c>
      <c r="H766" s="125">
        <v>7.3</v>
      </c>
      <c r="I766" s="32">
        <v>35</v>
      </c>
      <c r="J766" s="117">
        <f t="shared" si="301"/>
        <v>1.7808349999999999</v>
      </c>
      <c r="K766" s="118"/>
      <c r="L766" s="111">
        <v>35</v>
      </c>
      <c r="M766" s="117">
        <f t="shared" si="302"/>
        <v>1.7808349999999999</v>
      </c>
      <c r="N766" s="119">
        <f t="shared" si="303"/>
        <v>0</v>
      </c>
      <c r="O766" s="120">
        <f t="shared" si="304"/>
        <v>0</v>
      </c>
      <c r="P766" s="111"/>
      <c r="Q766" s="32"/>
      <c r="R766" s="32"/>
    </row>
    <row r="767" spans="1:18">
      <c r="A767" s="110" t="s">
        <v>750</v>
      </c>
      <c r="B767" s="111" t="s">
        <v>749</v>
      </c>
      <c r="C767" s="112" t="s">
        <v>449</v>
      </c>
      <c r="D767" s="113" t="s">
        <v>17</v>
      </c>
      <c r="E767" s="369" t="s">
        <v>15</v>
      </c>
      <c r="F767" s="369" t="s">
        <v>21</v>
      </c>
      <c r="G767" s="370">
        <v>6.97</v>
      </c>
      <c r="H767" s="125">
        <v>7.3</v>
      </c>
      <c r="I767" s="32">
        <v>38</v>
      </c>
      <c r="J767" s="117">
        <f t="shared" si="301"/>
        <v>1.933478</v>
      </c>
      <c r="K767" s="118"/>
      <c r="L767" s="111">
        <v>38</v>
      </c>
      <c r="M767" s="117">
        <f t="shared" si="302"/>
        <v>1.9334779999999998</v>
      </c>
      <c r="N767" s="119">
        <f t="shared" si="303"/>
        <v>0</v>
      </c>
      <c r="O767" s="120">
        <f t="shared" si="304"/>
        <v>0</v>
      </c>
      <c r="P767" s="111"/>
      <c r="Q767" s="32"/>
      <c r="R767" s="32"/>
    </row>
    <row r="768" spans="1:18">
      <c r="A768" s="110" t="s">
        <v>750</v>
      </c>
      <c r="B768" s="111" t="s">
        <v>749</v>
      </c>
      <c r="C768" s="112" t="s">
        <v>449</v>
      </c>
      <c r="D768" s="113" t="s">
        <v>17</v>
      </c>
      <c r="E768" s="369" t="s">
        <v>15</v>
      </c>
      <c r="F768" s="369" t="s">
        <v>21</v>
      </c>
      <c r="G768" s="370">
        <v>6.97</v>
      </c>
      <c r="H768" s="125">
        <v>7.3</v>
      </c>
      <c r="I768" s="32">
        <v>37</v>
      </c>
      <c r="J768" s="117">
        <f t="shared" si="301"/>
        <v>1.8825970000000001</v>
      </c>
      <c r="K768" s="118"/>
      <c r="L768" s="111">
        <v>37</v>
      </c>
      <c r="M768" s="117">
        <f t="shared" si="302"/>
        <v>1.8825969999999999</v>
      </c>
      <c r="N768" s="119">
        <f t="shared" si="303"/>
        <v>0</v>
      </c>
      <c r="O768" s="120">
        <f t="shared" si="304"/>
        <v>0</v>
      </c>
      <c r="P768" s="111"/>
      <c r="Q768" s="32"/>
      <c r="R768" s="32"/>
    </row>
    <row r="769" spans="1:18">
      <c r="A769" s="110" t="s">
        <v>750</v>
      </c>
      <c r="B769" s="111" t="s">
        <v>749</v>
      </c>
      <c r="C769" s="112" t="s">
        <v>449</v>
      </c>
      <c r="D769" s="113" t="s">
        <v>17</v>
      </c>
      <c r="E769" s="369" t="s">
        <v>15</v>
      </c>
      <c r="F769" s="369" t="s">
        <v>21</v>
      </c>
      <c r="G769" s="370">
        <v>6.97</v>
      </c>
      <c r="H769" s="125">
        <v>7.3</v>
      </c>
      <c r="I769" s="32">
        <v>36</v>
      </c>
      <c r="J769" s="117">
        <f t="shared" si="301"/>
        <v>1.8317159999999999</v>
      </c>
      <c r="K769" s="118"/>
      <c r="L769" s="111">
        <v>36</v>
      </c>
      <c r="M769" s="117">
        <f t="shared" si="302"/>
        <v>1.8317160000000001</v>
      </c>
      <c r="N769" s="119">
        <f t="shared" si="303"/>
        <v>0</v>
      </c>
      <c r="O769" s="120">
        <f t="shared" si="304"/>
        <v>0</v>
      </c>
      <c r="P769" s="111"/>
      <c r="Q769" s="32"/>
      <c r="R769" s="32"/>
    </row>
    <row r="770" spans="1:18">
      <c r="A770" s="110" t="s">
        <v>750</v>
      </c>
      <c r="B770" s="111" t="s">
        <v>749</v>
      </c>
      <c r="C770" s="112" t="s">
        <v>449</v>
      </c>
      <c r="D770" s="113" t="s">
        <v>17</v>
      </c>
      <c r="E770" s="369" t="s">
        <v>15</v>
      </c>
      <c r="F770" s="369" t="s">
        <v>21</v>
      </c>
      <c r="G770" s="370">
        <v>6.97</v>
      </c>
      <c r="H770" s="125">
        <v>7.3</v>
      </c>
      <c r="I770" s="32">
        <v>36</v>
      </c>
      <c r="J770" s="117">
        <f t="shared" si="301"/>
        <v>1.8317159999999999</v>
      </c>
      <c r="K770" s="118"/>
      <c r="L770" s="111">
        <v>36</v>
      </c>
      <c r="M770" s="117">
        <f t="shared" si="302"/>
        <v>1.8317160000000001</v>
      </c>
      <c r="N770" s="119">
        <f t="shared" si="303"/>
        <v>0</v>
      </c>
      <c r="O770" s="120">
        <f t="shared" si="304"/>
        <v>0</v>
      </c>
      <c r="P770" s="111"/>
      <c r="Q770" s="32"/>
      <c r="R770" s="32"/>
    </row>
    <row r="771" spans="1:18">
      <c r="A771" s="110" t="s">
        <v>750</v>
      </c>
      <c r="B771" s="111" t="s">
        <v>749</v>
      </c>
      <c r="C771" s="112" t="s">
        <v>449</v>
      </c>
      <c r="D771" s="113" t="s">
        <v>17</v>
      </c>
      <c r="E771" s="369" t="s">
        <v>15</v>
      </c>
      <c r="F771" s="369" t="s">
        <v>21</v>
      </c>
      <c r="G771" s="370">
        <v>6.97</v>
      </c>
      <c r="H771" s="125">
        <v>7.3</v>
      </c>
      <c r="I771" s="32">
        <v>38</v>
      </c>
      <c r="J771" s="117">
        <f t="shared" si="301"/>
        <v>1.933478</v>
      </c>
      <c r="K771" s="118"/>
      <c r="L771" s="111">
        <v>38</v>
      </c>
      <c r="M771" s="117">
        <f t="shared" si="302"/>
        <v>1.9334779999999998</v>
      </c>
      <c r="N771" s="119">
        <f t="shared" si="303"/>
        <v>0</v>
      </c>
      <c r="O771" s="120">
        <f t="shared" si="304"/>
        <v>0</v>
      </c>
      <c r="P771" s="111"/>
      <c r="Q771" s="32"/>
      <c r="R771" s="32"/>
    </row>
    <row r="772" spans="1:18">
      <c r="A772" s="110" t="s">
        <v>750</v>
      </c>
      <c r="B772" s="111" t="s">
        <v>749</v>
      </c>
      <c r="C772" s="112" t="s">
        <v>449</v>
      </c>
      <c r="D772" s="113" t="s">
        <v>17</v>
      </c>
      <c r="E772" s="369" t="s">
        <v>15</v>
      </c>
      <c r="F772" s="369" t="s">
        <v>21</v>
      </c>
      <c r="G772" s="370">
        <v>6.97</v>
      </c>
      <c r="H772" s="125">
        <v>7.3</v>
      </c>
      <c r="I772" s="32">
        <v>36</v>
      </c>
      <c r="J772" s="117">
        <f t="shared" si="301"/>
        <v>1.8317159999999999</v>
      </c>
      <c r="K772" s="118"/>
      <c r="L772" s="111">
        <v>36</v>
      </c>
      <c r="M772" s="117">
        <f t="shared" si="302"/>
        <v>1.8317160000000001</v>
      </c>
      <c r="N772" s="119">
        <f t="shared" si="303"/>
        <v>0</v>
      </c>
      <c r="O772" s="120">
        <f t="shared" si="304"/>
        <v>0</v>
      </c>
      <c r="P772" s="111"/>
      <c r="Q772" s="32"/>
      <c r="R772" s="32"/>
    </row>
    <row r="773" spans="1:18">
      <c r="A773" s="110" t="s">
        <v>750</v>
      </c>
      <c r="B773" s="111" t="s">
        <v>749</v>
      </c>
      <c r="C773" s="112" t="s">
        <v>449</v>
      </c>
      <c r="D773" s="113" t="s">
        <v>17</v>
      </c>
      <c r="E773" s="369" t="s">
        <v>15</v>
      </c>
      <c r="F773" s="369" t="s">
        <v>21</v>
      </c>
      <c r="G773" s="370">
        <v>6.97</v>
      </c>
      <c r="H773" s="125">
        <v>7.3</v>
      </c>
      <c r="I773" s="32">
        <v>36</v>
      </c>
      <c r="J773" s="117">
        <f t="shared" si="301"/>
        <v>1.8317159999999999</v>
      </c>
      <c r="K773" s="118"/>
      <c r="L773" s="111">
        <v>36</v>
      </c>
      <c r="M773" s="117">
        <f t="shared" si="302"/>
        <v>1.8317160000000001</v>
      </c>
      <c r="N773" s="119">
        <f t="shared" si="303"/>
        <v>0</v>
      </c>
      <c r="O773" s="120">
        <f t="shared" si="304"/>
        <v>0</v>
      </c>
      <c r="P773" s="111"/>
      <c r="Q773" s="32"/>
      <c r="R773" s="32"/>
    </row>
    <row r="774" spans="1:18">
      <c r="A774" s="110" t="s">
        <v>750</v>
      </c>
      <c r="B774" s="111" t="s">
        <v>749</v>
      </c>
      <c r="C774" s="112" t="s">
        <v>449</v>
      </c>
      <c r="D774" s="113" t="s">
        <v>17</v>
      </c>
      <c r="E774" s="369" t="s">
        <v>15</v>
      </c>
      <c r="F774" s="369" t="s">
        <v>21</v>
      </c>
      <c r="G774" s="370">
        <v>6.97</v>
      </c>
      <c r="H774" s="125">
        <v>7.3</v>
      </c>
      <c r="I774" s="32">
        <v>36</v>
      </c>
      <c r="J774" s="117">
        <f t="shared" si="301"/>
        <v>1.8317159999999999</v>
      </c>
      <c r="K774" s="118"/>
      <c r="L774" s="111">
        <v>36</v>
      </c>
      <c r="M774" s="117">
        <f t="shared" si="302"/>
        <v>1.8317160000000001</v>
      </c>
      <c r="N774" s="119">
        <f t="shared" si="303"/>
        <v>0</v>
      </c>
      <c r="O774" s="120">
        <f t="shared" si="304"/>
        <v>0</v>
      </c>
      <c r="P774" s="111"/>
      <c r="Q774" s="32"/>
      <c r="R774" s="32"/>
    </row>
    <row r="775" spans="1:18">
      <c r="A775" s="110" t="s">
        <v>750</v>
      </c>
      <c r="B775" s="111" t="s">
        <v>749</v>
      </c>
      <c r="C775" s="112" t="s">
        <v>449</v>
      </c>
      <c r="D775" s="113" t="s">
        <v>17</v>
      </c>
      <c r="E775" s="369" t="s">
        <v>15</v>
      </c>
      <c r="F775" s="369" t="s">
        <v>21</v>
      </c>
      <c r="G775" s="370">
        <v>6.97</v>
      </c>
      <c r="H775" s="125">
        <v>7.3</v>
      </c>
      <c r="I775" s="32">
        <v>37</v>
      </c>
      <c r="J775" s="117">
        <f t="shared" si="301"/>
        <v>1.8825970000000001</v>
      </c>
      <c r="K775" s="118"/>
      <c r="L775" s="111">
        <v>37</v>
      </c>
      <c r="M775" s="117">
        <f t="shared" si="302"/>
        <v>1.8825969999999999</v>
      </c>
      <c r="N775" s="119">
        <f t="shared" si="303"/>
        <v>0</v>
      </c>
      <c r="O775" s="120">
        <f t="shared" si="304"/>
        <v>0</v>
      </c>
      <c r="P775" s="111"/>
      <c r="Q775" s="32"/>
      <c r="R775" s="32"/>
    </row>
    <row r="776" spans="1:18">
      <c r="A776" s="110" t="s">
        <v>750</v>
      </c>
      <c r="B776" s="111" t="s">
        <v>749</v>
      </c>
      <c r="C776" s="112" t="s">
        <v>449</v>
      </c>
      <c r="D776" s="113" t="s">
        <v>17</v>
      </c>
      <c r="E776" s="369" t="s">
        <v>15</v>
      </c>
      <c r="F776" s="369" t="s">
        <v>21</v>
      </c>
      <c r="G776" s="370">
        <v>6.97</v>
      </c>
      <c r="H776" s="125">
        <v>7.3</v>
      </c>
      <c r="I776" s="32">
        <v>39</v>
      </c>
      <c r="J776" s="117">
        <f t="shared" si="301"/>
        <v>1.984359</v>
      </c>
      <c r="K776" s="118"/>
      <c r="L776" s="111">
        <v>39</v>
      </c>
      <c r="M776" s="117">
        <f t="shared" si="302"/>
        <v>1.984359</v>
      </c>
      <c r="N776" s="119">
        <f t="shared" si="303"/>
        <v>0</v>
      </c>
      <c r="O776" s="120">
        <f t="shared" si="304"/>
        <v>0</v>
      </c>
      <c r="P776" s="111"/>
      <c r="Q776" s="32"/>
      <c r="R776" s="32"/>
    </row>
    <row r="777" spans="1:18">
      <c r="A777" s="110" t="s">
        <v>750</v>
      </c>
      <c r="B777" s="111" t="s">
        <v>749</v>
      </c>
      <c r="C777" s="112" t="s">
        <v>449</v>
      </c>
      <c r="D777" s="113" t="s">
        <v>17</v>
      </c>
      <c r="E777" s="369" t="s">
        <v>15</v>
      </c>
      <c r="F777" s="369" t="s">
        <v>21</v>
      </c>
      <c r="G777" s="370">
        <v>6.97</v>
      </c>
      <c r="H777" s="125">
        <v>11</v>
      </c>
      <c r="I777" s="32">
        <v>32</v>
      </c>
      <c r="J777" s="117">
        <f t="shared" si="301"/>
        <v>2.4534400000000001</v>
      </c>
      <c r="K777" s="118"/>
      <c r="L777" s="111">
        <v>32</v>
      </c>
      <c r="M777" s="117">
        <f t="shared" si="302"/>
        <v>2.4534400000000001</v>
      </c>
      <c r="N777" s="119">
        <f t="shared" si="303"/>
        <v>0</v>
      </c>
      <c r="O777" s="120">
        <f t="shared" si="304"/>
        <v>0</v>
      </c>
      <c r="P777" s="111"/>
      <c r="Q777" s="32"/>
      <c r="R777" s="32"/>
    </row>
    <row r="778" spans="1:18">
      <c r="A778" s="110" t="s">
        <v>750</v>
      </c>
      <c r="B778" s="111" t="s">
        <v>749</v>
      </c>
      <c r="C778" s="112" t="s">
        <v>449</v>
      </c>
      <c r="D778" s="113" t="s">
        <v>17</v>
      </c>
      <c r="E778" s="369" t="s">
        <v>15</v>
      </c>
      <c r="F778" s="369" t="s">
        <v>21</v>
      </c>
      <c r="G778" s="370">
        <v>6.97</v>
      </c>
      <c r="H778" s="125">
        <v>10.5</v>
      </c>
      <c r="I778" s="32">
        <v>27</v>
      </c>
      <c r="J778" s="117">
        <f t="shared" si="301"/>
        <v>1.9759950000000002</v>
      </c>
      <c r="K778" s="118"/>
      <c r="L778" s="111">
        <v>27</v>
      </c>
      <c r="M778" s="117">
        <f t="shared" si="302"/>
        <v>1.9759949999999999</v>
      </c>
      <c r="N778" s="119">
        <f t="shared" si="303"/>
        <v>0</v>
      </c>
      <c r="O778" s="120">
        <f t="shared" si="304"/>
        <v>0</v>
      </c>
      <c r="P778" s="111"/>
      <c r="Q778" s="32"/>
      <c r="R778" s="32"/>
    </row>
    <row r="779" spans="1:18">
      <c r="A779" s="110" t="s">
        <v>750</v>
      </c>
      <c r="B779" s="111" t="s">
        <v>749</v>
      </c>
      <c r="C779" s="112" t="s">
        <v>449</v>
      </c>
      <c r="D779" s="113" t="s">
        <v>17</v>
      </c>
      <c r="E779" s="369" t="s">
        <v>15</v>
      </c>
      <c r="F779" s="369" t="s">
        <v>21</v>
      </c>
      <c r="G779" s="370">
        <v>6.97</v>
      </c>
      <c r="H779" s="125">
        <v>11.5</v>
      </c>
      <c r="I779" s="32">
        <v>6</v>
      </c>
      <c r="J779" s="117">
        <f t="shared" si="301"/>
        <v>0.48093000000000002</v>
      </c>
      <c r="K779" s="118"/>
      <c r="L779" s="111">
        <v>6</v>
      </c>
      <c r="M779" s="117">
        <f t="shared" si="302"/>
        <v>0.48093000000000002</v>
      </c>
      <c r="N779" s="119">
        <f t="shared" si="303"/>
        <v>0</v>
      </c>
      <c r="O779" s="120">
        <f t="shared" si="304"/>
        <v>0</v>
      </c>
      <c r="P779" s="111">
        <v>11</v>
      </c>
      <c r="Q779" s="32">
        <v>6</v>
      </c>
      <c r="R779" s="32"/>
    </row>
    <row r="780" spans="1:18">
      <c r="A780" s="110" t="s">
        <v>750</v>
      </c>
      <c r="B780" s="111" t="s">
        <v>749</v>
      </c>
      <c r="C780" s="112" t="s">
        <v>449</v>
      </c>
      <c r="D780" s="113" t="s">
        <v>17</v>
      </c>
      <c r="E780" s="369" t="s">
        <v>15</v>
      </c>
      <c r="F780" s="369" t="s">
        <v>21</v>
      </c>
      <c r="G780" s="370">
        <v>6.97</v>
      </c>
      <c r="H780" s="125">
        <v>11.7</v>
      </c>
      <c r="I780" s="32">
        <v>20</v>
      </c>
      <c r="J780" s="117">
        <f t="shared" si="301"/>
        <v>1.6309799999999999</v>
      </c>
      <c r="K780" s="118"/>
      <c r="L780" s="111">
        <v>20</v>
      </c>
      <c r="M780" s="117">
        <f t="shared" si="302"/>
        <v>1.6309800000000001</v>
      </c>
      <c r="N780" s="119">
        <f t="shared" si="303"/>
        <v>0</v>
      </c>
      <c r="O780" s="120">
        <f t="shared" si="304"/>
        <v>0</v>
      </c>
      <c r="P780" s="159">
        <v>10.4</v>
      </c>
      <c r="Q780" s="32">
        <v>20</v>
      </c>
      <c r="R780" s="32"/>
    </row>
    <row r="781" spans="1:18">
      <c r="A781" s="110" t="s">
        <v>750</v>
      </c>
      <c r="B781" s="111" t="s">
        <v>749</v>
      </c>
      <c r="C781" s="112" t="s">
        <v>449</v>
      </c>
      <c r="D781" s="113" t="s">
        <v>17</v>
      </c>
      <c r="E781" s="369" t="s">
        <v>15</v>
      </c>
      <c r="F781" s="369" t="s">
        <v>21</v>
      </c>
      <c r="G781" s="370">
        <v>6.97</v>
      </c>
      <c r="H781" s="125">
        <v>9.5</v>
      </c>
      <c r="I781" s="32">
        <v>28</v>
      </c>
      <c r="J781" s="117">
        <f t="shared" si="301"/>
        <v>1.85402</v>
      </c>
      <c r="K781" s="118"/>
      <c r="L781" s="111">
        <v>28</v>
      </c>
      <c r="M781" s="117">
        <f t="shared" si="302"/>
        <v>1.85402</v>
      </c>
      <c r="N781" s="119">
        <f t="shared" si="303"/>
        <v>0</v>
      </c>
      <c r="O781" s="120">
        <f t="shared" si="304"/>
        <v>0</v>
      </c>
      <c r="P781" s="111"/>
      <c r="Q781" s="32"/>
      <c r="R781" s="32"/>
    </row>
    <row r="782" spans="1:18">
      <c r="A782" s="110" t="s">
        <v>750</v>
      </c>
      <c r="B782" s="111" t="s">
        <v>749</v>
      </c>
      <c r="C782" s="112" t="s">
        <v>449</v>
      </c>
      <c r="D782" s="113" t="s">
        <v>17</v>
      </c>
      <c r="E782" s="369" t="s">
        <v>15</v>
      </c>
      <c r="F782" s="369" t="s">
        <v>21</v>
      </c>
      <c r="G782" s="370">
        <v>6.97</v>
      </c>
      <c r="H782" s="125">
        <v>9</v>
      </c>
      <c r="I782" s="32">
        <v>16</v>
      </c>
      <c r="J782" s="117">
        <f t="shared" si="301"/>
        <v>1.0036799999999999</v>
      </c>
      <c r="K782" s="118"/>
      <c r="L782" s="111">
        <v>16</v>
      </c>
      <c r="M782" s="117">
        <f t="shared" si="302"/>
        <v>1.0036799999999999</v>
      </c>
      <c r="N782" s="119">
        <f t="shared" si="303"/>
        <v>0</v>
      </c>
      <c r="O782" s="120">
        <f t="shared" si="304"/>
        <v>0</v>
      </c>
      <c r="P782" s="111"/>
      <c r="Q782" s="32"/>
      <c r="R782" s="32"/>
    </row>
    <row r="783" spans="1:18">
      <c r="A783" s="110" t="s">
        <v>750</v>
      </c>
      <c r="B783" s="111" t="s">
        <v>749</v>
      </c>
      <c r="C783" s="112" t="s">
        <v>449</v>
      </c>
      <c r="D783" s="113" t="s">
        <v>17</v>
      </c>
      <c r="E783" s="369" t="s">
        <v>15</v>
      </c>
      <c r="F783" s="369" t="s">
        <v>21</v>
      </c>
      <c r="G783" s="370">
        <v>6.97</v>
      </c>
      <c r="H783" s="125">
        <v>10</v>
      </c>
      <c r="I783" s="32">
        <v>9</v>
      </c>
      <c r="J783" s="117">
        <f t="shared" si="301"/>
        <v>0.62730000000000008</v>
      </c>
      <c r="K783" s="118"/>
      <c r="L783" s="111">
        <v>9</v>
      </c>
      <c r="M783" s="117">
        <f t="shared" si="302"/>
        <v>0.62729999999999997</v>
      </c>
      <c r="N783" s="119">
        <f t="shared" si="303"/>
        <v>0</v>
      </c>
      <c r="O783" s="120">
        <f t="shared" si="304"/>
        <v>0</v>
      </c>
      <c r="P783" s="111">
        <v>9</v>
      </c>
      <c r="Q783" s="32">
        <v>9</v>
      </c>
      <c r="R783" s="32"/>
    </row>
    <row r="784" spans="1:18">
      <c r="A784" s="110" t="s">
        <v>750</v>
      </c>
      <c r="B784" s="111" t="s">
        <v>749</v>
      </c>
      <c r="C784" s="112" t="s">
        <v>449</v>
      </c>
      <c r="D784" s="113" t="s">
        <v>17</v>
      </c>
      <c r="E784" s="369" t="s">
        <v>15</v>
      </c>
      <c r="F784" s="369" t="s">
        <v>21</v>
      </c>
      <c r="G784" s="370">
        <v>6.97</v>
      </c>
      <c r="H784" s="125">
        <v>10.4</v>
      </c>
      <c r="I784" s="32">
        <v>22</v>
      </c>
      <c r="J784" s="117">
        <f t="shared" si="301"/>
        <v>1.5947359999999999</v>
      </c>
      <c r="K784" s="118"/>
      <c r="L784" s="111">
        <v>22</v>
      </c>
      <c r="M784" s="117">
        <f t="shared" si="302"/>
        <v>1.5947360000000002</v>
      </c>
      <c r="N784" s="119">
        <f t="shared" si="303"/>
        <v>0</v>
      </c>
      <c r="O784" s="120">
        <f t="shared" si="304"/>
        <v>0</v>
      </c>
      <c r="P784" s="111"/>
      <c r="Q784" s="32"/>
      <c r="R784" s="32"/>
    </row>
    <row r="785" spans="1:18">
      <c r="A785" s="110" t="s">
        <v>750</v>
      </c>
      <c r="B785" s="111" t="s">
        <v>749</v>
      </c>
      <c r="C785" s="112" t="s">
        <v>449</v>
      </c>
      <c r="D785" s="113" t="s">
        <v>17</v>
      </c>
      <c r="E785" s="369" t="s">
        <v>15</v>
      </c>
      <c r="F785" s="369" t="s">
        <v>21</v>
      </c>
      <c r="G785" s="370">
        <v>6.97</v>
      </c>
      <c r="H785" s="125">
        <v>7.3</v>
      </c>
      <c r="I785" s="32">
        <v>26</v>
      </c>
      <c r="J785" s="117">
        <f t="shared" si="301"/>
        <v>1.3229059999999999</v>
      </c>
      <c r="K785" s="118"/>
      <c r="L785" s="111">
        <v>26</v>
      </c>
      <c r="M785" s="117">
        <f t="shared" si="302"/>
        <v>1.3229059999999997</v>
      </c>
      <c r="N785" s="119">
        <f t="shared" si="303"/>
        <v>0</v>
      </c>
      <c r="O785" s="120">
        <f t="shared" si="304"/>
        <v>0</v>
      </c>
      <c r="P785" s="111"/>
      <c r="Q785" s="32"/>
      <c r="R785" s="32"/>
    </row>
    <row r="786" spans="1:18">
      <c r="A786" s="110" t="s">
        <v>750</v>
      </c>
      <c r="B786" s="111" t="s">
        <v>749</v>
      </c>
      <c r="C786" s="112" t="s">
        <v>449</v>
      </c>
      <c r="D786" s="113" t="s">
        <v>17</v>
      </c>
      <c r="E786" s="369" t="s">
        <v>15</v>
      </c>
      <c r="F786" s="369" t="s">
        <v>21</v>
      </c>
      <c r="G786" s="370">
        <v>6.97</v>
      </c>
      <c r="H786" s="125">
        <v>10.8</v>
      </c>
      <c r="I786" s="32">
        <v>1</v>
      </c>
      <c r="J786" s="117">
        <f t="shared" si="301"/>
        <v>7.5275999999999996E-2</v>
      </c>
      <c r="K786" s="118"/>
      <c r="L786" s="111">
        <v>1</v>
      </c>
      <c r="M786" s="117">
        <f t="shared" si="302"/>
        <v>7.5275999999999996E-2</v>
      </c>
      <c r="N786" s="119">
        <f t="shared" si="303"/>
        <v>0</v>
      </c>
      <c r="O786" s="120">
        <f t="shared" si="304"/>
        <v>0</v>
      </c>
      <c r="P786" s="111">
        <v>10.4</v>
      </c>
      <c r="Q786" s="32">
        <v>1</v>
      </c>
      <c r="R786" s="32"/>
    </row>
    <row r="787" spans="1:18">
      <c r="A787" s="110" t="s">
        <v>750</v>
      </c>
      <c r="B787" s="111" t="s">
        <v>749</v>
      </c>
      <c r="C787" s="112" t="s">
        <v>449</v>
      </c>
      <c r="D787" s="113" t="s">
        <v>17</v>
      </c>
      <c r="E787" s="369" t="s">
        <v>15</v>
      </c>
      <c r="F787" s="369" t="s">
        <v>21</v>
      </c>
      <c r="G787" s="370">
        <v>6.97</v>
      </c>
      <c r="H787" s="125">
        <v>11.7</v>
      </c>
      <c r="I787" s="32">
        <v>41</v>
      </c>
      <c r="J787" s="117">
        <f t="shared" ref="J787:J800" si="305">H787*G787*I787/1000</f>
        <v>3.3435089999999996</v>
      </c>
      <c r="K787" s="118"/>
      <c r="L787" s="111">
        <f>40+1</f>
        <v>41</v>
      </c>
      <c r="M787" s="117">
        <f t="shared" ref="M787:M800" si="306">H787*L787*G787/1000</f>
        <v>3.3435090000000001</v>
      </c>
      <c r="N787" s="119">
        <f t="shared" ref="N787:N800" si="307">I787-L787</f>
        <v>0</v>
      </c>
      <c r="O787" s="120">
        <f t="shared" ref="O787:O800" si="308">H787*N787*G787/1000</f>
        <v>0</v>
      </c>
      <c r="P787" s="159">
        <v>11</v>
      </c>
      <c r="Q787" s="32">
        <v>1</v>
      </c>
      <c r="R787" s="32"/>
    </row>
    <row r="788" spans="1:18">
      <c r="A788" s="110" t="s">
        <v>750</v>
      </c>
      <c r="B788" s="111" t="s">
        <v>749</v>
      </c>
      <c r="C788" s="112" t="s">
        <v>449</v>
      </c>
      <c r="D788" s="113" t="s">
        <v>17</v>
      </c>
      <c r="E788" s="369" t="s">
        <v>15</v>
      </c>
      <c r="F788" s="369" t="s">
        <v>21</v>
      </c>
      <c r="G788" s="370">
        <v>6.97</v>
      </c>
      <c r="H788" s="125">
        <v>11.7</v>
      </c>
      <c r="I788" s="32">
        <v>41</v>
      </c>
      <c r="J788" s="117">
        <f t="shared" si="305"/>
        <v>3.3435089999999996</v>
      </c>
      <c r="K788" s="118"/>
      <c r="L788" s="111">
        <v>41</v>
      </c>
      <c r="M788" s="117">
        <f t="shared" si="306"/>
        <v>3.3435090000000001</v>
      </c>
      <c r="N788" s="119">
        <f t="shared" si="307"/>
        <v>0</v>
      </c>
      <c r="O788" s="120">
        <f t="shared" si="308"/>
        <v>0</v>
      </c>
      <c r="P788" s="111"/>
      <c r="Q788" s="32"/>
      <c r="R788" s="32"/>
    </row>
    <row r="789" spans="1:18">
      <c r="A789" s="110" t="s">
        <v>750</v>
      </c>
      <c r="B789" s="111" t="s">
        <v>749</v>
      </c>
      <c r="C789" s="112" t="s">
        <v>449</v>
      </c>
      <c r="D789" s="113" t="s">
        <v>17</v>
      </c>
      <c r="E789" s="369" t="s">
        <v>15</v>
      </c>
      <c r="F789" s="369" t="s">
        <v>21</v>
      </c>
      <c r="G789" s="370">
        <v>6.97</v>
      </c>
      <c r="H789" s="125">
        <v>11.7</v>
      </c>
      <c r="I789" s="32">
        <v>41</v>
      </c>
      <c r="J789" s="117">
        <f t="shared" si="305"/>
        <v>3.3435089999999996</v>
      </c>
      <c r="K789" s="118"/>
      <c r="L789" s="111">
        <v>41</v>
      </c>
      <c r="M789" s="117">
        <f t="shared" si="306"/>
        <v>3.3435090000000001</v>
      </c>
      <c r="N789" s="119">
        <f t="shared" si="307"/>
        <v>0</v>
      </c>
      <c r="O789" s="120">
        <f t="shared" si="308"/>
        <v>0</v>
      </c>
      <c r="P789" s="111"/>
      <c r="Q789" s="32"/>
      <c r="R789" s="32"/>
    </row>
    <row r="790" spans="1:18">
      <c r="A790" s="110" t="s">
        <v>750</v>
      </c>
      <c r="B790" s="111" t="s">
        <v>749</v>
      </c>
      <c r="C790" s="112" t="s">
        <v>449</v>
      </c>
      <c r="D790" s="113" t="s">
        <v>17</v>
      </c>
      <c r="E790" s="369" t="s">
        <v>15</v>
      </c>
      <c r="F790" s="369" t="s">
        <v>21</v>
      </c>
      <c r="G790" s="370">
        <v>6.97</v>
      </c>
      <c r="H790" s="125">
        <v>9</v>
      </c>
      <c r="I790" s="32">
        <v>40</v>
      </c>
      <c r="J790" s="117">
        <f t="shared" si="305"/>
        <v>2.5091999999999999</v>
      </c>
      <c r="K790" s="118"/>
      <c r="L790" s="111">
        <v>40</v>
      </c>
      <c r="M790" s="117">
        <f t="shared" si="306"/>
        <v>2.5091999999999999</v>
      </c>
      <c r="N790" s="119">
        <f t="shared" si="307"/>
        <v>0</v>
      </c>
      <c r="O790" s="120">
        <f t="shared" si="308"/>
        <v>0</v>
      </c>
      <c r="P790" s="111"/>
      <c r="Q790" s="32"/>
      <c r="R790" s="32"/>
    </row>
    <row r="791" spans="1:18">
      <c r="A791" s="110" t="s">
        <v>750</v>
      </c>
      <c r="B791" s="111" t="s">
        <v>749</v>
      </c>
      <c r="C791" s="112" t="s">
        <v>449</v>
      </c>
      <c r="D791" s="113" t="s">
        <v>17</v>
      </c>
      <c r="E791" s="369" t="s">
        <v>15</v>
      </c>
      <c r="F791" s="369" t="s">
        <v>21</v>
      </c>
      <c r="G791" s="370">
        <v>6.97</v>
      </c>
      <c r="H791" s="125">
        <v>10</v>
      </c>
      <c r="I791" s="32">
        <v>36</v>
      </c>
      <c r="J791" s="117">
        <f t="shared" si="305"/>
        <v>2.5092000000000003</v>
      </c>
      <c r="K791" s="118"/>
      <c r="L791" s="111">
        <v>36</v>
      </c>
      <c r="M791" s="117">
        <f t="shared" si="306"/>
        <v>2.5091999999999999</v>
      </c>
      <c r="N791" s="119">
        <f t="shared" si="307"/>
        <v>0</v>
      </c>
      <c r="O791" s="120">
        <f t="shared" si="308"/>
        <v>0</v>
      </c>
      <c r="P791" s="111"/>
      <c r="Q791" s="32"/>
      <c r="R791" s="32"/>
    </row>
    <row r="792" spans="1:18">
      <c r="A792" s="110" t="s">
        <v>750</v>
      </c>
      <c r="B792" s="111" t="s">
        <v>749</v>
      </c>
      <c r="C792" s="112" t="s">
        <v>449</v>
      </c>
      <c r="D792" s="113" t="s">
        <v>17</v>
      </c>
      <c r="E792" s="369" t="s">
        <v>15</v>
      </c>
      <c r="F792" s="369" t="s">
        <v>21</v>
      </c>
      <c r="G792" s="370">
        <v>6.97</v>
      </c>
      <c r="H792" s="125">
        <v>11.1</v>
      </c>
      <c r="I792" s="32">
        <v>40</v>
      </c>
      <c r="J792" s="117">
        <f t="shared" si="305"/>
        <v>3.0946799999999994</v>
      </c>
      <c r="K792" s="118"/>
      <c r="L792" s="111">
        <v>40</v>
      </c>
      <c r="M792" s="117">
        <f t="shared" si="306"/>
        <v>3.0946799999999999</v>
      </c>
      <c r="N792" s="119">
        <f t="shared" si="307"/>
        <v>0</v>
      </c>
      <c r="O792" s="120">
        <f t="shared" si="308"/>
        <v>0</v>
      </c>
      <c r="P792" s="111"/>
      <c r="Q792" s="32"/>
      <c r="R792" s="32"/>
    </row>
    <row r="793" spans="1:18">
      <c r="A793" s="110" t="s">
        <v>750</v>
      </c>
      <c r="B793" s="111" t="s">
        <v>749</v>
      </c>
      <c r="C793" s="112" t="s">
        <v>449</v>
      </c>
      <c r="D793" s="113" t="s">
        <v>17</v>
      </c>
      <c r="E793" s="369" t="s">
        <v>15</v>
      </c>
      <c r="F793" s="369" t="s">
        <v>21</v>
      </c>
      <c r="G793" s="370">
        <v>6.97</v>
      </c>
      <c r="H793" s="125">
        <v>11</v>
      </c>
      <c r="I793" s="32">
        <v>41</v>
      </c>
      <c r="J793" s="117">
        <f t="shared" si="305"/>
        <v>3.1434700000000002</v>
      </c>
      <c r="K793" s="118"/>
      <c r="L793" s="111">
        <v>41</v>
      </c>
      <c r="M793" s="117">
        <f t="shared" si="306"/>
        <v>3.1434699999999998</v>
      </c>
      <c r="N793" s="119">
        <f t="shared" si="307"/>
        <v>0</v>
      </c>
      <c r="O793" s="120">
        <f t="shared" si="308"/>
        <v>0</v>
      </c>
      <c r="P793" s="111"/>
      <c r="Q793" s="32"/>
      <c r="R793" s="32"/>
    </row>
    <row r="794" spans="1:18">
      <c r="A794" s="110" t="s">
        <v>750</v>
      </c>
      <c r="B794" s="111" t="s">
        <v>749</v>
      </c>
      <c r="C794" s="112" t="s">
        <v>449</v>
      </c>
      <c r="D794" s="113" t="s">
        <v>17</v>
      </c>
      <c r="E794" s="369" t="s">
        <v>15</v>
      </c>
      <c r="F794" s="369" t="s">
        <v>21</v>
      </c>
      <c r="G794" s="370">
        <v>6.97</v>
      </c>
      <c r="H794" s="125">
        <v>11.5</v>
      </c>
      <c r="I794" s="32">
        <v>32</v>
      </c>
      <c r="J794" s="117">
        <f t="shared" si="305"/>
        <v>2.5649600000000001</v>
      </c>
      <c r="K794" s="118"/>
      <c r="L794" s="111">
        <v>32</v>
      </c>
      <c r="M794" s="117">
        <f t="shared" si="306"/>
        <v>2.5649600000000001</v>
      </c>
      <c r="N794" s="119">
        <f t="shared" si="307"/>
        <v>0</v>
      </c>
      <c r="O794" s="120">
        <f t="shared" si="308"/>
        <v>0</v>
      </c>
      <c r="P794" s="111"/>
      <c r="Q794" s="32"/>
      <c r="R794" s="32"/>
    </row>
    <row r="795" spans="1:18">
      <c r="A795" s="110" t="s">
        <v>750</v>
      </c>
      <c r="B795" s="111" t="s">
        <v>749</v>
      </c>
      <c r="C795" s="112" t="s">
        <v>449</v>
      </c>
      <c r="D795" s="113" t="s">
        <v>17</v>
      </c>
      <c r="E795" s="369" t="s">
        <v>15</v>
      </c>
      <c r="F795" s="369" t="s">
        <v>21</v>
      </c>
      <c r="G795" s="370">
        <v>6.97</v>
      </c>
      <c r="H795" s="125">
        <v>12</v>
      </c>
      <c r="I795" s="32">
        <v>33</v>
      </c>
      <c r="J795" s="117">
        <f t="shared" si="305"/>
        <v>2.7601199999999997</v>
      </c>
      <c r="K795" s="118"/>
      <c r="L795" s="111">
        <v>33</v>
      </c>
      <c r="M795" s="117">
        <f t="shared" si="306"/>
        <v>2.7601199999999997</v>
      </c>
      <c r="N795" s="119">
        <f t="shared" si="307"/>
        <v>0</v>
      </c>
      <c r="O795" s="120">
        <f t="shared" si="308"/>
        <v>0</v>
      </c>
      <c r="P795" s="111"/>
      <c r="Q795" s="32"/>
      <c r="R795" s="32"/>
    </row>
    <row r="796" spans="1:18">
      <c r="A796" s="110" t="s">
        <v>750</v>
      </c>
      <c r="B796" s="111" t="s">
        <v>749</v>
      </c>
      <c r="C796" s="112" t="s">
        <v>449</v>
      </c>
      <c r="D796" s="113" t="s">
        <v>17</v>
      </c>
      <c r="E796" s="369" t="s">
        <v>15</v>
      </c>
      <c r="F796" s="369" t="s">
        <v>21</v>
      </c>
      <c r="G796" s="370">
        <v>6.97</v>
      </c>
      <c r="H796" s="125">
        <v>9.5</v>
      </c>
      <c r="I796" s="32">
        <v>42</v>
      </c>
      <c r="J796" s="117">
        <f t="shared" si="305"/>
        <v>2.7810300000000003</v>
      </c>
      <c r="K796" s="118"/>
      <c r="L796" s="111">
        <v>42</v>
      </c>
      <c r="M796" s="117">
        <f t="shared" si="306"/>
        <v>2.7810299999999999</v>
      </c>
      <c r="N796" s="119">
        <f t="shared" si="307"/>
        <v>0</v>
      </c>
      <c r="O796" s="120">
        <f t="shared" si="308"/>
        <v>0</v>
      </c>
      <c r="P796" s="111"/>
      <c r="Q796" s="32"/>
      <c r="R796" s="32"/>
    </row>
    <row r="797" spans="1:18">
      <c r="A797" s="110" t="s">
        <v>750</v>
      </c>
      <c r="B797" s="111" t="s">
        <v>749</v>
      </c>
      <c r="C797" s="112" t="s">
        <v>449</v>
      </c>
      <c r="D797" s="113" t="s">
        <v>17</v>
      </c>
      <c r="E797" s="369" t="s">
        <v>15</v>
      </c>
      <c r="F797" s="369" t="s">
        <v>21</v>
      </c>
      <c r="G797" s="370">
        <v>6.97</v>
      </c>
      <c r="H797" s="125">
        <v>10.5</v>
      </c>
      <c r="I797" s="32">
        <v>42</v>
      </c>
      <c r="J797" s="117">
        <f t="shared" si="305"/>
        <v>3.0737700000000001</v>
      </c>
      <c r="K797" s="118"/>
      <c r="L797" s="111">
        <v>42</v>
      </c>
      <c r="M797" s="117">
        <f t="shared" si="306"/>
        <v>3.0737700000000001</v>
      </c>
      <c r="N797" s="119">
        <f t="shared" si="307"/>
        <v>0</v>
      </c>
      <c r="O797" s="120">
        <f t="shared" si="308"/>
        <v>0</v>
      </c>
      <c r="P797" s="111"/>
      <c r="Q797" s="32"/>
      <c r="R797" s="32"/>
    </row>
    <row r="798" spans="1:18">
      <c r="A798" s="110" t="s">
        <v>750</v>
      </c>
      <c r="B798" s="111" t="s">
        <v>749</v>
      </c>
      <c r="C798" s="112" t="s">
        <v>449</v>
      </c>
      <c r="D798" s="113" t="s">
        <v>17</v>
      </c>
      <c r="E798" s="369" t="s">
        <v>15</v>
      </c>
      <c r="F798" s="369" t="s">
        <v>21</v>
      </c>
      <c r="G798" s="370">
        <v>6.97</v>
      </c>
      <c r="H798" s="125">
        <v>10.5</v>
      </c>
      <c r="I798" s="32">
        <v>33</v>
      </c>
      <c r="J798" s="117">
        <f t="shared" si="305"/>
        <v>2.4151050000000001</v>
      </c>
      <c r="K798" s="118"/>
      <c r="L798" s="111">
        <v>33</v>
      </c>
      <c r="M798" s="117">
        <f t="shared" si="306"/>
        <v>2.4151050000000001</v>
      </c>
      <c r="N798" s="119">
        <f t="shared" si="307"/>
        <v>0</v>
      </c>
      <c r="O798" s="120">
        <f t="shared" si="308"/>
        <v>0</v>
      </c>
      <c r="P798" s="111"/>
      <c r="Q798" s="32"/>
      <c r="R798" s="32"/>
    </row>
    <row r="799" spans="1:18">
      <c r="A799" s="110" t="s">
        <v>750</v>
      </c>
      <c r="B799" s="111" t="s">
        <v>749</v>
      </c>
      <c r="C799" s="112" t="s">
        <v>449</v>
      </c>
      <c r="D799" s="113" t="s">
        <v>17</v>
      </c>
      <c r="E799" s="369" t="s">
        <v>15</v>
      </c>
      <c r="F799" s="369" t="s">
        <v>21</v>
      </c>
      <c r="G799" s="370">
        <v>6.97</v>
      </c>
      <c r="H799" s="125">
        <v>10.4</v>
      </c>
      <c r="I799" s="32">
        <v>20</v>
      </c>
      <c r="J799" s="117">
        <f t="shared" si="305"/>
        <v>1.4497599999999999</v>
      </c>
      <c r="K799" s="118"/>
      <c r="L799" s="111">
        <v>20</v>
      </c>
      <c r="M799" s="117">
        <f t="shared" si="306"/>
        <v>1.4497599999999999</v>
      </c>
      <c r="N799" s="119">
        <f t="shared" si="307"/>
        <v>0</v>
      </c>
      <c r="O799" s="120">
        <f t="shared" si="308"/>
        <v>0</v>
      </c>
      <c r="P799" s="111"/>
      <c r="Q799" s="32"/>
      <c r="R799" s="32"/>
    </row>
    <row r="800" spans="1:18">
      <c r="A800" s="110" t="s">
        <v>750</v>
      </c>
      <c r="B800" s="111" t="s">
        <v>749</v>
      </c>
      <c r="C800" s="112" t="s">
        <v>449</v>
      </c>
      <c r="D800" s="113" t="s">
        <v>17</v>
      </c>
      <c r="E800" s="369" t="s">
        <v>15</v>
      </c>
      <c r="F800" s="369" t="s">
        <v>21</v>
      </c>
      <c r="G800" s="370">
        <v>6.97</v>
      </c>
      <c r="H800" s="125">
        <v>11</v>
      </c>
      <c r="I800" s="32">
        <v>38</v>
      </c>
      <c r="J800" s="117">
        <f t="shared" si="305"/>
        <v>2.9134600000000002</v>
      </c>
      <c r="K800" s="118"/>
      <c r="L800" s="111">
        <v>38</v>
      </c>
      <c r="M800" s="117">
        <f t="shared" si="306"/>
        <v>2.9134600000000002</v>
      </c>
      <c r="N800" s="119">
        <f t="shared" si="307"/>
        <v>0</v>
      </c>
      <c r="O800" s="120">
        <f t="shared" si="308"/>
        <v>0</v>
      </c>
      <c r="P800" s="111"/>
      <c r="Q800" s="32"/>
      <c r="R800" s="32"/>
    </row>
    <row r="801" spans="1:18">
      <c r="A801" s="110" t="s">
        <v>750</v>
      </c>
      <c r="B801" s="111" t="s">
        <v>749</v>
      </c>
      <c r="C801" s="112" t="s">
        <v>449</v>
      </c>
      <c r="D801" s="113" t="s">
        <v>17</v>
      </c>
      <c r="E801" s="369" t="s">
        <v>15</v>
      </c>
      <c r="F801" s="369" t="s">
        <v>21</v>
      </c>
      <c r="G801" s="370">
        <v>6.97</v>
      </c>
      <c r="H801" s="125">
        <v>9</v>
      </c>
      <c r="I801" s="32">
        <v>39</v>
      </c>
      <c r="J801" s="117">
        <f t="shared" ref="J801:J816" si="309">H801*G801*I801/1000</f>
        <v>2.4464699999999997</v>
      </c>
      <c r="K801" s="118"/>
      <c r="L801" s="111">
        <v>39</v>
      </c>
      <c r="M801" s="117">
        <f t="shared" ref="M801:M816" si="310">H801*L801*G801/1000</f>
        <v>2.4464699999999997</v>
      </c>
      <c r="N801" s="119">
        <f t="shared" ref="N801:N816" si="311">I801-L801</f>
        <v>0</v>
      </c>
      <c r="O801" s="120">
        <f t="shared" ref="O801:O815" si="312">H801*N801*G801/1000</f>
        <v>0</v>
      </c>
      <c r="P801" s="111"/>
      <c r="Q801" s="32"/>
      <c r="R801" s="32"/>
    </row>
    <row r="802" spans="1:18">
      <c r="A802" s="110" t="s">
        <v>750</v>
      </c>
      <c r="B802" s="111" t="s">
        <v>749</v>
      </c>
      <c r="C802" s="112" t="s">
        <v>449</v>
      </c>
      <c r="D802" s="113" t="s">
        <v>17</v>
      </c>
      <c r="E802" s="369" t="s">
        <v>15</v>
      </c>
      <c r="F802" s="369" t="s">
        <v>21</v>
      </c>
      <c r="G802" s="370">
        <v>6.97</v>
      </c>
      <c r="H802" s="125">
        <v>11.1</v>
      </c>
      <c r="I802" s="32">
        <v>39</v>
      </c>
      <c r="J802" s="117">
        <f t="shared" si="309"/>
        <v>3.0173129999999997</v>
      </c>
      <c r="K802" s="118"/>
      <c r="L802" s="111">
        <v>39</v>
      </c>
      <c r="M802" s="117">
        <f t="shared" si="310"/>
        <v>3.0173129999999997</v>
      </c>
      <c r="N802" s="119">
        <f t="shared" si="311"/>
        <v>0</v>
      </c>
      <c r="O802" s="120">
        <f t="shared" si="312"/>
        <v>0</v>
      </c>
      <c r="P802" s="111"/>
      <c r="Q802" s="32"/>
      <c r="R802" s="32"/>
    </row>
    <row r="803" spans="1:18">
      <c r="A803" s="110" t="s">
        <v>750</v>
      </c>
      <c r="B803" s="111" t="s">
        <v>749</v>
      </c>
      <c r="C803" s="112" t="s">
        <v>449</v>
      </c>
      <c r="D803" s="113" t="s">
        <v>17</v>
      </c>
      <c r="E803" s="369" t="s">
        <v>15</v>
      </c>
      <c r="F803" s="369" t="s">
        <v>21</v>
      </c>
      <c r="G803" s="370">
        <v>6.97</v>
      </c>
      <c r="H803" s="125">
        <v>11.7</v>
      </c>
      <c r="I803" s="32">
        <v>39</v>
      </c>
      <c r="J803" s="117">
        <f t="shared" si="309"/>
        <v>3.1804109999999994</v>
      </c>
      <c r="K803" s="118"/>
      <c r="L803" s="111">
        <v>39</v>
      </c>
      <c r="M803" s="117">
        <f t="shared" si="310"/>
        <v>3.1804109999999994</v>
      </c>
      <c r="N803" s="119">
        <f t="shared" si="311"/>
        <v>0</v>
      </c>
      <c r="O803" s="120">
        <f t="shared" si="312"/>
        <v>0</v>
      </c>
      <c r="P803" s="111"/>
      <c r="Q803" s="32"/>
      <c r="R803" s="32"/>
    </row>
    <row r="804" spans="1:18">
      <c r="A804" s="110" t="s">
        <v>750</v>
      </c>
      <c r="B804" s="111" t="s">
        <v>749</v>
      </c>
      <c r="C804" s="112" t="s">
        <v>449</v>
      </c>
      <c r="D804" s="113" t="s">
        <v>17</v>
      </c>
      <c r="E804" s="369" t="s">
        <v>15</v>
      </c>
      <c r="F804" s="369" t="s">
        <v>21</v>
      </c>
      <c r="G804" s="370">
        <v>6.97</v>
      </c>
      <c r="H804" s="125">
        <v>11.7</v>
      </c>
      <c r="I804" s="32">
        <v>39</v>
      </c>
      <c r="J804" s="117">
        <f t="shared" si="309"/>
        <v>3.1804109999999994</v>
      </c>
      <c r="K804" s="118"/>
      <c r="L804" s="111">
        <v>39</v>
      </c>
      <c r="M804" s="117">
        <f t="shared" si="310"/>
        <v>3.1804109999999994</v>
      </c>
      <c r="N804" s="119">
        <f t="shared" si="311"/>
        <v>0</v>
      </c>
      <c r="O804" s="120">
        <f t="shared" si="312"/>
        <v>0</v>
      </c>
      <c r="P804" s="111"/>
      <c r="Q804" s="32"/>
      <c r="R804" s="32"/>
    </row>
    <row r="805" spans="1:18">
      <c r="A805" s="110" t="s">
        <v>750</v>
      </c>
      <c r="B805" s="111" t="s">
        <v>749</v>
      </c>
      <c r="C805" s="112" t="s">
        <v>449</v>
      </c>
      <c r="D805" s="113" t="s">
        <v>17</v>
      </c>
      <c r="E805" s="369" t="s">
        <v>15</v>
      </c>
      <c r="F805" s="369" t="s">
        <v>21</v>
      </c>
      <c r="G805" s="370">
        <v>6.97</v>
      </c>
      <c r="H805" s="125">
        <v>11.7</v>
      </c>
      <c r="I805" s="32">
        <v>30</v>
      </c>
      <c r="J805" s="117">
        <f t="shared" si="309"/>
        <v>2.4464699999999997</v>
      </c>
      <c r="K805" s="118"/>
      <c r="L805" s="111">
        <v>30</v>
      </c>
      <c r="M805" s="117">
        <f t="shared" si="310"/>
        <v>2.4464699999999997</v>
      </c>
      <c r="N805" s="119">
        <f t="shared" si="311"/>
        <v>0</v>
      </c>
      <c r="O805" s="120">
        <f t="shared" si="312"/>
        <v>0</v>
      </c>
      <c r="P805" s="111"/>
      <c r="Q805" s="32"/>
      <c r="R805" s="32"/>
    </row>
    <row r="806" spans="1:18">
      <c r="A806" s="110" t="s">
        <v>750</v>
      </c>
      <c r="B806" s="111" t="s">
        <v>749</v>
      </c>
      <c r="C806" s="112" t="s">
        <v>449</v>
      </c>
      <c r="D806" s="113" t="s">
        <v>17</v>
      </c>
      <c r="E806" s="369" t="s">
        <v>15</v>
      </c>
      <c r="F806" s="369" t="s">
        <v>21</v>
      </c>
      <c r="G806" s="370">
        <v>6.97</v>
      </c>
      <c r="H806" s="125">
        <v>12</v>
      </c>
      <c r="I806" s="32">
        <v>29</v>
      </c>
      <c r="J806" s="117">
        <f t="shared" si="309"/>
        <v>2.4255599999999999</v>
      </c>
      <c r="K806" s="118"/>
      <c r="L806" s="111">
        <v>29</v>
      </c>
      <c r="M806" s="117">
        <f t="shared" si="310"/>
        <v>2.4255599999999999</v>
      </c>
      <c r="N806" s="119">
        <f t="shared" si="311"/>
        <v>0</v>
      </c>
      <c r="O806" s="120">
        <f t="shared" si="312"/>
        <v>0</v>
      </c>
      <c r="P806" s="111"/>
      <c r="Q806" s="32"/>
      <c r="R806" s="32"/>
    </row>
    <row r="807" spans="1:18">
      <c r="A807" s="110" t="s">
        <v>750</v>
      </c>
      <c r="B807" s="111" t="s">
        <v>749</v>
      </c>
      <c r="C807" s="112" t="s">
        <v>449</v>
      </c>
      <c r="D807" s="113" t="s">
        <v>17</v>
      </c>
      <c r="E807" s="369" t="s">
        <v>15</v>
      </c>
      <c r="F807" s="369" t="s">
        <v>21</v>
      </c>
      <c r="G807" s="370">
        <v>6.97</v>
      </c>
      <c r="H807" s="125">
        <v>11</v>
      </c>
      <c r="I807" s="32">
        <v>41</v>
      </c>
      <c r="J807" s="117">
        <f t="shared" si="309"/>
        <v>3.1434700000000002</v>
      </c>
      <c r="K807" s="118"/>
      <c r="L807" s="111">
        <v>41</v>
      </c>
      <c r="M807" s="117">
        <f t="shared" si="310"/>
        <v>3.1434699999999998</v>
      </c>
      <c r="N807" s="119">
        <f t="shared" si="311"/>
        <v>0</v>
      </c>
      <c r="O807" s="120">
        <f t="shared" si="312"/>
        <v>0</v>
      </c>
      <c r="P807" s="111"/>
      <c r="Q807" s="32"/>
      <c r="R807" s="32"/>
    </row>
    <row r="808" spans="1:18">
      <c r="A808" s="110" t="s">
        <v>750</v>
      </c>
      <c r="B808" s="111" t="s">
        <v>749</v>
      </c>
      <c r="C808" s="112" t="s">
        <v>449</v>
      </c>
      <c r="D808" s="113" t="s">
        <v>17</v>
      </c>
      <c r="E808" s="369" t="s">
        <v>15</v>
      </c>
      <c r="F808" s="369" t="s">
        <v>21</v>
      </c>
      <c r="G808" s="370">
        <v>6.97</v>
      </c>
      <c r="H808" s="125">
        <v>11</v>
      </c>
      <c r="I808" s="32">
        <v>39</v>
      </c>
      <c r="J808" s="117">
        <f t="shared" si="309"/>
        <v>2.9901300000000002</v>
      </c>
      <c r="K808" s="118"/>
      <c r="L808" s="111">
        <v>39</v>
      </c>
      <c r="M808" s="117">
        <f t="shared" si="310"/>
        <v>2.9901300000000002</v>
      </c>
      <c r="N808" s="119">
        <f t="shared" si="311"/>
        <v>0</v>
      </c>
      <c r="O808" s="120">
        <f t="shared" si="312"/>
        <v>0</v>
      </c>
      <c r="P808" s="111"/>
      <c r="Q808" s="32"/>
      <c r="R808" s="32"/>
    </row>
    <row r="809" spans="1:18">
      <c r="A809" s="110" t="s">
        <v>750</v>
      </c>
      <c r="B809" s="111" t="s">
        <v>749</v>
      </c>
      <c r="C809" s="112" t="s">
        <v>449</v>
      </c>
      <c r="D809" s="113" t="s">
        <v>17</v>
      </c>
      <c r="E809" s="369" t="s">
        <v>15</v>
      </c>
      <c r="F809" s="369" t="s">
        <v>21</v>
      </c>
      <c r="G809" s="370">
        <v>6.97</v>
      </c>
      <c r="H809" s="125">
        <v>11</v>
      </c>
      <c r="I809" s="32">
        <v>41</v>
      </c>
      <c r="J809" s="117">
        <f t="shared" si="309"/>
        <v>3.1434700000000002</v>
      </c>
      <c r="K809" s="118"/>
      <c r="L809" s="111">
        <v>41</v>
      </c>
      <c r="M809" s="117">
        <f t="shared" si="310"/>
        <v>3.1434699999999998</v>
      </c>
      <c r="N809" s="119">
        <f t="shared" si="311"/>
        <v>0</v>
      </c>
      <c r="O809" s="120">
        <f t="shared" si="312"/>
        <v>0</v>
      </c>
      <c r="P809" s="111"/>
      <c r="Q809" s="32"/>
      <c r="R809" s="32"/>
    </row>
    <row r="810" spans="1:18">
      <c r="A810" s="110" t="s">
        <v>750</v>
      </c>
      <c r="B810" s="111" t="s">
        <v>749</v>
      </c>
      <c r="C810" s="112" t="s">
        <v>449</v>
      </c>
      <c r="D810" s="113" t="s">
        <v>17</v>
      </c>
      <c r="E810" s="369" t="s">
        <v>15</v>
      </c>
      <c r="F810" s="369" t="s">
        <v>21</v>
      </c>
      <c r="G810" s="370">
        <v>6.97</v>
      </c>
      <c r="H810" s="125">
        <v>11.5</v>
      </c>
      <c r="I810" s="32">
        <v>23</v>
      </c>
      <c r="J810" s="117">
        <f t="shared" si="309"/>
        <v>1.8435650000000001</v>
      </c>
      <c r="K810" s="118"/>
      <c r="L810" s="111">
        <v>23</v>
      </c>
      <c r="M810" s="117">
        <f t="shared" si="310"/>
        <v>1.8435649999999999</v>
      </c>
      <c r="N810" s="119">
        <f t="shared" si="311"/>
        <v>0</v>
      </c>
      <c r="O810" s="120">
        <f t="shared" si="312"/>
        <v>0</v>
      </c>
      <c r="P810" s="111"/>
      <c r="Q810" s="32"/>
      <c r="R810" s="32"/>
    </row>
    <row r="811" spans="1:18">
      <c r="A811" s="110" t="s">
        <v>750</v>
      </c>
      <c r="B811" s="111" t="s">
        <v>749</v>
      </c>
      <c r="C811" s="112" t="s">
        <v>449</v>
      </c>
      <c r="D811" s="113" t="s">
        <v>17</v>
      </c>
      <c r="E811" s="369" t="s">
        <v>15</v>
      </c>
      <c r="F811" s="369" t="s">
        <v>21</v>
      </c>
      <c r="G811" s="370">
        <v>6.97</v>
      </c>
      <c r="H811" s="125">
        <v>11.1</v>
      </c>
      <c r="I811" s="32">
        <v>6</v>
      </c>
      <c r="J811" s="117">
        <f t="shared" si="309"/>
        <v>0.46420199999999995</v>
      </c>
      <c r="K811" s="118"/>
      <c r="L811" s="111">
        <v>6</v>
      </c>
      <c r="M811" s="117">
        <f t="shared" si="310"/>
        <v>0.46420199999999995</v>
      </c>
      <c r="N811" s="119">
        <f t="shared" si="311"/>
        <v>0</v>
      </c>
      <c r="O811" s="120">
        <f t="shared" si="312"/>
        <v>0</v>
      </c>
      <c r="P811" s="111"/>
      <c r="Q811" s="32"/>
      <c r="R811" s="32"/>
    </row>
    <row r="812" spans="1:18">
      <c r="A812" s="110" t="s">
        <v>750</v>
      </c>
      <c r="B812" s="111" t="s">
        <v>749</v>
      </c>
      <c r="C812" s="112" t="s">
        <v>449</v>
      </c>
      <c r="D812" s="113" t="s">
        <v>17</v>
      </c>
      <c r="E812" s="369" t="s">
        <v>15</v>
      </c>
      <c r="F812" s="369" t="s">
        <v>21</v>
      </c>
      <c r="G812" s="370">
        <v>6.97</v>
      </c>
      <c r="H812" s="125">
        <v>10.5</v>
      </c>
      <c r="I812" s="32">
        <v>41</v>
      </c>
      <c r="J812" s="117">
        <f t="shared" si="309"/>
        <v>3.0005850000000001</v>
      </c>
      <c r="K812" s="118"/>
      <c r="L812" s="111">
        <f>38+3</f>
        <v>41</v>
      </c>
      <c r="M812" s="117">
        <f t="shared" si="310"/>
        <v>3.0005850000000001</v>
      </c>
      <c r="N812" s="119">
        <f t="shared" si="311"/>
        <v>0</v>
      </c>
      <c r="O812" s="120">
        <f t="shared" si="312"/>
        <v>0</v>
      </c>
      <c r="P812" s="111">
        <v>10.4</v>
      </c>
      <c r="Q812" s="32">
        <v>3</v>
      </c>
      <c r="R812" s="32"/>
    </row>
    <row r="813" spans="1:18">
      <c r="A813" s="110" t="s">
        <v>750</v>
      </c>
      <c r="B813" s="111" t="s">
        <v>749</v>
      </c>
      <c r="C813" s="112" t="s">
        <v>449</v>
      </c>
      <c r="D813" s="113" t="s">
        <v>17</v>
      </c>
      <c r="E813" s="369" t="s">
        <v>15</v>
      </c>
      <c r="F813" s="369" t="s">
        <v>21</v>
      </c>
      <c r="G813" s="370">
        <v>6.97</v>
      </c>
      <c r="H813" s="125">
        <v>10</v>
      </c>
      <c r="I813" s="32">
        <v>37</v>
      </c>
      <c r="J813" s="117">
        <f t="shared" si="309"/>
        <v>2.5789</v>
      </c>
      <c r="K813" s="118"/>
      <c r="L813" s="111">
        <v>37</v>
      </c>
      <c r="M813" s="117">
        <f t="shared" si="310"/>
        <v>2.5789</v>
      </c>
      <c r="N813" s="119">
        <f t="shared" si="311"/>
        <v>0</v>
      </c>
      <c r="O813" s="120">
        <f t="shared" si="312"/>
        <v>0</v>
      </c>
      <c r="P813" s="111"/>
      <c r="Q813" s="32"/>
      <c r="R813" s="32"/>
    </row>
    <row r="814" spans="1:18">
      <c r="A814" s="110" t="s">
        <v>750</v>
      </c>
      <c r="B814" s="111" t="s">
        <v>749</v>
      </c>
      <c r="C814" s="112" t="s">
        <v>449</v>
      </c>
      <c r="D814" s="113" t="s">
        <v>17</v>
      </c>
      <c r="E814" s="369" t="s">
        <v>15</v>
      </c>
      <c r="F814" s="369" t="s">
        <v>21</v>
      </c>
      <c r="G814" s="370">
        <v>6.97</v>
      </c>
      <c r="H814" s="125">
        <v>9.5</v>
      </c>
      <c r="I814" s="32">
        <v>32</v>
      </c>
      <c r="J814" s="117">
        <f t="shared" si="309"/>
        <v>2.1188800000000003</v>
      </c>
      <c r="K814" s="118"/>
      <c r="L814" s="111">
        <v>32</v>
      </c>
      <c r="M814" s="117">
        <f t="shared" si="310"/>
        <v>2.1188800000000003</v>
      </c>
      <c r="N814" s="119">
        <f t="shared" si="311"/>
        <v>0</v>
      </c>
      <c r="O814" s="120">
        <f t="shared" si="312"/>
        <v>0</v>
      </c>
      <c r="P814" s="111"/>
      <c r="Q814" s="32"/>
      <c r="R814" s="32"/>
    </row>
    <row r="815" spans="1:18">
      <c r="A815" s="110" t="s">
        <v>750</v>
      </c>
      <c r="B815" s="111" t="s">
        <v>749</v>
      </c>
      <c r="C815" s="112" t="s">
        <v>449</v>
      </c>
      <c r="D815" s="113" t="s">
        <v>17</v>
      </c>
      <c r="E815" s="369" t="s">
        <v>15</v>
      </c>
      <c r="F815" s="369" t="s">
        <v>21</v>
      </c>
      <c r="G815" s="370">
        <v>6.97</v>
      </c>
      <c r="H815" s="125">
        <v>9</v>
      </c>
      <c r="I815" s="32">
        <v>30</v>
      </c>
      <c r="J815" s="117">
        <f t="shared" si="309"/>
        <v>1.8818999999999999</v>
      </c>
      <c r="K815" s="118"/>
      <c r="L815" s="111">
        <v>30</v>
      </c>
      <c r="M815" s="117">
        <f t="shared" si="310"/>
        <v>1.8818999999999999</v>
      </c>
      <c r="N815" s="119">
        <f t="shared" si="311"/>
        <v>0</v>
      </c>
      <c r="O815" s="120">
        <f t="shared" si="312"/>
        <v>0</v>
      </c>
      <c r="P815" s="111"/>
      <c r="Q815" s="32"/>
      <c r="R815" s="32"/>
    </row>
    <row r="816" spans="1:18">
      <c r="A816" s="110" t="s">
        <v>750</v>
      </c>
      <c r="B816" s="111" t="s">
        <v>749</v>
      </c>
      <c r="C816" s="112" t="s">
        <v>449</v>
      </c>
      <c r="D816" s="113" t="s">
        <v>17</v>
      </c>
      <c r="E816" s="369" t="s">
        <v>15</v>
      </c>
      <c r="F816" s="369" t="s">
        <v>21</v>
      </c>
      <c r="G816" s="370">
        <v>6.97</v>
      </c>
      <c r="H816" s="125">
        <v>10.4</v>
      </c>
      <c r="I816" s="32">
        <v>41</v>
      </c>
      <c r="J816" s="117">
        <f t="shared" si="309"/>
        <v>2.9720079999999998</v>
      </c>
      <c r="K816" s="118"/>
      <c r="L816" s="111">
        <v>41</v>
      </c>
      <c r="M816" s="117">
        <f t="shared" si="310"/>
        <v>2.9720080000000002</v>
      </c>
      <c r="N816" s="119">
        <f t="shared" si="311"/>
        <v>0</v>
      </c>
      <c r="O816" s="120">
        <f>H816*N816*G816/1000</f>
        <v>0</v>
      </c>
      <c r="P816" s="111"/>
      <c r="Q816" s="32"/>
      <c r="R816" s="32"/>
    </row>
    <row r="817" spans="1:18">
      <c r="A817" s="32"/>
      <c r="B817" s="32"/>
      <c r="C817" s="32"/>
      <c r="D817" s="32"/>
      <c r="E817" s="32"/>
      <c r="F817" s="32"/>
      <c r="G817" s="32"/>
      <c r="H817" s="32"/>
      <c r="I817" s="129">
        <f>SUM(I696:I816)</f>
        <v>2647</v>
      </c>
      <c r="J817" s="124">
        <f>SUM(J696:J816)</f>
        <v>174.20051299999997</v>
      </c>
      <c r="K817" s="32"/>
      <c r="L817" s="129">
        <f>SUM(L696:L816)</f>
        <v>2629</v>
      </c>
      <c r="M817" s="124">
        <f>SUM(M696:M816)</f>
        <v>173.37596199999996</v>
      </c>
      <c r="N817" s="131">
        <f>SUM(N696:N816)</f>
        <v>18</v>
      </c>
      <c r="O817" s="132">
        <f>SUM(O696:O816)</f>
        <v>0.82455100000000003</v>
      </c>
      <c r="P817" s="32"/>
      <c r="Q817" s="32"/>
      <c r="R817" s="32"/>
    </row>
    <row r="820" spans="1:18">
      <c r="A820" s="110" t="s">
        <v>754</v>
      </c>
      <c r="B820" s="111" t="s">
        <v>227</v>
      </c>
      <c r="C820" s="112" t="s">
        <v>449</v>
      </c>
      <c r="D820" s="113" t="s">
        <v>86</v>
      </c>
      <c r="E820" s="369" t="s">
        <v>14</v>
      </c>
      <c r="F820" s="369" t="s">
        <v>29</v>
      </c>
      <c r="G820" s="370">
        <v>10.92</v>
      </c>
      <c r="H820" s="125">
        <v>10.5</v>
      </c>
      <c r="I820" s="32">
        <v>16</v>
      </c>
      <c r="J820" s="117">
        <f t="shared" ref="J820" si="313">H820*G820*I820/1000</f>
        <v>1.83456</v>
      </c>
      <c r="K820" s="118"/>
      <c r="L820" s="111">
        <v>16</v>
      </c>
      <c r="M820" s="117">
        <f t="shared" ref="M820" si="314">H820*L820*G820/1000</f>
        <v>1.83456</v>
      </c>
      <c r="N820" s="119">
        <f t="shared" ref="N820" si="315">I820-L820</f>
        <v>0</v>
      </c>
      <c r="O820" s="120">
        <f t="shared" ref="O820" si="316">H820*N820*G820/1000</f>
        <v>0</v>
      </c>
      <c r="P820" s="111"/>
      <c r="Q820" s="32"/>
      <c r="R820" s="32"/>
    </row>
    <row r="821" spans="1:18">
      <c r="A821" s="110" t="s">
        <v>754</v>
      </c>
      <c r="B821" s="111" t="s">
        <v>227</v>
      </c>
      <c r="C821" s="112" t="s">
        <v>449</v>
      </c>
      <c r="D821" s="113" t="s">
        <v>86</v>
      </c>
      <c r="E821" s="369" t="s">
        <v>14</v>
      </c>
      <c r="F821" s="369" t="s">
        <v>29</v>
      </c>
      <c r="G821" s="370">
        <v>10.92</v>
      </c>
      <c r="H821" s="125">
        <v>10.5</v>
      </c>
      <c r="I821" s="32">
        <v>16</v>
      </c>
      <c r="J821" s="117">
        <f t="shared" ref="J821:J830" si="317">H821*G821*I821/1000</f>
        <v>1.83456</v>
      </c>
      <c r="K821" s="118"/>
      <c r="L821" s="111">
        <v>16</v>
      </c>
      <c r="M821" s="117">
        <f t="shared" ref="M821:M830" si="318">H821*L821*G821/1000</f>
        <v>1.83456</v>
      </c>
      <c r="N821" s="119">
        <f t="shared" ref="N821:N830" si="319">I821-L821</f>
        <v>0</v>
      </c>
      <c r="O821" s="120">
        <f t="shared" ref="O821:O830" si="320">H821*N821*G821/1000</f>
        <v>0</v>
      </c>
      <c r="P821" s="111"/>
      <c r="Q821" s="32"/>
      <c r="R821" s="32"/>
    </row>
    <row r="822" spans="1:18">
      <c r="A822" s="110" t="s">
        <v>754</v>
      </c>
      <c r="B822" s="111" t="s">
        <v>227</v>
      </c>
      <c r="C822" s="112" t="s">
        <v>449</v>
      </c>
      <c r="D822" s="113" t="s">
        <v>86</v>
      </c>
      <c r="E822" s="369" t="s">
        <v>14</v>
      </c>
      <c r="F822" s="369" t="s">
        <v>29</v>
      </c>
      <c r="G822" s="370">
        <v>10.92</v>
      </c>
      <c r="H822" s="125">
        <v>6</v>
      </c>
      <c r="I822" s="32">
        <v>1</v>
      </c>
      <c r="J822" s="117">
        <f t="shared" si="317"/>
        <v>6.5519999999999995E-2</v>
      </c>
      <c r="K822" s="118"/>
      <c r="L822" s="111">
        <v>1</v>
      </c>
      <c r="M822" s="117">
        <f t="shared" si="318"/>
        <v>6.5519999999999995E-2</v>
      </c>
      <c r="N822" s="119">
        <f t="shared" si="319"/>
        <v>0</v>
      </c>
      <c r="O822" s="120">
        <f t="shared" si="320"/>
        <v>0</v>
      </c>
      <c r="P822" s="111"/>
      <c r="Q822" s="32"/>
      <c r="R822" s="32"/>
    </row>
    <row r="823" spans="1:18">
      <c r="A823" s="110" t="s">
        <v>754</v>
      </c>
      <c r="B823" s="111" t="s">
        <v>227</v>
      </c>
      <c r="C823" s="112" t="s">
        <v>449</v>
      </c>
      <c r="D823" s="113" t="s">
        <v>86</v>
      </c>
      <c r="E823" s="369" t="s">
        <v>14</v>
      </c>
      <c r="F823" s="369" t="s">
        <v>29</v>
      </c>
      <c r="G823" s="370">
        <v>10.92</v>
      </c>
      <c r="H823" s="125">
        <v>10</v>
      </c>
      <c r="I823" s="32">
        <v>5</v>
      </c>
      <c r="J823" s="117">
        <f t="shared" si="317"/>
        <v>0.54600000000000004</v>
      </c>
      <c r="K823" s="118"/>
      <c r="L823" s="111">
        <v>5</v>
      </c>
      <c r="M823" s="117">
        <f t="shared" si="318"/>
        <v>0.54600000000000004</v>
      </c>
      <c r="N823" s="119">
        <f t="shared" si="319"/>
        <v>0</v>
      </c>
      <c r="O823" s="120">
        <f t="shared" si="320"/>
        <v>0</v>
      </c>
      <c r="P823" s="111"/>
      <c r="Q823" s="32"/>
      <c r="R823" s="32"/>
    </row>
    <row r="824" spans="1:18">
      <c r="A824" s="110" t="s">
        <v>754</v>
      </c>
      <c r="B824" s="111" t="s">
        <v>227</v>
      </c>
      <c r="C824" s="112" t="s">
        <v>449</v>
      </c>
      <c r="D824" s="113" t="s">
        <v>86</v>
      </c>
      <c r="E824" s="369" t="s">
        <v>14</v>
      </c>
      <c r="F824" s="369" t="s">
        <v>29</v>
      </c>
      <c r="G824" s="370">
        <v>10.92</v>
      </c>
      <c r="H824" s="125">
        <v>6</v>
      </c>
      <c r="I824" s="32">
        <v>1</v>
      </c>
      <c r="J824" s="117">
        <f t="shared" si="317"/>
        <v>6.5519999999999995E-2</v>
      </c>
      <c r="K824" s="118"/>
      <c r="L824" s="111">
        <v>1</v>
      </c>
      <c r="M824" s="117">
        <f t="shared" si="318"/>
        <v>6.5519999999999995E-2</v>
      </c>
      <c r="N824" s="119">
        <f t="shared" si="319"/>
        <v>0</v>
      </c>
      <c r="O824" s="120">
        <f t="shared" si="320"/>
        <v>0</v>
      </c>
      <c r="P824" s="111"/>
      <c r="Q824" s="32"/>
      <c r="R824" s="32"/>
    </row>
    <row r="825" spans="1:18">
      <c r="A825" s="110" t="s">
        <v>754</v>
      </c>
      <c r="B825" s="111" t="s">
        <v>227</v>
      </c>
      <c r="C825" s="112" t="s">
        <v>449</v>
      </c>
      <c r="D825" s="113" t="s">
        <v>86</v>
      </c>
      <c r="E825" s="369" t="s">
        <v>14</v>
      </c>
      <c r="F825" s="369" t="s">
        <v>29</v>
      </c>
      <c r="G825" s="370">
        <v>10.92</v>
      </c>
      <c r="H825" s="125">
        <v>9.5</v>
      </c>
      <c r="I825" s="32">
        <v>1</v>
      </c>
      <c r="J825" s="117">
        <f t="shared" si="317"/>
        <v>0.10374</v>
      </c>
      <c r="K825" s="118"/>
      <c r="L825" s="111">
        <v>1</v>
      </c>
      <c r="M825" s="117">
        <f t="shared" si="318"/>
        <v>0.10374</v>
      </c>
      <c r="N825" s="119">
        <f t="shared" si="319"/>
        <v>0</v>
      </c>
      <c r="O825" s="120">
        <f t="shared" si="320"/>
        <v>0</v>
      </c>
      <c r="P825" s="130"/>
      <c r="Q825" s="32">
        <v>1</v>
      </c>
      <c r="R825" s="32" t="s">
        <v>755</v>
      </c>
    </row>
    <row r="826" spans="1:18">
      <c r="A826" s="110" t="s">
        <v>754</v>
      </c>
      <c r="B826" s="111" t="s">
        <v>227</v>
      </c>
      <c r="C826" s="112" t="s">
        <v>449</v>
      </c>
      <c r="D826" s="113" t="s">
        <v>86</v>
      </c>
      <c r="E826" s="369" t="s">
        <v>14</v>
      </c>
      <c r="F826" s="369" t="s">
        <v>29</v>
      </c>
      <c r="G826" s="370">
        <v>10.92</v>
      </c>
      <c r="H826" s="125">
        <v>10.5</v>
      </c>
      <c r="I826" s="32">
        <v>21</v>
      </c>
      <c r="J826" s="117">
        <f t="shared" si="317"/>
        <v>2.4078600000000003</v>
      </c>
      <c r="K826" s="118"/>
      <c r="L826" s="111">
        <v>21</v>
      </c>
      <c r="M826" s="117">
        <f t="shared" si="318"/>
        <v>2.4078600000000003</v>
      </c>
      <c r="N826" s="119">
        <f t="shared" si="319"/>
        <v>0</v>
      </c>
      <c r="O826" s="120">
        <f t="shared" si="320"/>
        <v>0</v>
      </c>
      <c r="P826" s="111"/>
      <c r="Q826" s="32"/>
      <c r="R826" s="32"/>
    </row>
    <row r="827" spans="1:18">
      <c r="A827" s="110" t="s">
        <v>754</v>
      </c>
      <c r="B827" s="111" t="s">
        <v>227</v>
      </c>
      <c r="C827" s="112" t="s">
        <v>449</v>
      </c>
      <c r="D827" s="113" t="s">
        <v>86</v>
      </c>
      <c r="E827" s="369" t="s">
        <v>14</v>
      </c>
      <c r="F827" s="369" t="s">
        <v>29</v>
      </c>
      <c r="G827" s="370">
        <v>10.92</v>
      </c>
      <c r="H827" s="125">
        <v>10.5</v>
      </c>
      <c r="I827" s="32">
        <v>8</v>
      </c>
      <c r="J827" s="117">
        <f t="shared" si="317"/>
        <v>0.91727999999999998</v>
      </c>
      <c r="K827" s="118"/>
      <c r="L827" s="111">
        <f>5+2+1</f>
        <v>8</v>
      </c>
      <c r="M827" s="117">
        <f t="shared" si="318"/>
        <v>0.91727999999999998</v>
      </c>
      <c r="N827" s="119">
        <f t="shared" si="319"/>
        <v>0</v>
      </c>
      <c r="O827" s="120">
        <f t="shared" si="320"/>
        <v>0</v>
      </c>
      <c r="P827" s="130"/>
      <c r="Q827" s="32">
        <v>1</v>
      </c>
      <c r="R827" s="32" t="s">
        <v>755</v>
      </c>
    </row>
    <row r="828" spans="1:18">
      <c r="A828" s="110" t="s">
        <v>754</v>
      </c>
      <c r="B828" s="111" t="s">
        <v>227</v>
      </c>
      <c r="C828" s="112" t="s">
        <v>449</v>
      </c>
      <c r="D828" s="113" t="s">
        <v>86</v>
      </c>
      <c r="E828" s="369" t="s">
        <v>14</v>
      </c>
      <c r="F828" s="369" t="s">
        <v>29</v>
      </c>
      <c r="G828" s="370">
        <v>10.92</v>
      </c>
      <c r="H828" s="125">
        <v>9.6999999999999993</v>
      </c>
      <c r="I828" s="32">
        <v>1</v>
      </c>
      <c r="J828" s="117">
        <f t="shared" si="317"/>
        <v>0.10592399999999999</v>
      </c>
      <c r="K828" s="118"/>
      <c r="L828" s="111">
        <v>1</v>
      </c>
      <c r="M828" s="117">
        <f t="shared" si="318"/>
        <v>0.10592399999999999</v>
      </c>
      <c r="N828" s="119">
        <f t="shared" si="319"/>
        <v>0</v>
      </c>
      <c r="O828" s="120">
        <f t="shared" si="320"/>
        <v>0</v>
      </c>
      <c r="P828" s="130"/>
      <c r="Q828" s="32">
        <v>1</v>
      </c>
      <c r="R828" s="32" t="s">
        <v>755</v>
      </c>
    </row>
    <row r="829" spans="1:18">
      <c r="A829" s="110" t="s">
        <v>754</v>
      </c>
      <c r="B829" s="111" t="s">
        <v>227</v>
      </c>
      <c r="C829" s="112" t="s">
        <v>449</v>
      </c>
      <c r="D829" s="113" t="s">
        <v>86</v>
      </c>
      <c r="E829" s="369" t="s">
        <v>14</v>
      </c>
      <c r="F829" s="369" t="s">
        <v>29</v>
      </c>
      <c r="G829" s="370">
        <v>10.92</v>
      </c>
      <c r="H829" s="125">
        <v>10</v>
      </c>
      <c r="I829" s="32">
        <v>1</v>
      </c>
      <c r="J829" s="117">
        <f t="shared" si="317"/>
        <v>0.10920000000000001</v>
      </c>
      <c r="K829" s="118"/>
      <c r="L829" s="111">
        <v>1</v>
      </c>
      <c r="M829" s="117">
        <f t="shared" si="318"/>
        <v>0.10920000000000001</v>
      </c>
      <c r="N829" s="119">
        <f t="shared" si="319"/>
        <v>0</v>
      </c>
      <c r="O829" s="120">
        <f t="shared" si="320"/>
        <v>0</v>
      </c>
      <c r="P829" s="111"/>
      <c r="Q829" s="32"/>
      <c r="R829" s="32"/>
    </row>
    <row r="830" spans="1:18">
      <c r="A830" s="110" t="s">
        <v>754</v>
      </c>
      <c r="B830" s="111" t="s">
        <v>227</v>
      </c>
      <c r="C830" s="112" t="s">
        <v>449</v>
      </c>
      <c r="D830" s="113" t="s">
        <v>86</v>
      </c>
      <c r="E830" s="369" t="s">
        <v>14</v>
      </c>
      <c r="F830" s="369" t="s">
        <v>29</v>
      </c>
      <c r="G830" s="370">
        <v>10.92</v>
      </c>
      <c r="H830" s="125">
        <v>11.5</v>
      </c>
      <c r="I830" s="32">
        <v>5</v>
      </c>
      <c r="J830" s="117">
        <f t="shared" si="317"/>
        <v>0.62790000000000001</v>
      </c>
      <c r="K830" s="118"/>
      <c r="L830" s="111">
        <f>4+1</f>
        <v>5</v>
      </c>
      <c r="M830" s="117">
        <f t="shared" si="318"/>
        <v>0.62790000000000001</v>
      </c>
      <c r="N830" s="119">
        <f t="shared" si="319"/>
        <v>0</v>
      </c>
      <c r="O830" s="120">
        <f t="shared" si="320"/>
        <v>0</v>
      </c>
      <c r="P830" s="130"/>
      <c r="Q830" s="32">
        <v>1</v>
      </c>
      <c r="R830" s="32" t="s">
        <v>755</v>
      </c>
    </row>
    <row r="831" spans="1:18">
      <c r="A831" s="32"/>
      <c r="B831" s="32"/>
      <c r="C831" s="32"/>
      <c r="D831" s="32"/>
      <c r="E831" s="32"/>
      <c r="F831" s="32"/>
      <c r="G831" s="32"/>
      <c r="H831" s="32"/>
      <c r="I831" s="129">
        <f>SUM(I820:I830)</f>
        <v>76</v>
      </c>
      <c r="J831" s="124">
        <f>SUM(J820:J830)</f>
        <v>8.6180640000000004</v>
      </c>
      <c r="K831" s="32"/>
      <c r="L831" s="129">
        <f>SUM(L820:L830)</f>
        <v>76</v>
      </c>
      <c r="M831" s="132">
        <f>SUM(M820:M830)</f>
        <v>8.6180640000000004</v>
      </c>
      <c r="N831" s="131">
        <f>SUM(N820:N830)</f>
        <v>0</v>
      </c>
      <c r="O831" s="124">
        <f>SUM(O820:O830)</f>
        <v>0</v>
      </c>
      <c r="P831" s="32"/>
      <c r="Q831" s="131">
        <f>SUM(Q820:Q830)</f>
        <v>4</v>
      </c>
      <c r="R831" s="32"/>
    </row>
  </sheetData>
  <pageMargins left="0.24" right="0.19" top="0.75" bottom="0.75" header="0.3" footer="0.3"/>
  <pageSetup paperSize="9" scale="85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U690"/>
  <sheetViews>
    <sheetView workbookViewId="0">
      <pane ySplit="2" topLeftCell="A636" activePane="bottomLeft" state="frozen"/>
      <selection pane="bottomLeft" activeCell="N645" sqref="N645"/>
    </sheetView>
  </sheetViews>
  <sheetFormatPr defaultColWidth="9.109375" defaultRowHeight="14.4"/>
  <cols>
    <col min="1" max="2" width="9.109375" style="213"/>
    <col min="3" max="3" width="12.44140625" style="213" customWidth="1"/>
    <col min="4" max="4" width="13.5546875" style="213" bestFit="1" customWidth="1"/>
    <col min="5" max="5" width="4.109375" style="213" bestFit="1" customWidth="1"/>
    <col min="6" max="6" width="13.44140625" style="213" bestFit="1" customWidth="1"/>
    <col min="7" max="7" width="8.6640625" style="213" bestFit="1" customWidth="1"/>
    <col min="8" max="8" width="9.109375" style="213"/>
    <col min="9" max="10" width="7.5546875" style="213" bestFit="1" customWidth="1"/>
    <col min="11" max="11" width="9.109375" style="213"/>
    <col min="12" max="12" width="5.5546875" style="213" bestFit="1" customWidth="1"/>
    <col min="13" max="13" width="7.5546875" style="213" bestFit="1" customWidth="1"/>
    <col min="14" max="14" width="5" style="213" bestFit="1" customWidth="1"/>
    <col min="15" max="15" width="7.5546875" style="213" bestFit="1" customWidth="1"/>
    <col min="16" max="16" width="12.88671875" style="213" bestFit="1" customWidth="1"/>
    <col min="17" max="16384" width="9.109375" style="213"/>
  </cols>
  <sheetData>
    <row r="2" spans="1:18" ht="26.4">
      <c r="A2" s="121" t="s">
        <v>229</v>
      </c>
      <c r="B2" s="122" t="s">
        <v>230</v>
      </c>
      <c r="C2" s="122" t="s">
        <v>0</v>
      </c>
      <c r="D2" s="122" t="s">
        <v>1</v>
      </c>
      <c r="E2" s="122" t="s">
        <v>2</v>
      </c>
      <c r="F2" s="122" t="s">
        <v>3</v>
      </c>
      <c r="G2" s="122" t="s">
        <v>10</v>
      </c>
      <c r="H2" s="122" t="s">
        <v>4</v>
      </c>
      <c r="I2" s="122" t="s">
        <v>5</v>
      </c>
      <c r="J2" s="122" t="s">
        <v>6</v>
      </c>
      <c r="K2" s="122" t="s">
        <v>7</v>
      </c>
      <c r="L2" s="122" t="s">
        <v>5</v>
      </c>
      <c r="M2" s="122" t="s">
        <v>6</v>
      </c>
      <c r="N2" s="122" t="s">
        <v>5</v>
      </c>
      <c r="O2" s="122" t="s">
        <v>6</v>
      </c>
      <c r="P2" s="122" t="s">
        <v>8</v>
      </c>
      <c r="Q2" s="32"/>
    </row>
    <row r="3" spans="1:18" ht="15.6">
      <c r="A3" s="110" t="s">
        <v>339</v>
      </c>
      <c r="B3" s="111" t="s">
        <v>232</v>
      </c>
      <c r="C3" s="112" t="s">
        <v>228</v>
      </c>
      <c r="D3" s="113" t="s">
        <v>17</v>
      </c>
      <c r="E3" s="114" t="s">
        <v>15</v>
      </c>
      <c r="F3" s="115" t="s">
        <v>37</v>
      </c>
      <c r="G3" s="116">
        <v>18.149999999999999</v>
      </c>
      <c r="H3" s="125">
        <v>6</v>
      </c>
      <c r="I3" s="111">
        <f>10+1</f>
        <v>11</v>
      </c>
      <c r="J3" s="117">
        <f t="shared" ref="J3" si="0">H3*G3*I3/1000</f>
        <v>1.1979</v>
      </c>
      <c r="K3" s="118"/>
      <c r="L3" s="111">
        <f>10+1</f>
        <v>11</v>
      </c>
      <c r="M3" s="117">
        <f t="shared" ref="M3" si="1">H3*L3*G3/1000</f>
        <v>1.1979</v>
      </c>
      <c r="N3" s="119">
        <f t="shared" ref="N3" si="2">I3-L3</f>
        <v>0</v>
      </c>
      <c r="O3" s="120">
        <f t="shared" ref="O3" si="3">H3*N3*G3/1000</f>
        <v>0</v>
      </c>
      <c r="P3" s="111"/>
      <c r="Q3" s="44">
        <v>1</v>
      </c>
      <c r="R3" s="453" t="s">
        <v>540</v>
      </c>
    </row>
    <row r="4" spans="1:18" ht="15.6">
      <c r="A4" s="110" t="s">
        <v>339</v>
      </c>
      <c r="B4" s="111" t="s">
        <v>232</v>
      </c>
      <c r="C4" s="112" t="s">
        <v>228</v>
      </c>
      <c r="D4" s="113" t="s">
        <v>17</v>
      </c>
      <c r="E4" s="114" t="s">
        <v>15</v>
      </c>
      <c r="F4" s="115" t="s">
        <v>37</v>
      </c>
      <c r="G4" s="116">
        <v>18.149999999999999</v>
      </c>
      <c r="H4" s="125">
        <v>9.5</v>
      </c>
      <c r="I4" s="111">
        <v>8</v>
      </c>
      <c r="J4" s="117">
        <f t="shared" ref="J4:J13" si="4">H4*G4*I4/1000</f>
        <v>1.3794</v>
      </c>
      <c r="K4" s="118"/>
      <c r="L4" s="111">
        <v>8</v>
      </c>
      <c r="M4" s="117">
        <f t="shared" ref="M4:M13" si="5">H4*L4*G4/1000</f>
        <v>1.3794</v>
      </c>
      <c r="N4" s="119">
        <f t="shared" ref="N4:N13" si="6">I4-L4</f>
        <v>0</v>
      </c>
      <c r="O4" s="120">
        <f t="shared" ref="O4:O13" si="7">H4*N4*G4/1000</f>
        <v>0</v>
      </c>
      <c r="P4" s="111"/>
      <c r="Q4" s="32"/>
    </row>
    <row r="5" spans="1:18" ht="15.6">
      <c r="A5" s="110" t="s">
        <v>339</v>
      </c>
      <c r="B5" s="111" t="s">
        <v>232</v>
      </c>
      <c r="C5" s="112" t="s">
        <v>228</v>
      </c>
      <c r="D5" s="113" t="s">
        <v>17</v>
      </c>
      <c r="E5" s="114" t="s">
        <v>15</v>
      </c>
      <c r="F5" s="115" t="s">
        <v>37</v>
      </c>
      <c r="G5" s="116">
        <v>18.149999999999999</v>
      </c>
      <c r="H5" s="125">
        <v>12</v>
      </c>
      <c r="I5" s="111">
        <v>8</v>
      </c>
      <c r="J5" s="117">
        <f t="shared" si="4"/>
        <v>1.7423999999999999</v>
      </c>
      <c r="K5" s="118"/>
      <c r="L5" s="111">
        <v>8</v>
      </c>
      <c r="M5" s="117">
        <f t="shared" si="5"/>
        <v>1.7423999999999999</v>
      </c>
      <c r="N5" s="119">
        <f t="shared" si="6"/>
        <v>0</v>
      </c>
      <c r="O5" s="120">
        <f t="shared" si="7"/>
        <v>0</v>
      </c>
      <c r="P5" s="111"/>
      <c r="Q5" s="32"/>
    </row>
    <row r="6" spans="1:18" ht="15.6">
      <c r="A6" s="110" t="s">
        <v>339</v>
      </c>
      <c r="B6" s="111" t="s">
        <v>232</v>
      </c>
      <c r="C6" s="112" t="s">
        <v>228</v>
      </c>
      <c r="D6" s="113" t="s">
        <v>17</v>
      </c>
      <c r="E6" s="114" t="s">
        <v>15</v>
      </c>
      <c r="F6" s="115" t="s">
        <v>37</v>
      </c>
      <c r="G6" s="116">
        <v>18.149999999999999</v>
      </c>
      <c r="H6" s="125">
        <v>6.2</v>
      </c>
      <c r="I6" s="111">
        <v>2</v>
      </c>
      <c r="J6" s="117">
        <f t="shared" si="4"/>
        <v>0.22506000000000001</v>
      </c>
      <c r="K6" s="118"/>
      <c r="L6" s="111">
        <v>2</v>
      </c>
      <c r="M6" s="117">
        <f t="shared" si="5"/>
        <v>0.22506000000000001</v>
      </c>
      <c r="N6" s="119">
        <f t="shared" si="6"/>
        <v>0</v>
      </c>
      <c r="O6" s="120">
        <f t="shared" si="7"/>
        <v>0</v>
      </c>
      <c r="P6" s="111"/>
      <c r="Q6" s="32"/>
    </row>
    <row r="7" spans="1:18" ht="15.6">
      <c r="A7" s="110" t="s">
        <v>339</v>
      </c>
      <c r="B7" s="111" t="s">
        <v>232</v>
      </c>
      <c r="C7" s="112" t="s">
        <v>228</v>
      </c>
      <c r="D7" s="113" t="s">
        <v>17</v>
      </c>
      <c r="E7" s="114" t="s">
        <v>15</v>
      </c>
      <c r="F7" s="115" t="s">
        <v>37</v>
      </c>
      <c r="G7" s="116">
        <v>18.149999999999999</v>
      </c>
      <c r="H7" s="125">
        <v>8.1999999999999993</v>
      </c>
      <c r="I7" s="111">
        <f>6+15</f>
        <v>21</v>
      </c>
      <c r="J7" s="117">
        <f t="shared" si="4"/>
        <v>3.1254299999999997</v>
      </c>
      <c r="K7" s="118"/>
      <c r="L7" s="111">
        <v>21</v>
      </c>
      <c r="M7" s="117">
        <f t="shared" si="5"/>
        <v>3.1254299999999993</v>
      </c>
      <c r="N7" s="119">
        <f t="shared" si="6"/>
        <v>0</v>
      </c>
      <c r="O7" s="120">
        <f t="shared" si="7"/>
        <v>0</v>
      </c>
      <c r="P7" s="111"/>
      <c r="Q7" s="32"/>
    </row>
    <row r="8" spans="1:18" ht="15.6">
      <c r="A8" s="110" t="s">
        <v>339</v>
      </c>
      <c r="B8" s="111" t="s">
        <v>232</v>
      </c>
      <c r="C8" s="112" t="s">
        <v>228</v>
      </c>
      <c r="D8" s="113" t="s">
        <v>17</v>
      </c>
      <c r="E8" s="114" t="s">
        <v>15</v>
      </c>
      <c r="F8" s="115" t="s">
        <v>37</v>
      </c>
      <c r="G8" s="116">
        <v>18.149999999999999</v>
      </c>
      <c r="H8" s="125">
        <v>11.7</v>
      </c>
      <c r="I8" s="111">
        <f>9+4</f>
        <v>13</v>
      </c>
      <c r="J8" s="117">
        <f t="shared" si="4"/>
        <v>2.7606149999999992</v>
      </c>
      <c r="K8" s="118"/>
      <c r="L8" s="111">
        <v>13</v>
      </c>
      <c r="M8" s="117">
        <f t="shared" si="5"/>
        <v>2.7606149999999996</v>
      </c>
      <c r="N8" s="119">
        <f t="shared" si="6"/>
        <v>0</v>
      </c>
      <c r="O8" s="120">
        <f t="shared" si="7"/>
        <v>0</v>
      </c>
      <c r="P8" s="111"/>
      <c r="Q8" s="32"/>
    </row>
    <row r="9" spans="1:18" ht="15.6">
      <c r="A9" s="110" t="s">
        <v>339</v>
      </c>
      <c r="B9" s="111" t="s">
        <v>232</v>
      </c>
      <c r="C9" s="112" t="s">
        <v>228</v>
      </c>
      <c r="D9" s="113" t="s">
        <v>17</v>
      </c>
      <c r="E9" s="114" t="s">
        <v>15</v>
      </c>
      <c r="F9" s="115" t="s">
        <v>37</v>
      </c>
      <c r="G9" s="116">
        <v>18.149999999999999</v>
      </c>
      <c r="H9" s="125">
        <v>10.6</v>
      </c>
      <c r="I9" s="111">
        <v>1</v>
      </c>
      <c r="J9" s="117">
        <f t="shared" si="4"/>
        <v>0.19238999999999998</v>
      </c>
      <c r="K9" s="118" t="s">
        <v>233</v>
      </c>
      <c r="L9" s="111">
        <v>1</v>
      </c>
      <c r="M9" s="117">
        <f t="shared" si="5"/>
        <v>0.19238999999999998</v>
      </c>
      <c r="N9" s="119">
        <f t="shared" si="6"/>
        <v>0</v>
      </c>
      <c r="O9" s="120">
        <f t="shared" si="7"/>
        <v>0</v>
      </c>
      <c r="P9" s="111"/>
      <c r="Q9" s="44">
        <v>1</v>
      </c>
      <c r="R9" s="453" t="s">
        <v>540</v>
      </c>
    </row>
    <row r="10" spans="1:18" ht="15.6">
      <c r="A10" s="110" t="s">
        <v>339</v>
      </c>
      <c r="B10" s="111" t="s">
        <v>232</v>
      </c>
      <c r="C10" s="112" t="s">
        <v>228</v>
      </c>
      <c r="D10" s="113" t="s">
        <v>17</v>
      </c>
      <c r="E10" s="114" t="s">
        <v>15</v>
      </c>
      <c r="F10" s="115" t="s">
        <v>37</v>
      </c>
      <c r="G10" s="116">
        <v>18.149999999999999</v>
      </c>
      <c r="H10" s="125">
        <v>6.2</v>
      </c>
      <c r="I10" s="111">
        <v>2</v>
      </c>
      <c r="J10" s="117">
        <f t="shared" si="4"/>
        <v>0.22506000000000001</v>
      </c>
      <c r="K10" s="118" t="s">
        <v>233</v>
      </c>
      <c r="L10" s="111">
        <v>2</v>
      </c>
      <c r="M10" s="117">
        <f t="shared" si="5"/>
        <v>0.22506000000000001</v>
      </c>
      <c r="N10" s="119">
        <f t="shared" si="6"/>
        <v>0</v>
      </c>
      <c r="O10" s="120">
        <f t="shared" si="7"/>
        <v>0</v>
      </c>
      <c r="P10" s="111"/>
      <c r="Q10" s="44">
        <v>2</v>
      </c>
      <c r="R10" s="453" t="s">
        <v>540</v>
      </c>
    </row>
    <row r="11" spans="1:18" ht="15.6">
      <c r="A11" s="110" t="s">
        <v>339</v>
      </c>
      <c r="B11" s="111" t="s">
        <v>232</v>
      </c>
      <c r="C11" s="112" t="s">
        <v>228</v>
      </c>
      <c r="D11" s="113" t="s">
        <v>17</v>
      </c>
      <c r="E11" s="114" t="s">
        <v>15</v>
      </c>
      <c r="F11" s="115" t="s">
        <v>37</v>
      </c>
      <c r="G11" s="116">
        <v>18.149999999999999</v>
      </c>
      <c r="H11" s="125">
        <v>8.1999999999999993</v>
      </c>
      <c r="I11" s="111">
        <v>1</v>
      </c>
      <c r="J11" s="117">
        <f t="shared" si="4"/>
        <v>0.14882999999999999</v>
      </c>
      <c r="K11" s="118" t="s">
        <v>234</v>
      </c>
      <c r="L11" s="111">
        <v>1</v>
      </c>
      <c r="M11" s="117">
        <f t="shared" si="5"/>
        <v>0.14882999999999999</v>
      </c>
      <c r="N11" s="119">
        <f t="shared" si="6"/>
        <v>0</v>
      </c>
      <c r="O11" s="120">
        <f t="shared" si="7"/>
        <v>0</v>
      </c>
      <c r="P11" s="111"/>
      <c r="Q11" s="32"/>
    </row>
    <row r="12" spans="1:18" ht="15.6">
      <c r="A12" s="110" t="s">
        <v>339</v>
      </c>
      <c r="B12" s="111" t="s">
        <v>232</v>
      </c>
      <c r="C12" s="112" t="s">
        <v>228</v>
      </c>
      <c r="D12" s="113" t="s">
        <v>17</v>
      </c>
      <c r="E12" s="114" t="s">
        <v>15</v>
      </c>
      <c r="F12" s="115" t="s">
        <v>37</v>
      </c>
      <c r="G12" s="116">
        <v>18.149999999999999</v>
      </c>
      <c r="H12" s="125">
        <v>9.5</v>
      </c>
      <c r="I12" s="111">
        <v>1</v>
      </c>
      <c r="J12" s="117">
        <f t="shared" si="4"/>
        <v>0.17242499999999999</v>
      </c>
      <c r="K12" s="118" t="s">
        <v>234</v>
      </c>
      <c r="L12" s="111">
        <v>1</v>
      </c>
      <c r="M12" s="117">
        <f t="shared" si="5"/>
        <v>0.17242499999999999</v>
      </c>
      <c r="N12" s="119">
        <f t="shared" si="6"/>
        <v>0</v>
      </c>
      <c r="O12" s="120">
        <f t="shared" si="7"/>
        <v>0</v>
      </c>
      <c r="P12" s="111"/>
      <c r="Q12" s="44">
        <v>1</v>
      </c>
      <c r="R12" s="453" t="s">
        <v>710</v>
      </c>
    </row>
    <row r="13" spans="1:18" ht="15.6">
      <c r="A13" s="110" t="s">
        <v>339</v>
      </c>
      <c r="B13" s="111" t="s">
        <v>232</v>
      </c>
      <c r="C13" s="112" t="s">
        <v>228</v>
      </c>
      <c r="D13" s="113" t="s">
        <v>17</v>
      </c>
      <c r="E13" s="114" t="s">
        <v>15</v>
      </c>
      <c r="F13" s="115" t="s">
        <v>37</v>
      </c>
      <c r="G13" s="116">
        <v>18.149999999999999</v>
      </c>
      <c r="H13" s="125">
        <v>12</v>
      </c>
      <c r="I13" s="111">
        <v>1</v>
      </c>
      <c r="J13" s="117">
        <f t="shared" si="4"/>
        <v>0.21779999999999999</v>
      </c>
      <c r="K13" s="118" t="s">
        <v>234</v>
      </c>
      <c r="L13" s="111">
        <v>1</v>
      </c>
      <c r="M13" s="117">
        <f t="shared" si="5"/>
        <v>0.21779999999999999</v>
      </c>
      <c r="N13" s="119">
        <f t="shared" si="6"/>
        <v>0</v>
      </c>
      <c r="O13" s="120">
        <f t="shared" si="7"/>
        <v>0</v>
      </c>
      <c r="P13" s="111"/>
      <c r="Q13" s="44">
        <v>1</v>
      </c>
      <c r="R13" s="453" t="s">
        <v>710</v>
      </c>
    </row>
    <row r="14" spans="1:18">
      <c r="A14" s="32"/>
      <c r="B14" s="32"/>
      <c r="C14" s="32"/>
      <c r="D14" s="32"/>
      <c r="E14" s="32"/>
      <c r="F14" s="32"/>
      <c r="G14" s="32"/>
      <c r="H14" s="32"/>
      <c r="I14" s="129">
        <f>SUM(I3:I13)</f>
        <v>69</v>
      </c>
      <c r="J14" s="124">
        <f>SUM(J3:J13)</f>
        <v>11.387309999999999</v>
      </c>
      <c r="K14" s="32"/>
      <c r="L14" s="129">
        <f>SUM(L3:L13)</f>
        <v>69</v>
      </c>
      <c r="M14" s="124">
        <f>SUM(M3:M13)</f>
        <v>11.387309999999999</v>
      </c>
      <c r="N14" s="131">
        <f>SUM(N3:N13)</f>
        <v>0</v>
      </c>
      <c r="O14" s="124">
        <f>SUM(O3:O13)</f>
        <v>0</v>
      </c>
      <c r="P14" s="32"/>
      <c r="Q14" s="32"/>
    </row>
    <row r="15" spans="1:18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8" ht="15.6">
      <c r="A16" s="110" t="s">
        <v>339</v>
      </c>
      <c r="B16" s="111" t="s">
        <v>232</v>
      </c>
      <c r="C16" s="112" t="s">
        <v>228</v>
      </c>
      <c r="D16" s="113" t="s">
        <v>19</v>
      </c>
      <c r="E16" s="114" t="s">
        <v>14</v>
      </c>
      <c r="F16" s="115" t="s">
        <v>38</v>
      </c>
      <c r="G16" s="116">
        <v>12.9</v>
      </c>
      <c r="H16" s="125">
        <v>6.5</v>
      </c>
      <c r="I16" s="111">
        <f>24+24</f>
        <v>48</v>
      </c>
      <c r="J16" s="117">
        <f t="shared" ref="J16" si="8">H16*G16*I16/1000</f>
        <v>4.0247999999999999</v>
      </c>
      <c r="K16" s="118"/>
      <c r="L16" s="111">
        <v>48</v>
      </c>
      <c r="M16" s="117">
        <f t="shared" ref="M16" si="9">H16*L16*G16/1000</f>
        <v>4.0247999999999999</v>
      </c>
      <c r="N16" s="119">
        <f t="shared" ref="N16" si="10">I16-L16</f>
        <v>0</v>
      </c>
      <c r="O16" s="120">
        <f t="shared" ref="O16" si="11">H16*N16*G16/1000</f>
        <v>0</v>
      </c>
      <c r="P16" s="111"/>
      <c r="Q16" s="32"/>
    </row>
    <row r="17" spans="1:18" ht="15.6">
      <c r="A17" s="110" t="s">
        <v>339</v>
      </c>
      <c r="B17" s="111" t="s">
        <v>232</v>
      </c>
      <c r="C17" s="112" t="s">
        <v>228</v>
      </c>
      <c r="D17" s="113" t="s">
        <v>19</v>
      </c>
      <c r="E17" s="114" t="s">
        <v>14</v>
      </c>
      <c r="F17" s="115" t="s">
        <v>38</v>
      </c>
      <c r="G17" s="116">
        <v>12.9</v>
      </c>
      <c r="H17" s="125">
        <v>5</v>
      </c>
      <c r="I17" s="111">
        <v>2</v>
      </c>
      <c r="J17" s="117">
        <f t="shared" ref="J17:J27" si="12">H17*G17*I17/1000</f>
        <v>0.129</v>
      </c>
      <c r="K17" s="118" t="s">
        <v>233</v>
      </c>
      <c r="L17" s="111"/>
      <c r="M17" s="117">
        <f t="shared" ref="M17:M27" si="13">H17*L17*G17/1000</f>
        <v>0</v>
      </c>
      <c r="N17" s="119">
        <f t="shared" ref="N17:N27" si="14">I17-L17</f>
        <v>2</v>
      </c>
      <c r="O17" s="120">
        <f t="shared" ref="O17:O27" si="15">H17*N17*G17/1000</f>
        <v>0.129</v>
      </c>
      <c r="P17" s="111"/>
      <c r="Q17" s="32"/>
    </row>
    <row r="18" spans="1:18" ht="15.6">
      <c r="A18" s="110" t="s">
        <v>339</v>
      </c>
      <c r="B18" s="111" t="s">
        <v>232</v>
      </c>
      <c r="C18" s="112" t="s">
        <v>228</v>
      </c>
      <c r="D18" s="113" t="s">
        <v>19</v>
      </c>
      <c r="E18" s="114" t="s">
        <v>14</v>
      </c>
      <c r="F18" s="115" t="s">
        <v>38</v>
      </c>
      <c r="G18" s="116">
        <v>12.9</v>
      </c>
      <c r="H18" s="125">
        <v>5.5</v>
      </c>
      <c r="I18" s="111">
        <v>1</v>
      </c>
      <c r="J18" s="117">
        <f t="shared" si="12"/>
        <v>7.0949999999999999E-2</v>
      </c>
      <c r="K18" s="118" t="s">
        <v>233</v>
      </c>
      <c r="L18" s="111"/>
      <c r="M18" s="117">
        <f t="shared" si="13"/>
        <v>0</v>
      </c>
      <c r="N18" s="119">
        <f t="shared" si="14"/>
        <v>1</v>
      </c>
      <c r="O18" s="120">
        <f t="shared" si="15"/>
        <v>7.0949999999999999E-2</v>
      </c>
      <c r="P18" s="111"/>
      <c r="Q18" s="32"/>
    </row>
    <row r="19" spans="1:18" ht="15.6">
      <c r="A19" s="110" t="s">
        <v>339</v>
      </c>
      <c r="B19" s="111" t="s">
        <v>232</v>
      </c>
      <c r="C19" s="112" t="s">
        <v>228</v>
      </c>
      <c r="D19" s="113" t="s">
        <v>19</v>
      </c>
      <c r="E19" s="114" t="s">
        <v>14</v>
      </c>
      <c r="F19" s="115" t="s">
        <v>38</v>
      </c>
      <c r="G19" s="116">
        <v>12.9</v>
      </c>
      <c r="H19" s="125">
        <v>6</v>
      </c>
      <c r="I19" s="111">
        <v>2</v>
      </c>
      <c r="J19" s="117">
        <f t="shared" si="12"/>
        <v>0.15480000000000002</v>
      </c>
      <c r="K19" s="118" t="s">
        <v>233</v>
      </c>
      <c r="L19" s="111"/>
      <c r="M19" s="117">
        <f t="shared" si="13"/>
        <v>0</v>
      </c>
      <c r="N19" s="119">
        <f t="shared" si="14"/>
        <v>2</v>
      </c>
      <c r="O19" s="120">
        <f t="shared" si="15"/>
        <v>0.15480000000000002</v>
      </c>
      <c r="P19" s="111"/>
      <c r="Q19" s="32"/>
    </row>
    <row r="20" spans="1:18" ht="15.6">
      <c r="A20" s="110" t="s">
        <v>339</v>
      </c>
      <c r="B20" s="111" t="s">
        <v>232</v>
      </c>
      <c r="C20" s="112" t="s">
        <v>228</v>
      </c>
      <c r="D20" s="113" t="s">
        <v>19</v>
      </c>
      <c r="E20" s="114" t="s">
        <v>14</v>
      </c>
      <c r="F20" s="115" t="s">
        <v>38</v>
      </c>
      <c r="G20" s="116">
        <v>12.9</v>
      </c>
      <c r="H20" s="125">
        <v>6.1</v>
      </c>
      <c r="I20" s="111">
        <v>5</v>
      </c>
      <c r="J20" s="117">
        <f t="shared" si="12"/>
        <v>0.39344999999999997</v>
      </c>
      <c r="K20" s="118" t="s">
        <v>233</v>
      </c>
      <c r="L20" s="111"/>
      <c r="M20" s="117">
        <f t="shared" si="13"/>
        <v>0</v>
      </c>
      <c r="N20" s="119">
        <f t="shared" si="14"/>
        <v>5</v>
      </c>
      <c r="O20" s="120">
        <f t="shared" si="15"/>
        <v>0.39344999999999997</v>
      </c>
      <c r="P20" s="111"/>
      <c r="Q20" s="32"/>
    </row>
    <row r="21" spans="1:18" ht="15.6">
      <c r="A21" s="110" t="s">
        <v>339</v>
      </c>
      <c r="B21" s="111" t="s">
        <v>232</v>
      </c>
      <c r="C21" s="112" t="s">
        <v>228</v>
      </c>
      <c r="D21" s="113" t="s">
        <v>19</v>
      </c>
      <c r="E21" s="114" t="s">
        <v>14</v>
      </c>
      <c r="F21" s="115" t="s">
        <v>38</v>
      </c>
      <c r="G21" s="116">
        <v>12.9</v>
      </c>
      <c r="H21" s="125">
        <v>6.2</v>
      </c>
      <c r="I21" s="111">
        <v>3</v>
      </c>
      <c r="J21" s="117">
        <f t="shared" si="12"/>
        <v>0.23993999999999999</v>
      </c>
      <c r="K21" s="118" t="s">
        <v>233</v>
      </c>
      <c r="L21" s="111"/>
      <c r="M21" s="117">
        <f t="shared" si="13"/>
        <v>0</v>
      </c>
      <c r="N21" s="119">
        <f t="shared" si="14"/>
        <v>3</v>
      </c>
      <c r="O21" s="120">
        <f t="shared" si="15"/>
        <v>0.23994000000000001</v>
      </c>
      <c r="P21" s="111"/>
      <c r="Q21" s="32"/>
    </row>
    <row r="22" spans="1:18" ht="15.6">
      <c r="A22" s="110" t="s">
        <v>339</v>
      </c>
      <c r="B22" s="111" t="s">
        <v>232</v>
      </c>
      <c r="C22" s="112" t="s">
        <v>228</v>
      </c>
      <c r="D22" s="113" t="s">
        <v>19</v>
      </c>
      <c r="E22" s="114" t="s">
        <v>14</v>
      </c>
      <c r="F22" s="115" t="s">
        <v>38</v>
      </c>
      <c r="G22" s="116">
        <v>12.9</v>
      </c>
      <c r="H22" s="125">
        <v>6.4</v>
      </c>
      <c r="I22" s="111">
        <v>6</v>
      </c>
      <c r="J22" s="117">
        <f t="shared" si="12"/>
        <v>0.49536000000000002</v>
      </c>
      <c r="K22" s="118" t="s">
        <v>233</v>
      </c>
      <c r="L22" s="111"/>
      <c r="M22" s="117">
        <f t="shared" si="13"/>
        <v>0</v>
      </c>
      <c r="N22" s="119">
        <f t="shared" si="14"/>
        <v>6</v>
      </c>
      <c r="O22" s="120">
        <f t="shared" si="15"/>
        <v>0.49536000000000008</v>
      </c>
      <c r="P22" s="111"/>
      <c r="Q22" s="32"/>
    </row>
    <row r="23" spans="1:18" ht="15.6">
      <c r="A23" s="110" t="s">
        <v>339</v>
      </c>
      <c r="B23" s="111" t="s">
        <v>232</v>
      </c>
      <c r="C23" s="112" t="s">
        <v>228</v>
      </c>
      <c r="D23" s="113" t="s">
        <v>19</v>
      </c>
      <c r="E23" s="114" t="s">
        <v>14</v>
      </c>
      <c r="F23" s="115" t="s">
        <v>38</v>
      </c>
      <c r="G23" s="116">
        <v>12.9</v>
      </c>
      <c r="H23" s="125">
        <v>6.5</v>
      </c>
      <c r="I23" s="111">
        <f>29+29+29+29+29+18+29+29+29+30+29+29+31+29+29+31+23+29+29+29</f>
        <v>568</v>
      </c>
      <c r="J23" s="117">
        <f t="shared" si="12"/>
        <v>47.626800000000003</v>
      </c>
      <c r="K23" s="118"/>
      <c r="L23" s="111">
        <f>480+88</f>
        <v>568</v>
      </c>
      <c r="M23" s="117">
        <f t="shared" si="13"/>
        <v>47.626800000000003</v>
      </c>
      <c r="N23" s="119">
        <f t="shared" si="14"/>
        <v>0</v>
      </c>
      <c r="O23" s="120">
        <f t="shared" si="15"/>
        <v>0</v>
      </c>
      <c r="P23" s="111"/>
      <c r="Q23" s="32"/>
    </row>
    <row r="24" spans="1:18" ht="15.6">
      <c r="A24" s="110" t="s">
        <v>339</v>
      </c>
      <c r="B24" s="111" t="s">
        <v>232</v>
      </c>
      <c r="C24" s="112" t="s">
        <v>228</v>
      </c>
      <c r="D24" s="113" t="s">
        <v>19</v>
      </c>
      <c r="E24" s="114" t="s">
        <v>14</v>
      </c>
      <c r="F24" s="115" t="s">
        <v>38</v>
      </c>
      <c r="G24" s="116">
        <v>12.9</v>
      </c>
      <c r="H24" s="125">
        <v>6.5</v>
      </c>
      <c r="I24" s="111">
        <v>2</v>
      </c>
      <c r="J24" s="117">
        <f t="shared" si="12"/>
        <v>0.16770000000000002</v>
      </c>
      <c r="K24" s="118" t="s">
        <v>252</v>
      </c>
      <c r="L24" s="111">
        <v>2</v>
      </c>
      <c r="M24" s="117">
        <f t="shared" si="13"/>
        <v>0.16770000000000002</v>
      </c>
      <c r="N24" s="119">
        <f t="shared" si="14"/>
        <v>0</v>
      </c>
      <c r="O24" s="120">
        <f t="shared" si="15"/>
        <v>0</v>
      </c>
      <c r="P24" s="111"/>
      <c r="Q24" s="32"/>
    </row>
    <row r="25" spans="1:18" ht="15.6">
      <c r="A25" s="110" t="s">
        <v>339</v>
      </c>
      <c r="B25" s="111" t="s">
        <v>232</v>
      </c>
      <c r="C25" s="112" t="s">
        <v>228</v>
      </c>
      <c r="D25" s="113" t="s">
        <v>19</v>
      </c>
      <c r="E25" s="114" t="s">
        <v>14</v>
      </c>
      <c r="F25" s="115" t="s">
        <v>38</v>
      </c>
      <c r="G25" s="116">
        <v>12.9</v>
      </c>
      <c r="H25" s="125">
        <v>5.25</v>
      </c>
      <c r="I25" s="111">
        <v>1</v>
      </c>
      <c r="J25" s="117">
        <f t="shared" si="12"/>
        <v>6.7725000000000007E-2</v>
      </c>
      <c r="K25" s="118" t="s">
        <v>252</v>
      </c>
      <c r="L25" s="111"/>
      <c r="M25" s="117">
        <f t="shared" si="13"/>
        <v>0</v>
      </c>
      <c r="N25" s="119">
        <f t="shared" si="14"/>
        <v>1</v>
      </c>
      <c r="O25" s="120">
        <f t="shared" si="15"/>
        <v>6.7725000000000007E-2</v>
      </c>
      <c r="P25" s="111"/>
      <c r="Q25" s="32"/>
    </row>
    <row r="26" spans="1:18" ht="15.6">
      <c r="A26" s="110" t="s">
        <v>339</v>
      </c>
      <c r="B26" s="111" t="s">
        <v>232</v>
      </c>
      <c r="C26" s="112" t="s">
        <v>228</v>
      </c>
      <c r="D26" s="113" t="s">
        <v>19</v>
      </c>
      <c r="E26" s="114" t="s">
        <v>14</v>
      </c>
      <c r="F26" s="115" t="s">
        <v>38</v>
      </c>
      <c r="G26" s="116">
        <v>12.9</v>
      </c>
      <c r="H26" s="125">
        <v>5.5</v>
      </c>
      <c r="I26" s="111">
        <v>2</v>
      </c>
      <c r="J26" s="117">
        <f t="shared" si="12"/>
        <v>0.1419</v>
      </c>
      <c r="K26" s="118" t="s">
        <v>252</v>
      </c>
      <c r="L26" s="111"/>
      <c r="M26" s="117">
        <f t="shared" si="13"/>
        <v>0</v>
      </c>
      <c r="N26" s="119">
        <f t="shared" si="14"/>
        <v>2</v>
      </c>
      <c r="O26" s="120">
        <f t="shared" si="15"/>
        <v>0.1419</v>
      </c>
      <c r="P26" s="111"/>
      <c r="Q26" s="32"/>
    </row>
    <row r="27" spans="1:18" ht="15.6">
      <c r="A27" s="110" t="s">
        <v>339</v>
      </c>
      <c r="B27" s="111" t="s">
        <v>232</v>
      </c>
      <c r="C27" s="112" t="s">
        <v>228</v>
      </c>
      <c r="D27" s="113" t="s">
        <v>19</v>
      </c>
      <c r="E27" s="114" t="s">
        <v>14</v>
      </c>
      <c r="F27" s="115" t="s">
        <v>38</v>
      </c>
      <c r="G27" s="116">
        <v>12.9</v>
      </c>
      <c r="H27" s="125">
        <v>6</v>
      </c>
      <c r="I27" s="111">
        <v>8</v>
      </c>
      <c r="J27" s="117">
        <f t="shared" si="12"/>
        <v>0.61920000000000008</v>
      </c>
      <c r="K27" s="118" t="s">
        <v>252</v>
      </c>
      <c r="L27" s="111"/>
      <c r="M27" s="117">
        <f t="shared" si="13"/>
        <v>0</v>
      </c>
      <c r="N27" s="119">
        <f t="shared" si="14"/>
        <v>8</v>
      </c>
      <c r="O27" s="120">
        <f t="shared" si="15"/>
        <v>0.61920000000000008</v>
      </c>
      <c r="P27" s="111"/>
      <c r="Q27" s="32"/>
    </row>
    <row r="28" spans="1:18">
      <c r="A28" s="32"/>
      <c r="B28" s="32"/>
      <c r="C28" s="32"/>
      <c r="D28" s="32"/>
      <c r="E28" s="32"/>
      <c r="F28" s="32"/>
      <c r="G28" s="32"/>
      <c r="H28" s="32"/>
      <c r="I28" s="129">
        <f>SUM(I16:I27)</f>
        <v>648</v>
      </c>
      <c r="J28" s="124">
        <f>SUM(J16:J27)</f>
        <v>54.131625000000007</v>
      </c>
      <c r="K28" s="32"/>
      <c r="L28" s="129">
        <f>SUM(L16:L27)</f>
        <v>618</v>
      </c>
      <c r="M28" s="124">
        <f>SUM(M16:M27)</f>
        <v>51.819300000000005</v>
      </c>
      <c r="N28" s="131">
        <f>SUM(N16:N27)</f>
        <v>30</v>
      </c>
      <c r="O28" s="132">
        <f>SUM(O16:O27)</f>
        <v>2.312325</v>
      </c>
      <c r="P28" s="32"/>
      <c r="Q28" s="32"/>
    </row>
    <row r="29" spans="1:18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8" ht="15.6">
      <c r="A30" s="110" t="s">
        <v>340</v>
      </c>
      <c r="B30" s="111" t="s">
        <v>232</v>
      </c>
      <c r="C30" s="112" t="s">
        <v>228</v>
      </c>
      <c r="D30" s="113" t="s">
        <v>341</v>
      </c>
      <c r="E30" s="114" t="s">
        <v>15</v>
      </c>
      <c r="F30" s="115" t="s">
        <v>37</v>
      </c>
      <c r="G30" s="116">
        <v>18.2</v>
      </c>
      <c r="H30" s="125">
        <v>9.5</v>
      </c>
      <c r="I30" s="111">
        <f>13+15</f>
        <v>28</v>
      </c>
      <c r="J30" s="117">
        <f t="shared" ref="J30" si="16">H30*G30*I30/1000</f>
        <v>4.8411999999999997</v>
      </c>
      <c r="K30" s="118"/>
      <c r="L30" s="111">
        <v>28</v>
      </c>
      <c r="M30" s="117">
        <f t="shared" ref="M30" si="17">H30*L30*G30/1000</f>
        <v>4.8411999999999997</v>
      </c>
      <c r="N30" s="119">
        <f t="shared" ref="N30" si="18">I30-L30</f>
        <v>0</v>
      </c>
      <c r="O30" s="120">
        <f t="shared" ref="O30" si="19">H30*N30*G30/1000</f>
        <v>0</v>
      </c>
      <c r="P30" s="111"/>
      <c r="Q30" s="32"/>
    </row>
    <row r="31" spans="1:18" ht="15.6">
      <c r="A31" s="110" t="s">
        <v>340</v>
      </c>
      <c r="B31" s="111" t="s">
        <v>232</v>
      </c>
      <c r="C31" s="112" t="s">
        <v>228</v>
      </c>
      <c r="D31" s="113" t="s">
        <v>341</v>
      </c>
      <c r="E31" s="114" t="s">
        <v>15</v>
      </c>
      <c r="F31" s="115" t="s">
        <v>37</v>
      </c>
      <c r="G31" s="116">
        <v>18.2</v>
      </c>
      <c r="H31" s="125">
        <v>10.8</v>
      </c>
      <c r="I31" s="111">
        <v>6</v>
      </c>
      <c r="J31" s="117">
        <f t="shared" ref="J31:J35" si="20">H31*G31*I31/1000</f>
        <v>1.1793600000000002</v>
      </c>
      <c r="K31" s="118"/>
      <c r="L31" s="111">
        <v>6</v>
      </c>
      <c r="M31" s="117">
        <f t="shared" ref="M31:M35" si="21">H31*L31*G31/1000</f>
        <v>1.1793600000000002</v>
      </c>
      <c r="N31" s="119">
        <f t="shared" ref="N31:N35" si="22">I31-L31</f>
        <v>0</v>
      </c>
      <c r="O31" s="120">
        <f t="shared" ref="O31:O35" si="23">H31*N31*G31/1000</f>
        <v>0</v>
      </c>
      <c r="P31" s="111"/>
      <c r="Q31" s="32"/>
    </row>
    <row r="32" spans="1:18" ht="15.6">
      <c r="A32" s="110" t="s">
        <v>340</v>
      </c>
      <c r="B32" s="111" t="s">
        <v>232</v>
      </c>
      <c r="C32" s="112" t="s">
        <v>228</v>
      </c>
      <c r="D32" s="113" t="s">
        <v>341</v>
      </c>
      <c r="E32" s="114" t="s">
        <v>15</v>
      </c>
      <c r="F32" s="115" t="s">
        <v>37</v>
      </c>
      <c r="G32" s="116">
        <v>18.2</v>
      </c>
      <c r="H32" s="125">
        <v>10.6</v>
      </c>
      <c r="I32" s="111">
        <v>1</v>
      </c>
      <c r="J32" s="117">
        <f t="shared" si="20"/>
        <v>0.19291999999999998</v>
      </c>
      <c r="K32" s="118" t="s">
        <v>233</v>
      </c>
      <c r="L32" s="111">
        <v>1</v>
      </c>
      <c r="M32" s="117">
        <f t="shared" si="21"/>
        <v>0.19291999999999998</v>
      </c>
      <c r="N32" s="119">
        <f t="shared" si="22"/>
        <v>0</v>
      </c>
      <c r="O32" s="120">
        <f t="shared" si="23"/>
        <v>0</v>
      </c>
      <c r="P32" s="159">
        <v>10.6</v>
      </c>
      <c r="Q32" s="213">
        <v>1</v>
      </c>
      <c r="R32" s="213" t="s">
        <v>739</v>
      </c>
    </row>
    <row r="33" spans="1:18" ht="15.6">
      <c r="A33" s="110" t="s">
        <v>340</v>
      </c>
      <c r="B33" s="111" t="s">
        <v>232</v>
      </c>
      <c r="C33" s="112" t="s">
        <v>228</v>
      </c>
      <c r="D33" s="113" t="s">
        <v>341</v>
      </c>
      <c r="E33" s="114" t="s">
        <v>15</v>
      </c>
      <c r="F33" s="115" t="s">
        <v>37</v>
      </c>
      <c r="G33" s="116">
        <v>18.2</v>
      </c>
      <c r="H33" s="125">
        <v>10.4</v>
      </c>
      <c r="I33" s="111">
        <v>1</v>
      </c>
      <c r="J33" s="117">
        <f t="shared" si="20"/>
        <v>0.18928</v>
      </c>
      <c r="K33" s="118" t="s">
        <v>233</v>
      </c>
      <c r="L33" s="111">
        <v>1</v>
      </c>
      <c r="M33" s="117">
        <f t="shared" si="21"/>
        <v>0.18928</v>
      </c>
      <c r="N33" s="119">
        <f t="shared" si="22"/>
        <v>0</v>
      </c>
      <c r="O33" s="120">
        <f t="shared" si="23"/>
        <v>0</v>
      </c>
      <c r="P33" s="159">
        <v>9.5</v>
      </c>
      <c r="Q33" s="213">
        <v>1</v>
      </c>
      <c r="R33" s="213" t="s">
        <v>739</v>
      </c>
    </row>
    <row r="34" spans="1:18" ht="15.6">
      <c r="A34" s="110" t="s">
        <v>340</v>
      </c>
      <c r="B34" s="111" t="s">
        <v>232</v>
      </c>
      <c r="C34" s="112" t="s">
        <v>228</v>
      </c>
      <c r="D34" s="113" t="s">
        <v>341</v>
      </c>
      <c r="E34" s="114" t="s">
        <v>15</v>
      </c>
      <c r="F34" s="115" t="s">
        <v>37</v>
      </c>
      <c r="G34" s="116">
        <v>18.2</v>
      </c>
      <c r="H34" s="125">
        <v>9.5</v>
      </c>
      <c r="I34" s="111">
        <v>2</v>
      </c>
      <c r="J34" s="117">
        <f t="shared" si="20"/>
        <v>0.3458</v>
      </c>
      <c r="K34" s="118" t="s">
        <v>252</v>
      </c>
      <c r="L34" s="111">
        <v>2</v>
      </c>
      <c r="M34" s="117">
        <f t="shared" si="21"/>
        <v>0.3458</v>
      </c>
      <c r="N34" s="119">
        <f t="shared" si="22"/>
        <v>0</v>
      </c>
      <c r="O34" s="120">
        <f t="shared" si="23"/>
        <v>0</v>
      </c>
      <c r="P34" s="159"/>
      <c r="Q34" s="32"/>
    </row>
    <row r="35" spans="1:18" ht="15.6">
      <c r="A35" s="110" t="s">
        <v>340</v>
      </c>
      <c r="B35" s="111" t="s">
        <v>232</v>
      </c>
      <c r="C35" s="112" t="s">
        <v>228</v>
      </c>
      <c r="D35" s="113" t="s">
        <v>341</v>
      </c>
      <c r="E35" s="114" t="s">
        <v>15</v>
      </c>
      <c r="F35" s="115" t="s">
        <v>37</v>
      </c>
      <c r="G35" s="116">
        <v>18.2</v>
      </c>
      <c r="H35" s="125">
        <v>9.4</v>
      </c>
      <c r="I35" s="111">
        <v>1</v>
      </c>
      <c r="J35" s="117">
        <f t="shared" si="20"/>
        <v>0.17108000000000001</v>
      </c>
      <c r="K35" s="118" t="s">
        <v>252</v>
      </c>
      <c r="L35" s="111">
        <v>1</v>
      </c>
      <c r="M35" s="117">
        <f t="shared" si="21"/>
        <v>0.17108000000000001</v>
      </c>
      <c r="N35" s="119">
        <f t="shared" si="22"/>
        <v>0</v>
      </c>
      <c r="O35" s="120">
        <f t="shared" si="23"/>
        <v>0</v>
      </c>
      <c r="P35" s="159">
        <v>8.1999999999999993</v>
      </c>
      <c r="Q35" s="32">
        <v>1</v>
      </c>
      <c r="R35" s="213" t="s">
        <v>739</v>
      </c>
    </row>
    <row r="36" spans="1:18">
      <c r="A36" s="32"/>
      <c r="B36" s="32"/>
      <c r="C36" s="32"/>
      <c r="D36" s="32"/>
      <c r="E36" s="32"/>
      <c r="F36" s="32"/>
      <c r="G36" s="32"/>
      <c r="H36" s="32"/>
      <c r="I36" s="129">
        <f>SUM(I30:I35)</f>
        <v>39</v>
      </c>
      <c r="J36" s="124">
        <f>SUM(J30:J35)</f>
        <v>6.9196399999999993</v>
      </c>
      <c r="K36" s="32"/>
      <c r="L36" s="129">
        <f>SUM(L30:L35)</f>
        <v>39</v>
      </c>
      <c r="M36" s="124">
        <f>SUM(M30:M35)</f>
        <v>6.9196399999999993</v>
      </c>
      <c r="N36" s="131">
        <f>SUM(N30:N35)</f>
        <v>0</v>
      </c>
      <c r="O36" s="132">
        <f>SUM(O30:O35)</f>
        <v>0</v>
      </c>
      <c r="P36" s="32"/>
      <c r="Q36" s="32"/>
    </row>
    <row r="37" spans="1:18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18" ht="15.6">
      <c r="A38" s="110" t="s">
        <v>340</v>
      </c>
      <c r="B38" s="111" t="s">
        <v>232</v>
      </c>
      <c r="C38" s="112" t="s">
        <v>228</v>
      </c>
      <c r="D38" s="113" t="s">
        <v>130</v>
      </c>
      <c r="E38" s="114" t="s">
        <v>15</v>
      </c>
      <c r="F38" s="115" t="s">
        <v>37</v>
      </c>
      <c r="G38" s="116">
        <v>18.2</v>
      </c>
      <c r="H38" s="125">
        <v>11.35</v>
      </c>
      <c r="I38" s="111">
        <f>14+14+12+15+14+9</f>
        <v>78</v>
      </c>
      <c r="J38" s="117">
        <f>H38*G38*I38/1000</f>
        <v>16.112459999999999</v>
      </c>
      <c r="K38" s="118"/>
      <c r="L38" s="111">
        <f>77+1</f>
        <v>78</v>
      </c>
      <c r="M38" s="117">
        <f t="shared" ref="M38:M39" si="24">H38*L38*G38/1000</f>
        <v>16.112459999999999</v>
      </c>
      <c r="N38" s="119">
        <f t="shared" ref="N38:N39" si="25">I38-L38</f>
        <v>0</v>
      </c>
      <c r="O38" s="120">
        <f t="shared" ref="O38:O39" si="26">H38*N38*G38/1000</f>
        <v>0</v>
      </c>
      <c r="P38" s="111"/>
      <c r="Q38" s="32"/>
    </row>
    <row r="39" spans="1:18" ht="15.6">
      <c r="A39" s="110" t="s">
        <v>340</v>
      </c>
      <c r="B39" s="111" t="s">
        <v>232</v>
      </c>
      <c r="C39" s="112" t="s">
        <v>228</v>
      </c>
      <c r="D39" s="113" t="s">
        <v>130</v>
      </c>
      <c r="E39" s="114" t="s">
        <v>15</v>
      </c>
      <c r="F39" s="115" t="s">
        <v>37</v>
      </c>
      <c r="G39" s="116">
        <v>18.2</v>
      </c>
      <c r="H39" s="125">
        <v>12</v>
      </c>
      <c r="I39" s="111">
        <f>14+14+14+14+14+14+14+14+12+14+14+14+14+14+14+8</f>
        <v>216</v>
      </c>
      <c r="J39" s="117">
        <f>H39*G39*I39/1000</f>
        <v>47.174399999999991</v>
      </c>
      <c r="K39" s="118"/>
      <c r="L39" s="111">
        <v>216</v>
      </c>
      <c r="M39" s="117">
        <f t="shared" si="24"/>
        <v>47.174399999999999</v>
      </c>
      <c r="N39" s="119">
        <f t="shared" si="25"/>
        <v>0</v>
      </c>
      <c r="O39" s="120">
        <f t="shared" si="26"/>
        <v>0</v>
      </c>
      <c r="P39" s="111"/>
      <c r="Q39" s="32"/>
    </row>
    <row r="40" spans="1:18" ht="15.6">
      <c r="A40" s="110" t="s">
        <v>340</v>
      </c>
      <c r="B40" s="111" t="s">
        <v>232</v>
      </c>
      <c r="C40" s="112" t="s">
        <v>228</v>
      </c>
      <c r="D40" s="113" t="s">
        <v>130</v>
      </c>
      <c r="E40" s="114" t="s">
        <v>15</v>
      </c>
      <c r="F40" s="115" t="s">
        <v>37</v>
      </c>
      <c r="G40" s="116">
        <v>18.2</v>
      </c>
      <c r="H40" s="125">
        <v>11</v>
      </c>
      <c r="I40" s="111">
        <v>5</v>
      </c>
      <c r="J40" s="117">
        <f>H40*G40*I40/1000</f>
        <v>1.0009999999999999</v>
      </c>
      <c r="K40" s="118"/>
      <c r="L40" s="111">
        <f>1+2+2</f>
        <v>5</v>
      </c>
      <c r="M40" s="117">
        <f t="shared" ref="M40:M42" si="27">H40*L40*G40/1000</f>
        <v>1.0009999999999999</v>
      </c>
      <c r="N40" s="119">
        <f t="shared" ref="N40:N42" si="28">I40-L40</f>
        <v>0</v>
      </c>
      <c r="O40" s="120">
        <f t="shared" ref="O40:O42" si="29">H40*N40*G40/1000</f>
        <v>0</v>
      </c>
      <c r="P40" s="111">
        <v>10.9</v>
      </c>
      <c r="Q40" s="32">
        <v>2</v>
      </c>
      <c r="R40" s="453" t="s">
        <v>711</v>
      </c>
    </row>
    <row r="41" spans="1:18" ht="15.6">
      <c r="A41" s="110" t="s">
        <v>340</v>
      </c>
      <c r="B41" s="111" t="s">
        <v>232</v>
      </c>
      <c r="C41" s="112" t="s">
        <v>228</v>
      </c>
      <c r="D41" s="113" t="s">
        <v>130</v>
      </c>
      <c r="E41" s="114" t="s">
        <v>15</v>
      </c>
      <c r="F41" s="115" t="s">
        <v>37</v>
      </c>
      <c r="G41" s="116">
        <v>18.2</v>
      </c>
      <c r="H41" s="125">
        <v>12</v>
      </c>
      <c r="I41" s="111">
        <v>2</v>
      </c>
      <c r="J41" s="117">
        <f>H41*G41*I41/1000</f>
        <v>0.43679999999999997</v>
      </c>
      <c r="K41" s="118" t="s">
        <v>252</v>
      </c>
      <c r="L41" s="111">
        <v>2</v>
      </c>
      <c r="M41" s="117">
        <f t="shared" si="27"/>
        <v>0.43679999999999997</v>
      </c>
      <c r="N41" s="119">
        <f t="shared" si="28"/>
        <v>0</v>
      </c>
      <c r="O41" s="120">
        <f t="shared" si="29"/>
        <v>0</v>
      </c>
      <c r="P41" s="111"/>
      <c r="Q41" s="32"/>
    </row>
    <row r="42" spans="1:18" ht="15.6">
      <c r="A42" s="110" t="s">
        <v>340</v>
      </c>
      <c r="B42" s="111" t="s">
        <v>232</v>
      </c>
      <c r="C42" s="112" t="s">
        <v>228</v>
      </c>
      <c r="D42" s="113" t="s">
        <v>130</v>
      </c>
      <c r="E42" s="114" t="s">
        <v>15</v>
      </c>
      <c r="F42" s="115" t="s">
        <v>37</v>
      </c>
      <c r="G42" s="116">
        <v>18.2</v>
      </c>
      <c r="H42" s="125">
        <v>12</v>
      </c>
      <c r="I42" s="111">
        <v>4</v>
      </c>
      <c r="J42" s="117">
        <f>H42*G42*I42/1000</f>
        <v>0.87359999999999993</v>
      </c>
      <c r="K42" s="118" t="s">
        <v>234</v>
      </c>
      <c r="L42" s="111">
        <v>4</v>
      </c>
      <c r="M42" s="117">
        <f t="shared" si="27"/>
        <v>0.87359999999999993</v>
      </c>
      <c r="N42" s="119">
        <f t="shared" si="28"/>
        <v>0</v>
      </c>
      <c r="O42" s="120">
        <f t="shared" si="29"/>
        <v>0</v>
      </c>
      <c r="P42" s="111"/>
      <c r="Q42" s="32"/>
    </row>
    <row r="43" spans="1:18">
      <c r="A43" s="32"/>
      <c r="B43" s="32"/>
      <c r="C43" s="32"/>
      <c r="D43" s="32"/>
      <c r="E43" s="32"/>
      <c r="F43" s="32"/>
      <c r="G43" s="32"/>
      <c r="H43" s="32"/>
      <c r="I43" s="129">
        <f>SUM(I38:I42)</f>
        <v>305</v>
      </c>
      <c r="J43" s="124">
        <f>SUM(J38:J42)</f>
        <v>65.598259999999996</v>
      </c>
      <c r="K43" s="32"/>
      <c r="L43" s="129">
        <f>SUM(L38:L42)</f>
        <v>305</v>
      </c>
      <c r="M43" s="124">
        <f>SUM(M38:M42)</f>
        <v>65.598259999999996</v>
      </c>
      <c r="N43" s="131">
        <f>SUM(N38:N42)</f>
        <v>0</v>
      </c>
      <c r="O43" s="132">
        <f>SUM(O38:O42)</f>
        <v>0</v>
      </c>
      <c r="P43" s="32"/>
      <c r="Q43" s="32"/>
    </row>
    <row r="44" spans="1:18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spans="1:18" ht="15.6">
      <c r="A45" s="110" t="s">
        <v>340</v>
      </c>
      <c r="B45" s="111" t="s">
        <v>232</v>
      </c>
      <c r="C45" s="112" t="s">
        <v>228</v>
      </c>
      <c r="D45" s="113" t="s">
        <v>130</v>
      </c>
      <c r="E45" s="114" t="s">
        <v>15</v>
      </c>
      <c r="F45" s="115" t="s">
        <v>62</v>
      </c>
      <c r="G45" s="116">
        <v>19.899999999999999</v>
      </c>
      <c r="H45" s="125">
        <v>7.3</v>
      </c>
      <c r="I45" s="111">
        <v>8</v>
      </c>
      <c r="J45" s="117">
        <f t="shared" ref="J45:J50" si="30">H45*G45*I45/1000</f>
        <v>1.1621599999999999</v>
      </c>
      <c r="K45" s="118"/>
      <c r="L45" s="111">
        <v>8</v>
      </c>
      <c r="M45" s="117">
        <f t="shared" ref="M45:M49" si="31">H45*L45*G45/1000</f>
        <v>1.1621599999999999</v>
      </c>
      <c r="N45" s="119">
        <f t="shared" ref="N45:N49" si="32">I45-L45</f>
        <v>0</v>
      </c>
      <c r="O45" s="120">
        <f t="shared" ref="O45:O49" si="33">H45*N45*G45/1000</f>
        <v>0</v>
      </c>
      <c r="P45" s="111"/>
      <c r="Q45" s="32"/>
    </row>
    <row r="46" spans="1:18" ht="15.6">
      <c r="A46" s="110" t="s">
        <v>340</v>
      </c>
      <c r="B46" s="111" t="s">
        <v>232</v>
      </c>
      <c r="C46" s="112" t="s">
        <v>228</v>
      </c>
      <c r="D46" s="113" t="s">
        <v>130</v>
      </c>
      <c r="E46" s="114" t="s">
        <v>15</v>
      </c>
      <c r="F46" s="115" t="s">
        <v>62</v>
      </c>
      <c r="G46" s="116">
        <v>19.899999999999999</v>
      </c>
      <c r="H46" s="125">
        <v>11</v>
      </c>
      <c r="I46" s="111">
        <f>14+5</f>
        <v>19</v>
      </c>
      <c r="J46" s="117">
        <f t="shared" si="30"/>
        <v>4.1590999999999996</v>
      </c>
      <c r="K46" s="118"/>
      <c r="L46" s="111">
        <v>19</v>
      </c>
      <c r="M46" s="117">
        <f t="shared" si="31"/>
        <v>4.1590999999999996</v>
      </c>
      <c r="N46" s="119">
        <f t="shared" si="32"/>
        <v>0</v>
      </c>
      <c r="O46" s="120">
        <f t="shared" si="33"/>
        <v>0</v>
      </c>
      <c r="P46" s="111"/>
      <c r="Q46" s="32"/>
    </row>
    <row r="47" spans="1:18" ht="15.6">
      <c r="A47" s="110" t="s">
        <v>340</v>
      </c>
      <c r="B47" s="111" t="s">
        <v>232</v>
      </c>
      <c r="C47" s="112" t="s">
        <v>228</v>
      </c>
      <c r="D47" s="113" t="s">
        <v>130</v>
      </c>
      <c r="E47" s="114" t="s">
        <v>15</v>
      </c>
      <c r="F47" s="115" t="s">
        <v>62</v>
      </c>
      <c r="G47" s="116">
        <v>19.899999999999999</v>
      </c>
      <c r="H47" s="125">
        <v>11</v>
      </c>
      <c r="I47" s="111">
        <v>2</v>
      </c>
      <c r="J47" s="117">
        <f t="shared" si="30"/>
        <v>0.43779999999999997</v>
      </c>
      <c r="K47" s="118"/>
      <c r="L47" s="111">
        <v>2</v>
      </c>
      <c r="M47" s="117">
        <f t="shared" si="31"/>
        <v>0.43779999999999997</v>
      </c>
      <c r="N47" s="119">
        <f t="shared" si="32"/>
        <v>0</v>
      </c>
      <c r="O47" s="120">
        <f t="shared" si="33"/>
        <v>0</v>
      </c>
      <c r="P47" s="159">
        <v>11</v>
      </c>
      <c r="Q47" s="32">
        <v>2</v>
      </c>
      <c r="R47" s="213" t="s">
        <v>359</v>
      </c>
    </row>
    <row r="48" spans="1:18" ht="15.6">
      <c r="A48" s="110" t="s">
        <v>340</v>
      </c>
      <c r="B48" s="111" t="s">
        <v>232</v>
      </c>
      <c r="C48" s="112" t="s">
        <v>228</v>
      </c>
      <c r="D48" s="113" t="s">
        <v>130</v>
      </c>
      <c r="E48" s="114" t="s">
        <v>15</v>
      </c>
      <c r="F48" s="115" t="s">
        <v>62</v>
      </c>
      <c r="G48" s="116">
        <v>19.899999999999999</v>
      </c>
      <c r="H48" s="125">
        <v>10.4</v>
      </c>
      <c r="I48" s="111">
        <v>1</v>
      </c>
      <c r="J48" s="117">
        <f t="shared" si="30"/>
        <v>0.20695999999999998</v>
      </c>
      <c r="K48" s="118"/>
      <c r="L48" s="111">
        <v>1</v>
      </c>
      <c r="M48" s="117">
        <f t="shared" si="31"/>
        <v>0.20695999999999998</v>
      </c>
      <c r="N48" s="119">
        <f t="shared" si="32"/>
        <v>0</v>
      </c>
      <c r="O48" s="120">
        <f t="shared" si="33"/>
        <v>0</v>
      </c>
      <c r="P48" s="159">
        <v>7.3</v>
      </c>
      <c r="Q48" s="32">
        <v>1</v>
      </c>
      <c r="R48" s="213" t="s">
        <v>359</v>
      </c>
    </row>
    <row r="49" spans="1:18" ht="15.6">
      <c r="A49" s="110" t="s">
        <v>340</v>
      </c>
      <c r="B49" s="111" t="s">
        <v>232</v>
      </c>
      <c r="C49" s="112" t="s">
        <v>228</v>
      </c>
      <c r="D49" s="113" t="s">
        <v>130</v>
      </c>
      <c r="E49" s="114" t="s">
        <v>15</v>
      </c>
      <c r="F49" s="115" t="s">
        <v>62</v>
      </c>
      <c r="G49" s="116">
        <v>19.899999999999999</v>
      </c>
      <c r="H49" s="125">
        <v>7.3</v>
      </c>
      <c r="I49" s="111">
        <v>2</v>
      </c>
      <c r="J49" s="117">
        <f t="shared" si="30"/>
        <v>0.29053999999999996</v>
      </c>
      <c r="K49" s="118"/>
      <c r="L49" s="111">
        <v>2</v>
      </c>
      <c r="M49" s="117">
        <f t="shared" si="31"/>
        <v>0.29053999999999996</v>
      </c>
      <c r="N49" s="119">
        <f t="shared" si="32"/>
        <v>0</v>
      </c>
      <c r="O49" s="120">
        <f t="shared" si="33"/>
        <v>0</v>
      </c>
      <c r="P49" s="159">
        <v>7.3</v>
      </c>
      <c r="Q49" s="32">
        <v>2</v>
      </c>
      <c r="R49" s="213" t="s">
        <v>359</v>
      </c>
    </row>
    <row r="50" spans="1:18" ht="15.6">
      <c r="A50" s="110" t="s">
        <v>340</v>
      </c>
      <c r="B50" s="111" t="s">
        <v>232</v>
      </c>
      <c r="C50" s="112" t="s">
        <v>228</v>
      </c>
      <c r="D50" s="113" t="s">
        <v>130</v>
      </c>
      <c r="E50" s="114" t="s">
        <v>15</v>
      </c>
      <c r="F50" s="115" t="s">
        <v>62</v>
      </c>
      <c r="G50" s="116">
        <v>19.899999999999999</v>
      </c>
      <c r="H50" s="127">
        <v>6.9</v>
      </c>
      <c r="I50" s="111">
        <v>1</v>
      </c>
      <c r="J50" s="117">
        <f t="shared" si="30"/>
        <v>0.13731000000000002</v>
      </c>
      <c r="K50" s="118"/>
      <c r="L50" s="111">
        <v>1</v>
      </c>
      <c r="M50" s="117">
        <f t="shared" ref="M50" si="34">H50*L50*G50/1000</f>
        <v>0.13731000000000002</v>
      </c>
      <c r="N50" s="119">
        <f t="shared" ref="N50" si="35">I50-L50</f>
        <v>0</v>
      </c>
      <c r="O50" s="120">
        <f t="shared" ref="O50" si="36">H50*N50*G50/1000</f>
        <v>0</v>
      </c>
      <c r="P50" s="111">
        <v>6.9</v>
      </c>
      <c r="Q50" s="32">
        <v>1</v>
      </c>
      <c r="R50" s="213" t="s">
        <v>249</v>
      </c>
    </row>
    <row r="51" spans="1:18">
      <c r="A51" s="32"/>
      <c r="B51" s="32"/>
      <c r="C51" s="32"/>
      <c r="D51" s="32"/>
      <c r="E51" s="32"/>
      <c r="F51" s="32"/>
      <c r="G51" s="32"/>
      <c r="H51" s="32"/>
      <c r="I51" s="129">
        <f>SUM(I45:I50)</f>
        <v>33</v>
      </c>
      <c r="J51" s="124">
        <f>SUM(J45:J50)</f>
        <v>6.3938699999999997</v>
      </c>
      <c r="K51" s="129"/>
      <c r="L51" s="129">
        <f>SUM(L45:L50)</f>
        <v>33</v>
      </c>
      <c r="M51" s="124">
        <f>SUM(M45:M50)</f>
        <v>6.3938699999999997</v>
      </c>
      <c r="N51" s="131">
        <f>SUM(N45:N50)</f>
        <v>0</v>
      </c>
      <c r="O51" s="124">
        <f>SUM(O45:O50)</f>
        <v>0</v>
      </c>
      <c r="P51" s="32"/>
      <c r="Q51" s="129">
        <f>SUM(Q45:Q50)</f>
        <v>6</v>
      </c>
    </row>
    <row r="52" spans="1:18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</row>
    <row r="53" spans="1:18" ht="15.6">
      <c r="A53" s="110" t="s">
        <v>340</v>
      </c>
      <c r="B53" s="111" t="s">
        <v>232</v>
      </c>
      <c r="C53" s="112" t="s">
        <v>228</v>
      </c>
      <c r="D53" s="113" t="s">
        <v>130</v>
      </c>
      <c r="E53" s="114" t="s">
        <v>15</v>
      </c>
      <c r="F53" s="115" t="s">
        <v>40</v>
      </c>
      <c r="G53" s="116">
        <v>16.5</v>
      </c>
      <c r="H53" s="125">
        <v>7.4</v>
      </c>
      <c r="I53" s="111">
        <f>17+17+17+17+17+17+17+25+25+25+25+25+25+25+24+21+20+20+20+20+20+20+20+20+20+20+20+20+20+20+20+20+20+15</f>
        <v>694</v>
      </c>
      <c r="J53" s="117">
        <f t="shared" ref="J53:J69" si="37">H53*G53*I53/1000</f>
        <v>84.737400000000008</v>
      </c>
      <c r="K53" s="118"/>
      <c r="L53" s="111">
        <f>480+214</f>
        <v>694</v>
      </c>
      <c r="M53" s="117">
        <f t="shared" ref="M53" si="38">H53*L53*G53/1000</f>
        <v>84.737400000000008</v>
      </c>
      <c r="N53" s="119">
        <f t="shared" ref="N53" si="39">I53-L53</f>
        <v>0</v>
      </c>
      <c r="O53" s="120">
        <f t="shared" ref="O53" si="40">H53*N53*G53/1000</f>
        <v>0</v>
      </c>
      <c r="P53" s="111"/>
      <c r="Q53" s="32"/>
    </row>
    <row r="54" spans="1:18" ht="15.6">
      <c r="A54" s="110" t="s">
        <v>340</v>
      </c>
      <c r="B54" s="111" t="s">
        <v>232</v>
      </c>
      <c r="C54" s="112" t="s">
        <v>228</v>
      </c>
      <c r="D54" s="113" t="s">
        <v>130</v>
      </c>
      <c r="E54" s="114" t="s">
        <v>15</v>
      </c>
      <c r="F54" s="115" t="s">
        <v>40</v>
      </c>
      <c r="G54" s="116">
        <v>16.5</v>
      </c>
      <c r="H54" s="125">
        <v>11.15</v>
      </c>
      <c r="I54" s="111">
        <f>21+17+19+17+17+18+10+17+17+17+17+17+17+14</f>
        <v>235</v>
      </c>
      <c r="J54" s="117">
        <f t="shared" si="37"/>
        <v>43.234124999999999</v>
      </c>
      <c r="K54" s="118"/>
      <c r="L54" s="111">
        <v>235</v>
      </c>
      <c r="M54" s="117">
        <f t="shared" ref="M54:M69" si="41">H54*L54*G54/1000</f>
        <v>43.234124999999999</v>
      </c>
      <c r="N54" s="119">
        <f t="shared" ref="N54:N69" si="42">I54-L54</f>
        <v>0</v>
      </c>
      <c r="O54" s="120">
        <f t="shared" ref="O54:O69" si="43">H54*N54*G54/1000</f>
        <v>0</v>
      </c>
      <c r="P54" s="111"/>
      <c r="Q54" s="32"/>
    </row>
    <row r="55" spans="1:18" ht="15.6">
      <c r="A55" s="110" t="s">
        <v>340</v>
      </c>
      <c r="B55" s="111" t="s">
        <v>232</v>
      </c>
      <c r="C55" s="112" t="s">
        <v>228</v>
      </c>
      <c r="D55" s="113" t="s">
        <v>130</v>
      </c>
      <c r="E55" s="114" t="s">
        <v>15</v>
      </c>
      <c r="F55" s="115" t="s">
        <v>40</v>
      </c>
      <c r="G55" s="116">
        <v>16.5</v>
      </c>
      <c r="H55" s="125">
        <v>7.1</v>
      </c>
      <c r="I55" s="111">
        <v>8</v>
      </c>
      <c r="J55" s="117">
        <f t="shared" si="37"/>
        <v>0.93719999999999992</v>
      </c>
      <c r="K55" s="118"/>
      <c r="L55" s="111">
        <v>8</v>
      </c>
      <c r="M55" s="117">
        <f t="shared" si="41"/>
        <v>0.93719999999999992</v>
      </c>
      <c r="N55" s="119">
        <f t="shared" si="42"/>
        <v>0</v>
      </c>
      <c r="O55" s="120">
        <f t="shared" si="43"/>
        <v>0</v>
      </c>
      <c r="P55" s="111"/>
      <c r="Q55" s="32"/>
    </row>
    <row r="56" spans="1:18" ht="15.6">
      <c r="A56" s="110" t="s">
        <v>340</v>
      </c>
      <c r="B56" s="111" t="s">
        <v>232</v>
      </c>
      <c r="C56" s="112" t="s">
        <v>228</v>
      </c>
      <c r="D56" s="113" t="s">
        <v>130</v>
      </c>
      <c r="E56" s="114" t="s">
        <v>15</v>
      </c>
      <c r="F56" s="115" t="s">
        <v>40</v>
      </c>
      <c r="G56" s="116">
        <v>16.5</v>
      </c>
      <c r="H56" s="125">
        <v>6.8</v>
      </c>
      <c r="I56" s="111">
        <v>4</v>
      </c>
      <c r="J56" s="117">
        <f t="shared" si="37"/>
        <v>0.44880000000000003</v>
      </c>
      <c r="K56" s="118"/>
      <c r="L56" s="111">
        <v>4</v>
      </c>
      <c r="M56" s="117">
        <f t="shared" si="41"/>
        <v>0.44880000000000003</v>
      </c>
      <c r="N56" s="119">
        <f t="shared" si="42"/>
        <v>0</v>
      </c>
      <c r="O56" s="120">
        <f t="shared" si="43"/>
        <v>0</v>
      </c>
      <c r="P56" s="72">
        <f>5515+150</f>
        <v>5665</v>
      </c>
      <c r="Q56" s="72">
        <v>4</v>
      </c>
      <c r="R56" s="77" t="s">
        <v>524</v>
      </c>
    </row>
    <row r="57" spans="1:18" ht="15.6">
      <c r="A57" s="110" t="s">
        <v>340</v>
      </c>
      <c r="B57" s="111" t="s">
        <v>232</v>
      </c>
      <c r="C57" s="112" t="s">
        <v>228</v>
      </c>
      <c r="D57" s="113" t="s">
        <v>130</v>
      </c>
      <c r="E57" s="114" t="s">
        <v>15</v>
      </c>
      <c r="F57" s="115" t="s">
        <v>40</v>
      </c>
      <c r="G57" s="116">
        <v>16.5</v>
      </c>
      <c r="H57" s="125">
        <v>6.5</v>
      </c>
      <c r="I57" s="111">
        <v>1</v>
      </c>
      <c r="J57" s="117">
        <f t="shared" si="37"/>
        <v>0.10725</v>
      </c>
      <c r="K57" s="118"/>
      <c r="L57" s="111">
        <v>1</v>
      </c>
      <c r="M57" s="117">
        <f t="shared" si="41"/>
        <v>0.10725</v>
      </c>
      <c r="N57" s="119">
        <f t="shared" si="42"/>
        <v>0</v>
      </c>
      <c r="O57" s="120">
        <f t="shared" si="43"/>
        <v>0</v>
      </c>
      <c r="P57" s="72">
        <f>5515+150</f>
        <v>5665</v>
      </c>
      <c r="Q57" s="72">
        <v>1</v>
      </c>
      <c r="R57" s="77" t="s">
        <v>524</v>
      </c>
    </row>
    <row r="58" spans="1:18" ht="15.6">
      <c r="A58" s="110" t="s">
        <v>340</v>
      </c>
      <c r="B58" s="111" t="s">
        <v>232</v>
      </c>
      <c r="C58" s="112" t="s">
        <v>228</v>
      </c>
      <c r="D58" s="113" t="s">
        <v>130</v>
      </c>
      <c r="E58" s="114" t="s">
        <v>15</v>
      </c>
      <c r="F58" s="115" t="s">
        <v>40</v>
      </c>
      <c r="G58" s="116">
        <v>16.5</v>
      </c>
      <c r="H58" s="125">
        <v>11</v>
      </c>
      <c r="I58" s="111">
        <v>1</v>
      </c>
      <c r="J58" s="117">
        <f t="shared" si="37"/>
        <v>0.18149999999999999</v>
      </c>
      <c r="K58" s="118"/>
      <c r="L58" s="111">
        <v>1</v>
      </c>
      <c r="M58" s="117">
        <f t="shared" si="41"/>
        <v>0.18149999999999999</v>
      </c>
      <c r="N58" s="119">
        <f t="shared" si="42"/>
        <v>0</v>
      </c>
      <c r="O58" s="120">
        <f t="shared" si="43"/>
        <v>0</v>
      </c>
      <c r="P58" s="130">
        <v>10.9</v>
      </c>
      <c r="Q58" s="32">
        <v>1</v>
      </c>
      <c r="R58" s="213" t="s">
        <v>442</v>
      </c>
    </row>
    <row r="59" spans="1:18" ht="15.6">
      <c r="A59" s="110" t="s">
        <v>340</v>
      </c>
      <c r="B59" s="111" t="s">
        <v>232</v>
      </c>
      <c r="C59" s="112" t="s">
        <v>228</v>
      </c>
      <c r="D59" s="113" t="s">
        <v>130</v>
      </c>
      <c r="E59" s="114" t="s">
        <v>15</v>
      </c>
      <c r="F59" s="115" t="s">
        <v>40</v>
      </c>
      <c r="G59" s="116">
        <v>16.5</v>
      </c>
      <c r="H59" s="125">
        <v>10</v>
      </c>
      <c r="I59" s="111">
        <v>1</v>
      </c>
      <c r="J59" s="117">
        <f t="shared" si="37"/>
        <v>0.16500000000000001</v>
      </c>
      <c r="K59" s="118"/>
      <c r="L59" s="111">
        <v>1</v>
      </c>
      <c r="M59" s="117">
        <f t="shared" si="41"/>
        <v>0.16500000000000001</v>
      </c>
      <c r="N59" s="119">
        <f t="shared" si="42"/>
        <v>0</v>
      </c>
      <c r="O59" s="120">
        <f t="shared" si="43"/>
        <v>0</v>
      </c>
      <c r="P59" s="130">
        <v>10.1</v>
      </c>
      <c r="Q59" s="32">
        <v>1</v>
      </c>
      <c r="R59" s="213" t="s">
        <v>442</v>
      </c>
    </row>
    <row r="60" spans="1:18" ht="15.6">
      <c r="A60" s="110" t="s">
        <v>340</v>
      </c>
      <c r="B60" s="111" t="s">
        <v>232</v>
      </c>
      <c r="C60" s="112" t="s">
        <v>228</v>
      </c>
      <c r="D60" s="113" t="s">
        <v>130</v>
      </c>
      <c r="E60" s="114" t="s">
        <v>15</v>
      </c>
      <c r="F60" s="115" t="s">
        <v>40</v>
      </c>
      <c r="G60" s="116">
        <v>16.5</v>
      </c>
      <c r="H60" s="125">
        <v>7.2</v>
      </c>
      <c r="I60" s="111">
        <v>3</v>
      </c>
      <c r="J60" s="117">
        <f t="shared" si="37"/>
        <v>0.35639999999999999</v>
      </c>
      <c r="K60" s="118"/>
      <c r="L60" s="111">
        <v>3</v>
      </c>
      <c r="M60" s="117">
        <f t="shared" si="41"/>
        <v>0.35640000000000005</v>
      </c>
      <c r="N60" s="119">
        <f t="shared" si="42"/>
        <v>0</v>
      </c>
      <c r="O60" s="120">
        <f t="shared" si="43"/>
        <v>0</v>
      </c>
      <c r="P60" s="159">
        <v>7.2</v>
      </c>
      <c r="Q60" s="32">
        <v>1</v>
      </c>
      <c r="R60" s="213" t="s">
        <v>442</v>
      </c>
    </row>
    <row r="61" spans="1:18" ht="15.6">
      <c r="A61" s="110" t="s">
        <v>340</v>
      </c>
      <c r="B61" s="111" t="s">
        <v>232</v>
      </c>
      <c r="C61" s="112" t="s">
        <v>228</v>
      </c>
      <c r="D61" s="113" t="s">
        <v>130</v>
      </c>
      <c r="E61" s="114" t="s">
        <v>15</v>
      </c>
      <c r="F61" s="115" t="s">
        <v>40</v>
      </c>
      <c r="G61" s="116">
        <v>16.5</v>
      </c>
      <c r="H61" s="125">
        <v>10.199999999999999</v>
      </c>
      <c r="I61" s="111">
        <v>1</v>
      </c>
      <c r="J61" s="117">
        <f t="shared" si="37"/>
        <v>0.16829999999999998</v>
      </c>
      <c r="K61" s="118"/>
      <c r="L61" s="111">
        <v>1</v>
      </c>
      <c r="M61" s="117">
        <f t="shared" si="41"/>
        <v>0.16829999999999998</v>
      </c>
      <c r="N61" s="119">
        <f t="shared" si="42"/>
        <v>0</v>
      </c>
      <c r="O61" s="120">
        <f t="shared" si="43"/>
        <v>0</v>
      </c>
      <c r="P61" s="159">
        <v>10.1</v>
      </c>
      <c r="Q61" s="32">
        <v>1</v>
      </c>
      <c r="R61" s="213" t="s">
        <v>442</v>
      </c>
    </row>
    <row r="62" spans="1:18" ht="15.6">
      <c r="A62" s="110" t="s">
        <v>340</v>
      </c>
      <c r="B62" s="111" t="s">
        <v>232</v>
      </c>
      <c r="C62" s="112" t="s">
        <v>228</v>
      </c>
      <c r="D62" s="113" t="s">
        <v>130</v>
      </c>
      <c r="E62" s="114" t="s">
        <v>15</v>
      </c>
      <c r="F62" s="115" t="s">
        <v>40</v>
      </c>
      <c r="G62" s="116">
        <v>16.5</v>
      </c>
      <c r="H62" s="125">
        <v>11</v>
      </c>
      <c r="I62" s="111">
        <v>1</v>
      </c>
      <c r="J62" s="117">
        <f t="shared" si="37"/>
        <v>0.18149999999999999</v>
      </c>
      <c r="K62" s="118"/>
      <c r="L62" s="111">
        <v>1</v>
      </c>
      <c r="M62" s="117">
        <f t="shared" si="41"/>
        <v>0.18149999999999999</v>
      </c>
      <c r="N62" s="119">
        <f t="shared" si="42"/>
        <v>0</v>
      </c>
      <c r="O62" s="120">
        <f t="shared" si="43"/>
        <v>0</v>
      </c>
      <c r="P62" s="159">
        <v>10.9</v>
      </c>
      <c r="Q62" s="32">
        <v>1</v>
      </c>
      <c r="R62" s="213" t="s">
        <v>442</v>
      </c>
    </row>
    <row r="63" spans="1:18" ht="15.6">
      <c r="A63" s="110" t="s">
        <v>340</v>
      </c>
      <c r="B63" s="111" t="s">
        <v>232</v>
      </c>
      <c r="C63" s="112" t="s">
        <v>228</v>
      </c>
      <c r="D63" s="113" t="s">
        <v>130</v>
      </c>
      <c r="E63" s="114" t="s">
        <v>15</v>
      </c>
      <c r="F63" s="115" t="s">
        <v>40</v>
      </c>
      <c r="G63" s="116">
        <v>16.5</v>
      </c>
      <c r="H63" s="125">
        <v>11.3</v>
      </c>
      <c r="I63" s="111">
        <v>1</v>
      </c>
      <c r="J63" s="117">
        <f t="shared" si="37"/>
        <v>0.18645</v>
      </c>
      <c r="K63" s="118"/>
      <c r="L63" s="111">
        <v>1</v>
      </c>
      <c r="M63" s="117">
        <f t="shared" si="41"/>
        <v>0.18645</v>
      </c>
      <c r="N63" s="119">
        <f t="shared" si="42"/>
        <v>0</v>
      </c>
      <c r="O63" s="120">
        <f t="shared" si="43"/>
        <v>0</v>
      </c>
      <c r="P63" s="159">
        <v>11.3</v>
      </c>
      <c r="Q63" s="32">
        <v>1</v>
      </c>
      <c r="R63" s="213" t="s">
        <v>442</v>
      </c>
    </row>
    <row r="64" spans="1:18" ht="15.6">
      <c r="A64" s="110" t="s">
        <v>340</v>
      </c>
      <c r="B64" s="111" t="s">
        <v>232</v>
      </c>
      <c r="C64" s="112" t="s">
        <v>228</v>
      </c>
      <c r="D64" s="113" t="s">
        <v>130</v>
      </c>
      <c r="E64" s="114" t="s">
        <v>15</v>
      </c>
      <c r="F64" s="115" t="s">
        <v>40</v>
      </c>
      <c r="G64" s="116">
        <v>16.5</v>
      </c>
      <c r="H64" s="125">
        <v>11</v>
      </c>
      <c r="I64" s="111">
        <v>1</v>
      </c>
      <c r="J64" s="117">
        <f t="shared" si="37"/>
        <v>0.18149999999999999</v>
      </c>
      <c r="K64" s="118"/>
      <c r="L64" s="111">
        <v>1</v>
      </c>
      <c r="M64" s="117">
        <f t="shared" si="41"/>
        <v>0.18149999999999999</v>
      </c>
      <c r="N64" s="119">
        <f t="shared" si="42"/>
        <v>0</v>
      </c>
      <c r="O64" s="120">
        <f t="shared" si="43"/>
        <v>0</v>
      </c>
      <c r="P64" s="159">
        <v>10.9</v>
      </c>
      <c r="Q64" s="32">
        <v>1</v>
      </c>
      <c r="R64" s="213" t="s">
        <v>442</v>
      </c>
    </row>
    <row r="65" spans="1:18" ht="15.6">
      <c r="A65" s="110" t="s">
        <v>340</v>
      </c>
      <c r="B65" s="111" t="s">
        <v>232</v>
      </c>
      <c r="C65" s="112" t="s">
        <v>228</v>
      </c>
      <c r="D65" s="113" t="s">
        <v>130</v>
      </c>
      <c r="E65" s="114" t="s">
        <v>15</v>
      </c>
      <c r="F65" s="115" t="s">
        <v>40</v>
      </c>
      <c r="G65" s="116">
        <v>16.5</v>
      </c>
      <c r="H65" s="125">
        <v>7.4</v>
      </c>
      <c r="I65" s="111">
        <v>1</v>
      </c>
      <c r="J65" s="117">
        <f t="shared" si="37"/>
        <v>0.12210000000000001</v>
      </c>
      <c r="K65" s="118"/>
      <c r="L65" s="111">
        <v>1</v>
      </c>
      <c r="M65" s="117">
        <f t="shared" si="41"/>
        <v>0.12210000000000001</v>
      </c>
      <c r="N65" s="119">
        <f t="shared" si="42"/>
        <v>0</v>
      </c>
      <c r="O65" s="120">
        <f t="shared" si="43"/>
        <v>0</v>
      </c>
      <c r="P65" s="111"/>
      <c r="Q65" s="32"/>
    </row>
    <row r="66" spans="1:18" ht="15.6">
      <c r="A66" s="110" t="s">
        <v>340</v>
      </c>
      <c r="B66" s="111" t="s">
        <v>232</v>
      </c>
      <c r="C66" s="112" t="s">
        <v>228</v>
      </c>
      <c r="D66" s="113" t="s">
        <v>130</v>
      </c>
      <c r="E66" s="114" t="s">
        <v>15</v>
      </c>
      <c r="F66" s="115" t="s">
        <v>40</v>
      </c>
      <c r="G66" s="116">
        <v>16.5</v>
      </c>
      <c r="H66" s="125">
        <v>11.2</v>
      </c>
      <c r="I66" s="111">
        <v>4</v>
      </c>
      <c r="J66" s="117">
        <f t="shared" si="37"/>
        <v>0.73919999999999997</v>
      </c>
      <c r="K66" s="118"/>
      <c r="L66" s="111">
        <v>4</v>
      </c>
      <c r="M66" s="117">
        <f t="shared" si="41"/>
        <v>0.73919999999999997</v>
      </c>
      <c r="N66" s="119">
        <f t="shared" si="42"/>
        <v>0</v>
      </c>
      <c r="O66" s="120">
        <f t="shared" si="43"/>
        <v>0</v>
      </c>
      <c r="P66" s="111"/>
      <c r="Q66" s="32"/>
    </row>
    <row r="67" spans="1:18" ht="15.6">
      <c r="A67" s="110" t="s">
        <v>340</v>
      </c>
      <c r="B67" s="111" t="s">
        <v>232</v>
      </c>
      <c r="C67" s="112" t="s">
        <v>228</v>
      </c>
      <c r="D67" s="113" t="s">
        <v>130</v>
      </c>
      <c r="E67" s="114" t="s">
        <v>15</v>
      </c>
      <c r="F67" s="115" t="s">
        <v>40</v>
      </c>
      <c r="G67" s="116">
        <v>16.5</v>
      </c>
      <c r="H67" s="125">
        <v>7.1</v>
      </c>
      <c r="I67" s="111">
        <v>8</v>
      </c>
      <c r="J67" s="117">
        <f t="shared" si="37"/>
        <v>0.93719999999999992</v>
      </c>
      <c r="K67" s="118"/>
      <c r="L67" s="111">
        <v>8</v>
      </c>
      <c r="M67" s="117">
        <f t="shared" si="41"/>
        <v>0.93719999999999992</v>
      </c>
      <c r="N67" s="119">
        <f t="shared" si="42"/>
        <v>0</v>
      </c>
      <c r="O67" s="120">
        <f t="shared" si="43"/>
        <v>0</v>
      </c>
      <c r="P67" s="72">
        <f t="shared" ref="P67:P69" si="44">5515+150</f>
        <v>5665</v>
      </c>
      <c r="Q67" s="72">
        <v>8</v>
      </c>
      <c r="R67" s="77" t="s">
        <v>524</v>
      </c>
    </row>
    <row r="68" spans="1:18" ht="15.6">
      <c r="A68" s="110" t="s">
        <v>340</v>
      </c>
      <c r="B68" s="111" t="s">
        <v>232</v>
      </c>
      <c r="C68" s="112" t="s">
        <v>228</v>
      </c>
      <c r="D68" s="113" t="s">
        <v>130</v>
      </c>
      <c r="E68" s="114" t="s">
        <v>15</v>
      </c>
      <c r="F68" s="115" t="s">
        <v>40</v>
      </c>
      <c r="G68" s="116">
        <v>16.5</v>
      </c>
      <c r="H68" s="125">
        <v>6.9</v>
      </c>
      <c r="I68" s="111">
        <v>3</v>
      </c>
      <c r="J68" s="117">
        <f t="shared" si="37"/>
        <v>0.34155000000000002</v>
      </c>
      <c r="K68" s="118"/>
      <c r="L68" s="111">
        <v>3</v>
      </c>
      <c r="M68" s="117">
        <f t="shared" si="41"/>
        <v>0.34155000000000008</v>
      </c>
      <c r="N68" s="119">
        <f t="shared" si="42"/>
        <v>0</v>
      </c>
      <c r="O68" s="120">
        <f t="shared" si="43"/>
        <v>0</v>
      </c>
      <c r="P68" s="72">
        <f t="shared" si="44"/>
        <v>5665</v>
      </c>
      <c r="Q68" s="72">
        <v>3</v>
      </c>
      <c r="R68" s="77" t="s">
        <v>524</v>
      </c>
    </row>
    <row r="69" spans="1:18" ht="15.6">
      <c r="A69" s="110" t="s">
        <v>340</v>
      </c>
      <c r="B69" s="111" t="s">
        <v>232</v>
      </c>
      <c r="C69" s="112" t="s">
        <v>228</v>
      </c>
      <c r="D69" s="113" t="s">
        <v>130</v>
      </c>
      <c r="E69" s="114" t="s">
        <v>15</v>
      </c>
      <c r="F69" s="115" t="s">
        <v>40</v>
      </c>
      <c r="G69" s="116">
        <v>16.5</v>
      </c>
      <c r="H69" s="125">
        <v>6.7</v>
      </c>
      <c r="I69" s="111">
        <v>1</v>
      </c>
      <c r="J69" s="117">
        <f t="shared" si="37"/>
        <v>0.11055</v>
      </c>
      <c r="K69" s="118"/>
      <c r="L69" s="111">
        <v>1</v>
      </c>
      <c r="M69" s="117">
        <f t="shared" si="41"/>
        <v>0.11055</v>
      </c>
      <c r="N69" s="119">
        <f t="shared" si="42"/>
        <v>0</v>
      </c>
      <c r="O69" s="120">
        <f t="shared" si="43"/>
        <v>0</v>
      </c>
      <c r="P69" s="72">
        <f t="shared" si="44"/>
        <v>5665</v>
      </c>
      <c r="Q69" s="72">
        <v>1</v>
      </c>
      <c r="R69" s="77" t="s">
        <v>524</v>
      </c>
    </row>
    <row r="70" spans="1:18">
      <c r="A70" s="32"/>
      <c r="B70" s="32"/>
      <c r="C70" s="32"/>
      <c r="D70" s="32"/>
      <c r="E70" s="32"/>
      <c r="F70" s="32"/>
      <c r="G70" s="32"/>
      <c r="H70" s="32"/>
      <c r="I70" s="129">
        <f>SUM(I53:I69)</f>
        <v>968</v>
      </c>
      <c r="J70" s="124">
        <f>SUM(J53:J69)</f>
        <v>133.13602499999999</v>
      </c>
      <c r="K70" s="32"/>
      <c r="L70" s="129">
        <f>SUM(L53:L69)</f>
        <v>968</v>
      </c>
      <c r="M70" s="124">
        <f>SUM(M53:M69)</f>
        <v>133.13602499999999</v>
      </c>
      <c r="N70" s="131">
        <f>SUM(N53:N69)</f>
        <v>0</v>
      </c>
      <c r="O70" s="124">
        <f>SUM(O53:O69)</f>
        <v>0</v>
      </c>
      <c r="P70" s="32"/>
      <c r="Q70" s="32"/>
    </row>
    <row r="71" spans="1:18">
      <c r="A71" s="32"/>
      <c r="B71" s="32"/>
      <c r="C71" s="32"/>
      <c r="D71" s="32"/>
      <c r="E71" s="32"/>
      <c r="F71" s="32"/>
      <c r="G71" s="32"/>
      <c r="H71" s="32"/>
      <c r="I71" s="129"/>
      <c r="J71" s="124"/>
      <c r="K71" s="32"/>
      <c r="L71" s="129"/>
      <c r="M71" s="124"/>
      <c r="N71" s="131"/>
      <c r="O71" s="124"/>
      <c r="P71" s="32"/>
      <c r="Q71" s="32"/>
    </row>
    <row r="72" spans="1:18" ht="15.6">
      <c r="A72" s="110" t="s">
        <v>339</v>
      </c>
      <c r="B72" s="111" t="s">
        <v>232</v>
      </c>
      <c r="C72" s="112" t="s">
        <v>228</v>
      </c>
      <c r="D72" s="113" t="s">
        <v>130</v>
      </c>
      <c r="E72" s="114" t="s">
        <v>15</v>
      </c>
      <c r="F72" s="115" t="s">
        <v>40</v>
      </c>
      <c r="G72" s="116">
        <v>16.5</v>
      </c>
      <c r="H72" s="125">
        <v>7.4</v>
      </c>
      <c r="I72" s="111">
        <v>22</v>
      </c>
      <c r="J72" s="117">
        <f t="shared" ref="J72:J73" si="45">H72*G72*I72/1000</f>
        <v>2.6862000000000004</v>
      </c>
      <c r="K72" s="118"/>
      <c r="L72" s="111">
        <v>22</v>
      </c>
      <c r="M72" s="117">
        <f t="shared" ref="M72:M73" si="46">H72*L72*G72/1000</f>
        <v>2.6862000000000004</v>
      </c>
      <c r="N72" s="119">
        <f t="shared" ref="N72:N73" si="47">I72-L72</f>
        <v>0</v>
      </c>
      <c r="O72" s="120">
        <f t="shared" ref="O72:O73" si="48">H72*N72*G72/1000</f>
        <v>0</v>
      </c>
      <c r="P72" s="111"/>
      <c r="Q72" s="32"/>
    </row>
    <row r="73" spans="1:18" ht="15.6">
      <c r="A73" s="110" t="s">
        <v>339</v>
      </c>
      <c r="B73" s="111" t="s">
        <v>232</v>
      </c>
      <c r="C73" s="112" t="s">
        <v>228</v>
      </c>
      <c r="D73" s="113" t="s">
        <v>130</v>
      </c>
      <c r="E73" s="114" t="s">
        <v>15</v>
      </c>
      <c r="F73" s="115" t="s">
        <v>40</v>
      </c>
      <c r="G73" s="116">
        <v>16.5</v>
      </c>
      <c r="H73" s="125">
        <v>7.4</v>
      </c>
      <c r="I73" s="111">
        <v>22</v>
      </c>
      <c r="J73" s="117">
        <f t="shared" si="45"/>
        <v>2.6862000000000004</v>
      </c>
      <c r="K73" s="118"/>
      <c r="L73" s="111">
        <v>22</v>
      </c>
      <c r="M73" s="117">
        <f t="shared" si="46"/>
        <v>2.6862000000000004</v>
      </c>
      <c r="N73" s="119">
        <f t="shared" si="47"/>
        <v>0</v>
      </c>
      <c r="O73" s="120">
        <f t="shared" si="48"/>
        <v>0</v>
      </c>
      <c r="P73" s="111"/>
      <c r="Q73" s="32"/>
    </row>
    <row r="74" spans="1:18" ht="15.6">
      <c r="A74" s="110" t="s">
        <v>339</v>
      </c>
      <c r="B74" s="111" t="s">
        <v>232</v>
      </c>
      <c r="C74" s="112" t="s">
        <v>228</v>
      </c>
      <c r="D74" s="113" t="s">
        <v>130</v>
      </c>
      <c r="E74" s="114" t="s">
        <v>15</v>
      </c>
      <c r="F74" s="115" t="s">
        <v>40</v>
      </c>
      <c r="G74" s="116">
        <v>16.5</v>
      </c>
      <c r="H74" s="125">
        <v>11.15</v>
      </c>
      <c r="I74" s="111">
        <v>17</v>
      </c>
      <c r="J74" s="117">
        <f t="shared" ref="J74:J87" si="49">H74*G74*I74/1000</f>
        <v>3.1275749999999998</v>
      </c>
      <c r="K74" s="118"/>
      <c r="L74" s="111">
        <f>5+12</f>
        <v>17</v>
      </c>
      <c r="M74" s="117">
        <f t="shared" ref="M74:M87" si="50">H74*L74*G74/1000</f>
        <v>3.1275750000000002</v>
      </c>
      <c r="N74" s="119">
        <f t="shared" ref="N74:N87" si="51">I74-L74</f>
        <v>0</v>
      </c>
      <c r="O74" s="120">
        <f t="shared" ref="O74:O87" si="52">H74*N74*G74/1000</f>
        <v>0</v>
      </c>
      <c r="P74" s="111"/>
      <c r="Q74" s="32"/>
    </row>
    <row r="75" spans="1:18" ht="15.6">
      <c r="A75" s="110" t="s">
        <v>339</v>
      </c>
      <c r="B75" s="111" t="s">
        <v>232</v>
      </c>
      <c r="C75" s="112" t="s">
        <v>228</v>
      </c>
      <c r="D75" s="113" t="s">
        <v>130</v>
      </c>
      <c r="E75" s="114" t="s">
        <v>15</v>
      </c>
      <c r="F75" s="115" t="s">
        <v>40</v>
      </c>
      <c r="G75" s="116">
        <v>16.5</v>
      </c>
      <c r="H75" s="125">
        <v>11.15</v>
      </c>
      <c r="I75" s="111">
        <v>17</v>
      </c>
      <c r="J75" s="117">
        <f t="shared" si="49"/>
        <v>3.1275749999999998</v>
      </c>
      <c r="K75" s="118"/>
      <c r="L75" s="111">
        <v>17</v>
      </c>
      <c r="M75" s="117">
        <f t="shared" si="50"/>
        <v>3.1275750000000002</v>
      </c>
      <c r="N75" s="119">
        <f t="shared" si="51"/>
        <v>0</v>
      </c>
      <c r="O75" s="120">
        <f t="shared" si="52"/>
        <v>0</v>
      </c>
      <c r="P75" s="111"/>
      <c r="Q75" s="32"/>
    </row>
    <row r="76" spans="1:18" ht="15.6">
      <c r="A76" s="110" t="s">
        <v>339</v>
      </c>
      <c r="B76" s="111" t="s">
        <v>232</v>
      </c>
      <c r="C76" s="112" t="s">
        <v>228</v>
      </c>
      <c r="D76" s="113" t="s">
        <v>130</v>
      </c>
      <c r="E76" s="114" t="s">
        <v>15</v>
      </c>
      <c r="F76" s="115" t="s">
        <v>40</v>
      </c>
      <c r="G76" s="116">
        <v>16.5</v>
      </c>
      <c r="H76" s="125">
        <v>7.4</v>
      </c>
      <c r="I76" s="111">
        <v>22</v>
      </c>
      <c r="J76" s="117">
        <f t="shared" si="49"/>
        <v>2.6862000000000004</v>
      </c>
      <c r="K76" s="118"/>
      <c r="L76" s="111">
        <v>22</v>
      </c>
      <c r="M76" s="117">
        <f t="shared" si="50"/>
        <v>2.6862000000000004</v>
      </c>
      <c r="N76" s="119">
        <f t="shared" si="51"/>
        <v>0</v>
      </c>
      <c r="O76" s="120">
        <f t="shared" si="52"/>
        <v>0</v>
      </c>
      <c r="P76" s="111"/>
      <c r="Q76" s="32"/>
    </row>
    <row r="77" spans="1:18" ht="15.6">
      <c r="A77" s="110" t="s">
        <v>339</v>
      </c>
      <c r="B77" s="111" t="s">
        <v>232</v>
      </c>
      <c r="C77" s="112" t="s">
        <v>228</v>
      </c>
      <c r="D77" s="113" t="s">
        <v>130</v>
      </c>
      <c r="E77" s="114" t="s">
        <v>15</v>
      </c>
      <c r="F77" s="115" t="s">
        <v>40</v>
      </c>
      <c r="G77" s="116">
        <v>16.5</v>
      </c>
      <c r="H77" s="125">
        <v>7.4</v>
      </c>
      <c r="I77" s="111">
        <v>22</v>
      </c>
      <c r="J77" s="117">
        <f t="shared" si="49"/>
        <v>2.6862000000000004</v>
      </c>
      <c r="K77" s="118"/>
      <c r="L77" s="111">
        <v>22</v>
      </c>
      <c r="M77" s="117">
        <f t="shared" si="50"/>
        <v>2.6862000000000004</v>
      </c>
      <c r="N77" s="119">
        <f t="shared" si="51"/>
        <v>0</v>
      </c>
      <c r="O77" s="120">
        <f t="shared" si="52"/>
        <v>0</v>
      </c>
      <c r="P77" s="111"/>
      <c r="Q77" s="32"/>
    </row>
    <row r="78" spans="1:18" ht="15.6">
      <c r="A78" s="110" t="s">
        <v>339</v>
      </c>
      <c r="B78" s="111" t="s">
        <v>232</v>
      </c>
      <c r="C78" s="112" t="s">
        <v>228</v>
      </c>
      <c r="D78" s="113" t="s">
        <v>130</v>
      </c>
      <c r="E78" s="114" t="s">
        <v>15</v>
      </c>
      <c r="F78" s="115" t="s">
        <v>40</v>
      </c>
      <c r="G78" s="116">
        <v>16.5</v>
      </c>
      <c r="H78" s="125">
        <v>7.4</v>
      </c>
      <c r="I78" s="111">
        <v>25</v>
      </c>
      <c r="J78" s="117">
        <f t="shared" si="49"/>
        <v>3.0525000000000002</v>
      </c>
      <c r="K78" s="118"/>
      <c r="L78" s="111">
        <v>25</v>
      </c>
      <c r="M78" s="117">
        <f t="shared" si="50"/>
        <v>3.0525000000000002</v>
      </c>
      <c r="N78" s="119">
        <f t="shared" si="51"/>
        <v>0</v>
      </c>
      <c r="O78" s="120">
        <f t="shared" si="52"/>
        <v>0</v>
      </c>
      <c r="P78" s="111"/>
      <c r="Q78" s="32"/>
    </row>
    <row r="79" spans="1:18" ht="15.6">
      <c r="A79" s="110" t="s">
        <v>339</v>
      </c>
      <c r="B79" s="111" t="s">
        <v>232</v>
      </c>
      <c r="C79" s="112" t="s">
        <v>228</v>
      </c>
      <c r="D79" s="113" t="s">
        <v>130</v>
      </c>
      <c r="E79" s="114" t="s">
        <v>15</v>
      </c>
      <c r="F79" s="115" t="s">
        <v>40</v>
      </c>
      <c r="G79" s="116">
        <v>16.5</v>
      </c>
      <c r="H79" s="125">
        <v>7.4</v>
      </c>
      <c r="I79" s="111">
        <v>23</v>
      </c>
      <c r="J79" s="117">
        <f t="shared" si="49"/>
        <v>2.8083</v>
      </c>
      <c r="K79" s="118"/>
      <c r="L79" s="111">
        <v>23</v>
      </c>
      <c r="M79" s="117">
        <f t="shared" si="50"/>
        <v>2.8083</v>
      </c>
      <c r="N79" s="119">
        <f t="shared" si="51"/>
        <v>0</v>
      </c>
      <c r="O79" s="120">
        <f t="shared" si="52"/>
        <v>0</v>
      </c>
      <c r="P79" s="111"/>
      <c r="Q79" s="32"/>
    </row>
    <row r="80" spans="1:18" ht="15.6">
      <c r="A80" s="110" t="s">
        <v>339</v>
      </c>
      <c r="B80" s="111" t="s">
        <v>232</v>
      </c>
      <c r="C80" s="112" t="s">
        <v>228</v>
      </c>
      <c r="D80" s="113" t="s">
        <v>130</v>
      </c>
      <c r="E80" s="114" t="s">
        <v>15</v>
      </c>
      <c r="F80" s="115" t="s">
        <v>40</v>
      </c>
      <c r="G80" s="116">
        <v>16.5</v>
      </c>
      <c r="H80" s="125">
        <v>7.4</v>
      </c>
      <c r="I80" s="111">
        <v>16</v>
      </c>
      <c r="J80" s="117">
        <f t="shared" si="49"/>
        <v>1.9536000000000002</v>
      </c>
      <c r="K80" s="118"/>
      <c r="L80" s="111">
        <v>16</v>
      </c>
      <c r="M80" s="117">
        <f t="shared" si="50"/>
        <v>1.9536000000000002</v>
      </c>
      <c r="N80" s="119">
        <f t="shared" si="51"/>
        <v>0</v>
      </c>
      <c r="O80" s="120">
        <f t="shared" si="52"/>
        <v>0</v>
      </c>
      <c r="P80" s="111"/>
      <c r="Q80" s="32"/>
    </row>
    <row r="81" spans="1:18" ht="15.6">
      <c r="A81" s="110" t="s">
        <v>339</v>
      </c>
      <c r="B81" s="111" t="s">
        <v>232</v>
      </c>
      <c r="C81" s="112" t="s">
        <v>228</v>
      </c>
      <c r="D81" s="113" t="s">
        <v>130</v>
      </c>
      <c r="E81" s="114" t="s">
        <v>15</v>
      </c>
      <c r="F81" s="115" t="s">
        <v>40</v>
      </c>
      <c r="G81" s="116">
        <v>16.5</v>
      </c>
      <c r="H81" s="125">
        <v>11.15</v>
      </c>
      <c r="I81" s="111">
        <v>12</v>
      </c>
      <c r="J81" s="117">
        <f t="shared" si="49"/>
        <v>2.2077</v>
      </c>
      <c r="K81" s="118"/>
      <c r="L81" s="111">
        <v>12</v>
      </c>
      <c r="M81" s="117">
        <f t="shared" si="50"/>
        <v>2.2077000000000004</v>
      </c>
      <c r="N81" s="119">
        <f t="shared" si="51"/>
        <v>0</v>
      </c>
      <c r="O81" s="120">
        <f t="shared" si="52"/>
        <v>0</v>
      </c>
      <c r="P81" s="111"/>
      <c r="Q81" s="32"/>
    </row>
    <row r="82" spans="1:18" ht="15.6">
      <c r="A82" s="110" t="s">
        <v>339</v>
      </c>
      <c r="B82" s="111" t="s">
        <v>232</v>
      </c>
      <c r="C82" s="112" t="s">
        <v>228</v>
      </c>
      <c r="D82" s="113" t="s">
        <v>130</v>
      </c>
      <c r="E82" s="114" t="s">
        <v>15</v>
      </c>
      <c r="F82" s="115" t="s">
        <v>40</v>
      </c>
      <c r="G82" s="116">
        <v>16.5</v>
      </c>
      <c r="H82" s="125">
        <v>7</v>
      </c>
      <c r="I82" s="111">
        <v>1</v>
      </c>
      <c r="J82" s="117">
        <f t="shared" si="49"/>
        <v>0.11550000000000001</v>
      </c>
      <c r="K82" s="118"/>
      <c r="L82" s="111">
        <v>1</v>
      </c>
      <c r="M82" s="117">
        <f t="shared" si="50"/>
        <v>0.11550000000000001</v>
      </c>
      <c r="N82" s="119">
        <f t="shared" si="51"/>
        <v>0</v>
      </c>
      <c r="O82" s="120">
        <f t="shared" si="52"/>
        <v>0</v>
      </c>
      <c r="P82" s="72">
        <f t="shared" ref="P82:P83" si="53">5515+150</f>
        <v>5665</v>
      </c>
      <c r="Q82" s="32">
        <v>1</v>
      </c>
      <c r="R82" s="77" t="s">
        <v>524</v>
      </c>
    </row>
    <row r="83" spans="1:18" ht="15.6">
      <c r="A83" s="110" t="s">
        <v>339</v>
      </c>
      <c r="B83" s="111" t="s">
        <v>232</v>
      </c>
      <c r="C83" s="112" t="s">
        <v>228</v>
      </c>
      <c r="D83" s="113" t="s">
        <v>130</v>
      </c>
      <c r="E83" s="114" t="s">
        <v>15</v>
      </c>
      <c r="F83" s="115" t="s">
        <v>40</v>
      </c>
      <c r="G83" s="116">
        <v>16.5</v>
      </c>
      <c r="H83" s="125">
        <v>7.1</v>
      </c>
      <c r="I83" s="111">
        <v>1</v>
      </c>
      <c r="J83" s="117">
        <f t="shared" si="49"/>
        <v>0.11714999999999999</v>
      </c>
      <c r="K83" s="118"/>
      <c r="L83" s="111">
        <v>1</v>
      </c>
      <c r="M83" s="117">
        <f t="shared" si="50"/>
        <v>0.11714999999999999</v>
      </c>
      <c r="N83" s="119">
        <f t="shared" si="51"/>
        <v>0</v>
      </c>
      <c r="O83" s="120">
        <f t="shared" si="52"/>
        <v>0</v>
      </c>
      <c r="P83" s="72">
        <f t="shared" si="53"/>
        <v>5665</v>
      </c>
      <c r="Q83" s="32">
        <v>1</v>
      </c>
      <c r="R83" s="77" t="s">
        <v>524</v>
      </c>
    </row>
    <row r="84" spans="1:18" ht="15.6">
      <c r="A84" s="110" t="s">
        <v>339</v>
      </c>
      <c r="B84" s="111" t="s">
        <v>232</v>
      </c>
      <c r="C84" s="112" t="s">
        <v>228</v>
      </c>
      <c r="D84" s="113" t="s">
        <v>130</v>
      </c>
      <c r="E84" s="114" t="s">
        <v>15</v>
      </c>
      <c r="F84" s="115" t="s">
        <v>40</v>
      </c>
      <c r="G84" s="116">
        <v>16.5</v>
      </c>
      <c r="H84" s="125">
        <v>7.4</v>
      </c>
      <c r="I84" s="111">
        <v>20</v>
      </c>
      <c r="J84" s="117">
        <f t="shared" si="49"/>
        <v>2.4420000000000002</v>
      </c>
      <c r="K84" s="118"/>
      <c r="L84" s="111">
        <v>20</v>
      </c>
      <c r="M84" s="117">
        <f t="shared" si="50"/>
        <v>2.4420000000000002</v>
      </c>
      <c r="N84" s="119">
        <f t="shared" si="51"/>
        <v>0</v>
      </c>
      <c r="O84" s="120">
        <f t="shared" si="52"/>
        <v>0</v>
      </c>
      <c r="P84" s="111"/>
      <c r="Q84" s="32"/>
    </row>
    <row r="85" spans="1:18" ht="15.6">
      <c r="A85" s="110" t="s">
        <v>339</v>
      </c>
      <c r="B85" s="111" t="s">
        <v>232</v>
      </c>
      <c r="C85" s="112" t="s">
        <v>228</v>
      </c>
      <c r="D85" s="113" t="s">
        <v>130</v>
      </c>
      <c r="E85" s="114" t="s">
        <v>15</v>
      </c>
      <c r="F85" s="115" t="s">
        <v>40</v>
      </c>
      <c r="G85" s="116">
        <v>16.5</v>
      </c>
      <c r="H85" s="125">
        <v>7.4</v>
      </c>
      <c r="I85" s="111">
        <v>20</v>
      </c>
      <c r="J85" s="117">
        <f t="shared" si="49"/>
        <v>2.4420000000000002</v>
      </c>
      <c r="K85" s="118"/>
      <c r="L85" s="111">
        <v>20</v>
      </c>
      <c r="M85" s="117">
        <f t="shared" si="50"/>
        <v>2.4420000000000002</v>
      </c>
      <c r="N85" s="119">
        <f t="shared" si="51"/>
        <v>0</v>
      </c>
      <c r="O85" s="120">
        <f t="shared" si="52"/>
        <v>0</v>
      </c>
      <c r="P85" s="111"/>
      <c r="Q85" s="32"/>
    </row>
    <row r="86" spans="1:18" ht="15.6">
      <c r="A86" s="110" t="s">
        <v>339</v>
      </c>
      <c r="B86" s="111" t="s">
        <v>232</v>
      </c>
      <c r="C86" s="112" t="s">
        <v>228</v>
      </c>
      <c r="D86" s="113" t="s">
        <v>130</v>
      </c>
      <c r="E86" s="114" t="s">
        <v>15</v>
      </c>
      <c r="F86" s="115" t="s">
        <v>40</v>
      </c>
      <c r="G86" s="116">
        <v>16.5</v>
      </c>
      <c r="H86" s="125">
        <v>7.4</v>
      </c>
      <c r="I86" s="111">
        <v>20</v>
      </c>
      <c r="J86" s="117">
        <f t="shared" si="49"/>
        <v>2.4420000000000002</v>
      </c>
      <c r="K86" s="118"/>
      <c r="L86" s="111">
        <v>20</v>
      </c>
      <c r="M86" s="117">
        <f t="shared" si="50"/>
        <v>2.4420000000000002</v>
      </c>
      <c r="N86" s="119">
        <f t="shared" si="51"/>
        <v>0</v>
      </c>
      <c r="O86" s="120">
        <f t="shared" si="52"/>
        <v>0</v>
      </c>
      <c r="P86" s="111"/>
      <c r="Q86" s="32"/>
    </row>
    <row r="87" spans="1:18" ht="15.6">
      <c r="A87" s="110" t="s">
        <v>339</v>
      </c>
      <c r="B87" s="111" t="s">
        <v>232</v>
      </c>
      <c r="C87" s="112" t="s">
        <v>228</v>
      </c>
      <c r="D87" s="113" t="s">
        <v>130</v>
      </c>
      <c r="E87" s="114" t="s">
        <v>15</v>
      </c>
      <c r="F87" s="115" t="s">
        <v>40</v>
      </c>
      <c r="G87" s="116">
        <v>16.5</v>
      </c>
      <c r="H87" s="125">
        <v>7.4</v>
      </c>
      <c r="I87" s="111">
        <v>20</v>
      </c>
      <c r="J87" s="117">
        <f t="shared" si="49"/>
        <v>2.4420000000000002</v>
      </c>
      <c r="K87" s="118"/>
      <c r="L87" s="111">
        <v>20</v>
      </c>
      <c r="M87" s="117">
        <f t="shared" si="50"/>
        <v>2.4420000000000002</v>
      </c>
      <c r="N87" s="119">
        <f t="shared" si="51"/>
        <v>0</v>
      </c>
      <c r="O87" s="120">
        <f t="shared" si="52"/>
        <v>0</v>
      </c>
      <c r="P87" s="111"/>
      <c r="Q87" s="32"/>
    </row>
    <row r="88" spans="1:18" ht="15.6">
      <c r="A88" s="110" t="s">
        <v>339</v>
      </c>
      <c r="B88" s="111" t="s">
        <v>232</v>
      </c>
      <c r="C88" s="112" t="s">
        <v>228</v>
      </c>
      <c r="D88" s="113" t="s">
        <v>130</v>
      </c>
      <c r="E88" s="114" t="s">
        <v>15</v>
      </c>
      <c r="F88" s="115" t="s">
        <v>40</v>
      </c>
      <c r="G88" s="116">
        <v>16.5</v>
      </c>
      <c r="H88" s="125">
        <v>11.15</v>
      </c>
      <c r="I88" s="111">
        <v>17</v>
      </c>
      <c r="J88" s="117">
        <f t="shared" ref="J88:J97" si="54">H88*G88*I88/1000</f>
        <v>3.1275749999999998</v>
      </c>
      <c r="K88" s="118"/>
      <c r="L88" s="111">
        <v>17</v>
      </c>
      <c r="M88" s="117">
        <f t="shared" ref="M88:M97" si="55">H88*L88*G88/1000</f>
        <v>3.1275750000000002</v>
      </c>
      <c r="N88" s="119">
        <f t="shared" ref="N88:N97" si="56">I88-L88</f>
        <v>0</v>
      </c>
      <c r="O88" s="120">
        <f t="shared" ref="O88:O97" si="57">H88*N88*G88/1000</f>
        <v>0</v>
      </c>
      <c r="P88" s="111"/>
      <c r="Q88" s="32"/>
    </row>
    <row r="89" spans="1:18" ht="15.6">
      <c r="A89" s="110" t="s">
        <v>339</v>
      </c>
      <c r="B89" s="111" t="s">
        <v>232</v>
      </c>
      <c r="C89" s="112" t="s">
        <v>228</v>
      </c>
      <c r="D89" s="113" t="s">
        <v>130</v>
      </c>
      <c r="E89" s="114" t="s">
        <v>15</v>
      </c>
      <c r="F89" s="115" t="s">
        <v>40</v>
      </c>
      <c r="G89" s="116">
        <v>16.5</v>
      </c>
      <c r="H89" s="125">
        <v>7.4</v>
      </c>
      <c r="I89" s="111">
        <v>20</v>
      </c>
      <c r="J89" s="117">
        <f t="shared" si="54"/>
        <v>2.4420000000000002</v>
      </c>
      <c r="K89" s="118"/>
      <c r="L89" s="111">
        <v>20</v>
      </c>
      <c r="M89" s="117">
        <f t="shared" si="55"/>
        <v>2.4420000000000002</v>
      </c>
      <c r="N89" s="119">
        <f t="shared" si="56"/>
        <v>0</v>
      </c>
      <c r="O89" s="120">
        <f t="shared" si="57"/>
        <v>0</v>
      </c>
      <c r="P89" s="111"/>
      <c r="Q89" s="32"/>
    </row>
    <row r="90" spans="1:18" ht="15.6">
      <c r="A90" s="110" t="s">
        <v>339</v>
      </c>
      <c r="B90" s="111" t="s">
        <v>232</v>
      </c>
      <c r="C90" s="112" t="s">
        <v>228</v>
      </c>
      <c r="D90" s="113" t="s">
        <v>130</v>
      </c>
      <c r="E90" s="114" t="s">
        <v>15</v>
      </c>
      <c r="F90" s="115" t="s">
        <v>40</v>
      </c>
      <c r="G90" s="116">
        <v>16.5</v>
      </c>
      <c r="H90" s="125">
        <v>11.15</v>
      </c>
      <c r="I90" s="111">
        <v>17</v>
      </c>
      <c r="J90" s="117">
        <f t="shared" si="54"/>
        <v>3.1275749999999998</v>
      </c>
      <c r="K90" s="118"/>
      <c r="L90" s="111">
        <v>17</v>
      </c>
      <c r="M90" s="117">
        <f t="shared" si="55"/>
        <v>3.1275750000000002</v>
      </c>
      <c r="N90" s="119">
        <f t="shared" si="56"/>
        <v>0</v>
      </c>
      <c r="O90" s="120">
        <f t="shared" si="57"/>
        <v>0</v>
      </c>
      <c r="P90" s="111"/>
      <c r="Q90" s="32"/>
    </row>
    <row r="91" spans="1:18" ht="15.6">
      <c r="A91" s="110" t="s">
        <v>339</v>
      </c>
      <c r="B91" s="111" t="s">
        <v>232</v>
      </c>
      <c r="C91" s="112" t="s">
        <v>228</v>
      </c>
      <c r="D91" s="113" t="s">
        <v>130</v>
      </c>
      <c r="E91" s="114" t="s">
        <v>15</v>
      </c>
      <c r="F91" s="115" t="s">
        <v>40</v>
      </c>
      <c r="G91" s="116">
        <v>16.5</v>
      </c>
      <c r="H91" s="125">
        <v>11.15</v>
      </c>
      <c r="I91" s="111">
        <v>17</v>
      </c>
      <c r="J91" s="117">
        <f t="shared" si="54"/>
        <v>3.1275749999999998</v>
      </c>
      <c r="K91" s="118"/>
      <c r="L91" s="111">
        <v>17</v>
      </c>
      <c r="M91" s="117">
        <f t="shared" si="55"/>
        <v>3.1275750000000002</v>
      </c>
      <c r="N91" s="119">
        <f t="shared" si="56"/>
        <v>0</v>
      </c>
      <c r="O91" s="120">
        <f t="shared" si="57"/>
        <v>0</v>
      </c>
      <c r="P91" s="111"/>
      <c r="Q91" s="32"/>
    </row>
    <row r="92" spans="1:18" ht="15.6">
      <c r="A92" s="110" t="s">
        <v>339</v>
      </c>
      <c r="B92" s="111" t="s">
        <v>232</v>
      </c>
      <c r="C92" s="112" t="s">
        <v>228</v>
      </c>
      <c r="D92" s="113" t="s">
        <v>130</v>
      </c>
      <c r="E92" s="114" t="s">
        <v>15</v>
      </c>
      <c r="F92" s="115" t="s">
        <v>40</v>
      </c>
      <c r="G92" s="116">
        <v>16.5</v>
      </c>
      <c r="H92" s="125">
        <v>7.4</v>
      </c>
      <c r="I92" s="111">
        <v>20</v>
      </c>
      <c r="J92" s="117">
        <f t="shared" si="54"/>
        <v>2.4420000000000002</v>
      </c>
      <c r="K92" s="118"/>
      <c r="L92" s="111">
        <v>20</v>
      </c>
      <c r="M92" s="117">
        <f t="shared" si="55"/>
        <v>2.4420000000000002</v>
      </c>
      <c r="N92" s="119">
        <f t="shared" si="56"/>
        <v>0</v>
      </c>
      <c r="O92" s="120">
        <f t="shared" si="57"/>
        <v>0</v>
      </c>
      <c r="P92" s="111"/>
      <c r="Q92" s="32"/>
    </row>
    <row r="93" spans="1:18" ht="15.6">
      <c r="A93" s="110" t="s">
        <v>339</v>
      </c>
      <c r="B93" s="111" t="s">
        <v>232</v>
      </c>
      <c r="C93" s="112" t="s">
        <v>228</v>
      </c>
      <c r="D93" s="113" t="s">
        <v>130</v>
      </c>
      <c r="E93" s="114" t="s">
        <v>15</v>
      </c>
      <c r="F93" s="115" t="s">
        <v>40</v>
      </c>
      <c r="G93" s="116">
        <v>16.5</v>
      </c>
      <c r="H93" s="125">
        <v>7.4</v>
      </c>
      <c r="I93" s="111">
        <v>20</v>
      </c>
      <c r="J93" s="117">
        <f t="shared" si="54"/>
        <v>2.4420000000000002</v>
      </c>
      <c r="K93" s="118"/>
      <c r="L93" s="111">
        <v>20</v>
      </c>
      <c r="M93" s="117">
        <f t="shared" si="55"/>
        <v>2.4420000000000002</v>
      </c>
      <c r="N93" s="119">
        <f t="shared" si="56"/>
        <v>0</v>
      </c>
      <c r="O93" s="120">
        <f t="shared" si="57"/>
        <v>0</v>
      </c>
      <c r="P93" s="111"/>
      <c r="Q93" s="32"/>
    </row>
    <row r="94" spans="1:18" ht="15.6">
      <c r="A94" s="110" t="s">
        <v>339</v>
      </c>
      <c r="B94" s="111" t="s">
        <v>232</v>
      </c>
      <c r="C94" s="112" t="s">
        <v>228</v>
      </c>
      <c r="D94" s="113" t="s">
        <v>130</v>
      </c>
      <c r="E94" s="114" t="s">
        <v>15</v>
      </c>
      <c r="F94" s="115" t="s">
        <v>40</v>
      </c>
      <c r="G94" s="116">
        <v>16.5</v>
      </c>
      <c r="H94" s="125">
        <v>7.4</v>
      </c>
      <c r="I94" s="111">
        <v>20</v>
      </c>
      <c r="J94" s="117">
        <f t="shared" si="54"/>
        <v>2.4420000000000002</v>
      </c>
      <c r="K94" s="118"/>
      <c r="L94" s="111">
        <v>20</v>
      </c>
      <c r="M94" s="117">
        <f t="shared" si="55"/>
        <v>2.4420000000000002</v>
      </c>
      <c r="N94" s="119">
        <f t="shared" si="56"/>
        <v>0</v>
      </c>
      <c r="O94" s="120">
        <f t="shared" si="57"/>
        <v>0</v>
      </c>
      <c r="P94" s="111"/>
      <c r="Q94" s="32"/>
    </row>
    <row r="95" spans="1:18" ht="15.6">
      <c r="A95" s="110" t="s">
        <v>339</v>
      </c>
      <c r="B95" s="111" t="s">
        <v>232</v>
      </c>
      <c r="C95" s="112" t="s">
        <v>228</v>
      </c>
      <c r="D95" s="113" t="s">
        <v>130</v>
      </c>
      <c r="E95" s="114" t="s">
        <v>15</v>
      </c>
      <c r="F95" s="115" t="s">
        <v>40</v>
      </c>
      <c r="G95" s="116">
        <v>16.5</v>
      </c>
      <c r="H95" s="125">
        <v>7.4</v>
      </c>
      <c r="I95" s="111">
        <v>20</v>
      </c>
      <c r="J95" s="117">
        <f t="shared" si="54"/>
        <v>2.4420000000000002</v>
      </c>
      <c r="K95" s="118"/>
      <c r="L95" s="111">
        <v>20</v>
      </c>
      <c r="M95" s="117">
        <f t="shared" si="55"/>
        <v>2.4420000000000002</v>
      </c>
      <c r="N95" s="119">
        <f t="shared" si="56"/>
        <v>0</v>
      </c>
      <c r="O95" s="120">
        <f t="shared" si="57"/>
        <v>0</v>
      </c>
      <c r="P95" s="111"/>
      <c r="Q95" s="32"/>
    </row>
    <row r="96" spans="1:18" ht="15.6">
      <c r="A96" s="110" t="s">
        <v>339</v>
      </c>
      <c r="B96" s="111" t="s">
        <v>232</v>
      </c>
      <c r="C96" s="112" t="s">
        <v>228</v>
      </c>
      <c r="D96" s="113" t="s">
        <v>130</v>
      </c>
      <c r="E96" s="114" t="s">
        <v>15</v>
      </c>
      <c r="F96" s="115" t="s">
        <v>40</v>
      </c>
      <c r="G96" s="116">
        <v>16.5</v>
      </c>
      <c r="H96" s="125">
        <v>7.4</v>
      </c>
      <c r="I96" s="111">
        <v>20</v>
      </c>
      <c r="J96" s="117">
        <f t="shared" si="54"/>
        <v>2.4420000000000002</v>
      </c>
      <c r="K96" s="118"/>
      <c r="L96" s="111">
        <v>20</v>
      </c>
      <c r="M96" s="117">
        <f t="shared" si="55"/>
        <v>2.4420000000000002</v>
      </c>
      <c r="N96" s="119">
        <f t="shared" si="56"/>
        <v>0</v>
      </c>
      <c r="O96" s="120">
        <f t="shared" si="57"/>
        <v>0</v>
      </c>
      <c r="P96" s="111"/>
      <c r="Q96" s="32"/>
    </row>
    <row r="97" spans="1:18" ht="15.6">
      <c r="A97" s="110" t="s">
        <v>339</v>
      </c>
      <c r="B97" s="111" t="s">
        <v>232</v>
      </c>
      <c r="C97" s="112" t="s">
        <v>228</v>
      </c>
      <c r="D97" s="113" t="s">
        <v>130</v>
      </c>
      <c r="E97" s="114" t="s">
        <v>15</v>
      </c>
      <c r="F97" s="115" t="s">
        <v>40</v>
      </c>
      <c r="G97" s="116">
        <v>16.5</v>
      </c>
      <c r="H97" s="125">
        <v>7.4</v>
      </c>
      <c r="I97" s="111">
        <v>20</v>
      </c>
      <c r="J97" s="117">
        <f t="shared" si="54"/>
        <v>2.4420000000000002</v>
      </c>
      <c r="K97" s="118"/>
      <c r="L97" s="111">
        <v>20</v>
      </c>
      <c r="M97" s="117">
        <f t="shared" si="55"/>
        <v>2.4420000000000002</v>
      </c>
      <c r="N97" s="119">
        <f t="shared" si="56"/>
        <v>0</v>
      </c>
      <c r="O97" s="120">
        <f t="shared" si="57"/>
        <v>0</v>
      </c>
      <c r="P97" s="111"/>
      <c r="Q97" s="32"/>
    </row>
    <row r="98" spans="1:18" ht="15.6">
      <c r="A98" s="110" t="s">
        <v>339</v>
      </c>
      <c r="B98" s="111" t="s">
        <v>232</v>
      </c>
      <c r="C98" s="112" t="s">
        <v>228</v>
      </c>
      <c r="D98" s="113" t="s">
        <v>130</v>
      </c>
      <c r="E98" s="114" t="s">
        <v>15</v>
      </c>
      <c r="F98" s="115" t="s">
        <v>40</v>
      </c>
      <c r="G98" s="116">
        <v>16.5</v>
      </c>
      <c r="H98" s="125">
        <v>7.4</v>
      </c>
      <c r="I98" s="111">
        <v>27</v>
      </c>
      <c r="J98" s="117">
        <f t="shared" ref="J98:J103" si="58">H98*G98*I98/1000</f>
        <v>3.2967000000000004</v>
      </c>
      <c r="K98" s="118"/>
      <c r="L98" s="111">
        <v>27</v>
      </c>
      <c r="M98" s="117">
        <f t="shared" ref="M98:M103" si="59">H98*L98*G98/1000</f>
        <v>3.2967000000000004</v>
      </c>
      <c r="N98" s="119">
        <f t="shared" ref="N98:N103" si="60">I98-L98</f>
        <v>0</v>
      </c>
      <c r="O98" s="120">
        <f t="shared" ref="O98:O103" si="61">H98*N98*G98/1000</f>
        <v>0</v>
      </c>
      <c r="P98" s="111"/>
      <c r="Q98" s="32"/>
    </row>
    <row r="99" spans="1:18" ht="15.6">
      <c r="A99" s="110" t="s">
        <v>339</v>
      </c>
      <c r="B99" s="111" t="s">
        <v>232</v>
      </c>
      <c r="C99" s="112" t="s">
        <v>228</v>
      </c>
      <c r="D99" s="113" t="s">
        <v>130</v>
      </c>
      <c r="E99" s="114" t="s">
        <v>15</v>
      </c>
      <c r="F99" s="115" t="s">
        <v>40</v>
      </c>
      <c r="G99" s="116">
        <v>16.5</v>
      </c>
      <c r="H99" s="125">
        <v>11.15</v>
      </c>
      <c r="I99" s="111">
        <v>5</v>
      </c>
      <c r="J99" s="117">
        <f t="shared" si="58"/>
        <v>0.919875</v>
      </c>
      <c r="K99" s="118"/>
      <c r="L99" s="111">
        <v>5</v>
      </c>
      <c r="M99" s="117">
        <f t="shared" si="59"/>
        <v>0.919875</v>
      </c>
      <c r="N99" s="119">
        <f t="shared" si="60"/>
        <v>0</v>
      </c>
      <c r="O99" s="120">
        <f t="shared" si="61"/>
        <v>0</v>
      </c>
      <c r="P99" s="111"/>
      <c r="Q99" s="32"/>
    </row>
    <row r="100" spans="1:18" ht="15.6">
      <c r="A100" s="110" t="s">
        <v>339</v>
      </c>
      <c r="B100" s="111" t="s">
        <v>232</v>
      </c>
      <c r="C100" s="112" t="s">
        <v>228</v>
      </c>
      <c r="D100" s="113" t="s">
        <v>130</v>
      </c>
      <c r="E100" s="114" t="s">
        <v>15</v>
      </c>
      <c r="F100" s="115" t="s">
        <v>40</v>
      </c>
      <c r="G100" s="116">
        <v>16.5</v>
      </c>
      <c r="H100" s="125">
        <v>7.05</v>
      </c>
      <c r="I100" s="111">
        <v>2</v>
      </c>
      <c r="J100" s="117">
        <f t="shared" si="58"/>
        <v>0.23265</v>
      </c>
      <c r="K100" s="118"/>
      <c r="L100" s="111">
        <v>2</v>
      </c>
      <c r="M100" s="117">
        <f t="shared" si="59"/>
        <v>0.23265</v>
      </c>
      <c r="N100" s="119">
        <f t="shared" si="60"/>
        <v>0</v>
      </c>
      <c r="O100" s="120">
        <f t="shared" si="61"/>
        <v>0</v>
      </c>
      <c r="P100" s="72">
        <f t="shared" ref="P100" si="62">5515+150</f>
        <v>5665</v>
      </c>
      <c r="Q100" s="32">
        <v>2</v>
      </c>
      <c r="R100" s="77" t="s">
        <v>524</v>
      </c>
    </row>
    <row r="101" spans="1:18" ht="15.6">
      <c r="A101" s="110" t="s">
        <v>339</v>
      </c>
      <c r="B101" s="111" t="s">
        <v>232</v>
      </c>
      <c r="C101" s="112" t="s">
        <v>228</v>
      </c>
      <c r="D101" s="113" t="s">
        <v>130</v>
      </c>
      <c r="E101" s="114" t="s">
        <v>15</v>
      </c>
      <c r="F101" s="115" t="s">
        <v>40</v>
      </c>
      <c r="G101" s="116">
        <v>16.5</v>
      </c>
      <c r="H101" s="125">
        <v>7.2</v>
      </c>
      <c r="I101" s="111">
        <v>2</v>
      </c>
      <c r="J101" s="117">
        <f t="shared" si="58"/>
        <v>0.23760000000000001</v>
      </c>
      <c r="K101" s="118"/>
      <c r="L101" s="111">
        <v>2</v>
      </c>
      <c r="M101" s="117">
        <f t="shared" si="59"/>
        <v>0.23760000000000001</v>
      </c>
      <c r="N101" s="119">
        <f t="shared" si="60"/>
        <v>0</v>
      </c>
      <c r="O101" s="120">
        <f t="shared" si="61"/>
        <v>0</v>
      </c>
      <c r="P101" s="111"/>
      <c r="Q101" s="32"/>
    </row>
    <row r="102" spans="1:18" ht="15.6">
      <c r="A102" s="110" t="s">
        <v>339</v>
      </c>
      <c r="B102" s="111" t="s">
        <v>232</v>
      </c>
      <c r="C102" s="112" t="s">
        <v>228</v>
      </c>
      <c r="D102" s="113" t="s">
        <v>130</v>
      </c>
      <c r="E102" s="114" t="s">
        <v>15</v>
      </c>
      <c r="F102" s="115" t="s">
        <v>40</v>
      </c>
      <c r="G102" s="116">
        <v>16.5</v>
      </c>
      <c r="H102" s="125">
        <v>7.3</v>
      </c>
      <c r="I102" s="111">
        <v>1</v>
      </c>
      <c r="J102" s="117">
        <f t="shared" si="58"/>
        <v>0.12045</v>
      </c>
      <c r="K102" s="118"/>
      <c r="L102" s="111">
        <v>1</v>
      </c>
      <c r="M102" s="117">
        <f t="shared" si="59"/>
        <v>0.12045</v>
      </c>
      <c r="N102" s="119">
        <f t="shared" si="60"/>
        <v>0</v>
      </c>
      <c r="O102" s="120">
        <f t="shared" si="61"/>
        <v>0</v>
      </c>
      <c r="P102" s="111"/>
      <c r="Q102" s="32"/>
    </row>
    <row r="103" spans="1:18" ht="15.6">
      <c r="A103" s="110" t="s">
        <v>339</v>
      </c>
      <c r="B103" s="111" t="s">
        <v>232</v>
      </c>
      <c r="C103" s="112" t="s">
        <v>228</v>
      </c>
      <c r="D103" s="113" t="s">
        <v>130</v>
      </c>
      <c r="E103" s="114" t="s">
        <v>15</v>
      </c>
      <c r="F103" s="115" t="s">
        <v>40</v>
      </c>
      <c r="G103" s="116">
        <v>16.5</v>
      </c>
      <c r="H103" s="125">
        <v>10.8</v>
      </c>
      <c r="I103" s="111">
        <v>1</v>
      </c>
      <c r="J103" s="117">
        <f t="shared" si="58"/>
        <v>0.17820000000000003</v>
      </c>
      <c r="K103" s="118"/>
      <c r="L103" s="111">
        <v>1</v>
      </c>
      <c r="M103" s="117">
        <f t="shared" si="59"/>
        <v>0.17820000000000003</v>
      </c>
      <c r="N103" s="119">
        <f t="shared" si="60"/>
        <v>0</v>
      </c>
      <c r="O103" s="120">
        <f t="shared" si="61"/>
        <v>0</v>
      </c>
      <c r="P103" s="111"/>
      <c r="Q103" s="32"/>
    </row>
    <row r="104" spans="1:18" ht="15.6">
      <c r="A104" s="110"/>
      <c r="B104" s="111"/>
      <c r="C104" s="112"/>
      <c r="D104" s="113"/>
      <c r="E104" s="114"/>
      <c r="F104" s="115"/>
      <c r="G104" s="116"/>
      <c r="H104" s="125"/>
      <c r="I104" s="355">
        <f>SUM(I72:I103)</f>
        <v>509</v>
      </c>
      <c r="J104" s="356">
        <f>SUM(J72:J103)</f>
        <v>68.484900000000025</v>
      </c>
      <c r="K104" s="118"/>
      <c r="L104" s="355">
        <f>SUM(L72:L103)</f>
        <v>509</v>
      </c>
      <c r="M104" s="356">
        <f>SUM(M72:M103)</f>
        <v>68.484900000000025</v>
      </c>
      <c r="N104" s="355">
        <f>SUM(N72:N103)</f>
        <v>0</v>
      </c>
      <c r="O104" s="356">
        <f>SUM(O72:O103)</f>
        <v>0</v>
      </c>
      <c r="P104" s="111"/>
      <c r="Q104" s="32"/>
    </row>
    <row r="105" spans="1:18">
      <c r="A105" s="32"/>
      <c r="B105" s="32"/>
      <c r="C105" s="32"/>
      <c r="D105" s="32"/>
      <c r="E105" s="32"/>
      <c r="F105" s="32"/>
      <c r="G105" s="32"/>
      <c r="H105" s="32"/>
      <c r="I105" s="129"/>
      <c r="J105" s="124"/>
      <c r="K105" s="32"/>
      <c r="L105" s="129"/>
      <c r="M105" s="124"/>
      <c r="N105" s="131"/>
      <c r="O105" s="124"/>
      <c r="P105" s="32"/>
      <c r="Q105" s="32"/>
    </row>
    <row r="106" spans="1:18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1:18" ht="15.6">
      <c r="A107" s="110" t="s">
        <v>344</v>
      </c>
      <c r="B107" s="111" t="s">
        <v>232</v>
      </c>
      <c r="C107" s="112" t="s">
        <v>228</v>
      </c>
      <c r="D107" s="113" t="s">
        <v>342</v>
      </c>
      <c r="E107" s="114" t="s">
        <v>15</v>
      </c>
      <c r="F107" s="115" t="s">
        <v>40</v>
      </c>
      <c r="G107" s="116">
        <v>16.5</v>
      </c>
      <c r="H107" s="125">
        <v>8.3000000000000007</v>
      </c>
      <c r="I107" s="111">
        <f>7+7</f>
        <v>14</v>
      </c>
      <c r="J107" s="117">
        <f>H107*G107*I107/1000</f>
        <v>1.9173000000000002</v>
      </c>
      <c r="K107" s="118"/>
      <c r="L107" s="111">
        <v>14</v>
      </c>
      <c r="M107" s="117">
        <f t="shared" ref="M107:M110" si="63">H107*L107*G107/1000</f>
        <v>1.9173000000000002</v>
      </c>
      <c r="N107" s="119">
        <f t="shared" ref="N107:N110" si="64">I107-L107</f>
        <v>0</v>
      </c>
      <c r="O107" s="120">
        <f t="shared" ref="O107:O110" si="65">H107*N107*G107/1000</f>
        <v>0</v>
      </c>
      <c r="P107" s="111"/>
      <c r="Q107" s="32"/>
    </row>
    <row r="108" spans="1:18" ht="15.6">
      <c r="A108" s="110" t="s">
        <v>344</v>
      </c>
      <c r="B108" s="111" t="s">
        <v>232</v>
      </c>
      <c r="C108" s="112" t="s">
        <v>228</v>
      </c>
      <c r="D108" s="113" t="s">
        <v>342</v>
      </c>
      <c r="E108" s="114" t="s">
        <v>15</v>
      </c>
      <c r="F108" s="115" t="s">
        <v>40</v>
      </c>
      <c r="G108" s="116">
        <v>16.5</v>
      </c>
      <c r="H108" s="125">
        <v>9.1</v>
      </c>
      <c r="I108" s="111">
        <f>2+21+5</f>
        <v>28</v>
      </c>
      <c r="J108" s="117">
        <f>H108*G108*I108/1000</f>
        <v>4.2042000000000002</v>
      </c>
      <c r="K108" s="118"/>
      <c r="L108" s="111">
        <v>28</v>
      </c>
      <c r="M108" s="117">
        <f t="shared" si="63"/>
        <v>4.2042000000000002</v>
      </c>
      <c r="N108" s="119">
        <f t="shared" si="64"/>
        <v>0</v>
      </c>
      <c r="O108" s="120">
        <f t="shared" si="65"/>
        <v>0</v>
      </c>
      <c r="P108" s="111"/>
      <c r="Q108" s="32"/>
    </row>
    <row r="109" spans="1:18" ht="15.6">
      <c r="A109" s="110" t="s">
        <v>344</v>
      </c>
      <c r="B109" s="111" t="s">
        <v>232</v>
      </c>
      <c r="C109" s="112" t="s">
        <v>228</v>
      </c>
      <c r="D109" s="113" t="s">
        <v>342</v>
      </c>
      <c r="E109" s="114" t="s">
        <v>15</v>
      </c>
      <c r="F109" s="115" t="s">
        <v>40</v>
      </c>
      <c r="G109" s="116">
        <v>16.5</v>
      </c>
      <c r="H109" s="125">
        <v>11.3</v>
      </c>
      <c r="I109" s="111">
        <f>2+7</f>
        <v>9</v>
      </c>
      <c r="J109" s="117">
        <f>H109*G109*I109/1000</f>
        <v>1.6780500000000003</v>
      </c>
      <c r="K109" s="118"/>
      <c r="L109" s="111">
        <v>9</v>
      </c>
      <c r="M109" s="117">
        <f t="shared" si="63"/>
        <v>1.67805</v>
      </c>
      <c r="N109" s="119">
        <f t="shared" si="64"/>
        <v>0</v>
      </c>
      <c r="O109" s="120">
        <f t="shared" si="65"/>
        <v>0</v>
      </c>
      <c r="P109" s="111"/>
      <c r="Q109" s="32"/>
    </row>
    <row r="110" spans="1:18" ht="15.6">
      <c r="A110" s="110" t="s">
        <v>344</v>
      </c>
      <c r="B110" s="111" t="s">
        <v>232</v>
      </c>
      <c r="C110" s="112" t="s">
        <v>228</v>
      </c>
      <c r="D110" s="113" t="s">
        <v>342</v>
      </c>
      <c r="E110" s="114" t="s">
        <v>15</v>
      </c>
      <c r="F110" s="115" t="s">
        <v>40</v>
      </c>
      <c r="G110" s="116">
        <v>16.5</v>
      </c>
      <c r="H110" s="125">
        <v>9.1</v>
      </c>
      <c r="I110" s="111">
        <v>6</v>
      </c>
      <c r="J110" s="117">
        <f>H110*G110*I110/1000</f>
        <v>0.90090000000000015</v>
      </c>
      <c r="K110" s="118"/>
      <c r="L110" s="111">
        <v>6</v>
      </c>
      <c r="M110" s="117">
        <f t="shared" si="63"/>
        <v>0.90089999999999981</v>
      </c>
      <c r="N110" s="119">
        <f t="shared" si="64"/>
        <v>0</v>
      </c>
      <c r="O110" s="120">
        <f t="shared" si="65"/>
        <v>0</v>
      </c>
      <c r="P110" s="130">
        <v>6.9</v>
      </c>
      <c r="Q110" s="32">
        <v>6</v>
      </c>
      <c r="R110" s="90" t="s">
        <v>789</v>
      </c>
    </row>
    <row r="111" spans="1:18" ht="15.6">
      <c r="A111" s="110" t="s">
        <v>344</v>
      </c>
      <c r="B111" s="111" t="s">
        <v>232</v>
      </c>
      <c r="C111" s="112" t="s">
        <v>228</v>
      </c>
      <c r="D111" s="113" t="s">
        <v>342</v>
      </c>
      <c r="E111" s="114" t="s">
        <v>15</v>
      </c>
      <c r="F111" s="115" t="s">
        <v>40</v>
      </c>
      <c r="G111" s="116">
        <v>16.5</v>
      </c>
      <c r="H111" s="125">
        <v>11.2</v>
      </c>
      <c r="I111" s="111">
        <v>2</v>
      </c>
      <c r="J111" s="117">
        <f t="shared" ref="J111:J113" si="66">H111*G111*I111/1000</f>
        <v>0.36959999999999998</v>
      </c>
      <c r="K111" s="118" t="s">
        <v>343</v>
      </c>
      <c r="L111" s="111">
        <f>1+1</f>
        <v>2</v>
      </c>
      <c r="M111" s="117">
        <f t="shared" ref="M111:M113" si="67">H111*L111*G111/1000</f>
        <v>0.36959999999999998</v>
      </c>
      <c r="N111" s="119">
        <f t="shared" ref="N111:N113" si="68">I111-L111</f>
        <v>0</v>
      </c>
      <c r="O111" s="120">
        <f t="shared" ref="O111:O113" si="69">H111*N111*G111/1000</f>
        <v>0</v>
      </c>
      <c r="P111" s="130">
        <v>11.1</v>
      </c>
      <c r="Q111" s="32">
        <v>1</v>
      </c>
      <c r="R111" s="90" t="s">
        <v>789</v>
      </c>
    </row>
    <row r="112" spans="1:18" ht="15.6">
      <c r="A112" s="110" t="s">
        <v>344</v>
      </c>
      <c r="B112" s="111" t="s">
        <v>232</v>
      </c>
      <c r="C112" s="112" t="s">
        <v>228</v>
      </c>
      <c r="D112" s="113" t="s">
        <v>342</v>
      </c>
      <c r="E112" s="114" t="s">
        <v>15</v>
      </c>
      <c r="F112" s="115" t="s">
        <v>40</v>
      </c>
      <c r="G112" s="116">
        <v>16.5</v>
      </c>
      <c r="H112" s="125">
        <v>7.9</v>
      </c>
      <c r="I112" s="111">
        <v>2</v>
      </c>
      <c r="J112" s="117">
        <f t="shared" si="66"/>
        <v>0.26069999999999999</v>
      </c>
      <c r="K112" s="118" t="s">
        <v>343</v>
      </c>
      <c r="L112" s="111">
        <v>2</v>
      </c>
      <c r="M112" s="117">
        <f t="shared" si="67"/>
        <v>0.26069999999999999</v>
      </c>
      <c r="N112" s="119">
        <f t="shared" si="68"/>
        <v>0</v>
      </c>
      <c r="O112" s="120">
        <f t="shared" si="69"/>
        <v>0</v>
      </c>
      <c r="P112" s="130">
        <v>6.9</v>
      </c>
      <c r="Q112" s="32">
        <v>2</v>
      </c>
      <c r="R112" s="90" t="s">
        <v>789</v>
      </c>
    </row>
    <row r="113" spans="1:20" ht="15.6">
      <c r="A113" s="110" t="s">
        <v>344</v>
      </c>
      <c r="B113" s="111" t="s">
        <v>232</v>
      </c>
      <c r="C113" s="112" t="s">
        <v>228</v>
      </c>
      <c r="D113" s="113" t="s">
        <v>342</v>
      </c>
      <c r="E113" s="114" t="s">
        <v>15</v>
      </c>
      <c r="F113" s="115" t="s">
        <v>40</v>
      </c>
      <c r="G113" s="116">
        <v>16.5</v>
      </c>
      <c r="H113" s="125">
        <v>11.3</v>
      </c>
      <c r="I113" s="111">
        <v>1</v>
      </c>
      <c r="J113" s="117">
        <f t="shared" si="66"/>
        <v>0.18645</v>
      </c>
      <c r="K113" s="118" t="s">
        <v>343</v>
      </c>
      <c r="L113" s="111">
        <v>1</v>
      </c>
      <c r="M113" s="117">
        <f t="shared" si="67"/>
        <v>0.18645</v>
      </c>
      <c r="N113" s="119">
        <f t="shared" si="68"/>
        <v>0</v>
      </c>
      <c r="O113" s="120">
        <f t="shared" si="69"/>
        <v>0</v>
      </c>
      <c r="P113" s="111"/>
      <c r="Q113" s="32"/>
    </row>
    <row r="114" spans="1:20">
      <c r="A114" s="32"/>
      <c r="B114" s="32"/>
      <c r="C114" s="32"/>
      <c r="D114" s="32"/>
      <c r="E114" s="32"/>
      <c r="F114" s="32"/>
      <c r="G114" s="32"/>
      <c r="H114" s="32"/>
      <c r="I114" s="129">
        <f>SUM(I107:I113)</f>
        <v>62</v>
      </c>
      <c r="J114" s="132">
        <f>SUM(J107:J113)</f>
        <v>9.5172000000000008</v>
      </c>
      <c r="K114" s="32"/>
      <c r="L114" s="129">
        <f>SUM(L107:L113)</f>
        <v>62</v>
      </c>
      <c r="M114" s="124">
        <f>SUM(M107:M113)</f>
        <v>9.5172000000000008</v>
      </c>
      <c r="N114" s="131">
        <f>SUM(N107:N113)</f>
        <v>0</v>
      </c>
      <c r="O114" s="124">
        <f>SUM(O107:O113)</f>
        <v>0</v>
      </c>
      <c r="P114" s="32"/>
      <c r="Q114" s="32"/>
    </row>
    <row r="115" spans="1:20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</row>
    <row r="116" spans="1:20" ht="15.6">
      <c r="A116" s="110" t="s">
        <v>344</v>
      </c>
      <c r="B116" s="111" t="s">
        <v>232</v>
      </c>
      <c r="C116" s="112" t="s">
        <v>228</v>
      </c>
      <c r="D116" s="113" t="s">
        <v>342</v>
      </c>
      <c r="E116" s="114" t="s">
        <v>15</v>
      </c>
      <c r="F116" s="115" t="s">
        <v>39</v>
      </c>
      <c r="G116" s="116">
        <v>14.7</v>
      </c>
      <c r="H116" s="125">
        <v>7.3</v>
      </c>
      <c r="I116" s="111">
        <v>1</v>
      </c>
      <c r="J116" s="117">
        <f>H116*G116*I116/1000</f>
        <v>0.10730999999999999</v>
      </c>
      <c r="K116" s="118"/>
      <c r="L116" s="111">
        <v>1</v>
      </c>
      <c r="M116" s="117">
        <f t="shared" ref="M116" si="70">H116*L116*G116/1000</f>
        <v>0.10730999999999999</v>
      </c>
      <c r="N116" s="119">
        <f t="shared" ref="N116" si="71">I116-L116</f>
        <v>0</v>
      </c>
      <c r="O116" s="120">
        <f t="shared" ref="O116" si="72">H116*N116*G116/1000</f>
        <v>0</v>
      </c>
      <c r="P116" s="111"/>
      <c r="Q116" s="32"/>
    </row>
    <row r="117" spans="1:20" ht="15.6">
      <c r="A117" s="110" t="s">
        <v>344</v>
      </c>
      <c r="B117" s="111" t="s">
        <v>232</v>
      </c>
      <c r="C117" s="112" t="s">
        <v>228</v>
      </c>
      <c r="D117" s="113" t="s">
        <v>342</v>
      </c>
      <c r="E117" s="114" t="s">
        <v>15</v>
      </c>
      <c r="F117" s="115" t="s">
        <v>39</v>
      </c>
      <c r="G117" s="116">
        <v>14.7</v>
      </c>
      <c r="H117" s="125">
        <v>7.7</v>
      </c>
      <c r="I117" s="111">
        <f>23+13+16</f>
        <v>52</v>
      </c>
      <c r="J117" s="117">
        <f t="shared" ref="J117:J127" si="73">H117*G117*I117/1000</f>
        <v>5.8858800000000002</v>
      </c>
      <c r="K117" s="118"/>
      <c r="L117" s="111">
        <v>52</v>
      </c>
      <c r="M117" s="117">
        <f t="shared" ref="M117:M125" si="74">H117*L117*G117/1000</f>
        <v>5.8858800000000002</v>
      </c>
      <c r="N117" s="119">
        <f t="shared" ref="N117:N127" si="75">I117-L117</f>
        <v>0</v>
      </c>
      <c r="O117" s="120">
        <f t="shared" ref="O117:O127" si="76">H117*N117*G117/1000</f>
        <v>0</v>
      </c>
      <c r="P117" s="111"/>
      <c r="Q117" s="32"/>
    </row>
    <row r="118" spans="1:20" ht="15.6">
      <c r="A118" s="110" t="s">
        <v>344</v>
      </c>
      <c r="B118" s="111" t="s">
        <v>232</v>
      </c>
      <c r="C118" s="112" t="s">
        <v>228</v>
      </c>
      <c r="D118" s="113" t="s">
        <v>342</v>
      </c>
      <c r="E118" s="114" t="s">
        <v>15</v>
      </c>
      <c r="F118" s="115" t="s">
        <v>39</v>
      </c>
      <c r="G118" s="116">
        <v>14.7</v>
      </c>
      <c r="H118" s="125">
        <v>9.6</v>
      </c>
      <c r="I118" s="111">
        <f>23+10+7</f>
        <v>40</v>
      </c>
      <c r="J118" s="117">
        <f t="shared" si="73"/>
        <v>5.6447999999999992</v>
      </c>
      <c r="K118" s="118"/>
      <c r="L118" s="111">
        <v>40</v>
      </c>
      <c r="M118" s="117">
        <f t="shared" si="74"/>
        <v>5.6447999999999992</v>
      </c>
      <c r="N118" s="119">
        <f t="shared" si="75"/>
        <v>0</v>
      </c>
      <c r="O118" s="120">
        <f t="shared" si="76"/>
        <v>0</v>
      </c>
      <c r="P118" s="111"/>
      <c r="Q118" s="32"/>
    </row>
    <row r="119" spans="1:20" ht="15.6">
      <c r="A119" s="110" t="s">
        <v>344</v>
      </c>
      <c r="B119" s="111" t="s">
        <v>232</v>
      </c>
      <c r="C119" s="112" t="s">
        <v>228</v>
      </c>
      <c r="D119" s="113" t="s">
        <v>342</v>
      </c>
      <c r="E119" s="114" t="s">
        <v>15</v>
      </c>
      <c r="F119" s="115" t="s">
        <v>39</v>
      </c>
      <c r="G119" s="116">
        <v>14.7</v>
      </c>
      <c r="H119" s="125">
        <v>10.3</v>
      </c>
      <c r="I119" s="111">
        <f>15+16</f>
        <v>31</v>
      </c>
      <c r="J119" s="117">
        <f t="shared" si="73"/>
        <v>4.6937100000000003</v>
      </c>
      <c r="K119" s="118"/>
      <c r="L119" s="111">
        <f>28+3</f>
        <v>31</v>
      </c>
      <c r="M119" s="117">
        <f t="shared" si="74"/>
        <v>4.6937100000000003</v>
      </c>
      <c r="N119" s="119">
        <f t="shared" si="75"/>
        <v>0</v>
      </c>
      <c r="O119" s="120">
        <f t="shared" si="76"/>
        <v>0</v>
      </c>
      <c r="P119" s="111">
        <v>9.6</v>
      </c>
      <c r="Q119" s="32">
        <v>3</v>
      </c>
    </row>
    <row r="120" spans="1:20" ht="15.6">
      <c r="A120" s="110" t="s">
        <v>344</v>
      </c>
      <c r="B120" s="111" t="s">
        <v>232</v>
      </c>
      <c r="C120" s="112" t="s">
        <v>228</v>
      </c>
      <c r="D120" s="113" t="s">
        <v>342</v>
      </c>
      <c r="E120" s="114" t="s">
        <v>15</v>
      </c>
      <c r="F120" s="115" t="s">
        <v>39</v>
      </c>
      <c r="G120" s="116">
        <v>14.7</v>
      </c>
      <c r="H120" s="125">
        <v>11</v>
      </c>
      <c r="I120" s="111">
        <v>13</v>
      </c>
      <c r="J120" s="117">
        <f t="shared" si="73"/>
        <v>2.1021000000000001</v>
      </c>
      <c r="K120" s="118"/>
      <c r="L120" s="111">
        <v>13</v>
      </c>
      <c r="M120" s="117">
        <f t="shared" si="74"/>
        <v>2.1021000000000001</v>
      </c>
      <c r="N120" s="119">
        <f t="shared" si="75"/>
        <v>0</v>
      </c>
      <c r="O120" s="120">
        <f t="shared" si="76"/>
        <v>0</v>
      </c>
      <c r="P120" s="111"/>
      <c r="Q120" s="32"/>
    </row>
    <row r="121" spans="1:20" ht="15.6">
      <c r="A121" s="110" t="s">
        <v>344</v>
      </c>
      <c r="B121" s="111" t="s">
        <v>232</v>
      </c>
      <c r="C121" s="112" t="s">
        <v>228</v>
      </c>
      <c r="D121" s="113" t="s">
        <v>342</v>
      </c>
      <c r="E121" s="114" t="s">
        <v>15</v>
      </c>
      <c r="F121" s="115" t="s">
        <v>39</v>
      </c>
      <c r="G121" s="116">
        <v>14.7</v>
      </c>
      <c r="H121" s="125">
        <v>11.3</v>
      </c>
      <c r="I121" s="111">
        <f>21+20+18+2</f>
        <v>61</v>
      </c>
      <c r="J121" s="117">
        <f t="shared" si="73"/>
        <v>10.132710000000001</v>
      </c>
      <c r="K121" s="118"/>
      <c r="L121" s="111">
        <f>44+8+1+8</f>
        <v>61</v>
      </c>
      <c r="M121" s="117">
        <f t="shared" si="74"/>
        <v>10.132710000000001</v>
      </c>
      <c r="N121" s="119">
        <f t="shared" si="75"/>
        <v>0</v>
      </c>
      <c r="O121" s="120">
        <f t="shared" si="76"/>
        <v>0</v>
      </c>
      <c r="P121" s="159">
        <v>9</v>
      </c>
      <c r="Q121" s="45">
        <v>8</v>
      </c>
      <c r="R121" s="213" t="s">
        <v>609</v>
      </c>
    </row>
    <row r="122" spans="1:20" ht="15.6">
      <c r="A122" s="110" t="s">
        <v>344</v>
      </c>
      <c r="B122" s="111" t="s">
        <v>232</v>
      </c>
      <c r="C122" s="112" t="s">
        <v>228</v>
      </c>
      <c r="D122" s="113" t="s">
        <v>342</v>
      </c>
      <c r="E122" s="114" t="s">
        <v>15</v>
      </c>
      <c r="F122" s="115" t="s">
        <v>39</v>
      </c>
      <c r="G122" s="116">
        <v>14.7</v>
      </c>
      <c r="H122" s="125">
        <v>11</v>
      </c>
      <c r="I122" s="111">
        <v>1</v>
      </c>
      <c r="J122" s="117">
        <f t="shared" ref="J122" si="77">H122*G122*I122/1000</f>
        <v>0.16169999999999998</v>
      </c>
      <c r="K122" s="118"/>
      <c r="L122" s="111">
        <v>1</v>
      </c>
      <c r="M122" s="117">
        <f t="shared" ref="M122" si="78">H122*L122*G122/1000</f>
        <v>0.16169999999999998</v>
      </c>
      <c r="N122" s="119">
        <f t="shared" ref="N122" si="79">I122-L122</f>
        <v>0</v>
      </c>
      <c r="O122" s="120">
        <f t="shared" ref="O122" si="80">H122*N122*G122/1000</f>
        <v>0</v>
      </c>
      <c r="P122" s="159">
        <v>9</v>
      </c>
      <c r="Q122" s="45">
        <v>1</v>
      </c>
      <c r="R122" s="213" t="s">
        <v>609</v>
      </c>
    </row>
    <row r="123" spans="1:20" ht="15.6">
      <c r="A123" s="110" t="s">
        <v>344</v>
      </c>
      <c r="B123" s="111" t="s">
        <v>232</v>
      </c>
      <c r="C123" s="112" t="s">
        <v>228</v>
      </c>
      <c r="D123" s="113" t="s">
        <v>342</v>
      </c>
      <c r="E123" s="114" t="s">
        <v>15</v>
      </c>
      <c r="F123" s="115" t="s">
        <v>39</v>
      </c>
      <c r="G123" s="116">
        <v>14.7</v>
      </c>
      <c r="H123" s="125">
        <v>11.7</v>
      </c>
      <c r="I123" s="111">
        <f>4+3+18+18+13</f>
        <v>56</v>
      </c>
      <c r="J123" s="117">
        <f t="shared" si="73"/>
        <v>9.6314399999999996</v>
      </c>
      <c r="K123" s="118"/>
      <c r="L123" s="111">
        <f>52+4</f>
        <v>56</v>
      </c>
      <c r="M123" s="117">
        <f t="shared" si="74"/>
        <v>9.6314399999999996</v>
      </c>
      <c r="N123" s="119">
        <f t="shared" si="75"/>
        <v>0</v>
      </c>
      <c r="O123" s="120">
        <f t="shared" si="76"/>
        <v>0</v>
      </c>
      <c r="P123" s="159">
        <v>9</v>
      </c>
      <c r="Q123" s="45">
        <v>4</v>
      </c>
      <c r="R123" s="213" t="s">
        <v>609</v>
      </c>
    </row>
    <row r="124" spans="1:20" ht="15.6">
      <c r="A124" s="110" t="s">
        <v>344</v>
      </c>
      <c r="B124" s="111" t="s">
        <v>232</v>
      </c>
      <c r="C124" s="112" t="s">
        <v>228</v>
      </c>
      <c r="D124" s="113" t="s">
        <v>342</v>
      </c>
      <c r="E124" s="114" t="s">
        <v>15</v>
      </c>
      <c r="F124" s="115" t="s">
        <v>39</v>
      </c>
      <c r="G124" s="116">
        <v>14.7</v>
      </c>
      <c r="H124" s="125">
        <v>8</v>
      </c>
      <c r="I124" s="111">
        <v>1</v>
      </c>
      <c r="J124" s="117">
        <f t="shared" si="73"/>
        <v>0.1176</v>
      </c>
      <c r="K124" s="118"/>
      <c r="L124" s="111"/>
      <c r="M124" s="117">
        <f t="shared" si="74"/>
        <v>0</v>
      </c>
      <c r="N124" s="119">
        <f t="shared" si="75"/>
        <v>1</v>
      </c>
      <c r="O124" s="120">
        <f t="shared" si="76"/>
        <v>0.1176</v>
      </c>
      <c r="P124" s="159"/>
      <c r="Q124" s="32"/>
    </row>
    <row r="125" spans="1:20" ht="15.6">
      <c r="A125" s="110" t="s">
        <v>344</v>
      </c>
      <c r="B125" s="111" t="s">
        <v>232</v>
      </c>
      <c r="C125" s="112" t="s">
        <v>228</v>
      </c>
      <c r="D125" s="113" t="s">
        <v>342</v>
      </c>
      <c r="E125" s="114" t="s">
        <v>15</v>
      </c>
      <c r="F125" s="115" t="s">
        <v>39</v>
      </c>
      <c r="G125" s="116">
        <v>14.7</v>
      </c>
      <c r="H125" s="125">
        <v>9.4</v>
      </c>
      <c r="I125" s="111">
        <v>1</v>
      </c>
      <c r="J125" s="117">
        <f t="shared" si="73"/>
        <v>0.13818</v>
      </c>
      <c r="K125" s="118"/>
      <c r="L125" s="111">
        <v>1</v>
      </c>
      <c r="M125" s="117">
        <f t="shared" si="74"/>
        <v>0.13818</v>
      </c>
      <c r="N125" s="119">
        <f t="shared" si="75"/>
        <v>0</v>
      </c>
      <c r="O125" s="120">
        <f t="shared" si="76"/>
        <v>0</v>
      </c>
      <c r="P125" s="159">
        <v>9</v>
      </c>
      <c r="Q125" s="45">
        <v>1</v>
      </c>
      <c r="R125" s="213" t="s">
        <v>609</v>
      </c>
    </row>
    <row r="126" spans="1:20" ht="15.6">
      <c r="A126" s="110" t="s">
        <v>344</v>
      </c>
      <c r="B126" s="111" t="s">
        <v>232</v>
      </c>
      <c r="C126" s="112" t="s">
        <v>228</v>
      </c>
      <c r="D126" s="113" t="s">
        <v>342</v>
      </c>
      <c r="E126" s="114" t="s">
        <v>15</v>
      </c>
      <c r="F126" s="115" t="s">
        <v>39</v>
      </c>
      <c r="G126" s="116">
        <v>14.7</v>
      </c>
      <c r="H126" s="125">
        <v>10</v>
      </c>
      <c r="I126" s="111">
        <v>1</v>
      </c>
      <c r="J126" s="117">
        <f t="shared" si="73"/>
        <v>0.14699999999999999</v>
      </c>
      <c r="K126" s="118"/>
      <c r="L126" s="111">
        <v>1</v>
      </c>
      <c r="M126" s="117">
        <f>H126*L126*G126/1000</f>
        <v>0.14699999999999999</v>
      </c>
      <c r="N126" s="119">
        <f t="shared" si="75"/>
        <v>0</v>
      </c>
      <c r="O126" s="120">
        <f t="shared" si="76"/>
        <v>0</v>
      </c>
      <c r="P126" s="111"/>
      <c r="Q126" s="32"/>
      <c r="S126" s="111">
        <v>9.6</v>
      </c>
      <c r="T126" s="32">
        <v>1</v>
      </c>
    </row>
    <row r="127" spans="1:20" ht="15.6">
      <c r="A127" s="110" t="s">
        <v>344</v>
      </c>
      <c r="B127" s="111" t="s">
        <v>232</v>
      </c>
      <c r="C127" s="112" t="s">
        <v>228</v>
      </c>
      <c r="D127" s="113" t="s">
        <v>342</v>
      </c>
      <c r="E127" s="114" t="s">
        <v>15</v>
      </c>
      <c r="F127" s="115" t="s">
        <v>39</v>
      </c>
      <c r="G127" s="116">
        <v>14.7</v>
      </c>
      <c r="H127" s="125">
        <v>7</v>
      </c>
      <c r="I127" s="111">
        <v>1</v>
      </c>
      <c r="J127" s="117">
        <f t="shared" si="73"/>
        <v>0.10289999999999999</v>
      </c>
      <c r="K127" s="118"/>
      <c r="L127" s="111"/>
      <c r="M127" s="117">
        <f>H127*L127*G127/1000</f>
        <v>0</v>
      </c>
      <c r="N127" s="119">
        <f t="shared" si="75"/>
        <v>1</v>
      </c>
      <c r="O127" s="120">
        <f t="shared" si="76"/>
        <v>0.10289999999999999</v>
      </c>
      <c r="P127" s="111"/>
      <c r="Q127" s="32"/>
    </row>
    <row r="128" spans="1:20">
      <c r="A128" s="32"/>
      <c r="B128" s="32"/>
      <c r="C128" s="32"/>
      <c r="D128" s="32"/>
      <c r="E128" s="32"/>
      <c r="F128" s="32"/>
      <c r="G128" s="32"/>
      <c r="H128" s="32"/>
      <c r="I128" s="129">
        <f>SUM(I116:I127)</f>
        <v>259</v>
      </c>
      <c r="J128" s="124">
        <f>SUM(J116:J127)</f>
        <v>38.86533</v>
      </c>
      <c r="K128" s="32"/>
      <c r="L128" s="129">
        <f>SUM(L116:L127)</f>
        <v>257</v>
      </c>
      <c r="M128" s="124">
        <f>SUM(M116:M127)</f>
        <v>38.644829999999999</v>
      </c>
      <c r="N128" s="131">
        <f>SUM(N116:N127)</f>
        <v>2</v>
      </c>
      <c r="O128" s="132">
        <f>SUM(O116:O127)</f>
        <v>0.22049999999999997</v>
      </c>
      <c r="P128" s="32"/>
      <c r="Q128" s="32"/>
    </row>
    <row r="129" spans="1:20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1:20" ht="15.6">
      <c r="A130" s="110" t="s">
        <v>344</v>
      </c>
      <c r="B130" s="111" t="s">
        <v>232</v>
      </c>
      <c r="C130" s="112" t="s">
        <v>228</v>
      </c>
      <c r="D130" s="113" t="s">
        <v>130</v>
      </c>
      <c r="E130" s="114" t="s">
        <v>15</v>
      </c>
      <c r="F130" s="115" t="s">
        <v>39</v>
      </c>
      <c r="G130" s="116">
        <v>14.7</v>
      </c>
      <c r="H130" s="125">
        <v>12</v>
      </c>
      <c r="I130" s="111">
        <v>9</v>
      </c>
      <c r="J130" s="117">
        <f>H130*G130*I130/1000</f>
        <v>1.5875999999999999</v>
      </c>
      <c r="K130" s="118"/>
      <c r="L130" s="111">
        <v>9</v>
      </c>
      <c r="M130" s="117">
        <f t="shared" ref="M130" si="81">H130*L130*G130/1000</f>
        <v>1.5875999999999999</v>
      </c>
      <c r="N130" s="119">
        <f t="shared" ref="N130" si="82">I130-L130</f>
        <v>0</v>
      </c>
      <c r="O130" s="120">
        <f t="shared" ref="O130" si="83">H130*N130*G130/1000</f>
        <v>0</v>
      </c>
      <c r="P130" s="111"/>
      <c r="Q130" s="32"/>
    </row>
    <row r="131" spans="1:20" ht="15.6">
      <c r="A131" s="110" t="s">
        <v>344</v>
      </c>
      <c r="B131" s="111" t="s">
        <v>232</v>
      </c>
      <c r="C131" s="112" t="s">
        <v>228</v>
      </c>
      <c r="D131" s="113" t="s">
        <v>130</v>
      </c>
      <c r="E131" s="114" t="s">
        <v>15</v>
      </c>
      <c r="F131" s="115" t="s">
        <v>39</v>
      </c>
      <c r="G131" s="116">
        <v>14.7</v>
      </c>
      <c r="H131" s="125">
        <v>8.6</v>
      </c>
      <c r="I131" s="111">
        <f>21+12</f>
        <v>33</v>
      </c>
      <c r="J131" s="117">
        <f t="shared" ref="J131:J141" si="84">H131*G131*I131/1000</f>
        <v>4.1718599999999997</v>
      </c>
      <c r="K131" s="118"/>
      <c r="L131" s="111">
        <v>33</v>
      </c>
      <c r="M131" s="117">
        <f t="shared" ref="M131:M139" si="85">H131*L131*G131/1000</f>
        <v>4.1718599999999997</v>
      </c>
      <c r="N131" s="119">
        <f t="shared" ref="N131:N141" si="86">I131-L131</f>
        <v>0</v>
      </c>
      <c r="O131" s="120">
        <f t="shared" ref="O131:O135" si="87">H131*N131*G131/1000</f>
        <v>0</v>
      </c>
      <c r="P131" s="111"/>
      <c r="Q131" s="32"/>
    </row>
    <row r="132" spans="1:20" ht="15.6">
      <c r="A132" s="110" t="s">
        <v>344</v>
      </c>
      <c r="B132" s="111" t="s">
        <v>232</v>
      </c>
      <c r="C132" s="112" t="s">
        <v>228</v>
      </c>
      <c r="D132" s="113" t="s">
        <v>130</v>
      </c>
      <c r="E132" s="114" t="s">
        <v>15</v>
      </c>
      <c r="F132" s="115" t="s">
        <v>39</v>
      </c>
      <c r="G132" s="116">
        <v>14.7</v>
      </c>
      <c r="H132" s="125">
        <v>12</v>
      </c>
      <c r="I132" s="111">
        <f>18+18+18+18+16</f>
        <v>88</v>
      </c>
      <c r="J132" s="117">
        <f t="shared" si="84"/>
        <v>15.523199999999997</v>
      </c>
      <c r="K132" s="118"/>
      <c r="L132" s="111">
        <f>78+10</f>
        <v>88</v>
      </c>
      <c r="M132" s="117">
        <f t="shared" si="85"/>
        <v>15.523199999999999</v>
      </c>
      <c r="N132" s="119">
        <f t="shared" si="86"/>
        <v>0</v>
      </c>
      <c r="O132" s="120">
        <f t="shared" si="87"/>
        <v>0</v>
      </c>
      <c r="P132" s="111"/>
      <c r="Q132" s="32"/>
    </row>
    <row r="133" spans="1:20" ht="15.6">
      <c r="A133" s="110" t="s">
        <v>344</v>
      </c>
      <c r="B133" s="111" t="s">
        <v>232</v>
      </c>
      <c r="C133" s="112" t="s">
        <v>228</v>
      </c>
      <c r="D133" s="113" t="s">
        <v>130</v>
      </c>
      <c r="E133" s="114" t="s">
        <v>15</v>
      </c>
      <c r="F133" s="115" t="s">
        <v>39</v>
      </c>
      <c r="G133" s="116">
        <v>14.7</v>
      </c>
      <c r="H133" s="125">
        <v>12</v>
      </c>
      <c r="I133" s="111">
        <f>17+17+17+17+17+8</f>
        <v>93</v>
      </c>
      <c r="J133" s="117">
        <f t="shared" si="84"/>
        <v>16.405199999999997</v>
      </c>
      <c r="K133" s="118"/>
      <c r="L133" s="111">
        <v>93</v>
      </c>
      <c r="M133" s="117">
        <f t="shared" si="85"/>
        <v>16.405200000000001</v>
      </c>
      <c r="N133" s="119">
        <f t="shared" si="86"/>
        <v>0</v>
      </c>
      <c r="O133" s="120">
        <f t="shared" si="87"/>
        <v>0</v>
      </c>
      <c r="P133" s="111"/>
      <c r="Q133" s="32"/>
    </row>
    <row r="134" spans="1:20" ht="15.6">
      <c r="A134" s="110" t="s">
        <v>344</v>
      </c>
      <c r="B134" s="111" t="s">
        <v>232</v>
      </c>
      <c r="C134" s="112" t="s">
        <v>228</v>
      </c>
      <c r="D134" s="113" t="s">
        <v>130</v>
      </c>
      <c r="E134" s="114" t="s">
        <v>15</v>
      </c>
      <c r="F134" s="115" t="s">
        <v>39</v>
      </c>
      <c r="G134" s="116">
        <v>14.7</v>
      </c>
      <c r="H134" s="125">
        <v>8.6</v>
      </c>
      <c r="I134" s="111">
        <v>2</v>
      </c>
      <c r="J134" s="117">
        <f t="shared" si="84"/>
        <v>0.25283999999999995</v>
      </c>
      <c r="K134" s="118"/>
      <c r="L134" s="111">
        <v>2</v>
      </c>
      <c r="M134" s="117">
        <f t="shared" si="85"/>
        <v>0.25283999999999995</v>
      </c>
      <c r="N134" s="119">
        <f t="shared" si="86"/>
        <v>0</v>
      </c>
      <c r="O134" s="120">
        <f t="shared" si="87"/>
        <v>0</v>
      </c>
      <c r="P134" s="111"/>
      <c r="Q134" s="32"/>
      <c r="R134" s="182">
        <v>8.6</v>
      </c>
      <c r="S134" s="213">
        <v>2</v>
      </c>
      <c r="T134" s="213" t="s">
        <v>443</v>
      </c>
    </row>
    <row r="135" spans="1:20" ht="15.6">
      <c r="A135" s="110" t="s">
        <v>344</v>
      </c>
      <c r="B135" s="111" t="s">
        <v>232</v>
      </c>
      <c r="C135" s="112" t="s">
        <v>228</v>
      </c>
      <c r="D135" s="113" t="s">
        <v>130</v>
      </c>
      <c r="E135" s="114" t="s">
        <v>15</v>
      </c>
      <c r="F135" s="115" t="s">
        <v>39</v>
      </c>
      <c r="G135" s="116">
        <v>14.7</v>
      </c>
      <c r="H135" s="125">
        <v>11</v>
      </c>
      <c r="I135" s="111">
        <v>1</v>
      </c>
      <c r="J135" s="117">
        <f t="shared" si="84"/>
        <v>0.16169999999999998</v>
      </c>
      <c r="K135" s="118"/>
      <c r="L135" s="111">
        <v>1</v>
      </c>
      <c r="M135" s="117">
        <f t="shared" si="85"/>
        <v>0.16169999999999998</v>
      </c>
      <c r="N135" s="119">
        <f t="shared" si="86"/>
        <v>0</v>
      </c>
      <c r="O135" s="120">
        <f t="shared" si="87"/>
        <v>0</v>
      </c>
      <c r="P135" s="111"/>
      <c r="Q135" s="32"/>
      <c r="R135" s="182">
        <v>11</v>
      </c>
      <c r="S135" s="213">
        <v>1</v>
      </c>
      <c r="T135" s="213" t="s">
        <v>445</v>
      </c>
    </row>
    <row r="136" spans="1:20" ht="15.6">
      <c r="A136" s="110" t="s">
        <v>344</v>
      </c>
      <c r="B136" s="111" t="s">
        <v>232</v>
      </c>
      <c r="C136" s="112" t="s">
        <v>228</v>
      </c>
      <c r="D136" s="113" t="s">
        <v>130</v>
      </c>
      <c r="E136" s="114" t="s">
        <v>15</v>
      </c>
      <c r="F136" s="115" t="s">
        <v>39</v>
      </c>
      <c r="G136" s="116">
        <v>14.7</v>
      </c>
      <c r="H136" s="125">
        <v>11.7</v>
      </c>
      <c r="I136" s="111">
        <v>5</v>
      </c>
      <c r="J136" s="117">
        <f t="shared" si="84"/>
        <v>0.85994999999999988</v>
      </c>
      <c r="K136" s="118"/>
      <c r="L136" s="111">
        <v>5</v>
      </c>
      <c r="M136" s="117">
        <f t="shared" si="85"/>
        <v>0.85994999999999988</v>
      </c>
      <c r="N136" s="119">
        <f t="shared" si="86"/>
        <v>0</v>
      </c>
      <c r="O136" s="120">
        <f t="shared" ref="O136:O139" si="88">H136*N136*G136/1000</f>
        <v>0</v>
      </c>
      <c r="P136" s="111"/>
      <c r="Q136" s="32"/>
      <c r="R136" s="182">
        <v>11.7</v>
      </c>
      <c r="S136" s="213">
        <v>5</v>
      </c>
      <c r="T136" s="213" t="s">
        <v>445</v>
      </c>
    </row>
    <row r="137" spans="1:20" ht="15.6">
      <c r="A137" s="110" t="s">
        <v>344</v>
      </c>
      <c r="B137" s="111" t="s">
        <v>232</v>
      </c>
      <c r="C137" s="112" t="s">
        <v>228</v>
      </c>
      <c r="D137" s="113" t="s">
        <v>130</v>
      </c>
      <c r="E137" s="114" t="s">
        <v>15</v>
      </c>
      <c r="F137" s="115" t="s">
        <v>39</v>
      </c>
      <c r="G137" s="116">
        <v>14.7</v>
      </c>
      <c r="H137" s="125">
        <v>7.5</v>
      </c>
      <c r="I137" s="111">
        <v>1</v>
      </c>
      <c r="J137" s="117">
        <f t="shared" si="84"/>
        <v>0.11025</v>
      </c>
      <c r="K137" s="118"/>
      <c r="L137" s="111">
        <v>1</v>
      </c>
      <c r="M137" s="117">
        <f t="shared" si="85"/>
        <v>0.11025</v>
      </c>
      <c r="N137" s="119">
        <f t="shared" si="86"/>
        <v>0</v>
      </c>
      <c r="O137" s="120">
        <f t="shared" si="88"/>
        <v>0</v>
      </c>
      <c r="P137" s="111"/>
      <c r="Q137" s="32"/>
      <c r="R137" s="182">
        <v>6.5</v>
      </c>
      <c r="S137" s="213">
        <v>1</v>
      </c>
      <c r="T137" s="213" t="s">
        <v>444</v>
      </c>
    </row>
    <row r="138" spans="1:20" ht="15.6">
      <c r="A138" s="110" t="s">
        <v>344</v>
      </c>
      <c r="B138" s="111" t="s">
        <v>232</v>
      </c>
      <c r="C138" s="112" t="s">
        <v>228</v>
      </c>
      <c r="D138" s="113" t="s">
        <v>130</v>
      </c>
      <c r="E138" s="114" t="s">
        <v>15</v>
      </c>
      <c r="F138" s="115" t="s">
        <v>39</v>
      </c>
      <c r="G138" s="116">
        <v>14.7</v>
      </c>
      <c r="H138" s="125">
        <v>10</v>
      </c>
      <c r="I138" s="111">
        <v>1</v>
      </c>
      <c r="J138" s="117">
        <f t="shared" si="84"/>
        <v>0.14699999999999999</v>
      </c>
      <c r="K138" s="118"/>
      <c r="L138" s="111">
        <v>1</v>
      </c>
      <c r="M138" s="117">
        <f t="shared" si="85"/>
        <v>0.14699999999999999</v>
      </c>
      <c r="N138" s="119">
        <f t="shared" si="86"/>
        <v>0</v>
      </c>
      <c r="O138" s="120">
        <f t="shared" si="88"/>
        <v>0</v>
      </c>
      <c r="P138" s="111">
        <v>8.6</v>
      </c>
      <c r="Q138" s="32">
        <v>1</v>
      </c>
      <c r="R138" s="182"/>
    </row>
    <row r="139" spans="1:20" ht="15.6">
      <c r="A139" s="110" t="s">
        <v>344</v>
      </c>
      <c r="B139" s="111" t="s">
        <v>232</v>
      </c>
      <c r="C139" s="112" t="s">
        <v>228</v>
      </c>
      <c r="D139" s="113" t="s">
        <v>130</v>
      </c>
      <c r="E139" s="114" t="s">
        <v>15</v>
      </c>
      <c r="F139" s="115" t="s">
        <v>39</v>
      </c>
      <c r="G139" s="116">
        <v>14.7</v>
      </c>
      <c r="H139" s="125">
        <v>11</v>
      </c>
      <c r="I139" s="111">
        <v>1</v>
      </c>
      <c r="J139" s="117">
        <f t="shared" si="84"/>
        <v>0.16169999999999998</v>
      </c>
      <c r="K139" s="118"/>
      <c r="L139" s="111">
        <v>1</v>
      </c>
      <c r="M139" s="117">
        <f t="shared" si="85"/>
        <v>0.16169999999999998</v>
      </c>
      <c r="N139" s="119">
        <f t="shared" si="86"/>
        <v>0</v>
      </c>
      <c r="O139" s="120">
        <f t="shared" si="88"/>
        <v>0</v>
      </c>
      <c r="P139" s="111">
        <v>8.6</v>
      </c>
      <c r="Q139" s="32">
        <v>1</v>
      </c>
      <c r="R139" s="182"/>
    </row>
    <row r="140" spans="1:20" ht="15.6">
      <c r="A140" s="110" t="s">
        <v>344</v>
      </c>
      <c r="B140" s="111" t="s">
        <v>232</v>
      </c>
      <c r="C140" s="112" t="s">
        <v>228</v>
      </c>
      <c r="D140" s="113" t="s">
        <v>130</v>
      </c>
      <c r="E140" s="114" t="s">
        <v>15</v>
      </c>
      <c r="F140" s="115" t="s">
        <v>39</v>
      </c>
      <c r="G140" s="116">
        <v>14.7</v>
      </c>
      <c r="H140" s="125">
        <v>11.7</v>
      </c>
      <c r="I140" s="111">
        <v>3</v>
      </c>
      <c r="J140" s="117">
        <f t="shared" si="84"/>
        <v>0.51596999999999993</v>
      </c>
      <c r="K140" s="118"/>
      <c r="L140" s="111">
        <v>3</v>
      </c>
      <c r="M140" s="117">
        <f>H140*L140*G140/1000</f>
        <v>0.51596999999999993</v>
      </c>
      <c r="N140" s="119">
        <f t="shared" si="86"/>
        <v>0</v>
      </c>
      <c r="O140" s="120">
        <f>H140*N140*G140/1000</f>
        <v>0</v>
      </c>
      <c r="P140" s="111">
        <v>8.6</v>
      </c>
      <c r="Q140" s="32">
        <v>3</v>
      </c>
      <c r="R140" s="182"/>
    </row>
    <row r="141" spans="1:20" ht="15.6">
      <c r="A141" s="110" t="s">
        <v>344</v>
      </c>
      <c r="B141" s="111" t="s">
        <v>232</v>
      </c>
      <c r="C141" s="112" t="s">
        <v>228</v>
      </c>
      <c r="D141" s="113" t="s">
        <v>130</v>
      </c>
      <c r="E141" s="114" t="s">
        <v>15</v>
      </c>
      <c r="F141" s="115" t="s">
        <v>39</v>
      </c>
      <c r="G141" s="116">
        <v>14.7</v>
      </c>
      <c r="H141" s="125">
        <v>11.9</v>
      </c>
      <c r="I141" s="111">
        <v>3</v>
      </c>
      <c r="J141" s="117">
        <f t="shared" si="84"/>
        <v>0.52478999999999998</v>
      </c>
      <c r="K141" s="118"/>
      <c r="L141" s="111">
        <f>2+1</f>
        <v>3</v>
      </c>
      <c r="M141" s="117">
        <f>H141*L141*G141/1000</f>
        <v>0.52478999999999998</v>
      </c>
      <c r="N141" s="119">
        <f t="shared" si="86"/>
        <v>0</v>
      </c>
      <c r="O141" s="120">
        <f>H141*N141*G141/1000</f>
        <v>0</v>
      </c>
      <c r="P141" s="111"/>
      <c r="Q141" s="32"/>
      <c r="R141" s="182">
        <v>11.7</v>
      </c>
      <c r="S141" s="213">
        <v>1</v>
      </c>
      <c r="T141" s="213" t="s">
        <v>445</v>
      </c>
    </row>
    <row r="142" spans="1:20">
      <c r="A142" s="32"/>
      <c r="B142" s="32"/>
      <c r="C142" s="32"/>
      <c r="D142" s="32"/>
      <c r="E142" s="32"/>
      <c r="F142" s="32"/>
      <c r="G142" s="32"/>
      <c r="H142" s="32"/>
      <c r="I142" s="129">
        <f>SUM(I130:I141)</f>
        <v>240</v>
      </c>
      <c r="J142" s="124">
        <f>SUM(J130:J141)</f>
        <v>40.422060000000002</v>
      </c>
      <c r="K142" s="32"/>
      <c r="L142" s="129">
        <f>SUM(L130:L141)</f>
        <v>240</v>
      </c>
      <c r="M142" s="132">
        <f>SUM(M130:M141)</f>
        <v>40.422060000000009</v>
      </c>
      <c r="N142" s="131">
        <f>SUM(N130:N141)</f>
        <v>0</v>
      </c>
      <c r="O142" s="132">
        <f>SUM(O130:O141)</f>
        <v>0</v>
      </c>
      <c r="P142" s="32"/>
      <c r="Q142" s="32"/>
      <c r="S142" s="131">
        <f>SUM(S130:S141)</f>
        <v>10</v>
      </c>
    </row>
    <row r="143" spans="1:20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</row>
    <row r="144" spans="1:20" ht="15.6">
      <c r="A144" s="110" t="s">
        <v>344</v>
      </c>
      <c r="B144" s="111" t="s">
        <v>232</v>
      </c>
      <c r="C144" s="112" t="s">
        <v>228</v>
      </c>
      <c r="D144" s="113" t="s">
        <v>130</v>
      </c>
      <c r="E144" s="114" t="s">
        <v>15</v>
      </c>
      <c r="F144" s="115" t="s">
        <v>38</v>
      </c>
      <c r="G144" s="116">
        <v>12.9</v>
      </c>
      <c r="H144" s="125">
        <v>8.5</v>
      </c>
      <c r="I144" s="111">
        <v>29</v>
      </c>
      <c r="J144" s="117">
        <f>H144*G144*I144/1000</f>
        <v>3.1798500000000005</v>
      </c>
      <c r="K144" s="118"/>
      <c r="L144" s="111">
        <v>29</v>
      </c>
      <c r="M144" s="117">
        <f t="shared" ref="M144" si="89">H144*L144*G144/1000</f>
        <v>3.1798500000000001</v>
      </c>
      <c r="N144" s="119">
        <f t="shared" ref="N144" si="90">I144-L144</f>
        <v>0</v>
      </c>
      <c r="O144" s="120">
        <f t="shared" ref="O144" si="91">H144*N144*G144/1000</f>
        <v>0</v>
      </c>
      <c r="P144" s="111"/>
      <c r="Q144" s="32"/>
    </row>
    <row r="145" spans="1:17" ht="15.6">
      <c r="A145" s="110" t="s">
        <v>344</v>
      </c>
      <c r="B145" s="111" t="s">
        <v>232</v>
      </c>
      <c r="C145" s="112" t="s">
        <v>228</v>
      </c>
      <c r="D145" s="113" t="s">
        <v>130</v>
      </c>
      <c r="E145" s="114" t="s">
        <v>15</v>
      </c>
      <c r="F145" s="115" t="s">
        <v>38</v>
      </c>
      <c r="G145" s="116">
        <v>12.9</v>
      </c>
      <c r="H145" s="125">
        <v>8.5</v>
      </c>
      <c r="I145" s="111">
        <v>28</v>
      </c>
      <c r="J145" s="117">
        <f t="shared" ref="J145:J158" si="92">H145*G145*I145/1000</f>
        <v>3.0702000000000003</v>
      </c>
      <c r="K145" s="118"/>
      <c r="L145" s="111">
        <f>11+17</f>
        <v>28</v>
      </c>
      <c r="M145" s="117">
        <f t="shared" ref="M145:M158" si="93">H145*L145*G145/1000</f>
        <v>3.0702000000000003</v>
      </c>
      <c r="N145" s="119">
        <f t="shared" ref="N145:N158" si="94">I145-L145</f>
        <v>0</v>
      </c>
      <c r="O145" s="120">
        <f t="shared" ref="O145:O158" si="95">H145*N145*G145/1000</f>
        <v>0</v>
      </c>
      <c r="P145" s="111"/>
      <c r="Q145" s="32"/>
    </row>
    <row r="146" spans="1:17" ht="15.6">
      <c r="A146" s="110" t="s">
        <v>344</v>
      </c>
      <c r="B146" s="111" t="s">
        <v>232</v>
      </c>
      <c r="C146" s="112" t="s">
        <v>228</v>
      </c>
      <c r="D146" s="113" t="s">
        <v>130</v>
      </c>
      <c r="E146" s="114" t="s">
        <v>15</v>
      </c>
      <c r="F146" s="115" t="s">
        <v>38</v>
      </c>
      <c r="G146" s="116">
        <v>12.9</v>
      </c>
      <c r="H146" s="125">
        <v>8.4</v>
      </c>
      <c r="I146" s="111">
        <v>1</v>
      </c>
      <c r="J146" s="117">
        <f t="shared" si="92"/>
        <v>0.10836000000000001</v>
      </c>
      <c r="K146" s="118"/>
      <c r="L146" s="111">
        <v>1</v>
      </c>
      <c r="M146" s="117">
        <f t="shared" si="93"/>
        <v>0.10836000000000001</v>
      </c>
      <c r="N146" s="119">
        <f t="shared" si="94"/>
        <v>0</v>
      </c>
      <c r="O146" s="120">
        <f t="shared" si="95"/>
        <v>0</v>
      </c>
      <c r="P146" s="111"/>
      <c r="Q146" s="32"/>
    </row>
    <row r="147" spans="1:17" ht="15.6">
      <c r="A147" s="110" t="s">
        <v>344</v>
      </c>
      <c r="B147" s="111" t="s">
        <v>232</v>
      </c>
      <c r="C147" s="112" t="s">
        <v>228</v>
      </c>
      <c r="D147" s="113" t="s">
        <v>130</v>
      </c>
      <c r="E147" s="114" t="s">
        <v>15</v>
      </c>
      <c r="F147" s="115" t="s">
        <v>38</v>
      </c>
      <c r="G147" s="116">
        <v>12.9</v>
      </c>
      <c r="H147" s="125">
        <v>10</v>
      </c>
      <c r="I147" s="111">
        <v>16</v>
      </c>
      <c r="J147" s="117">
        <f t="shared" si="92"/>
        <v>2.0640000000000001</v>
      </c>
      <c r="K147" s="118"/>
      <c r="L147" s="111">
        <f>16</f>
        <v>16</v>
      </c>
      <c r="M147" s="117">
        <f t="shared" si="93"/>
        <v>2.0640000000000001</v>
      </c>
      <c r="N147" s="141">
        <f t="shared" si="94"/>
        <v>0</v>
      </c>
      <c r="O147" s="142">
        <f t="shared" si="95"/>
        <v>0</v>
      </c>
      <c r="P147" s="111"/>
      <c r="Q147" s="32"/>
    </row>
    <row r="148" spans="1:17" ht="15.6">
      <c r="A148" s="110" t="s">
        <v>344</v>
      </c>
      <c r="B148" s="111" t="s">
        <v>232</v>
      </c>
      <c r="C148" s="112" t="s">
        <v>228</v>
      </c>
      <c r="D148" s="113" t="s">
        <v>130</v>
      </c>
      <c r="E148" s="114" t="s">
        <v>15</v>
      </c>
      <c r="F148" s="115" t="s">
        <v>38</v>
      </c>
      <c r="G148" s="116">
        <v>12.9</v>
      </c>
      <c r="H148" s="125">
        <v>9.8000000000000007</v>
      </c>
      <c r="I148" s="111">
        <v>2</v>
      </c>
      <c r="J148" s="117">
        <f t="shared" si="92"/>
        <v>0.25284000000000001</v>
      </c>
      <c r="K148" s="118"/>
      <c r="L148" s="111">
        <v>2</v>
      </c>
      <c r="M148" s="117">
        <f t="shared" si="93"/>
        <v>0.25284000000000001</v>
      </c>
      <c r="N148" s="119">
        <f t="shared" si="94"/>
        <v>0</v>
      </c>
      <c r="O148" s="120">
        <f t="shared" si="95"/>
        <v>0</v>
      </c>
      <c r="P148" s="130">
        <v>8.5</v>
      </c>
      <c r="Q148" s="320">
        <v>2</v>
      </c>
    </row>
    <row r="149" spans="1:17" ht="15.6">
      <c r="A149" s="110" t="s">
        <v>344</v>
      </c>
      <c r="B149" s="111" t="s">
        <v>232</v>
      </c>
      <c r="C149" s="112" t="s">
        <v>228</v>
      </c>
      <c r="D149" s="113" t="s">
        <v>130</v>
      </c>
      <c r="E149" s="114" t="s">
        <v>15</v>
      </c>
      <c r="F149" s="115" t="s">
        <v>38</v>
      </c>
      <c r="G149" s="116">
        <v>12.9</v>
      </c>
      <c r="H149" s="125">
        <v>7.5</v>
      </c>
      <c r="I149" s="111">
        <v>3</v>
      </c>
      <c r="J149" s="117">
        <f t="shared" si="92"/>
        <v>0.29025000000000001</v>
      </c>
      <c r="K149" s="118"/>
      <c r="L149" s="111"/>
      <c r="M149" s="117">
        <f t="shared" si="93"/>
        <v>0</v>
      </c>
      <c r="N149" s="119">
        <f t="shared" si="94"/>
        <v>3</v>
      </c>
      <c r="O149" s="120">
        <f t="shared" si="95"/>
        <v>0.29025000000000001</v>
      </c>
      <c r="P149" s="130"/>
      <c r="Q149" s="320"/>
    </row>
    <row r="150" spans="1:17" ht="15.6">
      <c r="A150" s="110" t="s">
        <v>344</v>
      </c>
      <c r="B150" s="111" t="s">
        <v>232</v>
      </c>
      <c r="C150" s="112" t="s">
        <v>228</v>
      </c>
      <c r="D150" s="113" t="s">
        <v>130</v>
      </c>
      <c r="E150" s="114" t="s">
        <v>15</v>
      </c>
      <c r="F150" s="115" t="s">
        <v>38</v>
      </c>
      <c r="G150" s="116">
        <v>12.9</v>
      </c>
      <c r="H150" s="125">
        <v>8.1</v>
      </c>
      <c r="I150" s="111">
        <v>3</v>
      </c>
      <c r="J150" s="117">
        <f t="shared" si="92"/>
        <v>0.31346999999999997</v>
      </c>
      <c r="K150" s="118"/>
      <c r="L150" s="111"/>
      <c r="M150" s="117">
        <f t="shared" si="93"/>
        <v>0</v>
      </c>
      <c r="N150" s="119">
        <f t="shared" si="94"/>
        <v>3</v>
      </c>
      <c r="O150" s="120">
        <f t="shared" si="95"/>
        <v>0.31346999999999997</v>
      </c>
      <c r="P150" s="130"/>
      <c r="Q150" s="320"/>
    </row>
    <row r="151" spans="1:17" ht="15.6">
      <c r="A151" s="110" t="s">
        <v>344</v>
      </c>
      <c r="B151" s="111" t="s">
        <v>232</v>
      </c>
      <c r="C151" s="112" t="s">
        <v>228</v>
      </c>
      <c r="D151" s="113" t="s">
        <v>130</v>
      </c>
      <c r="E151" s="114" t="s">
        <v>15</v>
      </c>
      <c r="F151" s="115" t="s">
        <v>38</v>
      </c>
      <c r="G151" s="116">
        <v>12.9</v>
      </c>
      <c r="H151" s="125">
        <v>10</v>
      </c>
      <c r="I151" s="111">
        <v>23</v>
      </c>
      <c r="J151" s="117">
        <f t="shared" si="92"/>
        <v>2.9670000000000001</v>
      </c>
      <c r="K151" s="118"/>
      <c r="L151" s="111">
        <v>23</v>
      </c>
      <c r="M151" s="117">
        <f t="shared" si="93"/>
        <v>2.9670000000000001</v>
      </c>
      <c r="N151" s="119">
        <f t="shared" si="94"/>
        <v>0</v>
      </c>
      <c r="O151" s="120">
        <f t="shared" si="95"/>
        <v>0</v>
      </c>
      <c r="P151" s="130"/>
      <c r="Q151" s="320"/>
    </row>
    <row r="152" spans="1:17" ht="15.6">
      <c r="A152" s="110" t="s">
        <v>344</v>
      </c>
      <c r="B152" s="111" t="s">
        <v>232</v>
      </c>
      <c r="C152" s="112" t="s">
        <v>228</v>
      </c>
      <c r="D152" s="113" t="s">
        <v>130</v>
      </c>
      <c r="E152" s="114" t="s">
        <v>15</v>
      </c>
      <c r="F152" s="115" t="s">
        <v>38</v>
      </c>
      <c r="G152" s="116">
        <v>12.9</v>
      </c>
      <c r="H152" s="125">
        <v>10</v>
      </c>
      <c r="I152" s="111">
        <v>15</v>
      </c>
      <c r="J152" s="117">
        <f t="shared" si="92"/>
        <v>1.9350000000000001</v>
      </c>
      <c r="K152" s="118"/>
      <c r="L152" s="111">
        <v>15</v>
      </c>
      <c r="M152" s="117">
        <f t="shared" si="93"/>
        <v>1.9350000000000001</v>
      </c>
      <c r="N152" s="119">
        <f t="shared" si="94"/>
        <v>0</v>
      </c>
      <c r="O152" s="120">
        <f t="shared" si="95"/>
        <v>0</v>
      </c>
      <c r="P152" s="130"/>
      <c r="Q152" s="320"/>
    </row>
    <row r="153" spans="1:17" ht="15.6">
      <c r="A153" s="110" t="s">
        <v>344</v>
      </c>
      <c r="B153" s="111" t="s">
        <v>232</v>
      </c>
      <c r="C153" s="112" t="s">
        <v>228</v>
      </c>
      <c r="D153" s="113" t="s">
        <v>130</v>
      </c>
      <c r="E153" s="114" t="s">
        <v>15</v>
      </c>
      <c r="F153" s="115" t="s">
        <v>38</v>
      </c>
      <c r="G153" s="116">
        <v>12.9</v>
      </c>
      <c r="H153" s="125">
        <v>8.5</v>
      </c>
      <c r="I153" s="111">
        <v>14</v>
      </c>
      <c r="J153" s="117">
        <f t="shared" si="92"/>
        <v>1.5351000000000001</v>
      </c>
      <c r="K153" s="118"/>
      <c r="L153" s="111">
        <v>14</v>
      </c>
      <c r="M153" s="117">
        <f t="shared" si="93"/>
        <v>1.5351000000000001</v>
      </c>
      <c r="N153" s="119">
        <f t="shared" si="94"/>
        <v>0</v>
      </c>
      <c r="O153" s="120">
        <f t="shared" si="95"/>
        <v>0</v>
      </c>
      <c r="P153" s="130"/>
      <c r="Q153" s="320"/>
    </row>
    <row r="154" spans="1:17" ht="15.6">
      <c r="A154" s="110" t="s">
        <v>344</v>
      </c>
      <c r="B154" s="111" t="s">
        <v>232</v>
      </c>
      <c r="C154" s="112" t="s">
        <v>228</v>
      </c>
      <c r="D154" s="113" t="s">
        <v>130</v>
      </c>
      <c r="E154" s="114" t="s">
        <v>15</v>
      </c>
      <c r="F154" s="115" t="s">
        <v>38</v>
      </c>
      <c r="G154" s="116">
        <v>12.9</v>
      </c>
      <c r="H154" s="125">
        <v>9.6999999999999993</v>
      </c>
      <c r="I154" s="111">
        <v>7</v>
      </c>
      <c r="J154" s="117">
        <f t="shared" si="92"/>
        <v>0.87590999999999997</v>
      </c>
      <c r="K154" s="118"/>
      <c r="L154" s="111">
        <f>5+2</f>
        <v>7</v>
      </c>
      <c r="M154" s="117">
        <f t="shared" si="93"/>
        <v>0.87590999999999997</v>
      </c>
      <c r="N154" s="119">
        <f t="shared" si="94"/>
        <v>0</v>
      </c>
      <c r="O154" s="120">
        <f t="shared" si="95"/>
        <v>0</v>
      </c>
      <c r="P154" s="130">
        <v>8.5</v>
      </c>
      <c r="Q154" s="320">
        <v>7</v>
      </c>
    </row>
    <row r="155" spans="1:17" ht="15.6">
      <c r="A155" s="110" t="s">
        <v>344</v>
      </c>
      <c r="B155" s="111" t="s">
        <v>232</v>
      </c>
      <c r="C155" s="112" t="s">
        <v>228</v>
      </c>
      <c r="D155" s="113" t="s">
        <v>130</v>
      </c>
      <c r="E155" s="114" t="s">
        <v>15</v>
      </c>
      <c r="F155" s="115" t="s">
        <v>38</v>
      </c>
      <c r="G155" s="116">
        <v>12.9</v>
      </c>
      <c r="H155" s="125">
        <v>9.5</v>
      </c>
      <c r="I155" s="111">
        <v>1</v>
      </c>
      <c r="J155" s="117">
        <f t="shared" si="92"/>
        <v>0.12254999999999999</v>
      </c>
      <c r="K155" s="118"/>
      <c r="L155" s="111">
        <v>1</v>
      </c>
      <c r="M155" s="117">
        <f t="shared" si="93"/>
        <v>0.12254999999999999</v>
      </c>
      <c r="N155" s="119">
        <f t="shared" si="94"/>
        <v>0</v>
      </c>
      <c r="O155" s="120">
        <f t="shared" si="95"/>
        <v>0</v>
      </c>
      <c r="P155" s="130">
        <v>8.5</v>
      </c>
      <c r="Q155" s="320">
        <v>1</v>
      </c>
    </row>
    <row r="156" spans="1:17" ht="15.6">
      <c r="A156" s="110" t="s">
        <v>344</v>
      </c>
      <c r="B156" s="111" t="s">
        <v>232</v>
      </c>
      <c r="C156" s="112" t="s">
        <v>228</v>
      </c>
      <c r="D156" s="113" t="s">
        <v>130</v>
      </c>
      <c r="E156" s="114" t="s">
        <v>15</v>
      </c>
      <c r="F156" s="115" t="s">
        <v>38</v>
      </c>
      <c r="G156" s="116">
        <v>12.9</v>
      </c>
      <c r="H156" s="125">
        <v>8.3000000000000007</v>
      </c>
      <c r="I156" s="111">
        <v>1</v>
      </c>
      <c r="J156" s="117">
        <f t="shared" si="92"/>
        <v>0.10707000000000001</v>
      </c>
      <c r="K156" s="118"/>
      <c r="L156" s="111"/>
      <c r="M156" s="117">
        <f t="shared" si="93"/>
        <v>0</v>
      </c>
      <c r="N156" s="119">
        <f t="shared" si="94"/>
        <v>1</v>
      </c>
      <c r="O156" s="120">
        <f t="shared" si="95"/>
        <v>0.10707000000000001</v>
      </c>
      <c r="P156" s="130"/>
      <c r="Q156" s="320"/>
    </row>
    <row r="157" spans="1:17" ht="15.6">
      <c r="A157" s="110" t="s">
        <v>344</v>
      </c>
      <c r="B157" s="111" t="s">
        <v>232</v>
      </c>
      <c r="C157" s="112" t="s">
        <v>228</v>
      </c>
      <c r="D157" s="113" t="s">
        <v>130</v>
      </c>
      <c r="E157" s="114" t="s">
        <v>15</v>
      </c>
      <c r="F157" s="115" t="s">
        <v>38</v>
      </c>
      <c r="G157" s="116">
        <v>12.9</v>
      </c>
      <c r="H157" s="125">
        <v>11.7</v>
      </c>
      <c r="I157" s="111">
        <v>1</v>
      </c>
      <c r="J157" s="117">
        <f t="shared" si="92"/>
        <v>0.15093000000000001</v>
      </c>
      <c r="K157" s="118"/>
      <c r="L157" s="111">
        <v>1</v>
      </c>
      <c r="M157" s="117">
        <f t="shared" si="93"/>
        <v>0.15093000000000001</v>
      </c>
      <c r="N157" s="119">
        <f t="shared" si="94"/>
        <v>0</v>
      </c>
      <c r="O157" s="120">
        <f t="shared" si="95"/>
        <v>0</v>
      </c>
      <c r="P157" s="130">
        <v>10</v>
      </c>
      <c r="Q157" s="320">
        <v>1</v>
      </c>
    </row>
    <row r="158" spans="1:17" ht="15.6">
      <c r="A158" s="110" t="s">
        <v>344</v>
      </c>
      <c r="B158" s="111" t="s">
        <v>232</v>
      </c>
      <c r="C158" s="112" t="s">
        <v>228</v>
      </c>
      <c r="D158" s="113" t="s">
        <v>130</v>
      </c>
      <c r="E158" s="114" t="s">
        <v>15</v>
      </c>
      <c r="F158" s="115" t="s">
        <v>38</v>
      </c>
      <c r="G158" s="116">
        <v>12.9</v>
      </c>
      <c r="H158" s="125">
        <v>10</v>
      </c>
      <c r="I158" s="111">
        <v>1</v>
      </c>
      <c r="J158" s="117">
        <f t="shared" si="92"/>
        <v>0.129</v>
      </c>
      <c r="K158" s="118"/>
      <c r="L158" s="111">
        <v>1</v>
      </c>
      <c r="M158" s="117">
        <f t="shared" si="93"/>
        <v>0.129</v>
      </c>
      <c r="N158" s="119">
        <f t="shared" si="94"/>
        <v>0</v>
      </c>
      <c r="O158" s="120">
        <f t="shared" si="95"/>
        <v>0</v>
      </c>
      <c r="P158" s="130"/>
      <c r="Q158" s="320"/>
    </row>
    <row r="159" spans="1:17" ht="15.6">
      <c r="A159" s="110" t="s">
        <v>344</v>
      </c>
      <c r="B159" s="111" t="s">
        <v>232</v>
      </c>
      <c r="C159" s="112" t="s">
        <v>228</v>
      </c>
      <c r="D159" s="113" t="s">
        <v>130</v>
      </c>
      <c r="E159" s="114" t="s">
        <v>15</v>
      </c>
      <c r="F159" s="115" t="s">
        <v>38</v>
      </c>
      <c r="G159" s="116">
        <v>12.9</v>
      </c>
      <c r="H159" s="125">
        <v>8.5</v>
      </c>
      <c r="I159" s="111">
        <v>20</v>
      </c>
      <c r="J159" s="117">
        <f t="shared" ref="J159:J168" si="96">H159*G159*I159/1000</f>
        <v>2.1930000000000001</v>
      </c>
      <c r="K159" s="118"/>
      <c r="L159" s="111">
        <v>20</v>
      </c>
      <c r="M159" s="117">
        <f t="shared" ref="M159:M168" si="97">H159*L159*G159/1000</f>
        <v>2.1930000000000001</v>
      </c>
      <c r="N159" s="119">
        <f t="shared" ref="N159:N168" si="98">I159-L159</f>
        <v>0</v>
      </c>
      <c r="O159" s="120">
        <f t="shared" ref="O159:O168" si="99">H159*N159*G159/1000</f>
        <v>0</v>
      </c>
      <c r="P159" s="130"/>
      <c r="Q159" s="320"/>
    </row>
    <row r="160" spans="1:17" ht="15.6">
      <c r="A160" s="110" t="s">
        <v>344</v>
      </c>
      <c r="B160" s="111" t="s">
        <v>232</v>
      </c>
      <c r="C160" s="112" t="s">
        <v>228</v>
      </c>
      <c r="D160" s="113" t="s">
        <v>130</v>
      </c>
      <c r="E160" s="114" t="s">
        <v>15</v>
      </c>
      <c r="F160" s="115" t="s">
        <v>38</v>
      </c>
      <c r="G160" s="116">
        <v>12.9</v>
      </c>
      <c r="H160" s="125">
        <v>8.5</v>
      </c>
      <c r="I160" s="111">
        <v>20</v>
      </c>
      <c r="J160" s="117">
        <f t="shared" si="96"/>
        <v>2.1930000000000001</v>
      </c>
      <c r="K160" s="118"/>
      <c r="L160" s="111">
        <v>20</v>
      </c>
      <c r="M160" s="117">
        <f t="shared" si="97"/>
        <v>2.1930000000000001</v>
      </c>
      <c r="N160" s="119">
        <f t="shared" si="98"/>
        <v>0</v>
      </c>
      <c r="O160" s="120">
        <f t="shared" si="99"/>
        <v>0</v>
      </c>
      <c r="P160" s="130"/>
      <c r="Q160" s="320"/>
    </row>
    <row r="161" spans="1:18" ht="15.6">
      <c r="A161" s="110" t="s">
        <v>344</v>
      </c>
      <c r="B161" s="111" t="s">
        <v>232</v>
      </c>
      <c r="C161" s="112" t="s">
        <v>228</v>
      </c>
      <c r="D161" s="113" t="s">
        <v>130</v>
      </c>
      <c r="E161" s="114" t="s">
        <v>15</v>
      </c>
      <c r="F161" s="115" t="s">
        <v>38</v>
      </c>
      <c r="G161" s="116">
        <v>12.9</v>
      </c>
      <c r="H161" s="125">
        <v>8.5</v>
      </c>
      <c r="I161" s="111">
        <v>4</v>
      </c>
      <c r="J161" s="117">
        <f t="shared" si="96"/>
        <v>0.43860000000000005</v>
      </c>
      <c r="K161" s="118"/>
      <c r="L161" s="111">
        <v>4</v>
      </c>
      <c r="M161" s="117">
        <f t="shared" si="97"/>
        <v>0.43860000000000005</v>
      </c>
      <c r="N161" s="119">
        <f t="shared" si="98"/>
        <v>0</v>
      </c>
      <c r="O161" s="120">
        <f t="shared" si="99"/>
        <v>0</v>
      </c>
      <c r="P161" s="130"/>
      <c r="Q161" s="320"/>
    </row>
    <row r="162" spans="1:18" ht="15.6">
      <c r="A162" s="110" t="s">
        <v>344</v>
      </c>
      <c r="B162" s="111" t="s">
        <v>232</v>
      </c>
      <c r="C162" s="112" t="s">
        <v>228</v>
      </c>
      <c r="D162" s="113" t="s">
        <v>130</v>
      </c>
      <c r="E162" s="114" t="s">
        <v>15</v>
      </c>
      <c r="F162" s="115" t="s">
        <v>38</v>
      </c>
      <c r="G162" s="116">
        <v>12.9</v>
      </c>
      <c r="H162" s="125">
        <v>10</v>
      </c>
      <c r="I162" s="111">
        <v>4</v>
      </c>
      <c r="J162" s="117">
        <f t="shared" si="96"/>
        <v>0.51600000000000001</v>
      </c>
      <c r="K162" s="118"/>
      <c r="L162" s="111">
        <v>4</v>
      </c>
      <c r="M162" s="117">
        <f t="shared" si="97"/>
        <v>0.51600000000000001</v>
      </c>
      <c r="N162" s="119">
        <f t="shared" si="98"/>
        <v>0</v>
      </c>
      <c r="O162" s="120">
        <f t="shared" si="99"/>
        <v>0</v>
      </c>
      <c r="P162" s="130"/>
      <c r="Q162" s="320"/>
    </row>
    <row r="163" spans="1:18" ht="15.6">
      <c r="A163" s="110" t="s">
        <v>344</v>
      </c>
      <c r="B163" s="111" t="s">
        <v>232</v>
      </c>
      <c r="C163" s="112" t="s">
        <v>228</v>
      </c>
      <c r="D163" s="113" t="s">
        <v>130</v>
      </c>
      <c r="E163" s="114" t="s">
        <v>15</v>
      </c>
      <c r="F163" s="115" t="s">
        <v>38</v>
      </c>
      <c r="G163" s="116">
        <v>12.9</v>
      </c>
      <c r="H163" s="125">
        <v>7.1</v>
      </c>
      <c r="I163" s="111">
        <v>1</v>
      </c>
      <c r="J163" s="117">
        <f t="shared" si="96"/>
        <v>9.1590000000000005E-2</v>
      </c>
      <c r="K163" s="118"/>
      <c r="L163" s="111"/>
      <c r="M163" s="117">
        <f t="shared" si="97"/>
        <v>0</v>
      </c>
      <c r="N163" s="119">
        <f t="shared" si="98"/>
        <v>1</v>
      </c>
      <c r="O163" s="120">
        <f t="shared" si="99"/>
        <v>9.1590000000000005E-2</v>
      </c>
      <c r="P163" s="130"/>
      <c r="Q163" s="320"/>
    </row>
    <row r="164" spans="1:18" ht="15.6">
      <c r="A164" s="110" t="s">
        <v>344</v>
      </c>
      <c r="B164" s="111" t="s">
        <v>232</v>
      </c>
      <c r="C164" s="112" t="s">
        <v>228</v>
      </c>
      <c r="D164" s="113" t="s">
        <v>130</v>
      </c>
      <c r="E164" s="114" t="s">
        <v>15</v>
      </c>
      <c r="F164" s="115" t="s">
        <v>38</v>
      </c>
      <c r="G164" s="116">
        <v>12.9</v>
      </c>
      <c r="H164" s="125">
        <v>7.5</v>
      </c>
      <c r="I164" s="111">
        <v>1</v>
      </c>
      <c r="J164" s="117">
        <f t="shared" si="96"/>
        <v>9.6750000000000003E-2</v>
      </c>
      <c r="K164" s="118"/>
      <c r="L164" s="111"/>
      <c r="M164" s="117">
        <f t="shared" si="97"/>
        <v>0</v>
      </c>
      <c r="N164" s="119">
        <f t="shared" si="98"/>
        <v>1</v>
      </c>
      <c r="O164" s="120">
        <f t="shared" si="99"/>
        <v>9.6750000000000003E-2</v>
      </c>
      <c r="P164" s="130"/>
      <c r="Q164" s="320"/>
    </row>
    <row r="165" spans="1:18" ht="15.6">
      <c r="A165" s="110" t="s">
        <v>344</v>
      </c>
      <c r="B165" s="111" t="s">
        <v>232</v>
      </c>
      <c r="C165" s="112" t="s">
        <v>228</v>
      </c>
      <c r="D165" s="113" t="s">
        <v>130</v>
      </c>
      <c r="E165" s="114" t="s">
        <v>15</v>
      </c>
      <c r="F165" s="115" t="s">
        <v>38</v>
      </c>
      <c r="G165" s="116">
        <v>12.9</v>
      </c>
      <c r="H165" s="125">
        <v>8</v>
      </c>
      <c r="I165" s="111">
        <v>2</v>
      </c>
      <c r="J165" s="117">
        <f t="shared" si="96"/>
        <v>0.2064</v>
      </c>
      <c r="K165" s="118"/>
      <c r="L165" s="111"/>
      <c r="M165" s="117">
        <f t="shared" si="97"/>
        <v>0</v>
      </c>
      <c r="N165" s="119">
        <f t="shared" si="98"/>
        <v>2</v>
      </c>
      <c r="O165" s="120">
        <f t="shared" si="99"/>
        <v>0.2064</v>
      </c>
      <c r="P165" s="130"/>
      <c r="Q165" s="320"/>
    </row>
    <row r="166" spans="1:18" ht="15.6">
      <c r="A166" s="110" t="s">
        <v>344</v>
      </c>
      <c r="B166" s="111" t="s">
        <v>232</v>
      </c>
      <c r="C166" s="112" t="s">
        <v>228</v>
      </c>
      <c r="D166" s="113" t="s">
        <v>130</v>
      </c>
      <c r="E166" s="114" t="s">
        <v>15</v>
      </c>
      <c r="F166" s="115" t="s">
        <v>38</v>
      </c>
      <c r="G166" s="116">
        <v>12.9</v>
      </c>
      <c r="H166" s="125">
        <v>8.1999999999999993</v>
      </c>
      <c r="I166" s="111">
        <v>1</v>
      </c>
      <c r="J166" s="117">
        <f t="shared" si="96"/>
        <v>0.10577999999999999</v>
      </c>
      <c r="K166" s="118"/>
      <c r="L166" s="111"/>
      <c r="M166" s="117">
        <f t="shared" si="97"/>
        <v>0</v>
      </c>
      <c r="N166" s="119">
        <f t="shared" si="98"/>
        <v>1</v>
      </c>
      <c r="O166" s="120">
        <f t="shared" si="99"/>
        <v>0.10577999999999999</v>
      </c>
      <c r="P166" s="130"/>
      <c r="Q166" s="320"/>
    </row>
    <row r="167" spans="1:18" ht="15.6">
      <c r="A167" s="110" t="s">
        <v>344</v>
      </c>
      <c r="B167" s="111" t="s">
        <v>232</v>
      </c>
      <c r="C167" s="112" t="s">
        <v>228</v>
      </c>
      <c r="D167" s="113" t="s">
        <v>130</v>
      </c>
      <c r="E167" s="114" t="s">
        <v>15</v>
      </c>
      <c r="F167" s="115" t="s">
        <v>38</v>
      </c>
      <c r="G167" s="116">
        <v>12.9</v>
      </c>
      <c r="H167" s="125">
        <v>9.4</v>
      </c>
      <c r="I167" s="111">
        <v>1</v>
      </c>
      <c r="J167" s="117">
        <f t="shared" si="96"/>
        <v>0.12126000000000001</v>
      </c>
      <c r="K167" s="118"/>
      <c r="L167" s="111">
        <v>1</v>
      </c>
      <c r="M167" s="117">
        <f t="shared" si="97"/>
        <v>0.12126000000000001</v>
      </c>
      <c r="N167" s="119">
        <f t="shared" si="98"/>
        <v>0</v>
      </c>
      <c r="O167" s="120">
        <f t="shared" si="99"/>
        <v>0</v>
      </c>
      <c r="P167" s="130">
        <v>8.5</v>
      </c>
      <c r="Q167" s="320">
        <v>1</v>
      </c>
    </row>
    <row r="168" spans="1:18" ht="15.6">
      <c r="A168" s="110" t="s">
        <v>344</v>
      </c>
      <c r="B168" s="111" t="s">
        <v>232</v>
      </c>
      <c r="C168" s="112" t="s">
        <v>228</v>
      </c>
      <c r="D168" s="113" t="s">
        <v>130</v>
      </c>
      <c r="E168" s="114" t="s">
        <v>15</v>
      </c>
      <c r="F168" s="115" t="s">
        <v>38</v>
      </c>
      <c r="G168" s="116">
        <v>12.9</v>
      </c>
      <c r="H168" s="125">
        <v>12</v>
      </c>
      <c r="I168" s="222">
        <v>1</v>
      </c>
      <c r="J168" s="117">
        <f t="shared" si="96"/>
        <v>0.15480000000000002</v>
      </c>
      <c r="K168" s="118"/>
      <c r="L168" s="111">
        <v>1</v>
      </c>
      <c r="M168" s="117">
        <f t="shared" si="97"/>
        <v>0.15480000000000002</v>
      </c>
      <c r="N168" s="119">
        <f t="shared" si="98"/>
        <v>0</v>
      </c>
      <c r="O168" s="120">
        <f t="shared" si="99"/>
        <v>0</v>
      </c>
      <c r="P168" s="130">
        <v>10</v>
      </c>
      <c r="Q168" s="320">
        <v>1</v>
      </c>
    </row>
    <row r="169" spans="1:18">
      <c r="A169" s="32"/>
      <c r="B169" s="32"/>
      <c r="C169" s="32"/>
      <c r="D169" s="32"/>
      <c r="E169" s="32"/>
      <c r="F169" s="32"/>
      <c r="G169" s="32"/>
      <c r="H169" s="32"/>
      <c r="I169" s="123">
        <f>SUM(I144:I168)</f>
        <v>200</v>
      </c>
      <c r="J169" s="124">
        <f>SUM(J144:J168)</f>
        <v>23.218710000000005</v>
      </c>
      <c r="K169" s="32"/>
      <c r="L169" s="123">
        <f>SUM(L144:L168)</f>
        <v>188</v>
      </c>
      <c r="M169" s="124">
        <f>SUM(M144:M168)</f>
        <v>22.007400000000004</v>
      </c>
      <c r="N169" s="131">
        <f>SUM(N144:N168)</f>
        <v>12</v>
      </c>
      <c r="O169" s="132">
        <f>SUM(O144:O168)</f>
        <v>1.2113100000000001</v>
      </c>
      <c r="P169" s="32"/>
      <c r="Q169" s="32"/>
    </row>
    <row r="170" spans="1:18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</row>
    <row r="171" spans="1:18" ht="15.6">
      <c r="A171" s="110" t="s">
        <v>344</v>
      </c>
      <c r="B171" s="111" t="s">
        <v>232</v>
      </c>
      <c r="C171" s="112" t="s">
        <v>228</v>
      </c>
      <c r="D171" s="113" t="s">
        <v>17</v>
      </c>
      <c r="E171" s="114" t="s">
        <v>15</v>
      </c>
      <c r="F171" s="115" t="s">
        <v>39</v>
      </c>
      <c r="G171" s="116">
        <v>14.7</v>
      </c>
      <c r="H171" s="125">
        <v>6.25</v>
      </c>
      <c r="I171" s="111">
        <v>5</v>
      </c>
      <c r="J171" s="117">
        <f t="shared" ref="J171:J173" si="100">H171*G171*I171/1000</f>
        <v>0.45937499999999998</v>
      </c>
      <c r="K171" s="118"/>
      <c r="L171" s="111">
        <v>5</v>
      </c>
      <c r="M171" s="117">
        <f t="shared" ref="M171:M173" si="101">H171*L171*G171/1000</f>
        <v>0.45937499999999998</v>
      </c>
      <c r="N171" s="119">
        <f t="shared" ref="N171" si="102">I171-L171</f>
        <v>0</v>
      </c>
      <c r="O171" s="120">
        <f>H171*N171*G171/1000</f>
        <v>0</v>
      </c>
      <c r="P171" s="111"/>
      <c r="Q171" s="32"/>
    </row>
    <row r="172" spans="1:18" ht="15.6">
      <c r="A172" s="110" t="s">
        <v>344</v>
      </c>
      <c r="B172" s="111" t="s">
        <v>232</v>
      </c>
      <c r="C172" s="112" t="s">
        <v>228</v>
      </c>
      <c r="D172" s="113" t="s">
        <v>17</v>
      </c>
      <c r="E172" s="114" t="s">
        <v>15</v>
      </c>
      <c r="F172" s="115" t="s">
        <v>39</v>
      </c>
      <c r="G172" s="116">
        <v>14.7</v>
      </c>
      <c r="H172" s="125">
        <v>6.5</v>
      </c>
      <c r="I172" s="111">
        <v>5</v>
      </c>
      <c r="J172" s="117">
        <f t="shared" si="100"/>
        <v>0.47775000000000001</v>
      </c>
      <c r="K172" s="118"/>
      <c r="L172" s="111">
        <v>5</v>
      </c>
      <c r="M172" s="117">
        <f t="shared" si="101"/>
        <v>0.47775000000000001</v>
      </c>
      <c r="N172" s="119">
        <f>I172-L172</f>
        <v>0</v>
      </c>
      <c r="O172" s="120">
        <f>H172*N172*G172/1000</f>
        <v>0</v>
      </c>
      <c r="P172" s="111">
        <v>6.5</v>
      </c>
      <c r="Q172" s="32">
        <v>5</v>
      </c>
      <c r="R172" s="213" t="s">
        <v>444</v>
      </c>
    </row>
    <row r="173" spans="1:18" ht="15.6">
      <c r="A173" s="110" t="s">
        <v>344</v>
      </c>
      <c r="B173" s="111" t="s">
        <v>232</v>
      </c>
      <c r="C173" s="112" t="s">
        <v>228</v>
      </c>
      <c r="D173" s="113" t="s">
        <v>17</v>
      </c>
      <c r="E173" s="114" t="s">
        <v>15</v>
      </c>
      <c r="F173" s="115" t="s">
        <v>39</v>
      </c>
      <c r="G173" s="116">
        <v>14.7</v>
      </c>
      <c r="H173" s="125">
        <v>12</v>
      </c>
      <c r="I173" s="111">
        <v>20</v>
      </c>
      <c r="J173" s="117">
        <f t="shared" si="100"/>
        <v>3.5279999999999996</v>
      </c>
      <c r="K173" s="118"/>
      <c r="L173" s="111">
        <v>20</v>
      </c>
      <c r="M173" s="117">
        <f t="shared" si="101"/>
        <v>3.528</v>
      </c>
      <c r="N173" s="119">
        <f>I173-L173</f>
        <v>0</v>
      </c>
      <c r="O173" s="120">
        <f>H173*N173*G173/1000</f>
        <v>0</v>
      </c>
      <c r="P173" s="111">
        <v>12</v>
      </c>
      <c r="Q173" s="32" t="s">
        <v>440</v>
      </c>
    </row>
    <row r="174" spans="1:18">
      <c r="A174" s="32"/>
      <c r="B174" s="32"/>
      <c r="C174" s="32"/>
      <c r="D174" s="32"/>
      <c r="E174" s="32"/>
      <c r="F174" s="32"/>
      <c r="G174" s="32"/>
      <c r="H174" s="32"/>
      <c r="I174" s="129">
        <f>SUM(I171:I173)</f>
        <v>30</v>
      </c>
      <c r="J174" s="132">
        <f>SUM(J171:J173)</f>
        <v>4.4651249999999996</v>
      </c>
      <c r="K174" s="32"/>
      <c r="L174" s="129">
        <f>SUM(L171:L173)</f>
        <v>30</v>
      </c>
      <c r="M174" s="132">
        <f>SUM(M171:M173)</f>
        <v>4.4651250000000005</v>
      </c>
      <c r="N174" s="131">
        <f>SUM(N171:N173)</f>
        <v>0</v>
      </c>
      <c r="O174" s="132">
        <f>SUM(O171:O173)</f>
        <v>0</v>
      </c>
      <c r="P174" s="32"/>
      <c r="Q174" s="32"/>
    </row>
    <row r="175" spans="1:18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</row>
    <row r="176" spans="1:18" ht="15.6">
      <c r="A176" s="110" t="s">
        <v>344</v>
      </c>
      <c r="B176" s="111" t="s">
        <v>232</v>
      </c>
      <c r="C176" s="112" t="s">
        <v>228</v>
      </c>
      <c r="D176" s="113" t="s">
        <v>17</v>
      </c>
      <c r="E176" s="114" t="s">
        <v>15</v>
      </c>
      <c r="F176" s="115" t="s">
        <v>40</v>
      </c>
      <c r="G176" s="116">
        <v>16.5</v>
      </c>
      <c r="H176" s="125">
        <v>8.8000000000000007</v>
      </c>
      <c r="I176" s="111">
        <v>21</v>
      </c>
      <c r="J176" s="117">
        <f t="shared" ref="J176:J178" si="103">H176*G176*I176/1000</f>
        <v>3.0492000000000004</v>
      </c>
      <c r="K176" s="118"/>
      <c r="L176" s="111">
        <v>21</v>
      </c>
      <c r="M176" s="117">
        <f t="shared" ref="M176:M178" si="104">H176*L176*G176/1000</f>
        <v>3.0492000000000004</v>
      </c>
      <c r="N176" s="119">
        <f t="shared" ref="N176" si="105">I176-L176</f>
        <v>0</v>
      </c>
      <c r="O176" s="120">
        <f>H176*N176*G176/1000</f>
        <v>0</v>
      </c>
      <c r="P176" s="111"/>
      <c r="Q176" s="32"/>
    </row>
    <row r="177" spans="1:19" ht="15.6">
      <c r="A177" s="110" t="s">
        <v>344</v>
      </c>
      <c r="B177" s="111" t="s">
        <v>232</v>
      </c>
      <c r="C177" s="112" t="s">
        <v>228</v>
      </c>
      <c r="D177" s="113" t="s">
        <v>17</v>
      </c>
      <c r="E177" s="114" t="s">
        <v>15</v>
      </c>
      <c r="F177" s="115" t="s">
        <v>40</v>
      </c>
      <c r="G177" s="116">
        <v>16.5</v>
      </c>
      <c r="H177" s="125">
        <v>7.6</v>
      </c>
      <c r="I177" s="111">
        <v>20</v>
      </c>
      <c r="J177" s="117">
        <f t="shared" si="103"/>
        <v>2.508</v>
      </c>
      <c r="K177" s="118"/>
      <c r="L177" s="111">
        <f>18+2</f>
        <v>20</v>
      </c>
      <c r="M177" s="117">
        <f t="shared" si="104"/>
        <v>2.508</v>
      </c>
      <c r="N177" s="119">
        <f>I177-L177</f>
        <v>0</v>
      </c>
      <c r="O177" s="120">
        <f>H177*N177*G177/1000</f>
        <v>0</v>
      </c>
      <c r="P177" s="32">
        <v>7.4</v>
      </c>
      <c r="Q177" s="32">
        <v>2</v>
      </c>
      <c r="R177" s="213" t="s">
        <v>359</v>
      </c>
    </row>
    <row r="178" spans="1:19" ht="15.6">
      <c r="A178" s="110" t="s">
        <v>344</v>
      </c>
      <c r="B178" s="111" t="s">
        <v>232</v>
      </c>
      <c r="C178" s="112" t="s">
        <v>228</v>
      </c>
      <c r="D178" s="113" t="s">
        <v>17</v>
      </c>
      <c r="E178" s="114" t="s">
        <v>15</v>
      </c>
      <c r="F178" s="115" t="s">
        <v>40</v>
      </c>
      <c r="G178" s="116">
        <v>16.5</v>
      </c>
      <c r="H178" s="125">
        <v>8.8000000000000007</v>
      </c>
      <c r="I178" s="111">
        <v>3</v>
      </c>
      <c r="J178" s="117">
        <f t="shared" si="103"/>
        <v>0.43560000000000004</v>
      </c>
      <c r="K178" s="118"/>
      <c r="L178" s="111">
        <v>3</v>
      </c>
      <c r="M178" s="117">
        <f t="shared" si="104"/>
        <v>0.43560000000000004</v>
      </c>
      <c r="N178" s="119">
        <f>I178-L178</f>
        <v>0</v>
      </c>
      <c r="O178" s="120">
        <f>H178*N178*G178/1000</f>
        <v>0</v>
      </c>
      <c r="P178" s="55">
        <v>5.665</v>
      </c>
      <c r="Q178" s="32">
        <v>3</v>
      </c>
      <c r="R178" s="111" t="s">
        <v>553</v>
      </c>
    </row>
    <row r="179" spans="1:19">
      <c r="A179" s="32"/>
      <c r="B179" s="32"/>
      <c r="C179" s="32"/>
      <c r="D179" s="32"/>
      <c r="E179" s="32"/>
      <c r="F179" s="32"/>
      <c r="G179" s="32"/>
      <c r="H179" s="32"/>
      <c r="I179" s="129">
        <f>SUM(I176:I178)</f>
        <v>44</v>
      </c>
      <c r="J179" s="132">
        <f>SUM(J176:J178)</f>
        <v>5.9927999999999999</v>
      </c>
      <c r="K179" s="32"/>
      <c r="L179" s="129">
        <f>SUM(L176:L178)</f>
        <v>44</v>
      </c>
      <c r="M179" s="132">
        <f>SUM(M176:M178)</f>
        <v>5.9927999999999999</v>
      </c>
      <c r="N179" s="131">
        <f>SUM(N176:N178)</f>
        <v>0</v>
      </c>
      <c r="O179" s="132">
        <f>SUM(O176:O178)</f>
        <v>0</v>
      </c>
      <c r="P179" s="32"/>
      <c r="Q179" s="32"/>
    </row>
    <row r="180" spans="1:19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</row>
    <row r="181" spans="1:19" ht="15.6">
      <c r="A181" s="110" t="s">
        <v>344</v>
      </c>
      <c r="B181" s="111" t="s">
        <v>232</v>
      </c>
      <c r="C181" s="112" t="s">
        <v>228</v>
      </c>
      <c r="D181" s="113" t="s">
        <v>17</v>
      </c>
      <c r="E181" s="114" t="s">
        <v>15</v>
      </c>
      <c r="F181" s="115" t="s">
        <v>172</v>
      </c>
      <c r="G181" s="116">
        <v>21.57</v>
      </c>
      <c r="H181" s="125">
        <v>8.1999999999999993</v>
      </c>
      <c r="I181" s="111">
        <v>15</v>
      </c>
      <c r="J181" s="117">
        <f t="shared" ref="J181:J184" si="106">H181*G181*I181/1000</f>
        <v>2.6531100000000003</v>
      </c>
      <c r="K181" s="118"/>
      <c r="L181" s="111">
        <v>15</v>
      </c>
      <c r="M181" s="117">
        <f t="shared" ref="M181:M184" si="107">H181*L181*G181/1000</f>
        <v>2.6531099999999999</v>
      </c>
      <c r="N181" s="119">
        <f t="shared" ref="N181" si="108">I181-L181</f>
        <v>0</v>
      </c>
      <c r="O181" s="120">
        <f>H181*N181*G181/1000</f>
        <v>0</v>
      </c>
      <c r="P181" s="111"/>
      <c r="Q181" s="32"/>
    </row>
    <row r="182" spans="1:19" ht="15.6">
      <c r="A182" s="110" t="s">
        <v>344</v>
      </c>
      <c r="B182" s="111" t="s">
        <v>232</v>
      </c>
      <c r="C182" s="112" t="s">
        <v>228</v>
      </c>
      <c r="D182" s="113" t="s">
        <v>17</v>
      </c>
      <c r="E182" s="114" t="s">
        <v>15</v>
      </c>
      <c r="F182" s="115" t="s">
        <v>172</v>
      </c>
      <c r="G182" s="116">
        <v>21.57</v>
      </c>
      <c r="H182" s="125">
        <v>8.1999999999999993</v>
      </c>
      <c r="I182" s="111">
        <v>6</v>
      </c>
      <c r="J182" s="117">
        <f t="shared" si="106"/>
        <v>1.0612439999999999</v>
      </c>
      <c r="K182" s="118"/>
      <c r="L182" s="111">
        <v>6</v>
      </c>
      <c r="M182" s="117">
        <f t="shared" si="107"/>
        <v>1.0612439999999999</v>
      </c>
      <c r="N182" s="119">
        <f>I182-L182</f>
        <v>0</v>
      </c>
      <c r="O182" s="120">
        <f>H182*N182*G182/1000</f>
        <v>0</v>
      </c>
      <c r="P182" s="111"/>
      <c r="Q182" s="32"/>
    </row>
    <row r="183" spans="1:19" ht="15.6">
      <c r="A183" s="110" t="s">
        <v>344</v>
      </c>
      <c r="B183" s="111" t="s">
        <v>232</v>
      </c>
      <c r="C183" s="112" t="s">
        <v>228</v>
      </c>
      <c r="D183" s="113" t="s">
        <v>17</v>
      </c>
      <c r="E183" s="114" t="s">
        <v>15</v>
      </c>
      <c r="F183" s="115" t="s">
        <v>172</v>
      </c>
      <c r="G183" s="116">
        <v>21.57</v>
      </c>
      <c r="H183" s="125">
        <v>12</v>
      </c>
      <c r="I183" s="111">
        <v>4</v>
      </c>
      <c r="J183" s="117">
        <f t="shared" si="106"/>
        <v>1.0353600000000001</v>
      </c>
      <c r="K183" s="118"/>
      <c r="L183" s="111"/>
      <c r="M183" s="117">
        <f t="shared" si="107"/>
        <v>0</v>
      </c>
      <c r="N183" s="119">
        <f>I183-L183</f>
        <v>4</v>
      </c>
      <c r="O183" s="120">
        <f>H183*N183*G183/1000</f>
        <v>1.0353600000000001</v>
      </c>
      <c r="P183" s="111"/>
      <c r="Q183" s="32"/>
    </row>
    <row r="184" spans="1:19" ht="15.6">
      <c r="A184" s="110" t="s">
        <v>344</v>
      </c>
      <c r="B184" s="111" t="s">
        <v>232</v>
      </c>
      <c r="C184" s="112" t="s">
        <v>228</v>
      </c>
      <c r="D184" s="113" t="s">
        <v>17</v>
      </c>
      <c r="E184" s="114" t="s">
        <v>15</v>
      </c>
      <c r="F184" s="115" t="s">
        <v>172</v>
      </c>
      <c r="G184" s="116">
        <v>21.57</v>
      </c>
      <c r="H184" s="125">
        <v>11.8</v>
      </c>
      <c r="I184" s="111">
        <v>1</v>
      </c>
      <c r="J184" s="117">
        <f t="shared" si="106"/>
        <v>0.25452600000000003</v>
      </c>
      <c r="K184" s="118"/>
      <c r="L184" s="111"/>
      <c r="M184" s="117">
        <f t="shared" si="107"/>
        <v>0</v>
      </c>
      <c r="N184" s="119">
        <f>I184-L184</f>
        <v>1</v>
      </c>
      <c r="O184" s="120">
        <f>H184*N184*G184/1000</f>
        <v>0.25452600000000003</v>
      </c>
      <c r="P184" s="111"/>
      <c r="Q184" s="32"/>
    </row>
    <row r="185" spans="1:19" ht="15.6">
      <c r="A185" s="110" t="s">
        <v>344</v>
      </c>
      <c r="B185" s="111" t="s">
        <v>232</v>
      </c>
      <c r="C185" s="112" t="s">
        <v>228</v>
      </c>
      <c r="D185" s="113" t="s">
        <v>17</v>
      </c>
      <c r="E185" s="114" t="s">
        <v>15</v>
      </c>
      <c r="F185" s="115" t="s">
        <v>172</v>
      </c>
      <c r="G185" s="116">
        <v>21.57</v>
      </c>
      <c r="H185" s="125">
        <v>8.1999999999999993</v>
      </c>
      <c r="I185" s="111">
        <v>5</v>
      </c>
      <c r="J185" s="117">
        <f t="shared" ref="J185" si="109">H185*G185*I185/1000</f>
        <v>0.88436999999999999</v>
      </c>
      <c r="K185" s="118"/>
      <c r="L185" s="111"/>
      <c r="M185" s="117">
        <f t="shared" ref="M185" si="110">H185*L185*G185/1000</f>
        <v>0</v>
      </c>
      <c r="N185" s="119">
        <f>I185-L185</f>
        <v>5</v>
      </c>
      <c r="O185" s="120">
        <f>H185*N185*G185/1000</f>
        <v>0.88436999999999999</v>
      </c>
      <c r="P185" s="111"/>
      <c r="Q185" s="32"/>
    </row>
    <row r="186" spans="1:19">
      <c r="A186" s="32"/>
      <c r="B186" s="32"/>
      <c r="C186" s="32"/>
      <c r="D186" s="32"/>
      <c r="E186" s="32"/>
      <c r="F186" s="32"/>
      <c r="G186" s="32"/>
      <c r="H186" s="32"/>
      <c r="I186" s="129">
        <f>SUM(I181:I185)</f>
        <v>31</v>
      </c>
      <c r="J186" s="132">
        <f>SUM(J181:J185)</f>
        <v>5.8886099999999999</v>
      </c>
      <c r="K186" s="32"/>
      <c r="L186" s="129">
        <f>SUM(L181:L185)</f>
        <v>21</v>
      </c>
      <c r="M186" s="124">
        <f>SUM(M181:M185)</f>
        <v>3.7143539999999997</v>
      </c>
      <c r="N186" s="131">
        <f>SUM(N181:N185)</f>
        <v>10</v>
      </c>
      <c r="O186" s="124">
        <f>SUM(O181:O185)</f>
        <v>2.1742560000000002</v>
      </c>
      <c r="P186" s="32"/>
      <c r="Q186" s="32"/>
    </row>
    <row r="187" spans="1:19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</row>
    <row r="188" spans="1:19">
      <c r="A188" s="401"/>
      <c r="B188" s="401"/>
      <c r="C188" s="401"/>
      <c r="D188" s="401"/>
      <c r="E188" s="401"/>
      <c r="F188" s="401"/>
      <c r="G188" s="401"/>
      <c r="H188" s="401"/>
      <c r="I188" s="401"/>
      <c r="J188" s="401"/>
      <c r="K188" s="401"/>
      <c r="L188" s="401"/>
      <c r="M188" s="401"/>
      <c r="N188" s="401"/>
      <c r="O188" s="401"/>
      <c r="P188" s="401"/>
      <c r="Q188" s="401"/>
    </row>
    <row r="189" spans="1:19" ht="15.6">
      <c r="A189" s="110" t="s">
        <v>504</v>
      </c>
      <c r="B189" s="111" t="s">
        <v>505</v>
      </c>
      <c r="C189" s="112" t="s">
        <v>449</v>
      </c>
      <c r="D189" s="113" t="s">
        <v>130</v>
      </c>
      <c r="E189" s="114" t="s">
        <v>15</v>
      </c>
      <c r="F189" s="115" t="s">
        <v>37</v>
      </c>
      <c r="G189" s="116">
        <v>18.2</v>
      </c>
      <c r="H189" s="125">
        <v>11.35</v>
      </c>
      <c r="I189" s="111">
        <v>15</v>
      </c>
      <c r="J189" s="117">
        <f t="shared" ref="J189" si="111">H189*G189*I189/1000</f>
        <v>3.0985499999999999</v>
      </c>
      <c r="K189" s="118"/>
      <c r="L189" s="111">
        <v>15</v>
      </c>
      <c r="M189" s="117">
        <f t="shared" ref="M189" si="112">H189*L189*G189/1000</f>
        <v>3.0985499999999999</v>
      </c>
      <c r="N189" s="119">
        <f t="shared" ref="N189" si="113">I189-L189</f>
        <v>0</v>
      </c>
      <c r="O189" s="120">
        <f t="shared" ref="O189" si="114">H189*N189*G189/1000</f>
        <v>0</v>
      </c>
      <c r="P189" s="130"/>
      <c r="Q189" s="320"/>
      <c r="R189" s="32"/>
      <c r="S189" s="32"/>
    </row>
    <row r="190" spans="1:19" ht="15.6">
      <c r="A190" s="110" t="s">
        <v>504</v>
      </c>
      <c r="B190" s="111" t="s">
        <v>505</v>
      </c>
      <c r="C190" s="112" t="s">
        <v>449</v>
      </c>
      <c r="D190" s="113" t="s">
        <v>130</v>
      </c>
      <c r="E190" s="114" t="s">
        <v>15</v>
      </c>
      <c r="F190" s="115" t="s">
        <v>37</v>
      </c>
      <c r="G190" s="116">
        <v>18.2</v>
      </c>
      <c r="H190" s="125">
        <v>11.35</v>
      </c>
      <c r="I190" s="111">
        <v>15</v>
      </c>
      <c r="J190" s="117">
        <f t="shared" ref="J190:J207" si="115">H190*G190*I190/1000</f>
        <v>3.0985499999999999</v>
      </c>
      <c r="K190" s="118"/>
      <c r="L190" s="111">
        <v>15</v>
      </c>
      <c r="M190" s="117">
        <f t="shared" ref="M190:M207" si="116">H190*L190*G190/1000</f>
        <v>3.0985499999999999</v>
      </c>
      <c r="N190" s="119">
        <f t="shared" ref="N190:N207" si="117">I190-L190</f>
        <v>0</v>
      </c>
      <c r="O190" s="120">
        <f t="shared" ref="O190:O207" si="118">H190*N190*G190/1000</f>
        <v>0</v>
      </c>
      <c r="P190" s="130"/>
      <c r="Q190" s="320"/>
      <c r="R190" s="32"/>
      <c r="S190" s="32"/>
    </row>
    <row r="191" spans="1:19" ht="15.6">
      <c r="A191" s="110" t="s">
        <v>504</v>
      </c>
      <c r="B191" s="111" t="s">
        <v>505</v>
      </c>
      <c r="C191" s="112" t="s">
        <v>449</v>
      </c>
      <c r="D191" s="113" t="s">
        <v>130</v>
      </c>
      <c r="E191" s="114" t="s">
        <v>15</v>
      </c>
      <c r="F191" s="115" t="s">
        <v>37</v>
      </c>
      <c r="G191" s="116">
        <v>18.2</v>
      </c>
      <c r="H191" s="125">
        <v>11.35</v>
      </c>
      <c r="I191" s="111">
        <v>15</v>
      </c>
      <c r="J191" s="117">
        <f t="shared" si="115"/>
        <v>3.0985499999999999</v>
      </c>
      <c r="K191" s="118"/>
      <c r="L191" s="111">
        <v>15</v>
      </c>
      <c r="M191" s="117">
        <f t="shared" si="116"/>
        <v>3.0985499999999999</v>
      </c>
      <c r="N191" s="119">
        <f t="shared" si="117"/>
        <v>0</v>
      </c>
      <c r="O191" s="120">
        <f t="shared" si="118"/>
        <v>0</v>
      </c>
      <c r="P191" s="130"/>
      <c r="Q191" s="320"/>
      <c r="R191" s="32"/>
      <c r="S191" s="32"/>
    </row>
    <row r="192" spans="1:19" ht="15.6">
      <c r="A192" s="110" t="s">
        <v>504</v>
      </c>
      <c r="B192" s="111" t="s">
        <v>505</v>
      </c>
      <c r="C192" s="112" t="s">
        <v>449</v>
      </c>
      <c r="D192" s="113" t="s">
        <v>130</v>
      </c>
      <c r="E192" s="114" t="s">
        <v>15</v>
      </c>
      <c r="F192" s="115" t="s">
        <v>37</v>
      </c>
      <c r="G192" s="116">
        <v>18.2</v>
      </c>
      <c r="H192" s="125">
        <v>11.35</v>
      </c>
      <c r="I192" s="111">
        <v>15</v>
      </c>
      <c r="J192" s="117">
        <f t="shared" si="115"/>
        <v>3.0985499999999999</v>
      </c>
      <c r="K192" s="118"/>
      <c r="L192" s="111">
        <v>15</v>
      </c>
      <c r="M192" s="117">
        <f t="shared" si="116"/>
        <v>3.0985499999999999</v>
      </c>
      <c r="N192" s="119">
        <f t="shared" si="117"/>
        <v>0</v>
      </c>
      <c r="O192" s="120">
        <f t="shared" si="118"/>
        <v>0</v>
      </c>
      <c r="P192" s="130"/>
      <c r="Q192" s="320"/>
      <c r="R192" s="32"/>
      <c r="S192" s="32"/>
    </row>
    <row r="193" spans="1:19" ht="15.6">
      <c r="A193" s="110" t="s">
        <v>504</v>
      </c>
      <c r="B193" s="111" t="s">
        <v>505</v>
      </c>
      <c r="C193" s="112" t="s">
        <v>449</v>
      </c>
      <c r="D193" s="113" t="s">
        <v>130</v>
      </c>
      <c r="E193" s="114" t="s">
        <v>15</v>
      </c>
      <c r="F193" s="115" t="s">
        <v>37</v>
      </c>
      <c r="G193" s="116">
        <v>18.2</v>
      </c>
      <c r="H193" s="125">
        <v>11.35</v>
      </c>
      <c r="I193" s="111">
        <v>11</v>
      </c>
      <c r="J193" s="117">
        <f t="shared" si="115"/>
        <v>2.2722699999999998</v>
      </c>
      <c r="K193" s="118"/>
      <c r="L193" s="111">
        <f>11+8</f>
        <v>19</v>
      </c>
      <c r="M193" s="117">
        <f t="shared" si="116"/>
        <v>3.92483</v>
      </c>
      <c r="N193" s="230">
        <f t="shared" si="117"/>
        <v>-8</v>
      </c>
      <c r="O193" s="231">
        <f t="shared" si="118"/>
        <v>-1.65256</v>
      </c>
      <c r="P193" s="452" t="s">
        <v>606</v>
      </c>
      <c r="Q193" s="406"/>
      <c r="R193" s="44"/>
      <c r="S193" s="44"/>
    </row>
    <row r="194" spans="1:19" ht="15.6">
      <c r="A194" s="110" t="s">
        <v>504</v>
      </c>
      <c r="B194" s="111" t="s">
        <v>505</v>
      </c>
      <c r="C194" s="112" t="s">
        <v>449</v>
      </c>
      <c r="D194" s="113" t="s">
        <v>130</v>
      </c>
      <c r="E194" s="114" t="s">
        <v>15</v>
      </c>
      <c r="F194" s="115" t="s">
        <v>37</v>
      </c>
      <c r="G194" s="116">
        <v>18.2</v>
      </c>
      <c r="H194" s="125">
        <v>10.5</v>
      </c>
      <c r="I194" s="111">
        <v>2</v>
      </c>
      <c r="J194" s="117">
        <f t="shared" si="115"/>
        <v>0.38219999999999998</v>
      </c>
      <c r="K194" s="118"/>
      <c r="L194" s="111">
        <v>2</v>
      </c>
      <c r="M194" s="117">
        <f t="shared" si="116"/>
        <v>0.38219999999999998</v>
      </c>
      <c r="N194" s="119">
        <f t="shared" si="117"/>
        <v>0</v>
      </c>
      <c r="O194" s="120">
        <f t="shared" si="118"/>
        <v>0</v>
      </c>
      <c r="P194" s="130"/>
      <c r="Q194" s="454">
        <v>2</v>
      </c>
      <c r="R194" s="45" t="s">
        <v>540</v>
      </c>
      <c r="S194" s="32"/>
    </row>
    <row r="195" spans="1:19" ht="15.6">
      <c r="A195" s="110" t="s">
        <v>504</v>
      </c>
      <c r="B195" s="111" t="s">
        <v>505</v>
      </c>
      <c r="C195" s="112" t="s">
        <v>449</v>
      </c>
      <c r="D195" s="113" t="s">
        <v>130</v>
      </c>
      <c r="E195" s="114" t="s">
        <v>15</v>
      </c>
      <c r="F195" s="115" t="s">
        <v>37</v>
      </c>
      <c r="G195" s="116">
        <v>18.2</v>
      </c>
      <c r="H195" s="125">
        <v>11</v>
      </c>
      <c r="I195" s="111">
        <v>6</v>
      </c>
      <c r="J195" s="117">
        <f t="shared" si="115"/>
        <v>1.2011999999999998</v>
      </c>
      <c r="K195" s="118"/>
      <c r="L195" s="111">
        <v>6</v>
      </c>
      <c r="M195" s="117">
        <f t="shared" si="116"/>
        <v>1.2012</v>
      </c>
      <c r="N195" s="119">
        <f t="shared" si="117"/>
        <v>0</v>
      </c>
      <c r="O195" s="120">
        <f t="shared" si="118"/>
        <v>0</v>
      </c>
      <c r="P195" s="130"/>
      <c r="Q195" s="454">
        <v>6</v>
      </c>
      <c r="R195" s="45" t="s">
        <v>540</v>
      </c>
      <c r="S195" s="32"/>
    </row>
    <row r="196" spans="1:19" ht="15.6">
      <c r="A196" s="110" t="s">
        <v>504</v>
      </c>
      <c r="B196" s="111" t="s">
        <v>505</v>
      </c>
      <c r="C196" s="112" t="s">
        <v>449</v>
      </c>
      <c r="D196" s="113" t="s">
        <v>130</v>
      </c>
      <c r="E196" s="114" t="s">
        <v>15</v>
      </c>
      <c r="F196" s="115" t="s">
        <v>37</v>
      </c>
      <c r="G196" s="116">
        <v>18.2</v>
      </c>
      <c r="H196" s="125">
        <v>11.35</v>
      </c>
      <c r="I196" s="111">
        <v>1</v>
      </c>
      <c r="J196" s="117">
        <f t="shared" si="115"/>
        <v>0.20657</v>
      </c>
      <c r="K196" s="118"/>
      <c r="L196" s="111">
        <v>1</v>
      </c>
      <c r="M196" s="117">
        <f t="shared" si="116"/>
        <v>0.20657</v>
      </c>
      <c r="N196" s="119">
        <f t="shared" si="117"/>
        <v>0</v>
      </c>
      <c r="O196" s="120">
        <f t="shared" si="118"/>
        <v>0</v>
      </c>
      <c r="P196" s="130"/>
      <c r="Q196" s="320"/>
      <c r="R196" s="32"/>
      <c r="S196" s="32"/>
    </row>
    <row r="197" spans="1:19" ht="15.6">
      <c r="A197" s="110" t="s">
        <v>504</v>
      </c>
      <c r="B197" s="111" t="s">
        <v>505</v>
      </c>
      <c r="C197" s="112" t="s">
        <v>449</v>
      </c>
      <c r="D197" s="113" t="s">
        <v>130</v>
      </c>
      <c r="E197" s="114" t="s">
        <v>15</v>
      </c>
      <c r="F197" s="115" t="s">
        <v>37</v>
      </c>
      <c r="G197" s="116">
        <v>18.2</v>
      </c>
      <c r="H197" s="125">
        <v>11.35</v>
      </c>
      <c r="I197" s="111">
        <v>15</v>
      </c>
      <c r="J197" s="117">
        <f t="shared" si="115"/>
        <v>3.0985499999999999</v>
      </c>
      <c r="K197" s="118"/>
      <c r="L197" s="111">
        <v>15</v>
      </c>
      <c r="M197" s="117">
        <f t="shared" si="116"/>
        <v>3.0985499999999999</v>
      </c>
      <c r="N197" s="119">
        <f t="shared" si="117"/>
        <v>0</v>
      </c>
      <c r="O197" s="120">
        <f t="shared" si="118"/>
        <v>0</v>
      </c>
      <c r="P197" s="130"/>
      <c r="Q197" s="320"/>
      <c r="R197" s="32"/>
      <c r="S197" s="32"/>
    </row>
    <row r="198" spans="1:19" ht="15.6">
      <c r="A198" s="110" t="s">
        <v>504</v>
      </c>
      <c r="B198" s="111" t="s">
        <v>505</v>
      </c>
      <c r="C198" s="112" t="s">
        <v>449</v>
      </c>
      <c r="D198" s="113" t="s">
        <v>130</v>
      </c>
      <c r="E198" s="114" t="s">
        <v>15</v>
      </c>
      <c r="F198" s="115" t="s">
        <v>37</v>
      </c>
      <c r="G198" s="116">
        <v>18.2</v>
      </c>
      <c r="H198" s="125">
        <v>11.35</v>
      </c>
      <c r="I198" s="111">
        <v>15</v>
      </c>
      <c r="J198" s="117">
        <f t="shared" si="115"/>
        <v>3.0985499999999999</v>
      </c>
      <c r="K198" s="118"/>
      <c r="L198" s="111">
        <v>15</v>
      </c>
      <c r="M198" s="117">
        <f t="shared" si="116"/>
        <v>3.0985499999999999</v>
      </c>
      <c r="N198" s="119">
        <f t="shared" si="117"/>
        <v>0</v>
      </c>
      <c r="O198" s="120">
        <f t="shared" si="118"/>
        <v>0</v>
      </c>
      <c r="P198" s="130"/>
      <c r="Q198" s="320"/>
      <c r="R198" s="32"/>
      <c r="S198" s="32"/>
    </row>
    <row r="199" spans="1:19" ht="15.6">
      <c r="A199" s="110" t="s">
        <v>504</v>
      </c>
      <c r="B199" s="111" t="s">
        <v>505</v>
      </c>
      <c r="C199" s="112" t="s">
        <v>449</v>
      </c>
      <c r="D199" s="113" t="s">
        <v>130</v>
      </c>
      <c r="E199" s="114" t="s">
        <v>15</v>
      </c>
      <c r="F199" s="115" t="s">
        <v>37</v>
      </c>
      <c r="G199" s="116">
        <v>18.2</v>
      </c>
      <c r="H199" s="125">
        <v>11.35</v>
      </c>
      <c r="I199" s="111">
        <v>15</v>
      </c>
      <c r="J199" s="117">
        <f t="shared" si="115"/>
        <v>3.0985499999999999</v>
      </c>
      <c r="K199" s="118"/>
      <c r="L199" s="111">
        <v>15</v>
      </c>
      <c r="M199" s="117">
        <f t="shared" si="116"/>
        <v>3.0985499999999999</v>
      </c>
      <c r="N199" s="119">
        <f t="shared" si="117"/>
        <v>0</v>
      </c>
      <c r="O199" s="120">
        <f t="shared" si="118"/>
        <v>0</v>
      </c>
      <c r="P199" s="130"/>
      <c r="Q199" s="320"/>
      <c r="R199" s="32"/>
      <c r="S199" s="32"/>
    </row>
    <row r="200" spans="1:19" ht="15.6">
      <c r="A200" s="110" t="s">
        <v>504</v>
      </c>
      <c r="B200" s="111" t="s">
        <v>505</v>
      </c>
      <c r="C200" s="112" t="s">
        <v>449</v>
      </c>
      <c r="D200" s="113" t="s">
        <v>130</v>
      </c>
      <c r="E200" s="114" t="s">
        <v>15</v>
      </c>
      <c r="F200" s="115" t="s">
        <v>37</v>
      </c>
      <c r="G200" s="116">
        <v>18.2</v>
      </c>
      <c r="H200" s="125">
        <v>11.35</v>
      </c>
      <c r="I200" s="111">
        <v>15</v>
      </c>
      <c r="J200" s="117">
        <f t="shared" si="115"/>
        <v>3.0985499999999999</v>
      </c>
      <c r="K200" s="118"/>
      <c r="L200" s="111">
        <v>15</v>
      </c>
      <c r="M200" s="117">
        <f t="shared" si="116"/>
        <v>3.0985499999999999</v>
      </c>
      <c r="N200" s="119">
        <f t="shared" si="117"/>
        <v>0</v>
      </c>
      <c r="O200" s="120">
        <f t="shared" si="118"/>
        <v>0</v>
      </c>
      <c r="P200" s="130"/>
      <c r="Q200" s="320"/>
      <c r="R200" s="32"/>
      <c r="S200" s="32"/>
    </row>
    <row r="201" spans="1:19" ht="15.6">
      <c r="A201" s="110" t="s">
        <v>504</v>
      </c>
      <c r="B201" s="111" t="s">
        <v>505</v>
      </c>
      <c r="C201" s="112" t="s">
        <v>449</v>
      </c>
      <c r="D201" s="113" t="s">
        <v>130</v>
      </c>
      <c r="E201" s="114" t="s">
        <v>15</v>
      </c>
      <c r="F201" s="115" t="s">
        <v>37</v>
      </c>
      <c r="G201" s="116">
        <v>18.2</v>
      </c>
      <c r="H201" s="125">
        <v>11.35</v>
      </c>
      <c r="I201" s="111">
        <v>15</v>
      </c>
      <c r="J201" s="117">
        <f t="shared" si="115"/>
        <v>3.0985499999999999</v>
      </c>
      <c r="K201" s="118"/>
      <c r="L201" s="111">
        <v>15</v>
      </c>
      <c r="M201" s="117">
        <f t="shared" si="116"/>
        <v>3.0985499999999999</v>
      </c>
      <c r="N201" s="119">
        <f t="shared" si="117"/>
        <v>0</v>
      </c>
      <c r="O201" s="120">
        <f t="shared" si="118"/>
        <v>0</v>
      </c>
      <c r="P201" s="130"/>
      <c r="Q201" s="320"/>
      <c r="R201" s="32"/>
      <c r="S201" s="32"/>
    </row>
    <row r="202" spans="1:19" ht="15.6">
      <c r="A202" s="110" t="s">
        <v>504</v>
      </c>
      <c r="B202" s="111" t="s">
        <v>505</v>
      </c>
      <c r="C202" s="112" t="s">
        <v>449</v>
      </c>
      <c r="D202" s="113" t="s">
        <v>130</v>
      </c>
      <c r="E202" s="114" t="s">
        <v>15</v>
      </c>
      <c r="F202" s="115" t="s">
        <v>37</v>
      </c>
      <c r="G202" s="116">
        <v>18.2</v>
      </c>
      <c r="H202" s="125">
        <v>11.35</v>
      </c>
      <c r="I202" s="111">
        <v>15</v>
      </c>
      <c r="J202" s="117">
        <f t="shared" si="115"/>
        <v>3.0985499999999999</v>
      </c>
      <c r="K202" s="118"/>
      <c r="L202" s="111">
        <v>15</v>
      </c>
      <c r="M202" s="117">
        <f t="shared" si="116"/>
        <v>3.0985499999999999</v>
      </c>
      <c r="N202" s="119">
        <f t="shared" si="117"/>
        <v>0</v>
      </c>
      <c r="O202" s="120">
        <f t="shared" si="118"/>
        <v>0</v>
      </c>
      <c r="P202" s="130"/>
      <c r="Q202" s="320"/>
      <c r="R202" s="32"/>
      <c r="S202" s="32"/>
    </row>
    <row r="203" spans="1:19" ht="15.6">
      <c r="A203" s="110" t="s">
        <v>504</v>
      </c>
      <c r="B203" s="111" t="s">
        <v>505</v>
      </c>
      <c r="C203" s="112" t="s">
        <v>449</v>
      </c>
      <c r="D203" s="113" t="s">
        <v>130</v>
      </c>
      <c r="E203" s="114" t="s">
        <v>15</v>
      </c>
      <c r="F203" s="115" t="s">
        <v>37</v>
      </c>
      <c r="G203" s="116">
        <v>18.2</v>
      </c>
      <c r="H203" s="125">
        <v>11.35</v>
      </c>
      <c r="I203" s="111">
        <v>15</v>
      </c>
      <c r="J203" s="117">
        <f t="shared" si="115"/>
        <v>3.0985499999999999</v>
      </c>
      <c r="K203" s="118"/>
      <c r="L203" s="111">
        <v>15</v>
      </c>
      <c r="M203" s="117">
        <f t="shared" si="116"/>
        <v>3.0985499999999999</v>
      </c>
      <c r="N203" s="119">
        <f t="shared" si="117"/>
        <v>0</v>
      </c>
      <c r="O203" s="120">
        <f t="shared" si="118"/>
        <v>0</v>
      </c>
      <c r="P203" s="130"/>
      <c r="Q203" s="320"/>
      <c r="R203" s="32"/>
      <c r="S203" s="32"/>
    </row>
    <row r="204" spans="1:19" ht="15.6">
      <c r="A204" s="110" t="s">
        <v>504</v>
      </c>
      <c r="B204" s="111" t="s">
        <v>505</v>
      </c>
      <c r="C204" s="112" t="s">
        <v>449</v>
      </c>
      <c r="D204" s="113" t="s">
        <v>130</v>
      </c>
      <c r="E204" s="114" t="s">
        <v>15</v>
      </c>
      <c r="F204" s="115" t="s">
        <v>37</v>
      </c>
      <c r="G204" s="116">
        <v>18.2</v>
      </c>
      <c r="H204" s="125">
        <v>11.35</v>
      </c>
      <c r="I204" s="111">
        <v>9</v>
      </c>
      <c r="J204" s="117">
        <f t="shared" si="115"/>
        <v>1.8591299999999999</v>
      </c>
      <c r="K204" s="118"/>
      <c r="L204" s="111">
        <v>9</v>
      </c>
      <c r="M204" s="117">
        <f t="shared" si="116"/>
        <v>1.8591299999999999</v>
      </c>
      <c r="N204" s="119">
        <f t="shared" si="117"/>
        <v>0</v>
      </c>
      <c r="O204" s="120">
        <f t="shared" si="118"/>
        <v>0</v>
      </c>
      <c r="P204" s="130"/>
      <c r="Q204" s="320"/>
      <c r="R204" s="32"/>
      <c r="S204" s="32"/>
    </row>
    <row r="205" spans="1:19" ht="15.6">
      <c r="A205" s="110" t="s">
        <v>504</v>
      </c>
      <c r="B205" s="111" t="s">
        <v>505</v>
      </c>
      <c r="C205" s="112" t="s">
        <v>449</v>
      </c>
      <c r="D205" s="113" t="s">
        <v>130</v>
      </c>
      <c r="E205" s="114" t="s">
        <v>15</v>
      </c>
      <c r="F205" s="115" t="s">
        <v>37</v>
      </c>
      <c r="G205" s="116">
        <v>18.2</v>
      </c>
      <c r="H205" s="125">
        <v>9.6999999999999993</v>
      </c>
      <c r="I205" s="111">
        <v>1</v>
      </c>
      <c r="J205" s="117">
        <f t="shared" si="115"/>
        <v>0.17654</v>
      </c>
      <c r="K205" s="118"/>
      <c r="L205" s="111">
        <v>1</v>
      </c>
      <c r="M205" s="117">
        <f t="shared" si="116"/>
        <v>0.17654</v>
      </c>
      <c r="N205" s="119">
        <f t="shared" si="117"/>
        <v>0</v>
      </c>
      <c r="O205" s="120">
        <f t="shared" si="118"/>
        <v>0</v>
      </c>
      <c r="P205" s="130"/>
      <c r="Q205" s="454">
        <v>1</v>
      </c>
      <c r="R205" s="45" t="s">
        <v>540</v>
      </c>
      <c r="S205" s="32"/>
    </row>
    <row r="206" spans="1:19" ht="15.6">
      <c r="A206" s="110" t="s">
        <v>504</v>
      </c>
      <c r="B206" s="111" t="s">
        <v>505</v>
      </c>
      <c r="C206" s="112" t="s">
        <v>449</v>
      </c>
      <c r="D206" s="113" t="s">
        <v>130</v>
      </c>
      <c r="E206" s="114" t="s">
        <v>15</v>
      </c>
      <c r="F206" s="115" t="s">
        <v>37</v>
      </c>
      <c r="G206" s="116">
        <v>18.2</v>
      </c>
      <c r="H206" s="125">
        <v>10.9</v>
      </c>
      <c r="I206" s="111">
        <v>1</v>
      </c>
      <c r="J206" s="117">
        <f t="shared" si="115"/>
        <v>0.19838</v>
      </c>
      <c r="K206" s="118"/>
      <c r="L206" s="111">
        <v>1</v>
      </c>
      <c r="M206" s="117">
        <f t="shared" si="116"/>
        <v>0.19838</v>
      </c>
      <c r="N206" s="119">
        <f t="shared" si="117"/>
        <v>0</v>
      </c>
      <c r="O206" s="120">
        <f t="shared" si="118"/>
        <v>0</v>
      </c>
      <c r="P206" s="130"/>
      <c r="Q206" s="454">
        <v>1</v>
      </c>
      <c r="R206" s="45" t="s">
        <v>540</v>
      </c>
      <c r="S206" s="32"/>
    </row>
    <row r="207" spans="1:19" ht="15.6">
      <c r="A207" s="110" t="s">
        <v>504</v>
      </c>
      <c r="B207" s="111" t="s">
        <v>505</v>
      </c>
      <c r="C207" s="112" t="s">
        <v>449</v>
      </c>
      <c r="D207" s="113" t="s">
        <v>130</v>
      </c>
      <c r="E207" s="114" t="s">
        <v>15</v>
      </c>
      <c r="F207" s="115" t="s">
        <v>37</v>
      </c>
      <c r="G207" s="116">
        <v>18.2</v>
      </c>
      <c r="H207" s="125">
        <v>11</v>
      </c>
      <c r="I207" s="111">
        <v>4</v>
      </c>
      <c r="J207" s="117">
        <f t="shared" si="115"/>
        <v>0.80079999999999996</v>
      </c>
      <c r="K207" s="118"/>
      <c r="L207" s="111">
        <v>4</v>
      </c>
      <c r="M207" s="117">
        <f t="shared" si="116"/>
        <v>0.80079999999999996</v>
      </c>
      <c r="N207" s="119">
        <f t="shared" si="117"/>
        <v>0</v>
      </c>
      <c r="O207" s="120">
        <f t="shared" si="118"/>
        <v>0</v>
      </c>
      <c r="P207" s="130"/>
      <c r="Q207" s="454">
        <v>4</v>
      </c>
      <c r="R207" s="45" t="s">
        <v>540</v>
      </c>
      <c r="S207" s="32"/>
    </row>
    <row r="208" spans="1:19">
      <c r="A208" s="32"/>
      <c r="B208" s="32"/>
      <c r="C208" s="32"/>
      <c r="D208" s="32"/>
      <c r="E208" s="32"/>
      <c r="F208" s="32"/>
      <c r="G208" s="32"/>
      <c r="H208" s="32"/>
      <c r="I208" s="129">
        <f>SUM(I189:I207)</f>
        <v>200</v>
      </c>
      <c r="J208" s="124">
        <f>SUM(J189:J207)</f>
        <v>41.181140000000006</v>
      </c>
      <c r="K208" s="32"/>
      <c r="L208" s="129">
        <f>SUM(L189:L207)</f>
        <v>208</v>
      </c>
      <c r="M208" s="124">
        <f>SUM(M189:M207)</f>
        <v>42.833700000000007</v>
      </c>
      <c r="N208" s="129">
        <f>SUM(N189:N207)</f>
        <v>-8</v>
      </c>
      <c r="O208" s="124">
        <f>SUM(O189:O207)</f>
        <v>-1.65256</v>
      </c>
      <c r="P208" s="32"/>
      <c r="Q208" s="32"/>
      <c r="R208" s="32"/>
      <c r="S208" s="32"/>
    </row>
    <row r="210" spans="1:19" ht="15.6">
      <c r="A210" s="110" t="s">
        <v>504</v>
      </c>
      <c r="B210" s="111" t="s">
        <v>232</v>
      </c>
      <c r="C210" s="112" t="s">
        <v>449</v>
      </c>
      <c r="D210" s="113" t="s">
        <v>506</v>
      </c>
      <c r="E210" s="114" t="s">
        <v>15</v>
      </c>
      <c r="F210" s="115" t="s">
        <v>37</v>
      </c>
      <c r="G210" s="116">
        <v>18.2</v>
      </c>
      <c r="H210" s="125">
        <v>7.5</v>
      </c>
      <c r="I210" s="111">
        <v>1</v>
      </c>
      <c r="J210" s="117">
        <f t="shared" ref="J210" si="119">H210*G210*I210/1000</f>
        <v>0.13650000000000001</v>
      </c>
      <c r="K210" s="118"/>
      <c r="L210" s="111">
        <v>1</v>
      </c>
      <c r="M210" s="117">
        <f t="shared" ref="M210" si="120">H210*L210*G210/1000</f>
        <v>0.13650000000000001</v>
      </c>
      <c r="N210" s="119">
        <f t="shared" ref="N210" si="121">I210-L210</f>
        <v>0</v>
      </c>
      <c r="O210" s="120">
        <f t="shared" ref="O210" si="122">H210*N210*G210/1000</f>
        <v>0</v>
      </c>
      <c r="P210" s="130"/>
      <c r="Q210" s="320"/>
      <c r="R210" s="32"/>
      <c r="S210" s="32"/>
    </row>
    <row r="211" spans="1:19" ht="15.6">
      <c r="A211" s="110" t="s">
        <v>504</v>
      </c>
      <c r="B211" s="111" t="s">
        <v>232</v>
      </c>
      <c r="C211" s="112" t="s">
        <v>449</v>
      </c>
      <c r="D211" s="113" t="s">
        <v>506</v>
      </c>
      <c r="E211" s="114" t="s">
        <v>15</v>
      </c>
      <c r="F211" s="115" t="s">
        <v>37</v>
      </c>
      <c r="G211" s="116">
        <v>18.2</v>
      </c>
      <c r="H211" s="125">
        <v>6.7</v>
      </c>
      <c r="I211" s="111">
        <v>18</v>
      </c>
      <c r="J211" s="117">
        <f t="shared" ref="J211:J222" si="123">H211*G211*I211/1000</f>
        <v>2.1949200000000002</v>
      </c>
      <c r="K211" s="118"/>
      <c r="L211" s="111">
        <v>18</v>
      </c>
      <c r="M211" s="117">
        <f t="shared" ref="M211:M222" si="124">H211*L211*G211/1000</f>
        <v>2.1949200000000002</v>
      </c>
      <c r="N211" s="119">
        <f t="shared" ref="N211:N222" si="125">I211-L211</f>
        <v>0</v>
      </c>
      <c r="O211" s="120">
        <f t="shared" ref="O211:O222" si="126">H211*N211*G211/1000</f>
        <v>0</v>
      </c>
      <c r="P211" s="130"/>
      <c r="Q211" s="320"/>
      <c r="R211" s="32"/>
      <c r="S211" s="32"/>
    </row>
    <row r="212" spans="1:19" ht="15.6">
      <c r="A212" s="110" t="s">
        <v>504</v>
      </c>
      <c r="B212" s="111" t="s">
        <v>232</v>
      </c>
      <c r="C212" s="112" t="s">
        <v>449</v>
      </c>
      <c r="D212" s="113" t="s">
        <v>506</v>
      </c>
      <c r="E212" s="114" t="s">
        <v>15</v>
      </c>
      <c r="F212" s="115" t="s">
        <v>37</v>
      </c>
      <c r="G212" s="116">
        <v>18.2</v>
      </c>
      <c r="H212" s="125">
        <v>6.7</v>
      </c>
      <c r="I212" s="111">
        <v>17</v>
      </c>
      <c r="J212" s="117">
        <f t="shared" si="123"/>
        <v>2.0729799999999998</v>
      </c>
      <c r="K212" s="118"/>
      <c r="L212" s="111">
        <v>17</v>
      </c>
      <c r="M212" s="117">
        <f t="shared" si="124"/>
        <v>2.0729799999999998</v>
      </c>
      <c r="N212" s="119">
        <f t="shared" si="125"/>
        <v>0</v>
      </c>
      <c r="O212" s="120">
        <f t="shared" si="126"/>
        <v>0</v>
      </c>
      <c r="P212" s="130"/>
      <c r="Q212" s="320"/>
      <c r="R212" s="32"/>
      <c r="S212" s="32"/>
    </row>
    <row r="213" spans="1:19" ht="15.6">
      <c r="A213" s="110" t="s">
        <v>504</v>
      </c>
      <c r="B213" s="111" t="s">
        <v>232</v>
      </c>
      <c r="C213" s="112" t="s">
        <v>449</v>
      </c>
      <c r="D213" s="113" t="s">
        <v>506</v>
      </c>
      <c r="E213" s="114" t="s">
        <v>15</v>
      </c>
      <c r="F213" s="115" t="s">
        <v>37</v>
      </c>
      <c r="G213" s="116">
        <v>18.2</v>
      </c>
      <c r="H213" s="125">
        <v>7.5</v>
      </c>
      <c r="I213" s="111">
        <v>6</v>
      </c>
      <c r="J213" s="117">
        <f t="shared" si="123"/>
        <v>0.81899999999999995</v>
      </c>
      <c r="K213" s="118"/>
      <c r="L213" s="111">
        <v>6</v>
      </c>
      <c r="M213" s="117">
        <f t="shared" si="124"/>
        <v>0.81899999999999995</v>
      </c>
      <c r="N213" s="119">
        <f t="shared" si="125"/>
        <v>0</v>
      </c>
      <c r="O213" s="120">
        <f t="shared" si="126"/>
        <v>0</v>
      </c>
      <c r="P213" s="130"/>
      <c r="Q213" s="320"/>
      <c r="R213" s="32"/>
      <c r="S213" s="32"/>
    </row>
    <row r="214" spans="1:19" ht="15.6">
      <c r="A214" s="110" t="s">
        <v>504</v>
      </c>
      <c r="B214" s="111" t="s">
        <v>232</v>
      </c>
      <c r="C214" s="112" t="s">
        <v>449</v>
      </c>
      <c r="D214" s="113" t="s">
        <v>506</v>
      </c>
      <c r="E214" s="114" t="s">
        <v>15</v>
      </c>
      <c r="F214" s="115" t="s">
        <v>37</v>
      </c>
      <c r="G214" s="116">
        <v>18.2</v>
      </c>
      <c r="H214" s="125">
        <v>11.1</v>
      </c>
      <c r="I214" s="111">
        <v>6</v>
      </c>
      <c r="J214" s="117">
        <f t="shared" si="123"/>
        <v>1.2121199999999999</v>
      </c>
      <c r="K214" s="118"/>
      <c r="L214" s="111">
        <v>6</v>
      </c>
      <c r="M214" s="117">
        <f t="shared" si="124"/>
        <v>1.2121199999999999</v>
      </c>
      <c r="N214" s="119">
        <f t="shared" si="125"/>
        <v>0</v>
      </c>
      <c r="O214" s="120">
        <f t="shared" si="126"/>
        <v>0</v>
      </c>
      <c r="P214" s="130"/>
      <c r="Q214" s="320"/>
      <c r="R214" s="32"/>
      <c r="S214" s="32"/>
    </row>
    <row r="215" spans="1:19" ht="15.6">
      <c r="A215" s="110" t="s">
        <v>504</v>
      </c>
      <c r="B215" s="111" t="s">
        <v>232</v>
      </c>
      <c r="C215" s="112" t="s">
        <v>449</v>
      </c>
      <c r="D215" s="113" t="s">
        <v>506</v>
      </c>
      <c r="E215" s="114" t="s">
        <v>15</v>
      </c>
      <c r="F215" s="115" t="s">
        <v>37</v>
      </c>
      <c r="G215" s="116">
        <v>18.2</v>
      </c>
      <c r="H215" s="125">
        <v>6.5</v>
      </c>
      <c r="I215" s="111">
        <v>1</v>
      </c>
      <c r="J215" s="117">
        <f t="shared" si="123"/>
        <v>0.1183</v>
      </c>
      <c r="K215" s="118"/>
      <c r="L215" s="111">
        <v>1</v>
      </c>
      <c r="M215" s="117">
        <f t="shared" si="124"/>
        <v>0.1183</v>
      </c>
      <c r="N215" s="119">
        <f t="shared" si="125"/>
        <v>0</v>
      </c>
      <c r="O215" s="120">
        <f t="shared" si="126"/>
        <v>0</v>
      </c>
      <c r="P215" s="130"/>
      <c r="Q215" s="320">
        <v>1</v>
      </c>
      <c r="R215" s="45" t="s">
        <v>540</v>
      </c>
      <c r="S215" s="32"/>
    </row>
    <row r="216" spans="1:19" ht="15.6">
      <c r="A216" s="110" t="s">
        <v>504</v>
      </c>
      <c r="B216" s="111" t="s">
        <v>232</v>
      </c>
      <c r="C216" s="112" t="s">
        <v>449</v>
      </c>
      <c r="D216" s="113" t="s">
        <v>506</v>
      </c>
      <c r="E216" s="114" t="s">
        <v>15</v>
      </c>
      <c r="F216" s="115" t="s">
        <v>37</v>
      </c>
      <c r="G216" s="116">
        <v>18.2</v>
      </c>
      <c r="H216" s="125">
        <v>6.3</v>
      </c>
      <c r="I216" s="111">
        <v>1</v>
      </c>
      <c r="J216" s="117">
        <f t="shared" si="123"/>
        <v>0.11466</v>
      </c>
      <c r="K216" s="118"/>
      <c r="L216" s="111">
        <v>1</v>
      </c>
      <c r="M216" s="117">
        <f t="shared" si="124"/>
        <v>0.11466</v>
      </c>
      <c r="N216" s="119">
        <f t="shared" si="125"/>
        <v>0</v>
      </c>
      <c r="O216" s="120">
        <f t="shared" si="126"/>
        <v>0</v>
      </c>
      <c r="P216" s="130"/>
      <c r="Q216" s="320">
        <v>1</v>
      </c>
      <c r="R216" s="45" t="s">
        <v>540</v>
      </c>
      <c r="S216" s="32"/>
    </row>
    <row r="217" spans="1:19" ht="15.6">
      <c r="A217" s="110" t="s">
        <v>504</v>
      </c>
      <c r="B217" s="111" t="s">
        <v>232</v>
      </c>
      <c r="C217" s="112" t="s">
        <v>449</v>
      </c>
      <c r="D217" s="113" t="s">
        <v>506</v>
      </c>
      <c r="E217" s="114" t="s">
        <v>15</v>
      </c>
      <c r="F217" s="115" t="s">
        <v>37</v>
      </c>
      <c r="G217" s="116">
        <v>18.2</v>
      </c>
      <c r="H217" s="125">
        <v>6.7</v>
      </c>
      <c r="I217" s="111">
        <v>13</v>
      </c>
      <c r="J217" s="117">
        <f t="shared" si="123"/>
        <v>1.5852200000000001</v>
      </c>
      <c r="K217" s="118"/>
      <c r="L217" s="111">
        <v>13</v>
      </c>
      <c r="M217" s="117">
        <f t="shared" si="124"/>
        <v>1.5852200000000001</v>
      </c>
      <c r="N217" s="119">
        <f t="shared" si="125"/>
        <v>0</v>
      </c>
      <c r="O217" s="120">
        <f t="shared" si="126"/>
        <v>0</v>
      </c>
      <c r="P217" s="130"/>
      <c r="Q217" s="320"/>
      <c r="R217" s="32"/>
      <c r="S217" s="32"/>
    </row>
    <row r="218" spans="1:19" ht="15.6">
      <c r="A218" s="110" t="s">
        <v>504</v>
      </c>
      <c r="B218" s="111" t="s">
        <v>232</v>
      </c>
      <c r="C218" s="112" t="s">
        <v>449</v>
      </c>
      <c r="D218" s="113" t="s">
        <v>506</v>
      </c>
      <c r="E218" s="114" t="s">
        <v>15</v>
      </c>
      <c r="F218" s="115" t="s">
        <v>37</v>
      </c>
      <c r="G218" s="116">
        <v>18.2</v>
      </c>
      <c r="H218" s="125">
        <v>5.55</v>
      </c>
      <c r="I218" s="111">
        <v>1</v>
      </c>
      <c r="J218" s="117">
        <f t="shared" si="123"/>
        <v>0.10100999999999999</v>
      </c>
      <c r="K218" s="118"/>
      <c r="L218" s="111">
        <v>1</v>
      </c>
      <c r="M218" s="117">
        <f t="shared" si="124"/>
        <v>0.10100999999999999</v>
      </c>
      <c r="N218" s="119">
        <f t="shared" si="125"/>
        <v>0</v>
      </c>
      <c r="O218" s="120">
        <f t="shared" si="126"/>
        <v>0</v>
      </c>
      <c r="P218" s="130"/>
      <c r="Q218" s="320">
        <v>1</v>
      </c>
      <c r="R218" s="45" t="s">
        <v>540</v>
      </c>
      <c r="S218" s="32"/>
    </row>
    <row r="219" spans="1:19" ht="15.6">
      <c r="A219" s="110" t="s">
        <v>504</v>
      </c>
      <c r="B219" s="111" t="s">
        <v>232</v>
      </c>
      <c r="C219" s="112" t="s">
        <v>449</v>
      </c>
      <c r="D219" s="113" t="s">
        <v>506</v>
      </c>
      <c r="E219" s="114" t="s">
        <v>15</v>
      </c>
      <c r="F219" s="115" t="s">
        <v>37</v>
      </c>
      <c r="G219" s="116">
        <v>18.2</v>
      </c>
      <c r="H219" s="125">
        <v>5.95</v>
      </c>
      <c r="I219" s="111">
        <v>1</v>
      </c>
      <c r="J219" s="117">
        <f t="shared" si="123"/>
        <v>0.10829</v>
      </c>
      <c r="K219" s="118"/>
      <c r="L219" s="111">
        <v>1</v>
      </c>
      <c r="M219" s="117">
        <f t="shared" si="124"/>
        <v>0.10829</v>
      </c>
      <c r="N219" s="119">
        <f t="shared" si="125"/>
        <v>0</v>
      </c>
      <c r="O219" s="120">
        <f t="shared" si="126"/>
        <v>0</v>
      </c>
      <c r="P219" s="130"/>
      <c r="Q219" s="320">
        <v>1</v>
      </c>
      <c r="R219" s="45" t="s">
        <v>540</v>
      </c>
      <c r="S219" s="32"/>
    </row>
    <row r="220" spans="1:19" ht="15.6">
      <c r="A220" s="110" t="s">
        <v>504</v>
      </c>
      <c r="B220" s="111" t="s">
        <v>232</v>
      </c>
      <c r="C220" s="112" t="s">
        <v>449</v>
      </c>
      <c r="D220" s="113" t="s">
        <v>506</v>
      </c>
      <c r="E220" s="114" t="s">
        <v>15</v>
      </c>
      <c r="F220" s="115" t="s">
        <v>37</v>
      </c>
      <c r="G220" s="116">
        <v>18.2</v>
      </c>
      <c r="H220" s="125">
        <v>6</v>
      </c>
      <c r="I220" s="111">
        <v>1</v>
      </c>
      <c r="J220" s="117">
        <f t="shared" si="123"/>
        <v>0.10919999999999999</v>
      </c>
      <c r="K220" s="118"/>
      <c r="L220" s="111">
        <v>1</v>
      </c>
      <c r="M220" s="117">
        <f t="shared" si="124"/>
        <v>0.10919999999999999</v>
      </c>
      <c r="N220" s="119">
        <f t="shared" si="125"/>
        <v>0</v>
      </c>
      <c r="O220" s="120">
        <f t="shared" si="126"/>
        <v>0</v>
      </c>
      <c r="P220" s="130"/>
      <c r="Q220" s="320">
        <v>1</v>
      </c>
      <c r="R220" s="45" t="s">
        <v>540</v>
      </c>
      <c r="S220" s="32"/>
    </row>
    <row r="221" spans="1:19" ht="15.6">
      <c r="A221" s="110" t="s">
        <v>504</v>
      </c>
      <c r="B221" s="111" t="s">
        <v>232</v>
      </c>
      <c r="C221" s="112" t="s">
        <v>449</v>
      </c>
      <c r="D221" s="113" t="s">
        <v>506</v>
      </c>
      <c r="E221" s="114" t="s">
        <v>15</v>
      </c>
      <c r="F221" s="115" t="s">
        <v>37</v>
      </c>
      <c r="G221" s="116">
        <v>18.2</v>
      </c>
      <c r="H221" s="125">
        <v>10.9</v>
      </c>
      <c r="I221" s="111">
        <v>1</v>
      </c>
      <c r="J221" s="117">
        <f t="shared" si="123"/>
        <v>0.19838</v>
      </c>
      <c r="K221" s="118"/>
      <c r="L221" s="111">
        <v>1</v>
      </c>
      <c r="M221" s="117">
        <f t="shared" si="124"/>
        <v>0.19838</v>
      </c>
      <c r="N221" s="119">
        <f t="shared" si="125"/>
        <v>0</v>
      </c>
      <c r="O221" s="120">
        <f t="shared" si="126"/>
        <v>0</v>
      </c>
      <c r="P221" s="130"/>
      <c r="Q221" s="320"/>
      <c r="R221" s="32"/>
      <c r="S221" s="32"/>
    </row>
    <row r="222" spans="1:19" ht="15.6">
      <c r="A222" s="110" t="s">
        <v>504</v>
      </c>
      <c r="B222" s="111" t="s">
        <v>232</v>
      </c>
      <c r="C222" s="112" t="s">
        <v>449</v>
      </c>
      <c r="D222" s="113" t="s">
        <v>506</v>
      </c>
      <c r="E222" s="114" t="s">
        <v>15</v>
      </c>
      <c r="F222" s="115" t="s">
        <v>37</v>
      </c>
      <c r="G222" s="116">
        <v>18.2</v>
      </c>
      <c r="H222" s="125">
        <v>12</v>
      </c>
      <c r="I222" s="111">
        <v>1</v>
      </c>
      <c r="J222" s="117">
        <f t="shared" si="123"/>
        <v>0.21839999999999998</v>
      </c>
      <c r="K222" s="118"/>
      <c r="L222" s="111">
        <v>1</v>
      </c>
      <c r="M222" s="117">
        <f t="shared" si="124"/>
        <v>0.21839999999999998</v>
      </c>
      <c r="N222" s="119">
        <f t="shared" si="125"/>
        <v>0</v>
      </c>
      <c r="O222" s="120">
        <f t="shared" si="126"/>
        <v>0</v>
      </c>
      <c r="P222" s="130"/>
      <c r="Q222" s="320">
        <v>1</v>
      </c>
      <c r="R222" s="45" t="s">
        <v>540</v>
      </c>
      <c r="S222" s="32"/>
    </row>
    <row r="223" spans="1:19">
      <c r="I223" s="80">
        <f>SUM(I210:I222)</f>
        <v>68</v>
      </c>
      <c r="J223" s="128">
        <f>SUM(J210:J222)</f>
        <v>8.9889799999999997</v>
      </c>
      <c r="L223" s="80">
        <f>SUM(L210:L222)</f>
        <v>68</v>
      </c>
      <c r="M223" s="128">
        <f>SUM(M210:M222)</f>
        <v>8.9889799999999997</v>
      </c>
      <c r="N223" s="80">
        <f>SUM(N210:N222)</f>
        <v>0</v>
      </c>
      <c r="O223" s="128">
        <f>SUM(O210:O222)</f>
        <v>0</v>
      </c>
    </row>
    <row r="225" spans="1:19" ht="15.6">
      <c r="A225" s="110" t="s">
        <v>504</v>
      </c>
      <c r="B225" s="111" t="s">
        <v>232</v>
      </c>
      <c r="C225" s="112" t="s">
        <v>449</v>
      </c>
      <c r="D225" s="113" t="s">
        <v>507</v>
      </c>
      <c r="E225" s="114" t="s">
        <v>15</v>
      </c>
      <c r="F225" s="115" t="s">
        <v>37</v>
      </c>
      <c r="G225" s="116">
        <v>18.2</v>
      </c>
      <c r="H225" s="125">
        <v>11.6</v>
      </c>
      <c r="I225" s="111">
        <v>9</v>
      </c>
      <c r="J225" s="117">
        <f t="shared" ref="J225" si="127">H225*G225*I225/1000</f>
        <v>1.9000799999999998</v>
      </c>
      <c r="K225" s="118"/>
      <c r="L225" s="111">
        <f>8+1</f>
        <v>9</v>
      </c>
      <c r="M225" s="117">
        <f t="shared" ref="M225" si="128">H225*L225*G225/1000</f>
        <v>1.9000799999999998</v>
      </c>
      <c r="N225" s="119">
        <f t="shared" ref="N225" si="129">I225-L225</f>
        <v>0</v>
      </c>
      <c r="O225" s="120">
        <f t="shared" ref="O225" si="130">H225*N225*G225/1000</f>
        <v>0</v>
      </c>
      <c r="P225" s="130"/>
      <c r="Q225" s="320"/>
      <c r="R225" s="32"/>
      <c r="S225" s="32"/>
    </row>
    <row r="226" spans="1:19" ht="15.6">
      <c r="A226" s="110" t="s">
        <v>504</v>
      </c>
      <c r="B226" s="111" t="s">
        <v>232</v>
      </c>
      <c r="C226" s="112" t="s">
        <v>449</v>
      </c>
      <c r="D226" s="113" t="s">
        <v>507</v>
      </c>
      <c r="E226" s="114" t="s">
        <v>15</v>
      </c>
      <c r="F226" s="115" t="s">
        <v>37</v>
      </c>
      <c r="G226" s="116">
        <v>18.2</v>
      </c>
      <c r="H226" s="125">
        <v>10</v>
      </c>
      <c r="I226" s="111">
        <v>10</v>
      </c>
      <c r="J226" s="117">
        <f t="shared" ref="J226:J229" si="131">H226*G226*I226/1000</f>
        <v>1.82</v>
      </c>
      <c r="K226" s="118"/>
      <c r="L226" s="111">
        <v>10</v>
      </c>
      <c r="M226" s="117">
        <f t="shared" ref="M226:M229" si="132">H226*L226*G226/1000</f>
        <v>1.82</v>
      </c>
      <c r="N226" s="119">
        <f t="shared" ref="N226:N229" si="133">I226-L226</f>
        <v>0</v>
      </c>
      <c r="O226" s="120">
        <f t="shared" ref="O226:O228" si="134">H226*N226*G226/1000</f>
        <v>0</v>
      </c>
      <c r="P226" s="130"/>
      <c r="Q226" s="320"/>
      <c r="R226" s="32"/>
      <c r="S226" s="32"/>
    </row>
    <row r="227" spans="1:19" ht="15.6">
      <c r="A227" s="110" t="s">
        <v>504</v>
      </c>
      <c r="B227" s="111" t="s">
        <v>232</v>
      </c>
      <c r="C227" s="112" t="s">
        <v>449</v>
      </c>
      <c r="D227" s="113" t="s">
        <v>507</v>
      </c>
      <c r="E227" s="114" t="s">
        <v>15</v>
      </c>
      <c r="F227" s="115" t="s">
        <v>37</v>
      </c>
      <c r="G227" s="116">
        <v>18.2</v>
      </c>
      <c r="H227" s="125">
        <v>12.1</v>
      </c>
      <c r="I227" s="111">
        <v>1</v>
      </c>
      <c r="J227" s="117">
        <f t="shared" si="131"/>
        <v>0.22022</v>
      </c>
      <c r="K227" s="118"/>
      <c r="L227" s="111">
        <v>1</v>
      </c>
      <c r="M227" s="117">
        <f t="shared" si="132"/>
        <v>0.22022</v>
      </c>
      <c r="N227" s="119">
        <f t="shared" si="133"/>
        <v>0</v>
      </c>
      <c r="O227" s="120">
        <f t="shared" si="134"/>
        <v>0</v>
      </c>
      <c r="P227" s="130">
        <v>11.8</v>
      </c>
      <c r="Q227" s="320">
        <v>1</v>
      </c>
      <c r="R227" s="156" t="s">
        <v>739</v>
      </c>
      <c r="S227" s="32"/>
    </row>
    <row r="228" spans="1:19" ht="15.6">
      <c r="A228" s="110" t="s">
        <v>504</v>
      </c>
      <c r="B228" s="111" t="s">
        <v>232</v>
      </c>
      <c r="C228" s="112" t="s">
        <v>449</v>
      </c>
      <c r="D228" s="113" t="s">
        <v>507</v>
      </c>
      <c r="E228" s="114" t="s">
        <v>15</v>
      </c>
      <c r="F228" s="115" t="s">
        <v>37</v>
      </c>
      <c r="G228" s="116">
        <v>18.2</v>
      </c>
      <c r="H228" s="125">
        <v>10</v>
      </c>
      <c r="I228" s="111">
        <v>14</v>
      </c>
      <c r="J228" s="117">
        <f t="shared" si="131"/>
        <v>2.548</v>
      </c>
      <c r="K228" s="118"/>
      <c r="L228" s="111">
        <f>12+2</f>
        <v>14</v>
      </c>
      <c r="M228" s="117">
        <f t="shared" si="132"/>
        <v>2.548</v>
      </c>
      <c r="N228" s="119">
        <f t="shared" si="133"/>
        <v>0</v>
      </c>
      <c r="O228" s="120">
        <f t="shared" si="134"/>
        <v>0</v>
      </c>
      <c r="P228" s="130">
        <v>9.5</v>
      </c>
      <c r="Q228" s="320">
        <v>2</v>
      </c>
      <c r="R228" s="156" t="s">
        <v>739</v>
      </c>
      <c r="S228" s="32"/>
    </row>
    <row r="229" spans="1:19" ht="15.6">
      <c r="A229" s="110" t="s">
        <v>504</v>
      </c>
      <c r="B229" s="111" t="s">
        <v>232</v>
      </c>
      <c r="C229" s="112" t="s">
        <v>449</v>
      </c>
      <c r="D229" s="113" t="s">
        <v>507</v>
      </c>
      <c r="E229" s="114" t="s">
        <v>15</v>
      </c>
      <c r="F229" s="115" t="s">
        <v>37</v>
      </c>
      <c r="G229" s="116">
        <v>18.2</v>
      </c>
      <c r="H229" s="125">
        <v>11.6</v>
      </c>
      <c r="I229" s="111">
        <v>14</v>
      </c>
      <c r="J229" s="117">
        <f t="shared" si="131"/>
        <v>2.9556799999999996</v>
      </c>
      <c r="K229" s="118"/>
      <c r="L229" s="111">
        <v>14</v>
      </c>
      <c r="M229" s="117">
        <f t="shared" si="132"/>
        <v>2.9556799999999996</v>
      </c>
      <c r="N229" s="119">
        <f t="shared" si="133"/>
        <v>0</v>
      </c>
      <c r="O229" s="120">
        <f>H229*N229*G229/1000</f>
        <v>0</v>
      </c>
      <c r="P229" s="130"/>
      <c r="Q229" s="320"/>
      <c r="R229" s="32"/>
      <c r="S229" s="32"/>
    </row>
    <row r="230" spans="1:19">
      <c r="I230" s="215">
        <f>SUM(I225:I229)</f>
        <v>48</v>
      </c>
      <c r="J230" s="128">
        <f>SUM(J225:J229)</f>
        <v>9.4439799999999998</v>
      </c>
      <c r="L230" s="215">
        <f>SUM(L225:L229)</f>
        <v>48</v>
      </c>
      <c r="M230" s="128">
        <f>SUM(M225:M229)</f>
        <v>9.4439799999999998</v>
      </c>
      <c r="N230" s="78">
        <f>SUM(N225:N229)</f>
        <v>0</v>
      </c>
      <c r="O230" s="128">
        <f>SUM(O225:O229)</f>
        <v>0</v>
      </c>
    </row>
    <row r="232" spans="1:19" ht="15.6">
      <c r="A232" s="110" t="s">
        <v>504</v>
      </c>
      <c r="B232" s="111" t="s">
        <v>505</v>
      </c>
      <c r="C232" s="112" t="s">
        <v>449</v>
      </c>
      <c r="D232" s="113" t="s">
        <v>130</v>
      </c>
      <c r="E232" s="114" t="s">
        <v>15</v>
      </c>
      <c r="F232" s="115" t="s">
        <v>62</v>
      </c>
      <c r="G232" s="116">
        <v>19.899999999999999</v>
      </c>
      <c r="H232" s="125">
        <v>11</v>
      </c>
      <c r="I232" s="111">
        <v>15</v>
      </c>
      <c r="J232" s="117">
        <f t="shared" ref="J232:J235" si="135">H232*G232*I232/1000</f>
        <v>3.2834999999999996</v>
      </c>
      <c r="K232" s="118"/>
      <c r="L232" s="111">
        <v>15</v>
      </c>
      <c r="M232" s="117">
        <f t="shared" ref="M232:M235" si="136">H232*L232*G232/1000</f>
        <v>3.2834999999999996</v>
      </c>
      <c r="N232" s="119">
        <f t="shared" ref="N232:N235" si="137">I232-L232</f>
        <v>0</v>
      </c>
      <c r="O232" s="120">
        <f t="shared" ref="O232:O235" si="138">H232*N232*G232/1000</f>
        <v>0</v>
      </c>
      <c r="P232" s="130"/>
      <c r="Q232" s="320"/>
      <c r="R232" s="32"/>
      <c r="S232" s="32"/>
    </row>
    <row r="233" spans="1:19" ht="15.6">
      <c r="A233" s="110" t="s">
        <v>504</v>
      </c>
      <c r="B233" s="111" t="s">
        <v>505</v>
      </c>
      <c r="C233" s="112" t="s">
        <v>449</v>
      </c>
      <c r="D233" s="113" t="s">
        <v>130</v>
      </c>
      <c r="E233" s="114" t="s">
        <v>15</v>
      </c>
      <c r="F233" s="115" t="s">
        <v>62</v>
      </c>
      <c r="G233" s="116">
        <v>19.899999999999999</v>
      </c>
      <c r="H233" s="125">
        <v>11</v>
      </c>
      <c r="I233" s="111">
        <v>4</v>
      </c>
      <c r="J233" s="117">
        <f t="shared" si="135"/>
        <v>0.87559999999999993</v>
      </c>
      <c r="K233" s="118"/>
      <c r="L233" s="111">
        <v>4</v>
      </c>
      <c r="M233" s="117">
        <f t="shared" si="136"/>
        <v>0.87559999999999993</v>
      </c>
      <c r="N233" s="119">
        <f t="shared" si="137"/>
        <v>0</v>
      </c>
      <c r="O233" s="120">
        <f t="shared" si="138"/>
        <v>0</v>
      </c>
      <c r="P233" s="130"/>
      <c r="Q233" s="320"/>
      <c r="R233" s="32"/>
      <c r="S233" s="32"/>
    </row>
    <row r="234" spans="1:19" ht="15.6">
      <c r="A234" s="110" t="s">
        <v>504</v>
      </c>
      <c r="B234" s="111" t="s">
        <v>505</v>
      </c>
      <c r="C234" s="112" t="s">
        <v>449</v>
      </c>
      <c r="D234" s="113" t="s">
        <v>130</v>
      </c>
      <c r="E234" s="114" t="s">
        <v>15</v>
      </c>
      <c r="F234" s="115" t="s">
        <v>62</v>
      </c>
      <c r="G234" s="116">
        <v>19.899999999999999</v>
      </c>
      <c r="H234" s="125">
        <v>11.6</v>
      </c>
      <c r="I234" s="111">
        <v>3</v>
      </c>
      <c r="J234" s="117">
        <f t="shared" si="135"/>
        <v>0.69252000000000002</v>
      </c>
      <c r="K234" s="118"/>
      <c r="L234" s="111">
        <v>3</v>
      </c>
      <c r="M234" s="117">
        <f t="shared" si="136"/>
        <v>0.69251999999999991</v>
      </c>
      <c r="N234" s="119">
        <f t="shared" si="137"/>
        <v>0</v>
      </c>
      <c r="O234" s="120">
        <f t="shared" si="138"/>
        <v>0</v>
      </c>
      <c r="P234" s="130"/>
      <c r="Q234" s="320"/>
      <c r="R234" s="32"/>
      <c r="S234" s="32"/>
    </row>
    <row r="235" spans="1:19" ht="15.6">
      <c r="A235" s="110" t="s">
        <v>504</v>
      </c>
      <c r="B235" s="111" t="s">
        <v>505</v>
      </c>
      <c r="C235" s="112" t="s">
        <v>449</v>
      </c>
      <c r="D235" s="113" t="s">
        <v>130</v>
      </c>
      <c r="E235" s="114" t="s">
        <v>15</v>
      </c>
      <c r="F235" s="115" t="s">
        <v>62</v>
      </c>
      <c r="G235" s="116">
        <v>19.899999999999999</v>
      </c>
      <c r="H235" s="125">
        <v>11.6</v>
      </c>
      <c r="I235" s="111">
        <v>2</v>
      </c>
      <c r="J235" s="117">
        <f t="shared" si="135"/>
        <v>0.46167999999999992</v>
      </c>
      <c r="K235" s="118"/>
      <c r="L235" s="111">
        <v>2</v>
      </c>
      <c r="M235" s="117">
        <f t="shared" si="136"/>
        <v>0.46167999999999992</v>
      </c>
      <c r="N235" s="119">
        <f t="shared" si="137"/>
        <v>0</v>
      </c>
      <c r="O235" s="120">
        <f t="shared" si="138"/>
        <v>0</v>
      </c>
      <c r="P235" s="130">
        <v>11</v>
      </c>
      <c r="Q235" s="320">
        <v>2</v>
      </c>
      <c r="R235" s="32"/>
      <c r="S235" s="32"/>
    </row>
    <row r="236" spans="1:19" ht="15.6">
      <c r="A236" s="110" t="s">
        <v>504</v>
      </c>
      <c r="B236" s="111" t="s">
        <v>505</v>
      </c>
      <c r="C236" s="112" t="s">
        <v>449</v>
      </c>
      <c r="D236" s="113" t="s">
        <v>130</v>
      </c>
      <c r="E236" s="114" t="s">
        <v>15</v>
      </c>
      <c r="F236" s="115" t="s">
        <v>62</v>
      </c>
      <c r="G236" s="116">
        <v>19.899999999999999</v>
      </c>
      <c r="H236" s="125">
        <v>7.3</v>
      </c>
      <c r="I236" s="111">
        <v>13</v>
      </c>
      <c r="J236" s="117">
        <f t="shared" ref="J236:J241" si="139">H236*G236*I236/1000</f>
        <v>1.8885099999999997</v>
      </c>
      <c r="K236" s="118"/>
      <c r="L236" s="111">
        <v>13</v>
      </c>
      <c r="M236" s="117">
        <f t="shared" ref="M236:M241" si="140">H236*L236*G236/1000</f>
        <v>1.8885099999999997</v>
      </c>
      <c r="N236" s="119">
        <f t="shared" ref="N236:N241" si="141">I236-L236</f>
        <v>0</v>
      </c>
      <c r="O236" s="120">
        <f t="shared" ref="O236:O240" si="142">H236*N236*G236/1000</f>
        <v>0</v>
      </c>
      <c r="P236" s="130"/>
      <c r="Q236" s="320"/>
      <c r="R236" s="32"/>
      <c r="S236" s="32"/>
    </row>
    <row r="237" spans="1:19" ht="15.6">
      <c r="A237" s="110" t="s">
        <v>504</v>
      </c>
      <c r="B237" s="111" t="s">
        <v>505</v>
      </c>
      <c r="C237" s="112" t="s">
        <v>449</v>
      </c>
      <c r="D237" s="113" t="s">
        <v>130</v>
      </c>
      <c r="E237" s="114" t="s">
        <v>15</v>
      </c>
      <c r="F237" s="115" t="s">
        <v>62</v>
      </c>
      <c r="G237" s="116">
        <v>19.899999999999999</v>
      </c>
      <c r="H237" s="125">
        <v>11</v>
      </c>
      <c r="I237" s="111">
        <v>12</v>
      </c>
      <c r="J237" s="117">
        <f t="shared" si="139"/>
        <v>2.6267999999999998</v>
      </c>
      <c r="K237" s="118"/>
      <c r="L237" s="111">
        <v>12</v>
      </c>
      <c r="M237" s="117">
        <f t="shared" si="140"/>
        <v>2.6267999999999998</v>
      </c>
      <c r="N237" s="119">
        <f t="shared" si="141"/>
        <v>0</v>
      </c>
      <c r="O237" s="120">
        <f t="shared" si="142"/>
        <v>0</v>
      </c>
      <c r="P237" s="130"/>
      <c r="Q237" s="320"/>
      <c r="R237" s="32"/>
      <c r="S237" s="32"/>
    </row>
    <row r="238" spans="1:19" ht="15.6">
      <c r="A238" s="110" t="s">
        <v>504</v>
      </c>
      <c r="B238" s="111" t="s">
        <v>505</v>
      </c>
      <c r="C238" s="112" t="s">
        <v>449</v>
      </c>
      <c r="D238" s="113" t="s">
        <v>130</v>
      </c>
      <c r="E238" s="114" t="s">
        <v>15</v>
      </c>
      <c r="F238" s="115" t="s">
        <v>62</v>
      </c>
      <c r="G238" s="116">
        <v>19.899999999999999</v>
      </c>
      <c r="H238" s="125">
        <v>11</v>
      </c>
      <c r="I238" s="111">
        <v>2</v>
      </c>
      <c r="J238" s="117">
        <f t="shared" si="139"/>
        <v>0.43779999999999997</v>
      </c>
      <c r="K238" s="118"/>
      <c r="L238" s="111">
        <v>2</v>
      </c>
      <c r="M238" s="117">
        <f t="shared" si="140"/>
        <v>0.43779999999999997</v>
      </c>
      <c r="N238" s="119">
        <f t="shared" si="141"/>
        <v>0</v>
      </c>
      <c r="O238" s="120">
        <f t="shared" si="142"/>
        <v>0</v>
      </c>
      <c r="P238" s="130"/>
      <c r="Q238" s="320"/>
      <c r="R238" s="32"/>
      <c r="S238" s="32"/>
    </row>
    <row r="239" spans="1:19" ht="15.6">
      <c r="A239" s="110" t="s">
        <v>504</v>
      </c>
      <c r="B239" s="111" t="s">
        <v>505</v>
      </c>
      <c r="C239" s="112" t="s">
        <v>449</v>
      </c>
      <c r="D239" s="113" t="s">
        <v>130</v>
      </c>
      <c r="E239" s="114" t="s">
        <v>15</v>
      </c>
      <c r="F239" s="115" t="s">
        <v>62</v>
      </c>
      <c r="G239" s="116">
        <v>19.899999999999999</v>
      </c>
      <c r="H239" s="125">
        <v>11.6</v>
      </c>
      <c r="I239" s="111">
        <v>8</v>
      </c>
      <c r="J239" s="117">
        <f t="shared" si="139"/>
        <v>1.8467199999999997</v>
      </c>
      <c r="K239" s="118"/>
      <c r="L239" s="111">
        <v>8</v>
      </c>
      <c r="M239" s="117">
        <f t="shared" si="140"/>
        <v>1.8467199999999997</v>
      </c>
      <c r="N239" s="119">
        <f t="shared" si="141"/>
        <v>0</v>
      </c>
      <c r="O239" s="120">
        <f t="shared" si="142"/>
        <v>0</v>
      </c>
      <c r="P239" s="130"/>
      <c r="Q239" s="320"/>
      <c r="R239" s="32"/>
      <c r="S239" s="32"/>
    </row>
    <row r="240" spans="1:19" ht="15.6">
      <c r="A240" s="110" t="s">
        <v>504</v>
      </c>
      <c r="B240" s="111" t="s">
        <v>505</v>
      </c>
      <c r="C240" s="112" t="s">
        <v>449</v>
      </c>
      <c r="D240" s="113" t="s">
        <v>130</v>
      </c>
      <c r="E240" s="114" t="s">
        <v>15</v>
      </c>
      <c r="F240" s="115" t="s">
        <v>62</v>
      </c>
      <c r="G240" s="116">
        <v>19.899999999999999</v>
      </c>
      <c r="H240" s="125">
        <v>7.3</v>
      </c>
      <c r="I240" s="111">
        <v>2</v>
      </c>
      <c r="J240" s="117">
        <f t="shared" si="139"/>
        <v>0.29053999999999996</v>
      </c>
      <c r="K240" s="118"/>
      <c r="L240" s="111">
        <v>2</v>
      </c>
      <c r="M240" s="117">
        <f t="shared" si="140"/>
        <v>0.29053999999999996</v>
      </c>
      <c r="N240" s="119">
        <f t="shared" si="141"/>
        <v>0</v>
      </c>
      <c r="O240" s="120">
        <f t="shared" si="142"/>
        <v>0</v>
      </c>
      <c r="P240" s="130"/>
      <c r="Q240" s="320"/>
      <c r="R240" s="32"/>
      <c r="S240" s="32"/>
    </row>
    <row r="241" spans="1:19" ht="15.6">
      <c r="A241" s="110" t="s">
        <v>504</v>
      </c>
      <c r="B241" s="111" t="s">
        <v>505</v>
      </c>
      <c r="C241" s="112" t="s">
        <v>449</v>
      </c>
      <c r="D241" s="113" t="s">
        <v>130</v>
      </c>
      <c r="E241" s="114" t="s">
        <v>15</v>
      </c>
      <c r="F241" s="115" t="s">
        <v>62</v>
      </c>
      <c r="G241" s="116">
        <v>19.899999999999999</v>
      </c>
      <c r="H241" s="125">
        <v>10.5</v>
      </c>
      <c r="I241" s="111">
        <v>1</v>
      </c>
      <c r="J241" s="117">
        <f t="shared" si="139"/>
        <v>0.20895</v>
      </c>
      <c r="K241" s="118"/>
      <c r="L241" s="111">
        <v>1</v>
      </c>
      <c r="M241" s="117">
        <f t="shared" si="140"/>
        <v>0.20895</v>
      </c>
      <c r="N241" s="119">
        <f t="shared" si="141"/>
        <v>0</v>
      </c>
      <c r="O241" s="120">
        <f>H241*N241*G241/1000</f>
        <v>0</v>
      </c>
      <c r="P241" s="130"/>
      <c r="Q241" s="320"/>
      <c r="R241" s="32"/>
      <c r="S241" s="32"/>
    </row>
    <row r="242" spans="1:19">
      <c r="I242" s="215">
        <f>SUM(I232:I241)</f>
        <v>62</v>
      </c>
      <c r="J242" s="214">
        <f>SUM(J232:J241)</f>
        <v>12.612619999999998</v>
      </c>
      <c r="L242" s="215">
        <f>SUM(L232:L241)</f>
        <v>62</v>
      </c>
      <c r="M242" s="214">
        <f>SUM(M232:M241)</f>
        <v>12.612619999999998</v>
      </c>
      <c r="N242" s="78">
        <f>SUM(N232:N241)</f>
        <v>0</v>
      </c>
      <c r="O242" s="214">
        <f>SUM(O232:O241)</f>
        <v>0</v>
      </c>
    </row>
    <row r="244" spans="1:19" ht="15.6">
      <c r="A244" s="110" t="s">
        <v>504</v>
      </c>
      <c r="B244" s="111" t="s">
        <v>505</v>
      </c>
      <c r="C244" s="112" t="s">
        <v>449</v>
      </c>
      <c r="D244" s="113" t="s">
        <v>130</v>
      </c>
      <c r="E244" s="114" t="s">
        <v>15</v>
      </c>
      <c r="F244" s="115" t="s">
        <v>40</v>
      </c>
      <c r="G244" s="116">
        <v>16.5</v>
      </c>
      <c r="H244" s="125">
        <v>11.15</v>
      </c>
      <c r="I244" s="111">
        <v>20</v>
      </c>
      <c r="J244" s="117">
        <f t="shared" ref="J244" si="143">H244*G244*I244/1000</f>
        <v>3.6795</v>
      </c>
      <c r="K244" s="118"/>
      <c r="L244" s="111">
        <v>20</v>
      </c>
      <c r="M244" s="117">
        <f t="shared" ref="M244" si="144">H244*L244*G244/1000</f>
        <v>3.6795</v>
      </c>
      <c r="N244" s="119">
        <f t="shared" ref="N244" si="145">I244-L244</f>
        <v>0</v>
      </c>
      <c r="O244" s="120">
        <f t="shared" ref="O244" si="146">H244*N244*G244/1000</f>
        <v>0</v>
      </c>
      <c r="P244" s="130"/>
      <c r="Q244" s="320"/>
      <c r="R244" s="32"/>
      <c r="S244" s="32"/>
    </row>
    <row r="245" spans="1:19" ht="15.6">
      <c r="A245" s="110" t="s">
        <v>504</v>
      </c>
      <c r="B245" s="111" t="s">
        <v>505</v>
      </c>
      <c r="C245" s="112" t="s">
        <v>449</v>
      </c>
      <c r="D245" s="113" t="s">
        <v>130</v>
      </c>
      <c r="E245" s="114" t="s">
        <v>15</v>
      </c>
      <c r="F245" s="115" t="s">
        <v>40</v>
      </c>
      <c r="G245" s="116">
        <v>16.5</v>
      </c>
      <c r="H245" s="125">
        <v>7.4</v>
      </c>
      <c r="I245" s="111">
        <v>11</v>
      </c>
      <c r="J245" s="117">
        <f t="shared" ref="J245:J267" si="147">H245*G245*I245/1000</f>
        <v>1.3431000000000002</v>
      </c>
      <c r="K245" s="118"/>
      <c r="L245" s="111">
        <v>11</v>
      </c>
      <c r="M245" s="117">
        <f t="shared" ref="M245:M267" si="148">H245*L245*G245/1000</f>
        <v>1.3431000000000002</v>
      </c>
      <c r="N245" s="119">
        <f t="shared" ref="N245:N267" si="149">I245-L245</f>
        <v>0</v>
      </c>
      <c r="O245" s="120">
        <f t="shared" ref="O245:O267" si="150">H245*N245*G245/1000</f>
        <v>0</v>
      </c>
      <c r="P245" s="130"/>
      <c r="Q245" s="320"/>
      <c r="R245" s="32"/>
      <c r="S245" s="32"/>
    </row>
    <row r="246" spans="1:19" ht="15.6">
      <c r="A246" s="110" t="s">
        <v>504</v>
      </c>
      <c r="B246" s="111" t="s">
        <v>505</v>
      </c>
      <c r="C246" s="112" t="s">
        <v>449</v>
      </c>
      <c r="D246" s="113" t="s">
        <v>130</v>
      </c>
      <c r="E246" s="114" t="s">
        <v>15</v>
      </c>
      <c r="F246" s="115" t="s">
        <v>40</v>
      </c>
      <c r="G246" s="116">
        <v>16.5</v>
      </c>
      <c r="H246" s="125">
        <v>11.15</v>
      </c>
      <c r="I246" s="111">
        <v>18</v>
      </c>
      <c r="J246" s="117">
        <f t="shared" si="147"/>
        <v>3.3115499999999995</v>
      </c>
      <c r="K246" s="118"/>
      <c r="L246" s="111">
        <f>18+38</f>
        <v>56</v>
      </c>
      <c r="M246" s="117">
        <f t="shared" si="148"/>
        <v>10.3026</v>
      </c>
      <c r="N246" s="228">
        <f t="shared" si="149"/>
        <v>-38</v>
      </c>
      <c r="O246" s="229">
        <f t="shared" si="150"/>
        <v>-6.9910500000000004</v>
      </c>
      <c r="P246" s="405" t="s">
        <v>525</v>
      </c>
      <c r="Q246" s="406"/>
      <c r="R246" s="32"/>
      <c r="S246" s="32"/>
    </row>
    <row r="247" spans="1:19" ht="15.6">
      <c r="A247" s="110" t="s">
        <v>504</v>
      </c>
      <c r="B247" s="111" t="s">
        <v>505</v>
      </c>
      <c r="C247" s="112" t="s">
        <v>449</v>
      </c>
      <c r="D247" s="113" t="s">
        <v>130</v>
      </c>
      <c r="E247" s="114" t="s">
        <v>15</v>
      </c>
      <c r="F247" s="115" t="s">
        <v>40</v>
      </c>
      <c r="G247" s="116">
        <v>16.5</v>
      </c>
      <c r="H247" s="125">
        <v>11.15</v>
      </c>
      <c r="I247" s="111">
        <v>18</v>
      </c>
      <c r="J247" s="117">
        <f t="shared" si="147"/>
        <v>3.3115499999999995</v>
      </c>
      <c r="K247" s="118"/>
      <c r="L247" s="111">
        <v>18</v>
      </c>
      <c r="M247" s="117">
        <f t="shared" si="148"/>
        <v>3.31155</v>
      </c>
      <c r="N247" s="119">
        <f t="shared" si="149"/>
        <v>0</v>
      </c>
      <c r="O247" s="120">
        <f t="shared" si="150"/>
        <v>0</v>
      </c>
      <c r="P247" s="130"/>
      <c r="Q247" s="320"/>
      <c r="R247" s="32"/>
      <c r="S247" s="32"/>
    </row>
    <row r="248" spans="1:19" ht="15.6">
      <c r="A248" s="110" t="s">
        <v>504</v>
      </c>
      <c r="B248" s="111" t="s">
        <v>505</v>
      </c>
      <c r="C248" s="112" t="s">
        <v>449</v>
      </c>
      <c r="D248" s="113" t="s">
        <v>130</v>
      </c>
      <c r="E248" s="114" t="s">
        <v>15</v>
      </c>
      <c r="F248" s="115" t="s">
        <v>40</v>
      </c>
      <c r="G248" s="116">
        <v>16.5</v>
      </c>
      <c r="H248" s="125">
        <v>11.15</v>
      </c>
      <c r="I248" s="111">
        <v>18</v>
      </c>
      <c r="J248" s="117">
        <f t="shared" si="147"/>
        <v>3.3115499999999995</v>
      </c>
      <c r="K248" s="118"/>
      <c r="L248" s="111">
        <v>18</v>
      </c>
      <c r="M248" s="117">
        <f t="shared" si="148"/>
        <v>3.31155</v>
      </c>
      <c r="N248" s="119">
        <f t="shared" si="149"/>
        <v>0</v>
      </c>
      <c r="O248" s="120">
        <f t="shared" si="150"/>
        <v>0</v>
      </c>
      <c r="P248" s="130"/>
      <c r="Q248" s="320"/>
      <c r="R248" s="32"/>
      <c r="S248" s="32"/>
    </row>
    <row r="249" spans="1:19" ht="15.6">
      <c r="A249" s="110" t="s">
        <v>504</v>
      </c>
      <c r="B249" s="111" t="s">
        <v>505</v>
      </c>
      <c r="C249" s="112" t="s">
        <v>449</v>
      </c>
      <c r="D249" s="113" t="s">
        <v>130</v>
      </c>
      <c r="E249" s="114" t="s">
        <v>15</v>
      </c>
      <c r="F249" s="115" t="s">
        <v>40</v>
      </c>
      <c r="G249" s="116">
        <v>16.5</v>
      </c>
      <c r="H249" s="125">
        <v>11.15</v>
      </c>
      <c r="I249" s="111">
        <v>18</v>
      </c>
      <c r="J249" s="117">
        <f t="shared" si="147"/>
        <v>3.3115499999999995</v>
      </c>
      <c r="K249" s="118"/>
      <c r="L249" s="111">
        <v>18</v>
      </c>
      <c r="M249" s="117">
        <f t="shared" si="148"/>
        <v>3.31155</v>
      </c>
      <c r="N249" s="119">
        <f t="shared" si="149"/>
        <v>0</v>
      </c>
      <c r="O249" s="120">
        <f t="shared" si="150"/>
        <v>0</v>
      </c>
      <c r="P249" s="130"/>
      <c r="Q249" s="320"/>
      <c r="R249" s="32"/>
      <c r="S249" s="32"/>
    </row>
    <row r="250" spans="1:19" ht="15.6">
      <c r="A250" s="110" t="s">
        <v>504</v>
      </c>
      <c r="B250" s="111" t="s">
        <v>505</v>
      </c>
      <c r="C250" s="112" t="s">
        <v>449</v>
      </c>
      <c r="D250" s="113" t="s">
        <v>130</v>
      </c>
      <c r="E250" s="114" t="s">
        <v>15</v>
      </c>
      <c r="F250" s="115" t="s">
        <v>40</v>
      </c>
      <c r="G250" s="116">
        <v>16.5</v>
      </c>
      <c r="H250" s="125">
        <v>11.15</v>
      </c>
      <c r="I250" s="111">
        <v>18</v>
      </c>
      <c r="J250" s="117">
        <f t="shared" si="147"/>
        <v>3.3115499999999995</v>
      </c>
      <c r="K250" s="118"/>
      <c r="L250" s="111">
        <v>18</v>
      </c>
      <c r="M250" s="117">
        <f t="shared" si="148"/>
        <v>3.31155</v>
      </c>
      <c r="N250" s="119">
        <f t="shared" si="149"/>
        <v>0</v>
      </c>
      <c r="O250" s="120">
        <f t="shared" si="150"/>
        <v>0</v>
      </c>
      <c r="P250" s="130"/>
      <c r="Q250" s="320"/>
      <c r="R250" s="32"/>
      <c r="S250" s="32"/>
    </row>
    <row r="251" spans="1:19" ht="15.6">
      <c r="A251" s="110" t="s">
        <v>504</v>
      </c>
      <c r="B251" s="111" t="s">
        <v>505</v>
      </c>
      <c r="C251" s="112" t="s">
        <v>449</v>
      </c>
      <c r="D251" s="113" t="s">
        <v>130</v>
      </c>
      <c r="E251" s="114" t="s">
        <v>15</v>
      </c>
      <c r="F251" s="115" t="s">
        <v>40</v>
      </c>
      <c r="G251" s="116">
        <v>16.5</v>
      </c>
      <c r="H251" s="125">
        <v>11.15</v>
      </c>
      <c r="I251" s="111">
        <v>18</v>
      </c>
      <c r="J251" s="117">
        <f t="shared" si="147"/>
        <v>3.3115499999999995</v>
      </c>
      <c r="K251" s="118"/>
      <c r="L251" s="111">
        <v>18</v>
      </c>
      <c r="M251" s="117">
        <f t="shared" si="148"/>
        <v>3.31155</v>
      </c>
      <c r="N251" s="119">
        <f t="shared" si="149"/>
        <v>0</v>
      </c>
      <c r="O251" s="120">
        <f t="shared" si="150"/>
        <v>0</v>
      </c>
      <c r="P251" s="130"/>
      <c r="Q251" s="320"/>
      <c r="R251" s="32"/>
      <c r="S251" s="32"/>
    </row>
    <row r="252" spans="1:19" ht="15.6">
      <c r="A252" s="110" t="s">
        <v>504</v>
      </c>
      <c r="B252" s="111" t="s">
        <v>505</v>
      </c>
      <c r="C252" s="112" t="s">
        <v>449</v>
      </c>
      <c r="D252" s="113" t="s">
        <v>130</v>
      </c>
      <c r="E252" s="114" t="s">
        <v>15</v>
      </c>
      <c r="F252" s="115" t="s">
        <v>40</v>
      </c>
      <c r="G252" s="116">
        <v>16.5</v>
      </c>
      <c r="H252" s="125">
        <v>10.5</v>
      </c>
      <c r="I252" s="111">
        <v>18</v>
      </c>
      <c r="J252" s="117">
        <f t="shared" si="147"/>
        <v>3.1185</v>
      </c>
      <c r="K252" s="118"/>
      <c r="L252" s="111">
        <v>18</v>
      </c>
      <c r="M252" s="117">
        <f t="shared" si="148"/>
        <v>3.1185</v>
      </c>
      <c r="N252" s="119">
        <f t="shared" si="149"/>
        <v>0</v>
      </c>
      <c r="O252" s="120">
        <f t="shared" si="150"/>
        <v>0</v>
      </c>
      <c r="P252" s="130"/>
      <c r="Q252" s="320"/>
      <c r="R252" s="32"/>
      <c r="S252" s="32"/>
    </row>
    <row r="253" spans="1:19" ht="15.6">
      <c r="A253" s="110" t="s">
        <v>504</v>
      </c>
      <c r="B253" s="111" t="s">
        <v>505</v>
      </c>
      <c r="C253" s="112" t="s">
        <v>449</v>
      </c>
      <c r="D253" s="113" t="s">
        <v>130</v>
      </c>
      <c r="E253" s="114" t="s">
        <v>15</v>
      </c>
      <c r="F253" s="115" t="s">
        <v>40</v>
      </c>
      <c r="G253" s="116">
        <v>16.5</v>
      </c>
      <c r="H253" s="125">
        <v>10.5</v>
      </c>
      <c r="I253" s="111">
        <v>14</v>
      </c>
      <c r="J253" s="117">
        <f t="shared" si="147"/>
        <v>2.4255</v>
      </c>
      <c r="K253" s="118"/>
      <c r="L253" s="111">
        <v>14</v>
      </c>
      <c r="M253" s="117">
        <f t="shared" si="148"/>
        <v>2.4255</v>
      </c>
      <c r="N253" s="119">
        <f t="shared" si="149"/>
        <v>0</v>
      </c>
      <c r="O253" s="120">
        <f t="shared" si="150"/>
        <v>0</v>
      </c>
      <c r="P253" s="130"/>
      <c r="Q253" s="320"/>
      <c r="R253" s="32"/>
      <c r="S253" s="32"/>
    </row>
    <row r="254" spans="1:19" ht="15.6">
      <c r="A254" s="110" t="s">
        <v>504</v>
      </c>
      <c r="B254" s="111" t="s">
        <v>505</v>
      </c>
      <c r="C254" s="112" t="s">
        <v>449</v>
      </c>
      <c r="D254" s="113" t="s">
        <v>130</v>
      </c>
      <c r="E254" s="114" t="s">
        <v>15</v>
      </c>
      <c r="F254" s="115" t="s">
        <v>40</v>
      </c>
      <c r="G254" s="116">
        <v>16.5</v>
      </c>
      <c r="H254" s="125">
        <v>11.15</v>
      </c>
      <c r="I254" s="111">
        <v>8</v>
      </c>
      <c r="J254" s="117">
        <f t="shared" si="147"/>
        <v>1.4718</v>
      </c>
      <c r="K254" s="118"/>
      <c r="L254" s="111">
        <v>8</v>
      </c>
      <c r="M254" s="117">
        <f t="shared" si="148"/>
        <v>1.4718</v>
      </c>
      <c r="N254" s="119">
        <f t="shared" si="149"/>
        <v>0</v>
      </c>
      <c r="O254" s="120">
        <f t="shared" si="150"/>
        <v>0</v>
      </c>
      <c r="P254" s="130"/>
      <c r="Q254" s="320"/>
      <c r="R254" s="32"/>
      <c r="S254" s="32"/>
    </row>
    <row r="255" spans="1:19" ht="15.6">
      <c r="A255" s="110" t="s">
        <v>504</v>
      </c>
      <c r="B255" s="111" t="s">
        <v>505</v>
      </c>
      <c r="C255" s="112" t="s">
        <v>449</v>
      </c>
      <c r="D255" s="113" t="s">
        <v>130</v>
      </c>
      <c r="E255" s="114" t="s">
        <v>15</v>
      </c>
      <c r="F255" s="115" t="s">
        <v>40</v>
      </c>
      <c r="G255" s="116">
        <v>16.5</v>
      </c>
      <c r="H255" s="125">
        <v>9</v>
      </c>
      <c r="I255" s="111">
        <v>1</v>
      </c>
      <c r="J255" s="117">
        <f t="shared" si="147"/>
        <v>0.14849999999999999</v>
      </c>
      <c r="K255" s="118"/>
      <c r="L255" s="111">
        <v>1</v>
      </c>
      <c r="M255" s="117">
        <f t="shared" si="148"/>
        <v>0.14849999999999999</v>
      </c>
      <c r="N255" s="119">
        <f t="shared" si="149"/>
        <v>0</v>
      </c>
      <c r="O255" s="120">
        <f t="shared" si="150"/>
        <v>0</v>
      </c>
      <c r="P255" s="130">
        <v>7.4</v>
      </c>
      <c r="Q255" s="320">
        <v>1</v>
      </c>
      <c r="R255" s="32"/>
      <c r="S255" s="32"/>
    </row>
    <row r="256" spans="1:19" ht="15.6">
      <c r="A256" s="110" t="s">
        <v>504</v>
      </c>
      <c r="B256" s="111" t="s">
        <v>505</v>
      </c>
      <c r="C256" s="112" t="s">
        <v>449</v>
      </c>
      <c r="D256" s="113" t="s">
        <v>130</v>
      </c>
      <c r="E256" s="114" t="s">
        <v>15</v>
      </c>
      <c r="F256" s="115" t="s">
        <v>40</v>
      </c>
      <c r="G256" s="116">
        <v>16.5</v>
      </c>
      <c r="H256" s="125">
        <v>10</v>
      </c>
      <c r="I256" s="111">
        <v>2</v>
      </c>
      <c r="J256" s="117">
        <f t="shared" si="147"/>
        <v>0.33</v>
      </c>
      <c r="K256" s="118"/>
      <c r="L256" s="111">
        <v>2</v>
      </c>
      <c r="M256" s="117">
        <f t="shared" si="148"/>
        <v>0.33</v>
      </c>
      <c r="N256" s="119">
        <f t="shared" si="149"/>
        <v>0</v>
      </c>
      <c r="O256" s="120">
        <f t="shared" si="150"/>
        <v>0</v>
      </c>
      <c r="P256" s="130">
        <v>7.4</v>
      </c>
      <c r="Q256" s="320">
        <v>2</v>
      </c>
      <c r="R256" s="32"/>
      <c r="S256" s="32"/>
    </row>
    <row r="257" spans="1:19" ht="15.6">
      <c r="A257" s="110" t="s">
        <v>504</v>
      </c>
      <c r="B257" s="111" t="s">
        <v>505</v>
      </c>
      <c r="C257" s="112" t="s">
        <v>449</v>
      </c>
      <c r="D257" s="113" t="s">
        <v>130</v>
      </c>
      <c r="E257" s="114" t="s">
        <v>15</v>
      </c>
      <c r="F257" s="115" t="s">
        <v>40</v>
      </c>
      <c r="G257" s="116">
        <v>16.5</v>
      </c>
      <c r="H257" s="125">
        <v>10.199999999999999</v>
      </c>
      <c r="I257" s="111">
        <v>1</v>
      </c>
      <c r="J257" s="117">
        <f t="shared" si="147"/>
        <v>0.16829999999999998</v>
      </c>
      <c r="K257" s="118"/>
      <c r="L257" s="111">
        <v>1</v>
      </c>
      <c r="M257" s="117">
        <f t="shared" si="148"/>
        <v>0.16829999999999998</v>
      </c>
      <c r="N257" s="119">
        <f t="shared" si="149"/>
        <v>0</v>
      </c>
      <c r="O257" s="120">
        <f t="shared" si="150"/>
        <v>0</v>
      </c>
      <c r="P257" s="130">
        <v>7.4</v>
      </c>
      <c r="Q257" s="320">
        <v>1</v>
      </c>
      <c r="R257" s="32"/>
      <c r="S257" s="32"/>
    </row>
    <row r="258" spans="1:19" ht="15.6">
      <c r="A258" s="110" t="s">
        <v>504</v>
      </c>
      <c r="B258" s="111" t="s">
        <v>505</v>
      </c>
      <c r="C258" s="112" t="s">
        <v>449</v>
      </c>
      <c r="D258" s="113" t="s">
        <v>130</v>
      </c>
      <c r="E258" s="114" t="s">
        <v>15</v>
      </c>
      <c r="F258" s="115" t="s">
        <v>40</v>
      </c>
      <c r="G258" s="116">
        <v>16.5</v>
      </c>
      <c r="H258" s="125">
        <v>11.15</v>
      </c>
      <c r="I258" s="111">
        <v>2</v>
      </c>
      <c r="J258" s="117">
        <f t="shared" si="147"/>
        <v>0.36795</v>
      </c>
      <c r="K258" s="118"/>
      <c r="L258" s="111">
        <v>2</v>
      </c>
      <c r="M258" s="117">
        <f t="shared" si="148"/>
        <v>0.36795</v>
      </c>
      <c r="N258" s="119">
        <f t="shared" si="149"/>
        <v>0</v>
      </c>
      <c r="O258" s="120">
        <f t="shared" si="150"/>
        <v>0</v>
      </c>
      <c r="P258" s="130"/>
      <c r="Q258" s="320"/>
      <c r="R258" s="32"/>
      <c r="S258" s="32"/>
    </row>
    <row r="259" spans="1:19" ht="15.6">
      <c r="A259" s="110" t="s">
        <v>504</v>
      </c>
      <c r="B259" s="111" t="s">
        <v>505</v>
      </c>
      <c r="C259" s="112" t="s">
        <v>449</v>
      </c>
      <c r="D259" s="113" t="s">
        <v>130</v>
      </c>
      <c r="E259" s="114" t="s">
        <v>15</v>
      </c>
      <c r="F259" s="115" t="s">
        <v>40</v>
      </c>
      <c r="G259" s="116">
        <v>16.5</v>
      </c>
      <c r="H259" s="125">
        <v>11.15</v>
      </c>
      <c r="I259" s="111">
        <v>18</v>
      </c>
      <c r="J259" s="117">
        <f t="shared" si="147"/>
        <v>3.3115499999999995</v>
      </c>
      <c r="K259" s="118"/>
      <c r="L259" s="111">
        <v>18</v>
      </c>
      <c r="M259" s="117">
        <f t="shared" si="148"/>
        <v>3.31155</v>
      </c>
      <c r="N259" s="119">
        <f t="shared" si="149"/>
        <v>0</v>
      </c>
      <c r="O259" s="120">
        <f t="shared" si="150"/>
        <v>0</v>
      </c>
      <c r="P259" s="130"/>
      <c r="Q259" s="320"/>
      <c r="R259" s="32"/>
      <c r="S259" s="32"/>
    </row>
    <row r="260" spans="1:19" ht="15.6">
      <c r="A260" s="110" t="s">
        <v>504</v>
      </c>
      <c r="B260" s="111" t="s">
        <v>505</v>
      </c>
      <c r="C260" s="112" t="s">
        <v>449</v>
      </c>
      <c r="D260" s="113" t="s">
        <v>130</v>
      </c>
      <c r="E260" s="114" t="s">
        <v>15</v>
      </c>
      <c r="F260" s="115" t="s">
        <v>40</v>
      </c>
      <c r="G260" s="116">
        <v>16.5</v>
      </c>
      <c r="H260" s="125">
        <v>11.15</v>
      </c>
      <c r="I260" s="111">
        <v>18</v>
      </c>
      <c r="J260" s="117">
        <f t="shared" si="147"/>
        <v>3.3115499999999995</v>
      </c>
      <c r="K260" s="118"/>
      <c r="L260" s="111">
        <v>18</v>
      </c>
      <c r="M260" s="117">
        <f t="shared" si="148"/>
        <v>3.31155</v>
      </c>
      <c r="N260" s="119">
        <f t="shared" si="149"/>
        <v>0</v>
      </c>
      <c r="O260" s="120">
        <f t="shared" si="150"/>
        <v>0</v>
      </c>
      <c r="P260" s="130"/>
      <c r="Q260" s="320"/>
      <c r="R260" s="32"/>
      <c r="S260" s="32"/>
    </row>
    <row r="261" spans="1:19" ht="15.6">
      <c r="A261" s="110" t="s">
        <v>504</v>
      </c>
      <c r="B261" s="111" t="s">
        <v>505</v>
      </c>
      <c r="C261" s="112" t="s">
        <v>449</v>
      </c>
      <c r="D261" s="113" t="s">
        <v>130</v>
      </c>
      <c r="E261" s="114" t="s">
        <v>15</v>
      </c>
      <c r="F261" s="115" t="s">
        <v>40</v>
      </c>
      <c r="G261" s="116">
        <v>16.5</v>
      </c>
      <c r="H261" s="125">
        <v>11.15</v>
      </c>
      <c r="I261" s="111">
        <v>18</v>
      </c>
      <c r="J261" s="117">
        <f t="shared" si="147"/>
        <v>3.3115499999999995</v>
      </c>
      <c r="K261" s="118"/>
      <c r="L261" s="111">
        <v>18</v>
      </c>
      <c r="M261" s="117">
        <f t="shared" si="148"/>
        <v>3.31155</v>
      </c>
      <c r="N261" s="119">
        <f t="shared" si="149"/>
        <v>0</v>
      </c>
      <c r="O261" s="120">
        <f t="shared" si="150"/>
        <v>0</v>
      </c>
      <c r="P261" s="130"/>
      <c r="Q261" s="320"/>
      <c r="R261" s="32"/>
      <c r="S261" s="32"/>
    </row>
    <row r="262" spans="1:19" ht="15.6">
      <c r="A262" s="110" t="s">
        <v>504</v>
      </c>
      <c r="B262" s="111" t="s">
        <v>505</v>
      </c>
      <c r="C262" s="112" t="s">
        <v>449</v>
      </c>
      <c r="D262" s="113" t="s">
        <v>130</v>
      </c>
      <c r="E262" s="114" t="s">
        <v>15</v>
      </c>
      <c r="F262" s="115" t="s">
        <v>40</v>
      </c>
      <c r="G262" s="116">
        <v>16.5</v>
      </c>
      <c r="H262" s="125">
        <v>11.15</v>
      </c>
      <c r="I262" s="111">
        <v>18</v>
      </c>
      <c r="J262" s="117">
        <f t="shared" si="147"/>
        <v>3.3115499999999995</v>
      </c>
      <c r="K262" s="118"/>
      <c r="L262" s="111">
        <v>18</v>
      </c>
      <c r="M262" s="117">
        <f t="shared" si="148"/>
        <v>3.31155</v>
      </c>
      <c r="N262" s="119">
        <f t="shared" si="149"/>
        <v>0</v>
      </c>
      <c r="O262" s="120">
        <f t="shared" si="150"/>
        <v>0</v>
      </c>
      <c r="P262" s="130"/>
      <c r="Q262" s="320"/>
      <c r="R262" s="32"/>
      <c r="S262" s="32"/>
    </row>
    <row r="263" spans="1:19" ht="15.6">
      <c r="A263" s="110" t="s">
        <v>504</v>
      </c>
      <c r="B263" s="111" t="s">
        <v>505</v>
      </c>
      <c r="C263" s="112" t="s">
        <v>449</v>
      </c>
      <c r="D263" s="113" t="s">
        <v>130</v>
      </c>
      <c r="E263" s="114" t="s">
        <v>15</v>
      </c>
      <c r="F263" s="115" t="s">
        <v>40</v>
      </c>
      <c r="G263" s="116">
        <v>16.5</v>
      </c>
      <c r="H263" s="125">
        <v>11.15</v>
      </c>
      <c r="I263" s="111">
        <v>18</v>
      </c>
      <c r="J263" s="117">
        <f t="shared" si="147"/>
        <v>3.3115499999999995</v>
      </c>
      <c r="K263" s="118"/>
      <c r="L263" s="111">
        <v>18</v>
      </c>
      <c r="M263" s="117">
        <f t="shared" si="148"/>
        <v>3.31155</v>
      </c>
      <c r="N263" s="119">
        <f t="shared" si="149"/>
        <v>0</v>
      </c>
      <c r="O263" s="120">
        <f t="shared" si="150"/>
        <v>0</v>
      </c>
      <c r="P263" s="130"/>
      <c r="Q263" s="320"/>
      <c r="R263" s="32"/>
      <c r="S263" s="32"/>
    </row>
    <row r="264" spans="1:19" ht="15.6">
      <c r="A264" s="110" t="s">
        <v>504</v>
      </c>
      <c r="B264" s="111" t="s">
        <v>505</v>
      </c>
      <c r="C264" s="112" t="s">
        <v>449</v>
      </c>
      <c r="D264" s="113" t="s">
        <v>130</v>
      </c>
      <c r="E264" s="114" t="s">
        <v>15</v>
      </c>
      <c r="F264" s="115" t="s">
        <v>40</v>
      </c>
      <c r="G264" s="116">
        <v>16.5</v>
      </c>
      <c r="H264" s="125">
        <v>11.15</v>
      </c>
      <c r="I264" s="111">
        <v>18</v>
      </c>
      <c r="J264" s="117">
        <f t="shared" si="147"/>
        <v>3.3115499999999995</v>
      </c>
      <c r="K264" s="118"/>
      <c r="L264" s="111">
        <v>18</v>
      </c>
      <c r="M264" s="117">
        <f t="shared" si="148"/>
        <v>3.31155</v>
      </c>
      <c r="N264" s="119">
        <f t="shared" si="149"/>
        <v>0</v>
      </c>
      <c r="O264" s="120">
        <f t="shared" si="150"/>
        <v>0</v>
      </c>
      <c r="P264" s="130"/>
      <c r="Q264" s="320"/>
      <c r="R264" s="32"/>
      <c r="S264" s="32"/>
    </row>
    <row r="265" spans="1:19" ht="15.6">
      <c r="A265" s="110" t="s">
        <v>504</v>
      </c>
      <c r="B265" s="111" t="s">
        <v>505</v>
      </c>
      <c r="C265" s="112" t="s">
        <v>449</v>
      </c>
      <c r="D265" s="113" t="s">
        <v>130</v>
      </c>
      <c r="E265" s="114" t="s">
        <v>15</v>
      </c>
      <c r="F265" s="115" t="s">
        <v>40</v>
      </c>
      <c r="G265" s="116">
        <v>16.5</v>
      </c>
      <c r="H265" s="125">
        <v>11.15</v>
      </c>
      <c r="I265" s="111">
        <v>18</v>
      </c>
      <c r="J265" s="117">
        <f t="shared" si="147"/>
        <v>3.3115499999999995</v>
      </c>
      <c r="K265" s="118"/>
      <c r="L265" s="111">
        <v>18</v>
      </c>
      <c r="M265" s="117">
        <f t="shared" si="148"/>
        <v>3.31155</v>
      </c>
      <c r="N265" s="119">
        <f t="shared" si="149"/>
        <v>0</v>
      </c>
      <c r="O265" s="120">
        <f t="shared" si="150"/>
        <v>0</v>
      </c>
      <c r="P265" s="130"/>
      <c r="Q265" s="320"/>
      <c r="R265" s="32"/>
      <c r="S265" s="32"/>
    </row>
    <row r="266" spans="1:19" ht="15.6">
      <c r="A266" s="110" t="s">
        <v>504</v>
      </c>
      <c r="B266" s="111" t="s">
        <v>505</v>
      </c>
      <c r="C266" s="112" t="s">
        <v>449</v>
      </c>
      <c r="D266" s="113" t="s">
        <v>130</v>
      </c>
      <c r="E266" s="114" t="s">
        <v>15</v>
      </c>
      <c r="F266" s="115" t="s">
        <v>40</v>
      </c>
      <c r="G266" s="116">
        <v>16.5</v>
      </c>
      <c r="H266" s="125">
        <v>11.15</v>
      </c>
      <c r="I266" s="111">
        <v>18</v>
      </c>
      <c r="J266" s="117">
        <f t="shared" si="147"/>
        <v>3.3115499999999995</v>
      </c>
      <c r="K266" s="118"/>
      <c r="L266" s="111">
        <v>18</v>
      </c>
      <c r="M266" s="117">
        <f t="shared" si="148"/>
        <v>3.31155</v>
      </c>
      <c r="N266" s="119">
        <f t="shared" si="149"/>
        <v>0</v>
      </c>
      <c r="O266" s="120">
        <f t="shared" si="150"/>
        <v>0</v>
      </c>
      <c r="P266" s="130"/>
      <c r="Q266" s="320"/>
      <c r="R266" s="32"/>
      <c r="S266" s="32"/>
    </row>
    <row r="267" spans="1:19" ht="15.6">
      <c r="A267" s="110" t="s">
        <v>504</v>
      </c>
      <c r="B267" s="111" t="s">
        <v>505</v>
      </c>
      <c r="C267" s="112" t="s">
        <v>449</v>
      </c>
      <c r="D267" s="113" t="s">
        <v>130</v>
      </c>
      <c r="E267" s="114" t="s">
        <v>15</v>
      </c>
      <c r="F267" s="115" t="s">
        <v>40</v>
      </c>
      <c r="G267" s="116">
        <v>16.5</v>
      </c>
      <c r="H267" s="125">
        <v>11.15</v>
      </c>
      <c r="I267" s="111">
        <v>18</v>
      </c>
      <c r="J267" s="117">
        <f t="shared" si="147"/>
        <v>3.3115499999999995</v>
      </c>
      <c r="K267" s="118"/>
      <c r="L267" s="111">
        <v>18</v>
      </c>
      <c r="M267" s="117">
        <f t="shared" si="148"/>
        <v>3.31155</v>
      </c>
      <c r="N267" s="119">
        <f t="shared" si="149"/>
        <v>0</v>
      </c>
      <c r="O267" s="120">
        <f t="shared" si="150"/>
        <v>0</v>
      </c>
      <c r="P267" s="130"/>
      <c r="Q267" s="320"/>
      <c r="R267" s="32"/>
      <c r="S267" s="32"/>
    </row>
    <row r="268" spans="1:19" ht="15.6">
      <c r="A268" s="110" t="s">
        <v>504</v>
      </c>
      <c r="B268" s="111" t="s">
        <v>505</v>
      </c>
      <c r="C268" s="112" t="s">
        <v>449</v>
      </c>
      <c r="D268" s="113" t="s">
        <v>130</v>
      </c>
      <c r="E268" s="114" t="s">
        <v>15</v>
      </c>
      <c r="F268" s="115" t="s">
        <v>40</v>
      </c>
      <c r="G268" s="116">
        <v>16.5</v>
      </c>
      <c r="H268" s="125">
        <v>11.15</v>
      </c>
      <c r="I268" s="111">
        <v>18</v>
      </c>
      <c r="J268" s="117">
        <f t="shared" ref="J268:J277" si="151">H268*G268*I268/1000</f>
        <v>3.3115499999999995</v>
      </c>
      <c r="K268" s="118"/>
      <c r="L268" s="111">
        <v>18</v>
      </c>
      <c r="M268" s="117">
        <f t="shared" ref="M268:M277" si="152">H268*L268*G268/1000</f>
        <v>3.31155</v>
      </c>
      <c r="N268" s="119">
        <f t="shared" ref="N268:N277" si="153">I268-L268</f>
        <v>0</v>
      </c>
      <c r="O268" s="120">
        <f t="shared" ref="O268:O277" si="154">H268*N268*G268/1000</f>
        <v>0</v>
      </c>
      <c r="P268" s="130"/>
      <c r="Q268" s="320"/>
      <c r="R268" s="32"/>
      <c r="S268" s="32"/>
    </row>
    <row r="269" spans="1:19" ht="15.6">
      <c r="A269" s="110" t="s">
        <v>504</v>
      </c>
      <c r="B269" s="111" t="s">
        <v>505</v>
      </c>
      <c r="C269" s="112" t="s">
        <v>449</v>
      </c>
      <c r="D269" s="113" t="s">
        <v>130</v>
      </c>
      <c r="E269" s="114" t="s">
        <v>15</v>
      </c>
      <c r="F269" s="115" t="s">
        <v>40</v>
      </c>
      <c r="G269" s="116">
        <v>16.5</v>
      </c>
      <c r="H269" s="125">
        <v>10.5</v>
      </c>
      <c r="I269" s="111">
        <v>18</v>
      </c>
      <c r="J269" s="117">
        <f t="shared" si="151"/>
        <v>3.1185</v>
      </c>
      <c r="K269" s="118"/>
      <c r="L269" s="111">
        <v>18</v>
      </c>
      <c r="M269" s="117">
        <f t="shared" si="152"/>
        <v>3.1185</v>
      </c>
      <c r="N269" s="119">
        <f t="shared" si="153"/>
        <v>0</v>
      </c>
      <c r="O269" s="120">
        <f t="shared" si="154"/>
        <v>0</v>
      </c>
      <c r="P269" s="130"/>
      <c r="Q269" s="320"/>
      <c r="R269" s="32"/>
      <c r="S269" s="32"/>
    </row>
    <row r="270" spans="1:19" ht="15.6">
      <c r="A270" s="110" t="s">
        <v>504</v>
      </c>
      <c r="B270" s="111" t="s">
        <v>505</v>
      </c>
      <c r="C270" s="112" t="s">
        <v>449</v>
      </c>
      <c r="D270" s="113" t="s">
        <v>130</v>
      </c>
      <c r="E270" s="114" t="s">
        <v>15</v>
      </c>
      <c r="F270" s="115" t="s">
        <v>40</v>
      </c>
      <c r="G270" s="116">
        <v>16.5</v>
      </c>
      <c r="H270" s="125">
        <v>10.5</v>
      </c>
      <c r="I270" s="111">
        <v>18</v>
      </c>
      <c r="J270" s="117">
        <f t="shared" si="151"/>
        <v>3.1185</v>
      </c>
      <c r="K270" s="118"/>
      <c r="L270" s="111">
        <v>18</v>
      </c>
      <c r="M270" s="117">
        <f t="shared" si="152"/>
        <v>3.1185</v>
      </c>
      <c r="N270" s="119">
        <f t="shared" si="153"/>
        <v>0</v>
      </c>
      <c r="O270" s="120">
        <f t="shared" si="154"/>
        <v>0</v>
      </c>
      <c r="P270" s="130"/>
      <c r="Q270" s="320"/>
      <c r="R270" s="32"/>
      <c r="S270" s="32"/>
    </row>
    <row r="271" spans="1:19" ht="15.6">
      <c r="A271" s="110" t="s">
        <v>504</v>
      </c>
      <c r="B271" s="111" t="s">
        <v>505</v>
      </c>
      <c r="C271" s="112" t="s">
        <v>449</v>
      </c>
      <c r="D271" s="113" t="s">
        <v>130</v>
      </c>
      <c r="E271" s="114" t="s">
        <v>15</v>
      </c>
      <c r="F271" s="115" t="s">
        <v>40</v>
      </c>
      <c r="G271" s="116">
        <v>16.5</v>
      </c>
      <c r="H271" s="125">
        <v>11.15</v>
      </c>
      <c r="I271" s="111">
        <v>18</v>
      </c>
      <c r="J271" s="117">
        <f t="shared" si="151"/>
        <v>3.3115499999999995</v>
      </c>
      <c r="K271" s="118"/>
      <c r="L271" s="111">
        <v>18</v>
      </c>
      <c r="M271" s="117">
        <f t="shared" si="152"/>
        <v>3.31155</v>
      </c>
      <c r="N271" s="119">
        <f t="shared" si="153"/>
        <v>0</v>
      </c>
      <c r="O271" s="120">
        <f t="shared" si="154"/>
        <v>0</v>
      </c>
      <c r="P271" s="130"/>
      <c r="Q271" s="320"/>
      <c r="R271" s="32"/>
      <c r="S271" s="32"/>
    </row>
    <row r="272" spans="1:19" ht="15.6">
      <c r="A272" s="110" t="s">
        <v>504</v>
      </c>
      <c r="B272" s="111" t="s">
        <v>505</v>
      </c>
      <c r="C272" s="112" t="s">
        <v>449</v>
      </c>
      <c r="D272" s="113" t="s">
        <v>130</v>
      </c>
      <c r="E272" s="114" t="s">
        <v>15</v>
      </c>
      <c r="F272" s="115" t="s">
        <v>40</v>
      </c>
      <c r="G272" s="116">
        <v>16.5</v>
      </c>
      <c r="H272" s="125">
        <v>11.15</v>
      </c>
      <c r="I272" s="111">
        <v>12</v>
      </c>
      <c r="J272" s="117">
        <f t="shared" si="151"/>
        <v>2.2077</v>
      </c>
      <c r="K272" s="118"/>
      <c r="L272" s="111">
        <v>12</v>
      </c>
      <c r="M272" s="117">
        <f t="shared" si="152"/>
        <v>2.2077000000000004</v>
      </c>
      <c r="N272" s="119">
        <f t="shared" si="153"/>
        <v>0</v>
      </c>
      <c r="O272" s="120">
        <f t="shared" si="154"/>
        <v>0</v>
      </c>
      <c r="P272" s="130"/>
      <c r="Q272" s="320"/>
      <c r="R272" s="32"/>
      <c r="S272" s="32"/>
    </row>
    <row r="273" spans="1:19" ht="15.6">
      <c r="A273" s="110" t="s">
        <v>504</v>
      </c>
      <c r="B273" s="111" t="s">
        <v>505</v>
      </c>
      <c r="C273" s="112" t="s">
        <v>449</v>
      </c>
      <c r="D273" s="113" t="s">
        <v>130</v>
      </c>
      <c r="E273" s="114" t="s">
        <v>15</v>
      </c>
      <c r="F273" s="115" t="s">
        <v>40</v>
      </c>
      <c r="G273" s="116">
        <v>16.5</v>
      </c>
      <c r="H273" s="125">
        <v>7.4</v>
      </c>
      <c r="I273" s="111">
        <v>1</v>
      </c>
      <c r="J273" s="117">
        <f t="shared" si="151"/>
        <v>0.12210000000000001</v>
      </c>
      <c r="K273" s="118"/>
      <c r="L273" s="111">
        <v>1</v>
      </c>
      <c r="M273" s="117">
        <f t="shared" si="152"/>
        <v>0.12210000000000001</v>
      </c>
      <c r="N273" s="119">
        <f t="shared" si="153"/>
        <v>0</v>
      </c>
      <c r="O273" s="120">
        <f t="shared" si="154"/>
        <v>0</v>
      </c>
      <c r="P273" s="130"/>
      <c r="Q273" s="320"/>
      <c r="R273" s="32"/>
      <c r="S273" s="32"/>
    </row>
    <row r="274" spans="1:19" ht="15.6">
      <c r="A274" s="110" t="s">
        <v>504</v>
      </c>
      <c r="B274" s="111" t="s">
        <v>505</v>
      </c>
      <c r="C274" s="112" t="s">
        <v>449</v>
      </c>
      <c r="D274" s="113" t="s">
        <v>130</v>
      </c>
      <c r="E274" s="114" t="s">
        <v>15</v>
      </c>
      <c r="F274" s="115" t="s">
        <v>40</v>
      </c>
      <c r="G274" s="116">
        <v>16.5</v>
      </c>
      <c r="H274" s="125">
        <v>9.9</v>
      </c>
      <c r="I274" s="111">
        <v>1</v>
      </c>
      <c r="J274" s="117">
        <f t="shared" si="151"/>
        <v>0.16335</v>
      </c>
      <c r="K274" s="118"/>
      <c r="L274" s="111">
        <v>1</v>
      </c>
      <c r="M274" s="117">
        <f t="shared" si="152"/>
        <v>0.16335</v>
      </c>
      <c r="N274" s="119">
        <f t="shared" si="153"/>
        <v>0</v>
      </c>
      <c r="O274" s="120">
        <f t="shared" si="154"/>
        <v>0</v>
      </c>
      <c r="P274" s="130">
        <v>7.4</v>
      </c>
      <c r="Q274" s="320">
        <v>1</v>
      </c>
      <c r="R274" s="32"/>
      <c r="S274" s="32"/>
    </row>
    <row r="275" spans="1:19" ht="15.6">
      <c r="A275" s="110" t="s">
        <v>504</v>
      </c>
      <c r="B275" s="111" t="s">
        <v>505</v>
      </c>
      <c r="C275" s="112" t="s">
        <v>449</v>
      </c>
      <c r="D275" s="113" t="s">
        <v>130</v>
      </c>
      <c r="E275" s="114" t="s">
        <v>15</v>
      </c>
      <c r="F275" s="115" t="s">
        <v>40</v>
      </c>
      <c r="G275" s="116">
        <v>16.5</v>
      </c>
      <c r="H275" s="125">
        <v>10</v>
      </c>
      <c r="I275" s="111">
        <v>3</v>
      </c>
      <c r="J275" s="117">
        <f t="shared" si="151"/>
        <v>0.495</v>
      </c>
      <c r="K275" s="118"/>
      <c r="L275" s="111">
        <v>3</v>
      </c>
      <c r="M275" s="117">
        <f t="shared" si="152"/>
        <v>0.495</v>
      </c>
      <c r="N275" s="119">
        <f t="shared" si="153"/>
        <v>0</v>
      </c>
      <c r="O275" s="120">
        <f t="shared" si="154"/>
        <v>0</v>
      </c>
      <c r="P275" s="130">
        <v>7.4</v>
      </c>
      <c r="Q275" s="320">
        <v>3</v>
      </c>
      <c r="R275" s="32"/>
      <c r="S275" s="32"/>
    </row>
    <row r="276" spans="1:19" ht="15.6">
      <c r="A276" s="110" t="s">
        <v>504</v>
      </c>
      <c r="B276" s="111" t="s">
        <v>505</v>
      </c>
      <c r="C276" s="112" t="s">
        <v>449</v>
      </c>
      <c r="D276" s="113" t="s">
        <v>130</v>
      </c>
      <c r="E276" s="114" t="s">
        <v>15</v>
      </c>
      <c r="F276" s="115" t="s">
        <v>40</v>
      </c>
      <c r="G276" s="116">
        <v>16.5</v>
      </c>
      <c r="H276" s="125">
        <v>10.199999999999999</v>
      </c>
      <c r="I276" s="111">
        <v>3</v>
      </c>
      <c r="J276" s="117">
        <f t="shared" si="151"/>
        <v>0.50490000000000002</v>
      </c>
      <c r="K276" s="118"/>
      <c r="L276" s="111">
        <v>3</v>
      </c>
      <c r="M276" s="117">
        <f t="shared" si="152"/>
        <v>0.50490000000000002</v>
      </c>
      <c r="N276" s="119">
        <f t="shared" si="153"/>
        <v>0</v>
      </c>
      <c r="O276" s="120">
        <f t="shared" si="154"/>
        <v>0</v>
      </c>
      <c r="P276" s="130">
        <v>7.4</v>
      </c>
      <c r="Q276" s="320">
        <v>3</v>
      </c>
      <c r="R276" s="32"/>
      <c r="S276" s="32"/>
    </row>
    <row r="277" spans="1:19" ht="15.6">
      <c r="A277" s="110" t="s">
        <v>504</v>
      </c>
      <c r="B277" s="111" t="s">
        <v>505</v>
      </c>
      <c r="C277" s="112" t="s">
        <v>449</v>
      </c>
      <c r="D277" s="113" t="s">
        <v>130</v>
      </c>
      <c r="E277" s="114" t="s">
        <v>15</v>
      </c>
      <c r="F277" s="115" t="s">
        <v>40</v>
      </c>
      <c r="G277" s="116">
        <v>16.5</v>
      </c>
      <c r="H277" s="125">
        <v>10.5</v>
      </c>
      <c r="I277" s="111">
        <v>16</v>
      </c>
      <c r="J277" s="117">
        <f t="shared" si="151"/>
        <v>2.7719999999999998</v>
      </c>
      <c r="K277" s="118"/>
      <c r="L277" s="111">
        <f>14+2</f>
        <v>16</v>
      </c>
      <c r="M277" s="117">
        <f t="shared" si="152"/>
        <v>2.7719999999999998</v>
      </c>
      <c r="N277" s="119">
        <f t="shared" si="153"/>
        <v>0</v>
      </c>
      <c r="O277" s="120">
        <f t="shared" si="154"/>
        <v>0</v>
      </c>
      <c r="P277" s="130">
        <v>7.4</v>
      </c>
      <c r="Q277" s="320">
        <v>2</v>
      </c>
      <c r="R277" s="32"/>
      <c r="S277" s="32"/>
    </row>
    <row r="278" spans="1:19" ht="15.6">
      <c r="A278" s="110" t="s">
        <v>504</v>
      </c>
      <c r="B278" s="111" t="s">
        <v>505</v>
      </c>
      <c r="C278" s="112" t="s">
        <v>449</v>
      </c>
      <c r="D278" s="113" t="s">
        <v>130</v>
      </c>
      <c r="E278" s="114" t="s">
        <v>15</v>
      </c>
      <c r="F278" s="115" t="s">
        <v>40</v>
      </c>
      <c r="G278" s="116">
        <v>16.5</v>
      </c>
      <c r="H278" s="125">
        <v>7.4</v>
      </c>
      <c r="I278" s="111">
        <v>17</v>
      </c>
      <c r="J278" s="117">
        <f t="shared" ref="J278:J282" si="155">H278*G278*I278/1000</f>
        <v>2.0757000000000003</v>
      </c>
      <c r="K278" s="118"/>
      <c r="L278" s="111">
        <v>17</v>
      </c>
      <c r="M278" s="117">
        <f t="shared" ref="M278:M282" si="156">H278*L278*G278/1000</f>
        <v>2.0757000000000003</v>
      </c>
      <c r="N278" s="119">
        <f t="shared" ref="N278:N282" si="157">I278-L278</f>
        <v>0</v>
      </c>
      <c r="O278" s="120">
        <f t="shared" ref="O278:O282" si="158">H278*N278*G278/1000</f>
        <v>0</v>
      </c>
      <c r="P278" s="130"/>
      <c r="Q278" s="320"/>
      <c r="R278" s="32"/>
      <c r="S278" s="32"/>
    </row>
    <row r="279" spans="1:19" ht="15.6">
      <c r="A279" s="110" t="s">
        <v>504</v>
      </c>
      <c r="B279" s="111" t="s">
        <v>505</v>
      </c>
      <c r="C279" s="112" t="s">
        <v>449</v>
      </c>
      <c r="D279" s="113" t="s">
        <v>130</v>
      </c>
      <c r="E279" s="114" t="s">
        <v>15</v>
      </c>
      <c r="F279" s="115" t="s">
        <v>40</v>
      </c>
      <c r="G279" s="116">
        <v>16.5</v>
      </c>
      <c r="H279" s="125">
        <v>7.4</v>
      </c>
      <c r="I279" s="111">
        <v>17</v>
      </c>
      <c r="J279" s="117">
        <f t="shared" si="155"/>
        <v>2.0757000000000003</v>
      </c>
      <c r="K279" s="118"/>
      <c r="L279" s="111">
        <v>17</v>
      </c>
      <c r="M279" s="117">
        <f t="shared" si="156"/>
        <v>2.0757000000000003</v>
      </c>
      <c r="N279" s="119">
        <f t="shared" si="157"/>
        <v>0</v>
      </c>
      <c r="O279" s="120">
        <f t="shared" si="158"/>
        <v>0</v>
      </c>
      <c r="P279" s="130"/>
      <c r="Q279" s="320"/>
      <c r="R279" s="32"/>
      <c r="S279" s="32"/>
    </row>
    <row r="280" spans="1:19" ht="15.6">
      <c r="A280" s="110" t="s">
        <v>504</v>
      </c>
      <c r="B280" s="111" t="s">
        <v>505</v>
      </c>
      <c r="C280" s="112" t="s">
        <v>449</v>
      </c>
      <c r="D280" s="113" t="s">
        <v>130</v>
      </c>
      <c r="E280" s="114" t="s">
        <v>15</v>
      </c>
      <c r="F280" s="115" t="s">
        <v>40</v>
      </c>
      <c r="G280" s="116">
        <v>16.5</v>
      </c>
      <c r="H280" s="125">
        <v>7.4</v>
      </c>
      <c r="I280" s="111">
        <v>18</v>
      </c>
      <c r="J280" s="117">
        <f t="shared" si="155"/>
        <v>2.1978</v>
      </c>
      <c r="K280" s="118"/>
      <c r="L280" s="111">
        <v>18</v>
      </c>
      <c r="M280" s="117">
        <f t="shared" si="156"/>
        <v>2.1978</v>
      </c>
      <c r="N280" s="119">
        <f t="shared" si="157"/>
        <v>0</v>
      </c>
      <c r="O280" s="120">
        <f t="shared" si="158"/>
        <v>0</v>
      </c>
      <c r="P280" s="130"/>
      <c r="Q280" s="320"/>
      <c r="R280" s="32"/>
      <c r="S280" s="32"/>
    </row>
    <row r="281" spans="1:19" ht="15.6">
      <c r="A281" s="110" t="s">
        <v>504</v>
      </c>
      <c r="B281" s="111" t="s">
        <v>505</v>
      </c>
      <c r="C281" s="112" t="s">
        <v>449</v>
      </c>
      <c r="D281" s="113" t="s">
        <v>130</v>
      </c>
      <c r="E281" s="114" t="s">
        <v>15</v>
      </c>
      <c r="F281" s="115" t="s">
        <v>40</v>
      </c>
      <c r="G281" s="116">
        <v>16.5</v>
      </c>
      <c r="H281" s="125">
        <v>7.4</v>
      </c>
      <c r="I281" s="111">
        <v>18</v>
      </c>
      <c r="J281" s="117">
        <f t="shared" si="155"/>
        <v>2.1978</v>
      </c>
      <c r="K281" s="118"/>
      <c r="L281" s="111">
        <v>18</v>
      </c>
      <c r="M281" s="117">
        <f t="shared" si="156"/>
        <v>2.1978</v>
      </c>
      <c r="N281" s="119">
        <f t="shared" si="157"/>
        <v>0</v>
      </c>
      <c r="O281" s="120">
        <f t="shared" si="158"/>
        <v>0</v>
      </c>
      <c r="P281" s="130"/>
      <c r="Q281" s="320"/>
      <c r="R281" s="32"/>
      <c r="S281" s="32"/>
    </row>
    <row r="282" spans="1:19" ht="15.6">
      <c r="A282" s="110" t="s">
        <v>504</v>
      </c>
      <c r="B282" s="111" t="s">
        <v>505</v>
      </c>
      <c r="C282" s="112" t="s">
        <v>449</v>
      </c>
      <c r="D282" s="113" t="s">
        <v>130</v>
      </c>
      <c r="E282" s="114" t="s">
        <v>15</v>
      </c>
      <c r="F282" s="115" t="s">
        <v>40</v>
      </c>
      <c r="G282" s="116">
        <v>16.5</v>
      </c>
      <c r="H282" s="125">
        <v>7.4</v>
      </c>
      <c r="I282" s="111">
        <v>18</v>
      </c>
      <c r="J282" s="117">
        <f t="shared" si="155"/>
        <v>2.1978</v>
      </c>
      <c r="K282" s="118"/>
      <c r="L282" s="111">
        <v>18</v>
      </c>
      <c r="M282" s="117">
        <f t="shared" si="156"/>
        <v>2.1978</v>
      </c>
      <c r="N282" s="119">
        <f t="shared" si="157"/>
        <v>0</v>
      </c>
      <c r="O282" s="120">
        <f t="shared" si="158"/>
        <v>0</v>
      </c>
      <c r="P282" s="130"/>
      <c r="Q282" s="320"/>
      <c r="R282" s="32"/>
      <c r="S282" s="32"/>
    </row>
    <row r="283" spans="1:19" ht="15.6">
      <c r="A283" s="110" t="s">
        <v>504</v>
      </c>
      <c r="B283" s="111" t="s">
        <v>505</v>
      </c>
      <c r="C283" s="112" t="s">
        <v>449</v>
      </c>
      <c r="D283" s="113" t="s">
        <v>130</v>
      </c>
      <c r="E283" s="114" t="s">
        <v>15</v>
      </c>
      <c r="F283" s="115" t="s">
        <v>40</v>
      </c>
      <c r="G283" s="116">
        <v>16.5</v>
      </c>
      <c r="H283" s="125">
        <v>7.4</v>
      </c>
      <c r="I283" s="111">
        <v>22</v>
      </c>
      <c r="J283" s="117">
        <f t="shared" ref="J283:J300" si="159">H283*G283*I283/1000</f>
        <v>2.6862000000000004</v>
      </c>
      <c r="K283" s="118"/>
      <c r="L283" s="111">
        <v>22</v>
      </c>
      <c r="M283" s="117">
        <f t="shared" ref="M283:M300" si="160">H283*L283*G283/1000</f>
        <v>2.6862000000000004</v>
      </c>
      <c r="N283" s="119">
        <f t="shared" ref="N283:N300" si="161">I283-L283</f>
        <v>0</v>
      </c>
      <c r="O283" s="120">
        <f t="shared" ref="O283:O300" si="162">H283*N283*G283/1000</f>
        <v>0</v>
      </c>
      <c r="P283" s="130"/>
      <c r="Q283" s="320"/>
      <c r="R283" s="32"/>
      <c r="S283" s="32"/>
    </row>
    <row r="284" spans="1:19" ht="15.6">
      <c r="A284" s="110" t="s">
        <v>504</v>
      </c>
      <c r="B284" s="111" t="s">
        <v>505</v>
      </c>
      <c r="C284" s="112" t="s">
        <v>449</v>
      </c>
      <c r="D284" s="113" t="s">
        <v>130</v>
      </c>
      <c r="E284" s="114" t="s">
        <v>15</v>
      </c>
      <c r="F284" s="115" t="s">
        <v>40</v>
      </c>
      <c r="G284" s="116">
        <v>16.5</v>
      </c>
      <c r="H284" s="125">
        <v>7.4</v>
      </c>
      <c r="I284" s="111">
        <v>21</v>
      </c>
      <c r="J284" s="117">
        <f t="shared" si="159"/>
        <v>2.5641000000000003</v>
      </c>
      <c r="K284" s="118"/>
      <c r="L284" s="111">
        <v>21</v>
      </c>
      <c r="M284" s="117">
        <f t="shared" si="160"/>
        <v>2.5640999999999998</v>
      </c>
      <c r="N284" s="119">
        <f t="shared" si="161"/>
        <v>0</v>
      </c>
      <c r="O284" s="120">
        <f t="shared" si="162"/>
        <v>0</v>
      </c>
      <c r="P284" s="130"/>
      <c r="Q284" s="320"/>
      <c r="R284" s="32"/>
      <c r="S284" s="32"/>
    </row>
    <row r="285" spans="1:19" ht="15.6">
      <c r="A285" s="110" t="s">
        <v>504</v>
      </c>
      <c r="B285" s="111" t="s">
        <v>505</v>
      </c>
      <c r="C285" s="112" t="s">
        <v>449</v>
      </c>
      <c r="D285" s="113" t="s">
        <v>130</v>
      </c>
      <c r="E285" s="114" t="s">
        <v>15</v>
      </c>
      <c r="F285" s="115" t="s">
        <v>40</v>
      </c>
      <c r="G285" s="116">
        <v>16.5</v>
      </c>
      <c r="H285" s="125">
        <v>7.4</v>
      </c>
      <c r="I285" s="111">
        <v>21</v>
      </c>
      <c r="J285" s="117">
        <f t="shared" si="159"/>
        <v>2.5641000000000003</v>
      </c>
      <c r="K285" s="118"/>
      <c r="L285" s="111">
        <v>21</v>
      </c>
      <c r="M285" s="117">
        <f t="shared" si="160"/>
        <v>2.5640999999999998</v>
      </c>
      <c r="N285" s="119">
        <f t="shared" si="161"/>
        <v>0</v>
      </c>
      <c r="O285" s="120">
        <f t="shared" si="162"/>
        <v>0</v>
      </c>
      <c r="P285" s="130"/>
      <c r="Q285" s="320"/>
      <c r="R285" s="32"/>
      <c r="S285" s="32"/>
    </row>
    <row r="286" spans="1:19" ht="15.6">
      <c r="A286" s="110" t="s">
        <v>504</v>
      </c>
      <c r="B286" s="111" t="s">
        <v>505</v>
      </c>
      <c r="C286" s="112" t="s">
        <v>449</v>
      </c>
      <c r="D286" s="113" t="s">
        <v>130</v>
      </c>
      <c r="E286" s="114" t="s">
        <v>15</v>
      </c>
      <c r="F286" s="115" t="s">
        <v>40</v>
      </c>
      <c r="G286" s="116">
        <v>16.5</v>
      </c>
      <c r="H286" s="125">
        <v>7.4</v>
      </c>
      <c r="I286" s="111">
        <v>21</v>
      </c>
      <c r="J286" s="117">
        <f t="shared" si="159"/>
        <v>2.5641000000000003</v>
      </c>
      <c r="K286" s="118"/>
      <c r="L286" s="111">
        <v>21</v>
      </c>
      <c r="M286" s="117">
        <f t="shared" si="160"/>
        <v>2.5640999999999998</v>
      </c>
      <c r="N286" s="119">
        <f t="shared" si="161"/>
        <v>0</v>
      </c>
      <c r="O286" s="120">
        <f t="shared" si="162"/>
        <v>0</v>
      </c>
      <c r="P286" s="130"/>
      <c r="Q286" s="320"/>
      <c r="R286" s="32"/>
      <c r="S286" s="32"/>
    </row>
    <row r="287" spans="1:19" ht="15.6">
      <c r="A287" s="110" t="s">
        <v>504</v>
      </c>
      <c r="B287" s="111" t="s">
        <v>505</v>
      </c>
      <c r="C287" s="112" t="s">
        <v>449</v>
      </c>
      <c r="D287" s="113" t="s">
        <v>130</v>
      </c>
      <c r="E287" s="114" t="s">
        <v>15</v>
      </c>
      <c r="F287" s="115" t="s">
        <v>40</v>
      </c>
      <c r="G287" s="116">
        <v>16.5</v>
      </c>
      <c r="H287" s="125">
        <v>7.4</v>
      </c>
      <c r="I287" s="111">
        <v>21</v>
      </c>
      <c r="J287" s="117">
        <f t="shared" si="159"/>
        <v>2.5641000000000003</v>
      </c>
      <c r="K287" s="118"/>
      <c r="L287" s="111">
        <v>21</v>
      </c>
      <c r="M287" s="117">
        <f t="shared" si="160"/>
        <v>2.5640999999999998</v>
      </c>
      <c r="N287" s="119">
        <f t="shared" si="161"/>
        <v>0</v>
      </c>
      <c r="O287" s="120">
        <f t="shared" si="162"/>
        <v>0</v>
      </c>
      <c r="P287" s="130"/>
      <c r="Q287" s="320"/>
      <c r="R287" s="32"/>
      <c r="S287" s="32"/>
    </row>
    <row r="288" spans="1:19" ht="15.6">
      <c r="A288" s="110" t="s">
        <v>504</v>
      </c>
      <c r="B288" s="111" t="s">
        <v>505</v>
      </c>
      <c r="C288" s="112" t="s">
        <v>449</v>
      </c>
      <c r="D288" s="113" t="s">
        <v>130</v>
      </c>
      <c r="E288" s="114" t="s">
        <v>15</v>
      </c>
      <c r="F288" s="115" t="s">
        <v>40</v>
      </c>
      <c r="G288" s="116">
        <v>16.5</v>
      </c>
      <c r="H288" s="125">
        <v>7.4</v>
      </c>
      <c r="I288" s="111">
        <v>21</v>
      </c>
      <c r="J288" s="117">
        <f t="shared" si="159"/>
        <v>2.5641000000000003</v>
      </c>
      <c r="K288" s="118"/>
      <c r="L288" s="111">
        <v>21</v>
      </c>
      <c r="M288" s="117">
        <f t="shared" si="160"/>
        <v>2.5640999999999998</v>
      </c>
      <c r="N288" s="119">
        <f t="shared" si="161"/>
        <v>0</v>
      </c>
      <c r="O288" s="120">
        <f t="shared" si="162"/>
        <v>0</v>
      </c>
      <c r="P288" s="130"/>
      <c r="Q288" s="320"/>
      <c r="R288" s="32"/>
      <c r="S288" s="32"/>
    </row>
    <row r="289" spans="1:19" ht="15.6">
      <c r="A289" s="110" t="s">
        <v>504</v>
      </c>
      <c r="B289" s="111" t="s">
        <v>505</v>
      </c>
      <c r="C289" s="112" t="s">
        <v>449</v>
      </c>
      <c r="D289" s="113" t="s">
        <v>130</v>
      </c>
      <c r="E289" s="114" t="s">
        <v>15</v>
      </c>
      <c r="F289" s="115" t="s">
        <v>40</v>
      </c>
      <c r="G289" s="116">
        <v>16.5</v>
      </c>
      <c r="H289" s="125">
        <v>7.4</v>
      </c>
      <c r="I289" s="111">
        <v>21</v>
      </c>
      <c r="J289" s="117">
        <f t="shared" si="159"/>
        <v>2.5641000000000003</v>
      </c>
      <c r="K289" s="118"/>
      <c r="L289" s="111">
        <v>21</v>
      </c>
      <c r="M289" s="117">
        <f t="shared" si="160"/>
        <v>2.5640999999999998</v>
      </c>
      <c r="N289" s="119">
        <f t="shared" si="161"/>
        <v>0</v>
      </c>
      <c r="O289" s="120">
        <f t="shared" si="162"/>
        <v>0</v>
      </c>
      <c r="P289" s="130"/>
      <c r="Q289" s="320"/>
      <c r="R289" s="32"/>
      <c r="S289" s="32"/>
    </row>
    <row r="290" spans="1:19" ht="15.6">
      <c r="A290" s="110" t="s">
        <v>504</v>
      </c>
      <c r="B290" s="111" t="s">
        <v>505</v>
      </c>
      <c r="C290" s="112" t="s">
        <v>449</v>
      </c>
      <c r="D290" s="113" t="s">
        <v>130</v>
      </c>
      <c r="E290" s="114" t="s">
        <v>15</v>
      </c>
      <c r="F290" s="115" t="s">
        <v>40</v>
      </c>
      <c r="G290" s="116">
        <v>16.5</v>
      </c>
      <c r="H290" s="125">
        <v>7.4</v>
      </c>
      <c r="I290" s="111">
        <v>21</v>
      </c>
      <c r="J290" s="117">
        <f t="shared" si="159"/>
        <v>2.5641000000000003</v>
      </c>
      <c r="K290" s="118"/>
      <c r="L290" s="111">
        <v>21</v>
      </c>
      <c r="M290" s="117">
        <f t="shared" si="160"/>
        <v>2.5640999999999998</v>
      </c>
      <c r="N290" s="119">
        <f t="shared" si="161"/>
        <v>0</v>
      </c>
      <c r="O290" s="120">
        <f t="shared" si="162"/>
        <v>0</v>
      </c>
      <c r="P290" s="130"/>
      <c r="Q290" s="320"/>
      <c r="R290" s="32"/>
      <c r="S290" s="32"/>
    </row>
    <row r="291" spans="1:19" ht="15.6">
      <c r="A291" s="110" t="s">
        <v>504</v>
      </c>
      <c r="B291" s="111" t="s">
        <v>505</v>
      </c>
      <c r="C291" s="112" t="s">
        <v>449</v>
      </c>
      <c r="D291" s="113" t="s">
        <v>130</v>
      </c>
      <c r="E291" s="114" t="s">
        <v>15</v>
      </c>
      <c r="F291" s="115" t="s">
        <v>40</v>
      </c>
      <c r="G291" s="116">
        <v>16.5</v>
      </c>
      <c r="H291" s="125">
        <v>7.4</v>
      </c>
      <c r="I291" s="111">
        <v>21</v>
      </c>
      <c r="J291" s="117">
        <f t="shared" si="159"/>
        <v>2.5641000000000003</v>
      </c>
      <c r="K291" s="118"/>
      <c r="L291" s="111">
        <v>21</v>
      </c>
      <c r="M291" s="117">
        <f t="shared" si="160"/>
        <v>2.5640999999999998</v>
      </c>
      <c r="N291" s="119">
        <f t="shared" si="161"/>
        <v>0</v>
      </c>
      <c r="O291" s="120">
        <f t="shared" si="162"/>
        <v>0</v>
      </c>
      <c r="P291" s="130"/>
      <c r="Q291" s="320"/>
      <c r="R291" s="32"/>
      <c r="S291" s="32"/>
    </row>
    <row r="292" spans="1:19" ht="15.6">
      <c r="A292" s="110" t="s">
        <v>504</v>
      </c>
      <c r="B292" s="111" t="s">
        <v>505</v>
      </c>
      <c r="C292" s="112" t="s">
        <v>449</v>
      </c>
      <c r="D292" s="113" t="s">
        <v>130</v>
      </c>
      <c r="E292" s="114" t="s">
        <v>15</v>
      </c>
      <c r="F292" s="115" t="s">
        <v>40</v>
      </c>
      <c r="G292" s="116">
        <v>16.5</v>
      </c>
      <c r="H292" s="125">
        <v>7.4</v>
      </c>
      <c r="I292" s="111">
        <v>21</v>
      </c>
      <c r="J292" s="117">
        <f t="shared" si="159"/>
        <v>2.5641000000000003</v>
      </c>
      <c r="K292" s="118"/>
      <c r="L292" s="111">
        <v>21</v>
      </c>
      <c r="M292" s="117">
        <f t="shared" si="160"/>
        <v>2.5640999999999998</v>
      </c>
      <c r="N292" s="119">
        <f t="shared" si="161"/>
        <v>0</v>
      </c>
      <c r="O292" s="120">
        <f t="shared" si="162"/>
        <v>0</v>
      </c>
      <c r="P292" s="130"/>
      <c r="Q292" s="320"/>
      <c r="R292" s="32"/>
      <c r="S292" s="32"/>
    </row>
    <row r="293" spans="1:19" ht="15.6">
      <c r="A293" s="110" t="s">
        <v>504</v>
      </c>
      <c r="B293" s="111" t="s">
        <v>505</v>
      </c>
      <c r="C293" s="112" t="s">
        <v>449</v>
      </c>
      <c r="D293" s="113" t="s">
        <v>130</v>
      </c>
      <c r="E293" s="114" t="s">
        <v>15</v>
      </c>
      <c r="F293" s="115" t="s">
        <v>40</v>
      </c>
      <c r="G293" s="116">
        <v>16.5</v>
      </c>
      <c r="H293" s="125">
        <v>7.4</v>
      </c>
      <c r="I293" s="111">
        <v>21</v>
      </c>
      <c r="J293" s="117">
        <f t="shared" si="159"/>
        <v>2.5641000000000003</v>
      </c>
      <c r="K293" s="118"/>
      <c r="L293" s="111">
        <v>21</v>
      </c>
      <c r="M293" s="117">
        <f t="shared" si="160"/>
        <v>2.5640999999999998</v>
      </c>
      <c r="N293" s="119">
        <f t="shared" si="161"/>
        <v>0</v>
      </c>
      <c r="O293" s="120">
        <f t="shared" si="162"/>
        <v>0</v>
      </c>
      <c r="P293" s="130"/>
      <c r="Q293" s="320"/>
      <c r="R293" s="32"/>
      <c r="S293" s="32"/>
    </row>
    <row r="294" spans="1:19" ht="15.6">
      <c r="A294" s="110" t="s">
        <v>504</v>
      </c>
      <c r="B294" s="111" t="s">
        <v>505</v>
      </c>
      <c r="C294" s="112" t="s">
        <v>449</v>
      </c>
      <c r="D294" s="113" t="s">
        <v>130</v>
      </c>
      <c r="E294" s="114" t="s">
        <v>15</v>
      </c>
      <c r="F294" s="115" t="s">
        <v>40</v>
      </c>
      <c r="G294" s="116">
        <v>16.5</v>
      </c>
      <c r="H294" s="125">
        <v>7.4</v>
      </c>
      <c r="I294" s="111">
        <v>16</v>
      </c>
      <c r="J294" s="117">
        <f t="shared" si="159"/>
        <v>1.9536000000000002</v>
      </c>
      <c r="K294" s="118"/>
      <c r="L294" s="111">
        <v>16</v>
      </c>
      <c r="M294" s="117">
        <f t="shared" si="160"/>
        <v>1.9536000000000002</v>
      </c>
      <c r="N294" s="119">
        <f t="shared" si="161"/>
        <v>0</v>
      </c>
      <c r="O294" s="120">
        <f t="shared" si="162"/>
        <v>0</v>
      </c>
      <c r="P294" s="130"/>
      <c r="Q294" s="320"/>
      <c r="R294" s="32"/>
      <c r="S294" s="32"/>
    </row>
    <row r="295" spans="1:19" ht="15.6">
      <c r="A295" s="110" t="s">
        <v>504</v>
      </c>
      <c r="B295" s="111" t="s">
        <v>505</v>
      </c>
      <c r="C295" s="112" t="s">
        <v>449</v>
      </c>
      <c r="D295" s="113" t="s">
        <v>130</v>
      </c>
      <c r="E295" s="114" t="s">
        <v>15</v>
      </c>
      <c r="F295" s="115" t="s">
        <v>40</v>
      </c>
      <c r="G295" s="116">
        <v>16.5</v>
      </c>
      <c r="H295" s="125">
        <v>11.15</v>
      </c>
      <c r="I295" s="111">
        <v>17</v>
      </c>
      <c r="J295" s="117">
        <f t="shared" si="159"/>
        <v>3.1275749999999998</v>
      </c>
      <c r="K295" s="118"/>
      <c r="L295" s="111">
        <v>17</v>
      </c>
      <c r="M295" s="117">
        <f t="shared" si="160"/>
        <v>3.1275750000000002</v>
      </c>
      <c r="N295" s="119">
        <f t="shared" si="161"/>
        <v>0</v>
      </c>
      <c r="O295" s="120">
        <f t="shared" si="162"/>
        <v>0</v>
      </c>
      <c r="P295" s="130"/>
      <c r="Q295" s="320"/>
      <c r="R295" s="32"/>
      <c r="S295" s="32"/>
    </row>
    <row r="296" spans="1:19" ht="15.6">
      <c r="A296" s="110" t="s">
        <v>504</v>
      </c>
      <c r="B296" s="111" t="s">
        <v>505</v>
      </c>
      <c r="C296" s="112" t="s">
        <v>449</v>
      </c>
      <c r="D296" s="113" t="s">
        <v>130</v>
      </c>
      <c r="E296" s="114" t="s">
        <v>15</v>
      </c>
      <c r="F296" s="115" t="s">
        <v>40</v>
      </c>
      <c r="G296" s="116">
        <v>16.5</v>
      </c>
      <c r="H296" s="125">
        <v>11.15</v>
      </c>
      <c r="I296" s="111">
        <v>18</v>
      </c>
      <c r="J296" s="117">
        <f t="shared" si="159"/>
        <v>3.3115499999999995</v>
      </c>
      <c r="K296" s="118"/>
      <c r="L296" s="111">
        <v>18</v>
      </c>
      <c r="M296" s="117">
        <f t="shared" si="160"/>
        <v>3.31155</v>
      </c>
      <c r="N296" s="119">
        <f t="shared" si="161"/>
        <v>0</v>
      </c>
      <c r="O296" s="120">
        <f t="shared" si="162"/>
        <v>0</v>
      </c>
      <c r="P296" s="130"/>
      <c r="Q296" s="320"/>
      <c r="R296" s="32"/>
      <c r="S296" s="32"/>
    </row>
    <row r="297" spans="1:19" ht="15.6">
      <c r="A297" s="110" t="s">
        <v>504</v>
      </c>
      <c r="B297" s="111" t="s">
        <v>505</v>
      </c>
      <c r="C297" s="112" t="s">
        <v>449</v>
      </c>
      <c r="D297" s="113" t="s">
        <v>130</v>
      </c>
      <c r="E297" s="114" t="s">
        <v>15</v>
      </c>
      <c r="F297" s="115" t="s">
        <v>40</v>
      </c>
      <c r="G297" s="116">
        <v>16.5</v>
      </c>
      <c r="H297" s="125">
        <v>11.15</v>
      </c>
      <c r="I297" s="111">
        <v>18</v>
      </c>
      <c r="J297" s="117">
        <f t="shared" si="159"/>
        <v>3.3115499999999995</v>
      </c>
      <c r="K297" s="118"/>
      <c r="L297" s="111">
        <v>18</v>
      </c>
      <c r="M297" s="117">
        <f t="shared" si="160"/>
        <v>3.31155</v>
      </c>
      <c r="N297" s="119">
        <f t="shared" si="161"/>
        <v>0</v>
      </c>
      <c r="O297" s="120">
        <f t="shared" si="162"/>
        <v>0</v>
      </c>
      <c r="P297" s="130"/>
      <c r="Q297" s="320"/>
      <c r="R297" s="32"/>
      <c r="S297" s="32"/>
    </row>
    <row r="298" spans="1:19" ht="15.6">
      <c r="A298" s="110" t="s">
        <v>504</v>
      </c>
      <c r="B298" s="111" t="s">
        <v>505</v>
      </c>
      <c r="C298" s="112" t="s">
        <v>449</v>
      </c>
      <c r="D298" s="113" t="s">
        <v>130</v>
      </c>
      <c r="E298" s="114" t="s">
        <v>15</v>
      </c>
      <c r="F298" s="115" t="s">
        <v>40</v>
      </c>
      <c r="G298" s="116">
        <v>16.5</v>
      </c>
      <c r="H298" s="125">
        <v>11.15</v>
      </c>
      <c r="I298" s="111">
        <v>18</v>
      </c>
      <c r="J298" s="117">
        <f t="shared" si="159"/>
        <v>3.3115499999999995</v>
      </c>
      <c r="K298" s="118"/>
      <c r="L298" s="111">
        <v>18</v>
      </c>
      <c r="M298" s="117">
        <f t="shared" si="160"/>
        <v>3.31155</v>
      </c>
      <c r="N298" s="119">
        <f t="shared" si="161"/>
        <v>0</v>
      </c>
      <c r="O298" s="120">
        <f t="shared" si="162"/>
        <v>0</v>
      </c>
      <c r="P298" s="130"/>
      <c r="Q298" s="320"/>
      <c r="R298" s="32"/>
      <c r="S298" s="32"/>
    </row>
    <row r="299" spans="1:19" ht="15.6">
      <c r="A299" s="110" t="s">
        <v>504</v>
      </c>
      <c r="B299" s="111" t="s">
        <v>505</v>
      </c>
      <c r="C299" s="112" t="s">
        <v>449</v>
      </c>
      <c r="D299" s="113" t="s">
        <v>130</v>
      </c>
      <c r="E299" s="114" t="s">
        <v>15</v>
      </c>
      <c r="F299" s="115" t="s">
        <v>40</v>
      </c>
      <c r="G299" s="116">
        <v>16.5</v>
      </c>
      <c r="H299" s="125">
        <v>11.15</v>
      </c>
      <c r="I299" s="111">
        <v>18</v>
      </c>
      <c r="J299" s="117">
        <f t="shared" si="159"/>
        <v>3.3115499999999995</v>
      </c>
      <c r="K299" s="118"/>
      <c r="L299" s="111">
        <v>18</v>
      </c>
      <c r="M299" s="117">
        <f t="shared" si="160"/>
        <v>3.31155</v>
      </c>
      <c r="N299" s="119">
        <f t="shared" si="161"/>
        <v>0</v>
      </c>
      <c r="O299" s="120">
        <f t="shared" si="162"/>
        <v>0</v>
      </c>
      <c r="P299" s="130"/>
      <c r="Q299" s="320"/>
      <c r="R299" s="32"/>
      <c r="S299" s="32"/>
    </row>
    <row r="300" spans="1:19" ht="15.6">
      <c r="A300" s="110" t="s">
        <v>504</v>
      </c>
      <c r="B300" s="111" t="s">
        <v>505</v>
      </c>
      <c r="C300" s="112" t="s">
        <v>449</v>
      </c>
      <c r="D300" s="113" t="s">
        <v>130</v>
      </c>
      <c r="E300" s="114" t="s">
        <v>15</v>
      </c>
      <c r="F300" s="115" t="s">
        <v>40</v>
      </c>
      <c r="G300" s="116">
        <v>16.5</v>
      </c>
      <c r="H300" s="125">
        <v>10.5</v>
      </c>
      <c r="I300" s="111">
        <v>15</v>
      </c>
      <c r="J300" s="117">
        <f t="shared" si="159"/>
        <v>2.5987499999999999</v>
      </c>
      <c r="K300" s="118"/>
      <c r="L300" s="111">
        <v>15</v>
      </c>
      <c r="M300" s="117">
        <f t="shared" si="160"/>
        <v>2.5987499999999999</v>
      </c>
      <c r="N300" s="119">
        <f t="shared" si="161"/>
        <v>0</v>
      </c>
      <c r="O300" s="120">
        <f t="shared" si="162"/>
        <v>0</v>
      </c>
      <c r="P300" s="130">
        <v>7.4</v>
      </c>
      <c r="Q300" s="320">
        <v>15</v>
      </c>
      <c r="R300" s="32"/>
      <c r="S300" s="32"/>
    </row>
    <row r="301" spans="1:19" ht="15.6">
      <c r="A301" s="110" t="s">
        <v>504</v>
      </c>
      <c r="B301" s="111" t="s">
        <v>505</v>
      </c>
      <c r="C301" s="112" t="s">
        <v>449</v>
      </c>
      <c r="D301" s="113" t="s">
        <v>130</v>
      </c>
      <c r="E301" s="114" t="s">
        <v>15</v>
      </c>
      <c r="F301" s="115" t="s">
        <v>40</v>
      </c>
      <c r="G301" s="116">
        <v>16.5</v>
      </c>
      <c r="H301" s="125">
        <v>7.4</v>
      </c>
      <c r="I301" s="111">
        <v>26</v>
      </c>
      <c r="J301" s="117">
        <f t="shared" ref="J301:J310" si="163">H301*G301*I301/1000</f>
        <v>3.1746000000000003</v>
      </c>
      <c r="K301" s="118"/>
      <c r="L301" s="111">
        <v>26</v>
      </c>
      <c r="M301" s="117">
        <f t="shared" ref="M301:M310" si="164">H301*L301*G301/1000</f>
        <v>3.1745999999999999</v>
      </c>
      <c r="N301" s="119">
        <f t="shared" ref="N301:N309" si="165">I301-L301</f>
        <v>0</v>
      </c>
      <c r="O301" s="120">
        <f t="shared" ref="O301:O309" si="166">H301*N301*G301/1000</f>
        <v>0</v>
      </c>
      <c r="P301" s="130"/>
      <c r="Q301" s="320"/>
      <c r="R301" s="32"/>
      <c r="S301" s="32"/>
    </row>
    <row r="302" spans="1:19" ht="15.6">
      <c r="A302" s="110" t="s">
        <v>504</v>
      </c>
      <c r="B302" s="111" t="s">
        <v>505</v>
      </c>
      <c r="C302" s="112" t="s">
        <v>449</v>
      </c>
      <c r="D302" s="113" t="s">
        <v>130</v>
      </c>
      <c r="E302" s="114" t="s">
        <v>15</v>
      </c>
      <c r="F302" s="115" t="s">
        <v>40</v>
      </c>
      <c r="G302" s="116">
        <v>16.5</v>
      </c>
      <c r="H302" s="125">
        <v>7.4</v>
      </c>
      <c r="I302" s="111">
        <v>21</v>
      </c>
      <c r="J302" s="117">
        <f t="shared" si="163"/>
        <v>2.5641000000000003</v>
      </c>
      <c r="K302" s="118"/>
      <c r="L302" s="111">
        <v>21</v>
      </c>
      <c r="M302" s="117">
        <f t="shared" si="164"/>
        <v>2.5640999999999998</v>
      </c>
      <c r="N302" s="119">
        <f t="shared" si="165"/>
        <v>0</v>
      </c>
      <c r="O302" s="120">
        <f t="shared" si="166"/>
        <v>0</v>
      </c>
      <c r="P302" s="130"/>
      <c r="Q302" s="320"/>
      <c r="R302" s="32"/>
      <c r="S302" s="32"/>
    </row>
    <row r="303" spans="1:19" ht="15.6">
      <c r="A303" s="110" t="s">
        <v>504</v>
      </c>
      <c r="B303" s="111" t="s">
        <v>505</v>
      </c>
      <c r="C303" s="112" t="s">
        <v>449</v>
      </c>
      <c r="D303" s="113" t="s">
        <v>130</v>
      </c>
      <c r="E303" s="114" t="s">
        <v>15</v>
      </c>
      <c r="F303" s="115" t="s">
        <v>40</v>
      </c>
      <c r="G303" s="116">
        <v>16.5</v>
      </c>
      <c r="H303" s="125">
        <v>7.4</v>
      </c>
      <c r="I303" s="111">
        <v>21</v>
      </c>
      <c r="J303" s="117">
        <f t="shared" si="163"/>
        <v>2.5641000000000003</v>
      </c>
      <c r="K303" s="118"/>
      <c r="L303" s="111">
        <v>21</v>
      </c>
      <c r="M303" s="117">
        <f t="shared" si="164"/>
        <v>2.5640999999999998</v>
      </c>
      <c r="N303" s="119">
        <f t="shared" si="165"/>
        <v>0</v>
      </c>
      <c r="O303" s="120">
        <f t="shared" si="166"/>
        <v>0</v>
      </c>
      <c r="P303" s="130"/>
      <c r="Q303" s="320"/>
      <c r="R303" s="32"/>
      <c r="S303" s="32"/>
    </row>
    <row r="304" spans="1:19" ht="15.6">
      <c r="A304" s="110" t="s">
        <v>504</v>
      </c>
      <c r="B304" s="111" t="s">
        <v>505</v>
      </c>
      <c r="C304" s="112" t="s">
        <v>449</v>
      </c>
      <c r="D304" s="113" t="s">
        <v>130</v>
      </c>
      <c r="E304" s="114" t="s">
        <v>15</v>
      </c>
      <c r="F304" s="115" t="s">
        <v>40</v>
      </c>
      <c r="G304" s="116">
        <v>16.5</v>
      </c>
      <c r="H304" s="125">
        <v>7.4</v>
      </c>
      <c r="I304" s="111">
        <v>21</v>
      </c>
      <c r="J304" s="117">
        <f t="shared" si="163"/>
        <v>2.5641000000000003</v>
      </c>
      <c r="K304" s="118"/>
      <c r="L304" s="111">
        <v>21</v>
      </c>
      <c r="M304" s="117">
        <f t="shared" si="164"/>
        <v>2.5640999999999998</v>
      </c>
      <c r="N304" s="119">
        <f t="shared" si="165"/>
        <v>0</v>
      </c>
      <c r="O304" s="120">
        <f t="shared" si="166"/>
        <v>0</v>
      </c>
      <c r="P304" s="130"/>
      <c r="Q304" s="320"/>
      <c r="R304" s="32"/>
      <c r="S304" s="32"/>
    </row>
    <row r="305" spans="1:19" ht="15.6">
      <c r="A305" s="110" t="s">
        <v>504</v>
      </c>
      <c r="B305" s="111" t="s">
        <v>505</v>
      </c>
      <c r="C305" s="112" t="s">
        <v>449</v>
      </c>
      <c r="D305" s="113" t="s">
        <v>130</v>
      </c>
      <c r="E305" s="114" t="s">
        <v>15</v>
      </c>
      <c r="F305" s="115" t="s">
        <v>40</v>
      </c>
      <c r="G305" s="116">
        <v>16.5</v>
      </c>
      <c r="H305" s="125">
        <v>7.4</v>
      </c>
      <c r="I305" s="111">
        <v>21</v>
      </c>
      <c r="J305" s="117">
        <f t="shared" si="163"/>
        <v>2.5641000000000003</v>
      </c>
      <c r="K305" s="118"/>
      <c r="L305" s="111">
        <v>21</v>
      </c>
      <c r="M305" s="117">
        <f t="shared" si="164"/>
        <v>2.5640999999999998</v>
      </c>
      <c r="N305" s="119">
        <f t="shared" si="165"/>
        <v>0</v>
      </c>
      <c r="O305" s="120">
        <f t="shared" si="166"/>
        <v>0</v>
      </c>
      <c r="P305" s="130"/>
      <c r="Q305" s="320"/>
      <c r="R305" s="32"/>
      <c r="S305" s="32"/>
    </row>
    <row r="306" spans="1:19" ht="15.6">
      <c r="A306" s="110" t="s">
        <v>504</v>
      </c>
      <c r="B306" s="111" t="s">
        <v>505</v>
      </c>
      <c r="C306" s="112" t="s">
        <v>449</v>
      </c>
      <c r="D306" s="113" t="s">
        <v>130</v>
      </c>
      <c r="E306" s="114" t="s">
        <v>15</v>
      </c>
      <c r="F306" s="115" t="s">
        <v>40</v>
      </c>
      <c r="G306" s="116">
        <v>16.5</v>
      </c>
      <c r="H306" s="125">
        <v>7.4</v>
      </c>
      <c r="I306" s="111">
        <v>21</v>
      </c>
      <c r="J306" s="117">
        <f t="shared" si="163"/>
        <v>2.5641000000000003</v>
      </c>
      <c r="K306" s="118"/>
      <c r="L306" s="111">
        <v>21</v>
      </c>
      <c r="M306" s="117">
        <f t="shared" si="164"/>
        <v>2.5640999999999998</v>
      </c>
      <c r="N306" s="119">
        <f t="shared" si="165"/>
        <v>0</v>
      </c>
      <c r="O306" s="120">
        <f t="shared" si="166"/>
        <v>0</v>
      </c>
      <c r="P306" s="130"/>
      <c r="Q306" s="320"/>
      <c r="R306" s="32"/>
      <c r="S306" s="32"/>
    </row>
    <row r="307" spans="1:19" ht="15.6">
      <c r="A307" s="110" t="s">
        <v>504</v>
      </c>
      <c r="B307" s="111" t="s">
        <v>505</v>
      </c>
      <c r="C307" s="112" t="s">
        <v>449</v>
      </c>
      <c r="D307" s="113" t="s">
        <v>130</v>
      </c>
      <c r="E307" s="114" t="s">
        <v>15</v>
      </c>
      <c r="F307" s="115" t="s">
        <v>40</v>
      </c>
      <c r="G307" s="116">
        <v>16.5</v>
      </c>
      <c r="H307" s="125">
        <v>7.4</v>
      </c>
      <c r="I307" s="111">
        <v>21</v>
      </c>
      <c r="J307" s="117">
        <f t="shared" si="163"/>
        <v>2.5641000000000003</v>
      </c>
      <c r="K307" s="118"/>
      <c r="L307" s="111">
        <v>21</v>
      </c>
      <c r="M307" s="117">
        <f t="shared" si="164"/>
        <v>2.5640999999999998</v>
      </c>
      <c r="N307" s="119">
        <f t="shared" si="165"/>
        <v>0</v>
      </c>
      <c r="O307" s="120">
        <f t="shared" si="166"/>
        <v>0</v>
      </c>
      <c r="P307" s="130"/>
      <c r="Q307" s="320"/>
      <c r="R307" s="32"/>
      <c r="S307" s="32"/>
    </row>
    <row r="308" spans="1:19" ht="15.6">
      <c r="A308" s="110" t="s">
        <v>504</v>
      </c>
      <c r="B308" s="111" t="s">
        <v>505</v>
      </c>
      <c r="C308" s="112" t="s">
        <v>449</v>
      </c>
      <c r="D308" s="113" t="s">
        <v>130</v>
      </c>
      <c r="E308" s="114" t="s">
        <v>15</v>
      </c>
      <c r="F308" s="115" t="s">
        <v>40</v>
      </c>
      <c r="G308" s="116">
        <v>16.5</v>
      </c>
      <c r="H308" s="125">
        <v>7.4</v>
      </c>
      <c r="I308" s="111">
        <v>21</v>
      </c>
      <c r="J308" s="117">
        <f t="shared" si="163"/>
        <v>2.5641000000000003</v>
      </c>
      <c r="K308" s="118"/>
      <c r="L308" s="111">
        <v>21</v>
      </c>
      <c r="M308" s="117">
        <f t="shared" si="164"/>
        <v>2.5640999999999998</v>
      </c>
      <c r="N308" s="119">
        <f t="shared" si="165"/>
        <v>0</v>
      </c>
      <c r="O308" s="120">
        <f t="shared" si="166"/>
        <v>0</v>
      </c>
      <c r="P308" s="130"/>
      <c r="Q308" s="320"/>
      <c r="R308" s="32"/>
      <c r="S308" s="32"/>
    </row>
    <row r="309" spans="1:19" ht="15.6">
      <c r="A309" s="110" t="s">
        <v>504</v>
      </c>
      <c r="B309" s="111" t="s">
        <v>505</v>
      </c>
      <c r="C309" s="112" t="s">
        <v>449</v>
      </c>
      <c r="D309" s="113" t="s">
        <v>130</v>
      </c>
      <c r="E309" s="114" t="s">
        <v>15</v>
      </c>
      <c r="F309" s="115" t="s">
        <v>40</v>
      </c>
      <c r="G309" s="116">
        <v>16.5</v>
      </c>
      <c r="H309" s="125">
        <v>11.15</v>
      </c>
      <c r="I309" s="111">
        <v>10</v>
      </c>
      <c r="J309" s="117">
        <f t="shared" si="163"/>
        <v>1.83975</v>
      </c>
      <c r="K309" s="118"/>
      <c r="L309" s="111">
        <v>10</v>
      </c>
      <c r="M309" s="117">
        <f t="shared" si="164"/>
        <v>1.83975</v>
      </c>
      <c r="N309" s="119">
        <f t="shared" si="165"/>
        <v>0</v>
      </c>
      <c r="O309" s="120">
        <f t="shared" si="166"/>
        <v>0</v>
      </c>
      <c r="P309" s="130"/>
      <c r="Q309" s="320"/>
      <c r="R309" s="32"/>
      <c r="S309" s="32"/>
    </row>
    <row r="310" spans="1:19" ht="15.6">
      <c r="A310" s="110" t="s">
        <v>504</v>
      </c>
      <c r="B310" s="111" t="s">
        <v>505</v>
      </c>
      <c r="C310" s="112" t="s">
        <v>449</v>
      </c>
      <c r="D310" s="113" t="s">
        <v>130</v>
      </c>
      <c r="E310" s="114" t="s">
        <v>15</v>
      </c>
      <c r="F310" s="115" t="s">
        <v>40</v>
      </c>
      <c r="G310" s="116">
        <v>16.5</v>
      </c>
      <c r="H310" s="125">
        <v>10.5</v>
      </c>
      <c r="I310" s="111">
        <v>10</v>
      </c>
      <c r="J310" s="117">
        <f t="shared" si="163"/>
        <v>1.7324999999999999</v>
      </c>
      <c r="K310" s="118"/>
      <c r="L310" s="111">
        <v>5</v>
      </c>
      <c r="M310" s="117">
        <f t="shared" si="164"/>
        <v>0.86624999999999996</v>
      </c>
      <c r="N310" s="119">
        <f>I310-L310</f>
        <v>5</v>
      </c>
      <c r="O310" s="120">
        <f>H310*N310*G310/1000</f>
        <v>0.86624999999999996</v>
      </c>
      <c r="P310" s="72">
        <f t="shared" ref="P310:P323" si="167">5515+150</f>
        <v>5665</v>
      </c>
      <c r="Q310" s="414">
        <v>5</v>
      </c>
      <c r="R310" s="77" t="s">
        <v>524</v>
      </c>
      <c r="S310" s="32"/>
    </row>
    <row r="311" spans="1:19" ht="15.6">
      <c r="A311" s="110" t="s">
        <v>504</v>
      </c>
      <c r="B311" s="111" t="s">
        <v>505</v>
      </c>
      <c r="C311" s="112" t="s">
        <v>449</v>
      </c>
      <c r="D311" s="113" t="s">
        <v>130</v>
      </c>
      <c r="E311" s="114" t="s">
        <v>15</v>
      </c>
      <c r="F311" s="115" t="s">
        <v>40</v>
      </c>
      <c r="G311" s="116">
        <v>16.5</v>
      </c>
      <c r="H311" s="125">
        <v>7.2</v>
      </c>
      <c r="I311" s="111">
        <v>3</v>
      </c>
      <c r="J311" s="117">
        <f t="shared" ref="J311:J317" si="168">H311*G311*I311/1000</f>
        <v>0.35639999999999999</v>
      </c>
      <c r="K311" s="118"/>
      <c r="L311" s="111">
        <v>3</v>
      </c>
      <c r="M311" s="117">
        <f t="shared" ref="M311:M317" si="169">H311*L311*G311/1000</f>
        <v>0.35640000000000005</v>
      </c>
      <c r="N311" s="119">
        <f t="shared" ref="N311:N317" si="170">I311-L311</f>
        <v>0</v>
      </c>
      <c r="O311" s="120">
        <f t="shared" ref="O311:O317" si="171">H311*N311*G311/1000</f>
        <v>0</v>
      </c>
      <c r="P311" s="72">
        <f t="shared" si="167"/>
        <v>5665</v>
      </c>
      <c r="Q311" s="410">
        <v>3</v>
      </c>
      <c r="R311" s="77" t="s">
        <v>524</v>
      </c>
      <c r="S311" s="32"/>
    </row>
    <row r="312" spans="1:19" ht="15.6">
      <c r="A312" s="110" t="s">
        <v>504</v>
      </c>
      <c r="B312" s="111" t="s">
        <v>505</v>
      </c>
      <c r="C312" s="112" t="s">
        <v>449</v>
      </c>
      <c r="D312" s="113" t="s">
        <v>130</v>
      </c>
      <c r="E312" s="114" t="s">
        <v>15</v>
      </c>
      <c r="F312" s="115" t="s">
        <v>40</v>
      </c>
      <c r="G312" s="116">
        <v>16.5</v>
      </c>
      <c r="H312" s="125">
        <v>7</v>
      </c>
      <c r="I312" s="111">
        <v>9</v>
      </c>
      <c r="J312" s="117">
        <f t="shared" si="168"/>
        <v>1.0395000000000001</v>
      </c>
      <c r="K312" s="118"/>
      <c r="L312" s="111">
        <v>9</v>
      </c>
      <c r="M312" s="117">
        <f t="shared" si="169"/>
        <v>1.0395000000000001</v>
      </c>
      <c r="N312" s="119">
        <f t="shared" si="170"/>
        <v>0</v>
      </c>
      <c r="O312" s="120">
        <f t="shared" si="171"/>
        <v>0</v>
      </c>
      <c r="P312" s="72">
        <f t="shared" si="167"/>
        <v>5665</v>
      </c>
      <c r="Q312" s="410">
        <v>9</v>
      </c>
      <c r="R312" s="77" t="s">
        <v>524</v>
      </c>
      <c r="S312" s="409"/>
    </row>
    <row r="313" spans="1:19" ht="15.6">
      <c r="A313" s="110" t="s">
        <v>504</v>
      </c>
      <c r="B313" s="111" t="s">
        <v>505</v>
      </c>
      <c r="C313" s="112" t="s">
        <v>449</v>
      </c>
      <c r="D313" s="113" t="s">
        <v>130</v>
      </c>
      <c r="E313" s="114" t="s">
        <v>15</v>
      </c>
      <c r="F313" s="115" t="s">
        <v>40</v>
      </c>
      <c r="G313" s="116">
        <v>16.5</v>
      </c>
      <c r="H313" s="125">
        <v>6.9</v>
      </c>
      <c r="I313" s="111">
        <v>1</v>
      </c>
      <c r="J313" s="117">
        <f t="shared" si="168"/>
        <v>0.11385000000000001</v>
      </c>
      <c r="K313" s="118"/>
      <c r="L313" s="111">
        <v>1</v>
      </c>
      <c r="M313" s="117">
        <f t="shared" si="169"/>
        <v>0.11385000000000001</v>
      </c>
      <c r="N313" s="119">
        <f t="shared" si="170"/>
        <v>0</v>
      </c>
      <c r="O313" s="120">
        <f t="shared" si="171"/>
        <v>0</v>
      </c>
      <c r="P313" s="72">
        <f t="shared" si="167"/>
        <v>5665</v>
      </c>
      <c r="Q313" s="410">
        <v>1</v>
      </c>
      <c r="R313" s="77" t="s">
        <v>524</v>
      </c>
      <c r="S313" s="32"/>
    </row>
    <row r="314" spans="1:19" ht="15.6">
      <c r="A314" s="110" t="s">
        <v>504</v>
      </c>
      <c r="B314" s="111" t="s">
        <v>505</v>
      </c>
      <c r="C314" s="112" t="s">
        <v>449</v>
      </c>
      <c r="D314" s="113" t="s">
        <v>130</v>
      </c>
      <c r="E314" s="114" t="s">
        <v>15</v>
      </c>
      <c r="F314" s="115" t="s">
        <v>40</v>
      </c>
      <c r="G314" s="116">
        <v>16.5</v>
      </c>
      <c r="H314" s="125">
        <v>6.5</v>
      </c>
      <c r="I314" s="111">
        <v>4</v>
      </c>
      <c r="J314" s="117">
        <f t="shared" si="168"/>
        <v>0.42899999999999999</v>
      </c>
      <c r="K314" s="118"/>
      <c r="L314" s="111">
        <v>4</v>
      </c>
      <c r="M314" s="117">
        <f t="shared" si="169"/>
        <v>0.42899999999999999</v>
      </c>
      <c r="N314" s="119">
        <f t="shared" si="170"/>
        <v>0</v>
      </c>
      <c r="O314" s="120">
        <f t="shared" si="171"/>
        <v>0</v>
      </c>
      <c r="P314" s="72">
        <f t="shared" si="167"/>
        <v>5665</v>
      </c>
      <c r="Q314" s="410">
        <v>4</v>
      </c>
      <c r="R314" s="77" t="s">
        <v>524</v>
      </c>
      <c r="S314" s="32"/>
    </row>
    <row r="315" spans="1:19" ht="15.6">
      <c r="A315" s="110" t="s">
        <v>504</v>
      </c>
      <c r="B315" s="111" t="s">
        <v>505</v>
      </c>
      <c r="C315" s="112" t="s">
        <v>449</v>
      </c>
      <c r="D315" s="113" t="s">
        <v>130</v>
      </c>
      <c r="E315" s="114" t="s">
        <v>15</v>
      </c>
      <c r="F315" s="115" t="s">
        <v>40</v>
      </c>
      <c r="G315" s="116">
        <v>16.5</v>
      </c>
      <c r="H315" s="125">
        <v>6.4</v>
      </c>
      <c r="I315" s="111">
        <v>1</v>
      </c>
      <c r="J315" s="117">
        <f t="shared" si="168"/>
        <v>0.10560000000000001</v>
      </c>
      <c r="K315" s="118"/>
      <c r="L315" s="111">
        <v>1</v>
      </c>
      <c r="M315" s="117">
        <f t="shared" si="169"/>
        <v>0.10560000000000001</v>
      </c>
      <c r="N315" s="119">
        <f t="shared" si="170"/>
        <v>0</v>
      </c>
      <c r="O315" s="120">
        <f t="shared" si="171"/>
        <v>0</v>
      </c>
      <c r="P315" s="72">
        <f t="shared" si="167"/>
        <v>5665</v>
      </c>
      <c r="Q315" s="410">
        <v>1</v>
      </c>
      <c r="R315" s="77" t="s">
        <v>524</v>
      </c>
      <c r="S315" s="32"/>
    </row>
    <row r="316" spans="1:19" ht="15.6">
      <c r="A316" s="110" t="s">
        <v>504</v>
      </c>
      <c r="B316" s="111" t="s">
        <v>505</v>
      </c>
      <c r="C316" s="112" t="s">
        <v>449</v>
      </c>
      <c r="D316" s="113" t="s">
        <v>130</v>
      </c>
      <c r="E316" s="114" t="s">
        <v>15</v>
      </c>
      <c r="F316" s="115" t="s">
        <v>40</v>
      </c>
      <c r="G316" s="116">
        <v>16.5</v>
      </c>
      <c r="H316" s="125">
        <v>7.2</v>
      </c>
      <c r="I316" s="111">
        <v>8</v>
      </c>
      <c r="J316" s="117">
        <f t="shared" si="168"/>
        <v>0.95040000000000002</v>
      </c>
      <c r="K316" s="118"/>
      <c r="L316" s="111">
        <v>8</v>
      </c>
      <c r="M316" s="117">
        <f t="shared" si="169"/>
        <v>0.95040000000000002</v>
      </c>
      <c r="N316" s="119">
        <f t="shared" si="170"/>
        <v>0</v>
      </c>
      <c r="O316" s="120">
        <f t="shared" si="171"/>
        <v>0</v>
      </c>
      <c r="P316" s="72">
        <f t="shared" si="167"/>
        <v>5665</v>
      </c>
      <c r="Q316" s="410">
        <v>8</v>
      </c>
      <c r="R316" s="77" t="s">
        <v>524</v>
      </c>
      <c r="S316" s="32"/>
    </row>
    <row r="317" spans="1:19" ht="15.6">
      <c r="A317" s="110" t="s">
        <v>504</v>
      </c>
      <c r="B317" s="111" t="s">
        <v>505</v>
      </c>
      <c r="C317" s="112" t="s">
        <v>449</v>
      </c>
      <c r="D317" s="113" t="s">
        <v>130</v>
      </c>
      <c r="E317" s="114" t="s">
        <v>15</v>
      </c>
      <c r="F317" s="115" t="s">
        <v>40</v>
      </c>
      <c r="G317" s="116">
        <v>16.5</v>
      </c>
      <c r="H317" s="125">
        <v>7</v>
      </c>
      <c r="I317" s="111">
        <v>1</v>
      </c>
      <c r="J317" s="117">
        <f t="shared" si="168"/>
        <v>0.11550000000000001</v>
      </c>
      <c r="K317" s="118"/>
      <c r="L317" s="111">
        <v>1</v>
      </c>
      <c r="M317" s="117">
        <f t="shared" si="169"/>
        <v>0.11550000000000001</v>
      </c>
      <c r="N317" s="119">
        <f t="shared" si="170"/>
        <v>0</v>
      </c>
      <c r="O317" s="120">
        <f t="shared" si="171"/>
        <v>0</v>
      </c>
      <c r="P317" s="72">
        <f t="shared" si="167"/>
        <v>5665</v>
      </c>
      <c r="Q317" s="410">
        <v>1</v>
      </c>
      <c r="R317" s="77" t="s">
        <v>524</v>
      </c>
      <c r="S317" s="32"/>
    </row>
    <row r="318" spans="1:19" ht="15.6">
      <c r="A318" s="110" t="s">
        <v>504</v>
      </c>
      <c r="B318" s="111" t="s">
        <v>505</v>
      </c>
      <c r="C318" s="112" t="s">
        <v>449</v>
      </c>
      <c r="D318" s="113" t="s">
        <v>130</v>
      </c>
      <c r="E318" s="114" t="s">
        <v>15</v>
      </c>
      <c r="F318" s="115" t="s">
        <v>40</v>
      </c>
      <c r="G318" s="116">
        <v>16.5</v>
      </c>
      <c r="H318" s="125">
        <v>7.3</v>
      </c>
      <c r="I318" s="111">
        <v>3</v>
      </c>
      <c r="J318" s="117">
        <f t="shared" ref="J318:J323" si="172">H318*G318*I318/1000</f>
        <v>0.36135</v>
      </c>
      <c r="K318" s="118"/>
      <c r="L318" s="111">
        <v>3</v>
      </c>
      <c r="M318" s="117">
        <f t="shared" ref="M318:M323" si="173">H318*L318*G318/1000</f>
        <v>0.36134999999999995</v>
      </c>
      <c r="N318" s="119">
        <f t="shared" ref="N318:N323" si="174">I318-L318</f>
        <v>0</v>
      </c>
      <c r="O318" s="120">
        <f t="shared" ref="O318:O323" si="175">H318*N318*G318/1000</f>
        <v>0</v>
      </c>
      <c r="P318" s="72">
        <f t="shared" si="167"/>
        <v>5665</v>
      </c>
      <c r="Q318" s="410">
        <v>3</v>
      </c>
      <c r="R318" s="77" t="s">
        <v>524</v>
      </c>
      <c r="S318" s="32"/>
    </row>
    <row r="319" spans="1:19" ht="15.6">
      <c r="A319" s="110" t="s">
        <v>504</v>
      </c>
      <c r="B319" s="111" t="s">
        <v>505</v>
      </c>
      <c r="C319" s="112" t="s">
        <v>449</v>
      </c>
      <c r="D319" s="113" t="s">
        <v>130</v>
      </c>
      <c r="E319" s="114" t="s">
        <v>15</v>
      </c>
      <c r="F319" s="115" t="s">
        <v>40</v>
      </c>
      <c r="G319" s="116">
        <v>16.5</v>
      </c>
      <c r="H319" s="125">
        <v>7</v>
      </c>
      <c r="I319" s="111">
        <v>1</v>
      </c>
      <c r="J319" s="117">
        <f t="shared" si="172"/>
        <v>0.11550000000000001</v>
      </c>
      <c r="K319" s="118"/>
      <c r="L319" s="111">
        <v>1</v>
      </c>
      <c r="M319" s="117">
        <f t="shared" si="173"/>
        <v>0.11550000000000001</v>
      </c>
      <c r="N319" s="119">
        <f t="shared" si="174"/>
        <v>0</v>
      </c>
      <c r="O319" s="120">
        <f t="shared" si="175"/>
        <v>0</v>
      </c>
      <c r="P319" s="72">
        <f t="shared" si="167"/>
        <v>5665</v>
      </c>
      <c r="Q319" s="410">
        <v>1</v>
      </c>
      <c r="R319" s="77" t="s">
        <v>524</v>
      </c>
      <c r="S319" s="32"/>
    </row>
    <row r="320" spans="1:19" ht="15.6">
      <c r="A320" s="110" t="s">
        <v>504</v>
      </c>
      <c r="B320" s="111" t="s">
        <v>505</v>
      </c>
      <c r="C320" s="112" t="s">
        <v>449</v>
      </c>
      <c r="D320" s="113" t="s">
        <v>130</v>
      </c>
      <c r="E320" s="114" t="s">
        <v>15</v>
      </c>
      <c r="F320" s="115" t="s">
        <v>40</v>
      </c>
      <c r="G320" s="116">
        <v>16.5</v>
      </c>
      <c r="H320" s="125">
        <v>6.9</v>
      </c>
      <c r="I320" s="111">
        <v>7</v>
      </c>
      <c r="J320" s="117">
        <f t="shared" si="172"/>
        <v>0.79695000000000005</v>
      </c>
      <c r="K320" s="118"/>
      <c r="L320" s="111">
        <v>7</v>
      </c>
      <c r="M320" s="117">
        <f t="shared" si="173"/>
        <v>0.79695000000000005</v>
      </c>
      <c r="N320" s="119">
        <f t="shared" si="174"/>
        <v>0</v>
      </c>
      <c r="O320" s="120">
        <f t="shared" si="175"/>
        <v>0</v>
      </c>
      <c r="P320" s="72">
        <f t="shared" si="167"/>
        <v>5665</v>
      </c>
      <c r="Q320" s="410">
        <v>7</v>
      </c>
      <c r="R320" s="77" t="s">
        <v>524</v>
      </c>
      <c r="S320" s="32"/>
    </row>
    <row r="321" spans="1:19" ht="15.6">
      <c r="A321" s="110" t="s">
        <v>504</v>
      </c>
      <c r="B321" s="111" t="s">
        <v>505</v>
      </c>
      <c r="C321" s="112" t="s">
        <v>449</v>
      </c>
      <c r="D321" s="113" t="s">
        <v>130</v>
      </c>
      <c r="E321" s="114" t="s">
        <v>15</v>
      </c>
      <c r="F321" s="115" t="s">
        <v>40</v>
      </c>
      <c r="G321" s="116">
        <v>16.5</v>
      </c>
      <c r="H321" s="125">
        <v>6.7</v>
      </c>
      <c r="I321" s="111">
        <v>1</v>
      </c>
      <c r="J321" s="117">
        <f t="shared" si="172"/>
        <v>0.11055</v>
      </c>
      <c r="K321" s="118"/>
      <c r="L321" s="111">
        <v>1</v>
      </c>
      <c r="M321" s="117">
        <f t="shared" si="173"/>
        <v>0.11055</v>
      </c>
      <c r="N321" s="119">
        <f t="shared" si="174"/>
        <v>0</v>
      </c>
      <c r="O321" s="120">
        <f t="shared" si="175"/>
        <v>0</v>
      </c>
      <c r="P321" s="72">
        <f t="shared" si="167"/>
        <v>5665</v>
      </c>
      <c r="Q321" s="410">
        <v>1</v>
      </c>
      <c r="R321" s="77" t="s">
        <v>524</v>
      </c>
      <c r="S321" s="32"/>
    </row>
    <row r="322" spans="1:19" ht="15.6">
      <c r="A322" s="110" t="s">
        <v>504</v>
      </c>
      <c r="B322" s="111" t="s">
        <v>505</v>
      </c>
      <c r="C322" s="112" t="s">
        <v>449</v>
      </c>
      <c r="D322" s="113" t="s">
        <v>130</v>
      </c>
      <c r="E322" s="114" t="s">
        <v>15</v>
      </c>
      <c r="F322" s="115" t="s">
        <v>40</v>
      </c>
      <c r="G322" s="116">
        <v>16.5</v>
      </c>
      <c r="H322" s="125">
        <v>6.5</v>
      </c>
      <c r="I322" s="111">
        <v>1</v>
      </c>
      <c r="J322" s="117">
        <f t="shared" si="172"/>
        <v>0.10725</v>
      </c>
      <c r="K322" s="118"/>
      <c r="L322" s="111">
        <v>1</v>
      </c>
      <c r="M322" s="117">
        <f t="shared" si="173"/>
        <v>0.10725</v>
      </c>
      <c r="N322" s="119">
        <f t="shared" si="174"/>
        <v>0</v>
      </c>
      <c r="O322" s="120">
        <f t="shared" si="175"/>
        <v>0</v>
      </c>
      <c r="P322" s="72">
        <f t="shared" si="167"/>
        <v>5665</v>
      </c>
      <c r="Q322" s="410">
        <v>1</v>
      </c>
      <c r="R322" s="77" t="s">
        <v>524</v>
      </c>
      <c r="S322" s="32"/>
    </row>
    <row r="323" spans="1:19" ht="15.6">
      <c r="A323" s="110" t="s">
        <v>504</v>
      </c>
      <c r="B323" s="111" t="s">
        <v>505</v>
      </c>
      <c r="C323" s="112" t="s">
        <v>449</v>
      </c>
      <c r="D323" s="113" t="s">
        <v>130</v>
      </c>
      <c r="E323" s="114" t="s">
        <v>15</v>
      </c>
      <c r="F323" s="115" t="s">
        <v>40</v>
      </c>
      <c r="G323" s="116">
        <v>16.5</v>
      </c>
      <c r="H323" s="125">
        <v>6.4</v>
      </c>
      <c r="I323" s="111">
        <v>1</v>
      </c>
      <c r="J323" s="117">
        <f t="shared" si="172"/>
        <v>0.10560000000000001</v>
      </c>
      <c r="K323" s="118"/>
      <c r="L323" s="111">
        <v>1</v>
      </c>
      <c r="M323" s="117">
        <f t="shared" si="173"/>
        <v>0.10560000000000001</v>
      </c>
      <c r="N323" s="119">
        <f t="shared" si="174"/>
        <v>0</v>
      </c>
      <c r="O323" s="120">
        <f t="shared" si="175"/>
        <v>0</v>
      </c>
      <c r="P323" s="72">
        <f t="shared" si="167"/>
        <v>5665</v>
      </c>
      <c r="Q323" s="410">
        <v>1</v>
      </c>
      <c r="R323" s="77" t="s">
        <v>524</v>
      </c>
      <c r="S323" s="32"/>
    </row>
    <row r="324" spans="1:19">
      <c r="A324" s="32"/>
      <c r="B324" s="32"/>
      <c r="C324" s="32"/>
      <c r="D324" s="32"/>
      <c r="E324" s="32"/>
      <c r="F324" s="32"/>
      <c r="G324" s="32"/>
      <c r="H324" s="32"/>
      <c r="I324" s="129">
        <f>SUM(I244:I323)</f>
        <v>1129</v>
      </c>
      <c r="J324" s="124">
        <f>SUM(J244:J323)</f>
        <v>171.25267499999995</v>
      </c>
      <c r="K324" s="32"/>
      <c r="L324" s="129">
        <f>SUM(L244:L323)</f>
        <v>1162</v>
      </c>
      <c r="M324" s="124">
        <f>SUM(M244:M323)</f>
        <v>177.377475</v>
      </c>
      <c r="N324" s="131">
        <f>SUM(N244:N323)</f>
        <v>-33</v>
      </c>
      <c r="O324" s="124">
        <f>SUM(O244:O323)</f>
        <v>-6.1248000000000005</v>
      </c>
      <c r="P324" s="32"/>
      <c r="Q324" s="131">
        <f>SUM(Q244:Q323)</f>
        <v>74</v>
      </c>
      <c r="R324" s="32"/>
      <c r="S324" s="32"/>
    </row>
    <row r="326" spans="1:19" ht="15.6">
      <c r="A326" s="110" t="s">
        <v>504</v>
      </c>
      <c r="B326" s="111" t="s">
        <v>232</v>
      </c>
      <c r="C326" s="112" t="s">
        <v>449</v>
      </c>
      <c r="D326" s="113" t="s">
        <v>506</v>
      </c>
      <c r="E326" s="114" t="s">
        <v>15</v>
      </c>
      <c r="F326" s="115" t="s">
        <v>40</v>
      </c>
      <c r="G326" s="116">
        <v>16.5</v>
      </c>
      <c r="H326" s="125">
        <v>8.5</v>
      </c>
      <c r="I326" s="111">
        <v>2</v>
      </c>
      <c r="J326" s="117">
        <f t="shared" ref="J326:J330" si="176">H326*G326*I326/1000</f>
        <v>0.28050000000000003</v>
      </c>
      <c r="K326" s="118"/>
      <c r="L326" s="111">
        <v>2</v>
      </c>
      <c r="M326" s="117">
        <f t="shared" ref="M326:M330" si="177">H326*L326*G326/1000</f>
        <v>0.28050000000000003</v>
      </c>
      <c r="N326" s="119">
        <f t="shared" ref="N326:N330" si="178">I326-L326</f>
        <v>0</v>
      </c>
      <c r="O326" s="120">
        <f t="shared" ref="O326:O330" si="179">H326*N326*G326/1000</f>
        <v>0</v>
      </c>
      <c r="P326" s="130"/>
      <c r="Q326" s="320"/>
      <c r="R326" s="32"/>
      <c r="S326" s="32"/>
    </row>
    <row r="327" spans="1:19" ht="15.6">
      <c r="A327" s="110" t="s">
        <v>504</v>
      </c>
      <c r="B327" s="111" t="s">
        <v>232</v>
      </c>
      <c r="C327" s="112" t="s">
        <v>449</v>
      </c>
      <c r="D327" s="113" t="s">
        <v>506</v>
      </c>
      <c r="E327" s="114" t="s">
        <v>15</v>
      </c>
      <c r="F327" s="115" t="s">
        <v>40</v>
      </c>
      <c r="G327" s="116">
        <v>16.5</v>
      </c>
      <c r="H327" s="125">
        <v>8.3000000000000007</v>
      </c>
      <c r="I327" s="111">
        <v>2</v>
      </c>
      <c r="J327" s="117">
        <f t="shared" si="176"/>
        <v>0.27390000000000003</v>
      </c>
      <c r="K327" s="118"/>
      <c r="L327" s="111">
        <v>2</v>
      </c>
      <c r="M327" s="117">
        <f t="shared" si="177"/>
        <v>0.27390000000000003</v>
      </c>
      <c r="N327" s="119">
        <f t="shared" si="178"/>
        <v>0</v>
      </c>
      <c r="O327" s="120">
        <f t="shared" si="179"/>
        <v>0</v>
      </c>
      <c r="P327" s="130"/>
      <c r="Q327" s="320"/>
      <c r="R327" s="32"/>
      <c r="S327" s="32"/>
    </row>
    <row r="328" spans="1:19" ht="15.6">
      <c r="A328" s="110" t="s">
        <v>504</v>
      </c>
      <c r="B328" s="111" t="s">
        <v>232</v>
      </c>
      <c r="C328" s="112" t="s">
        <v>449</v>
      </c>
      <c r="D328" s="113" t="s">
        <v>506</v>
      </c>
      <c r="E328" s="114" t="s">
        <v>15</v>
      </c>
      <c r="F328" s="115" t="s">
        <v>40</v>
      </c>
      <c r="G328" s="116">
        <v>16.5</v>
      </c>
      <c r="H328" s="125">
        <v>10.9</v>
      </c>
      <c r="I328" s="111">
        <v>5</v>
      </c>
      <c r="J328" s="117">
        <f t="shared" si="176"/>
        <v>0.89924999999999999</v>
      </c>
      <c r="K328" s="118"/>
      <c r="L328" s="111">
        <v>5</v>
      </c>
      <c r="M328" s="117">
        <f t="shared" si="177"/>
        <v>0.89924999999999999</v>
      </c>
      <c r="N328" s="119">
        <f t="shared" si="178"/>
        <v>0</v>
      </c>
      <c r="O328" s="120">
        <f t="shared" si="179"/>
        <v>0</v>
      </c>
      <c r="P328" s="130"/>
      <c r="Q328" s="320"/>
      <c r="R328" s="32"/>
      <c r="S328" s="32"/>
    </row>
    <row r="329" spans="1:19" ht="15.6">
      <c r="A329" s="110" t="s">
        <v>504</v>
      </c>
      <c r="B329" s="111" t="s">
        <v>232</v>
      </c>
      <c r="C329" s="112" t="s">
        <v>449</v>
      </c>
      <c r="D329" s="113" t="s">
        <v>506</v>
      </c>
      <c r="E329" s="114" t="s">
        <v>15</v>
      </c>
      <c r="F329" s="115" t="s">
        <v>40</v>
      </c>
      <c r="G329" s="116">
        <v>16.5</v>
      </c>
      <c r="H329" s="125">
        <v>11.3</v>
      </c>
      <c r="I329" s="111">
        <v>1</v>
      </c>
      <c r="J329" s="117">
        <f t="shared" si="176"/>
        <v>0.18645</v>
      </c>
      <c r="K329" s="118"/>
      <c r="L329" s="111">
        <v>1</v>
      </c>
      <c r="M329" s="117">
        <f t="shared" si="177"/>
        <v>0.18645</v>
      </c>
      <c r="N329" s="119">
        <f t="shared" si="178"/>
        <v>0</v>
      </c>
      <c r="O329" s="120">
        <f t="shared" si="179"/>
        <v>0</v>
      </c>
      <c r="P329" s="130"/>
      <c r="Q329" s="320"/>
      <c r="R329" s="32"/>
      <c r="S329" s="32"/>
    </row>
    <row r="330" spans="1:19" ht="15.6">
      <c r="A330" s="110" t="s">
        <v>504</v>
      </c>
      <c r="B330" s="111" t="s">
        <v>232</v>
      </c>
      <c r="C330" s="112" t="s">
        <v>449</v>
      </c>
      <c r="D330" s="113" t="s">
        <v>506</v>
      </c>
      <c r="E330" s="114" t="s">
        <v>15</v>
      </c>
      <c r="F330" s="115" t="s">
        <v>40</v>
      </c>
      <c r="G330" s="116">
        <v>16.5</v>
      </c>
      <c r="H330" s="125">
        <v>11.3</v>
      </c>
      <c r="I330" s="111">
        <v>1</v>
      </c>
      <c r="J330" s="117">
        <f t="shared" si="176"/>
        <v>0.18645</v>
      </c>
      <c r="K330" s="118"/>
      <c r="L330" s="111">
        <v>1</v>
      </c>
      <c r="M330" s="117">
        <f t="shared" si="177"/>
        <v>0.18645</v>
      </c>
      <c r="N330" s="119">
        <f t="shared" si="178"/>
        <v>0</v>
      </c>
      <c r="O330" s="120">
        <f t="shared" si="179"/>
        <v>0</v>
      </c>
      <c r="P330" s="130"/>
      <c r="Q330" s="320"/>
      <c r="R330" s="32"/>
      <c r="S330" s="32"/>
    </row>
    <row r="331" spans="1:19" ht="15.6">
      <c r="A331" s="110" t="s">
        <v>504</v>
      </c>
      <c r="B331" s="111" t="s">
        <v>232</v>
      </c>
      <c r="C331" s="112" t="s">
        <v>449</v>
      </c>
      <c r="D331" s="113" t="s">
        <v>506</v>
      </c>
      <c r="E331" s="114" t="s">
        <v>15</v>
      </c>
      <c r="F331" s="115" t="s">
        <v>40</v>
      </c>
      <c r="G331" s="116">
        <v>16.5</v>
      </c>
      <c r="H331" s="126">
        <v>10.5</v>
      </c>
      <c r="I331" s="111">
        <v>1</v>
      </c>
      <c r="J331" s="117">
        <f t="shared" ref="J331:J333" si="180">H331*G331*I331/1000</f>
        <v>0.17324999999999999</v>
      </c>
      <c r="K331" s="118"/>
      <c r="L331" s="111">
        <v>1</v>
      </c>
      <c r="M331" s="117">
        <f t="shared" ref="M331:M333" si="181">H331*L331*G331/1000</f>
        <v>0.17324999999999999</v>
      </c>
      <c r="N331" s="119">
        <f t="shared" ref="N331:N333" si="182">I331-L331</f>
        <v>0</v>
      </c>
      <c r="O331" s="120">
        <f t="shared" ref="O331:O332" si="183">H331*N331*G331/1000</f>
        <v>0</v>
      </c>
      <c r="P331" s="130"/>
      <c r="Q331" s="320"/>
      <c r="R331" s="32"/>
      <c r="S331" s="32"/>
    </row>
    <row r="332" spans="1:19" ht="15.6">
      <c r="A332" s="110" t="s">
        <v>504</v>
      </c>
      <c r="B332" s="111" t="s">
        <v>232</v>
      </c>
      <c r="C332" s="112" t="s">
        <v>449</v>
      </c>
      <c r="D332" s="113" t="s">
        <v>506</v>
      </c>
      <c r="E332" s="114" t="s">
        <v>15</v>
      </c>
      <c r="F332" s="115" t="s">
        <v>40</v>
      </c>
      <c r="G332" s="116">
        <v>16.5</v>
      </c>
      <c r="H332" s="126">
        <v>9.1</v>
      </c>
      <c r="I332" s="111">
        <v>1</v>
      </c>
      <c r="J332" s="117">
        <f t="shared" si="180"/>
        <v>0.15015000000000001</v>
      </c>
      <c r="K332" s="118"/>
      <c r="L332" s="111">
        <v>1</v>
      </c>
      <c r="M332" s="117">
        <f t="shared" si="181"/>
        <v>0.15015000000000001</v>
      </c>
      <c r="N332" s="119">
        <f t="shared" si="182"/>
        <v>0</v>
      </c>
      <c r="O332" s="120">
        <f t="shared" si="183"/>
        <v>0</v>
      </c>
      <c r="P332" s="130"/>
      <c r="Q332" s="320"/>
      <c r="R332" s="32"/>
      <c r="S332" s="32"/>
    </row>
    <row r="333" spans="1:19" ht="15.6">
      <c r="A333" s="110" t="s">
        <v>504</v>
      </c>
      <c r="B333" s="111" t="s">
        <v>232</v>
      </c>
      <c r="C333" s="112" t="s">
        <v>449</v>
      </c>
      <c r="D333" s="113" t="s">
        <v>506</v>
      </c>
      <c r="E333" s="114" t="s">
        <v>15</v>
      </c>
      <c r="F333" s="115" t="s">
        <v>40</v>
      </c>
      <c r="G333" s="116">
        <v>16.5</v>
      </c>
      <c r="H333" s="126">
        <v>8.5</v>
      </c>
      <c r="I333" s="111">
        <v>1</v>
      </c>
      <c r="J333" s="117">
        <f t="shared" si="180"/>
        <v>0.14025000000000001</v>
      </c>
      <c r="K333" s="118"/>
      <c r="L333" s="111">
        <v>1</v>
      </c>
      <c r="M333" s="117">
        <f t="shared" si="181"/>
        <v>0.14025000000000001</v>
      </c>
      <c r="N333" s="119">
        <f t="shared" si="182"/>
        <v>0</v>
      </c>
      <c r="O333" s="120">
        <f>H333*N333*G333/1000</f>
        <v>0</v>
      </c>
      <c r="P333" s="130"/>
      <c r="Q333" s="320"/>
      <c r="R333" s="32"/>
      <c r="S333" s="32"/>
    </row>
    <row r="334" spans="1:19">
      <c r="I334" s="215">
        <f>SUM(I326:I333)</f>
        <v>14</v>
      </c>
      <c r="J334" s="214">
        <f>SUM(J326:J333)</f>
        <v>2.2902</v>
      </c>
      <c r="L334" s="215">
        <f>SUM(L326:L333)</f>
        <v>14</v>
      </c>
      <c r="M334" s="214">
        <f>SUM(M326:M333)</f>
        <v>2.2902</v>
      </c>
      <c r="N334" s="78">
        <f>SUM(N326:N333)</f>
        <v>0</v>
      </c>
      <c r="O334" s="214">
        <f>SUM(O326:O333)</f>
        <v>0</v>
      </c>
    </row>
    <row r="336" spans="1:19" ht="15.6">
      <c r="A336" s="110" t="s">
        <v>517</v>
      </c>
      <c r="B336" s="111" t="s">
        <v>505</v>
      </c>
      <c r="C336" s="112" t="s">
        <v>449</v>
      </c>
      <c r="D336" s="113" t="s">
        <v>17</v>
      </c>
      <c r="E336" s="114" t="s">
        <v>15</v>
      </c>
      <c r="F336" s="115" t="s">
        <v>40</v>
      </c>
      <c r="G336" s="116">
        <v>16.5</v>
      </c>
      <c r="H336" s="125">
        <v>10.3</v>
      </c>
      <c r="I336" s="111">
        <v>9</v>
      </c>
      <c r="J336" s="117">
        <f t="shared" ref="J336:J342" si="184">H336*G336*I336/1000</f>
        <v>1.5295500000000002</v>
      </c>
      <c r="K336" s="118"/>
      <c r="L336" s="111">
        <v>9</v>
      </c>
      <c r="M336" s="117">
        <f t="shared" ref="M336:M342" si="185">H336*L336*G336/1000</f>
        <v>1.52955</v>
      </c>
      <c r="N336" s="119">
        <f t="shared" ref="N336" si="186">I336-L336</f>
        <v>0</v>
      </c>
      <c r="O336" s="120">
        <f t="shared" ref="O336" si="187">H336*N336*G336/1000</f>
        <v>0</v>
      </c>
      <c r="P336" s="130"/>
      <c r="Q336" s="320"/>
      <c r="R336" s="32"/>
      <c r="S336" s="32"/>
    </row>
    <row r="337" spans="1:19" ht="15.6">
      <c r="A337" s="110" t="s">
        <v>517</v>
      </c>
      <c r="B337" s="111" t="s">
        <v>505</v>
      </c>
      <c r="C337" s="112" t="s">
        <v>449</v>
      </c>
      <c r="D337" s="113" t="s">
        <v>17</v>
      </c>
      <c r="E337" s="114" t="s">
        <v>15</v>
      </c>
      <c r="F337" s="115" t="s">
        <v>40</v>
      </c>
      <c r="G337" s="116">
        <v>16.5</v>
      </c>
      <c r="H337" s="125">
        <v>11.2</v>
      </c>
      <c r="I337" s="111">
        <v>11</v>
      </c>
      <c r="J337" s="117">
        <f t="shared" si="184"/>
        <v>2.0327999999999999</v>
      </c>
      <c r="K337" s="118"/>
      <c r="L337" s="111">
        <v>11</v>
      </c>
      <c r="M337" s="117">
        <f t="shared" si="185"/>
        <v>2.0327999999999999</v>
      </c>
      <c r="N337" s="119">
        <f>I337-L337</f>
        <v>0</v>
      </c>
      <c r="O337" s="120">
        <f>H337*N337*G337/1000</f>
        <v>0</v>
      </c>
      <c r="P337" s="130"/>
      <c r="Q337" s="320"/>
      <c r="R337" s="32"/>
      <c r="S337" s="32"/>
    </row>
    <row r="338" spans="1:19" ht="15.6">
      <c r="A338" s="110" t="s">
        <v>517</v>
      </c>
      <c r="B338" s="111" t="s">
        <v>505</v>
      </c>
      <c r="C338" s="112" t="s">
        <v>449</v>
      </c>
      <c r="D338" s="113" t="s">
        <v>17</v>
      </c>
      <c r="E338" s="114" t="s">
        <v>15</v>
      </c>
      <c r="F338" s="115" t="s">
        <v>40</v>
      </c>
      <c r="G338" s="116">
        <v>16.5</v>
      </c>
      <c r="H338" s="125">
        <v>11.5</v>
      </c>
      <c r="I338" s="111">
        <v>8</v>
      </c>
      <c r="J338" s="117">
        <f t="shared" si="184"/>
        <v>1.518</v>
      </c>
      <c r="K338" s="118"/>
      <c r="L338" s="111">
        <v>8</v>
      </c>
      <c r="M338" s="117">
        <f t="shared" si="185"/>
        <v>1.518</v>
      </c>
      <c r="N338" s="119">
        <f t="shared" ref="N338:N342" si="188">I338-L338</f>
        <v>0</v>
      </c>
      <c r="O338" s="120">
        <f t="shared" ref="O338:O342" si="189">H338*N338*G338/1000</f>
        <v>0</v>
      </c>
      <c r="P338" s="130"/>
      <c r="Q338" s="320"/>
      <c r="R338" s="32"/>
      <c r="S338" s="32"/>
    </row>
    <row r="339" spans="1:19" ht="15.6">
      <c r="A339" s="110" t="s">
        <v>517</v>
      </c>
      <c r="B339" s="111" t="s">
        <v>505</v>
      </c>
      <c r="C339" s="112" t="s">
        <v>449</v>
      </c>
      <c r="D339" s="113" t="s">
        <v>17</v>
      </c>
      <c r="E339" s="114" t="s">
        <v>15</v>
      </c>
      <c r="F339" s="115" t="s">
        <v>40</v>
      </c>
      <c r="G339" s="116">
        <v>16.5</v>
      </c>
      <c r="H339" s="125">
        <v>9.9</v>
      </c>
      <c r="I339" s="111">
        <v>1</v>
      </c>
      <c r="J339" s="117">
        <f t="shared" si="184"/>
        <v>0.16335</v>
      </c>
      <c r="K339" s="118"/>
      <c r="L339" s="111">
        <v>1</v>
      </c>
      <c r="M339" s="117">
        <f t="shared" si="185"/>
        <v>0.16335</v>
      </c>
      <c r="N339" s="145">
        <f t="shared" si="188"/>
        <v>0</v>
      </c>
      <c r="O339" s="120">
        <f t="shared" si="189"/>
        <v>0</v>
      </c>
      <c r="P339" s="130"/>
      <c r="Q339" s="320">
        <v>1</v>
      </c>
      <c r="R339" s="32" t="s">
        <v>552</v>
      </c>
      <c r="S339" s="32"/>
    </row>
    <row r="340" spans="1:19" ht="15.6">
      <c r="A340" s="110" t="s">
        <v>517</v>
      </c>
      <c r="B340" s="111" t="s">
        <v>505</v>
      </c>
      <c r="C340" s="112" t="s">
        <v>449</v>
      </c>
      <c r="D340" s="113" t="s">
        <v>17</v>
      </c>
      <c r="E340" s="114" t="s">
        <v>15</v>
      </c>
      <c r="F340" s="115" t="s">
        <v>40</v>
      </c>
      <c r="G340" s="116">
        <v>16.5</v>
      </c>
      <c r="H340" s="125">
        <v>9.3000000000000007</v>
      </c>
      <c r="I340" s="111">
        <v>1</v>
      </c>
      <c r="J340" s="117">
        <f t="shared" si="184"/>
        <v>0.15345000000000003</v>
      </c>
      <c r="K340" s="118"/>
      <c r="L340" s="111">
        <v>1</v>
      </c>
      <c r="M340" s="117">
        <f t="shared" si="185"/>
        <v>0.15345000000000003</v>
      </c>
      <c r="N340" s="145">
        <f t="shared" si="188"/>
        <v>0</v>
      </c>
      <c r="O340" s="120">
        <f t="shared" si="189"/>
        <v>0</v>
      </c>
      <c r="P340" s="130"/>
      <c r="Q340" s="320">
        <v>1</v>
      </c>
      <c r="R340" s="32" t="s">
        <v>552</v>
      </c>
      <c r="S340" s="32"/>
    </row>
    <row r="341" spans="1:19" ht="15.6">
      <c r="A341" s="110" t="s">
        <v>517</v>
      </c>
      <c r="B341" s="111" t="s">
        <v>505</v>
      </c>
      <c r="C341" s="112" t="s">
        <v>449</v>
      </c>
      <c r="D341" s="113" t="s">
        <v>17</v>
      </c>
      <c r="E341" s="114" t="s">
        <v>15</v>
      </c>
      <c r="F341" s="115" t="s">
        <v>40</v>
      </c>
      <c r="G341" s="116">
        <v>16.5</v>
      </c>
      <c r="H341" s="125">
        <v>10.3</v>
      </c>
      <c r="I341" s="111">
        <v>4</v>
      </c>
      <c r="J341" s="117">
        <f t="shared" si="184"/>
        <v>0.67980000000000007</v>
      </c>
      <c r="K341" s="118"/>
      <c r="L341" s="111">
        <f>3+1</f>
        <v>4</v>
      </c>
      <c r="M341" s="117">
        <f t="shared" si="185"/>
        <v>0.67980000000000007</v>
      </c>
      <c r="N341" s="145">
        <f t="shared" si="188"/>
        <v>0</v>
      </c>
      <c r="O341" s="120">
        <f t="shared" si="189"/>
        <v>0</v>
      </c>
      <c r="P341" s="130"/>
      <c r="Q341" s="320">
        <v>1</v>
      </c>
      <c r="R341" s="32" t="s">
        <v>552</v>
      </c>
      <c r="S341" s="32"/>
    </row>
    <row r="342" spans="1:19" ht="15.6">
      <c r="A342" s="110" t="s">
        <v>517</v>
      </c>
      <c r="B342" s="111" t="s">
        <v>505</v>
      </c>
      <c r="C342" s="112" t="s">
        <v>449</v>
      </c>
      <c r="D342" s="113" t="s">
        <v>17</v>
      </c>
      <c r="E342" s="114" t="s">
        <v>15</v>
      </c>
      <c r="F342" s="115" t="s">
        <v>40</v>
      </c>
      <c r="G342" s="116">
        <v>16.5</v>
      </c>
      <c r="H342" s="125">
        <v>11.2</v>
      </c>
      <c r="I342" s="111">
        <v>13</v>
      </c>
      <c r="J342" s="117">
        <f t="shared" si="184"/>
        <v>2.4023999999999996</v>
      </c>
      <c r="K342" s="118"/>
      <c r="L342" s="111">
        <v>13</v>
      </c>
      <c r="M342" s="117">
        <f t="shared" si="185"/>
        <v>2.4024000000000001</v>
      </c>
      <c r="N342" s="119">
        <f t="shared" si="188"/>
        <v>0</v>
      </c>
      <c r="O342" s="120">
        <f t="shared" si="189"/>
        <v>0</v>
      </c>
      <c r="P342" s="130"/>
      <c r="Q342" s="320"/>
      <c r="R342" s="32"/>
      <c r="S342" s="32"/>
    </row>
    <row r="343" spans="1:19" ht="15.6">
      <c r="A343" s="110" t="s">
        <v>517</v>
      </c>
      <c r="B343" s="111" t="s">
        <v>505</v>
      </c>
      <c r="C343" s="112" t="s">
        <v>449</v>
      </c>
      <c r="D343" s="113" t="s">
        <v>17</v>
      </c>
      <c r="E343" s="114" t="s">
        <v>15</v>
      </c>
      <c r="F343" s="115" t="s">
        <v>40</v>
      </c>
      <c r="G343" s="116">
        <v>16.5</v>
      </c>
      <c r="H343" s="125">
        <v>11.5</v>
      </c>
      <c r="I343" s="111">
        <v>9</v>
      </c>
      <c r="J343" s="117">
        <f t="shared" ref="J343:J349" si="190">H343*G343*I343/1000</f>
        <v>1.7077500000000001</v>
      </c>
      <c r="K343" s="118"/>
      <c r="L343" s="111">
        <v>8</v>
      </c>
      <c r="M343" s="117">
        <f t="shared" ref="M343:M349" si="191">H343*L343*G343/1000</f>
        <v>1.518</v>
      </c>
      <c r="N343" s="119">
        <f t="shared" ref="N343:N349" si="192">I343-L343</f>
        <v>1</v>
      </c>
      <c r="O343" s="120">
        <f t="shared" ref="O343:O349" si="193">H343*N343*G343/1000</f>
        <v>0.18975</v>
      </c>
      <c r="P343" s="130"/>
      <c r="Q343" s="320"/>
      <c r="R343" s="32"/>
      <c r="S343" s="32"/>
    </row>
    <row r="344" spans="1:19" ht="15.6">
      <c r="A344" s="110" t="s">
        <v>517</v>
      </c>
      <c r="B344" s="111" t="s">
        <v>505</v>
      </c>
      <c r="C344" s="112" t="s">
        <v>449</v>
      </c>
      <c r="D344" s="113" t="s">
        <v>17</v>
      </c>
      <c r="E344" s="114" t="s">
        <v>15</v>
      </c>
      <c r="F344" s="115" t="s">
        <v>40</v>
      </c>
      <c r="G344" s="116">
        <v>16.5</v>
      </c>
      <c r="H344" s="125">
        <v>10.9</v>
      </c>
      <c r="I344" s="111">
        <v>2</v>
      </c>
      <c r="J344" s="117">
        <f t="shared" si="190"/>
        <v>0.35969999999999996</v>
      </c>
      <c r="K344" s="118"/>
      <c r="L344" s="111">
        <v>1</v>
      </c>
      <c r="M344" s="117">
        <f t="shared" si="191"/>
        <v>0.17984999999999998</v>
      </c>
      <c r="N344" s="119">
        <f t="shared" si="192"/>
        <v>1</v>
      </c>
      <c r="O344" s="120">
        <f t="shared" si="193"/>
        <v>0.17984999999999998</v>
      </c>
      <c r="P344" s="72">
        <f t="shared" ref="P344:P349" si="194">5515+150</f>
        <v>5665</v>
      </c>
      <c r="Q344" s="320">
        <v>1</v>
      </c>
      <c r="R344" s="77" t="s">
        <v>524</v>
      </c>
      <c r="S344" s="32"/>
    </row>
    <row r="345" spans="1:19" ht="15.6">
      <c r="A345" s="110" t="s">
        <v>517</v>
      </c>
      <c r="B345" s="111" t="s">
        <v>505</v>
      </c>
      <c r="C345" s="112" t="s">
        <v>449</v>
      </c>
      <c r="D345" s="113" t="s">
        <v>17</v>
      </c>
      <c r="E345" s="114" t="s">
        <v>15</v>
      </c>
      <c r="F345" s="115" t="s">
        <v>40</v>
      </c>
      <c r="G345" s="116">
        <v>16.5</v>
      </c>
      <c r="H345" s="125">
        <v>7.5</v>
      </c>
      <c r="I345" s="111">
        <v>1</v>
      </c>
      <c r="J345" s="117">
        <f t="shared" si="190"/>
        <v>0.12375</v>
      </c>
      <c r="K345" s="118"/>
      <c r="L345" s="111">
        <v>1</v>
      </c>
      <c r="M345" s="117">
        <f t="shared" si="191"/>
        <v>0.12375</v>
      </c>
      <c r="N345" s="119">
        <f t="shared" si="192"/>
        <v>0</v>
      </c>
      <c r="O345" s="120">
        <f t="shared" si="193"/>
        <v>0</v>
      </c>
      <c r="P345" s="72">
        <f t="shared" si="194"/>
        <v>5665</v>
      </c>
      <c r="Q345" s="320">
        <v>1</v>
      </c>
      <c r="R345" s="77" t="s">
        <v>524</v>
      </c>
      <c r="S345" s="32"/>
    </row>
    <row r="346" spans="1:19" ht="15.6">
      <c r="A346" s="110" t="s">
        <v>517</v>
      </c>
      <c r="B346" s="111" t="s">
        <v>505</v>
      </c>
      <c r="C346" s="112" t="s">
        <v>449</v>
      </c>
      <c r="D346" s="113" t="s">
        <v>17</v>
      </c>
      <c r="E346" s="114" t="s">
        <v>15</v>
      </c>
      <c r="F346" s="115" t="s">
        <v>40</v>
      </c>
      <c r="G346" s="116">
        <v>16.5</v>
      </c>
      <c r="H346" s="125">
        <v>7.8</v>
      </c>
      <c r="I346" s="111">
        <v>1</v>
      </c>
      <c r="J346" s="117">
        <f t="shared" si="190"/>
        <v>0.12869999999999998</v>
      </c>
      <c r="K346" s="118"/>
      <c r="L346" s="111">
        <v>1</v>
      </c>
      <c r="M346" s="117">
        <f t="shared" si="191"/>
        <v>0.12869999999999998</v>
      </c>
      <c r="N346" s="119">
        <f t="shared" si="192"/>
        <v>0</v>
      </c>
      <c r="O346" s="120">
        <f t="shared" si="193"/>
        <v>0</v>
      </c>
      <c r="P346" s="72">
        <f t="shared" si="194"/>
        <v>5665</v>
      </c>
      <c r="Q346" s="320">
        <v>1</v>
      </c>
      <c r="R346" s="77" t="s">
        <v>524</v>
      </c>
      <c r="S346" s="32"/>
    </row>
    <row r="347" spans="1:19" ht="15.6">
      <c r="A347" s="110" t="s">
        <v>517</v>
      </c>
      <c r="B347" s="111" t="s">
        <v>505</v>
      </c>
      <c r="C347" s="112" t="s">
        <v>449</v>
      </c>
      <c r="D347" s="113" t="s">
        <v>17</v>
      </c>
      <c r="E347" s="114" t="s">
        <v>15</v>
      </c>
      <c r="F347" s="115" t="s">
        <v>40</v>
      </c>
      <c r="G347" s="116">
        <v>16.5</v>
      </c>
      <c r="H347" s="125">
        <v>9</v>
      </c>
      <c r="I347" s="111">
        <v>1</v>
      </c>
      <c r="J347" s="117">
        <f t="shared" si="190"/>
        <v>0.14849999999999999</v>
      </c>
      <c r="K347" s="118"/>
      <c r="L347" s="111">
        <v>1</v>
      </c>
      <c r="M347" s="117">
        <f t="shared" si="191"/>
        <v>0.14849999999999999</v>
      </c>
      <c r="N347" s="119">
        <f t="shared" si="192"/>
        <v>0</v>
      </c>
      <c r="O347" s="120">
        <f t="shared" si="193"/>
        <v>0</v>
      </c>
      <c r="P347" s="72">
        <f t="shared" si="194"/>
        <v>5665</v>
      </c>
      <c r="Q347" s="320">
        <v>1</v>
      </c>
      <c r="R347" s="77" t="s">
        <v>524</v>
      </c>
      <c r="S347" s="32"/>
    </row>
    <row r="348" spans="1:19" ht="15.6">
      <c r="A348" s="110" t="s">
        <v>517</v>
      </c>
      <c r="B348" s="111" t="s">
        <v>505</v>
      </c>
      <c r="C348" s="112" t="s">
        <v>449</v>
      </c>
      <c r="D348" s="113" t="s">
        <v>17</v>
      </c>
      <c r="E348" s="114" t="s">
        <v>15</v>
      </c>
      <c r="F348" s="115" t="s">
        <v>40</v>
      </c>
      <c r="G348" s="116">
        <v>16.5</v>
      </c>
      <c r="H348" s="125">
        <v>9.4</v>
      </c>
      <c r="I348" s="111">
        <v>1</v>
      </c>
      <c r="J348" s="117">
        <f t="shared" si="190"/>
        <v>0.15509999999999999</v>
      </c>
      <c r="K348" s="118"/>
      <c r="L348" s="111">
        <v>1</v>
      </c>
      <c r="M348" s="117">
        <f t="shared" si="191"/>
        <v>0.15509999999999999</v>
      </c>
      <c r="N348" s="119">
        <f t="shared" si="192"/>
        <v>0</v>
      </c>
      <c r="O348" s="120">
        <f t="shared" si="193"/>
        <v>0</v>
      </c>
      <c r="P348" s="72">
        <f t="shared" si="194"/>
        <v>5665</v>
      </c>
      <c r="Q348" s="320">
        <v>1</v>
      </c>
      <c r="R348" s="77" t="s">
        <v>524</v>
      </c>
      <c r="S348" s="32"/>
    </row>
    <row r="349" spans="1:19" ht="15.6">
      <c r="A349" s="110" t="s">
        <v>517</v>
      </c>
      <c r="B349" s="111" t="s">
        <v>505</v>
      </c>
      <c r="C349" s="112" t="s">
        <v>449</v>
      </c>
      <c r="D349" s="113" t="s">
        <v>17</v>
      </c>
      <c r="E349" s="114" t="s">
        <v>15</v>
      </c>
      <c r="F349" s="115" t="s">
        <v>40</v>
      </c>
      <c r="G349" s="116">
        <v>16.5</v>
      </c>
      <c r="H349" s="125">
        <v>10</v>
      </c>
      <c r="I349" s="111">
        <v>1</v>
      </c>
      <c r="J349" s="117">
        <f t="shared" si="190"/>
        <v>0.16500000000000001</v>
      </c>
      <c r="K349" s="118"/>
      <c r="L349" s="111">
        <v>1</v>
      </c>
      <c r="M349" s="117">
        <f t="shared" si="191"/>
        <v>0.16500000000000001</v>
      </c>
      <c r="N349" s="119">
        <f t="shared" si="192"/>
        <v>0</v>
      </c>
      <c r="O349" s="120">
        <f t="shared" si="193"/>
        <v>0</v>
      </c>
      <c r="P349" s="72">
        <f t="shared" si="194"/>
        <v>5665</v>
      </c>
      <c r="Q349" s="320">
        <v>1</v>
      </c>
      <c r="R349" s="77" t="s">
        <v>524</v>
      </c>
      <c r="S349" s="32"/>
    </row>
    <row r="350" spans="1:19">
      <c r="A350" s="32"/>
      <c r="B350" s="32"/>
      <c r="C350" s="32"/>
      <c r="D350" s="32"/>
      <c r="E350" s="32"/>
      <c r="F350" s="32"/>
      <c r="G350" s="32"/>
      <c r="H350" s="32"/>
      <c r="I350" s="129">
        <f>SUM(I336:I349)</f>
        <v>63</v>
      </c>
      <c r="J350" s="124">
        <f>SUM(J336:J349)</f>
        <v>11.267849999999999</v>
      </c>
      <c r="K350" s="32"/>
      <c r="L350" s="129">
        <f>SUM(L336:L349)</f>
        <v>61</v>
      </c>
      <c r="M350" s="124">
        <f>SUM(M336:M349)</f>
        <v>10.898249999999999</v>
      </c>
      <c r="N350" s="129">
        <f>SUM(N336:N349)</f>
        <v>2</v>
      </c>
      <c r="O350" s="124">
        <f>SUM(O336:O349)</f>
        <v>0.36959999999999998</v>
      </c>
      <c r="P350" s="32"/>
      <c r="Q350" s="129">
        <f>SUM(Q336:Q349)</f>
        <v>9</v>
      </c>
      <c r="R350" s="32"/>
      <c r="S350" s="32"/>
    </row>
    <row r="353" spans="1:20" ht="15.6">
      <c r="A353" s="110" t="s">
        <v>518</v>
      </c>
      <c r="B353" s="111" t="s">
        <v>505</v>
      </c>
      <c r="C353" s="112" t="s">
        <v>449</v>
      </c>
      <c r="D353" s="113" t="s">
        <v>130</v>
      </c>
      <c r="E353" s="114" t="s">
        <v>15</v>
      </c>
      <c r="F353" s="115" t="s">
        <v>39</v>
      </c>
      <c r="G353" s="116">
        <v>14.7</v>
      </c>
      <c r="H353" s="125">
        <v>10.5</v>
      </c>
      <c r="I353" s="111">
        <v>3</v>
      </c>
      <c r="J353" s="117">
        <f t="shared" ref="J353" si="195">H353*G353*I353/1000</f>
        <v>0.46304999999999996</v>
      </c>
      <c r="K353" s="118"/>
      <c r="L353" s="111">
        <v>3</v>
      </c>
      <c r="M353" s="117">
        <f t="shared" ref="M353" si="196">H353*L353*G353/1000</f>
        <v>0.46304999999999996</v>
      </c>
      <c r="N353" s="119">
        <f t="shared" ref="N353" si="197">I353-L353</f>
        <v>0</v>
      </c>
      <c r="O353" s="120">
        <f t="shared" ref="O353" si="198">H353*N353*G353/1000</f>
        <v>0</v>
      </c>
      <c r="P353" s="130"/>
      <c r="Q353" s="320"/>
      <c r="R353" s="32"/>
      <c r="S353" s="32"/>
    </row>
    <row r="354" spans="1:20" ht="15.6">
      <c r="A354" s="110" t="s">
        <v>518</v>
      </c>
      <c r="B354" s="111" t="s">
        <v>505</v>
      </c>
      <c r="C354" s="112" t="s">
        <v>449</v>
      </c>
      <c r="D354" s="113" t="s">
        <v>130</v>
      </c>
      <c r="E354" s="114" t="s">
        <v>15</v>
      </c>
      <c r="F354" s="115" t="s">
        <v>39</v>
      </c>
      <c r="G354" s="116">
        <v>14.7</v>
      </c>
      <c r="H354" s="125">
        <v>12</v>
      </c>
      <c r="I354" s="111">
        <v>10</v>
      </c>
      <c r="J354" s="117">
        <f t="shared" ref="J354:J370" si="199">H354*G354*I354/1000</f>
        <v>1.7639999999999998</v>
      </c>
      <c r="K354" s="118"/>
      <c r="L354" s="111">
        <v>10</v>
      </c>
      <c r="M354" s="117">
        <f t="shared" ref="M354:M370" si="200">H354*L354*G354/1000</f>
        <v>1.764</v>
      </c>
      <c r="N354" s="119">
        <f t="shared" ref="N354:N370" si="201">I354-L354</f>
        <v>0</v>
      </c>
      <c r="O354" s="120">
        <f t="shared" ref="O354:O370" si="202">H354*N354*G354/1000</f>
        <v>0</v>
      </c>
      <c r="P354" s="130"/>
      <c r="Q354" s="320"/>
      <c r="R354" s="32"/>
      <c r="S354" s="32"/>
    </row>
    <row r="355" spans="1:20" ht="15.6">
      <c r="A355" s="110" t="s">
        <v>518</v>
      </c>
      <c r="B355" s="111" t="s">
        <v>505</v>
      </c>
      <c r="C355" s="112" t="s">
        <v>449</v>
      </c>
      <c r="D355" s="113" t="s">
        <v>130</v>
      </c>
      <c r="E355" s="114" t="s">
        <v>15</v>
      </c>
      <c r="F355" s="115" t="s">
        <v>39</v>
      </c>
      <c r="G355" s="116">
        <v>14.7</v>
      </c>
      <c r="H355" s="125">
        <v>12</v>
      </c>
      <c r="I355" s="111">
        <v>15</v>
      </c>
      <c r="J355" s="117">
        <f t="shared" si="199"/>
        <v>2.6459999999999995</v>
      </c>
      <c r="K355" s="118"/>
      <c r="L355" s="111">
        <v>15</v>
      </c>
      <c r="M355" s="117">
        <f t="shared" si="200"/>
        <v>2.6459999999999999</v>
      </c>
      <c r="N355" s="119">
        <f t="shared" si="201"/>
        <v>0</v>
      </c>
      <c r="O355" s="120">
        <f t="shared" si="202"/>
        <v>0</v>
      </c>
      <c r="P355" s="130"/>
      <c r="Q355" s="320"/>
      <c r="R355" s="32"/>
      <c r="S355" s="32"/>
    </row>
    <row r="356" spans="1:20" ht="15.6">
      <c r="A356" s="110" t="s">
        <v>518</v>
      </c>
      <c r="B356" s="111" t="s">
        <v>505</v>
      </c>
      <c r="C356" s="112" t="s">
        <v>449</v>
      </c>
      <c r="D356" s="113" t="s">
        <v>130</v>
      </c>
      <c r="E356" s="114" t="s">
        <v>15</v>
      </c>
      <c r="F356" s="115" t="s">
        <v>39</v>
      </c>
      <c r="G356" s="116">
        <v>14.7</v>
      </c>
      <c r="H356" s="125">
        <v>12</v>
      </c>
      <c r="I356" s="111">
        <v>20</v>
      </c>
      <c r="J356" s="117">
        <f t="shared" si="199"/>
        <v>3.5279999999999996</v>
      </c>
      <c r="K356" s="118"/>
      <c r="L356" s="111">
        <f>20+18</f>
        <v>38</v>
      </c>
      <c r="M356" s="117">
        <f t="shared" si="200"/>
        <v>6.7031999999999998</v>
      </c>
      <c r="N356" s="230">
        <f t="shared" si="201"/>
        <v>-18</v>
      </c>
      <c r="O356" s="231">
        <f t="shared" si="202"/>
        <v>-3.1751999999999998</v>
      </c>
      <c r="P356" s="405" t="s">
        <v>522</v>
      </c>
      <c r="Q356" s="320"/>
      <c r="R356" s="32"/>
      <c r="S356" s="32"/>
    </row>
    <row r="357" spans="1:20" ht="15.6">
      <c r="A357" s="110" t="s">
        <v>518</v>
      </c>
      <c r="B357" s="111" t="s">
        <v>505</v>
      </c>
      <c r="C357" s="112" t="s">
        <v>449</v>
      </c>
      <c r="D357" s="113" t="s">
        <v>130</v>
      </c>
      <c r="E357" s="114" t="s">
        <v>15</v>
      </c>
      <c r="F357" s="115" t="s">
        <v>39</v>
      </c>
      <c r="G357" s="116">
        <v>14.7</v>
      </c>
      <c r="H357" s="125">
        <v>11.7</v>
      </c>
      <c r="I357" s="111">
        <v>8</v>
      </c>
      <c r="J357" s="117">
        <f t="shared" si="199"/>
        <v>1.3759199999999998</v>
      </c>
      <c r="K357" s="118"/>
      <c r="L357" s="111">
        <f>7+1</f>
        <v>8</v>
      </c>
      <c r="M357" s="117">
        <f t="shared" si="200"/>
        <v>1.3759199999999998</v>
      </c>
      <c r="N357" s="119">
        <f t="shared" si="201"/>
        <v>0</v>
      </c>
      <c r="O357" s="120">
        <f t="shared" si="202"/>
        <v>0</v>
      </c>
      <c r="P357" s="130">
        <v>10.5</v>
      </c>
      <c r="Q357" s="320">
        <v>7</v>
      </c>
      <c r="R357" s="33">
        <v>11.4</v>
      </c>
      <c r="S357" s="45">
        <v>1</v>
      </c>
      <c r="T357" s="213" t="s">
        <v>739</v>
      </c>
    </row>
    <row r="358" spans="1:20" ht="15.6">
      <c r="A358" s="110" t="s">
        <v>518</v>
      </c>
      <c r="B358" s="111" t="s">
        <v>505</v>
      </c>
      <c r="C358" s="112" t="s">
        <v>449</v>
      </c>
      <c r="D358" s="113" t="s">
        <v>130</v>
      </c>
      <c r="E358" s="114" t="s">
        <v>15</v>
      </c>
      <c r="F358" s="115" t="s">
        <v>39</v>
      </c>
      <c r="G358" s="116">
        <v>14.7</v>
      </c>
      <c r="H358" s="125">
        <v>11.5</v>
      </c>
      <c r="I358" s="111">
        <v>1</v>
      </c>
      <c r="J358" s="117">
        <f t="shared" si="199"/>
        <v>0.16904999999999998</v>
      </c>
      <c r="K358" s="118"/>
      <c r="L358" s="111">
        <v>1</v>
      </c>
      <c r="M358" s="117">
        <f t="shared" si="200"/>
        <v>0.16904999999999998</v>
      </c>
      <c r="N358" s="119">
        <f t="shared" si="201"/>
        <v>0</v>
      </c>
      <c r="O358" s="120">
        <f t="shared" si="202"/>
        <v>0</v>
      </c>
      <c r="P358" s="130"/>
      <c r="Q358" s="320"/>
      <c r="R358" s="33">
        <v>11.4</v>
      </c>
      <c r="S358" s="45">
        <v>1</v>
      </c>
      <c r="T358" s="213" t="s">
        <v>739</v>
      </c>
    </row>
    <row r="359" spans="1:20" ht="15.6">
      <c r="A359" s="110" t="s">
        <v>518</v>
      </c>
      <c r="B359" s="111" t="s">
        <v>505</v>
      </c>
      <c r="C359" s="112" t="s">
        <v>449</v>
      </c>
      <c r="D359" s="113" t="s">
        <v>130</v>
      </c>
      <c r="E359" s="114" t="s">
        <v>15</v>
      </c>
      <c r="F359" s="115" t="s">
        <v>39</v>
      </c>
      <c r="G359" s="116">
        <v>14.7</v>
      </c>
      <c r="H359" s="125">
        <v>11.7</v>
      </c>
      <c r="I359" s="111">
        <v>2</v>
      </c>
      <c r="J359" s="117">
        <f t="shared" si="199"/>
        <v>0.34397999999999995</v>
      </c>
      <c r="K359" s="118"/>
      <c r="L359" s="111">
        <v>2</v>
      </c>
      <c r="M359" s="117">
        <f t="shared" si="200"/>
        <v>0.34397999999999995</v>
      </c>
      <c r="N359" s="119">
        <f t="shared" si="201"/>
        <v>0</v>
      </c>
      <c r="O359" s="120">
        <f t="shared" si="202"/>
        <v>0</v>
      </c>
      <c r="P359" s="130"/>
      <c r="Q359" s="320"/>
      <c r="R359" s="33">
        <v>11.4</v>
      </c>
      <c r="S359" s="45">
        <v>2</v>
      </c>
      <c r="T359" s="213" t="s">
        <v>739</v>
      </c>
    </row>
    <row r="360" spans="1:20" ht="15.6">
      <c r="A360" s="110" t="s">
        <v>518</v>
      </c>
      <c r="B360" s="111" t="s">
        <v>505</v>
      </c>
      <c r="C360" s="112" t="s">
        <v>449</v>
      </c>
      <c r="D360" s="113" t="s">
        <v>130</v>
      </c>
      <c r="E360" s="114" t="s">
        <v>15</v>
      </c>
      <c r="F360" s="115" t="s">
        <v>39</v>
      </c>
      <c r="G360" s="116">
        <v>14.7</v>
      </c>
      <c r="H360" s="125">
        <v>12</v>
      </c>
      <c r="I360" s="111">
        <v>22</v>
      </c>
      <c r="J360" s="117">
        <f t="shared" si="199"/>
        <v>3.8807999999999994</v>
      </c>
      <c r="K360" s="118"/>
      <c r="L360" s="111">
        <v>22</v>
      </c>
      <c r="M360" s="117">
        <f t="shared" si="200"/>
        <v>3.8807999999999998</v>
      </c>
      <c r="N360" s="119">
        <f t="shared" si="201"/>
        <v>0</v>
      </c>
      <c r="O360" s="120">
        <f t="shared" si="202"/>
        <v>0</v>
      </c>
      <c r="P360" s="130"/>
      <c r="Q360" s="320"/>
      <c r="R360" s="33"/>
      <c r="S360" s="32"/>
    </row>
    <row r="361" spans="1:20" ht="15.6">
      <c r="A361" s="110" t="s">
        <v>518</v>
      </c>
      <c r="B361" s="111" t="s">
        <v>505</v>
      </c>
      <c r="C361" s="112" t="s">
        <v>449</v>
      </c>
      <c r="D361" s="113" t="s">
        <v>130</v>
      </c>
      <c r="E361" s="114" t="s">
        <v>15</v>
      </c>
      <c r="F361" s="115" t="s">
        <v>39</v>
      </c>
      <c r="G361" s="116">
        <v>14.7</v>
      </c>
      <c r="H361" s="125">
        <v>12</v>
      </c>
      <c r="I361" s="111">
        <v>22</v>
      </c>
      <c r="J361" s="117">
        <f t="shared" si="199"/>
        <v>3.8807999999999994</v>
      </c>
      <c r="K361" s="118"/>
      <c r="L361" s="111">
        <v>22</v>
      </c>
      <c r="M361" s="117">
        <f t="shared" si="200"/>
        <v>3.8807999999999998</v>
      </c>
      <c r="N361" s="119">
        <f t="shared" si="201"/>
        <v>0</v>
      </c>
      <c r="O361" s="120">
        <f t="shared" si="202"/>
        <v>0</v>
      </c>
      <c r="P361" s="130"/>
      <c r="Q361" s="320"/>
      <c r="R361" s="33"/>
      <c r="S361" s="32"/>
    </row>
    <row r="362" spans="1:20" ht="15.6">
      <c r="A362" s="110" t="s">
        <v>518</v>
      </c>
      <c r="B362" s="111" t="s">
        <v>505</v>
      </c>
      <c r="C362" s="112" t="s">
        <v>449</v>
      </c>
      <c r="D362" s="113" t="s">
        <v>130</v>
      </c>
      <c r="E362" s="114" t="s">
        <v>15</v>
      </c>
      <c r="F362" s="115" t="s">
        <v>39</v>
      </c>
      <c r="G362" s="116">
        <v>14.7</v>
      </c>
      <c r="H362" s="125">
        <v>8</v>
      </c>
      <c r="I362" s="111">
        <v>1</v>
      </c>
      <c r="J362" s="117">
        <f t="shared" si="199"/>
        <v>0.1176</v>
      </c>
      <c r="K362" s="118"/>
      <c r="L362" s="111">
        <v>1</v>
      </c>
      <c r="M362" s="117">
        <f t="shared" si="200"/>
        <v>0.1176</v>
      </c>
      <c r="N362" s="119">
        <f t="shared" si="201"/>
        <v>0</v>
      </c>
      <c r="O362" s="120">
        <f t="shared" si="202"/>
        <v>0</v>
      </c>
      <c r="P362" s="130"/>
      <c r="Q362" s="320"/>
      <c r="R362" s="33">
        <v>6</v>
      </c>
      <c r="S362" s="45">
        <v>1</v>
      </c>
      <c r="T362" s="213" t="s">
        <v>677</v>
      </c>
    </row>
    <row r="363" spans="1:20" ht="15.6">
      <c r="A363" s="110" t="s">
        <v>518</v>
      </c>
      <c r="B363" s="111" t="s">
        <v>505</v>
      </c>
      <c r="C363" s="112" t="s">
        <v>449</v>
      </c>
      <c r="D363" s="113" t="s">
        <v>130</v>
      </c>
      <c r="E363" s="114" t="s">
        <v>15</v>
      </c>
      <c r="F363" s="115" t="s">
        <v>39</v>
      </c>
      <c r="G363" s="116">
        <v>14.7</v>
      </c>
      <c r="H363" s="125">
        <v>8.3000000000000007</v>
      </c>
      <c r="I363" s="111">
        <v>2</v>
      </c>
      <c r="J363" s="117">
        <f t="shared" si="199"/>
        <v>0.24402000000000001</v>
      </c>
      <c r="K363" s="118"/>
      <c r="L363" s="111">
        <v>2</v>
      </c>
      <c r="M363" s="117">
        <f t="shared" si="200"/>
        <v>0.24402000000000001</v>
      </c>
      <c r="N363" s="119">
        <f t="shared" si="201"/>
        <v>0</v>
      </c>
      <c r="O363" s="120">
        <f t="shared" si="202"/>
        <v>0</v>
      </c>
      <c r="P363" s="130"/>
      <c r="Q363" s="320"/>
      <c r="R363" s="33">
        <v>6</v>
      </c>
      <c r="S363" s="45">
        <v>2</v>
      </c>
      <c r="T363" s="213" t="s">
        <v>677</v>
      </c>
    </row>
    <row r="364" spans="1:20" ht="15.6">
      <c r="A364" s="110" t="s">
        <v>518</v>
      </c>
      <c r="B364" s="111" t="s">
        <v>505</v>
      </c>
      <c r="C364" s="112" t="s">
        <v>449</v>
      </c>
      <c r="D364" s="113" t="s">
        <v>130</v>
      </c>
      <c r="E364" s="114" t="s">
        <v>15</v>
      </c>
      <c r="F364" s="115" t="s">
        <v>39</v>
      </c>
      <c r="G364" s="116">
        <v>14.7</v>
      </c>
      <c r="H364" s="125">
        <v>10.5</v>
      </c>
      <c r="I364" s="111">
        <v>1</v>
      </c>
      <c r="J364" s="117">
        <f t="shared" si="199"/>
        <v>0.15434999999999999</v>
      </c>
      <c r="K364" s="118"/>
      <c r="L364" s="111">
        <v>1</v>
      </c>
      <c r="M364" s="117">
        <f t="shared" si="200"/>
        <v>0.15434999999999999</v>
      </c>
      <c r="N364" s="119">
        <f t="shared" si="201"/>
        <v>0</v>
      </c>
      <c r="O364" s="120">
        <f t="shared" si="202"/>
        <v>0</v>
      </c>
      <c r="P364" s="130"/>
      <c r="Q364" s="320"/>
      <c r="R364" s="33"/>
      <c r="S364" s="32"/>
    </row>
    <row r="365" spans="1:20" ht="15.6">
      <c r="A365" s="110" t="s">
        <v>518</v>
      </c>
      <c r="B365" s="111" t="s">
        <v>505</v>
      </c>
      <c r="C365" s="112" t="s">
        <v>449</v>
      </c>
      <c r="D365" s="113" t="s">
        <v>130</v>
      </c>
      <c r="E365" s="114" t="s">
        <v>15</v>
      </c>
      <c r="F365" s="115" t="s">
        <v>39</v>
      </c>
      <c r="G365" s="116">
        <v>14.7</v>
      </c>
      <c r="H365" s="125">
        <v>11.5</v>
      </c>
      <c r="I365" s="111">
        <v>1</v>
      </c>
      <c r="J365" s="117">
        <f t="shared" si="199"/>
        <v>0.16904999999999998</v>
      </c>
      <c r="K365" s="118"/>
      <c r="L365" s="111">
        <v>1</v>
      </c>
      <c r="M365" s="117">
        <f t="shared" si="200"/>
        <v>0.16904999999999998</v>
      </c>
      <c r="N365" s="119">
        <f t="shared" si="201"/>
        <v>0</v>
      </c>
      <c r="O365" s="120">
        <f t="shared" si="202"/>
        <v>0</v>
      </c>
      <c r="P365" s="130"/>
      <c r="Q365" s="320"/>
      <c r="R365" s="33">
        <v>11.4</v>
      </c>
      <c r="S365" s="45">
        <v>1</v>
      </c>
      <c r="T365" s="213" t="s">
        <v>739</v>
      </c>
    </row>
    <row r="366" spans="1:20" ht="15.6">
      <c r="A366" s="110" t="s">
        <v>518</v>
      </c>
      <c r="B366" s="111" t="s">
        <v>505</v>
      </c>
      <c r="C366" s="112" t="s">
        <v>449</v>
      </c>
      <c r="D366" s="113" t="s">
        <v>130</v>
      </c>
      <c r="E366" s="114" t="s">
        <v>15</v>
      </c>
      <c r="F366" s="115" t="s">
        <v>39</v>
      </c>
      <c r="G366" s="116">
        <v>14.7</v>
      </c>
      <c r="H366" s="125">
        <v>11.7</v>
      </c>
      <c r="I366" s="111">
        <v>1</v>
      </c>
      <c r="J366" s="117">
        <f t="shared" si="199"/>
        <v>0.17198999999999998</v>
      </c>
      <c r="K366" s="118"/>
      <c r="L366" s="111">
        <v>1</v>
      </c>
      <c r="M366" s="117">
        <f t="shared" si="200"/>
        <v>0.17198999999999998</v>
      </c>
      <c r="N366" s="119">
        <f t="shared" si="201"/>
        <v>0</v>
      </c>
      <c r="O366" s="120">
        <f t="shared" si="202"/>
        <v>0</v>
      </c>
      <c r="P366" s="130"/>
      <c r="Q366" s="320"/>
      <c r="R366" s="33">
        <v>11.4</v>
      </c>
      <c r="S366" s="45">
        <v>1</v>
      </c>
      <c r="T366" s="213" t="s">
        <v>739</v>
      </c>
    </row>
    <row r="367" spans="1:20" ht="15.6">
      <c r="A367" s="110" t="s">
        <v>518</v>
      </c>
      <c r="B367" s="111" t="s">
        <v>505</v>
      </c>
      <c r="C367" s="112" t="s">
        <v>449</v>
      </c>
      <c r="D367" s="113" t="s">
        <v>130</v>
      </c>
      <c r="E367" s="114" t="s">
        <v>15</v>
      </c>
      <c r="F367" s="115" t="s">
        <v>39</v>
      </c>
      <c r="G367" s="116">
        <v>14.7</v>
      </c>
      <c r="H367" s="125">
        <v>8.6</v>
      </c>
      <c r="I367" s="111">
        <v>5</v>
      </c>
      <c r="J367" s="117">
        <f t="shared" si="199"/>
        <v>0.63209999999999988</v>
      </c>
      <c r="K367" s="118"/>
      <c r="L367" s="111">
        <f>3+2</f>
        <v>5</v>
      </c>
      <c r="M367" s="117">
        <f t="shared" si="200"/>
        <v>0.6321</v>
      </c>
      <c r="N367" s="119">
        <f t="shared" si="201"/>
        <v>0</v>
      </c>
      <c r="O367" s="120">
        <f t="shared" si="202"/>
        <v>0</v>
      </c>
      <c r="P367" s="130"/>
      <c r="Q367" s="320"/>
      <c r="R367" s="33">
        <v>8.5500000000000007</v>
      </c>
      <c r="S367" s="45">
        <v>2</v>
      </c>
      <c r="T367" s="213" t="s">
        <v>733</v>
      </c>
    </row>
    <row r="368" spans="1:20" ht="15.6">
      <c r="A368" s="110" t="s">
        <v>518</v>
      </c>
      <c r="B368" s="111" t="s">
        <v>505</v>
      </c>
      <c r="C368" s="112" t="s">
        <v>449</v>
      </c>
      <c r="D368" s="113" t="s">
        <v>130</v>
      </c>
      <c r="E368" s="114" t="s">
        <v>15</v>
      </c>
      <c r="F368" s="115" t="s">
        <v>39</v>
      </c>
      <c r="G368" s="116">
        <v>14.7</v>
      </c>
      <c r="H368" s="125">
        <v>8.6</v>
      </c>
      <c r="I368" s="111">
        <v>20</v>
      </c>
      <c r="J368" s="117">
        <f t="shared" si="199"/>
        <v>2.5283999999999995</v>
      </c>
      <c r="K368" s="118"/>
      <c r="L368" s="111">
        <v>20</v>
      </c>
      <c r="M368" s="117">
        <f t="shared" si="200"/>
        <v>2.5284</v>
      </c>
      <c r="N368" s="119">
        <f t="shared" si="201"/>
        <v>0</v>
      </c>
      <c r="O368" s="120">
        <f t="shared" si="202"/>
        <v>0</v>
      </c>
      <c r="P368" s="130"/>
      <c r="Q368" s="320"/>
      <c r="R368" s="32"/>
      <c r="S368" s="32"/>
    </row>
    <row r="369" spans="1:19" ht="15.6">
      <c r="A369" s="110" t="s">
        <v>518</v>
      </c>
      <c r="B369" s="111" t="s">
        <v>505</v>
      </c>
      <c r="C369" s="112" t="s">
        <v>449</v>
      </c>
      <c r="D369" s="113" t="s">
        <v>130</v>
      </c>
      <c r="E369" s="114" t="s">
        <v>15</v>
      </c>
      <c r="F369" s="115" t="s">
        <v>39</v>
      </c>
      <c r="G369" s="116">
        <v>14.7</v>
      </c>
      <c r="H369" s="125">
        <v>8.6</v>
      </c>
      <c r="I369" s="111">
        <v>13</v>
      </c>
      <c r="J369" s="117">
        <f t="shared" si="199"/>
        <v>1.6434599999999997</v>
      </c>
      <c r="K369" s="118"/>
      <c r="L369" s="111">
        <v>13</v>
      </c>
      <c r="M369" s="117">
        <f t="shared" si="200"/>
        <v>1.6434599999999997</v>
      </c>
      <c r="N369" s="119">
        <f t="shared" si="201"/>
        <v>0</v>
      </c>
      <c r="O369" s="120">
        <f t="shared" si="202"/>
        <v>0</v>
      </c>
      <c r="P369" s="130"/>
      <c r="Q369" s="320"/>
      <c r="R369" s="32"/>
      <c r="S369" s="32"/>
    </row>
    <row r="370" spans="1:19" ht="15.6">
      <c r="A370" s="110" t="s">
        <v>518</v>
      </c>
      <c r="B370" s="111" t="s">
        <v>505</v>
      </c>
      <c r="C370" s="112" t="s">
        <v>449</v>
      </c>
      <c r="D370" s="113" t="s">
        <v>130</v>
      </c>
      <c r="E370" s="114" t="s">
        <v>15</v>
      </c>
      <c r="F370" s="115" t="s">
        <v>39</v>
      </c>
      <c r="G370" s="116">
        <v>14.7</v>
      </c>
      <c r="H370" s="125">
        <v>12</v>
      </c>
      <c r="I370" s="111">
        <v>20</v>
      </c>
      <c r="J370" s="117">
        <f t="shared" si="199"/>
        <v>3.5279999999999996</v>
      </c>
      <c r="K370" s="118"/>
      <c r="L370" s="111">
        <v>20</v>
      </c>
      <c r="M370" s="117">
        <f t="shared" si="200"/>
        <v>3.528</v>
      </c>
      <c r="N370" s="119">
        <f t="shared" si="201"/>
        <v>0</v>
      </c>
      <c r="O370" s="120">
        <f t="shared" si="202"/>
        <v>0</v>
      </c>
      <c r="P370" s="130"/>
      <c r="Q370" s="320"/>
      <c r="R370" s="32"/>
      <c r="S370" s="32"/>
    </row>
    <row r="371" spans="1:19" ht="15.6">
      <c r="A371" s="110" t="s">
        <v>518</v>
      </c>
      <c r="B371" s="111" t="s">
        <v>505</v>
      </c>
      <c r="C371" s="112" t="s">
        <v>449</v>
      </c>
      <c r="D371" s="113" t="s">
        <v>130</v>
      </c>
      <c r="E371" s="114" t="s">
        <v>15</v>
      </c>
      <c r="F371" s="115" t="s">
        <v>39</v>
      </c>
      <c r="G371" s="116">
        <v>14.7</v>
      </c>
      <c r="H371" s="126">
        <v>12</v>
      </c>
      <c r="I371" s="321">
        <v>20</v>
      </c>
      <c r="J371" s="117">
        <f t="shared" ref="J371:J375" si="203">H371*G371*I371/1000</f>
        <v>3.5279999999999996</v>
      </c>
      <c r="K371" s="118"/>
      <c r="L371" s="111">
        <v>20</v>
      </c>
      <c r="M371" s="117">
        <f t="shared" ref="M371:M375" si="204">H371*L371*G371/1000</f>
        <v>3.528</v>
      </c>
      <c r="N371" s="119">
        <f t="shared" ref="N371:N375" si="205">I371-L371</f>
        <v>0</v>
      </c>
      <c r="O371" s="120">
        <f t="shared" ref="O371:O375" si="206">H371*N371*G371/1000</f>
        <v>0</v>
      </c>
      <c r="P371" s="130"/>
      <c r="Q371" s="320"/>
      <c r="R371" s="32"/>
      <c r="S371" s="32"/>
    </row>
    <row r="372" spans="1:19" ht="15.6">
      <c r="A372" s="110" t="s">
        <v>518</v>
      </c>
      <c r="B372" s="111" t="s">
        <v>505</v>
      </c>
      <c r="C372" s="112" t="s">
        <v>449</v>
      </c>
      <c r="D372" s="113" t="s">
        <v>130</v>
      </c>
      <c r="E372" s="114" t="s">
        <v>15</v>
      </c>
      <c r="F372" s="115" t="s">
        <v>39</v>
      </c>
      <c r="G372" s="116">
        <v>14.7</v>
      </c>
      <c r="H372" s="126">
        <v>12</v>
      </c>
      <c r="I372" s="321">
        <v>20</v>
      </c>
      <c r="J372" s="117">
        <f t="shared" si="203"/>
        <v>3.5279999999999996</v>
      </c>
      <c r="K372" s="118"/>
      <c r="L372" s="111">
        <v>20</v>
      </c>
      <c r="M372" s="117">
        <f t="shared" si="204"/>
        <v>3.528</v>
      </c>
      <c r="N372" s="119">
        <f t="shared" si="205"/>
        <v>0</v>
      </c>
      <c r="O372" s="120">
        <f t="shared" si="206"/>
        <v>0</v>
      </c>
      <c r="P372" s="130"/>
      <c r="Q372" s="320"/>
      <c r="R372" s="32"/>
      <c r="S372" s="32"/>
    </row>
    <row r="373" spans="1:19" ht="15.6">
      <c r="A373" s="110" t="s">
        <v>518</v>
      </c>
      <c r="B373" s="111" t="s">
        <v>505</v>
      </c>
      <c r="C373" s="112" t="s">
        <v>449</v>
      </c>
      <c r="D373" s="113" t="s">
        <v>130</v>
      </c>
      <c r="E373" s="114" t="s">
        <v>15</v>
      </c>
      <c r="F373" s="115" t="s">
        <v>39</v>
      </c>
      <c r="G373" s="116">
        <v>14.7</v>
      </c>
      <c r="H373" s="126">
        <v>12</v>
      </c>
      <c r="I373" s="321">
        <v>20</v>
      </c>
      <c r="J373" s="117">
        <f t="shared" si="203"/>
        <v>3.5279999999999996</v>
      </c>
      <c r="K373" s="118"/>
      <c r="L373" s="111">
        <v>20</v>
      </c>
      <c r="M373" s="117">
        <f t="shared" si="204"/>
        <v>3.528</v>
      </c>
      <c r="N373" s="119">
        <f t="shared" si="205"/>
        <v>0</v>
      </c>
      <c r="O373" s="120">
        <f t="shared" si="206"/>
        <v>0</v>
      </c>
      <c r="P373" s="130"/>
      <c r="Q373" s="320"/>
      <c r="R373" s="32"/>
      <c r="S373" s="32"/>
    </row>
    <row r="374" spans="1:19" ht="15.6">
      <c r="A374" s="110" t="s">
        <v>518</v>
      </c>
      <c r="B374" s="111" t="s">
        <v>505</v>
      </c>
      <c r="C374" s="112" t="s">
        <v>449</v>
      </c>
      <c r="D374" s="113" t="s">
        <v>130</v>
      </c>
      <c r="E374" s="114" t="s">
        <v>15</v>
      </c>
      <c r="F374" s="115" t="s">
        <v>39</v>
      </c>
      <c r="G374" s="116">
        <v>14.7</v>
      </c>
      <c r="H374" s="126">
        <v>12</v>
      </c>
      <c r="I374" s="321">
        <v>20</v>
      </c>
      <c r="J374" s="117">
        <f t="shared" si="203"/>
        <v>3.5279999999999996</v>
      </c>
      <c r="K374" s="118"/>
      <c r="L374" s="111">
        <v>20</v>
      </c>
      <c r="M374" s="117">
        <f t="shared" si="204"/>
        <v>3.528</v>
      </c>
      <c r="N374" s="119">
        <f t="shared" si="205"/>
        <v>0</v>
      </c>
      <c r="O374" s="120">
        <f t="shared" si="206"/>
        <v>0</v>
      </c>
      <c r="P374" s="130"/>
      <c r="Q374" s="320"/>
      <c r="R374" s="32"/>
      <c r="S374" s="32"/>
    </row>
    <row r="375" spans="1:19" ht="15.6">
      <c r="A375" s="110" t="s">
        <v>518</v>
      </c>
      <c r="B375" s="111" t="s">
        <v>505</v>
      </c>
      <c r="C375" s="112" t="s">
        <v>449</v>
      </c>
      <c r="D375" s="113" t="s">
        <v>130</v>
      </c>
      <c r="E375" s="114" t="s">
        <v>15</v>
      </c>
      <c r="F375" s="115" t="s">
        <v>39</v>
      </c>
      <c r="G375" s="116">
        <v>14.7</v>
      </c>
      <c r="H375" s="126">
        <v>12</v>
      </c>
      <c r="I375" s="321">
        <v>20</v>
      </c>
      <c r="J375" s="117">
        <f t="shared" si="203"/>
        <v>3.5279999999999996</v>
      </c>
      <c r="K375" s="118"/>
      <c r="L375" s="111">
        <v>20</v>
      </c>
      <c r="M375" s="117">
        <f t="shared" si="204"/>
        <v>3.528</v>
      </c>
      <c r="N375" s="119">
        <f t="shared" si="205"/>
        <v>0</v>
      </c>
      <c r="O375" s="120">
        <f t="shared" si="206"/>
        <v>0</v>
      </c>
      <c r="P375" s="130"/>
      <c r="Q375" s="320"/>
      <c r="R375" s="32"/>
      <c r="S375" s="32"/>
    </row>
    <row r="376" spans="1:19" ht="15.6">
      <c r="A376" s="110" t="s">
        <v>518</v>
      </c>
      <c r="B376" s="111" t="s">
        <v>505</v>
      </c>
      <c r="C376" s="112" t="s">
        <v>449</v>
      </c>
      <c r="D376" s="113" t="s">
        <v>130</v>
      </c>
      <c r="E376" s="114" t="s">
        <v>15</v>
      </c>
      <c r="F376" s="115" t="s">
        <v>39</v>
      </c>
      <c r="G376" s="116">
        <v>14.7</v>
      </c>
      <c r="H376" s="126">
        <v>12</v>
      </c>
      <c r="I376" s="321">
        <v>18</v>
      </c>
      <c r="J376" s="117">
        <f t="shared" ref="J376:J379" si="207">H376*G376*I376/1000</f>
        <v>3.1751999999999998</v>
      </c>
      <c r="K376" s="118"/>
      <c r="L376" s="111">
        <v>18</v>
      </c>
      <c r="M376" s="117">
        <f t="shared" ref="M376:M379" si="208">H376*L376*G376/1000</f>
        <v>3.1751999999999998</v>
      </c>
      <c r="N376" s="119">
        <f t="shared" ref="N376:N379" si="209">I376-L376</f>
        <v>0</v>
      </c>
      <c r="O376" s="120">
        <f t="shared" ref="O376:O379" si="210">H376*N376*G376/1000</f>
        <v>0</v>
      </c>
      <c r="P376" s="130"/>
      <c r="Q376" s="320"/>
      <c r="R376" s="32"/>
      <c r="S376" s="32"/>
    </row>
    <row r="377" spans="1:19" ht="15.6">
      <c r="A377" s="110" t="s">
        <v>518</v>
      </c>
      <c r="B377" s="111" t="s">
        <v>505</v>
      </c>
      <c r="C377" s="112" t="s">
        <v>449</v>
      </c>
      <c r="D377" s="113" t="s">
        <v>130</v>
      </c>
      <c r="E377" s="114" t="s">
        <v>15</v>
      </c>
      <c r="F377" s="115" t="s">
        <v>39</v>
      </c>
      <c r="G377" s="116">
        <v>14.7</v>
      </c>
      <c r="H377" s="126">
        <v>12</v>
      </c>
      <c r="I377" s="321">
        <v>18</v>
      </c>
      <c r="J377" s="117">
        <f t="shared" si="207"/>
        <v>3.1751999999999998</v>
      </c>
      <c r="K377" s="118"/>
      <c r="L377" s="111">
        <v>18</v>
      </c>
      <c r="M377" s="117">
        <f t="shared" si="208"/>
        <v>3.1751999999999998</v>
      </c>
      <c r="N377" s="119">
        <f t="shared" si="209"/>
        <v>0</v>
      </c>
      <c r="O377" s="120">
        <f t="shared" si="210"/>
        <v>0</v>
      </c>
      <c r="P377" s="130"/>
      <c r="Q377" s="320"/>
      <c r="R377" s="32"/>
      <c r="S377" s="32"/>
    </row>
    <row r="378" spans="1:19" ht="15.6">
      <c r="A378" s="110" t="s">
        <v>518</v>
      </c>
      <c r="B378" s="111" t="s">
        <v>505</v>
      </c>
      <c r="C378" s="112" t="s">
        <v>449</v>
      </c>
      <c r="D378" s="113" t="s">
        <v>130</v>
      </c>
      <c r="E378" s="114" t="s">
        <v>15</v>
      </c>
      <c r="F378" s="115" t="s">
        <v>39</v>
      </c>
      <c r="G378" s="116">
        <v>14.7</v>
      </c>
      <c r="H378" s="126">
        <v>12</v>
      </c>
      <c r="I378" s="321">
        <v>18</v>
      </c>
      <c r="J378" s="117">
        <f t="shared" si="207"/>
        <v>3.1751999999999998</v>
      </c>
      <c r="K378" s="118"/>
      <c r="L378" s="111">
        <v>18</v>
      </c>
      <c r="M378" s="117">
        <f t="shared" si="208"/>
        <v>3.1751999999999998</v>
      </c>
      <c r="N378" s="119">
        <f t="shared" si="209"/>
        <v>0</v>
      </c>
      <c r="O378" s="120">
        <f t="shared" si="210"/>
        <v>0</v>
      </c>
      <c r="P378" s="130"/>
      <c r="Q378" s="320"/>
      <c r="R378" s="32"/>
      <c r="S378" s="32"/>
    </row>
    <row r="379" spans="1:19" ht="15.6">
      <c r="A379" s="110" t="s">
        <v>518</v>
      </c>
      <c r="B379" s="111" t="s">
        <v>505</v>
      </c>
      <c r="C379" s="112" t="s">
        <v>449</v>
      </c>
      <c r="D379" s="113" t="s">
        <v>130</v>
      </c>
      <c r="E379" s="114" t="s">
        <v>15</v>
      </c>
      <c r="F379" s="115" t="s">
        <v>39</v>
      </c>
      <c r="G379" s="116">
        <v>14.7</v>
      </c>
      <c r="H379" s="126">
        <v>12</v>
      </c>
      <c r="I379" s="321">
        <v>18</v>
      </c>
      <c r="J379" s="117">
        <f t="shared" si="207"/>
        <v>3.1751999999999998</v>
      </c>
      <c r="K379" s="118"/>
      <c r="L379" s="111">
        <v>18</v>
      </c>
      <c r="M379" s="117">
        <f t="shared" si="208"/>
        <v>3.1751999999999998</v>
      </c>
      <c r="N379" s="119">
        <f t="shared" si="209"/>
        <v>0</v>
      </c>
      <c r="O379" s="120">
        <f t="shared" si="210"/>
        <v>0</v>
      </c>
      <c r="P379" s="130"/>
      <c r="Q379" s="320"/>
      <c r="R379" s="32"/>
      <c r="S379" s="32"/>
    </row>
    <row r="380" spans="1:19" ht="15.6">
      <c r="A380" s="110" t="s">
        <v>518</v>
      </c>
      <c r="B380" s="111" t="s">
        <v>505</v>
      </c>
      <c r="C380" s="112" t="s">
        <v>449</v>
      </c>
      <c r="D380" s="113" t="s">
        <v>130</v>
      </c>
      <c r="E380" s="114" t="s">
        <v>15</v>
      </c>
      <c r="F380" s="115" t="s">
        <v>39</v>
      </c>
      <c r="G380" s="116">
        <v>14.7</v>
      </c>
      <c r="H380" s="126">
        <v>12</v>
      </c>
      <c r="I380" s="321">
        <v>18</v>
      </c>
      <c r="J380" s="117">
        <f t="shared" ref="J380:J391" si="211">H380*G380*I380/1000</f>
        <v>3.1751999999999998</v>
      </c>
      <c r="K380" s="118"/>
      <c r="L380" s="111">
        <v>18</v>
      </c>
      <c r="M380" s="117">
        <f t="shared" ref="M380:M391" si="212">H380*L380*G380/1000</f>
        <v>3.1751999999999998</v>
      </c>
      <c r="N380" s="119">
        <f t="shared" ref="N380:N391" si="213">I380-L380</f>
        <v>0</v>
      </c>
      <c r="O380" s="120">
        <f t="shared" ref="O380:O391" si="214">H380*N380*G380/1000</f>
        <v>0</v>
      </c>
      <c r="P380" s="130"/>
      <c r="Q380" s="320"/>
      <c r="R380" s="32"/>
      <c r="S380" s="32"/>
    </row>
    <row r="381" spans="1:19" ht="15.6">
      <c r="A381" s="110" t="s">
        <v>518</v>
      </c>
      <c r="B381" s="111" t="s">
        <v>505</v>
      </c>
      <c r="C381" s="112" t="s">
        <v>449</v>
      </c>
      <c r="D381" s="113" t="s">
        <v>130</v>
      </c>
      <c r="E381" s="114" t="s">
        <v>15</v>
      </c>
      <c r="F381" s="115" t="s">
        <v>39</v>
      </c>
      <c r="G381" s="116">
        <v>14.7</v>
      </c>
      <c r="H381" s="126">
        <v>12</v>
      </c>
      <c r="I381" s="321">
        <v>18</v>
      </c>
      <c r="J381" s="117">
        <f t="shared" si="211"/>
        <v>3.1751999999999998</v>
      </c>
      <c r="K381" s="118"/>
      <c r="L381" s="111">
        <v>18</v>
      </c>
      <c r="M381" s="117">
        <f t="shared" si="212"/>
        <v>3.1751999999999998</v>
      </c>
      <c r="N381" s="119">
        <f t="shared" si="213"/>
        <v>0</v>
      </c>
      <c r="O381" s="120">
        <f t="shared" si="214"/>
        <v>0</v>
      </c>
      <c r="P381" s="130"/>
      <c r="Q381" s="320"/>
      <c r="R381" s="32"/>
      <c r="S381" s="32"/>
    </row>
    <row r="382" spans="1:19" ht="15.6">
      <c r="A382" s="110" t="s">
        <v>518</v>
      </c>
      <c r="B382" s="111" t="s">
        <v>505</v>
      </c>
      <c r="C382" s="112" t="s">
        <v>449</v>
      </c>
      <c r="D382" s="113" t="s">
        <v>130</v>
      </c>
      <c r="E382" s="114" t="s">
        <v>15</v>
      </c>
      <c r="F382" s="115" t="s">
        <v>39</v>
      </c>
      <c r="G382" s="116">
        <v>14.7</v>
      </c>
      <c r="H382" s="126">
        <v>12</v>
      </c>
      <c r="I382" s="321">
        <v>18</v>
      </c>
      <c r="J382" s="117">
        <f t="shared" si="211"/>
        <v>3.1751999999999998</v>
      </c>
      <c r="K382" s="118"/>
      <c r="L382" s="111">
        <v>18</v>
      </c>
      <c r="M382" s="117">
        <f t="shared" si="212"/>
        <v>3.1751999999999998</v>
      </c>
      <c r="N382" s="119">
        <f t="shared" si="213"/>
        <v>0</v>
      </c>
      <c r="O382" s="120">
        <f t="shared" si="214"/>
        <v>0</v>
      </c>
      <c r="P382" s="130"/>
      <c r="Q382" s="320"/>
      <c r="R382" s="32"/>
      <c r="S382" s="32"/>
    </row>
    <row r="383" spans="1:19" ht="15.6">
      <c r="A383" s="110" t="s">
        <v>518</v>
      </c>
      <c r="B383" s="111" t="s">
        <v>505</v>
      </c>
      <c r="C383" s="112" t="s">
        <v>449</v>
      </c>
      <c r="D383" s="113" t="s">
        <v>130</v>
      </c>
      <c r="E383" s="114" t="s">
        <v>15</v>
      </c>
      <c r="F383" s="115" t="s">
        <v>39</v>
      </c>
      <c r="G383" s="116">
        <v>14.7</v>
      </c>
      <c r="H383" s="126">
        <v>12</v>
      </c>
      <c r="I383" s="321">
        <v>20</v>
      </c>
      <c r="J383" s="117">
        <f t="shared" si="211"/>
        <v>3.5279999999999996</v>
      </c>
      <c r="K383" s="118"/>
      <c r="L383" s="111">
        <v>20</v>
      </c>
      <c r="M383" s="117">
        <f t="shared" si="212"/>
        <v>3.528</v>
      </c>
      <c r="N383" s="119">
        <f t="shared" si="213"/>
        <v>0</v>
      </c>
      <c r="O383" s="120">
        <f t="shared" si="214"/>
        <v>0</v>
      </c>
      <c r="P383" s="130"/>
      <c r="Q383" s="320"/>
      <c r="R383" s="32"/>
      <c r="S383" s="32"/>
    </row>
    <row r="384" spans="1:19" ht="15.6">
      <c r="A384" s="110" t="s">
        <v>518</v>
      </c>
      <c r="B384" s="111" t="s">
        <v>505</v>
      </c>
      <c r="C384" s="112" t="s">
        <v>449</v>
      </c>
      <c r="D384" s="113" t="s">
        <v>130</v>
      </c>
      <c r="E384" s="114" t="s">
        <v>15</v>
      </c>
      <c r="F384" s="115" t="s">
        <v>39</v>
      </c>
      <c r="G384" s="116">
        <v>14.7</v>
      </c>
      <c r="H384" s="126">
        <v>12</v>
      </c>
      <c r="I384" s="321">
        <v>20</v>
      </c>
      <c r="J384" s="117">
        <f t="shared" si="211"/>
        <v>3.5279999999999996</v>
      </c>
      <c r="K384" s="118"/>
      <c r="L384" s="111">
        <v>20</v>
      </c>
      <c r="M384" s="117">
        <f t="shared" si="212"/>
        <v>3.528</v>
      </c>
      <c r="N384" s="119">
        <f t="shared" si="213"/>
        <v>0</v>
      </c>
      <c r="O384" s="120">
        <f t="shared" si="214"/>
        <v>0</v>
      </c>
      <c r="P384" s="130"/>
      <c r="Q384" s="320"/>
      <c r="R384" s="32"/>
      <c r="S384" s="32"/>
    </row>
    <row r="385" spans="1:21" ht="15.6">
      <c r="A385" s="110" t="s">
        <v>518</v>
      </c>
      <c r="B385" s="111" t="s">
        <v>505</v>
      </c>
      <c r="C385" s="112" t="s">
        <v>449</v>
      </c>
      <c r="D385" s="113" t="s">
        <v>130</v>
      </c>
      <c r="E385" s="114" t="s">
        <v>15</v>
      </c>
      <c r="F385" s="115" t="s">
        <v>39</v>
      </c>
      <c r="G385" s="116">
        <v>14.7</v>
      </c>
      <c r="H385" s="126">
        <v>12</v>
      </c>
      <c r="I385" s="321">
        <v>20</v>
      </c>
      <c r="J385" s="117">
        <f t="shared" si="211"/>
        <v>3.5279999999999996</v>
      </c>
      <c r="K385" s="118"/>
      <c r="L385" s="111">
        <v>20</v>
      </c>
      <c r="M385" s="117">
        <f t="shared" si="212"/>
        <v>3.528</v>
      </c>
      <c r="N385" s="119">
        <f t="shared" si="213"/>
        <v>0</v>
      </c>
      <c r="O385" s="120">
        <f t="shared" si="214"/>
        <v>0</v>
      </c>
      <c r="P385" s="130"/>
      <c r="Q385" s="320"/>
      <c r="R385" s="32"/>
      <c r="S385" s="32"/>
    </row>
    <row r="386" spans="1:21" ht="15.6">
      <c r="A386" s="110" t="s">
        <v>518</v>
      </c>
      <c r="B386" s="111" t="s">
        <v>505</v>
      </c>
      <c r="C386" s="112" t="s">
        <v>449</v>
      </c>
      <c r="D386" s="113" t="s">
        <v>130</v>
      </c>
      <c r="E386" s="114" t="s">
        <v>15</v>
      </c>
      <c r="F386" s="115" t="s">
        <v>39</v>
      </c>
      <c r="G386" s="116">
        <v>14.7</v>
      </c>
      <c r="H386" s="126">
        <v>12</v>
      </c>
      <c r="I386" s="321">
        <v>20</v>
      </c>
      <c r="J386" s="117">
        <f t="shared" si="211"/>
        <v>3.5279999999999996</v>
      </c>
      <c r="K386" s="118"/>
      <c r="L386" s="111">
        <v>20</v>
      </c>
      <c r="M386" s="117">
        <f t="shared" si="212"/>
        <v>3.528</v>
      </c>
      <c r="N386" s="119">
        <f t="shared" si="213"/>
        <v>0</v>
      </c>
      <c r="O386" s="120">
        <f t="shared" si="214"/>
        <v>0</v>
      </c>
      <c r="P386" s="130"/>
      <c r="Q386" s="320"/>
      <c r="R386" s="32"/>
      <c r="S386" s="32"/>
    </row>
    <row r="387" spans="1:21" ht="15.6">
      <c r="A387" s="110" t="s">
        <v>518</v>
      </c>
      <c r="B387" s="111" t="s">
        <v>505</v>
      </c>
      <c r="C387" s="112" t="s">
        <v>449</v>
      </c>
      <c r="D387" s="113" t="s">
        <v>130</v>
      </c>
      <c r="E387" s="114" t="s">
        <v>15</v>
      </c>
      <c r="F387" s="115" t="s">
        <v>39</v>
      </c>
      <c r="G387" s="116">
        <v>14.7</v>
      </c>
      <c r="H387" s="126">
        <v>12</v>
      </c>
      <c r="I387" s="321">
        <v>6</v>
      </c>
      <c r="J387" s="117">
        <f t="shared" si="211"/>
        <v>1.0583999999999998</v>
      </c>
      <c r="K387" s="118"/>
      <c r="L387" s="111">
        <v>6</v>
      </c>
      <c r="M387" s="117">
        <f t="shared" si="212"/>
        <v>1.0583999999999998</v>
      </c>
      <c r="N387" s="119">
        <f t="shared" si="213"/>
        <v>0</v>
      </c>
      <c r="O387" s="120">
        <f t="shared" si="214"/>
        <v>0</v>
      </c>
      <c r="P387" s="130"/>
      <c r="Q387" s="320"/>
      <c r="R387" s="32"/>
      <c r="S387" s="32"/>
    </row>
    <row r="388" spans="1:21" ht="15.6">
      <c r="A388" s="110" t="s">
        <v>518</v>
      </c>
      <c r="B388" s="111" t="s">
        <v>505</v>
      </c>
      <c r="C388" s="112" t="s">
        <v>449</v>
      </c>
      <c r="D388" s="113" t="s">
        <v>130</v>
      </c>
      <c r="E388" s="114" t="s">
        <v>15</v>
      </c>
      <c r="F388" s="115" t="s">
        <v>39</v>
      </c>
      <c r="G388" s="116">
        <v>14.7</v>
      </c>
      <c r="H388" s="126">
        <v>10.5</v>
      </c>
      <c r="I388" s="321">
        <v>7</v>
      </c>
      <c r="J388" s="117">
        <f t="shared" si="211"/>
        <v>1.0804500000000001</v>
      </c>
      <c r="K388" s="118"/>
      <c r="L388" s="111">
        <v>7</v>
      </c>
      <c r="M388" s="117">
        <f t="shared" si="212"/>
        <v>1.0804500000000001</v>
      </c>
      <c r="N388" s="119">
        <f t="shared" si="213"/>
        <v>0</v>
      </c>
      <c r="O388" s="120">
        <f t="shared" si="214"/>
        <v>0</v>
      </c>
      <c r="P388" s="130"/>
      <c r="Q388" s="320"/>
      <c r="R388" s="32"/>
      <c r="S388" s="32"/>
    </row>
    <row r="389" spans="1:21" ht="15.6">
      <c r="A389" s="110" t="s">
        <v>518</v>
      </c>
      <c r="B389" s="111" t="s">
        <v>505</v>
      </c>
      <c r="C389" s="112" t="s">
        <v>449</v>
      </c>
      <c r="D389" s="113" t="s">
        <v>130</v>
      </c>
      <c r="E389" s="114" t="s">
        <v>15</v>
      </c>
      <c r="F389" s="115" t="s">
        <v>39</v>
      </c>
      <c r="G389" s="116">
        <v>14.7</v>
      </c>
      <c r="H389" s="126">
        <v>11.7</v>
      </c>
      <c r="I389" s="321">
        <v>12</v>
      </c>
      <c r="J389" s="117">
        <f t="shared" si="211"/>
        <v>2.0638799999999997</v>
      </c>
      <c r="K389" s="118"/>
      <c r="L389" s="111">
        <f>10+2</f>
        <v>12</v>
      </c>
      <c r="M389" s="117">
        <f t="shared" si="212"/>
        <v>2.0638799999999997</v>
      </c>
      <c r="N389" s="119">
        <f t="shared" si="213"/>
        <v>0</v>
      </c>
      <c r="O389" s="120">
        <f t="shared" si="214"/>
        <v>0</v>
      </c>
      <c r="P389" s="130">
        <v>11.7</v>
      </c>
      <c r="Q389" s="320">
        <v>10</v>
      </c>
      <c r="R389" s="55">
        <v>11.4</v>
      </c>
      <c r="S389" s="45">
        <v>2</v>
      </c>
      <c r="T389" s="213" t="s">
        <v>739</v>
      </c>
      <c r="U389" s="32" t="s">
        <v>540</v>
      </c>
    </row>
    <row r="390" spans="1:21" ht="15.6">
      <c r="A390" s="110" t="s">
        <v>518</v>
      </c>
      <c r="B390" s="111" t="s">
        <v>505</v>
      </c>
      <c r="C390" s="112" t="s">
        <v>449</v>
      </c>
      <c r="D390" s="113" t="s">
        <v>130</v>
      </c>
      <c r="E390" s="114" t="s">
        <v>15</v>
      </c>
      <c r="F390" s="115" t="s">
        <v>39</v>
      </c>
      <c r="G390" s="116">
        <v>14.7</v>
      </c>
      <c r="H390" s="126">
        <v>11.5</v>
      </c>
      <c r="I390" s="321">
        <v>1</v>
      </c>
      <c r="J390" s="117">
        <f t="shared" si="211"/>
        <v>0.16904999999999998</v>
      </c>
      <c r="K390" s="118"/>
      <c r="L390" s="111">
        <v>1</v>
      </c>
      <c r="M390" s="117">
        <f t="shared" si="212"/>
        <v>0.16904999999999998</v>
      </c>
      <c r="N390" s="119">
        <f t="shared" si="213"/>
        <v>0</v>
      </c>
      <c r="O390" s="120">
        <f t="shared" si="214"/>
        <v>0</v>
      </c>
      <c r="P390" s="130"/>
      <c r="Q390" s="320"/>
      <c r="R390" s="55">
        <v>11.4</v>
      </c>
      <c r="S390" s="45">
        <v>1</v>
      </c>
      <c r="T390" s="213" t="s">
        <v>739</v>
      </c>
    </row>
    <row r="391" spans="1:21" ht="15.6">
      <c r="A391" s="110" t="s">
        <v>518</v>
      </c>
      <c r="B391" s="111" t="s">
        <v>505</v>
      </c>
      <c r="C391" s="112" t="s">
        <v>449</v>
      </c>
      <c r="D391" s="113" t="s">
        <v>130</v>
      </c>
      <c r="E391" s="114" t="s">
        <v>15</v>
      </c>
      <c r="F391" s="115" t="s">
        <v>39</v>
      </c>
      <c r="G391" s="116">
        <v>14.7</v>
      </c>
      <c r="H391" s="126">
        <v>8.6</v>
      </c>
      <c r="I391" s="321">
        <v>6</v>
      </c>
      <c r="J391" s="117">
        <f t="shared" si="211"/>
        <v>0.75851999999999997</v>
      </c>
      <c r="K391" s="118"/>
      <c r="L391" s="111">
        <v>6</v>
      </c>
      <c r="M391" s="117">
        <f t="shared" si="212"/>
        <v>0.75851999999999986</v>
      </c>
      <c r="N391" s="119">
        <f t="shared" si="213"/>
        <v>0</v>
      </c>
      <c r="O391" s="120">
        <f t="shared" si="214"/>
        <v>0</v>
      </c>
      <c r="P391" s="130"/>
      <c r="Q391" s="320"/>
      <c r="R391" s="55"/>
      <c r="S391" s="32"/>
    </row>
    <row r="392" spans="1:21" ht="15.6">
      <c r="A392" s="110" t="s">
        <v>518</v>
      </c>
      <c r="B392" s="111" t="s">
        <v>505</v>
      </c>
      <c r="C392" s="112" t="s">
        <v>449</v>
      </c>
      <c r="D392" s="113" t="s">
        <v>130</v>
      </c>
      <c r="E392" s="114" t="s">
        <v>15</v>
      </c>
      <c r="F392" s="115" t="s">
        <v>39</v>
      </c>
      <c r="G392" s="116">
        <v>14.7</v>
      </c>
      <c r="H392" s="126">
        <v>12</v>
      </c>
      <c r="I392" s="321">
        <v>18</v>
      </c>
      <c r="J392" s="117">
        <f t="shared" ref="J392:J402" si="215">H392*G392*I392/1000</f>
        <v>3.1751999999999998</v>
      </c>
      <c r="K392" s="118"/>
      <c r="L392" s="111">
        <v>18</v>
      </c>
      <c r="M392" s="117">
        <f t="shared" ref="M392:M402" si="216">H392*L392*G392/1000</f>
        <v>3.1751999999999998</v>
      </c>
      <c r="N392" s="119">
        <f t="shared" ref="N392:N402" si="217">I392-L392</f>
        <v>0</v>
      </c>
      <c r="O392" s="120">
        <f t="shared" ref="O392:O401" si="218">H392*N392*G392/1000</f>
        <v>0</v>
      </c>
      <c r="P392" s="130"/>
      <c r="Q392" s="320"/>
      <c r="R392" s="55"/>
      <c r="S392" s="32"/>
    </row>
    <row r="393" spans="1:21" ht="15.6">
      <c r="A393" s="110" t="s">
        <v>518</v>
      </c>
      <c r="B393" s="111" t="s">
        <v>505</v>
      </c>
      <c r="C393" s="112" t="s">
        <v>449</v>
      </c>
      <c r="D393" s="113" t="s">
        <v>130</v>
      </c>
      <c r="E393" s="114" t="s">
        <v>15</v>
      </c>
      <c r="F393" s="115" t="s">
        <v>39</v>
      </c>
      <c r="G393" s="116">
        <v>14.7</v>
      </c>
      <c r="H393" s="126">
        <v>12</v>
      </c>
      <c r="I393" s="321">
        <v>20</v>
      </c>
      <c r="J393" s="117">
        <f t="shared" si="215"/>
        <v>3.5279999999999996</v>
      </c>
      <c r="K393" s="118"/>
      <c r="L393" s="111">
        <v>20</v>
      </c>
      <c r="M393" s="117">
        <f t="shared" si="216"/>
        <v>3.528</v>
      </c>
      <c r="N393" s="119">
        <f t="shared" si="217"/>
        <v>0</v>
      </c>
      <c r="O393" s="120">
        <f t="shared" si="218"/>
        <v>0</v>
      </c>
      <c r="P393" s="130"/>
      <c r="Q393" s="320"/>
      <c r="R393" s="55"/>
      <c r="S393" s="32"/>
    </row>
    <row r="394" spans="1:21" ht="15.6">
      <c r="A394" s="110" t="s">
        <v>518</v>
      </c>
      <c r="B394" s="111" t="s">
        <v>505</v>
      </c>
      <c r="C394" s="112" t="s">
        <v>449</v>
      </c>
      <c r="D394" s="113" t="s">
        <v>130</v>
      </c>
      <c r="E394" s="114" t="s">
        <v>15</v>
      </c>
      <c r="F394" s="115" t="s">
        <v>39</v>
      </c>
      <c r="G394" s="116">
        <v>14.7</v>
      </c>
      <c r="H394" s="126">
        <v>11.7</v>
      </c>
      <c r="I394" s="321">
        <v>4</v>
      </c>
      <c r="J394" s="117">
        <f t="shared" si="215"/>
        <v>0.6879599999999999</v>
      </c>
      <c r="K394" s="118"/>
      <c r="L394" s="111">
        <v>4</v>
      </c>
      <c r="M394" s="117">
        <f t="shared" si="216"/>
        <v>0.6879599999999999</v>
      </c>
      <c r="N394" s="119">
        <f t="shared" si="217"/>
        <v>0</v>
      </c>
      <c r="O394" s="120">
        <f t="shared" si="218"/>
        <v>0</v>
      </c>
      <c r="P394" s="130"/>
      <c r="Q394" s="320"/>
      <c r="R394" s="55">
        <v>11</v>
      </c>
      <c r="S394" s="45">
        <v>4</v>
      </c>
      <c r="T394" s="213" t="s">
        <v>677</v>
      </c>
    </row>
    <row r="395" spans="1:21" ht="15.6">
      <c r="A395" s="110" t="s">
        <v>518</v>
      </c>
      <c r="B395" s="111" t="s">
        <v>505</v>
      </c>
      <c r="C395" s="112" t="s">
        <v>449</v>
      </c>
      <c r="D395" s="113" t="s">
        <v>130</v>
      </c>
      <c r="E395" s="114" t="s">
        <v>15</v>
      </c>
      <c r="F395" s="115" t="s">
        <v>39</v>
      </c>
      <c r="G395" s="116">
        <v>14.7</v>
      </c>
      <c r="H395" s="126">
        <v>11.5</v>
      </c>
      <c r="I395" s="321">
        <v>1</v>
      </c>
      <c r="J395" s="117">
        <f t="shared" si="215"/>
        <v>0.16904999999999998</v>
      </c>
      <c r="K395" s="118"/>
      <c r="L395" s="111">
        <v>1</v>
      </c>
      <c r="M395" s="117">
        <f t="shared" si="216"/>
        <v>0.16904999999999998</v>
      </c>
      <c r="N395" s="119">
        <f t="shared" si="217"/>
        <v>0</v>
      </c>
      <c r="O395" s="120">
        <f t="shared" si="218"/>
        <v>0</v>
      </c>
      <c r="P395" s="130"/>
      <c r="Q395" s="320"/>
      <c r="R395" s="55">
        <v>11.4</v>
      </c>
      <c r="S395" s="45">
        <v>1</v>
      </c>
      <c r="T395" s="213" t="s">
        <v>739</v>
      </c>
    </row>
    <row r="396" spans="1:21" ht="15.6">
      <c r="A396" s="110" t="s">
        <v>518</v>
      </c>
      <c r="B396" s="111" t="s">
        <v>505</v>
      </c>
      <c r="C396" s="112" t="s">
        <v>449</v>
      </c>
      <c r="D396" s="113" t="s">
        <v>130</v>
      </c>
      <c r="E396" s="114" t="s">
        <v>15</v>
      </c>
      <c r="F396" s="115" t="s">
        <v>39</v>
      </c>
      <c r="G396" s="116">
        <v>14.7</v>
      </c>
      <c r="H396" s="126">
        <v>11.3</v>
      </c>
      <c r="I396" s="321">
        <v>1</v>
      </c>
      <c r="J396" s="117">
        <f t="shared" si="215"/>
        <v>0.16611000000000001</v>
      </c>
      <c r="K396" s="118"/>
      <c r="L396" s="111">
        <v>1</v>
      </c>
      <c r="M396" s="117">
        <f t="shared" si="216"/>
        <v>0.16611000000000001</v>
      </c>
      <c r="N396" s="119">
        <f t="shared" si="217"/>
        <v>0</v>
      </c>
      <c r="O396" s="120">
        <f t="shared" si="218"/>
        <v>0</v>
      </c>
      <c r="P396" s="130"/>
      <c r="Q396" s="320"/>
      <c r="R396" s="55">
        <v>8.5500000000000007</v>
      </c>
      <c r="S396" s="45">
        <v>1</v>
      </c>
      <c r="T396" s="213" t="s">
        <v>733</v>
      </c>
    </row>
    <row r="397" spans="1:21" ht="15.6">
      <c r="A397" s="110" t="s">
        <v>518</v>
      </c>
      <c r="B397" s="111" t="s">
        <v>505</v>
      </c>
      <c r="C397" s="112" t="s">
        <v>449</v>
      </c>
      <c r="D397" s="113" t="s">
        <v>130</v>
      </c>
      <c r="E397" s="114" t="s">
        <v>15</v>
      </c>
      <c r="F397" s="115" t="s">
        <v>39</v>
      </c>
      <c r="G397" s="116">
        <v>14.7</v>
      </c>
      <c r="H397" s="126">
        <v>10</v>
      </c>
      <c r="I397" s="321">
        <v>1</v>
      </c>
      <c r="J397" s="117">
        <f t="shared" si="215"/>
        <v>0.14699999999999999</v>
      </c>
      <c r="K397" s="118"/>
      <c r="L397" s="111">
        <v>1</v>
      </c>
      <c r="M397" s="117">
        <f t="shared" si="216"/>
        <v>0.14699999999999999</v>
      </c>
      <c r="N397" s="119">
        <f t="shared" si="217"/>
        <v>0</v>
      </c>
      <c r="O397" s="120">
        <f t="shared" si="218"/>
        <v>0</v>
      </c>
      <c r="P397" s="130"/>
      <c r="Q397" s="320"/>
      <c r="R397" s="55">
        <v>8.5500000000000007</v>
      </c>
      <c r="S397" s="45">
        <v>1</v>
      </c>
      <c r="T397" s="213" t="s">
        <v>733</v>
      </c>
    </row>
    <row r="398" spans="1:21" ht="15.6">
      <c r="A398" s="110" t="s">
        <v>518</v>
      </c>
      <c r="B398" s="111" t="s">
        <v>505</v>
      </c>
      <c r="C398" s="112" t="s">
        <v>449</v>
      </c>
      <c r="D398" s="113" t="s">
        <v>130</v>
      </c>
      <c r="E398" s="114" t="s">
        <v>15</v>
      </c>
      <c r="F398" s="115" t="s">
        <v>39</v>
      </c>
      <c r="G398" s="116">
        <v>14.7</v>
      </c>
      <c r="H398" s="126">
        <v>8.1999999999999993</v>
      </c>
      <c r="I398" s="321">
        <v>2</v>
      </c>
      <c r="J398" s="117">
        <f t="shared" si="215"/>
        <v>0.24107999999999996</v>
      </c>
      <c r="K398" s="118"/>
      <c r="L398" s="111"/>
      <c r="M398" s="117">
        <f t="shared" si="216"/>
        <v>0</v>
      </c>
      <c r="N398" s="119">
        <f t="shared" si="217"/>
        <v>2</v>
      </c>
      <c r="O398" s="120">
        <f t="shared" si="218"/>
        <v>0.24107999999999996</v>
      </c>
      <c r="P398" s="130"/>
      <c r="Q398" s="320"/>
      <c r="R398" s="32"/>
      <c r="S398" s="32"/>
    </row>
    <row r="399" spans="1:21" ht="15.6">
      <c r="A399" s="110" t="s">
        <v>518</v>
      </c>
      <c r="B399" s="111" t="s">
        <v>505</v>
      </c>
      <c r="C399" s="112" t="s">
        <v>449</v>
      </c>
      <c r="D399" s="113" t="s">
        <v>130</v>
      </c>
      <c r="E399" s="114" t="s">
        <v>15</v>
      </c>
      <c r="F399" s="115" t="s">
        <v>39</v>
      </c>
      <c r="G399" s="116">
        <v>14.7</v>
      </c>
      <c r="H399" s="126">
        <v>8.6</v>
      </c>
      <c r="I399" s="321">
        <v>20</v>
      </c>
      <c r="J399" s="117">
        <f t="shared" si="215"/>
        <v>2.5283999999999995</v>
      </c>
      <c r="K399" s="118"/>
      <c r="L399" s="111">
        <v>20</v>
      </c>
      <c r="M399" s="117">
        <f t="shared" si="216"/>
        <v>2.5284</v>
      </c>
      <c r="N399" s="119">
        <f t="shared" si="217"/>
        <v>0</v>
      </c>
      <c r="O399" s="120">
        <f t="shared" si="218"/>
        <v>0</v>
      </c>
      <c r="P399" s="130"/>
      <c r="Q399" s="320"/>
      <c r="R399" s="32"/>
      <c r="S399" s="32"/>
    </row>
    <row r="400" spans="1:21" ht="15.6">
      <c r="A400" s="110" t="s">
        <v>518</v>
      </c>
      <c r="B400" s="111" t="s">
        <v>505</v>
      </c>
      <c r="C400" s="112" t="s">
        <v>449</v>
      </c>
      <c r="D400" s="113" t="s">
        <v>130</v>
      </c>
      <c r="E400" s="114" t="s">
        <v>15</v>
      </c>
      <c r="F400" s="115" t="s">
        <v>39</v>
      </c>
      <c r="G400" s="116">
        <v>14.7</v>
      </c>
      <c r="H400" s="126">
        <v>8.6</v>
      </c>
      <c r="I400" s="321">
        <v>21</v>
      </c>
      <c r="J400" s="117">
        <f t="shared" si="215"/>
        <v>2.6548199999999995</v>
      </c>
      <c r="K400" s="118"/>
      <c r="L400" s="111">
        <v>21</v>
      </c>
      <c r="M400" s="117">
        <f t="shared" si="216"/>
        <v>2.6548199999999995</v>
      </c>
      <c r="N400" s="119">
        <f t="shared" si="217"/>
        <v>0</v>
      </c>
      <c r="O400" s="120">
        <f t="shared" si="218"/>
        <v>0</v>
      </c>
      <c r="P400" s="130"/>
      <c r="Q400" s="320"/>
      <c r="R400" s="32"/>
      <c r="S400" s="32"/>
    </row>
    <row r="401" spans="1:20" ht="15.6">
      <c r="A401" s="110" t="s">
        <v>518</v>
      </c>
      <c r="B401" s="111" t="s">
        <v>505</v>
      </c>
      <c r="C401" s="112" t="s">
        <v>449</v>
      </c>
      <c r="D401" s="113" t="s">
        <v>130</v>
      </c>
      <c r="E401" s="114" t="s">
        <v>15</v>
      </c>
      <c r="F401" s="115" t="s">
        <v>39</v>
      </c>
      <c r="G401" s="116">
        <v>14.7</v>
      </c>
      <c r="H401" s="126">
        <v>8.6</v>
      </c>
      <c r="I401" s="321">
        <v>9</v>
      </c>
      <c r="J401" s="117">
        <f t="shared" si="215"/>
        <v>1.13778</v>
      </c>
      <c r="K401" s="118"/>
      <c r="L401" s="111">
        <v>9</v>
      </c>
      <c r="M401" s="117">
        <f t="shared" si="216"/>
        <v>1.1377799999999998</v>
      </c>
      <c r="N401" s="119">
        <f t="shared" si="217"/>
        <v>0</v>
      </c>
      <c r="O401" s="120">
        <f t="shared" si="218"/>
        <v>0</v>
      </c>
      <c r="P401" s="130"/>
      <c r="Q401" s="320"/>
      <c r="R401" s="32"/>
      <c r="S401" s="32"/>
    </row>
    <row r="402" spans="1:20" ht="15.6">
      <c r="A402" s="110" t="s">
        <v>518</v>
      </c>
      <c r="B402" s="111" t="s">
        <v>505</v>
      </c>
      <c r="C402" s="112" t="s">
        <v>449</v>
      </c>
      <c r="D402" s="113" t="s">
        <v>130</v>
      </c>
      <c r="E402" s="114" t="s">
        <v>15</v>
      </c>
      <c r="F402" s="115" t="s">
        <v>39</v>
      </c>
      <c r="G402" s="116">
        <v>14.7</v>
      </c>
      <c r="H402" s="126">
        <v>7</v>
      </c>
      <c r="I402" s="321">
        <v>1</v>
      </c>
      <c r="J402" s="117">
        <f t="shared" si="215"/>
        <v>0.10289999999999999</v>
      </c>
      <c r="K402" s="118"/>
      <c r="L402" s="111">
        <v>1</v>
      </c>
      <c r="M402" s="117">
        <f t="shared" si="216"/>
        <v>0.10289999999999999</v>
      </c>
      <c r="N402" s="119">
        <f t="shared" si="217"/>
        <v>0</v>
      </c>
      <c r="O402" s="120">
        <f>H402*N402*G402/1000</f>
        <v>0</v>
      </c>
      <c r="P402" s="130"/>
      <c r="Q402" s="320"/>
      <c r="R402" s="32">
        <v>6</v>
      </c>
      <c r="S402" s="45">
        <v>1</v>
      </c>
      <c r="T402" s="213" t="s">
        <v>677</v>
      </c>
    </row>
    <row r="403" spans="1:20">
      <c r="I403" s="215">
        <f>SUM(I353:I402)</f>
        <v>603</v>
      </c>
      <c r="J403" s="214">
        <f>SUM(J353:J402)</f>
        <v>100.88757000000004</v>
      </c>
      <c r="L403" s="215">
        <f>SUM(L353:L402)</f>
        <v>619</v>
      </c>
      <c r="M403" s="214">
        <f>SUM(M353:M402)</f>
        <v>103.82169000000005</v>
      </c>
      <c r="N403" s="78">
        <f>SUM(N353:N402)</f>
        <v>-16</v>
      </c>
      <c r="O403" s="214">
        <f>SUM(O353:O402)</f>
        <v>-2.9341200000000001</v>
      </c>
    </row>
    <row r="405" spans="1:20" ht="15.6">
      <c r="A405" s="110" t="s">
        <v>518</v>
      </c>
      <c r="B405" s="111" t="s">
        <v>232</v>
      </c>
      <c r="C405" s="112" t="s">
        <v>449</v>
      </c>
      <c r="D405" s="113" t="s">
        <v>506</v>
      </c>
      <c r="E405" s="114" t="s">
        <v>15</v>
      </c>
      <c r="F405" s="115" t="s">
        <v>39</v>
      </c>
      <c r="G405" s="116">
        <v>14.7</v>
      </c>
      <c r="H405" s="125">
        <v>10.3</v>
      </c>
      <c r="I405" s="111">
        <v>1</v>
      </c>
      <c r="J405" s="117">
        <f t="shared" ref="J405" si="219">H405*G405*I405/1000</f>
        <v>0.15140999999999999</v>
      </c>
      <c r="K405" s="118"/>
      <c r="L405" s="111">
        <v>1</v>
      </c>
      <c r="M405" s="117">
        <f t="shared" ref="M405" si="220">H405*L405*G405/1000</f>
        <v>0.15140999999999999</v>
      </c>
      <c r="N405" s="119">
        <f t="shared" ref="N405" si="221">I405-L405</f>
        <v>0</v>
      </c>
      <c r="O405" s="120">
        <f t="shared" ref="O405" si="222">H405*N405*G405/1000</f>
        <v>0</v>
      </c>
      <c r="P405" s="130"/>
      <c r="Q405" s="320">
        <v>1</v>
      </c>
      <c r="R405" s="32" t="s">
        <v>608</v>
      </c>
      <c r="S405" s="32"/>
    </row>
    <row r="406" spans="1:20" ht="15.6">
      <c r="A406" s="110" t="s">
        <v>518</v>
      </c>
      <c r="B406" s="111" t="s">
        <v>232</v>
      </c>
      <c r="C406" s="112" t="s">
        <v>449</v>
      </c>
      <c r="D406" s="113" t="s">
        <v>506</v>
      </c>
      <c r="E406" s="114" t="s">
        <v>15</v>
      </c>
      <c r="F406" s="115" t="s">
        <v>39</v>
      </c>
      <c r="G406" s="116">
        <v>14.7</v>
      </c>
      <c r="H406" s="125">
        <v>11</v>
      </c>
      <c r="I406" s="111">
        <v>8</v>
      </c>
      <c r="J406" s="117">
        <f t="shared" ref="J406:J423" si="223">H406*G406*I406/1000</f>
        <v>1.2935999999999999</v>
      </c>
      <c r="K406" s="118"/>
      <c r="L406" s="111">
        <f>8+6</f>
        <v>14</v>
      </c>
      <c r="M406" s="117">
        <f t="shared" ref="M406:M423" si="224">H406*L406*G406/1000</f>
        <v>2.2637999999999998</v>
      </c>
      <c r="N406" s="230">
        <f t="shared" ref="N406:N423" si="225">I406-L406</f>
        <v>-6</v>
      </c>
      <c r="O406" s="231">
        <f t="shared" ref="O406:O423" si="226">H406*N406*G406/1000</f>
        <v>-0.97019999999999995</v>
      </c>
      <c r="P406" s="405" t="s">
        <v>520</v>
      </c>
      <c r="Q406" s="406"/>
      <c r="R406" s="44"/>
      <c r="S406" s="44"/>
    </row>
    <row r="407" spans="1:20" ht="15.6">
      <c r="A407" s="110" t="s">
        <v>518</v>
      </c>
      <c r="B407" s="111" t="s">
        <v>232</v>
      </c>
      <c r="C407" s="112" t="s">
        <v>449</v>
      </c>
      <c r="D407" s="113" t="s">
        <v>506</v>
      </c>
      <c r="E407" s="114" t="s">
        <v>15</v>
      </c>
      <c r="F407" s="115" t="s">
        <v>39</v>
      </c>
      <c r="G407" s="116">
        <v>14.7</v>
      </c>
      <c r="H407" s="125">
        <v>11.7</v>
      </c>
      <c r="I407" s="111">
        <v>20</v>
      </c>
      <c r="J407" s="117">
        <f t="shared" si="223"/>
        <v>3.4397999999999995</v>
      </c>
      <c r="K407" s="118"/>
      <c r="L407" s="111">
        <v>20</v>
      </c>
      <c r="M407" s="117">
        <f t="shared" si="224"/>
        <v>3.4397999999999995</v>
      </c>
      <c r="N407" s="119">
        <f t="shared" si="225"/>
        <v>0</v>
      </c>
      <c r="O407" s="120">
        <f t="shared" si="226"/>
        <v>0</v>
      </c>
      <c r="P407" s="130"/>
      <c r="Q407" s="320"/>
      <c r="R407" s="32"/>
      <c r="S407" s="32"/>
    </row>
    <row r="408" spans="1:20" ht="15.6">
      <c r="A408" s="110" t="s">
        <v>518</v>
      </c>
      <c r="B408" s="111" t="s">
        <v>232</v>
      </c>
      <c r="C408" s="112" t="s">
        <v>449</v>
      </c>
      <c r="D408" s="113" t="s">
        <v>506</v>
      </c>
      <c r="E408" s="114" t="s">
        <v>15</v>
      </c>
      <c r="F408" s="115" t="s">
        <v>39</v>
      </c>
      <c r="G408" s="116">
        <v>14.7</v>
      </c>
      <c r="H408" s="125">
        <v>11.7</v>
      </c>
      <c r="I408" s="111">
        <v>14</v>
      </c>
      <c r="J408" s="117">
        <f t="shared" si="223"/>
        <v>2.4078599999999999</v>
      </c>
      <c r="K408" s="118"/>
      <c r="L408" s="111">
        <v>14</v>
      </c>
      <c r="M408" s="117">
        <f t="shared" si="224"/>
        <v>2.4078599999999999</v>
      </c>
      <c r="N408" s="119">
        <f t="shared" si="225"/>
        <v>0</v>
      </c>
      <c r="O408" s="120">
        <f t="shared" si="226"/>
        <v>0</v>
      </c>
      <c r="P408" s="130"/>
      <c r="Q408" s="320"/>
      <c r="R408" s="32"/>
      <c r="S408" s="32"/>
    </row>
    <row r="409" spans="1:20" ht="15.6">
      <c r="A409" s="110" t="s">
        <v>518</v>
      </c>
      <c r="B409" s="111" t="s">
        <v>232</v>
      </c>
      <c r="C409" s="112" t="s">
        <v>449</v>
      </c>
      <c r="D409" s="113" t="s">
        <v>506</v>
      </c>
      <c r="E409" s="114" t="s">
        <v>15</v>
      </c>
      <c r="F409" s="115" t="s">
        <v>39</v>
      </c>
      <c r="G409" s="116">
        <v>14.7</v>
      </c>
      <c r="H409" s="125">
        <v>10.1</v>
      </c>
      <c r="I409" s="111">
        <v>2</v>
      </c>
      <c r="J409" s="117">
        <f t="shared" si="223"/>
        <v>0.29693999999999998</v>
      </c>
      <c r="K409" s="118"/>
      <c r="L409" s="111">
        <v>2</v>
      </c>
      <c r="M409" s="117">
        <f t="shared" si="224"/>
        <v>0.29693999999999998</v>
      </c>
      <c r="N409" s="119">
        <f t="shared" si="225"/>
        <v>0</v>
      </c>
      <c r="O409" s="120">
        <f t="shared" si="226"/>
        <v>0</v>
      </c>
      <c r="P409" s="130"/>
      <c r="Q409" s="320"/>
      <c r="R409" s="32"/>
      <c r="S409" s="32"/>
    </row>
    <row r="410" spans="1:20" ht="15.6">
      <c r="A410" s="110" t="s">
        <v>518</v>
      </c>
      <c r="B410" s="111" t="s">
        <v>232</v>
      </c>
      <c r="C410" s="112" t="s">
        <v>449</v>
      </c>
      <c r="D410" s="113" t="s">
        <v>506</v>
      </c>
      <c r="E410" s="114" t="s">
        <v>15</v>
      </c>
      <c r="F410" s="115" t="s">
        <v>39</v>
      </c>
      <c r="G410" s="116">
        <v>14.7</v>
      </c>
      <c r="H410" s="125">
        <v>12</v>
      </c>
      <c r="I410" s="111">
        <v>7</v>
      </c>
      <c r="J410" s="117">
        <f t="shared" si="223"/>
        <v>1.2347999999999997</v>
      </c>
      <c r="K410" s="118"/>
      <c r="L410" s="111">
        <v>7</v>
      </c>
      <c r="M410" s="117">
        <f t="shared" si="224"/>
        <v>1.2347999999999999</v>
      </c>
      <c r="N410" s="119">
        <f t="shared" si="225"/>
        <v>0</v>
      </c>
      <c r="O410" s="120">
        <f t="shared" si="226"/>
        <v>0</v>
      </c>
      <c r="P410" s="130"/>
      <c r="Q410" s="320"/>
      <c r="R410" s="32"/>
      <c r="S410" s="32"/>
    </row>
    <row r="411" spans="1:20" ht="15.6">
      <c r="A411" s="110" t="s">
        <v>518</v>
      </c>
      <c r="B411" s="111" t="s">
        <v>232</v>
      </c>
      <c r="C411" s="112" t="s">
        <v>449</v>
      </c>
      <c r="D411" s="113" t="s">
        <v>506</v>
      </c>
      <c r="E411" s="114" t="s">
        <v>15</v>
      </c>
      <c r="F411" s="115" t="s">
        <v>39</v>
      </c>
      <c r="G411" s="116">
        <v>14.7</v>
      </c>
      <c r="H411" s="125">
        <v>9.3000000000000007</v>
      </c>
      <c r="I411" s="111">
        <v>15</v>
      </c>
      <c r="J411" s="117">
        <f t="shared" si="223"/>
        <v>2.0506500000000001</v>
      </c>
      <c r="K411" s="118"/>
      <c r="L411" s="111">
        <v>15</v>
      </c>
      <c r="M411" s="117">
        <f t="shared" si="224"/>
        <v>2.0506500000000001</v>
      </c>
      <c r="N411" s="119">
        <f t="shared" si="225"/>
        <v>0</v>
      </c>
      <c r="O411" s="120">
        <f t="shared" si="226"/>
        <v>0</v>
      </c>
      <c r="P411" s="130"/>
      <c r="Q411" s="320"/>
      <c r="R411" s="32"/>
      <c r="S411" s="32"/>
    </row>
    <row r="412" spans="1:20" ht="15.6">
      <c r="A412" s="110" t="s">
        <v>518</v>
      </c>
      <c r="B412" s="111" t="s">
        <v>232</v>
      </c>
      <c r="C412" s="112" t="s">
        <v>449</v>
      </c>
      <c r="D412" s="113" t="s">
        <v>506</v>
      </c>
      <c r="E412" s="114" t="s">
        <v>15</v>
      </c>
      <c r="F412" s="115" t="s">
        <v>39</v>
      </c>
      <c r="G412" s="116">
        <v>14.7</v>
      </c>
      <c r="H412" s="125">
        <v>9</v>
      </c>
      <c r="I412" s="111">
        <v>12</v>
      </c>
      <c r="J412" s="117">
        <f t="shared" si="223"/>
        <v>1.5875999999999999</v>
      </c>
      <c r="K412" s="118"/>
      <c r="L412" s="111">
        <v>12</v>
      </c>
      <c r="M412" s="117">
        <f t="shared" si="224"/>
        <v>1.5875999999999999</v>
      </c>
      <c r="N412" s="119">
        <f t="shared" si="225"/>
        <v>0</v>
      </c>
      <c r="O412" s="120">
        <f t="shared" si="226"/>
        <v>0</v>
      </c>
      <c r="P412" s="130"/>
      <c r="Q412" s="320"/>
      <c r="R412" s="32"/>
      <c r="S412" s="32"/>
    </row>
    <row r="413" spans="1:20" ht="15.6">
      <c r="A413" s="110" t="s">
        <v>518</v>
      </c>
      <c r="B413" s="111" t="s">
        <v>232</v>
      </c>
      <c r="C413" s="112" t="s">
        <v>449</v>
      </c>
      <c r="D413" s="113" t="s">
        <v>506</v>
      </c>
      <c r="E413" s="114" t="s">
        <v>15</v>
      </c>
      <c r="F413" s="115" t="s">
        <v>39</v>
      </c>
      <c r="G413" s="116">
        <v>14.7</v>
      </c>
      <c r="H413" s="125">
        <v>10.1</v>
      </c>
      <c r="I413" s="111">
        <v>6</v>
      </c>
      <c r="J413" s="117">
        <f t="shared" si="223"/>
        <v>0.89081999999999995</v>
      </c>
      <c r="K413" s="118"/>
      <c r="L413" s="111">
        <v>6</v>
      </c>
      <c r="M413" s="117">
        <f t="shared" si="224"/>
        <v>0.89081999999999983</v>
      </c>
      <c r="N413" s="119">
        <f t="shared" si="225"/>
        <v>0</v>
      </c>
      <c r="O413" s="120">
        <f t="shared" si="226"/>
        <v>0</v>
      </c>
      <c r="P413" s="130"/>
      <c r="Q413" s="320"/>
      <c r="R413" s="32"/>
      <c r="S413" s="32"/>
    </row>
    <row r="414" spans="1:20" ht="15.6">
      <c r="A414" s="110" t="s">
        <v>518</v>
      </c>
      <c r="B414" s="111" t="s">
        <v>232</v>
      </c>
      <c r="C414" s="112" t="s">
        <v>449</v>
      </c>
      <c r="D414" s="113" t="s">
        <v>506</v>
      </c>
      <c r="E414" s="114" t="s">
        <v>15</v>
      </c>
      <c r="F414" s="115" t="s">
        <v>39</v>
      </c>
      <c r="G414" s="116">
        <v>14.7</v>
      </c>
      <c r="H414" s="125">
        <v>10.3</v>
      </c>
      <c r="I414" s="111">
        <v>8</v>
      </c>
      <c r="J414" s="117">
        <f t="shared" si="223"/>
        <v>1.2112799999999999</v>
      </c>
      <c r="K414" s="118"/>
      <c r="L414" s="111">
        <v>8</v>
      </c>
      <c r="M414" s="117">
        <f t="shared" si="224"/>
        <v>1.2112799999999999</v>
      </c>
      <c r="N414" s="119">
        <f t="shared" si="225"/>
        <v>0</v>
      </c>
      <c r="O414" s="120">
        <f t="shared" si="226"/>
        <v>0</v>
      </c>
      <c r="P414" s="130"/>
      <c r="Q414" s="320"/>
      <c r="R414" s="32"/>
      <c r="S414" s="32"/>
    </row>
    <row r="415" spans="1:20" ht="15.6">
      <c r="A415" s="110" t="s">
        <v>518</v>
      </c>
      <c r="B415" s="111" t="s">
        <v>232</v>
      </c>
      <c r="C415" s="112" t="s">
        <v>449</v>
      </c>
      <c r="D415" s="113" t="s">
        <v>506</v>
      </c>
      <c r="E415" s="114" t="s">
        <v>15</v>
      </c>
      <c r="F415" s="115" t="s">
        <v>39</v>
      </c>
      <c r="G415" s="116">
        <v>14.7</v>
      </c>
      <c r="H415" s="125">
        <v>11</v>
      </c>
      <c r="I415" s="111">
        <v>5</v>
      </c>
      <c r="J415" s="117">
        <f t="shared" si="223"/>
        <v>0.8085</v>
      </c>
      <c r="K415" s="118"/>
      <c r="L415" s="111">
        <v>5</v>
      </c>
      <c r="M415" s="117">
        <f t="shared" si="224"/>
        <v>0.8085</v>
      </c>
      <c r="N415" s="119">
        <f t="shared" si="225"/>
        <v>0</v>
      </c>
      <c r="O415" s="120">
        <f t="shared" si="226"/>
        <v>0</v>
      </c>
      <c r="P415" s="130"/>
      <c r="Q415" s="320"/>
      <c r="R415" s="32"/>
      <c r="S415" s="32"/>
    </row>
    <row r="416" spans="1:20" ht="15.6">
      <c r="A416" s="110" t="s">
        <v>518</v>
      </c>
      <c r="B416" s="111" t="s">
        <v>232</v>
      </c>
      <c r="C416" s="112" t="s">
        <v>449</v>
      </c>
      <c r="D416" s="113" t="s">
        <v>506</v>
      </c>
      <c r="E416" s="114" t="s">
        <v>15</v>
      </c>
      <c r="F416" s="115" t="s">
        <v>39</v>
      </c>
      <c r="G416" s="116">
        <v>14.7</v>
      </c>
      <c r="H416" s="125">
        <v>11.7</v>
      </c>
      <c r="I416" s="111">
        <v>2</v>
      </c>
      <c r="J416" s="117">
        <f t="shared" si="223"/>
        <v>0.34397999999999995</v>
      </c>
      <c r="K416" s="118"/>
      <c r="L416" s="111">
        <f>1+1</f>
        <v>2</v>
      </c>
      <c r="M416" s="117">
        <f t="shared" si="224"/>
        <v>0.34397999999999995</v>
      </c>
      <c r="N416" s="119">
        <f t="shared" si="225"/>
        <v>0</v>
      </c>
      <c r="O416" s="120">
        <f t="shared" si="226"/>
        <v>0</v>
      </c>
      <c r="P416" s="130"/>
      <c r="Q416" s="320"/>
      <c r="R416" s="32"/>
      <c r="S416" s="32"/>
    </row>
    <row r="417" spans="1:19" ht="15.6">
      <c r="A417" s="110" t="s">
        <v>518</v>
      </c>
      <c r="B417" s="111" t="s">
        <v>232</v>
      </c>
      <c r="C417" s="112" t="s">
        <v>449</v>
      </c>
      <c r="D417" s="113" t="s">
        <v>506</v>
      </c>
      <c r="E417" s="114" t="s">
        <v>15</v>
      </c>
      <c r="F417" s="115" t="s">
        <v>39</v>
      </c>
      <c r="G417" s="116">
        <v>14.7</v>
      </c>
      <c r="H417" s="125">
        <v>12</v>
      </c>
      <c r="I417" s="111">
        <v>8</v>
      </c>
      <c r="J417" s="117">
        <f t="shared" si="223"/>
        <v>1.4111999999999998</v>
      </c>
      <c r="K417" s="118"/>
      <c r="L417" s="111">
        <v>8</v>
      </c>
      <c r="M417" s="117">
        <f t="shared" si="224"/>
        <v>1.4111999999999998</v>
      </c>
      <c r="N417" s="119">
        <f t="shared" si="225"/>
        <v>0</v>
      </c>
      <c r="O417" s="120">
        <f t="shared" si="226"/>
        <v>0</v>
      </c>
      <c r="P417" s="130"/>
      <c r="Q417" s="320"/>
      <c r="R417" s="32"/>
      <c r="S417" s="32"/>
    </row>
    <row r="418" spans="1:19" ht="15.6">
      <c r="A418" s="110" t="s">
        <v>518</v>
      </c>
      <c r="B418" s="111" t="s">
        <v>232</v>
      </c>
      <c r="C418" s="112" t="s">
        <v>449</v>
      </c>
      <c r="D418" s="113" t="s">
        <v>506</v>
      </c>
      <c r="E418" s="114" t="s">
        <v>15</v>
      </c>
      <c r="F418" s="115" t="s">
        <v>39</v>
      </c>
      <c r="G418" s="116">
        <v>14.7</v>
      </c>
      <c r="H418" s="125">
        <v>9</v>
      </c>
      <c r="I418" s="111">
        <v>4</v>
      </c>
      <c r="J418" s="117">
        <f t="shared" si="223"/>
        <v>0.52919999999999989</v>
      </c>
      <c r="K418" s="118"/>
      <c r="L418" s="111">
        <v>4</v>
      </c>
      <c r="M418" s="117">
        <f t="shared" si="224"/>
        <v>0.52919999999999989</v>
      </c>
      <c r="N418" s="119">
        <f t="shared" si="225"/>
        <v>0</v>
      </c>
      <c r="O418" s="120">
        <f t="shared" si="226"/>
        <v>0</v>
      </c>
      <c r="P418" s="130"/>
      <c r="Q418" s="320"/>
      <c r="R418" s="32"/>
      <c r="S418" s="32"/>
    </row>
    <row r="419" spans="1:19" ht="15.6">
      <c r="A419" s="110" t="s">
        <v>518</v>
      </c>
      <c r="B419" s="111" t="s">
        <v>232</v>
      </c>
      <c r="C419" s="112" t="s">
        <v>449</v>
      </c>
      <c r="D419" s="113" t="s">
        <v>506</v>
      </c>
      <c r="E419" s="114" t="s">
        <v>15</v>
      </c>
      <c r="F419" s="115" t="s">
        <v>39</v>
      </c>
      <c r="G419" s="116">
        <v>14.7</v>
      </c>
      <c r="H419" s="125">
        <v>9.3000000000000007</v>
      </c>
      <c r="I419" s="111">
        <v>8</v>
      </c>
      <c r="J419" s="117">
        <f t="shared" si="223"/>
        <v>1.09368</v>
      </c>
      <c r="K419" s="118"/>
      <c r="L419" s="111">
        <v>8</v>
      </c>
      <c r="M419" s="117">
        <f t="shared" si="224"/>
        <v>1.09368</v>
      </c>
      <c r="N419" s="119">
        <f t="shared" si="225"/>
        <v>0</v>
      </c>
      <c r="O419" s="120">
        <f t="shared" si="226"/>
        <v>0</v>
      </c>
      <c r="P419" s="130"/>
      <c r="Q419" s="320">
        <v>1</v>
      </c>
      <c r="R419" s="32" t="s">
        <v>608</v>
      </c>
      <c r="S419" s="32"/>
    </row>
    <row r="420" spans="1:19" ht="15.6">
      <c r="A420" s="110" t="s">
        <v>518</v>
      </c>
      <c r="B420" s="111" t="s">
        <v>232</v>
      </c>
      <c r="C420" s="112" t="s">
        <v>449</v>
      </c>
      <c r="D420" s="113" t="s">
        <v>506</v>
      </c>
      <c r="E420" s="114" t="s">
        <v>15</v>
      </c>
      <c r="F420" s="115" t="s">
        <v>39</v>
      </c>
      <c r="G420" s="116">
        <v>14.7</v>
      </c>
      <c r="H420" s="125">
        <v>10.3</v>
      </c>
      <c r="I420" s="111">
        <v>5</v>
      </c>
      <c r="J420" s="117">
        <f t="shared" si="223"/>
        <v>0.75705</v>
      </c>
      <c r="K420" s="118"/>
      <c r="L420" s="111">
        <v>5</v>
      </c>
      <c r="M420" s="117">
        <f t="shared" si="224"/>
        <v>0.75705</v>
      </c>
      <c r="N420" s="119">
        <f t="shared" si="225"/>
        <v>0</v>
      </c>
      <c r="O420" s="120">
        <f t="shared" si="226"/>
        <v>0</v>
      </c>
      <c r="P420" s="130"/>
      <c r="Q420" s="320"/>
      <c r="R420" s="32"/>
      <c r="S420" s="32"/>
    </row>
    <row r="421" spans="1:19" ht="15.6">
      <c r="A421" s="110" t="s">
        <v>518</v>
      </c>
      <c r="B421" s="111" t="s">
        <v>232</v>
      </c>
      <c r="C421" s="112" t="s">
        <v>449</v>
      </c>
      <c r="D421" s="113" t="s">
        <v>506</v>
      </c>
      <c r="E421" s="114" t="s">
        <v>15</v>
      </c>
      <c r="F421" s="115" t="s">
        <v>39</v>
      </c>
      <c r="G421" s="116">
        <v>14.7</v>
      </c>
      <c r="H421" s="125">
        <v>11</v>
      </c>
      <c r="I421" s="111">
        <v>20</v>
      </c>
      <c r="J421" s="117">
        <f t="shared" si="223"/>
        <v>3.234</v>
      </c>
      <c r="K421" s="118"/>
      <c r="L421" s="111">
        <v>20</v>
      </c>
      <c r="M421" s="117">
        <f t="shared" si="224"/>
        <v>3.234</v>
      </c>
      <c r="N421" s="119">
        <f t="shared" si="225"/>
        <v>0</v>
      </c>
      <c r="O421" s="120">
        <f t="shared" si="226"/>
        <v>0</v>
      </c>
      <c r="P421" s="130"/>
      <c r="Q421" s="320"/>
      <c r="R421" s="32"/>
      <c r="S421" s="32"/>
    </row>
    <row r="422" spans="1:19" ht="15.6">
      <c r="A422" s="110" t="s">
        <v>518</v>
      </c>
      <c r="B422" s="111" t="s">
        <v>232</v>
      </c>
      <c r="C422" s="112" t="s">
        <v>449</v>
      </c>
      <c r="D422" s="113" t="s">
        <v>506</v>
      </c>
      <c r="E422" s="114" t="s">
        <v>15</v>
      </c>
      <c r="F422" s="115" t="s">
        <v>39</v>
      </c>
      <c r="G422" s="116">
        <v>14.7</v>
      </c>
      <c r="H422" s="125">
        <v>11.7</v>
      </c>
      <c r="I422" s="111">
        <v>20</v>
      </c>
      <c r="J422" s="117">
        <f t="shared" si="223"/>
        <v>3.4397999999999995</v>
      </c>
      <c r="K422" s="118"/>
      <c r="L422" s="111">
        <v>20</v>
      </c>
      <c r="M422" s="117">
        <f t="shared" si="224"/>
        <v>3.4397999999999995</v>
      </c>
      <c r="N422" s="119">
        <f t="shared" si="225"/>
        <v>0</v>
      </c>
      <c r="O422" s="120">
        <f t="shared" si="226"/>
        <v>0</v>
      </c>
      <c r="P422" s="130"/>
      <c r="Q422" s="320"/>
      <c r="R422" s="32"/>
      <c r="S422" s="32"/>
    </row>
    <row r="423" spans="1:19" ht="15.6">
      <c r="A423" s="110" t="s">
        <v>518</v>
      </c>
      <c r="B423" s="111" t="s">
        <v>232</v>
      </c>
      <c r="C423" s="112" t="s">
        <v>449</v>
      </c>
      <c r="D423" s="113" t="s">
        <v>506</v>
      </c>
      <c r="E423" s="114" t="s">
        <v>15</v>
      </c>
      <c r="F423" s="115" t="s">
        <v>39</v>
      </c>
      <c r="G423" s="116">
        <v>14.7</v>
      </c>
      <c r="H423" s="125">
        <v>11.7</v>
      </c>
      <c r="I423" s="111">
        <v>20</v>
      </c>
      <c r="J423" s="117">
        <f t="shared" si="223"/>
        <v>3.4397999999999995</v>
      </c>
      <c r="K423" s="118"/>
      <c r="L423" s="111">
        <v>20</v>
      </c>
      <c r="M423" s="117">
        <f t="shared" si="224"/>
        <v>3.4397999999999995</v>
      </c>
      <c r="N423" s="119">
        <f t="shared" si="225"/>
        <v>0</v>
      </c>
      <c r="O423" s="120">
        <f t="shared" si="226"/>
        <v>0</v>
      </c>
      <c r="P423" s="130"/>
      <c r="Q423" s="320"/>
      <c r="R423" s="32"/>
      <c r="S423" s="32"/>
    </row>
    <row r="424" spans="1:19" ht="15.6">
      <c r="A424" s="110" t="s">
        <v>518</v>
      </c>
      <c r="B424" s="111" t="s">
        <v>232</v>
      </c>
      <c r="C424" s="112" t="s">
        <v>449</v>
      </c>
      <c r="D424" s="113" t="s">
        <v>506</v>
      </c>
      <c r="E424" s="114" t="s">
        <v>15</v>
      </c>
      <c r="F424" s="115" t="s">
        <v>39</v>
      </c>
      <c r="G424" s="116">
        <v>14.7</v>
      </c>
      <c r="H424" s="125">
        <v>11.7</v>
      </c>
      <c r="I424" s="111">
        <v>20</v>
      </c>
      <c r="J424" s="117">
        <f t="shared" ref="J424:J426" si="227">H424*G424*I424/1000</f>
        <v>3.4397999999999995</v>
      </c>
      <c r="K424" s="118"/>
      <c r="L424" s="111">
        <v>20</v>
      </c>
      <c r="M424" s="117">
        <f t="shared" ref="M424:M426" si="228">H424*L424*G424/1000</f>
        <v>3.4397999999999995</v>
      </c>
      <c r="N424" s="119">
        <f t="shared" ref="N424:N426" si="229">I424-L424</f>
        <v>0</v>
      </c>
      <c r="O424" s="120">
        <f t="shared" ref="O424:O426" si="230">H424*N424*G424/1000</f>
        <v>0</v>
      </c>
      <c r="P424" s="130"/>
      <c r="Q424" s="320"/>
      <c r="R424" s="32"/>
      <c r="S424" s="32"/>
    </row>
    <row r="425" spans="1:19" ht="15.6">
      <c r="A425" s="110" t="s">
        <v>518</v>
      </c>
      <c r="B425" s="111" t="s">
        <v>232</v>
      </c>
      <c r="C425" s="112" t="s">
        <v>449</v>
      </c>
      <c r="D425" s="113" t="s">
        <v>506</v>
      </c>
      <c r="E425" s="114" t="s">
        <v>15</v>
      </c>
      <c r="F425" s="115" t="s">
        <v>39</v>
      </c>
      <c r="G425" s="116">
        <v>14.7</v>
      </c>
      <c r="H425" s="125">
        <v>11.7</v>
      </c>
      <c r="I425" s="111">
        <v>11</v>
      </c>
      <c r="J425" s="117">
        <f t="shared" si="227"/>
        <v>1.8918899999999998</v>
      </c>
      <c r="K425" s="118"/>
      <c r="L425" s="111">
        <v>11</v>
      </c>
      <c r="M425" s="117">
        <f t="shared" si="228"/>
        <v>1.8918899999999996</v>
      </c>
      <c r="N425" s="119">
        <f t="shared" si="229"/>
        <v>0</v>
      </c>
      <c r="O425" s="120">
        <f t="shared" si="230"/>
        <v>0</v>
      </c>
      <c r="P425" s="130"/>
      <c r="Q425" s="320"/>
      <c r="R425" s="32"/>
      <c r="S425" s="32"/>
    </row>
    <row r="426" spans="1:19" ht="15.6">
      <c r="A426" s="110" t="s">
        <v>518</v>
      </c>
      <c r="B426" s="111" t="s">
        <v>232</v>
      </c>
      <c r="C426" s="112" t="s">
        <v>449</v>
      </c>
      <c r="D426" s="113" t="s">
        <v>506</v>
      </c>
      <c r="E426" s="114" t="s">
        <v>15</v>
      </c>
      <c r="F426" s="115" t="s">
        <v>39</v>
      </c>
      <c r="G426" s="116">
        <v>14.7</v>
      </c>
      <c r="H426" s="125">
        <v>10.1</v>
      </c>
      <c r="I426" s="111">
        <v>1</v>
      </c>
      <c r="J426" s="117">
        <f t="shared" si="227"/>
        <v>0.14846999999999999</v>
      </c>
      <c r="K426" s="118"/>
      <c r="L426" s="111">
        <v>1</v>
      </c>
      <c r="M426" s="117">
        <f t="shared" si="228"/>
        <v>0.14846999999999999</v>
      </c>
      <c r="N426" s="119">
        <f t="shared" si="229"/>
        <v>0</v>
      </c>
      <c r="O426" s="120">
        <f t="shared" si="230"/>
        <v>0</v>
      </c>
      <c r="P426" s="130"/>
      <c r="Q426" s="320"/>
      <c r="R426" s="32"/>
      <c r="S426" s="32"/>
    </row>
    <row r="427" spans="1:19" ht="15.6">
      <c r="A427" s="110" t="s">
        <v>518</v>
      </c>
      <c r="B427" s="111" t="s">
        <v>232</v>
      </c>
      <c r="C427" s="112" t="s">
        <v>449</v>
      </c>
      <c r="D427" s="113" t="s">
        <v>506</v>
      </c>
      <c r="E427" s="114" t="s">
        <v>15</v>
      </c>
      <c r="F427" s="115" t="s">
        <v>39</v>
      </c>
      <c r="G427" s="116">
        <v>14.7</v>
      </c>
      <c r="H427" s="125">
        <v>11.7</v>
      </c>
      <c r="I427" s="111">
        <v>4</v>
      </c>
      <c r="J427" s="117">
        <f t="shared" ref="J427:J430" si="231">H427*G427*I427/1000</f>
        <v>0.6879599999999999</v>
      </c>
      <c r="K427" s="118"/>
      <c r="L427" s="111">
        <v>4</v>
      </c>
      <c r="M427" s="117">
        <f t="shared" ref="M427:M435" si="232">H427*L427*G427/1000</f>
        <v>0.6879599999999999</v>
      </c>
      <c r="N427" s="119">
        <f t="shared" ref="N427:N435" si="233">I427-L427</f>
        <v>0</v>
      </c>
      <c r="O427" s="120">
        <f t="shared" ref="O427:O435" si="234">H427*N427*G427/1000</f>
        <v>0</v>
      </c>
      <c r="P427" s="130"/>
      <c r="Q427" s="320"/>
      <c r="R427" s="32"/>
      <c r="S427" s="32"/>
    </row>
    <row r="428" spans="1:19" ht="15.6">
      <c r="A428" s="110" t="s">
        <v>518</v>
      </c>
      <c r="B428" s="111" t="s">
        <v>232</v>
      </c>
      <c r="C428" s="112" t="s">
        <v>449</v>
      </c>
      <c r="D428" s="113" t="s">
        <v>506</v>
      </c>
      <c r="E428" s="114" t="s">
        <v>15</v>
      </c>
      <c r="F428" s="115" t="s">
        <v>39</v>
      </c>
      <c r="G428" s="116">
        <v>14.7</v>
      </c>
      <c r="H428" s="125">
        <v>11</v>
      </c>
      <c r="I428" s="111">
        <v>8</v>
      </c>
      <c r="J428" s="117">
        <f t="shared" si="231"/>
        <v>1.2935999999999999</v>
      </c>
      <c r="K428" s="118"/>
      <c r="L428" s="111">
        <v>8</v>
      </c>
      <c r="M428" s="117">
        <f t="shared" si="232"/>
        <v>1.2935999999999999</v>
      </c>
      <c r="N428" s="119">
        <f t="shared" si="233"/>
        <v>0</v>
      </c>
      <c r="O428" s="120">
        <f t="shared" si="234"/>
        <v>0</v>
      </c>
      <c r="P428" s="130"/>
      <c r="Q428" s="320"/>
      <c r="R428" s="32"/>
      <c r="S428" s="32"/>
    </row>
    <row r="429" spans="1:19" ht="15.6">
      <c r="A429" s="110" t="s">
        <v>518</v>
      </c>
      <c r="B429" s="111" t="s">
        <v>232</v>
      </c>
      <c r="C429" s="112" t="s">
        <v>449</v>
      </c>
      <c r="D429" s="113" t="s">
        <v>506</v>
      </c>
      <c r="E429" s="114" t="s">
        <v>15</v>
      </c>
      <c r="F429" s="115" t="s">
        <v>39</v>
      </c>
      <c r="G429" s="116">
        <v>14.7</v>
      </c>
      <c r="H429" s="125">
        <v>10.3</v>
      </c>
      <c r="I429" s="111">
        <v>7</v>
      </c>
      <c r="J429" s="117">
        <f t="shared" si="231"/>
        <v>1.0598699999999999</v>
      </c>
      <c r="K429" s="118"/>
      <c r="L429" s="111">
        <v>7</v>
      </c>
      <c r="M429" s="117">
        <f t="shared" si="232"/>
        <v>1.0598700000000001</v>
      </c>
      <c r="N429" s="119">
        <f t="shared" si="233"/>
        <v>0</v>
      </c>
      <c r="O429" s="120">
        <f t="shared" si="234"/>
        <v>0</v>
      </c>
      <c r="P429" s="130"/>
      <c r="Q429" s="320"/>
      <c r="R429" s="32"/>
      <c r="S429" s="32"/>
    </row>
    <row r="430" spans="1:19" ht="15.6">
      <c r="A430" s="110" t="s">
        <v>518</v>
      </c>
      <c r="B430" s="111" t="s">
        <v>232</v>
      </c>
      <c r="C430" s="112" t="s">
        <v>449</v>
      </c>
      <c r="D430" s="113" t="s">
        <v>506</v>
      </c>
      <c r="E430" s="114" t="s">
        <v>15</v>
      </c>
      <c r="F430" s="115" t="s">
        <v>39</v>
      </c>
      <c r="G430" s="116">
        <v>14.7</v>
      </c>
      <c r="H430" s="125">
        <v>12</v>
      </c>
      <c r="I430" s="111">
        <v>2</v>
      </c>
      <c r="J430" s="117">
        <f t="shared" si="231"/>
        <v>0.35279999999999995</v>
      </c>
      <c r="K430" s="118"/>
      <c r="L430" s="111">
        <v>2</v>
      </c>
      <c r="M430" s="117">
        <f t="shared" si="232"/>
        <v>0.35279999999999995</v>
      </c>
      <c r="N430" s="119">
        <f t="shared" si="233"/>
        <v>0</v>
      </c>
      <c r="O430" s="120">
        <f t="shared" si="234"/>
        <v>0</v>
      </c>
      <c r="P430" s="130"/>
      <c r="Q430" s="320"/>
      <c r="R430" s="32"/>
      <c r="S430" s="32"/>
    </row>
    <row r="431" spans="1:19" ht="15.6">
      <c r="A431" s="110" t="s">
        <v>518</v>
      </c>
      <c r="B431" s="111" t="s">
        <v>232</v>
      </c>
      <c r="C431" s="112" t="s">
        <v>449</v>
      </c>
      <c r="D431" s="113" t="s">
        <v>506</v>
      </c>
      <c r="E431" s="114" t="s">
        <v>15</v>
      </c>
      <c r="F431" s="115" t="s">
        <v>39</v>
      </c>
      <c r="G431" s="116">
        <v>14.7</v>
      </c>
      <c r="H431" s="319">
        <v>10.3</v>
      </c>
      <c r="I431" s="313">
        <v>12</v>
      </c>
      <c r="J431" s="117">
        <f>H431*G431*I431/1000</f>
        <v>1.8169200000000001</v>
      </c>
      <c r="K431" s="118"/>
      <c r="L431" s="111">
        <v>12</v>
      </c>
      <c r="M431" s="117">
        <f t="shared" si="232"/>
        <v>1.8169200000000001</v>
      </c>
      <c r="N431" s="119">
        <f t="shared" si="233"/>
        <v>0</v>
      </c>
      <c r="O431" s="120">
        <f t="shared" si="234"/>
        <v>0</v>
      </c>
      <c r="P431" s="130">
        <v>10.1</v>
      </c>
      <c r="Q431" s="320">
        <v>12</v>
      </c>
      <c r="R431" s="32"/>
      <c r="S431" s="32"/>
    </row>
    <row r="432" spans="1:19" ht="15.6">
      <c r="A432" s="110" t="s">
        <v>518</v>
      </c>
      <c r="B432" s="111" t="s">
        <v>232</v>
      </c>
      <c r="C432" s="112" t="s">
        <v>449</v>
      </c>
      <c r="D432" s="113" t="s">
        <v>506</v>
      </c>
      <c r="E432" s="114" t="s">
        <v>15</v>
      </c>
      <c r="F432" s="115" t="s">
        <v>39</v>
      </c>
      <c r="G432" s="116">
        <v>14.7</v>
      </c>
      <c r="H432" s="125">
        <v>9.3000000000000007</v>
      </c>
      <c r="I432" s="111">
        <v>18</v>
      </c>
      <c r="J432" s="117">
        <f>H432*G432*I432/1000</f>
        <v>2.4607800000000002</v>
      </c>
      <c r="K432" s="118"/>
      <c r="L432" s="111">
        <v>18</v>
      </c>
      <c r="M432" s="117">
        <f t="shared" si="232"/>
        <v>2.4607799999999997</v>
      </c>
      <c r="N432" s="119">
        <f t="shared" si="233"/>
        <v>0</v>
      </c>
      <c r="O432" s="120">
        <f t="shared" si="234"/>
        <v>0</v>
      </c>
      <c r="P432" s="130"/>
      <c r="Q432" s="320"/>
      <c r="R432" s="32"/>
      <c r="S432" s="32"/>
    </row>
    <row r="433" spans="1:19" ht="15.6">
      <c r="A433" s="110" t="s">
        <v>518</v>
      </c>
      <c r="B433" s="111" t="s">
        <v>232</v>
      </c>
      <c r="C433" s="112" t="s">
        <v>449</v>
      </c>
      <c r="D433" s="113" t="s">
        <v>506</v>
      </c>
      <c r="E433" s="114" t="s">
        <v>15</v>
      </c>
      <c r="F433" s="115" t="s">
        <v>39</v>
      </c>
      <c r="G433" s="116">
        <v>14.7</v>
      </c>
      <c r="H433" s="125">
        <v>9</v>
      </c>
      <c r="I433" s="111">
        <v>20</v>
      </c>
      <c r="J433" s="117">
        <f>H433*G433*I433/1000</f>
        <v>2.6459999999999995</v>
      </c>
      <c r="K433" s="118"/>
      <c r="L433" s="111">
        <v>20</v>
      </c>
      <c r="M433" s="117">
        <f t="shared" si="232"/>
        <v>2.6459999999999999</v>
      </c>
      <c r="N433" s="119">
        <f t="shared" si="233"/>
        <v>0</v>
      </c>
      <c r="O433" s="120">
        <f t="shared" si="234"/>
        <v>0</v>
      </c>
      <c r="P433" s="130"/>
      <c r="Q433" s="320"/>
      <c r="R433" s="32"/>
      <c r="S433" s="32"/>
    </row>
    <row r="434" spans="1:19" ht="15.6">
      <c r="A434" s="110" t="s">
        <v>518</v>
      </c>
      <c r="B434" s="111" t="s">
        <v>232</v>
      </c>
      <c r="C434" s="112" t="s">
        <v>449</v>
      </c>
      <c r="D434" s="113" t="s">
        <v>506</v>
      </c>
      <c r="E434" s="114" t="s">
        <v>15</v>
      </c>
      <c r="F434" s="115" t="s">
        <v>39</v>
      </c>
      <c r="G434" s="116">
        <v>14.7</v>
      </c>
      <c r="H434" s="125">
        <v>9</v>
      </c>
      <c r="I434" s="111">
        <v>12</v>
      </c>
      <c r="J434" s="117">
        <f>H434*G434*I434/1000</f>
        <v>1.5875999999999999</v>
      </c>
      <c r="K434" s="118"/>
      <c r="L434" s="111">
        <v>12</v>
      </c>
      <c r="M434" s="117">
        <f t="shared" si="232"/>
        <v>1.5875999999999999</v>
      </c>
      <c r="N434" s="119">
        <f t="shared" si="233"/>
        <v>0</v>
      </c>
      <c r="O434" s="120">
        <f t="shared" si="234"/>
        <v>0</v>
      </c>
      <c r="P434" s="130"/>
      <c r="Q434" s="320"/>
      <c r="R434" s="32"/>
      <c r="S434" s="32"/>
    </row>
    <row r="435" spans="1:19" ht="15.6">
      <c r="A435" s="110" t="s">
        <v>518</v>
      </c>
      <c r="B435" s="111" t="s">
        <v>232</v>
      </c>
      <c r="C435" s="112" t="s">
        <v>449</v>
      </c>
      <c r="D435" s="113" t="s">
        <v>506</v>
      </c>
      <c r="E435" s="114" t="s">
        <v>15</v>
      </c>
      <c r="F435" s="115" t="s">
        <v>39</v>
      </c>
      <c r="G435" s="116">
        <v>14.7</v>
      </c>
      <c r="H435" s="125">
        <v>8.3000000000000007</v>
      </c>
      <c r="I435" s="111">
        <v>1</v>
      </c>
      <c r="J435" s="117">
        <f>H435*G435*I435/1000</f>
        <v>0.12201000000000001</v>
      </c>
      <c r="K435" s="118"/>
      <c r="L435" s="111">
        <v>1</v>
      </c>
      <c r="M435" s="117">
        <f t="shared" si="232"/>
        <v>0.12201000000000001</v>
      </c>
      <c r="N435" s="119">
        <f t="shared" si="233"/>
        <v>0</v>
      </c>
      <c r="O435" s="120">
        <f t="shared" si="234"/>
        <v>0</v>
      </c>
      <c r="P435" s="130"/>
      <c r="Q435" s="320"/>
      <c r="R435" s="32"/>
      <c r="S435" s="32"/>
    </row>
    <row r="436" spans="1:19">
      <c r="I436" s="215">
        <f>SUM(I405:I435)</f>
        <v>301</v>
      </c>
      <c r="J436" s="214">
        <f>SUM(J405:J435)</f>
        <v>47.12966999999999</v>
      </c>
      <c r="L436" s="215">
        <f>SUM(L405:L435)</f>
        <v>307</v>
      </c>
      <c r="M436" s="214">
        <f>SUM(M405:M435)</f>
        <v>48.099869999999996</v>
      </c>
      <c r="N436" s="215">
        <f>SUM(N405:N435)</f>
        <v>-6</v>
      </c>
      <c r="O436" s="214">
        <f>SUM(O405:O435)</f>
        <v>-0.97019999999999995</v>
      </c>
    </row>
    <row r="438" spans="1:19" ht="15.6">
      <c r="A438" s="110" t="s">
        <v>518</v>
      </c>
      <c r="B438" s="111" t="s">
        <v>232</v>
      </c>
      <c r="C438" s="112" t="s">
        <v>449</v>
      </c>
      <c r="D438" s="113" t="s">
        <v>342</v>
      </c>
      <c r="E438" s="114" t="s">
        <v>15</v>
      </c>
      <c r="F438" s="115" t="s">
        <v>39</v>
      </c>
      <c r="G438" s="116">
        <v>14.7</v>
      </c>
      <c r="H438" s="125">
        <v>7</v>
      </c>
      <c r="I438" s="111">
        <v>24</v>
      </c>
      <c r="J438" s="117">
        <f t="shared" ref="J438:J449" si="235">H438*G438*I438/1000</f>
        <v>2.4695999999999998</v>
      </c>
      <c r="K438" s="118"/>
      <c r="L438" s="111">
        <v>24</v>
      </c>
      <c r="M438" s="117">
        <f t="shared" ref="M438:M442" si="236">H438*L438*G438/1000</f>
        <v>2.4695999999999998</v>
      </c>
      <c r="N438" s="119">
        <f t="shared" ref="N438:N442" si="237">I438-L438</f>
        <v>0</v>
      </c>
      <c r="O438" s="120">
        <f t="shared" ref="O438:O442" si="238">H438*N438*G438/1000</f>
        <v>0</v>
      </c>
      <c r="P438" s="130"/>
      <c r="Q438" s="320"/>
      <c r="R438" s="32"/>
      <c r="S438" s="32"/>
    </row>
    <row r="439" spans="1:19" ht="15.6">
      <c r="A439" s="110" t="s">
        <v>518</v>
      </c>
      <c r="B439" s="111" t="s">
        <v>232</v>
      </c>
      <c r="C439" s="112" t="s">
        <v>449</v>
      </c>
      <c r="D439" s="113" t="s">
        <v>342</v>
      </c>
      <c r="E439" s="114" t="s">
        <v>15</v>
      </c>
      <c r="F439" s="115" t="s">
        <v>39</v>
      </c>
      <c r="G439" s="116">
        <v>14.7</v>
      </c>
      <c r="H439" s="125">
        <v>7</v>
      </c>
      <c r="I439" s="111">
        <v>16</v>
      </c>
      <c r="J439" s="117">
        <f t="shared" si="235"/>
        <v>1.6463999999999999</v>
      </c>
      <c r="K439" s="118"/>
      <c r="L439" s="111">
        <v>16</v>
      </c>
      <c r="M439" s="117">
        <f t="shared" si="236"/>
        <v>1.6463999999999999</v>
      </c>
      <c r="N439" s="119">
        <f t="shared" si="237"/>
        <v>0</v>
      </c>
      <c r="O439" s="120">
        <f t="shared" si="238"/>
        <v>0</v>
      </c>
      <c r="P439" s="130"/>
      <c r="Q439" s="320"/>
      <c r="R439" s="32"/>
      <c r="S439" s="32"/>
    </row>
    <row r="440" spans="1:19" ht="15.6">
      <c r="A440" s="110" t="s">
        <v>518</v>
      </c>
      <c r="B440" s="111" t="s">
        <v>232</v>
      </c>
      <c r="C440" s="112" t="s">
        <v>449</v>
      </c>
      <c r="D440" s="113" t="s">
        <v>342</v>
      </c>
      <c r="E440" s="114" t="s">
        <v>15</v>
      </c>
      <c r="F440" s="115" t="s">
        <v>39</v>
      </c>
      <c r="G440" s="116">
        <v>14.7</v>
      </c>
      <c r="H440" s="125">
        <v>7.2</v>
      </c>
      <c r="I440" s="111">
        <v>28</v>
      </c>
      <c r="J440" s="117">
        <f t="shared" si="235"/>
        <v>2.9635199999999999</v>
      </c>
      <c r="K440" s="118"/>
      <c r="L440" s="111">
        <v>28</v>
      </c>
      <c r="M440" s="117">
        <f t="shared" si="236"/>
        <v>2.9635199999999999</v>
      </c>
      <c r="N440" s="119">
        <f t="shared" si="237"/>
        <v>0</v>
      </c>
      <c r="O440" s="120">
        <f t="shared" si="238"/>
        <v>0</v>
      </c>
      <c r="P440" s="130"/>
      <c r="Q440" s="320"/>
      <c r="R440" s="32"/>
      <c r="S440" s="32"/>
    </row>
    <row r="441" spans="1:19" ht="15.6">
      <c r="A441" s="110" t="s">
        <v>518</v>
      </c>
      <c r="B441" s="111" t="s">
        <v>232</v>
      </c>
      <c r="C441" s="112" t="s">
        <v>449</v>
      </c>
      <c r="D441" s="113" t="s">
        <v>342</v>
      </c>
      <c r="E441" s="114" t="s">
        <v>15</v>
      </c>
      <c r="F441" s="115" t="s">
        <v>39</v>
      </c>
      <c r="G441" s="116">
        <v>14.7</v>
      </c>
      <c r="H441" s="125">
        <v>7.3</v>
      </c>
      <c r="I441" s="111">
        <v>6</v>
      </c>
      <c r="J441" s="117">
        <f t="shared" si="235"/>
        <v>0.64385999999999988</v>
      </c>
      <c r="K441" s="118"/>
      <c r="L441" s="111">
        <f>2+2</f>
        <v>4</v>
      </c>
      <c r="M441" s="117">
        <f t="shared" si="236"/>
        <v>0.42923999999999995</v>
      </c>
      <c r="N441" s="119">
        <f t="shared" si="237"/>
        <v>2</v>
      </c>
      <c r="O441" s="120">
        <f t="shared" si="238"/>
        <v>0.21461999999999998</v>
      </c>
      <c r="P441" s="130">
        <v>7.2</v>
      </c>
      <c r="Q441" s="320">
        <v>2</v>
      </c>
      <c r="R441" s="32"/>
      <c r="S441" s="32"/>
    </row>
    <row r="442" spans="1:19" ht="15.6">
      <c r="A442" s="110" t="s">
        <v>518</v>
      </c>
      <c r="B442" s="111" t="s">
        <v>232</v>
      </c>
      <c r="C442" s="112" t="s">
        <v>449</v>
      </c>
      <c r="D442" s="113" t="s">
        <v>342</v>
      </c>
      <c r="E442" s="114" t="s">
        <v>15</v>
      </c>
      <c r="F442" s="115" t="s">
        <v>39</v>
      </c>
      <c r="G442" s="116">
        <v>14.7</v>
      </c>
      <c r="H442" s="125">
        <v>11.8</v>
      </c>
      <c r="I442" s="111">
        <v>8</v>
      </c>
      <c r="J442" s="117">
        <f t="shared" si="235"/>
        <v>1.38768</v>
      </c>
      <c r="K442" s="118"/>
      <c r="L442" s="111">
        <v>8</v>
      </c>
      <c r="M442" s="117">
        <f t="shared" si="236"/>
        <v>1.38768</v>
      </c>
      <c r="N442" s="119">
        <f t="shared" si="237"/>
        <v>0</v>
      </c>
      <c r="O442" s="120">
        <f t="shared" si="238"/>
        <v>0</v>
      </c>
      <c r="P442" s="130"/>
      <c r="Q442" s="320"/>
      <c r="R442" s="32"/>
      <c r="S442" s="32"/>
    </row>
    <row r="443" spans="1:19" ht="15.6">
      <c r="A443" s="110" t="s">
        <v>518</v>
      </c>
      <c r="B443" s="111" t="s">
        <v>232</v>
      </c>
      <c r="C443" s="112" t="s">
        <v>449</v>
      </c>
      <c r="D443" s="113" t="s">
        <v>342</v>
      </c>
      <c r="E443" s="114" t="s">
        <v>15</v>
      </c>
      <c r="F443" s="115" t="s">
        <v>39</v>
      </c>
      <c r="G443" s="116">
        <v>14.7</v>
      </c>
      <c r="H443" s="125">
        <v>5.9</v>
      </c>
      <c r="I443" s="111">
        <v>1</v>
      </c>
      <c r="J443" s="117">
        <f t="shared" si="235"/>
        <v>8.6730000000000002E-2</v>
      </c>
      <c r="K443" s="118"/>
      <c r="L443" s="111"/>
      <c r="M443" s="117">
        <f t="shared" ref="M443:M449" si="239">H443*L443*G443/1000</f>
        <v>0</v>
      </c>
      <c r="N443" s="119">
        <f t="shared" ref="N443:N449" si="240">I443-L443</f>
        <v>1</v>
      </c>
      <c r="O443" s="120">
        <f t="shared" ref="O443:O449" si="241">H443*N443*G443/1000</f>
        <v>8.6730000000000002E-2</v>
      </c>
      <c r="P443" s="130"/>
      <c r="Q443" s="320"/>
      <c r="R443" s="32"/>
      <c r="S443" s="32"/>
    </row>
    <row r="444" spans="1:19" ht="15.6">
      <c r="A444" s="110" t="s">
        <v>518</v>
      </c>
      <c r="B444" s="111" t="s">
        <v>232</v>
      </c>
      <c r="C444" s="112" t="s">
        <v>449</v>
      </c>
      <c r="D444" s="113" t="s">
        <v>342</v>
      </c>
      <c r="E444" s="114" t="s">
        <v>15</v>
      </c>
      <c r="F444" s="115" t="s">
        <v>39</v>
      </c>
      <c r="G444" s="116">
        <v>14.7</v>
      </c>
      <c r="H444" s="125">
        <v>6.1</v>
      </c>
      <c r="I444" s="111">
        <v>1</v>
      </c>
      <c r="J444" s="117">
        <f t="shared" si="235"/>
        <v>8.9669999999999986E-2</v>
      </c>
      <c r="K444" s="118"/>
      <c r="L444" s="111"/>
      <c r="M444" s="117">
        <f t="shared" si="239"/>
        <v>0</v>
      </c>
      <c r="N444" s="119">
        <f t="shared" si="240"/>
        <v>1</v>
      </c>
      <c r="O444" s="120">
        <f t="shared" si="241"/>
        <v>8.9669999999999986E-2</v>
      </c>
      <c r="P444" s="130"/>
      <c r="Q444" s="320"/>
      <c r="R444" s="32"/>
      <c r="S444" s="32"/>
    </row>
    <row r="445" spans="1:19" ht="15.6">
      <c r="A445" s="110" t="s">
        <v>518</v>
      </c>
      <c r="B445" s="111" t="s">
        <v>232</v>
      </c>
      <c r="C445" s="112" t="s">
        <v>449</v>
      </c>
      <c r="D445" s="113" t="s">
        <v>342</v>
      </c>
      <c r="E445" s="114" t="s">
        <v>15</v>
      </c>
      <c r="F445" s="115" t="s">
        <v>39</v>
      </c>
      <c r="G445" s="116">
        <v>14.7</v>
      </c>
      <c r="H445" s="125">
        <v>6.7</v>
      </c>
      <c r="I445" s="111">
        <v>1</v>
      </c>
      <c r="J445" s="117">
        <f t="shared" si="235"/>
        <v>9.8489999999999994E-2</v>
      </c>
      <c r="K445" s="118"/>
      <c r="L445" s="111"/>
      <c r="M445" s="117">
        <f t="shared" si="239"/>
        <v>0</v>
      </c>
      <c r="N445" s="119">
        <f t="shared" si="240"/>
        <v>1</v>
      </c>
      <c r="O445" s="120">
        <f t="shared" si="241"/>
        <v>9.8489999999999994E-2</v>
      </c>
      <c r="P445" s="130"/>
      <c r="Q445" s="320"/>
      <c r="R445" s="32"/>
      <c r="S445" s="32"/>
    </row>
    <row r="446" spans="1:19" ht="15.6">
      <c r="A446" s="110" t="s">
        <v>518</v>
      </c>
      <c r="B446" s="111" t="s">
        <v>232</v>
      </c>
      <c r="C446" s="112" t="s">
        <v>449</v>
      </c>
      <c r="D446" s="113" t="s">
        <v>342</v>
      </c>
      <c r="E446" s="114" t="s">
        <v>15</v>
      </c>
      <c r="F446" s="115" t="s">
        <v>39</v>
      </c>
      <c r="G446" s="116">
        <v>14.7</v>
      </c>
      <c r="H446" s="125">
        <v>8.6</v>
      </c>
      <c r="I446" s="111">
        <v>1</v>
      </c>
      <c r="J446" s="117">
        <f t="shared" si="235"/>
        <v>0.12641999999999998</v>
      </c>
      <c r="K446" s="118"/>
      <c r="L446" s="111"/>
      <c r="M446" s="117">
        <f t="shared" si="239"/>
        <v>0</v>
      </c>
      <c r="N446" s="119">
        <f t="shared" si="240"/>
        <v>1</v>
      </c>
      <c r="O446" s="120">
        <f t="shared" si="241"/>
        <v>0.12641999999999998</v>
      </c>
      <c r="P446" s="130"/>
      <c r="Q446" s="320"/>
      <c r="R446" s="32"/>
      <c r="S446" s="32"/>
    </row>
    <row r="447" spans="1:19" ht="15.6">
      <c r="A447" s="110" t="s">
        <v>518</v>
      </c>
      <c r="B447" s="111" t="s">
        <v>232</v>
      </c>
      <c r="C447" s="112" t="s">
        <v>449</v>
      </c>
      <c r="D447" s="113" t="s">
        <v>342</v>
      </c>
      <c r="E447" s="114" t="s">
        <v>15</v>
      </c>
      <c r="F447" s="115" t="s">
        <v>39</v>
      </c>
      <c r="G447" s="116">
        <v>14.7</v>
      </c>
      <c r="H447" s="125">
        <v>11.5</v>
      </c>
      <c r="I447" s="111">
        <v>1</v>
      </c>
      <c r="J447" s="117">
        <f t="shared" si="235"/>
        <v>0.16904999999999998</v>
      </c>
      <c r="K447" s="118"/>
      <c r="L447" s="111"/>
      <c r="M447" s="117">
        <f t="shared" si="239"/>
        <v>0</v>
      </c>
      <c r="N447" s="119">
        <f t="shared" si="240"/>
        <v>1</v>
      </c>
      <c r="O447" s="120">
        <f t="shared" si="241"/>
        <v>0.16904999999999998</v>
      </c>
      <c r="P447" s="130"/>
      <c r="Q447" s="320"/>
      <c r="R447" s="32"/>
      <c r="S447" s="32"/>
    </row>
    <row r="448" spans="1:19" ht="15.6">
      <c r="A448" s="110" t="s">
        <v>518</v>
      </c>
      <c r="B448" s="111" t="s">
        <v>232</v>
      </c>
      <c r="C448" s="112" t="s">
        <v>449</v>
      </c>
      <c r="D448" s="113" t="s">
        <v>342</v>
      </c>
      <c r="E448" s="114" t="s">
        <v>15</v>
      </c>
      <c r="F448" s="115" t="s">
        <v>39</v>
      </c>
      <c r="G448" s="116">
        <v>14.7</v>
      </c>
      <c r="H448" s="125">
        <v>7</v>
      </c>
      <c r="I448" s="111">
        <v>2</v>
      </c>
      <c r="J448" s="117">
        <f t="shared" si="235"/>
        <v>0.20579999999999998</v>
      </c>
      <c r="K448" s="118"/>
      <c r="L448" s="111">
        <v>2</v>
      </c>
      <c r="M448" s="117">
        <f t="shared" si="239"/>
        <v>0.20579999999999998</v>
      </c>
      <c r="N448" s="119">
        <f t="shared" si="240"/>
        <v>0</v>
      </c>
      <c r="O448" s="120">
        <f t="shared" si="241"/>
        <v>0</v>
      </c>
      <c r="P448" s="130"/>
      <c r="Q448" s="320"/>
      <c r="R448" s="32"/>
      <c r="S448" s="32"/>
    </row>
    <row r="449" spans="1:19" ht="15.6">
      <c r="A449" s="110" t="s">
        <v>518</v>
      </c>
      <c r="B449" s="111" t="s">
        <v>232</v>
      </c>
      <c r="C449" s="112" t="s">
        <v>449</v>
      </c>
      <c r="D449" s="113" t="s">
        <v>342</v>
      </c>
      <c r="E449" s="114" t="s">
        <v>15</v>
      </c>
      <c r="F449" s="115" t="s">
        <v>39</v>
      </c>
      <c r="G449" s="116">
        <v>14.7</v>
      </c>
      <c r="H449" s="125">
        <v>11.8</v>
      </c>
      <c r="I449" s="111">
        <v>1</v>
      </c>
      <c r="J449" s="117">
        <f t="shared" si="235"/>
        <v>0.17346</v>
      </c>
      <c r="K449" s="118"/>
      <c r="L449" s="111"/>
      <c r="M449" s="117">
        <f t="shared" si="239"/>
        <v>0</v>
      </c>
      <c r="N449" s="119">
        <f t="shared" si="240"/>
        <v>1</v>
      </c>
      <c r="O449" s="120">
        <f t="shared" si="241"/>
        <v>0.17346</v>
      </c>
      <c r="P449" s="130"/>
      <c r="Q449" s="320"/>
      <c r="R449" s="32"/>
      <c r="S449" s="32"/>
    </row>
    <row r="450" spans="1:19" ht="15.6">
      <c r="A450" s="110" t="s">
        <v>518</v>
      </c>
      <c r="B450" s="111" t="s">
        <v>232</v>
      </c>
      <c r="C450" s="112" t="s">
        <v>449</v>
      </c>
      <c r="D450" s="113" t="s">
        <v>342</v>
      </c>
      <c r="E450" s="114" t="s">
        <v>15</v>
      </c>
      <c r="F450" s="115" t="s">
        <v>39</v>
      </c>
      <c r="G450" s="116">
        <v>14.7</v>
      </c>
      <c r="H450" s="125">
        <v>7.2</v>
      </c>
      <c r="I450" s="111">
        <v>20</v>
      </c>
      <c r="J450" s="117">
        <f t="shared" ref="J450:J460" si="242">H450*G450*I450/1000</f>
        <v>2.1168</v>
      </c>
      <c r="K450" s="118"/>
      <c r="L450" s="111">
        <v>20</v>
      </c>
      <c r="M450" s="117">
        <f t="shared" ref="M450:M460" si="243">H450*L450*G450/1000</f>
        <v>2.1167999999999996</v>
      </c>
      <c r="N450" s="119">
        <f t="shared" ref="N450:N459" si="244">I450-L450</f>
        <v>0</v>
      </c>
      <c r="O450" s="120">
        <f t="shared" ref="O450:O459" si="245">H450*N450*G450/1000</f>
        <v>0</v>
      </c>
      <c r="P450" s="130"/>
      <c r="Q450" s="320"/>
      <c r="R450" s="32"/>
      <c r="S450" s="32"/>
    </row>
    <row r="451" spans="1:19" ht="15.6">
      <c r="A451" s="110" t="s">
        <v>518</v>
      </c>
      <c r="B451" s="111" t="s">
        <v>232</v>
      </c>
      <c r="C451" s="112" t="s">
        <v>449</v>
      </c>
      <c r="D451" s="113" t="s">
        <v>342</v>
      </c>
      <c r="E451" s="114" t="s">
        <v>15</v>
      </c>
      <c r="F451" s="115" t="s">
        <v>39</v>
      </c>
      <c r="G451" s="116">
        <v>14.7</v>
      </c>
      <c r="H451" s="125">
        <v>7.2</v>
      </c>
      <c r="I451" s="111">
        <v>21</v>
      </c>
      <c r="J451" s="117">
        <f t="shared" si="242"/>
        <v>2.2226399999999997</v>
      </c>
      <c r="K451" s="118"/>
      <c r="L451" s="111">
        <v>21</v>
      </c>
      <c r="M451" s="117">
        <f t="shared" si="243"/>
        <v>2.2226400000000002</v>
      </c>
      <c r="N451" s="119">
        <f t="shared" si="244"/>
        <v>0</v>
      </c>
      <c r="O451" s="120">
        <f t="shared" si="245"/>
        <v>0</v>
      </c>
      <c r="P451" s="130"/>
      <c r="Q451" s="320"/>
      <c r="R451" s="32"/>
      <c r="S451" s="32"/>
    </row>
    <row r="452" spans="1:19" ht="15.6">
      <c r="A452" s="110" t="s">
        <v>518</v>
      </c>
      <c r="B452" s="111" t="s">
        <v>232</v>
      </c>
      <c r="C452" s="112" t="s">
        <v>449</v>
      </c>
      <c r="D452" s="113" t="s">
        <v>342</v>
      </c>
      <c r="E452" s="114" t="s">
        <v>15</v>
      </c>
      <c r="F452" s="115" t="s">
        <v>39</v>
      </c>
      <c r="G452" s="116">
        <v>14.7</v>
      </c>
      <c r="H452" s="125">
        <v>7</v>
      </c>
      <c r="I452" s="111">
        <v>23</v>
      </c>
      <c r="J452" s="117">
        <f t="shared" si="242"/>
        <v>2.3666999999999998</v>
      </c>
      <c r="K452" s="118"/>
      <c r="L452" s="111">
        <v>23</v>
      </c>
      <c r="M452" s="117">
        <f t="shared" si="243"/>
        <v>2.3666999999999998</v>
      </c>
      <c r="N452" s="119">
        <f t="shared" si="244"/>
        <v>0</v>
      </c>
      <c r="O452" s="120">
        <f t="shared" si="245"/>
        <v>0</v>
      </c>
      <c r="P452" s="130"/>
      <c r="Q452" s="320"/>
      <c r="R452" s="32"/>
      <c r="S452" s="32"/>
    </row>
    <row r="453" spans="1:19" ht="15.6">
      <c r="A453" s="110" t="s">
        <v>518</v>
      </c>
      <c r="B453" s="111" t="s">
        <v>232</v>
      </c>
      <c r="C453" s="112" t="s">
        <v>449</v>
      </c>
      <c r="D453" s="113" t="s">
        <v>342</v>
      </c>
      <c r="E453" s="114" t="s">
        <v>15</v>
      </c>
      <c r="F453" s="115" t="s">
        <v>39</v>
      </c>
      <c r="G453" s="116">
        <v>14.7</v>
      </c>
      <c r="H453" s="125">
        <v>7.2</v>
      </c>
      <c r="I453" s="111">
        <v>21</v>
      </c>
      <c r="J453" s="117">
        <f t="shared" si="242"/>
        <v>2.2226399999999997</v>
      </c>
      <c r="K453" s="118"/>
      <c r="L453" s="111">
        <v>21</v>
      </c>
      <c r="M453" s="117">
        <f t="shared" si="243"/>
        <v>2.2226400000000002</v>
      </c>
      <c r="N453" s="119">
        <f t="shared" si="244"/>
        <v>0</v>
      </c>
      <c r="O453" s="120">
        <f t="shared" si="245"/>
        <v>0</v>
      </c>
      <c r="P453" s="130"/>
      <c r="Q453" s="320"/>
      <c r="R453" s="32"/>
      <c r="S453" s="32"/>
    </row>
    <row r="454" spans="1:19" ht="15.6">
      <c r="A454" s="110" t="s">
        <v>518</v>
      </c>
      <c r="B454" s="111" t="s">
        <v>232</v>
      </c>
      <c r="C454" s="112" t="s">
        <v>449</v>
      </c>
      <c r="D454" s="113" t="s">
        <v>342</v>
      </c>
      <c r="E454" s="114" t="s">
        <v>15</v>
      </c>
      <c r="F454" s="115" t="s">
        <v>39</v>
      </c>
      <c r="G454" s="116">
        <v>14.7</v>
      </c>
      <c r="H454" s="125">
        <v>7</v>
      </c>
      <c r="I454" s="111">
        <v>27</v>
      </c>
      <c r="J454" s="117">
        <f t="shared" si="242"/>
        <v>2.7782999999999998</v>
      </c>
      <c r="K454" s="118"/>
      <c r="L454" s="111">
        <v>27</v>
      </c>
      <c r="M454" s="117">
        <f t="shared" si="243"/>
        <v>2.7782999999999998</v>
      </c>
      <c r="N454" s="119">
        <f t="shared" si="244"/>
        <v>0</v>
      </c>
      <c r="O454" s="120">
        <f t="shared" si="245"/>
        <v>0</v>
      </c>
      <c r="P454" s="130"/>
      <c r="Q454" s="320"/>
      <c r="R454" s="32"/>
      <c r="S454" s="32"/>
    </row>
    <row r="455" spans="1:19" ht="15.6">
      <c r="A455" s="110" t="s">
        <v>518</v>
      </c>
      <c r="B455" s="111" t="s">
        <v>232</v>
      </c>
      <c r="C455" s="112" t="s">
        <v>449</v>
      </c>
      <c r="D455" s="113" t="s">
        <v>342</v>
      </c>
      <c r="E455" s="114" t="s">
        <v>15</v>
      </c>
      <c r="F455" s="115" t="s">
        <v>39</v>
      </c>
      <c r="G455" s="116">
        <v>14.7</v>
      </c>
      <c r="H455" s="125">
        <v>7.3</v>
      </c>
      <c r="I455" s="111">
        <v>10</v>
      </c>
      <c r="J455" s="117">
        <f t="shared" si="242"/>
        <v>1.0730999999999999</v>
      </c>
      <c r="K455" s="118"/>
      <c r="L455" s="111">
        <v>10</v>
      </c>
      <c r="M455" s="117">
        <f t="shared" si="243"/>
        <v>1.0730999999999999</v>
      </c>
      <c r="N455" s="119">
        <f t="shared" si="244"/>
        <v>0</v>
      </c>
      <c r="O455" s="120">
        <f t="shared" si="245"/>
        <v>0</v>
      </c>
      <c r="P455" s="130"/>
      <c r="Q455" s="320"/>
      <c r="R455" s="32"/>
      <c r="S455" s="32"/>
    </row>
    <row r="456" spans="1:19" ht="15.6">
      <c r="A456" s="110" t="s">
        <v>518</v>
      </c>
      <c r="B456" s="111" t="s">
        <v>232</v>
      </c>
      <c r="C456" s="112" t="s">
        <v>449</v>
      </c>
      <c r="D456" s="113" t="s">
        <v>342</v>
      </c>
      <c r="E456" s="114" t="s">
        <v>15</v>
      </c>
      <c r="F456" s="115" t="s">
        <v>39</v>
      </c>
      <c r="G456" s="116">
        <v>14.7</v>
      </c>
      <c r="H456" s="125">
        <v>11.8</v>
      </c>
      <c r="I456" s="111">
        <v>6</v>
      </c>
      <c r="J456" s="117">
        <f t="shared" si="242"/>
        <v>1.0407599999999999</v>
      </c>
      <c r="K456" s="118"/>
      <c r="L456" s="111">
        <v>4</v>
      </c>
      <c r="M456" s="117">
        <f t="shared" si="243"/>
        <v>0.69384000000000001</v>
      </c>
      <c r="N456" s="119">
        <f t="shared" si="244"/>
        <v>2</v>
      </c>
      <c r="O456" s="120">
        <f t="shared" si="245"/>
        <v>0.34692000000000001</v>
      </c>
      <c r="P456" s="130"/>
      <c r="Q456" s="320"/>
      <c r="R456" s="32"/>
      <c r="S456" s="32"/>
    </row>
    <row r="457" spans="1:19" ht="15.6">
      <c r="A457" s="110" t="s">
        <v>518</v>
      </c>
      <c r="B457" s="111" t="s">
        <v>232</v>
      </c>
      <c r="C457" s="112" t="s">
        <v>449</v>
      </c>
      <c r="D457" s="113" t="s">
        <v>342</v>
      </c>
      <c r="E457" s="114" t="s">
        <v>15</v>
      </c>
      <c r="F457" s="115" t="s">
        <v>39</v>
      </c>
      <c r="G457" s="116">
        <v>14.7</v>
      </c>
      <c r="H457" s="125">
        <v>6.1</v>
      </c>
      <c r="I457" s="111">
        <v>2</v>
      </c>
      <c r="J457" s="117">
        <f t="shared" si="242"/>
        <v>0.17933999999999997</v>
      </c>
      <c r="K457" s="118"/>
      <c r="L457" s="111"/>
      <c r="M457" s="117">
        <f t="shared" si="243"/>
        <v>0</v>
      </c>
      <c r="N457" s="119">
        <f t="shared" si="244"/>
        <v>2</v>
      </c>
      <c r="O457" s="120">
        <f t="shared" si="245"/>
        <v>0.17933999999999997</v>
      </c>
      <c r="P457" s="130"/>
      <c r="Q457" s="320"/>
      <c r="R457" s="32"/>
      <c r="S457" s="32"/>
    </row>
    <row r="458" spans="1:19" ht="15.6">
      <c r="A458" s="110" t="s">
        <v>518</v>
      </c>
      <c r="B458" s="111" t="s">
        <v>232</v>
      </c>
      <c r="C458" s="112" t="s">
        <v>449</v>
      </c>
      <c r="D458" s="113" t="s">
        <v>342</v>
      </c>
      <c r="E458" s="114" t="s">
        <v>15</v>
      </c>
      <c r="F458" s="115" t="s">
        <v>39</v>
      </c>
      <c r="G458" s="116">
        <v>14.7</v>
      </c>
      <c r="H458" s="125">
        <v>6.5</v>
      </c>
      <c r="I458" s="111">
        <v>1</v>
      </c>
      <c r="J458" s="117">
        <f t="shared" si="242"/>
        <v>9.5549999999999996E-2</v>
      </c>
      <c r="K458" s="118"/>
      <c r="L458" s="111"/>
      <c r="M458" s="117">
        <f t="shared" si="243"/>
        <v>0</v>
      </c>
      <c r="N458" s="119">
        <f t="shared" si="244"/>
        <v>1</v>
      </c>
      <c r="O458" s="120">
        <f t="shared" si="245"/>
        <v>9.5549999999999996E-2</v>
      </c>
      <c r="P458" s="130"/>
      <c r="Q458" s="320"/>
      <c r="R458" s="32"/>
      <c r="S458" s="32"/>
    </row>
    <row r="459" spans="1:19" ht="15.6">
      <c r="A459" s="110" t="s">
        <v>518</v>
      </c>
      <c r="B459" s="111" t="s">
        <v>232</v>
      </c>
      <c r="C459" s="112" t="s">
        <v>449</v>
      </c>
      <c r="D459" s="113" t="s">
        <v>342</v>
      </c>
      <c r="E459" s="114" t="s">
        <v>15</v>
      </c>
      <c r="F459" s="115" t="s">
        <v>39</v>
      </c>
      <c r="G459" s="116">
        <v>14.7</v>
      </c>
      <c r="H459" s="125">
        <v>6.7</v>
      </c>
      <c r="I459" s="111">
        <v>1</v>
      </c>
      <c r="J459" s="117">
        <f t="shared" si="242"/>
        <v>9.8489999999999994E-2</v>
      </c>
      <c r="K459" s="118"/>
      <c r="L459" s="111"/>
      <c r="M459" s="117">
        <f t="shared" si="243"/>
        <v>0</v>
      </c>
      <c r="N459" s="119">
        <f t="shared" si="244"/>
        <v>1</v>
      </c>
      <c r="O459" s="120">
        <f t="shared" si="245"/>
        <v>9.8489999999999994E-2</v>
      </c>
      <c r="P459" s="130"/>
      <c r="Q459" s="320"/>
      <c r="R459" s="32"/>
      <c r="S459" s="32"/>
    </row>
    <row r="460" spans="1:19" ht="15.6">
      <c r="A460" s="110" t="s">
        <v>518</v>
      </c>
      <c r="B460" s="111" t="s">
        <v>232</v>
      </c>
      <c r="C460" s="112" t="s">
        <v>449</v>
      </c>
      <c r="D460" s="113" t="s">
        <v>342</v>
      </c>
      <c r="E460" s="114" t="s">
        <v>15</v>
      </c>
      <c r="F460" s="115" t="s">
        <v>39</v>
      </c>
      <c r="G460" s="116">
        <v>14.7</v>
      </c>
      <c r="H460" s="125">
        <v>6.8</v>
      </c>
      <c r="I460" s="111">
        <v>1</v>
      </c>
      <c r="J460" s="117">
        <f t="shared" si="242"/>
        <v>9.9959999999999993E-2</v>
      </c>
      <c r="K460" s="118"/>
      <c r="L460" s="111"/>
      <c r="M460" s="117">
        <f t="shared" si="243"/>
        <v>0</v>
      </c>
      <c r="N460" s="119">
        <f>I460-L460</f>
        <v>1</v>
      </c>
      <c r="O460" s="120">
        <f>H460*N460*G460/1000</f>
        <v>9.9959999999999993E-2</v>
      </c>
      <c r="P460" s="130"/>
      <c r="Q460" s="320"/>
      <c r="R460" s="32"/>
      <c r="S460" s="32"/>
    </row>
    <row r="461" spans="1:19">
      <c r="A461" s="32"/>
      <c r="B461" s="32"/>
      <c r="C461" s="32"/>
      <c r="D461" s="32"/>
      <c r="E461" s="32"/>
      <c r="F461" s="32"/>
      <c r="G461" s="32"/>
      <c r="H461" s="32"/>
      <c r="I461" s="129">
        <f>SUM(I438:I460)</f>
        <v>223</v>
      </c>
      <c r="J461" s="124">
        <f>SUM(J438:J460)</f>
        <v>24.354959999999995</v>
      </c>
      <c r="K461" s="32"/>
      <c r="L461" s="129">
        <f>SUM(L438:L460)</f>
        <v>208</v>
      </c>
      <c r="M461" s="124">
        <f>SUM(M438:M460)</f>
        <v>22.576260000000001</v>
      </c>
      <c r="N461" s="129">
        <f>SUM(N438:N460)</f>
        <v>15</v>
      </c>
      <c r="O461" s="124">
        <f>SUM(O438:O460)</f>
        <v>1.7786999999999999</v>
      </c>
      <c r="P461" s="32"/>
      <c r="Q461" s="32"/>
      <c r="R461" s="32"/>
      <c r="S461" s="32"/>
    </row>
    <row r="463" spans="1:19" ht="15.6">
      <c r="A463" s="110" t="s">
        <v>517</v>
      </c>
      <c r="B463" s="111" t="s">
        <v>505</v>
      </c>
      <c r="C463" s="112" t="s">
        <v>449</v>
      </c>
      <c r="D463" s="113" t="s">
        <v>130</v>
      </c>
      <c r="E463" s="114" t="s">
        <v>15</v>
      </c>
      <c r="F463" s="115" t="s">
        <v>38</v>
      </c>
      <c r="G463" s="116">
        <v>12.9</v>
      </c>
      <c r="H463" s="125">
        <v>8.5</v>
      </c>
      <c r="I463" s="111">
        <v>29</v>
      </c>
      <c r="J463" s="117">
        <f t="shared" ref="J463" si="246">H463*G463*I463/1000</f>
        <v>3.1798500000000005</v>
      </c>
      <c r="K463" s="118"/>
      <c r="L463" s="111">
        <v>29</v>
      </c>
      <c r="M463" s="117">
        <f t="shared" ref="M463" si="247">H463*L463*G463/1000</f>
        <v>3.1798500000000001</v>
      </c>
      <c r="N463" s="119">
        <f t="shared" ref="N463" si="248">I463-L463</f>
        <v>0</v>
      </c>
      <c r="O463" s="120">
        <f t="shared" ref="O463" si="249">H463*N463*G463/1000</f>
        <v>0</v>
      </c>
      <c r="P463" s="130"/>
      <c r="Q463" s="320"/>
      <c r="R463" s="32"/>
      <c r="S463" s="32"/>
    </row>
    <row r="464" spans="1:19" ht="15.6">
      <c r="A464" s="110" t="s">
        <v>517</v>
      </c>
      <c r="B464" s="111" t="s">
        <v>505</v>
      </c>
      <c r="C464" s="112" t="s">
        <v>449</v>
      </c>
      <c r="D464" s="113" t="s">
        <v>130</v>
      </c>
      <c r="E464" s="114" t="s">
        <v>15</v>
      </c>
      <c r="F464" s="115" t="s">
        <v>38</v>
      </c>
      <c r="G464" s="116">
        <v>12.9</v>
      </c>
      <c r="H464" s="125">
        <v>8.5</v>
      </c>
      <c r="I464" s="111">
        <v>29</v>
      </c>
      <c r="J464" s="117">
        <f t="shared" ref="J464:J484" si="250">H464*G464*I464/1000</f>
        <v>3.1798500000000005</v>
      </c>
      <c r="K464" s="118"/>
      <c r="L464" s="111">
        <v>29</v>
      </c>
      <c r="M464" s="117">
        <f t="shared" ref="M464:M484" si="251">H464*L464*G464/1000</f>
        <v>3.1798500000000001</v>
      </c>
      <c r="N464" s="119">
        <f t="shared" ref="N464:N484" si="252">I464-L464</f>
        <v>0</v>
      </c>
      <c r="O464" s="120">
        <f t="shared" ref="O464:O484" si="253">H464*N464*G464/1000</f>
        <v>0</v>
      </c>
      <c r="P464" s="130"/>
      <c r="Q464" s="320"/>
      <c r="R464" s="32"/>
      <c r="S464" s="32"/>
    </row>
    <row r="465" spans="1:20" ht="15.6">
      <c r="A465" s="110" t="s">
        <v>517</v>
      </c>
      <c r="B465" s="111" t="s">
        <v>505</v>
      </c>
      <c r="C465" s="112" t="s">
        <v>449</v>
      </c>
      <c r="D465" s="113" t="s">
        <v>130</v>
      </c>
      <c r="E465" s="114" t="s">
        <v>15</v>
      </c>
      <c r="F465" s="115" t="s">
        <v>38</v>
      </c>
      <c r="G465" s="116">
        <v>12.9</v>
      </c>
      <c r="H465" s="125">
        <v>8.5</v>
      </c>
      <c r="I465" s="111">
        <v>29</v>
      </c>
      <c r="J465" s="117">
        <f t="shared" si="250"/>
        <v>3.1798500000000005</v>
      </c>
      <c r="K465" s="118"/>
      <c r="L465" s="111">
        <f>29+8</f>
        <v>37</v>
      </c>
      <c r="M465" s="117">
        <f t="shared" si="251"/>
        <v>4.0570500000000003</v>
      </c>
      <c r="N465" s="228">
        <f t="shared" si="252"/>
        <v>-8</v>
      </c>
      <c r="O465" s="229">
        <f t="shared" si="253"/>
        <v>-0.87720000000000009</v>
      </c>
      <c r="P465" s="405" t="s">
        <v>622</v>
      </c>
      <c r="Q465" s="406"/>
      <c r="R465" s="32"/>
      <c r="S465" s="32"/>
    </row>
    <row r="466" spans="1:20" ht="15.6">
      <c r="A466" s="110" t="s">
        <v>517</v>
      </c>
      <c r="B466" s="111" t="s">
        <v>505</v>
      </c>
      <c r="C466" s="112" t="s">
        <v>449</v>
      </c>
      <c r="D466" s="113" t="s">
        <v>130</v>
      </c>
      <c r="E466" s="114" t="s">
        <v>15</v>
      </c>
      <c r="F466" s="115" t="s">
        <v>38</v>
      </c>
      <c r="G466" s="116">
        <v>12.9</v>
      </c>
      <c r="H466" s="125">
        <v>10</v>
      </c>
      <c r="I466" s="111">
        <v>26</v>
      </c>
      <c r="J466" s="117">
        <f t="shared" si="250"/>
        <v>3.3540000000000001</v>
      </c>
      <c r="K466" s="118"/>
      <c r="L466" s="111">
        <f>26+6</f>
        <v>32</v>
      </c>
      <c r="M466" s="117">
        <f t="shared" si="251"/>
        <v>4.1280000000000001</v>
      </c>
      <c r="N466" s="228">
        <f t="shared" si="252"/>
        <v>-6</v>
      </c>
      <c r="O466" s="229">
        <f t="shared" si="253"/>
        <v>-0.77400000000000002</v>
      </c>
      <c r="P466" s="405" t="s">
        <v>622</v>
      </c>
      <c r="Q466" s="406"/>
      <c r="R466" s="32"/>
      <c r="S466" s="32"/>
    </row>
    <row r="467" spans="1:20" ht="15.6">
      <c r="A467" s="110" t="s">
        <v>517</v>
      </c>
      <c r="B467" s="111" t="s">
        <v>505</v>
      </c>
      <c r="C467" s="112" t="s">
        <v>449</v>
      </c>
      <c r="D467" s="113" t="s">
        <v>130</v>
      </c>
      <c r="E467" s="114" t="s">
        <v>15</v>
      </c>
      <c r="F467" s="115" t="s">
        <v>38</v>
      </c>
      <c r="G467" s="116">
        <v>12.9</v>
      </c>
      <c r="H467" s="125">
        <v>10</v>
      </c>
      <c r="I467" s="111">
        <v>27</v>
      </c>
      <c r="J467" s="117">
        <f t="shared" si="250"/>
        <v>3.4830000000000001</v>
      </c>
      <c r="K467" s="118"/>
      <c r="L467" s="111">
        <v>27</v>
      </c>
      <c r="M467" s="117">
        <f t="shared" si="251"/>
        <v>3.4830000000000001</v>
      </c>
      <c r="N467" s="119">
        <f t="shared" si="252"/>
        <v>0</v>
      </c>
      <c r="O467" s="120">
        <f t="shared" si="253"/>
        <v>0</v>
      </c>
      <c r="P467" s="130"/>
      <c r="Q467" s="320"/>
      <c r="R467" s="32"/>
      <c r="S467" s="32"/>
    </row>
    <row r="468" spans="1:20" ht="15.6">
      <c r="A468" s="110" t="s">
        <v>517</v>
      </c>
      <c r="B468" s="111" t="s">
        <v>505</v>
      </c>
      <c r="C468" s="112" t="s">
        <v>449</v>
      </c>
      <c r="D468" s="113" t="s">
        <v>130</v>
      </c>
      <c r="E468" s="114" t="s">
        <v>15</v>
      </c>
      <c r="F468" s="115" t="s">
        <v>38</v>
      </c>
      <c r="G468" s="116">
        <v>12.9</v>
      </c>
      <c r="H468" s="125">
        <v>8.5</v>
      </c>
      <c r="I468" s="111">
        <v>29</v>
      </c>
      <c r="J468" s="117">
        <f t="shared" si="250"/>
        <v>3.1798500000000005</v>
      </c>
      <c r="K468" s="118"/>
      <c r="L468" s="111">
        <v>29</v>
      </c>
      <c r="M468" s="117">
        <f t="shared" si="251"/>
        <v>3.1798500000000001</v>
      </c>
      <c r="N468" s="119">
        <f t="shared" si="252"/>
        <v>0</v>
      </c>
      <c r="O468" s="120">
        <f t="shared" si="253"/>
        <v>0</v>
      </c>
      <c r="P468" s="130"/>
      <c r="Q468" s="320"/>
      <c r="R468" s="32"/>
      <c r="S468" s="32"/>
    </row>
    <row r="469" spans="1:20" ht="15.6">
      <c r="A469" s="110" t="s">
        <v>517</v>
      </c>
      <c r="B469" s="111" t="s">
        <v>505</v>
      </c>
      <c r="C469" s="112" t="s">
        <v>449</v>
      </c>
      <c r="D469" s="113" t="s">
        <v>130</v>
      </c>
      <c r="E469" s="114" t="s">
        <v>15</v>
      </c>
      <c r="F469" s="115" t="s">
        <v>38</v>
      </c>
      <c r="G469" s="116">
        <v>12.9</v>
      </c>
      <c r="H469" s="125">
        <v>8.5</v>
      </c>
      <c r="I469" s="111">
        <v>34</v>
      </c>
      <c r="J469" s="117">
        <f t="shared" si="250"/>
        <v>3.7281000000000004</v>
      </c>
      <c r="K469" s="118"/>
      <c r="L469" s="111">
        <v>34</v>
      </c>
      <c r="M469" s="117">
        <f t="shared" si="251"/>
        <v>3.7281</v>
      </c>
      <c r="N469" s="119">
        <f t="shared" si="252"/>
        <v>0</v>
      </c>
      <c r="O469" s="120">
        <f t="shared" si="253"/>
        <v>0</v>
      </c>
      <c r="P469" s="130"/>
      <c r="Q469" s="320"/>
      <c r="R469" s="32"/>
      <c r="S469" s="32"/>
    </row>
    <row r="470" spans="1:20" ht="15.6">
      <c r="A470" s="110" t="s">
        <v>517</v>
      </c>
      <c r="B470" s="111" t="s">
        <v>505</v>
      </c>
      <c r="C470" s="112" t="s">
        <v>449</v>
      </c>
      <c r="D470" s="113" t="s">
        <v>130</v>
      </c>
      <c r="E470" s="114" t="s">
        <v>15</v>
      </c>
      <c r="F470" s="115" t="s">
        <v>38</v>
      </c>
      <c r="G470" s="116">
        <v>12.9</v>
      </c>
      <c r="H470" s="125">
        <v>10</v>
      </c>
      <c r="I470" s="111">
        <v>27</v>
      </c>
      <c r="J470" s="117">
        <f t="shared" si="250"/>
        <v>3.4830000000000001</v>
      </c>
      <c r="K470" s="118"/>
      <c r="L470" s="111">
        <v>27</v>
      </c>
      <c r="M470" s="117">
        <f t="shared" si="251"/>
        <v>3.4830000000000001</v>
      </c>
      <c r="N470" s="119">
        <f t="shared" si="252"/>
        <v>0</v>
      </c>
      <c r="O470" s="120">
        <f t="shared" si="253"/>
        <v>0</v>
      </c>
      <c r="P470" s="130"/>
      <c r="Q470" s="320"/>
      <c r="R470" s="32"/>
      <c r="S470" s="32"/>
    </row>
    <row r="471" spans="1:20" ht="15.6">
      <c r="A471" s="110" t="s">
        <v>517</v>
      </c>
      <c r="B471" s="111" t="s">
        <v>505</v>
      </c>
      <c r="C471" s="112" t="s">
        <v>449</v>
      </c>
      <c r="D471" s="113" t="s">
        <v>130</v>
      </c>
      <c r="E471" s="114" t="s">
        <v>15</v>
      </c>
      <c r="F471" s="115" t="s">
        <v>38</v>
      </c>
      <c r="G471" s="116">
        <v>12.9</v>
      </c>
      <c r="H471" s="125">
        <v>10.5</v>
      </c>
      <c r="I471" s="111">
        <v>7</v>
      </c>
      <c r="J471" s="117">
        <f t="shared" si="250"/>
        <v>0.94815000000000005</v>
      </c>
      <c r="K471" s="118"/>
      <c r="L471" s="111">
        <f>4+3</f>
        <v>7</v>
      </c>
      <c r="M471" s="117">
        <f>H471*L471*G471/1000</f>
        <v>0.94814999999999994</v>
      </c>
      <c r="N471" s="119">
        <f t="shared" si="252"/>
        <v>0</v>
      </c>
      <c r="O471" s="120">
        <f t="shared" si="253"/>
        <v>0</v>
      </c>
      <c r="P471" s="130">
        <v>10</v>
      </c>
      <c r="Q471" s="320">
        <v>3</v>
      </c>
      <c r="R471" s="32"/>
      <c r="S471" s="32"/>
    </row>
    <row r="472" spans="1:20" ht="15.6">
      <c r="A472" s="110" t="s">
        <v>517</v>
      </c>
      <c r="B472" s="111" t="s">
        <v>505</v>
      </c>
      <c r="C472" s="112" t="s">
        <v>449</v>
      </c>
      <c r="D472" s="113" t="s">
        <v>130</v>
      </c>
      <c r="E472" s="114" t="s">
        <v>15</v>
      </c>
      <c r="F472" s="115" t="s">
        <v>38</v>
      </c>
      <c r="G472" s="116">
        <v>12.9</v>
      </c>
      <c r="H472" s="125">
        <v>5.7</v>
      </c>
      <c r="I472" s="111">
        <v>1</v>
      </c>
      <c r="J472" s="117">
        <f t="shared" si="250"/>
        <v>7.3529999999999998E-2</v>
      </c>
      <c r="K472" s="118"/>
      <c r="L472" s="111">
        <v>1</v>
      </c>
      <c r="M472" s="117">
        <f t="shared" si="251"/>
        <v>7.3529999999999998E-2</v>
      </c>
      <c r="N472" s="119">
        <f t="shared" si="252"/>
        <v>0</v>
      </c>
      <c r="O472" s="120">
        <f t="shared" si="253"/>
        <v>0</v>
      </c>
      <c r="P472" s="130"/>
      <c r="Q472" s="320"/>
      <c r="R472" s="33">
        <v>5.3</v>
      </c>
      <c r="S472" s="45">
        <v>1</v>
      </c>
      <c r="T472" s="213" t="s">
        <v>621</v>
      </c>
    </row>
    <row r="473" spans="1:20" ht="15.6">
      <c r="A473" s="110" t="s">
        <v>517</v>
      </c>
      <c r="B473" s="111" t="s">
        <v>505</v>
      </c>
      <c r="C473" s="112" t="s">
        <v>449</v>
      </c>
      <c r="D473" s="113" t="s">
        <v>130</v>
      </c>
      <c r="E473" s="114" t="s">
        <v>15</v>
      </c>
      <c r="F473" s="115" t="s">
        <v>38</v>
      </c>
      <c r="G473" s="116">
        <v>12.9</v>
      </c>
      <c r="H473" s="125">
        <v>6.5</v>
      </c>
      <c r="I473" s="111">
        <v>1</v>
      </c>
      <c r="J473" s="117">
        <f t="shared" si="250"/>
        <v>8.3850000000000008E-2</v>
      </c>
      <c r="K473" s="118"/>
      <c r="L473" s="111">
        <v>1</v>
      </c>
      <c r="M473" s="117">
        <f t="shared" si="251"/>
        <v>8.3850000000000008E-2</v>
      </c>
      <c r="N473" s="119">
        <f t="shared" si="252"/>
        <v>0</v>
      </c>
      <c r="O473" s="120">
        <f t="shared" si="253"/>
        <v>0</v>
      </c>
      <c r="P473" s="130"/>
      <c r="Q473" s="320"/>
      <c r="R473" s="33">
        <v>5.3</v>
      </c>
      <c r="S473" s="45">
        <v>1</v>
      </c>
      <c r="T473" s="213" t="s">
        <v>621</v>
      </c>
    </row>
    <row r="474" spans="1:20" ht="15.6">
      <c r="A474" s="110" t="s">
        <v>517</v>
      </c>
      <c r="B474" s="111" t="s">
        <v>505</v>
      </c>
      <c r="C474" s="112" t="s">
        <v>449</v>
      </c>
      <c r="D474" s="113" t="s">
        <v>130</v>
      </c>
      <c r="E474" s="114" t="s">
        <v>15</v>
      </c>
      <c r="F474" s="115" t="s">
        <v>38</v>
      </c>
      <c r="G474" s="116">
        <v>12.9</v>
      </c>
      <c r="H474" s="125">
        <v>7.5</v>
      </c>
      <c r="I474" s="111">
        <v>1</v>
      </c>
      <c r="J474" s="117">
        <f t="shared" si="250"/>
        <v>9.6750000000000003E-2</v>
      </c>
      <c r="K474" s="118"/>
      <c r="L474" s="111">
        <v>1</v>
      </c>
      <c r="M474" s="117">
        <f t="shared" si="251"/>
        <v>9.6750000000000003E-2</v>
      </c>
      <c r="N474" s="119">
        <f t="shared" si="252"/>
        <v>0</v>
      </c>
      <c r="O474" s="120">
        <f t="shared" si="253"/>
        <v>0</v>
      </c>
      <c r="P474" s="130"/>
      <c r="Q474" s="320"/>
      <c r="R474" s="33">
        <v>5.3</v>
      </c>
      <c r="S474" s="45">
        <v>1</v>
      </c>
      <c r="T474" s="213" t="s">
        <v>621</v>
      </c>
    </row>
    <row r="475" spans="1:20" ht="15.6">
      <c r="A475" s="110" t="s">
        <v>517</v>
      </c>
      <c r="B475" s="111" t="s">
        <v>505</v>
      </c>
      <c r="C475" s="112" t="s">
        <v>449</v>
      </c>
      <c r="D475" s="113" t="s">
        <v>130</v>
      </c>
      <c r="E475" s="114" t="s">
        <v>15</v>
      </c>
      <c r="F475" s="115" t="s">
        <v>38</v>
      </c>
      <c r="G475" s="116">
        <v>12.9</v>
      </c>
      <c r="H475" s="125">
        <v>7.6</v>
      </c>
      <c r="I475" s="111">
        <v>1</v>
      </c>
      <c r="J475" s="117">
        <f t="shared" si="250"/>
        <v>9.8039999999999988E-2</v>
      </c>
      <c r="K475" s="118"/>
      <c r="L475" s="111">
        <v>1</v>
      </c>
      <c r="M475" s="117">
        <f t="shared" si="251"/>
        <v>9.8039999999999988E-2</v>
      </c>
      <c r="N475" s="119">
        <f t="shared" si="252"/>
        <v>0</v>
      </c>
      <c r="O475" s="120">
        <f t="shared" si="253"/>
        <v>0</v>
      </c>
      <c r="P475" s="130"/>
      <c r="Q475" s="320"/>
      <c r="R475" s="33">
        <v>5.3</v>
      </c>
      <c r="S475" s="45">
        <v>1</v>
      </c>
      <c r="T475" s="213" t="s">
        <v>621</v>
      </c>
    </row>
    <row r="476" spans="1:20" ht="15.6">
      <c r="A476" s="110" t="s">
        <v>517</v>
      </c>
      <c r="B476" s="111" t="s">
        <v>505</v>
      </c>
      <c r="C476" s="112" t="s">
        <v>449</v>
      </c>
      <c r="D476" s="113" t="s">
        <v>130</v>
      </c>
      <c r="E476" s="114" t="s">
        <v>15</v>
      </c>
      <c r="F476" s="115" t="s">
        <v>38</v>
      </c>
      <c r="G476" s="116">
        <v>12.9</v>
      </c>
      <c r="H476" s="125">
        <v>8</v>
      </c>
      <c r="I476" s="111">
        <v>3</v>
      </c>
      <c r="J476" s="117">
        <f t="shared" si="250"/>
        <v>0.30960000000000004</v>
      </c>
      <c r="K476" s="118"/>
      <c r="L476" s="111"/>
      <c r="M476" s="117">
        <f t="shared" si="251"/>
        <v>0</v>
      </c>
      <c r="N476" s="119">
        <f t="shared" si="252"/>
        <v>3</v>
      </c>
      <c r="O476" s="120">
        <f t="shared" si="253"/>
        <v>0.30960000000000004</v>
      </c>
      <c r="P476" s="130"/>
      <c r="Q476" s="320"/>
      <c r="R476" s="32"/>
      <c r="S476" s="32"/>
    </row>
    <row r="477" spans="1:20" ht="15.6">
      <c r="A477" s="110" t="s">
        <v>517</v>
      </c>
      <c r="B477" s="111" t="s">
        <v>505</v>
      </c>
      <c r="C477" s="112" t="s">
        <v>449</v>
      </c>
      <c r="D477" s="113" t="s">
        <v>130</v>
      </c>
      <c r="E477" s="114" t="s">
        <v>15</v>
      </c>
      <c r="F477" s="115" t="s">
        <v>38</v>
      </c>
      <c r="G477" s="116">
        <v>12.9</v>
      </c>
      <c r="H477" s="125">
        <v>8.1999999999999993</v>
      </c>
      <c r="I477" s="111">
        <v>3</v>
      </c>
      <c r="J477" s="117">
        <f t="shared" si="250"/>
        <v>0.31733999999999996</v>
      </c>
      <c r="K477" s="118"/>
      <c r="L477" s="111">
        <v>3</v>
      </c>
      <c r="M477" s="117">
        <f t="shared" si="251"/>
        <v>0.31733999999999996</v>
      </c>
      <c r="N477" s="119">
        <f t="shared" si="252"/>
        <v>0</v>
      </c>
      <c r="O477" s="120">
        <f t="shared" si="253"/>
        <v>0</v>
      </c>
      <c r="P477" s="130"/>
      <c r="Q477" s="320"/>
      <c r="R477" s="32">
        <v>8.25</v>
      </c>
      <c r="S477" s="32">
        <v>3</v>
      </c>
      <c r="T477" s="213" t="s">
        <v>621</v>
      </c>
    </row>
    <row r="478" spans="1:20" ht="15.6">
      <c r="A478" s="110" t="s">
        <v>517</v>
      </c>
      <c r="B478" s="111" t="s">
        <v>505</v>
      </c>
      <c r="C478" s="112" t="s">
        <v>449</v>
      </c>
      <c r="D478" s="113" t="s">
        <v>130</v>
      </c>
      <c r="E478" s="114" t="s">
        <v>15</v>
      </c>
      <c r="F478" s="115" t="s">
        <v>38</v>
      </c>
      <c r="G478" s="116">
        <v>12.9</v>
      </c>
      <c r="H478" s="125">
        <v>9.5</v>
      </c>
      <c r="I478" s="111">
        <v>3</v>
      </c>
      <c r="J478" s="117">
        <f t="shared" si="250"/>
        <v>0.36764999999999998</v>
      </c>
      <c r="K478" s="118"/>
      <c r="L478" s="111">
        <v>3</v>
      </c>
      <c r="M478" s="117">
        <f t="shared" si="251"/>
        <v>0.36765000000000003</v>
      </c>
      <c r="N478" s="119">
        <f t="shared" si="252"/>
        <v>0</v>
      </c>
      <c r="O478" s="120">
        <f t="shared" si="253"/>
        <v>0</v>
      </c>
      <c r="P478" s="130">
        <v>8.5</v>
      </c>
      <c r="Q478" s="320">
        <v>3</v>
      </c>
      <c r="R478" s="32"/>
      <c r="S478" s="32"/>
    </row>
    <row r="479" spans="1:20" ht="15.6">
      <c r="A479" s="110" t="s">
        <v>517</v>
      </c>
      <c r="B479" s="111" t="s">
        <v>505</v>
      </c>
      <c r="C479" s="112" t="s">
        <v>449</v>
      </c>
      <c r="D479" s="113" t="s">
        <v>130</v>
      </c>
      <c r="E479" s="114" t="s">
        <v>15</v>
      </c>
      <c r="F479" s="115" t="s">
        <v>38</v>
      </c>
      <c r="G479" s="116">
        <v>12.9</v>
      </c>
      <c r="H479" s="125">
        <v>8.5</v>
      </c>
      <c r="I479" s="111">
        <v>1</v>
      </c>
      <c r="J479" s="117">
        <f t="shared" si="250"/>
        <v>0.10965000000000001</v>
      </c>
      <c r="K479" s="118"/>
      <c r="L479" s="111">
        <v>1</v>
      </c>
      <c r="M479" s="117">
        <f t="shared" si="251"/>
        <v>0.10965000000000001</v>
      </c>
      <c r="N479" s="119">
        <f t="shared" si="252"/>
        <v>0</v>
      </c>
      <c r="O479" s="120">
        <f t="shared" si="253"/>
        <v>0</v>
      </c>
      <c r="P479" s="130"/>
      <c r="Q479" s="320"/>
      <c r="R479" s="32"/>
      <c r="S479" s="32"/>
    </row>
    <row r="480" spans="1:20" ht="15.6">
      <c r="A480" s="110" t="s">
        <v>517</v>
      </c>
      <c r="B480" s="111" t="s">
        <v>505</v>
      </c>
      <c r="C480" s="112" t="s">
        <v>449</v>
      </c>
      <c r="D480" s="113" t="s">
        <v>130</v>
      </c>
      <c r="E480" s="114" t="s">
        <v>15</v>
      </c>
      <c r="F480" s="115" t="s">
        <v>38</v>
      </c>
      <c r="G480" s="116">
        <v>12.9</v>
      </c>
      <c r="H480" s="125">
        <v>9.5</v>
      </c>
      <c r="I480" s="111">
        <v>1</v>
      </c>
      <c r="J480" s="117">
        <f t="shared" si="250"/>
        <v>0.12254999999999999</v>
      </c>
      <c r="K480" s="118"/>
      <c r="L480" s="111">
        <v>1</v>
      </c>
      <c r="M480" s="117">
        <f t="shared" si="251"/>
        <v>0.12254999999999999</v>
      </c>
      <c r="N480" s="119">
        <f t="shared" si="252"/>
        <v>0</v>
      </c>
      <c r="O480" s="120">
        <f t="shared" si="253"/>
        <v>0</v>
      </c>
      <c r="P480" s="130">
        <v>8.5</v>
      </c>
      <c r="Q480" s="320">
        <v>1</v>
      </c>
      <c r="R480" s="32"/>
      <c r="S480" s="32"/>
    </row>
    <row r="481" spans="1:20" ht="15.6">
      <c r="A481" s="110" t="s">
        <v>517</v>
      </c>
      <c r="B481" s="111" t="s">
        <v>505</v>
      </c>
      <c r="C481" s="112" t="s">
        <v>449</v>
      </c>
      <c r="D481" s="113" t="s">
        <v>130</v>
      </c>
      <c r="E481" s="114" t="s">
        <v>15</v>
      </c>
      <c r="F481" s="115" t="s">
        <v>38</v>
      </c>
      <c r="G481" s="116">
        <v>12.9</v>
      </c>
      <c r="H481" s="125">
        <v>10.5</v>
      </c>
      <c r="I481" s="111">
        <v>1</v>
      </c>
      <c r="J481" s="117">
        <f t="shared" si="250"/>
        <v>0.13545000000000001</v>
      </c>
      <c r="K481" s="118"/>
      <c r="L481" s="111">
        <v>1</v>
      </c>
      <c r="M481" s="117">
        <f t="shared" si="251"/>
        <v>0.13545000000000001</v>
      </c>
      <c r="N481" s="119">
        <f t="shared" si="252"/>
        <v>0</v>
      </c>
      <c r="O481" s="120">
        <f t="shared" si="253"/>
        <v>0</v>
      </c>
      <c r="P481" s="130">
        <v>10</v>
      </c>
      <c r="Q481" s="320">
        <v>1</v>
      </c>
      <c r="R481" s="32"/>
      <c r="S481" s="32"/>
    </row>
    <row r="482" spans="1:20" ht="15.6">
      <c r="A482" s="110" t="s">
        <v>517</v>
      </c>
      <c r="B482" s="111" t="s">
        <v>505</v>
      </c>
      <c r="C482" s="112" t="s">
        <v>449</v>
      </c>
      <c r="D482" s="113" t="s">
        <v>130</v>
      </c>
      <c r="E482" s="114" t="s">
        <v>15</v>
      </c>
      <c r="F482" s="115" t="s">
        <v>38</v>
      </c>
      <c r="G482" s="116">
        <v>12.9</v>
      </c>
      <c r="H482" s="125">
        <v>12</v>
      </c>
      <c r="I482" s="111">
        <v>2</v>
      </c>
      <c r="J482" s="117">
        <f t="shared" si="250"/>
        <v>0.30960000000000004</v>
      </c>
      <c r="K482" s="118"/>
      <c r="L482" s="111">
        <v>2</v>
      </c>
      <c r="M482" s="117">
        <f t="shared" si="251"/>
        <v>0.30960000000000004</v>
      </c>
      <c r="N482" s="119">
        <f t="shared" si="252"/>
        <v>0</v>
      </c>
      <c r="O482" s="120">
        <f t="shared" si="253"/>
        <v>0</v>
      </c>
      <c r="P482" s="130">
        <v>10</v>
      </c>
      <c r="Q482" s="320">
        <v>2</v>
      </c>
      <c r="R482" s="32"/>
      <c r="S482" s="32"/>
    </row>
    <row r="483" spans="1:20" ht="15.6">
      <c r="A483" s="110" t="s">
        <v>517</v>
      </c>
      <c r="B483" s="111" t="s">
        <v>505</v>
      </c>
      <c r="C483" s="112" t="s">
        <v>449</v>
      </c>
      <c r="D483" s="113" t="s">
        <v>130</v>
      </c>
      <c r="E483" s="114" t="s">
        <v>15</v>
      </c>
      <c r="F483" s="115" t="s">
        <v>38</v>
      </c>
      <c r="G483" s="116">
        <v>12.9</v>
      </c>
      <c r="H483" s="125">
        <v>10.5</v>
      </c>
      <c r="I483" s="111">
        <v>25</v>
      </c>
      <c r="J483" s="117">
        <f t="shared" si="250"/>
        <v>3.3862500000000004</v>
      </c>
      <c r="K483" s="118"/>
      <c r="L483" s="111">
        <v>25</v>
      </c>
      <c r="M483" s="117">
        <f t="shared" si="251"/>
        <v>3.38625</v>
      </c>
      <c r="N483" s="119">
        <f t="shared" si="252"/>
        <v>0</v>
      </c>
      <c r="O483" s="120">
        <f t="shared" si="253"/>
        <v>0</v>
      </c>
      <c r="P483" s="130"/>
      <c r="Q483" s="320"/>
      <c r="R483" s="32"/>
      <c r="S483" s="32"/>
    </row>
    <row r="484" spans="1:20" ht="15.6">
      <c r="A484" s="110" t="s">
        <v>517</v>
      </c>
      <c r="B484" s="111" t="s">
        <v>505</v>
      </c>
      <c r="C484" s="112" t="s">
        <v>449</v>
      </c>
      <c r="D484" s="113" t="s">
        <v>130</v>
      </c>
      <c r="E484" s="114" t="s">
        <v>15</v>
      </c>
      <c r="F484" s="115" t="s">
        <v>38</v>
      </c>
      <c r="G484" s="116">
        <v>12.9</v>
      </c>
      <c r="H484" s="125">
        <v>8.5</v>
      </c>
      <c r="I484" s="111">
        <v>23</v>
      </c>
      <c r="J484" s="117">
        <f t="shared" si="250"/>
        <v>2.5219500000000004</v>
      </c>
      <c r="K484" s="118"/>
      <c r="L484" s="111">
        <v>23</v>
      </c>
      <c r="M484" s="117">
        <f t="shared" si="251"/>
        <v>2.5219500000000004</v>
      </c>
      <c r="N484" s="119">
        <f t="shared" si="252"/>
        <v>0</v>
      </c>
      <c r="O484" s="120">
        <f t="shared" si="253"/>
        <v>0</v>
      </c>
      <c r="P484" s="130"/>
      <c r="Q484" s="320"/>
      <c r="R484" s="32"/>
      <c r="S484" s="32"/>
    </row>
    <row r="485" spans="1:20" ht="15.6">
      <c r="A485" s="110" t="s">
        <v>517</v>
      </c>
      <c r="B485" s="111" t="s">
        <v>505</v>
      </c>
      <c r="C485" s="112" t="s">
        <v>449</v>
      </c>
      <c r="D485" s="113" t="s">
        <v>130</v>
      </c>
      <c r="E485" s="114" t="s">
        <v>15</v>
      </c>
      <c r="F485" s="115" t="s">
        <v>38</v>
      </c>
      <c r="G485" s="116">
        <v>12.9</v>
      </c>
      <c r="H485" s="125">
        <v>8.5</v>
      </c>
      <c r="I485" s="111">
        <v>24</v>
      </c>
      <c r="J485" s="117">
        <f t="shared" ref="J485:J505" si="254">H485*G485*I485/1000</f>
        <v>2.6316000000000002</v>
      </c>
      <c r="K485" s="118"/>
      <c r="L485" s="111">
        <v>24</v>
      </c>
      <c r="M485" s="117">
        <f t="shared" ref="M485:M505" si="255">H485*L485*G485/1000</f>
        <v>2.6315999999999997</v>
      </c>
      <c r="N485" s="119">
        <f t="shared" ref="N485:N505" si="256">I485-L485</f>
        <v>0</v>
      </c>
      <c r="O485" s="120">
        <f t="shared" ref="O485:O505" si="257">H485*N485*G485/1000</f>
        <v>0</v>
      </c>
      <c r="P485" s="130"/>
      <c r="Q485" s="320"/>
      <c r="R485" s="32"/>
      <c r="S485" s="32"/>
    </row>
    <row r="486" spans="1:20" ht="15.6">
      <c r="A486" s="110" t="s">
        <v>517</v>
      </c>
      <c r="B486" s="111" t="s">
        <v>505</v>
      </c>
      <c r="C486" s="112" t="s">
        <v>449</v>
      </c>
      <c r="D486" s="113" t="s">
        <v>130</v>
      </c>
      <c r="E486" s="114" t="s">
        <v>15</v>
      </c>
      <c r="F486" s="115" t="s">
        <v>38</v>
      </c>
      <c r="G486" s="116">
        <v>12.9</v>
      </c>
      <c r="H486" s="125">
        <v>8.5</v>
      </c>
      <c r="I486" s="111">
        <v>24</v>
      </c>
      <c r="J486" s="117">
        <f t="shared" si="254"/>
        <v>2.6316000000000002</v>
      </c>
      <c r="K486" s="118"/>
      <c r="L486" s="111">
        <v>24</v>
      </c>
      <c r="M486" s="117">
        <f t="shared" si="255"/>
        <v>2.6315999999999997</v>
      </c>
      <c r="N486" s="119">
        <f t="shared" si="256"/>
        <v>0</v>
      </c>
      <c r="O486" s="120">
        <f t="shared" si="257"/>
        <v>0</v>
      </c>
      <c r="P486" s="130"/>
      <c r="Q486" s="320"/>
      <c r="R486" s="32"/>
      <c r="S486" s="32"/>
    </row>
    <row r="487" spans="1:20" ht="15.6">
      <c r="A487" s="110" t="s">
        <v>517</v>
      </c>
      <c r="B487" s="111" t="s">
        <v>505</v>
      </c>
      <c r="C487" s="112" t="s">
        <v>449</v>
      </c>
      <c r="D487" s="113" t="s">
        <v>130</v>
      </c>
      <c r="E487" s="114" t="s">
        <v>15</v>
      </c>
      <c r="F487" s="115" t="s">
        <v>38</v>
      </c>
      <c r="G487" s="116">
        <v>12.9</v>
      </c>
      <c r="H487" s="125">
        <v>10</v>
      </c>
      <c r="I487" s="111">
        <v>24</v>
      </c>
      <c r="J487" s="117">
        <f t="shared" si="254"/>
        <v>3.0960000000000001</v>
      </c>
      <c r="K487" s="118"/>
      <c r="L487" s="111">
        <v>24</v>
      </c>
      <c r="M487" s="117">
        <f t="shared" si="255"/>
        <v>3.0960000000000001</v>
      </c>
      <c r="N487" s="119">
        <f t="shared" si="256"/>
        <v>0</v>
      </c>
      <c r="O487" s="120">
        <f t="shared" si="257"/>
        <v>0</v>
      </c>
      <c r="P487" s="130"/>
      <c r="Q487" s="320"/>
      <c r="R487" s="32"/>
      <c r="S487" s="32"/>
    </row>
    <row r="488" spans="1:20" ht="15.6">
      <c r="A488" s="110" t="s">
        <v>517</v>
      </c>
      <c r="B488" s="111" t="s">
        <v>505</v>
      </c>
      <c r="C488" s="112" t="s">
        <v>449</v>
      </c>
      <c r="D488" s="113" t="s">
        <v>130</v>
      </c>
      <c r="E488" s="114" t="s">
        <v>15</v>
      </c>
      <c r="F488" s="115" t="s">
        <v>38</v>
      </c>
      <c r="G488" s="116">
        <v>12.9</v>
      </c>
      <c r="H488" s="125">
        <v>8.5</v>
      </c>
      <c r="I488" s="111">
        <v>24</v>
      </c>
      <c r="J488" s="117">
        <f t="shared" si="254"/>
        <v>2.6316000000000002</v>
      </c>
      <c r="K488" s="118"/>
      <c r="L488" s="111">
        <v>24</v>
      </c>
      <c r="M488" s="117">
        <f t="shared" si="255"/>
        <v>2.6315999999999997</v>
      </c>
      <c r="N488" s="119">
        <f t="shared" si="256"/>
        <v>0</v>
      </c>
      <c r="O488" s="120">
        <f t="shared" si="257"/>
        <v>0</v>
      </c>
      <c r="P488" s="130"/>
      <c r="Q488" s="320"/>
      <c r="R488" s="32"/>
      <c r="S488" s="32"/>
    </row>
    <row r="489" spans="1:20" ht="15.6">
      <c r="A489" s="110" t="s">
        <v>517</v>
      </c>
      <c r="B489" s="111" t="s">
        <v>505</v>
      </c>
      <c r="C489" s="112" t="s">
        <v>449</v>
      </c>
      <c r="D489" s="113" t="s">
        <v>130</v>
      </c>
      <c r="E489" s="114" t="s">
        <v>15</v>
      </c>
      <c r="F489" s="115" t="s">
        <v>38</v>
      </c>
      <c r="G489" s="116">
        <v>12.9</v>
      </c>
      <c r="H489" s="125">
        <v>8.5</v>
      </c>
      <c r="I489" s="111">
        <v>24</v>
      </c>
      <c r="J489" s="117">
        <f t="shared" si="254"/>
        <v>2.6316000000000002</v>
      </c>
      <c r="K489" s="118"/>
      <c r="L489" s="111">
        <v>24</v>
      </c>
      <c r="M489" s="117">
        <f t="shared" si="255"/>
        <v>2.6315999999999997</v>
      </c>
      <c r="N489" s="119">
        <f t="shared" si="256"/>
        <v>0</v>
      </c>
      <c r="O489" s="120">
        <f t="shared" si="257"/>
        <v>0</v>
      </c>
      <c r="P489" s="130"/>
      <c r="Q489" s="320"/>
      <c r="R489" s="32"/>
      <c r="S489" s="32"/>
    </row>
    <row r="490" spans="1:20" ht="15.6">
      <c r="A490" s="110" t="s">
        <v>517</v>
      </c>
      <c r="B490" s="111" t="s">
        <v>505</v>
      </c>
      <c r="C490" s="112" t="s">
        <v>449</v>
      </c>
      <c r="D490" s="113" t="s">
        <v>130</v>
      </c>
      <c r="E490" s="114" t="s">
        <v>15</v>
      </c>
      <c r="F490" s="115" t="s">
        <v>38</v>
      </c>
      <c r="G490" s="116">
        <v>12.9</v>
      </c>
      <c r="H490" s="125">
        <v>8.5</v>
      </c>
      <c r="I490" s="111">
        <v>24</v>
      </c>
      <c r="J490" s="117">
        <f t="shared" si="254"/>
        <v>2.6316000000000002</v>
      </c>
      <c r="K490" s="118"/>
      <c r="L490" s="111">
        <v>24</v>
      </c>
      <c r="M490" s="117">
        <f t="shared" si="255"/>
        <v>2.6315999999999997</v>
      </c>
      <c r="N490" s="119">
        <f t="shared" si="256"/>
        <v>0</v>
      </c>
      <c r="O490" s="120">
        <f t="shared" si="257"/>
        <v>0</v>
      </c>
      <c r="P490" s="130"/>
      <c r="Q490" s="320"/>
      <c r="R490" s="32"/>
      <c r="S490" s="32"/>
    </row>
    <row r="491" spans="1:20" ht="15.6">
      <c r="A491" s="110" t="s">
        <v>517</v>
      </c>
      <c r="B491" s="111" t="s">
        <v>505</v>
      </c>
      <c r="C491" s="112" t="s">
        <v>449</v>
      </c>
      <c r="D491" s="113" t="s">
        <v>130</v>
      </c>
      <c r="E491" s="114" t="s">
        <v>15</v>
      </c>
      <c r="F491" s="115" t="s">
        <v>38</v>
      </c>
      <c r="G491" s="116">
        <v>12.9</v>
      </c>
      <c r="H491" s="125">
        <v>10.5</v>
      </c>
      <c r="I491" s="111">
        <v>5</v>
      </c>
      <c r="J491" s="117">
        <f t="shared" si="254"/>
        <v>0.67725000000000013</v>
      </c>
      <c r="K491" s="118"/>
      <c r="L491" s="111">
        <v>5</v>
      </c>
      <c r="M491" s="117">
        <f t="shared" si="255"/>
        <v>0.67725000000000002</v>
      </c>
      <c r="N491" s="119">
        <f t="shared" si="256"/>
        <v>0</v>
      </c>
      <c r="O491" s="120">
        <f t="shared" si="257"/>
        <v>0</v>
      </c>
      <c r="P491" s="130"/>
      <c r="Q491" s="320"/>
      <c r="R491" s="32"/>
      <c r="S491" s="32"/>
    </row>
    <row r="492" spans="1:20" ht="15.6">
      <c r="A492" s="110" t="s">
        <v>517</v>
      </c>
      <c r="B492" s="111" t="s">
        <v>505</v>
      </c>
      <c r="C492" s="112" t="s">
        <v>449</v>
      </c>
      <c r="D492" s="113" t="s">
        <v>130</v>
      </c>
      <c r="E492" s="114" t="s">
        <v>15</v>
      </c>
      <c r="F492" s="115" t="s">
        <v>38</v>
      </c>
      <c r="G492" s="116">
        <v>12.9</v>
      </c>
      <c r="H492" s="125">
        <v>8.5</v>
      </c>
      <c r="I492" s="111">
        <v>5</v>
      </c>
      <c r="J492" s="117">
        <f t="shared" si="254"/>
        <v>0.54825000000000002</v>
      </c>
      <c r="K492" s="118"/>
      <c r="L492" s="111">
        <v>5</v>
      </c>
      <c r="M492" s="117">
        <f t="shared" si="255"/>
        <v>0.54825000000000002</v>
      </c>
      <c r="N492" s="119">
        <f t="shared" si="256"/>
        <v>0</v>
      </c>
      <c r="O492" s="120">
        <f t="shared" si="257"/>
        <v>0</v>
      </c>
      <c r="P492" s="130"/>
      <c r="Q492" s="320"/>
      <c r="R492" s="32"/>
      <c r="S492" s="32"/>
    </row>
    <row r="493" spans="1:20" ht="15.6">
      <c r="A493" s="110" t="s">
        <v>517</v>
      </c>
      <c r="B493" s="111" t="s">
        <v>505</v>
      </c>
      <c r="C493" s="112" t="s">
        <v>449</v>
      </c>
      <c r="D493" s="113" t="s">
        <v>130</v>
      </c>
      <c r="E493" s="114" t="s">
        <v>15</v>
      </c>
      <c r="F493" s="115" t="s">
        <v>38</v>
      </c>
      <c r="G493" s="116">
        <v>12.9</v>
      </c>
      <c r="H493" s="125">
        <v>10</v>
      </c>
      <c r="I493" s="111">
        <v>9</v>
      </c>
      <c r="J493" s="117">
        <f t="shared" si="254"/>
        <v>1.161</v>
      </c>
      <c r="K493" s="118"/>
      <c r="L493" s="111">
        <v>9</v>
      </c>
      <c r="M493" s="117">
        <f t="shared" si="255"/>
        <v>1.161</v>
      </c>
      <c r="N493" s="119">
        <f t="shared" si="256"/>
        <v>0</v>
      </c>
      <c r="O493" s="120">
        <f t="shared" si="257"/>
        <v>0</v>
      </c>
      <c r="P493" s="130"/>
      <c r="Q493" s="320"/>
      <c r="R493" s="32"/>
      <c r="S493" s="32"/>
    </row>
    <row r="494" spans="1:20" ht="15.6">
      <c r="A494" s="110" t="s">
        <v>517</v>
      </c>
      <c r="B494" s="111" t="s">
        <v>505</v>
      </c>
      <c r="C494" s="112" t="s">
        <v>449</v>
      </c>
      <c r="D494" s="113" t="s">
        <v>130</v>
      </c>
      <c r="E494" s="114" t="s">
        <v>15</v>
      </c>
      <c r="F494" s="115" t="s">
        <v>38</v>
      </c>
      <c r="G494" s="116">
        <v>12.9</v>
      </c>
      <c r="H494" s="125">
        <v>6.5</v>
      </c>
      <c r="I494" s="111">
        <v>1</v>
      </c>
      <c r="J494" s="117">
        <f t="shared" si="254"/>
        <v>8.3850000000000008E-2</v>
      </c>
      <c r="K494" s="118"/>
      <c r="L494" s="111">
        <v>1</v>
      </c>
      <c r="M494" s="117">
        <f t="shared" si="255"/>
        <v>8.3850000000000008E-2</v>
      </c>
      <c r="N494" s="119">
        <f t="shared" si="256"/>
        <v>0</v>
      </c>
      <c r="O494" s="120">
        <f t="shared" si="257"/>
        <v>0</v>
      </c>
      <c r="P494" s="130"/>
      <c r="Q494" s="320"/>
      <c r="R494" s="33">
        <v>5.3</v>
      </c>
      <c r="S494" s="45">
        <v>1</v>
      </c>
      <c r="T494" s="213" t="s">
        <v>621</v>
      </c>
    </row>
    <row r="495" spans="1:20" ht="15.6">
      <c r="A495" s="110" t="s">
        <v>517</v>
      </c>
      <c r="B495" s="111" t="s">
        <v>505</v>
      </c>
      <c r="C495" s="112" t="s">
        <v>449</v>
      </c>
      <c r="D495" s="113" t="s">
        <v>130</v>
      </c>
      <c r="E495" s="114" t="s">
        <v>15</v>
      </c>
      <c r="F495" s="115" t="s">
        <v>38</v>
      </c>
      <c r="G495" s="116">
        <v>12.9</v>
      </c>
      <c r="H495" s="125">
        <v>6.7</v>
      </c>
      <c r="I495" s="111">
        <v>1</v>
      </c>
      <c r="J495" s="117">
        <f t="shared" si="254"/>
        <v>8.6430000000000007E-2</v>
      </c>
      <c r="K495" s="118"/>
      <c r="L495" s="111">
        <v>1</v>
      </c>
      <c r="M495" s="117">
        <f t="shared" si="255"/>
        <v>8.6430000000000007E-2</v>
      </c>
      <c r="N495" s="119">
        <f t="shared" si="256"/>
        <v>0</v>
      </c>
      <c r="O495" s="120">
        <f t="shared" si="257"/>
        <v>0</v>
      </c>
      <c r="P495" s="130"/>
      <c r="Q495" s="320"/>
      <c r="R495" s="33">
        <v>5.3</v>
      </c>
      <c r="S495" s="45">
        <v>1</v>
      </c>
      <c r="T495" s="213" t="s">
        <v>621</v>
      </c>
    </row>
    <row r="496" spans="1:20" ht="15.6">
      <c r="A496" s="110" t="s">
        <v>517</v>
      </c>
      <c r="B496" s="111" t="s">
        <v>505</v>
      </c>
      <c r="C496" s="112" t="s">
        <v>449</v>
      </c>
      <c r="D496" s="113" t="s">
        <v>130</v>
      </c>
      <c r="E496" s="114" t="s">
        <v>15</v>
      </c>
      <c r="F496" s="115" t="s">
        <v>38</v>
      </c>
      <c r="G496" s="116">
        <v>12.9</v>
      </c>
      <c r="H496" s="125">
        <v>7</v>
      </c>
      <c r="I496" s="111">
        <v>1</v>
      </c>
      <c r="J496" s="117">
        <f t="shared" si="254"/>
        <v>9.0299999999999991E-2</v>
      </c>
      <c r="K496" s="118"/>
      <c r="L496" s="111">
        <v>1</v>
      </c>
      <c r="M496" s="117">
        <f t="shared" si="255"/>
        <v>9.0299999999999991E-2</v>
      </c>
      <c r="N496" s="119">
        <f t="shared" si="256"/>
        <v>0</v>
      </c>
      <c r="O496" s="120">
        <f t="shared" si="257"/>
        <v>0</v>
      </c>
      <c r="P496" s="130"/>
      <c r="Q496" s="320"/>
      <c r="R496" s="33">
        <v>5.3</v>
      </c>
      <c r="S496" s="45">
        <v>1</v>
      </c>
      <c r="T496" s="213" t="s">
        <v>621</v>
      </c>
    </row>
    <row r="497" spans="1:20" ht="15.6">
      <c r="A497" s="110" t="s">
        <v>517</v>
      </c>
      <c r="B497" s="111" t="s">
        <v>505</v>
      </c>
      <c r="C497" s="112" t="s">
        <v>449</v>
      </c>
      <c r="D497" s="113" t="s">
        <v>130</v>
      </c>
      <c r="E497" s="114" t="s">
        <v>15</v>
      </c>
      <c r="F497" s="115" t="s">
        <v>38</v>
      </c>
      <c r="G497" s="116">
        <v>12.9</v>
      </c>
      <c r="H497" s="125">
        <v>7.2</v>
      </c>
      <c r="I497" s="111">
        <v>2</v>
      </c>
      <c r="J497" s="117">
        <f t="shared" si="254"/>
        <v>0.18576000000000001</v>
      </c>
      <c r="K497" s="118"/>
      <c r="L497" s="111">
        <v>2</v>
      </c>
      <c r="M497" s="117">
        <f t="shared" si="255"/>
        <v>0.18576000000000001</v>
      </c>
      <c r="N497" s="119">
        <f t="shared" si="256"/>
        <v>0</v>
      </c>
      <c r="O497" s="120">
        <f t="shared" si="257"/>
        <v>0</v>
      </c>
      <c r="P497" s="130"/>
      <c r="Q497" s="320"/>
      <c r="R497" s="33">
        <v>5.3</v>
      </c>
      <c r="S497" s="45">
        <v>2</v>
      </c>
      <c r="T497" s="213" t="s">
        <v>621</v>
      </c>
    </row>
    <row r="498" spans="1:20" ht="15.6">
      <c r="A498" s="110" t="s">
        <v>517</v>
      </c>
      <c r="B498" s="111" t="s">
        <v>505</v>
      </c>
      <c r="C498" s="112" t="s">
        <v>449</v>
      </c>
      <c r="D498" s="113" t="s">
        <v>130</v>
      </c>
      <c r="E498" s="114" t="s">
        <v>15</v>
      </c>
      <c r="F498" s="115" t="s">
        <v>38</v>
      </c>
      <c r="G498" s="116">
        <v>12.9</v>
      </c>
      <c r="H498" s="125">
        <v>7.6</v>
      </c>
      <c r="I498" s="111">
        <v>3</v>
      </c>
      <c r="J498" s="117">
        <f t="shared" si="254"/>
        <v>0.29411999999999999</v>
      </c>
      <c r="K498" s="118"/>
      <c r="L498" s="111">
        <v>3</v>
      </c>
      <c r="M498" s="117">
        <f t="shared" si="255"/>
        <v>0.29411999999999994</v>
      </c>
      <c r="N498" s="119">
        <f t="shared" si="256"/>
        <v>0</v>
      </c>
      <c r="O498" s="120">
        <f t="shared" si="257"/>
        <v>0</v>
      </c>
      <c r="P498" s="130"/>
      <c r="Q498" s="320"/>
      <c r="R498" s="33">
        <v>5.3</v>
      </c>
      <c r="S498" s="45">
        <v>3</v>
      </c>
      <c r="T498" s="213" t="s">
        <v>621</v>
      </c>
    </row>
    <row r="499" spans="1:20" ht="15.6">
      <c r="A499" s="110" t="s">
        <v>517</v>
      </c>
      <c r="B499" s="111" t="s">
        <v>505</v>
      </c>
      <c r="C499" s="112" t="s">
        <v>449</v>
      </c>
      <c r="D499" s="113" t="s">
        <v>130</v>
      </c>
      <c r="E499" s="114" t="s">
        <v>15</v>
      </c>
      <c r="F499" s="115" t="s">
        <v>38</v>
      </c>
      <c r="G499" s="116">
        <v>12.9</v>
      </c>
      <c r="H499" s="125">
        <v>7.8</v>
      </c>
      <c r="I499" s="111">
        <v>2</v>
      </c>
      <c r="J499" s="117">
        <f t="shared" si="254"/>
        <v>0.20124</v>
      </c>
      <c r="K499" s="118"/>
      <c r="L499" s="111"/>
      <c r="M499" s="117">
        <f t="shared" si="255"/>
        <v>0</v>
      </c>
      <c r="N499" s="119">
        <f t="shared" si="256"/>
        <v>2</v>
      </c>
      <c r="O499" s="120">
        <f t="shared" si="257"/>
        <v>0.20124</v>
      </c>
      <c r="P499" s="130"/>
      <c r="Q499" s="320"/>
      <c r="R499" s="32"/>
      <c r="S499" s="32"/>
    </row>
    <row r="500" spans="1:20" ht="15.6">
      <c r="A500" s="110" t="s">
        <v>517</v>
      </c>
      <c r="B500" s="111" t="s">
        <v>505</v>
      </c>
      <c r="C500" s="112" t="s">
        <v>449</v>
      </c>
      <c r="D500" s="113" t="s">
        <v>130</v>
      </c>
      <c r="E500" s="114" t="s">
        <v>15</v>
      </c>
      <c r="F500" s="115" t="s">
        <v>38</v>
      </c>
      <c r="G500" s="116">
        <v>12.9</v>
      </c>
      <c r="H500" s="125">
        <v>7.9</v>
      </c>
      <c r="I500" s="111">
        <v>1</v>
      </c>
      <c r="J500" s="117">
        <f t="shared" si="254"/>
        <v>0.10191000000000001</v>
      </c>
      <c r="K500" s="118"/>
      <c r="L500" s="111"/>
      <c r="M500" s="117">
        <f t="shared" si="255"/>
        <v>0</v>
      </c>
      <c r="N500" s="119">
        <f t="shared" si="256"/>
        <v>1</v>
      </c>
      <c r="O500" s="120">
        <f t="shared" si="257"/>
        <v>0.10191000000000001</v>
      </c>
      <c r="P500" s="130"/>
      <c r="Q500" s="320"/>
      <c r="R500" s="32"/>
      <c r="S500" s="32"/>
    </row>
    <row r="501" spans="1:20" ht="15.6">
      <c r="A501" s="110" t="s">
        <v>517</v>
      </c>
      <c r="B501" s="111" t="s">
        <v>505</v>
      </c>
      <c r="C501" s="112" t="s">
        <v>449</v>
      </c>
      <c r="D501" s="113" t="s">
        <v>130</v>
      </c>
      <c r="E501" s="114" t="s">
        <v>15</v>
      </c>
      <c r="F501" s="115" t="s">
        <v>38</v>
      </c>
      <c r="G501" s="116">
        <v>12.9</v>
      </c>
      <c r="H501" s="125">
        <v>8</v>
      </c>
      <c r="I501" s="111">
        <v>2</v>
      </c>
      <c r="J501" s="117">
        <f t="shared" si="254"/>
        <v>0.2064</v>
      </c>
      <c r="K501" s="118"/>
      <c r="L501" s="111"/>
      <c r="M501" s="117">
        <f t="shared" si="255"/>
        <v>0</v>
      </c>
      <c r="N501" s="119">
        <f t="shared" si="256"/>
        <v>2</v>
      </c>
      <c r="O501" s="120">
        <f t="shared" si="257"/>
        <v>0.2064</v>
      </c>
      <c r="P501" s="130"/>
      <c r="Q501" s="320"/>
      <c r="R501" s="32"/>
      <c r="S501" s="32"/>
    </row>
    <row r="502" spans="1:20" ht="15.6">
      <c r="A502" s="110" t="s">
        <v>517</v>
      </c>
      <c r="B502" s="111" t="s">
        <v>505</v>
      </c>
      <c r="C502" s="112" t="s">
        <v>449</v>
      </c>
      <c r="D502" s="113" t="s">
        <v>130</v>
      </c>
      <c r="E502" s="114" t="s">
        <v>15</v>
      </c>
      <c r="F502" s="115" t="s">
        <v>38</v>
      </c>
      <c r="G502" s="116">
        <v>12.9</v>
      </c>
      <c r="H502" s="125">
        <v>8.1999999999999993</v>
      </c>
      <c r="I502" s="111">
        <v>2</v>
      </c>
      <c r="J502" s="117">
        <f t="shared" si="254"/>
        <v>0.21155999999999997</v>
      </c>
      <c r="K502" s="118"/>
      <c r="L502" s="111">
        <v>2</v>
      </c>
      <c r="M502" s="117">
        <f t="shared" si="255"/>
        <v>0.21155999999999997</v>
      </c>
      <c r="N502" s="119">
        <f t="shared" si="256"/>
        <v>0</v>
      </c>
      <c r="O502" s="120">
        <f t="shared" si="257"/>
        <v>0</v>
      </c>
      <c r="P502" s="130"/>
      <c r="Q502" s="320"/>
      <c r="R502" s="32">
        <v>8.25</v>
      </c>
      <c r="S502" s="32">
        <v>2</v>
      </c>
      <c r="T502" s="213" t="s">
        <v>621</v>
      </c>
    </row>
    <row r="503" spans="1:20" ht="15.6">
      <c r="A503" s="110" t="s">
        <v>517</v>
      </c>
      <c r="B503" s="111" t="s">
        <v>505</v>
      </c>
      <c r="C503" s="112" t="s">
        <v>449</v>
      </c>
      <c r="D503" s="113" t="s">
        <v>130</v>
      </c>
      <c r="E503" s="114" t="s">
        <v>15</v>
      </c>
      <c r="F503" s="115" t="s">
        <v>38</v>
      </c>
      <c r="G503" s="116">
        <v>12.9</v>
      </c>
      <c r="H503" s="125">
        <v>8.3000000000000007</v>
      </c>
      <c r="I503" s="111">
        <v>3</v>
      </c>
      <c r="J503" s="117">
        <f t="shared" si="254"/>
        <v>0.32121000000000005</v>
      </c>
      <c r="K503" s="118"/>
      <c r="L503" s="111">
        <v>3</v>
      </c>
      <c r="M503" s="117">
        <f t="shared" si="255"/>
        <v>0.32121000000000005</v>
      </c>
      <c r="N503" s="119">
        <f t="shared" si="256"/>
        <v>0</v>
      </c>
      <c r="O503" s="120">
        <f t="shared" si="257"/>
        <v>0</v>
      </c>
      <c r="P503" s="130"/>
      <c r="Q503" s="320"/>
      <c r="R503" s="366">
        <v>8.3000000000000007</v>
      </c>
      <c r="S503" s="45">
        <v>3</v>
      </c>
      <c r="T503" s="213" t="s">
        <v>621</v>
      </c>
    </row>
    <row r="504" spans="1:20" ht="15.6">
      <c r="A504" s="110" t="s">
        <v>517</v>
      </c>
      <c r="B504" s="111" t="s">
        <v>505</v>
      </c>
      <c r="C504" s="112" t="s">
        <v>449</v>
      </c>
      <c r="D504" s="113" t="s">
        <v>130</v>
      </c>
      <c r="E504" s="114" t="s">
        <v>15</v>
      </c>
      <c r="F504" s="115" t="s">
        <v>38</v>
      </c>
      <c r="G504" s="116">
        <v>12.9</v>
      </c>
      <c r="H504" s="125">
        <v>9.6</v>
      </c>
      <c r="I504" s="111">
        <v>1</v>
      </c>
      <c r="J504" s="117">
        <f t="shared" si="254"/>
        <v>0.12384000000000001</v>
      </c>
      <c r="K504" s="118"/>
      <c r="L504" s="111">
        <v>1</v>
      </c>
      <c r="M504" s="117">
        <f t="shared" si="255"/>
        <v>0.12384000000000001</v>
      </c>
      <c r="N504" s="119">
        <f t="shared" si="256"/>
        <v>0</v>
      </c>
      <c r="O504" s="120">
        <f t="shared" si="257"/>
        <v>0</v>
      </c>
      <c r="P504" s="130">
        <v>8.5</v>
      </c>
      <c r="Q504" s="320">
        <v>1</v>
      </c>
      <c r="R504" s="32"/>
      <c r="S504" s="32"/>
    </row>
    <row r="505" spans="1:20" ht="15.6">
      <c r="A505" s="110" t="s">
        <v>517</v>
      </c>
      <c r="B505" s="111" t="s">
        <v>505</v>
      </c>
      <c r="C505" s="112" t="s">
        <v>449</v>
      </c>
      <c r="D505" s="113" t="s">
        <v>130</v>
      </c>
      <c r="E505" s="114" t="s">
        <v>15</v>
      </c>
      <c r="F505" s="115" t="s">
        <v>38</v>
      </c>
      <c r="G505" s="116">
        <v>12.9</v>
      </c>
      <c r="H505" s="125">
        <v>9.6999999999999993</v>
      </c>
      <c r="I505" s="111">
        <v>1</v>
      </c>
      <c r="J505" s="117">
        <f t="shared" si="254"/>
        <v>0.12512999999999999</v>
      </c>
      <c r="K505" s="118"/>
      <c r="L505" s="111">
        <v>1</v>
      </c>
      <c r="M505" s="117">
        <f t="shared" si="255"/>
        <v>0.12512999999999999</v>
      </c>
      <c r="N505" s="119">
        <f t="shared" si="256"/>
        <v>0</v>
      </c>
      <c r="O505" s="120">
        <f t="shared" si="257"/>
        <v>0</v>
      </c>
      <c r="P505" s="130">
        <v>8.5</v>
      </c>
      <c r="Q505" s="320">
        <v>1</v>
      </c>
      <c r="R505" s="32"/>
      <c r="S505" s="32"/>
    </row>
    <row r="506" spans="1:20">
      <c r="I506" s="215">
        <f>SUM(I463:I505)</f>
        <v>486</v>
      </c>
      <c r="J506" s="214">
        <f>SUM(J463:J505)</f>
        <v>56.320110000000007</v>
      </c>
      <c r="L506" s="215">
        <f>SUM(L463:L505)</f>
        <v>492</v>
      </c>
      <c r="M506" s="214">
        <f>SUM(M463:M505)</f>
        <v>57.152160000000009</v>
      </c>
      <c r="N506" s="78">
        <f>SUM(N463:N505)</f>
        <v>-6</v>
      </c>
      <c r="O506" s="214">
        <f>SUM(O463:O505)</f>
        <v>-0.83205000000000007</v>
      </c>
    </row>
    <row r="508" spans="1:20" ht="15.6">
      <c r="A508" s="110" t="s">
        <v>517</v>
      </c>
      <c r="B508" s="111" t="s">
        <v>505</v>
      </c>
      <c r="C508" s="112" t="s">
        <v>449</v>
      </c>
      <c r="D508" s="113" t="s">
        <v>17</v>
      </c>
      <c r="E508" s="114" t="s">
        <v>15</v>
      </c>
      <c r="F508" s="115" t="s">
        <v>38</v>
      </c>
      <c r="G508" s="116">
        <v>12.9</v>
      </c>
      <c r="H508" s="125">
        <v>10.5</v>
      </c>
      <c r="I508" s="111">
        <v>24</v>
      </c>
      <c r="J508" s="117">
        <f t="shared" ref="J508" si="258">H508*G508*I508/1000</f>
        <v>3.2508000000000004</v>
      </c>
      <c r="K508" s="118"/>
      <c r="L508" s="111">
        <f>24</f>
        <v>24</v>
      </c>
      <c r="M508" s="117">
        <f t="shared" ref="M508" si="259">H508*L508*G508/1000</f>
        <v>3.2508000000000004</v>
      </c>
      <c r="N508" s="119">
        <f t="shared" ref="N508" si="260">I508-L508</f>
        <v>0</v>
      </c>
      <c r="O508" s="120">
        <f t="shared" ref="O508" si="261">H508*N508*G508/1000</f>
        <v>0</v>
      </c>
      <c r="P508" s="130"/>
      <c r="Q508" s="320"/>
      <c r="R508" s="32"/>
      <c r="S508" s="32"/>
    </row>
    <row r="509" spans="1:20" ht="15.6">
      <c r="A509" s="110" t="s">
        <v>517</v>
      </c>
      <c r="B509" s="111" t="s">
        <v>505</v>
      </c>
      <c r="C509" s="112" t="s">
        <v>449</v>
      </c>
      <c r="D509" s="113" t="s">
        <v>17</v>
      </c>
      <c r="E509" s="114" t="s">
        <v>15</v>
      </c>
      <c r="F509" s="115" t="s">
        <v>38</v>
      </c>
      <c r="G509" s="116">
        <v>12.9</v>
      </c>
      <c r="H509" s="125">
        <v>12</v>
      </c>
      <c r="I509" s="111">
        <v>18</v>
      </c>
      <c r="J509" s="117">
        <f t="shared" ref="J509:J523" si="262">H509*G509*I509/1000</f>
        <v>2.7864</v>
      </c>
      <c r="K509" s="118"/>
      <c r="L509" s="111">
        <f>18+1</f>
        <v>19</v>
      </c>
      <c r="M509" s="117">
        <f t="shared" ref="M509:M523" si="263">H509*L509*G509/1000</f>
        <v>2.9412000000000003</v>
      </c>
      <c r="N509" s="141">
        <f t="shared" ref="N509:N523" si="264">I509-L509</f>
        <v>-1</v>
      </c>
      <c r="O509" s="142">
        <f t="shared" ref="O509:O521" si="265">H509*N509*G509/1000</f>
        <v>-0.15480000000000002</v>
      </c>
      <c r="P509" s="130" t="s">
        <v>304</v>
      </c>
      <c r="Q509" s="320"/>
      <c r="R509" s="32"/>
      <c r="S509" s="32"/>
    </row>
    <row r="510" spans="1:20" ht="15.6">
      <c r="A510" s="110" t="s">
        <v>517</v>
      </c>
      <c r="B510" s="111" t="s">
        <v>505</v>
      </c>
      <c r="C510" s="112" t="s">
        <v>449</v>
      </c>
      <c r="D510" s="113" t="s">
        <v>17</v>
      </c>
      <c r="E510" s="114" t="s">
        <v>15</v>
      </c>
      <c r="F510" s="115" t="s">
        <v>38</v>
      </c>
      <c r="G510" s="116">
        <v>12.9</v>
      </c>
      <c r="H510" s="125">
        <v>12</v>
      </c>
      <c r="I510" s="111">
        <v>23</v>
      </c>
      <c r="J510" s="117">
        <f t="shared" si="262"/>
        <v>3.5604</v>
      </c>
      <c r="K510" s="118"/>
      <c r="L510" s="111">
        <v>23</v>
      </c>
      <c r="M510" s="117">
        <f t="shared" si="263"/>
        <v>3.5604</v>
      </c>
      <c r="N510" s="119">
        <f t="shared" si="264"/>
        <v>0</v>
      </c>
      <c r="O510" s="120">
        <f t="shared" si="265"/>
        <v>0</v>
      </c>
      <c r="P510" s="130"/>
      <c r="Q510" s="320"/>
      <c r="R510" s="32"/>
      <c r="S510" s="32"/>
    </row>
    <row r="511" spans="1:20" ht="15.6">
      <c r="A511" s="110" t="s">
        <v>517</v>
      </c>
      <c r="B511" s="111" t="s">
        <v>505</v>
      </c>
      <c r="C511" s="112" t="s">
        <v>449</v>
      </c>
      <c r="D511" s="113" t="s">
        <v>17</v>
      </c>
      <c r="E511" s="114" t="s">
        <v>15</v>
      </c>
      <c r="F511" s="115" t="s">
        <v>38</v>
      </c>
      <c r="G511" s="116">
        <v>12.9</v>
      </c>
      <c r="H511" s="125">
        <v>11.5</v>
      </c>
      <c r="I511" s="111">
        <v>21</v>
      </c>
      <c r="J511" s="117">
        <f t="shared" si="262"/>
        <v>3.1153499999999998</v>
      </c>
      <c r="K511" s="118"/>
      <c r="L511" s="111">
        <f>21+2</f>
        <v>23</v>
      </c>
      <c r="M511" s="117">
        <f t="shared" si="263"/>
        <v>3.4120500000000002</v>
      </c>
      <c r="N511" s="141">
        <f t="shared" si="264"/>
        <v>-2</v>
      </c>
      <c r="O511" s="142">
        <f t="shared" si="265"/>
        <v>-0.29669999999999996</v>
      </c>
      <c r="P511" s="130" t="s">
        <v>304</v>
      </c>
      <c r="Q511" s="320"/>
      <c r="R511" s="32"/>
      <c r="S511" s="32"/>
    </row>
    <row r="512" spans="1:20" ht="15.6">
      <c r="A512" s="110" t="s">
        <v>517</v>
      </c>
      <c r="B512" s="111" t="s">
        <v>505</v>
      </c>
      <c r="C512" s="112" t="s">
        <v>449</v>
      </c>
      <c r="D512" s="113" t="s">
        <v>17</v>
      </c>
      <c r="E512" s="114" t="s">
        <v>15</v>
      </c>
      <c r="F512" s="115" t="s">
        <v>38</v>
      </c>
      <c r="G512" s="116">
        <v>12.9</v>
      </c>
      <c r="H512" s="125">
        <v>11</v>
      </c>
      <c r="I512" s="111">
        <v>20</v>
      </c>
      <c r="J512" s="117">
        <f t="shared" si="262"/>
        <v>2.8380000000000001</v>
      </c>
      <c r="K512" s="118"/>
      <c r="L512" s="111">
        <f>20+1</f>
        <v>21</v>
      </c>
      <c r="M512" s="117">
        <f t="shared" si="263"/>
        <v>2.9799000000000002</v>
      </c>
      <c r="N512" s="141">
        <f t="shared" si="264"/>
        <v>-1</v>
      </c>
      <c r="O512" s="142">
        <f t="shared" si="265"/>
        <v>-0.1419</v>
      </c>
      <c r="P512" s="130" t="s">
        <v>304</v>
      </c>
      <c r="Q512" s="320"/>
      <c r="R512" s="32"/>
      <c r="S512" s="32"/>
    </row>
    <row r="513" spans="1:19" ht="15.6">
      <c r="A513" s="110" t="s">
        <v>517</v>
      </c>
      <c r="B513" s="111" t="s">
        <v>505</v>
      </c>
      <c r="C513" s="112" t="s">
        <v>449</v>
      </c>
      <c r="D513" s="113" t="s">
        <v>17</v>
      </c>
      <c r="E513" s="114" t="s">
        <v>15</v>
      </c>
      <c r="F513" s="115" t="s">
        <v>38</v>
      </c>
      <c r="G513" s="116">
        <v>12.9</v>
      </c>
      <c r="H513" s="125">
        <v>10</v>
      </c>
      <c r="I513" s="111">
        <v>23</v>
      </c>
      <c r="J513" s="117">
        <f t="shared" si="262"/>
        <v>2.9670000000000001</v>
      </c>
      <c r="K513" s="118"/>
      <c r="L513" s="111">
        <v>22</v>
      </c>
      <c r="M513" s="117">
        <f t="shared" si="263"/>
        <v>2.8380000000000001</v>
      </c>
      <c r="N513" s="119">
        <f t="shared" si="264"/>
        <v>1</v>
      </c>
      <c r="O513" s="120">
        <f t="shared" si="265"/>
        <v>0.129</v>
      </c>
      <c r="P513" s="130"/>
      <c r="Q513" s="320"/>
      <c r="R513" s="32"/>
      <c r="S513" s="32"/>
    </row>
    <row r="514" spans="1:19" ht="15.6">
      <c r="A514" s="110" t="s">
        <v>517</v>
      </c>
      <c r="B514" s="111" t="s">
        <v>505</v>
      </c>
      <c r="C514" s="112" t="s">
        <v>449</v>
      </c>
      <c r="D514" s="113" t="s">
        <v>17</v>
      </c>
      <c r="E514" s="114" t="s">
        <v>15</v>
      </c>
      <c r="F514" s="115" t="s">
        <v>38</v>
      </c>
      <c r="G514" s="116">
        <v>12.9</v>
      </c>
      <c r="H514" s="125">
        <v>11.5</v>
      </c>
      <c r="I514" s="111">
        <v>2</v>
      </c>
      <c r="J514" s="117">
        <f t="shared" si="262"/>
        <v>0.29669999999999996</v>
      </c>
      <c r="K514" s="118"/>
      <c r="L514" s="111">
        <v>2</v>
      </c>
      <c r="M514" s="117">
        <f t="shared" si="263"/>
        <v>0.29669999999999996</v>
      </c>
      <c r="N514" s="119">
        <f t="shared" si="264"/>
        <v>0</v>
      </c>
      <c r="O514" s="120">
        <f t="shared" si="265"/>
        <v>0</v>
      </c>
      <c r="P514" s="130"/>
      <c r="Q514" s="320"/>
      <c r="R514" s="32"/>
      <c r="S514" s="32"/>
    </row>
    <row r="515" spans="1:19" ht="15.6">
      <c r="A515" s="110" t="s">
        <v>517</v>
      </c>
      <c r="B515" s="111" t="s">
        <v>505</v>
      </c>
      <c r="C515" s="112" t="s">
        <v>449</v>
      </c>
      <c r="D515" s="113" t="s">
        <v>17</v>
      </c>
      <c r="E515" s="114" t="s">
        <v>15</v>
      </c>
      <c r="F515" s="115" t="s">
        <v>38</v>
      </c>
      <c r="G515" s="116">
        <v>12.9</v>
      </c>
      <c r="H515" s="125">
        <v>12</v>
      </c>
      <c r="I515" s="111">
        <v>3</v>
      </c>
      <c r="J515" s="117">
        <f t="shared" si="262"/>
        <v>0.46440000000000003</v>
      </c>
      <c r="K515" s="118"/>
      <c r="L515" s="111">
        <v>3</v>
      </c>
      <c r="M515" s="117">
        <f t="shared" si="263"/>
        <v>0.46440000000000003</v>
      </c>
      <c r="N515" s="119">
        <f t="shared" si="264"/>
        <v>0</v>
      </c>
      <c r="O515" s="120">
        <f t="shared" si="265"/>
        <v>0</v>
      </c>
      <c r="P515" s="130"/>
      <c r="Q515" s="320"/>
      <c r="R515" s="32"/>
      <c r="S515" s="32"/>
    </row>
    <row r="516" spans="1:19" ht="15.6">
      <c r="A516" s="110" t="s">
        <v>517</v>
      </c>
      <c r="B516" s="111" t="s">
        <v>505</v>
      </c>
      <c r="C516" s="112" t="s">
        <v>449</v>
      </c>
      <c r="D516" s="113" t="s">
        <v>17</v>
      </c>
      <c r="E516" s="114" t="s">
        <v>15</v>
      </c>
      <c r="F516" s="115" t="s">
        <v>38</v>
      </c>
      <c r="G516" s="116">
        <v>12.9</v>
      </c>
      <c r="H516" s="125">
        <v>10.5</v>
      </c>
      <c r="I516" s="111">
        <v>22</v>
      </c>
      <c r="J516" s="117">
        <f t="shared" si="262"/>
        <v>2.9799000000000007</v>
      </c>
      <c r="K516" s="118"/>
      <c r="L516" s="111">
        <v>22</v>
      </c>
      <c r="M516" s="117">
        <f t="shared" si="263"/>
        <v>2.9799000000000002</v>
      </c>
      <c r="N516" s="119">
        <f t="shared" si="264"/>
        <v>0</v>
      </c>
      <c r="O516" s="120">
        <f t="shared" si="265"/>
        <v>0</v>
      </c>
      <c r="P516" s="130"/>
      <c r="Q516" s="320"/>
      <c r="R516" s="32"/>
      <c r="S516" s="32"/>
    </row>
    <row r="517" spans="1:19" ht="15.6">
      <c r="A517" s="110" t="s">
        <v>517</v>
      </c>
      <c r="B517" s="111" t="s">
        <v>505</v>
      </c>
      <c r="C517" s="112" t="s">
        <v>449</v>
      </c>
      <c r="D517" s="113" t="s">
        <v>17</v>
      </c>
      <c r="E517" s="114" t="s">
        <v>15</v>
      </c>
      <c r="F517" s="115" t="s">
        <v>38</v>
      </c>
      <c r="G517" s="116">
        <v>12.9</v>
      </c>
      <c r="H517" s="125">
        <v>12</v>
      </c>
      <c r="I517" s="111">
        <v>33</v>
      </c>
      <c r="J517" s="117">
        <f t="shared" si="262"/>
        <v>5.1084000000000005</v>
      </c>
      <c r="K517" s="118"/>
      <c r="L517" s="111">
        <v>33</v>
      </c>
      <c r="M517" s="117">
        <f t="shared" si="263"/>
        <v>5.1084000000000005</v>
      </c>
      <c r="N517" s="119">
        <f t="shared" si="264"/>
        <v>0</v>
      </c>
      <c r="O517" s="120">
        <f t="shared" si="265"/>
        <v>0</v>
      </c>
      <c r="P517" s="130"/>
      <c r="Q517" s="320"/>
      <c r="R517" s="32"/>
      <c r="S517" s="32"/>
    </row>
    <row r="518" spans="1:19" ht="15.6">
      <c r="A518" s="110" t="s">
        <v>517</v>
      </c>
      <c r="B518" s="111" t="s">
        <v>505</v>
      </c>
      <c r="C518" s="112" t="s">
        <v>449</v>
      </c>
      <c r="D518" s="113" t="s">
        <v>17</v>
      </c>
      <c r="E518" s="114" t="s">
        <v>15</v>
      </c>
      <c r="F518" s="115" t="s">
        <v>38</v>
      </c>
      <c r="G518" s="116">
        <v>12.9</v>
      </c>
      <c r="H518" s="125">
        <v>11.5</v>
      </c>
      <c r="I518" s="111">
        <v>23</v>
      </c>
      <c r="J518" s="117">
        <f t="shared" si="262"/>
        <v>3.4120499999999998</v>
      </c>
      <c r="K518" s="118"/>
      <c r="L518" s="111">
        <v>23</v>
      </c>
      <c r="M518" s="117">
        <f t="shared" si="263"/>
        <v>3.4120500000000002</v>
      </c>
      <c r="N518" s="119">
        <f t="shared" si="264"/>
        <v>0</v>
      </c>
      <c r="O518" s="120">
        <f t="shared" si="265"/>
        <v>0</v>
      </c>
      <c r="P518" s="130"/>
      <c r="Q518" s="320"/>
      <c r="R518" s="32"/>
      <c r="S518" s="32"/>
    </row>
    <row r="519" spans="1:19" ht="15.6">
      <c r="A519" s="110" t="s">
        <v>517</v>
      </c>
      <c r="B519" s="111" t="s">
        <v>505</v>
      </c>
      <c r="C519" s="112" t="s">
        <v>449</v>
      </c>
      <c r="D519" s="113" t="s">
        <v>17</v>
      </c>
      <c r="E519" s="114" t="s">
        <v>15</v>
      </c>
      <c r="F519" s="115" t="s">
        <v>38</v>
      </c>
      <c r="G519" s="116">
        <v>12.9</v>
      </c>
      <c r="H519" s="125">
        <v>11</v>
      </c>
      <c r="I519" s="111">
        <v>7</v>
      </c>
      <c r="J519" s="117">
        <f t="shared" si="262"/>
        <v>0.99330000000000007</v>
      </c>
      <c r="K519" s="118"/>
      <c r="L519" s="111">
        <f>4+3</f>
        <v>7</v>
      </c>
      <c r="M519" s="117">
        <f t="shared" si="263"/>
        <v>0.99330000000000007</v>
      </c>
      <c r="N519" s="119">
        <f t="shared" si="264"/>
        <v>0</v>
      </c>
      <c r="O519" s="120">
        <f t="shared" si="265"/>
        <v>0</v>
      </c>
      <c r="P519" s="130">
        <v>10.5</v>
      </c>
      <c r="Q519" s="320">
        <v>3</v>
      </c>
      <c r="R519" s="32"/>
      <c r="S519" s="32"/>
    </row>
    <row r="520" spans="1:19" ht="15.6">
      <c r="A520" s="110" t="s">
        <v>517</v>
      </c>
      <c r="B520" s="111" t="s">
        <v>505</v>
      </c>
      <c r="C520" s="112" t="s">
        <v>449</v>
      </c>
      <c r="D520" s="113" t="s">
        <v>17</v>
      </c>
      <c r="E520" s="114" t="s">
        <v>15</v>
      </c>
      <c r="F520" s="115" t="s">
        <v>38</v>
      </c>
      <c r="G520" s="116">
        <v>12.9</v>
      </c>
      <c r="H520" s="125">
        <v>10.5</v>
      </c>
      <c r="I520" s="111">
        <v>22</v>
      </c>
      <c r="J520" s="117">
        <f t="shared" si="262"/>
        <v>2.9799000000000007</v>
      </c>
      <c r="K520" s="118"/>
      <c r="L520" s="111">
        <v>22</v>
      </c>
      <c r="M520" s="117">
        <f t="shared" si="263"/>
        <v>2.9799000000000002</v>
      </c>
      <c r="N520" s="119">
        <f t="shared" si="264"/>
        <v>0</v>
      </c>
      <c r="O520" s="120">
        <f t="shared" si="265"/>
        <v>0</v>
      </c>
      <c r="P520" s="130"/>
      <c r="Q520" s="320"/>
      <c r="R520" s="32"/>
      <c r="S520" s="32"/>
    </row>
    <row r="521" spans="1:19" ht="15.6">
      <c r="A521" s="110" t="s">
        <v>517</v>
      </c>
      <c r="B521" s="111" t="s">
        <v>505</v>
      </c>
      <c r="C521" s="112" t="s">
        <v>449</v>
      </c>
      <c r="D521" s="113" t="s">
        <v>17</v>
      </c>
      <c r="E521" s="114" t="s">
        <v>15</v>
      </c>
      <c r="F521" s="115" t="s">
        <v>38</v>
      </c>
      <c r="G521" s="116">
        <v>12.9</v>
      </c>
      <c r="H521" s="125">
        <v>12</v>
      </c>
      <c r="I521" s="111">
        <v>6</v>
      </c>
      <c r="J521" s="117">
        <f t="shared" si="262"/>
        <v>0.92880000000000007</v>
      </c>
      <c r="K521" s="118"/>
      <c r="L521" s="111">
        <v>6</v>
      </c>
      <c r="M521" s="117">
        <f t="shared" si="263"/>
        <v>0.92880000000000007</v>
      </c>
      <c r="N521" s="119">
        <f t="shared" si="264"/>
        <v>0</v>
      </c>
      <c r="O521" s="120">
        <f t="shared" si="265"/>
        <v>0</v>
      </c>
      <c r="P521" s="130"/>
      <c r="Q521" s="320"/>
      <c r="R521" s="32"/>
      <c r="S521" s="32"/>
    </row>
    <row r="522" spans="1:19" ht="15.6">
      <c r="A522" s="110" t="s">
        <v>517</v>
      </c>
      <c r="B522" s="111" t="s">
        <v>505</v>
      </c>
      <c r="C522" s="112" t="s">
        <v>449</v>
      </c>
      <c r="D522" s="113" t="s">
        <v>17</v>
      </c>
      <c r="E522" s="114" t="s">
        <v>15</v>
      </c>
      <c r="F522" s="115" t="s">
        <v>38</v>
      </c>
      <c r="G522" s="116">
        <v>12.9</v>
      </c>
      <c r="H522" s="125">
        <v>10</v>
      </c>
      <c r="I522" s="111">
        <v>10</v>
      </c>
      <c r="J522" s="117">
        <f t="shared" si="262"/>
        <v>1.29</v>
      </c>
      <c r="K522" s="118"/>
      <c r="L522" s="111">
        <v>10</v>
      </c>
      <c r="M522" s="117">
        <f t="shared" si="263"/>
        <v>1.29</v>
      </c>
      <c r="N522" s="119">
        <f t="shared" si="264"/>
        <v>0</v>
      </c>
      <c r="O522" s="120">
        <f>H522*N522*G522/1000</f>
        <v>0</v>
      </c>
      <c r="P522" s="130"/>
      <c r="Q522" s="320"/>
      <c r="R522" s="32"/>
      <c r="S522" s="32"/>
    </row>
    <row r="523" spans="1:19" ht="15.6">
      <c r="A523" s="110" t="s">
        <v>517</v>
      </c>
      <c r="B523" s="111" t="s">
        <v>505</v>
      </c>
      <c r="C523" s="112" t="s">
        <v>449</v>
      </c>
      <c r="D523" s="113" t="s">
        <v>17</v>
      </c>
      <c r="E523" s="114" t="s">
        <v>15</v>
      </c>
      <c r="F523" s="115" t="s">
        <v>38</v>
      </c>
      <c r="G523" s="116">
        <v>12.9</v>
      </c>
      <c r="H523" s="125">
        <v>9.5</v>
      </c>
      <c r="I523" s="111">
        <v>1</v>
      </c>
      <c r="J523" s="117">
        <f t="shared" si="262"/>
        <v>0.12254999999999999</v>
      </c>
      <c r="K523" s="118"/>
      <c r="L523" s="111"/>
      <c r="M523" s="117">
        <f t="shared" si="263"/>
        <v>0</v>
      </c>
      <c r="N523" s="119">
        <f t="shared" si="264"/>
        <v>1</v>
      </c>
      <c r="O523" s="120">
        <f>H523*N523*G523/1000</f>
        <v>0.12254999999999999</v>
      </c>
      <c r="P523" s="130"/>
      <c r="Q523" s="320"/>
      <c r="R523" s="32"/>
      <c r="S523" s="32"/>
    </row>
    <row r="524" spans="1:19">
      <c r="I524" s="215">
        <f>SUM(I508:I523)</f>
        <v>258</v>
      </c>
      <c r="J524" s="214">
        <f>SUM(J508:J523)</f>
        <v>37.09395</v>
      </c>
      <c r="K524" s="215"/>
      <c r="L524" s="215">
        <f>SUM(L508:L523)</f>
        <v>260</v>
      </c>
      <c r="M524" s="214">
        <f>SUM(M508:M523)</f>
        <v>37.435800000000008</v>
      </c>
      <c r="N524" s="78">
        <f>SUM(N508:N523)</f>
        <v>-2</v>
      </c>
      <c r="O524" s="128">
        <f>SUM(O508:O523)</f>
        <v>-0.34185000000000004</v>
      </c>
    </row>
    <row r="526" spans="1:19" ht="15.6">
      <c r="A526" s="110" t="s">
        <v>517</v>
      </c>
      <c r="B526" s="111" t="s">
        <v>505</v>
      </c>
      <c r="C526" s="112" t="s">
        <v>449</v>
      </c>
      <c r="D526" s="113" t="s">
        <v>19</v>
      </c>
      <c r="E526" s="114" t="s">
        <v>14</v>
      </c>
      <c r="F526" s="115" t="s">
        <v>38</v>
      </c>
      <c r="G526" s="116">
        <v>12.9</v>
      </c>
      <c r="H526" s="125">
        <v>6.5</v>
      </c>
      <c r="I526" s="111">
        <v>30</v>
      </c>
      <c r="J526" s="117">
        <f t="shared" ref="J526" si="266">H526*G526*I526/1000</f>
        <v>2.5155000000000003</v>
      </c>
      <c r="K526" s="118"/>
      <c r="L526" s="111">
        <v>30</v>
      </c>
      <c r="M526" s="117">
        <f t="shared" ref="M526" si="267">H526*L526*G526/1000</f>
        <v>2.5154999999999998</v>
      </c>
      <c r="N526" s="119">
        <f t="shared" ref="N526" si="268">I526-L526</f>
        <v>0</v>
      </c>
      <c r="O526" s="120">
        <f t="shared" ref="O526" si="269">H526*N526*G526/1000</f>
        <v>0</v>
      </c>
      <c r="P526" s="130"/>
      <c r="Q526" s="320"/>
      <c r="R526" s="32"/>
      <c r="S526" s="32"/>
    </row>
    <row r="527" spans="1:19" ht="15.6">
      <c r="A527" s="110" t="s">
        <v>517</v>
      </c>
      <c r="B527" s="111" t="s">
        <v>505</v>
      </c>
      <c r="C527" s="112" t="s">
        <v>449</v>
      </c>
      <c r="D527" s="113" t="s">
        <v>19</v>
      </c>
      <c r="E527" s="114" t="s">
        <v>14</v>
      </c>
      <c r="F527" s="115" t="s">
        <v>38</v>
      </c>
      <c r="G527" s="116">
        <v>12.9</v>
      </c>
      <c r="H527" s="125">
        <v>6.5</v>
      </c>
      <c r="I527" s="111">
        <v>30</v>
      </c>
      <c r="J527" s="117">
        <f t="shared" ref="J527:J537" si="270">H527*G527*I527/1000</f>
        <v>2.5155000000000003</v>
      </c>
      <c r="K527" s="118"/>
      <c r="L527" s="111">
        <v>30</v>
      </c>
      <c r="M527" s="117">
        <f t="shared" ref="M527:M538" si="271">H527*L527*G527/1000</f>
        <v>2.5154999999999998</v>
      </c>
      <c r="N527" s="119">
        <f t="shared" ref="N527:N538" si="272">I527-L527</f>
        <v>0</v>
      </c>
      <c r="O527" s="120">
        <f t="shared" ref="O527:O538" si="273">H527*N527*G527/1000</f>
        <v>0</v>
      </c>
      <c r="P527" s="130"/>
      <c r="Q527" s="320"/>
      <c r="R527" s="32"/>
      <c r="S527" s="32"/>
    </row>
    <row r="528" spans="1:19" ht="15.6">
      <c r="A528" s="110" t="s">
        <v>517</v>
      </c>
      <c r="B528" s="111" t="s">
        <v>505</v>
      </c>
      <c r="C528" s="112" t="s">
        <v>449</v>
      </c>
      <c r="D528" s="113" t="s">
        <v>19</v>
      </c>
      <c r="E528" s="114" t="s">
        <v>14</v>
      </c>
      <c r="F528" s="115" t="s">
        <v>38</v>
      </c>
      <c r="G528" s="116">
        <v>12.9</v>
      </c>
      <c r="H528" s="125">
        <v>6.5</v>
      </c>
      <c r="I528" s="111">
        <v>30</v>
      </c>
      <c r="J528" s="117">
        <f t="shared" si="270"/>
        <v>2.5155000000000003</v>
      </c>
      <c r="K528" s="118"/>
      <c r="L528" s="111">
        <v>30</v>
      </c>
      <c r="M528" s="117">
        <f t="shared" si="271"/>
        <v>2.5154999999999998</v>
      </c>
      <c r="N528" s="119">
        <f t="shared" si="272"/>
        <v>0</v>
      </c>
      <c r="O528" s="120">
        <f t="shared" si="273"/>
        <v>0</v>
      </c>
      <c r="P528" s="130"/>
      <c r="Q528" s="320"/>
      <c r="R528" s="32"/>
      <c r="S528" s="32"/>
    </row>
    <row r="529" spans="1:19" ht="15.6">
      <c r="A529" s="110" t="s">
        <v>517</v>
      </c>
      <c r="B529" s="111" t="s">
        <v>505</v>
      </c>
      <c r="C529" s="112" t="s">
        <v>449</v>
      </c>
      <c r="D529" s="113" t="s">
        <v>19</v>
      </c>
      <c r="E529" s="114" t="s">
        <v>14</v>
      </c>
      <c r="F529" s="115" t="s">
        <v>38</v>
      </c>
      <c r="G529" s="116">
        <v>12.9</v>
      </c>
      <c r="H529" s="125">
        <v>6.5</v>
      </c>
      <c r="I529" s="111">
        <v>27</v>
      </c>
      <c r="J529" s="117">
        <f t="shared" si="270"/>
        <v>2.2639500000000004</v>
      </c>
      <c r="K529" s="118"/>
      <c r="L529" s="111">
        <v>27</v>
      </c>
      <c r="M529" s="117">
        <f t="shared" si="271"/>
        <v>2.2639500000000004</v>
      </c>
      <c r="N529" s="119">
        <f t="shared" si="272"/>
        <v>0</v>
      </c>
      <c r="O529" s="120">
        <f t="shared" si="273"/>
        <v>0</v>
      </c>
      <c r="P529" s="130"/>
      <c r="Q529" s="320"/>
      <c r="R529" s="32"/>
      <c r="S529" s="32"/>
    </row>
    <row r="530" spans="1:19" ht="15.6">
      <c r="A530" s="110" t="s">
        <v>517</v>
      </c>
      <c r="B530" s="111" t="s">
        <v>505</v>
      </c>
      <c r="C530" s="112" t="s">
        <v>449</v>
      </c>
      <c r="D530" s="113" t="s">
        <v>19</v>
      </c>
      <c r="E530" s="114" t="s">
        <v>14</v>
      </c>
      <c r="F530" s="115" t="s">
        <v>38</v>
      </c>
      <c r="G530" s="116">
        <v>12.9</v>
      </c>
      <c r="H530" s="125">
        <v>6.5</v>
      </c>
      <c r="I530" s="111">
        <v>27</v>
      </c>
      <c r="J530" s="117">
        <f t="shared" si="270"/>
        <v>2.2639500000000004</v>
      </c>
      <c r="K530" s="118"/>
      <c r="L530" s="111">
        <v>27</v>
      </c>
      <c r="M530" s="117">
        <f t="shared" si="271"/>
        <v>2.2639500000000004</v>
      </c>
      <c r="N530" s="119">
        <f t="shared" si="272"/>
        <v>0</v>
      </c>
      <c r="O530" s="120">
        <f t="shared" si="273"/>
        <v>0</v>
      </c>
      <c r="P530" s="130"/>
      <c r="Q530" s="320"/>
      <c r="R530" s="32"/>
      <c r="S530" s="32"/>
    </row>
    <row r="531" spans="1:19" ht="15.6">
      <c r="A531" s="110" t="s">
        <v>517</v>
      </c>
      <c r="B531" s="111" t="s">
        <v>505</v>
      </c>
      <c r="C531" s="112" t="s">
        <v>449</v>
      </c>
      <c r="D531" s="113" t="s">
        <v>19</v>
      </c>
      <c r="E531" s="114" t="s">
        <v>14</v>
      </c>
      <c r="F531" s="115" t="s">
        <v>38</v>
      </c>
      <c r="G531" s="116">
        <v>12.9</v>
      </c>
      <c r="H531" s="125">
        <v>6.5</v>
      </c>
      <c r="I531" s="111">
        <v>15</v>
      </c>
      <c r="J531" s="117">
        <f t="shared" si="270"/>
        <v>1.2577500000000001</v>
      </c>
      <c r="K531" s="118"/>
      <c r="L531" s="111">
        <v>15</v>
      </c>
      <c r="M531" s="117">
        <f t="shared" si="271"/>
        <v>1.2577499999999999</v>
      </c>
      <c r="N531" s="119">
        <f t="shared" si="272"/>
        <v>0</v>
      </c>
      <c r="O531" s="120">
        <f t="shared" si="273"/>
        <v>0</v>
      </c>
      <c r="P531" s="130"/>
      <c r="Q531" s="320"/>
      <c r="R531" s="32"/>
      <c r="S531" s="32"/>
    </row>
    <row r="532" spans="1:19" ht="15.6">
      <c r="A532" s="110" t="s">
        <v>517</v>
      </c>
      <c r="B532" s="111" t="s">
        <v>505</v>
      </c>
      <c r="C532" s="112" t="s">
        <v>449</v>
      </c>
      <c r="D532" s="113" t="s">
        <v>19</v>
      </c>
      <c r="E532" s="114" t="s">
        <v>14</v>
      </c>
      <c r="F532" s="115" t="s">
        <v>38</v>
      </c>
      <c r="G532" s="116">
        <v>12.9</v>
      </c>
      <c r="H532" s="125">
        <v>6.3</v>
      </c>
      <c r="I532" s="111">
        <v>1</v>
      </c>
      <c r="J532" s="117">
        <f t="shared" si="270"/>
        <v>8.1269999999999995E-2</v>
      </c>
      <c r="K532" s="118"/>
      <c r="L532" s="111">
        <v>1</v>
      </c>
      <c r="M532" s="117">
        <f t="shared" si="271"/>
        <v>8.1269999999999995E-2</v>
      </c>
      <c r="N532" s="119">
        <f t="shared" si="272"/>
        <v>0</v>
      </c>
      <c r="O532" s="120">
        <f t="shared" si="273"/>
        <v>0</v>
      </c>
      <c r="P532" s="130">
        <v>6.5</v>
      </c>
      <c r="Q532" s="320">
        <v>1</v>
      </c>
      <c r="R532" s="32"/>
      <c r="S532" s="32"/>
    </row>
    <row r="533" spans="1:19" ht="15.6">
      <c r="A533" s="110" t="s">
        <v>517</v>
      </c>
      <c r="B533" s="111" t="s">
        <v>505</v>
      </c>
      <c r="C533" s="112" t="s">
        <v>449</v>
      </c>
      <c r="D533" s="113" t="s">
        <v>19</v>
      </c>
      <c r="E533" s="114" t="s">
        <v>14</v>
      </c>
      <c r="F533" s="115" t="s">
        <v>38</v>
      </c>
      <c r="G533" s="116">
        <v>12.9</v>
      </c>
      <c r="H533" s="125">
        <v>6.5</v>
      </c>
      <c r="I533" s="111">
        <v>30</v>
      </c>
      <c r="J533" s="117">
        <f t="shared" si="270"/>
        <v>2.5155000000000003</v>
      </c>
      <c r="K533" s="118"/>
      <c r="L533" s="111">
        <v>30</v>
      </c>
      <c r="M533" s="117">
        <f t="shared" si="271"/>
        <v>2.5154999999999998</v>
      </c>
      <c r="N533" s="119">
        <f t="shared" si="272"/>
        <v>0</v>
      </c>
      <c r="O533" s="120">
        <f t="shared" si="273"/>
        <v>0</v>
      </c>
      <c r="P533" s="130"/>
      <c r="Q533" s="320"/>
      <c r="R533" s="32"/>
      <c r="S533" s="32"/>
    </row>
    <row r="534" spans="1:19" ht="15.6">
      <c r="A534" s="110" t="s">
        <v>517</v>
      </c>
      <c r="B534" s="111" t="s">
        <v>505</v>
      </c>
      <c r="C534" s="112" t="s">
        <v>449</v>
      </c>
      <c r="D534" s="113" t="s">
        <v>19</v>
      </c>
      <c r="E534" s="114" t="s">
        <v>14</v>
      </c>
      <c r="F534" s="115" t="s">
        <v>38</v>
      </c>
      <c r="G534" s="116">
        <v>12.9</v>
      </c>
      <c r="H534" s="125">
        <v>6.5</v>
      </c>
      <c r="I534" s="111">
        <v>30</v>
      </c>
      <c r="J534" s="117">
        <f t="shared" si="270"/>
        <v>2.5155000000000003</v>
      </c>
      <c r="K534" s="118"/>
      <c r="L534" s="111">
        <v>30</v>
      </c>
      <c r="M534" s="117">
        <f t="shared" si="271"/>
        <v>2.5154999999999998</v>
      </c>
      <c r="N534" s="119">
        <f t="shared" si="272"/>
        <v>0</v>
      </c>
      <c r="O534" s="120">
        <f t="shared" si="273"/>
        <v>0</v>
      </c>
      <c r="P534" s="130"/>
      <c r="Q534" s="320"/>
      <c r="R534" s="32"/>
      <c r="S534" s="32"/>
    </row>
    <row r="535" spans="1:19" ht="15.6">
      <c r="A535" s="110" t="s">
        <v>517</v>
      </c>
      <c r="B535" s="111" t="s">
        <v>505</v>
      </c>
      <c r="C535" s="112" t="s">
        <v>449</v>
      </c>
      <c r="D535" s="113" t="s">
        <v>19</v>
      </c>
      <c r="E535" s="114" t="s">
        <v>14</v>
      </c>
      <c r="F535" s="115" t="s">
        <v>38</v>
      </c>
      <c r="G535" s="116">
        <v>12.9</v>
      </c>
      <c r="H535" s="125">
        <v>6.5</v>
      </c>
      <c r="I535" s="111">
        <v>30</v>
      </c>
      <c r="J535" s="117">
        <f t="shared" si="270"/>
        <v>2.5155000000000003</v>
      </c>
      <c r="K535" s="118"/>
      <c r="L535" s="111">
        <v>30</v>
      </c>
      <c r="M535" s="117">
        <f t="shared" si="271"/>
        <v>2.5154999999999998</v>
      </c>
      <c r="N535" s="119">
        <f t="shared" si="272"/>
        <v>0</v>
      </c>
      <c r="O535" s="120">
        <f t="shared" si="273"/>
        <v>0</v>
      </c>
      <c r="P535" s="130"/>
      <c r="Q535" s="320"/>
      <c r="R535" s="32"/>
      <c r="S535" s="32"/>
    </row>
    <row r="536" spans="1:19" ht="15.6">
      <c r="A536" s="110" t="s">
        <v>517</v>
      </c>
      <c r="B536" s="111" t="s">
        <v>505</v>
      </c>
      <c r="C536" s="112" t="s">
        <v>449</v>
      </c>
      <c r="D536" s="113" t="s">
        <v>19</v>
      </c>
      <c r="E536" s="114" t="s">
        <v>14</v>
      </c>
      <c r="F536" s="115" t="s">
        <v>38</v>
      </c>
      <c r="G536" s="116">
        <v>12.9</v>
      </c>
      <c r="H536" s="125">
        <v>6.5</v>
      </c>
      <c r="I536" s="111">
        <v>29</v>
      </c>
      <c r="J536" s="117">
        <f t="shared" si="270"/>
        <v>2.4316500000000003</v>
      </c>
      <c r="K536" s="118"/>
      <c r="L536" s="111">
        <v>29</v>
      </c>
      <c r="M536" s="117">
        <f t="shared" si="271"/>
        <v>2.4316500000000003</v>
      </c>
      <c r="N536" s="119">
        <f t="shared" si="272"/>
        <v>0</v>
      </c>
      <c r="O536" s="120">
        <f t="shared" si="273"/>
        <v>0</v>
      </c>
      <c r="P536" s="130"/>
      <c r="Q536" s="320"/>
      <c r="R536" s="32"/>
      <c r="S536" s="32"/>
    </row>
    <row r="537" spans="1:19" ht="15.6">
      <c r="A537" s="110" t="s">
        <v>517</v>
      </c>
      <c r="B537" s="111" t="s">
        <v>505</v>
      </c>
      <c r="C537" s="112" t="s">
        <v>449</v>
      </c>
      <c r="D537" s="113" t="s">
        <v>19</v>
      </c>
      <c r="E537" s="114" t="s">
        <v>14</v>
      </c>
      <c r="F537" s="115" t="s">
        <v>38</v>
      </c>
      <c r="G537" s="116">
        <v>12.9</v>
      </c>
      <c r="H537" s="125">
        <v>6</v>
      </c>
      <c r="I537" s="111">
        <v>1</v>
      </c>
      <c r="J537" s="117">
        <f t="shared" si="270"/>
        <v>7.740000000000001E-2</v>
      </c>
      <c r="K537" s="118"/>
      <c r="L537" s="111"/>
      <c r="M537" s="117">
        <f t="shared" si="271"/>
        <v>0</v>
      </c>
      <c r="N537" s="119">
        <f t="shared" si="272"/>
        <v>1</v>
      </c>
      <c r="O537" s="120">
        <f t="shared" si="273"/>
        <v>7.740000000000001E-2</v>
      </c>
      <c r="P537" s="130"/>
      <c r="Q537" s="320"/>
      <c r="R537" s="32"/>
      <c r="S537" s="32"/>
    </row>
    <row r="538" spans="1:19" ht="15.6">
      <c r="A538" s="110" t="s">
        <v>517</v>
      </c>
      <c r="B538" s="111" t="s">
        <v>505</v>
      </c>
      <c r="C538" s="112" t="s">
        <v>449</v>
      </c>
      <c r="D538" s="113" t="s">
        <v>19</v>
      </c>
      <c r="E538" s="114" t="s">
        <v>14</v>
      </c>
      <c r="F538" s="115" t="s">
        <v>38</v>
      </c>
      <c r="G538" s="116">
        <v>12.9</v>
      </c>
      <c r="H538" s="125">
        <v>11.5</v>
      </c>
      <c r="I538" s="111">
        <v>1</v>
      </c>
      <c r="J538" s="117">
        <f>H538*G538*I538/1000</f>
        <v>0.14834999999999998</v>
      </c>
      <c r="K538" s="118"/>
      <c r="L538" s="111">
        <v>1</v>
      </c>
      <c r="M538" s="117">
        <f t="shared" si="271"/>
        <v>0.14834999999999998</v>
      </c>
      <c r="N538" s="119">
        <f t="shared" si="272"/>
        <v>0</v>
      </c>
      <c r="O538" s="120">
        <f t="shared" si="273"/>
        <v>0</v>
      </c>
      <c r="P538" s="130">
        <v>6.5</v>
      </c>
      <c r="Q538" s="320">
        <v>1</v>
      </c>
      <c r="R538" s="32"/>
      <c r="S538" s="32"/>
    </row>
    <row r="539" spans="1:19" ht="15.6">
      <c r="A539" s="110" t="s">
        <v>517</v>
      </c>
      <c r="B539" s="111" t="s">
        <v>505</v>
      </c>
      <c r="C539" s="112" t="s">
        <v>449</v>
      </c>
      <c r="D539" s="113" t="s">
        <v>19</v>
      </c>
      <c r="E539" s="114" t="s">
        <v>14</v>
      </c>
      <c r="F539" s="115" t="s">
        <v>38</v>
      </c>
      <c r="G539" s="116">
        <v>12.9</v>
      </c>
      <c r="H539" s="125">
        <v>6.5</v>
      </c>
      <c r="I539" s="111">
        <v>30</v>
      </c>
      <c r="J539" s="117">
        <f>H539*G539*I539/1000</f>
        <v>2.5155000000000003</v>
      </c>
      <c r="K539" s="118"/>
      <c r="L539" s="111">
        <v>30</v>
      </c>
      <c r="M539" s="117">
        <f t="shared" ref="M539" si="274">H539*L539*G539/1000</f>
        <v>2.5154999999999998</v>
      </c>
      <c r="N539" s="119">
        <f t="shared" ref="N539" si="275">I539-L539</f>
        <v>0</v>
      </c>
      <c r="O539" s="120">
        <f t="shared" ref="O539" si="276">H539*N539*G539/1000</f>
        <v>0</v>
      </c>
      <c r="P539" s="130"/>
      <c r="Q539" s="320"/>
      <c r="R539" s="32"/>
      <c r="S539" s="32"/>
    </row>
    <row r="540" spans="1:19" ht="15.6">
      <c r="A540" s="110"/>
      <c r="B540" s="111"/>
      <c r="C540" s="112"/>
      <c r="D540" s="113"/>
      <c r="E540" s="114"/>
      <c r="F540" s="115"/>
      <c r="G540" s="116"/>
      <c r="H540" s="125"/>
      <c r="I540" s="407">
        <f>SUM(I526:I539)</f>
        <v>311</v>
      </c>
      <c r="J540" s="174">
        <f>SUM(J526:J539)</f>
        <v>26.132820000000002</v>
      </c>
      <c r="K540" s="118"/>
      <c r="L540" s="407">
        <f>SUM(L526:L539)</f>
        <v>310</v>
      </c>
      <c r="M540" s="174">
        <f>SUM(M526:M539)</f>
        <v>26.055420000000002</v>
      </c>
      <c r="N540" s="408">
        <f>SUM(N526:N539)</f>
        <v>1</v>
      </c>
      <c r="O540" s="356">
        <f>SUM(O526:O539)</f>
        <v>7.740000000000001E-2</v>
      </c>
      <c r="P540" s="130"/>
      <c r="Q540" s="320"/>
      <c r="R540" s="32"/>
      <c r="S540" s="32"/>
    </row>
    <row r="544" spans="1:19" ht="15.6">
      <c r="A544" s="110" t="s">
        <v>517</v>
      </c>
      <c r="B544" s="111" t="s">
        <v>505</v>
      </c>
      <c r="C544" s="112" t="s">
        <v>449</v>
      </c>
      <c r="D544" s="113" t="s">
        <v>17</v>
      </c>
      <c r="E544" s="114" t="s">
        <v>15</v>
      </c>
      <c r="F544" s="115" t="s">
        <v>39</v>
      </c>
      <c r="G544" s="116">
        <v>14.7</v>
      </c>
      <c r="H544" s="126">
        <v>7.1</v>
      </c>
      <c r="I544" s="321">
        <v>24</v>
      </c>
      <c r="J544" s="117">
        <f t="shared" ref="J544" si="277">H544*G544*I544/1000</f>
        <v>2.5048799999999996</v>
      </c>
      <c r="K544" s="118"/>
      <c r="L544" s="321">
        <v>24</v>
      </c>
      <c r="M544" s="117">
        <f t="shared" ref="M544" si="278">H544*L544*G544/1000</f>
        <v>2.5048799999999996</v>
      </c>
      <c r="N544" s="119">
        <f t="shared" ref="N544" si="279">I544-L544</f>
        <v>0</v>
      </c>
      <c r="O544" s="120">
        <f t="shared" ref="O544" si="280">H544*N544*G544/1000</f>
        <v>0</v>
      </c>
      <c r="P544" s="130"/>
      <c r="Q544" s="320"/>
      <c r="R544" s="32"/>
      <c r="S544" s="32"/>
    </row>
    <row r="545" spans="1:21" ht="15.6">
      <c r="A545" s="110" t="s">
        <v>517</v>
      </c>
      <c r="B545" s="111" t="s">
        <v>505</v>
      </c>
      <c r="C545" s="112" t="s">
        <v>449</v>
      </c>
      <c r="D545" s="113" t="s">
        <v>17</v>
      </c>
      <c r="E545" s="114" t="s">
        <v>15</v>
      </c>
      <c r="F545" s="115" t="s">
        <v>39</v>
      </c>
      <c r="G545" s="116">
        <v>14.7</v>
      </c>
      <c r="H545" s="126">
        <v>7.1</v>
      </c>
      <c r="I545" s="321">
        <v>24</v>
      </c>
      <c r="J545" s="117">
        <f t="shared" ref="J545:J556" si="281">H545*G545*I545/1000</f>
        <v>2.5048799999999996</v>
      </c>
      <c r="K545" s="118"/>
      <c r="L545" s="321">
        <v>24</v>
      </c>
      <c r="M545" s="117">
        <f t="shared" ref="M545:M556" si="282">H545*L545*G545/1000</f>
        <v>2.5048799999999996</v>
      </c>
      <c r="N545" s="119">
        <f t="shared" ref="N545:N556" si="283">I545-L545</f>
        <v>0</v>
      </c>
      <c r="O545" s="120">
        <f t="shared" ref="O545:O556" si="284">H545*N545*G545/1000</f>
        <v>0</v>
      </c>
      <c r="P545" s="130"/>
      <c r="Q545" s="320"/>
      <c r="R545" s="32"/>
      <c r="S545" s="32"/>
    </row>
    <row r="546" spans="1:21" ht="15.6">
      <c r="A546" s="110" t="s">
        <v>517</v>
      </c>
      <c r="B546" s="111" t="s">
        <v>505</v>
      </c>
      <c r="C546" s="112" t="s">
        <v>449</v>
      </c>
      <c r="D546" s="113" t="s">
        <v>17</v>
      </c>
      <c r="E546" s="114" t="s">
        <v>15</v>
      </c>
      <c r="F546" s="115" t="s">
        <v>39</v>
      </c>
      <c r="G546" s="116">
        <v>14.7</v>
      </c>
      <c r="H546" s="126">
        <v>7.1</v>
      </c>
      <c r="I546" s="321">
        <v>2</v>
      </c>
      <c r="J546" s="117">
        <f t="shared" si="281"/>
        <v>0.20873999999999998</v>
      </c>
      <c r="K546" s="118"/>
      <c r="L546" s="111"/>
      <c r="M546" s="117">
        <f t="shared" si="282"/>
        <v>0</v>
      </c>
      <c r="N546" s="119">
        <f t="shared" si="283"/>
        <v>2</v>
      </c>
      <c r="O546" s="120">
        <f t="shared" si="284"/>
        <v>0.20873999999999998</v>
      </c>
      <c r="P546" s="130"/>
      <c r="Q546" s="320"/>
      <c r="R546" s="32"/>
      <c r="S546" s="32"/>
    </row>
    <row r="547" spans="1:21" ht="15.6">
      <c r="A547" s="110" t="s">
        <v>517</v>
      </c>
      <c r="B547" s="111" t="s">
        <v>505</v>
      </c>
      <c r="C547" s="112" t="s">
        <v>449</v>
      </c>
      <c r="D547" s="113" t="s">
        <v>17</v>
      </c>
      <c r="E547" s="114" t="s">
        <v>15</v>
      </c>
      <c r="F547" s="115" t="s">
        <v>39</v>
      </c>
      <c r="G547" s="116">
        <v>14.7</v>
      </c>
      <c r="H547" s="126">
        <v>11</v>
      </c>
      <c r="I547" s="321">
        <v>14</v>
      </c>
      <c r="J547" s="117">
        <f t="shared" si="281"/>
        <v>2.2637999999999998</v>
      </c>
      <c r="K547" s="118"/>
      <c r="L547" s="321">
        <v>14</v>
      </c>
      <c r="M547" s="117">
        <f t="shared" si="282"/>
        <v>2.2637999999999998</v>
      </c>
      <c r="N547" s="119">
        <f t="shared" si="283"/>
        <v>0</v>
      </c>
      <c r="O547" s="120">
        <f t="shared" si="284"/>
        <v>0</v>
      </c>
      <c r="P547" s="130"/>
      <c r="Q547" s="320"/>
      <c r="R547" s="32"/>
      <c r="S547" s="32"/>
    </row>
    <row r="548" spans="1:21" ht="15.6">
      <c r="A548" s="110" t="s">
        <v>517</v>
      </c>
      <c r="B548" s="111" t="s">
        <v>505</v>
      </c>
      <c r="C548" s="112" t="s">
        <v>449</v>
      </c>
      <c r="D548" s="113" t="s">
        <v>17</v>
      </c>
      <c r="E548" s="114" t="s">
        <v>15</v>
      </c>
      <c r="F548" s="115" t="s">
        <v>39</v>
      </c>
      <c r="G548" s="116">
        <v>14.7</v>
      </c>
      <c r="H548" s="126">
        <v>11.5</v>
      </c>
      <c r="I548" s="321">
        <v>21</v>
      </c>
      <c r="J548" s="117">
        <f t="shared" si="281"/>
        <v>3.5500499999999997</v>
      </c>
      <c r="K548" s="118"/>
      <c r="L548" s="321">
        <v>21</v>
      </c>
      <c r="M548" s="117">
        <f t="shared" si="282"/>
        <v>3.5500499999999997</v>
      </c>
      <c r="N548" s="119">
        <f t="shared" si="283"/>
        <v>0</v>
      </c>
      <c r="O548" s="120">
        <f t="shared" si="284"/>
        <v>0</v>
      </c>
      <c r="P548" s="130"/>
      <c r="Q548" s="320"/>
      <c r="R548" s="32"/>
      <c r="S548" s="32"/>
    </row>
    <row r="549" spans="1:21" ht="15.6">
      <c r="A549" s="110" t="s">
        <v>517</v>
      </c>
      <c r="B549" s="111" t="s">
        <v>505</v>
      </c>
      <c r="C549" s="112" t="s">
        <v>449</v>
      </c>
      <c r="D549" s="113" t="s">
        <v>17</v>
      </c>
      <c r="E549" s="114" t="s">
        <v>15</v>
      </c>
      <c r="F549" s="115" t="s">
        <v>39</v>
      </c>
      <c r="G549" s="116">
        <v>14.7</v>
      </c>
      <c r="H549" s="126">
        <v>11.5</v>
      </c>
      <c r="I549" s="321">
        <v>1</v>
      </c>
      <c r="J549" s="117">
        <f t="shared" si="281"/>
        <v>0.16904999999999998</v>
      </c>
      <c r="K549" s="118"/>
      <c r="L549" s="111">
        <v>1</v>
      </c>
      <c r="M549" s="117">
        <f t="shared" si="282"/>
        <v>0.16904999999999998</v>
      </c>
      <c r="N549" s="119">
        <f t="shared" si="283"/>
        <v>0</v>
      </c>
      <c r="O549" s="120">
        <f t="shared" si="284"/>
        <v>0</v>
      </c>
      <c r="P549" s="130">
        <v>11</v>
      </c>
      <c r="Q549" s="320">
        <v>1</v>
      </c>
      <c r="R549" s="32"/>
      <c r="S549" s="32"/>
    </row>
    <row r="550" spans="1:21" ht="15.6">
      <c r="A550" s="110" t="s">
        <v>517</v>
      </c>
      <c r="B550" s="111" t="s">
        <v>505</v>
      </c>
      <c r="C550" s="112" t="s">
        <v>449</v>
      </c>
      <c r="D550" s="113" t="s">
        <v>17</v>
      </c>
      <c r="E550" s="114" t="s">
        <v>15</v>
      </c>
      <c r="F550" s="115" t="s">
        <v>39</v>
      </c>
      <c r="G550" s="116">
        <v>14.7</v>
      </c>
      <c r="H550" s="126">
        <v>12</v>
      </c>
      <c r="I550" s="321">
        <v>8</v>
      </c>
      <c r="J550" s="117">
        <f t="shared" si="281"/>
        <v>1.4111999999999998</v>
      </c>
      <c r="K550" s="118"/>
      <c r="L550" s="111">
        <v>8</v>
      </c>
      <c r="M550" s="117">
        <f t="shared" si="282"/>
        <v>1.4111999999999998</v>
      </c>
      <c r="N550" s="119">
        <f t="shared" si="283"/>
        <v>0</v>
      </c>
      <c r="O550" s="120">
        <f t="shared" si="284"/>
        <v>0</v>
      </c>
      <c r="P550" s="130"/>
      <c r="Q550" s="320"/>
      <c r="R550" s="32"/>
      <c r="S550" s="32"/>
    </row>
    <row r="551" spans="1:21" ht="15.6">
      <c r="A551" s="110" t="s">
        <v>517</v>
      </c>
      <c r="B551" s="111" t="s">
        <v>505</v>
      </c>
      <c r="C551" s="112" t="s">
        <v>449</v>
      </c>
      <c r="D551" s="113" t="s">
        <v>17</v>
      </c>
      <c r="E551" s="114" t="s">
        <v>15</v>
      </c>
      <c r="F551" s="115" t="s">
        <v>39</v>
      </c>
      <c r="G551" s="116">
        <v>14.7</v>
      </c>
      <c r="H551" s="126">
        <v>6.8</v>
      </c>
      <c r="I551" s="321">
        <v>1</v>
      </c>
      <c r="J551" s="117">
        <f t="shared" si="281"/>
        <v>9.9959999999999993E-2</v>
      </c>
      <c r="K551" s="118"/>
      <c r="L551" s="111">
        <v>1</v>
      </c>
      <c r="M551" s="117">
        <f t="shared" si="282"/>
        <v>9.9959999999999993E-2</v>
      </c>
      <c r="N551" s="119">
        <f t="shared" si="283"/>
        <v>0</v>
      </c>
      <c r="O551" s="120">
        <f t="shared" si="284"/>
        <v>0</v>
      </c>
      <c r="P551" s="130"/>
      <c r="Q551" s="320"/>
      <c r="R551" s="55">
        <v>6.8</v>
      </c>
      <c r="S551" s="45">
        <v>1</v>
      </c>
      <c r="T551" s="213" t="s">
        <v>713</v>
      </c>
    </row>
    <row r="552" spans="1:21" ht="15.6">
      <c r="A552" s="110" t="s">
        <v>517</v>
      </c>
      <c r="B552" s="111" t="s">
        <v>505</v>
      </c>
      <c r="C552" s="112" t="s">
        <v>449</v>
      </c>
      <c r="D552" s="113" t="s">
        <v>17</v>
      </c>
      <c r="E552" s="114" t="s">
        <v>15</v>
      </c>
      <c r="F552" s="115" t="s">
        <v>39</v>
      </c>
      <c r="G552" s="116">
        <v>14.7</v>
      </c>
      <c r="H552" s="126">
        <v>6.9</v>
      </c>
      <c r="I552" s="321">
        <v>1</v>
      </c>
      <c r="J552" s="117">
        <f t="shared" si="281"/>
        <v>0.10143000000000001</v>
      </c>
      <c r="K552" s="118"/>
      <c r="L552" s="111">
        <v>1</v>
      </c>
      <c r="M552" s="117">
        <f t="shared" si="282"/>
        <v>0.10143000000000001</v>
      </c>
      <c r="N552" s="119">
        <f t="shared" si="283"/>
        <v>0</v>
      </c>
      <c r="O552" s="120">
        <f t="shared" si="284"/>
        <v>0</v>
      </c>
      <c r="P552" s="130"/>
      <c r="Q552" s="320"/>
      <c r="R552" s="55">
        <v>6.9</v>
      </c>
      <c r="S552" s="45">
        <v>1</v>
      </c>
      <c r="T552" s="213" t="s">
        <v>713</v>
      </c>
    </row>
    <row r="553" spans="1:21" ht="15.6">
      <c r="A553" s="110" t="s">
        <v>517</v>
      </c>
      <c r="B553" s="111" t="s">
        <v>505</v>
      </c>
      <c r="C553" s="112" t="s">
        <v>449</v>
      </c>
      <c r="D553" s="113" t="s">
        <v>17</v>
      </c>
      <c r="E553" s="114" t="s">
        <v>15</v>
      </c>
      <c r="F553" s="115" t="s">
        <v>39</v>
      </c>
      <c r="G553" s="116">
        <v>14.7</v>
      </c>
      <c r="H553" s="126">
        <v>10.5</v>
      </c>
      <c r="I553" s="321">
        <v>1</v>
      </c>
      <c r="J553" s="117">
        <f t="shared" si="281"/>
        <v>0.15434999999999999</v>
      </c>
      <c r="K553" s="118"/>
      <c r="L553" s="111">
        <v>1</v>
      </c>
      <c r="M553" s="117">
        <f t="shared" si="282"/>
        <v>0.15434999999999999</v>
      </c>
      <c r="N553" s="119">
        <f t="shared" si="283"/>
        <v>0</v>
      </c>
      <c r="O553" s="120">
        <f t="shared" si="284"/>
        <v>0</v>
      </c>
      <c r="P553" s="130"/>
      <c r="Q553" s="320"/>
      <c r="R553" s="55">
        <v>10.5</v>
      </c>
      <c r="S553" s="45">
        <v>1</v>
      </c>
      <c r="T553" s="213" t="s">
        <v>713</v>
      </c>
    </row>
    <row r="554" spans="1:21" ht="15.6">
      <c r="A554" s="110" t="s">
        <v>517</v>
      </c>
      <c r="B554" s="111" t="s">
        <v>505</v>
      </c>
      <c r="C554" s="112" t="s">
        <v>449</v>
      </c>
      <c r="D554" s="113" t="s">
        <v>17</v>
      </c>
      <c r="E554" s="114" t="s">
        <v>15</v>
      </c>
      <c r="F554" s="115" t="s">
        <v>39</v>
      </c>
      <c r="G554" s="116">
        <v>14.7</v>
      </c>
      <c r="H554" s="126">
        <v>12</v>
      </c>
      <c r="I554" s="321">
        <v>18</v>
      </c>
      <c r="J554" s="117">
        <f t="shared" si="281"/>
        <v>3.1751999999999998</v>
      </c>
      <c r="K554" s="118"/>
      <c r="L554" s="111">
        <v>18</v>
      </c>
      <c r="M554" s="117">
        <f t="shared" si="282"/>
        <v>3.1751999999999998</v>
      </c>
      <c r="N554" s="119">
        <f t="shared" si="283"/>
        <v>0</v>
      </c>
      <c r="O554" s="120">
        <f t="shared" si="284"/>
        <v>0</v>
      </c>
      <c r="P554" s="130"/>
      <c r="Q554" s="320">
        <v>18</v>
      </c>
      <c r="R554" s="55"/>
      <c r="S554" s="32"/>
      <c r="U554" s="32" t="s">
        <v>523</v>
      </c>
    </row>
    <row r="555" spans="1:21" ht="15.6">
      <c r="A555" s="110" t="s">
        <v>517</v>
      </c>
      <c r="B555" s="111" t="s">
        <v>505</v>
      </c>
      <c r="C555" s="112" t="s">
        <v>449</v>
      </c>
      <c r="D555" s="113" t="s">
        <v>17</v>
      </c>
      <c r="E555" s="114" t="s">
        <v>15</v>
      </c>
      <c r="F555" s="115" t="s">
        <v>39</v>
      </c>
      <c r="G555" s="116">
        <v>14.7</v>
      </c>
      <c r="H555" s="126">
        <v>12</v>
      </c>
      <c r="I555" s="321">
        <v>6</v>
      </c>
      <c r="J555" s="117">
        <f t="shared" si="281"/>
        <v>1.0583999999999998</v>
      </c>
      <c r="K555" s="118"/>
      <c r="L555" s="111">
        <v>6</v>
      </c>
      <c r="M555" s="117">
        <f t="shared" si="282"/>
        <v>1.0583999999999998</v>
      </c>
      <c r="N555" s="119">
        <f t="shared" si="283"/>
        <v>0</v>
      </c>
      <c r="O555" s="120">
        <f t="shared" si="284"/>
        <v>0</v>
      </c>
      <c r="P555" s="130"/>
      <c r="Q555" s="320">
        <v>6</v>
      </c>
      <c r="R555" s="55"/>
      <c r="S555" s="32"/>
      <c r="U555" s="32" t="s">
        <v>523</v>
      </c>
    </row>
    <row r="556" spans="1:21" ht="15.6">
      <c r="A556" s="110" t="s">
        <v>517</v>
      </c>
      <c r="B556" s="111" t="s">
        <v>505</v>
      </c>
      <c r="C556" s="112" t="s">
        <v>449</v>
      </c>
      <c r="D556" s="113" t="s">
        <v>17</v>
      </c>
      <c r="E556" s="114" t="s">
        <v>15</v>
      </c>
      <c r="F556" s="115" t="s">
        <v>39</v>
      </c>
      <c r="G556" s="116">
        <v>14.7</v>
      </c>
      <c r="H556" s="126">
        <v>11.6</v>
      </c>
      <c r="I556" s="321">
        <v>1</v>
      </c>
      <c r="J556" s="117">
        <f t="shared" si="281"/>
        <v>0.17051999999999998</v>
      </c>
      <c r="K556" s="118"/>
      <c r="L556" s="111">
        <v>1</v>
      </c>
      <c r="M556" s="117">
        <f t="shared" si="282"/>
        <v>0.17051999999999998</v>
      </c>
      <c r="N556" s="119">
        <f t="shared" si="283"/>
        <v>0</v>
      </c>
      <c r="O556" s="120">
        <f t="shared" si="284"/>
        <v>0</v>
      </c>
      <c r="P556" s="130"/>
      <c r="Q556" s="320"/>
      <c r="R556" s="55">
        <v>11.6</v>
      </c>
      <c r="S556" s="45">
        <v>1</v>
      </c>
      <c r="T556" s="213" t="s">
        <v>713</v>
      </c>
    </row>
    <row r="557" spans="1:21" ht="15.6">
      <c r="A557" s="110" t="s">
        <v>517</v>
      </c>
      <c r="B557" s="111" t="s">
        <v>505</v>
      </c>
      <c r="C557" s="112" t="s">
        <v>449</v>
      </c>
      <c r="D557" s="113" t="s">
        <v>17</v>
      </c>
      <c r="E557" s="114" t="s">
        <v>15</v>
      </c>
      <c r="F557" s="115" t="s">
        <v>39</v>
      </c>
      <c r="G557" s="116">
        <v>14.7</v>
      </c>
      <c r="H557" s="126">
        <v>12</v>
      </c>
      <c r="I557" s="321">
        <v>2</v>
      </c>
      <c r="J557" s="117">
        <f t="shared" ref="J557" si="285">H557*G557*I557/1000</f>
        <v>0.35279999999999995</v>
      </c>
      <c r="K557" s="118"/>
      <c r="L557" s="111">
        <v>2</v>
      </c>
      <c r="M557" s="117">
        <f t="shared" ref="M557" si="286">H557*L557*G557/1000</f>
        <v>0.35279999999999995</v>
      </c>
      <c r="N557" s="119">
        <f t="shared" ref="N557" si="287">I557-L557</f>
        <v>0</v>
      </c>
      <c r="O557" s="120">
        <f t="shared" ref="O557" si="288">H557*N557*G557/1000</f>
        <v>0</v>
      </c>
      <c r="P557" s="130"/>
      <c r="Q557" s="320"/>
      <c r="R557" s="55">
        <v>12</v>
      </c>
      <c r="S557" s="45">
        <v>2</v>
      </c>
      <c r="T557" s="213" t="s">
        <v>713</v>
      </c>
    </row>
    <row r="558" spans="1:21" ht="15.6">
      <c r="A558" s="110" t="s">
        <v>517</v>
      </c>
      <c r="B558" s="111" t="s">
        <v>505</v>
      </c>
      <c r="C558" s="112" t="s">
        <v>449</v>
      </c>
      <c r="D558" s="113" t="s">
        <v>17</v>
      </c>
      <c r="E558" s="114" t="s">
        <v>15</v>
      </c>
      <c r="F558" s="115" t="s">
        <v>39</v>
      </c>
      <c r="G558" s="116">
        <v>14.7</v>
      </c>
      <c r="H558" s="126">
        <v>7.1</v>
      </c>
      <c r="I558" s="321">
        <v>24</v>
      </c>
      <c r="J558" s="117">
        <f t="shared" ref="J558:J564" si="289">H558*G558*I558/1000</f>
        <v>2.5048799999999996</v>
      </c>
      <c r="K558" s="118"/>
      <c r="L558" s="111">
        <v>24</v>
      </c>
      <c r="M558" s="117">
        <f t="shared" ref="M558:M564" si="290">H558*L558*G558/1000</f>
        <v>2.5048799999999996</v>
      </c>
      <c r="N558" s="119">
        <f t="shared" ref="N558:N564" si="291">I558-L558</f>
        <v>0</v>
      </c>
      <c r="O558" s="120">
        <f t="shared" ref="O558:O564" si="292">H558*N558*G558/1000</f>
        <v>0</v>
      </c>
      <c r="P558" s="130"/>
      <c r="Q558" s="320"/>
      <c r="R558" s="32"/>
      <c r="S558" s="32"/>
    </row>
    <row r="559" spans="1:21" ht="15.6">
      <c r="A559" s="110" t="s">
        <v>517</v>
      </c>
      <c r="B559" s="111" t="s">
        <v>505</v>
      </c>
      <c r="C559" s="112" t="s">
        <v>449</v>
      </c>
      <c r="D559" s="113" t="s">
        <v>17</v>
      </c>
      <c r="E559" s="114" t="s">
        <v>15</v>
      </c>
      <c r="F559" s="115" t="s">
        <v>39</v>
      </c>
      <c r="G559" s="116">
        <v>14.7</v>
      </c>
      <c r="H559" s="126">
        <v>11</v>
      </c>
      <c r="I559" s="321">
        <v>23</v>
      </c>
      <c r="J559" s="117">
        <f t="shared" si="289"/>
        <v>3.7191000000000001</v>
      </c>
      <c r="K559" s="118"/>
      <c r="L559" s="111">
        <v>23</v>
      </c>
      <c r="M559" s="117">
        <f t="shared" si="290"/>
        <v>3.7191000000000001</v>
      </c>
      <c r="N559" s="119">
        <f t="shared" si="291"/>
        <v>0</v>
      </c>
      <c r="O559" s="120">
        <f t="shared" si="292"/>
        <v>0</v>
      </c>
      <c r="P559" s="130"/>
      <c r="Q559" s="320"/>
      <c r="R559" s="32"/>
      <c r="S559" s="32"/>
    </row>
    <row r="560" spans="1:21" ht="15.6">
      <c r="A560" s="110" t="s">
        <v>517</v>
      </c>
      <c r="B560" s="111" t="s">
        <v>505</v>
      </c>
      <c r="C560" s="112" t="s">
        <v>449</v>
      </c>
      <c r="D560" s="113" t="s">
        <v>17</v>
      </c>
      <c r="E560" s="114" t="s">
        <v>15</v>
      </c>
      <c r="F560" s="115" t="s">
        <v>39</v>
      </c>
      <c r="G560" s="116">
        <v>14.7</v>
      </c>
      <c r="H560" s="126">
        <v>11.5</v>
      </c>
      <c r="I560" s="321">
        <v>5</v>
      </c>
      <c r="J560" s="117">
        <f t="shared" si="289"/>
        <v>0.84524999999999983</v>
      </c>
      <c r="K560" s="118"/>
      <c r="L560" s="111">
        <f>3+2</f>
        <v>5</v>
      </c>
      <c r="M560" s="117">
        <f t="shared" si="290"/>
        <v>0.84524999999999995</v>
      </c>
      <c r="N560" s="119">
        <f t="shared" si="291"/>
        <v>0</v>
      </c>
      <c r="O560" s="120">
        <f t="shared" si="292"/>
        <v>0</v>
      </c>
      <c r="P560" s="130">
        <v>11</v>
      </c>
      <c r="Q560" s="320">
        <v>2</v>
      </c>
      <c r="R560" s="32"/>
      <c r="S560" s="32"/>
    </row>
    <row r="561" spans="1:19" ht="15.6">
      <c r="A561" s="110" t="s">
        <v>517</v>
      </c>
      <c r="B561" s="111" t="s">
        <v>505</v>
      </c>
      <c r="C561" s="112" t="s">
        <v>449</v>
      </c>
      <c r="D561" s="113" t="s">
        <v>17</v>
      </c>
      <c r="E561" s="114" t="s">
        <v>15</v>
      </c>
      <c r="F561" s="115" t="s">
        <v>39</v>
      </c>
      <c r="G561" s="116">
        <v>14.7</v>
      </c>
      <c r="H561" s="126">
        <v>12</v>
      </c>
      <c r="I561" s="321">
        <v>2</v>
      </c>
      <c r="J561" s="117">
        <f t="shared" si="289"/>
        <v>0.35279999999999995</v>
      </c>
      <c r="K561" s="118"/>
      <c r="L561" s="111"/>
      <c r="M561" s="117">
        <f t="shared" si="290"/>
        <v>0</v>
      </c>
      <c r="N561" s="119">
        <f t="shared" si="291"/>
        <v>2</v>
      </c>
      <c r="O561" s="120">
        <f t="shared" si="292"/>
        <v>0.35279999999999995</v>
      </c>
      <c r="P561" s="130"/>
      <c r="Q561" s="320"/>
      <c r="R561" s="32"/>
      <c r="S561" s="32"/>
    </row>
    <row r="562" spans="1:19" ht="15.6">
      <c r="A562" s="110" t="s">
        <v>517</v>
      </c>
      <c r="B562" s="111" t="s">
        <v>505</v>
      </c>
      <c r="C562" s="112" t="s">
        <v>449</v>
      </c>
      <c r="D562" s="113" t="s">
        <v>17</v>
      </c>
      <c r="E562" s="114" t="s">
        <v>15</v>
      </c>
      <c r="F562" s="115" t="s">
        <v>39</v>
      </c>
      <c r="G562" s="116">
        <v>14.7</v>
      </c>
      <c r="H562" s="126">
        <v>5.7</v>
      </c>
      <c r="I562" s="321">
        <v>1</v>
      </c>
      <c r="J562" s="117">
        <f t="shared" si="289"/>
        <v>8.3789999999999989E-2</v>
      </c>
      <c r="K562" s="118"/>
      <c r="L562" s="111"/>
      <c r="M562" s="117">
        <f t="shared" si="290"/>
        <v>0</v>
      </c>
      <c r="N562" s="119">
        <f t="shared" si="291"/>
        <v>1</v>
      </c>
      <c r="O562" s="120">
        <f t="shared" si="292"/>
        <v>8.3789999999999989E-2</v>
      </c>
      <c r="P562" s="130"/>
      <c r="Q562" s="320"/>
      <c r="R562" s="32"/>
      <c r="S562" s="32"/>
    </row>
    <row r="563" spans="1:19" ht="15.6">
      <c r="A563" s="110" t="s">
        <v>517</v>
      </c>
      <c r="B563" s="111" t="s">
        <v>505</v>
      </c>
      <c r="C563" s="112" t="s">
        <v>449</v>
      </c>
      <c r="D563" s="113" t="s">
        <v>17</v>
      </c>
      <c r="E563" s="114" t="s">
        <v>15</v>
      </c>
      <c r="F563" s="115" t="s">
        <v>39</v>
      </c>
      <c r="G563" s="116">
        <v>14.7</v>
      </c>
      <c r="H563" s="126">
        <v>6.5</v>
      </c>
      <c r="I563" s="321">
        <v>1</v>
      </c>
      <c r="J563" s="117">
        <f t="shared" si="289"/>
        <v>9.5549999999999996E-2</v>
      </c>
      <c r="K563" s="118"/>
      <c r="L563" s="111"/>
      <c r="M563" s="117">
        <f t="shared" si="290"/>
        <v>0</v>
      </c>
      <c r="N563" s="119">
        <f t="shared" si="291"/>
        <v>1</v>
      </c>
      <c r="O563" s="120">
        <f t="shared" si="292"/>
        <v>9.5549999999999996E-2</v>
      </c>
      <c r="P563" s="130"/>
      <c r="Q563" s="320"/>
      <c r="R563" s="32"/>
      <c r="S563" s="32"/>
    </row>
    <row r="564" spans="1:19" ht="15.6">
      <c r="A564" s="110" t="s">
        <v>517</v>
      </c>
      <c r="B564" s="111" t="s">
        <v>505</v>
      </c>
      <c r="C564" s="112" t="s">
        <v>449</v>
      </c>
      <c r="D564" s="113" t="s">
        <v>17</v>
      </c>
      <c r="E564" s="114" t="s">
        <v>15</v>
      </c>
      <c r="F564" s="115" t="s">
        <v>39</v>
      </c>
      <c r="G564" s="116">
        <v>14.7</v>
      </c>
      <c r="H564" s="126">
        <v>6.6</v>
      </c>
      <c r="I564" s="321">
        <v>2</v>
      </c>
      <c r="J564" s="117">
        <f t="shared" si="289"/>
        <v>0.19403999999999999</v>
      </c>
      <c r="K564" s="118"/>
      <c r="L564" s="111"/>
      <c r="M564" s="117">
        <f t="shared" si="290"/>
        <v>0</v>
      </c>
      <c r="N564" s="119">
        <f t="shared" si="291"/>
        <v>2</v>
      </c>
      <c r="O564" s="120">
        <f t="shared" si="292"/>
        <v>0.19403999999999999</v>
      </c>
      <c r="P564" s="130"/>
      <c r="Q564" s="320"/>
      <c r="R564" s="32"/>
      <c r="S564" s="32"/>
    </row>
    <row r="565" spans="1:19">
      <c r="I565" s="215">
        <f>SUM(I544:I564)</f>
        <v>182</v>
      </c>
      <c r="J565" s="214">
        <f>SUM(J544:J564)</f>
        <v>25.520669999999996</v>
      </c>
      <c r="L565" s="215">
        <f>SUM(L544:L564)</f>
        <v>174</v>
      </c>
      <c r="M565" s="214">
        <f>SUM(M544:M564)</f>
        <v>24.585749999999997</v>
      </c>
      <c r="N565" s="78">
        <f>SUM(N544:N564)</f>
        <v>8</v>
      </c>
      <c r="O565" s="128">
        <f>SUM(O544:O564)</f>
        <v>0.93491999999999997</v>
      </c>
    </row>
    <row r="568" spans="1:19" ht="15.6">
      <c r="A568" s="110" t="s">
        <v>517</v>
      </c>
      <c r="B568" s="111" t="s">
        <v>505</v>
      </c>
      <c r="C568" s="112" t="s">
        <v>449</v>
      </c>
      <c r="D568" s="113" t="s">
        <v>17</v>
      </c>
      <c r="E568" s="114" t="s">
        <v>15</v>
      </c>
      <c r="F568" s="115" t="s">
        <v>37</v>
      </c>
      <c r="G568" s="116">
        <v>18.149999999999999</v>
      </c>
      <c r="H568" s="125">
        <v>12</v>
      </c>
      <c r="I568" s="111">
        <v>14</v>
      </c>
      <c r="J568" s="117">
        <f t="shared" ref="J568" si="293">H568*G568*I568/1000</f>
        <v>3.0491999999999999</v>
      </c>
      <c r="K568" s="118"/>
      <c r="L568" s="111">
        <v>14</v>
      </c>
      <c r="M568" s="117">
        <f t="shared" ref="M568" si="294">H568*L568*G568/1000</f>
        <v>3.0491999999999999</v>
      </c>
      <c r="N568" s="119">
        <f t="shared" ref="N568" si="295">I568-L568</f>
        <v>0</v>
      </c>
      <c r="O568" s="120">
        <f t="shared" ref="O568" si="296">H568*N568*G568/1000</f>
        <v>0</v>
      </c>
      <c r="P568" s="130"/>
      <c r="Q568" s="320"/>
      <c r="R568" s="32"/>
      <c r="S568" s="32"/>
    </row>
    <row r="569" spans="1:19" ht="15.6">
      <c r="A569" s="110" t="s">
        <v>517</v>
      </c>
      <c r="B569" s="111" t="s">
        <v>505</v>
      </c>
      <c r="C569" s="112" t="s">
        <v>449</v>
      </c>
      <c r="D569" s="113" t="s">
        <v>17</v>
      </c>
      <c r="E569" s="114" t="s">
        <v>15</v>
      </c>
      <c r="F569" s="115" t="s">
        <v>37</v>
      </c>
      <c r="G569" s="116">
        <v>18.149999999999999</v>
      </c>
      <c r="H569" s="125">
        <v>12</v>
      </c>
      <c r="I569" s="111">
        <v>14</v>
      </c>
      <c r="J569" s="117">
        <f t="shared" ref="J569:J577" si="297">H569*G569*I569/1000</f>
        <v>3.0491999999999999</v>
      </c>
      <c r="K569" s="118"/>
      <c r="L569" s="111">
        <v>14</v>
      </c>
      <c r="M569" s="117">
        <f t="shared" ref="M569:M577" si="298">H569*L569*G569/1000</f>
        <v>3.0491999999999999</v>
      </c>
      <c r="N569" s="119">
        <f t="shared" ref="N569:N577" si="299">I569-L569</f>
        <v>0</v>
      </c>
      <c r="O569" s="120">
        <f t="shared" ref="O569:O575" si="300">H569*N569*G569/1000</f>
        <v>0</v>
      </c>
      <c r="P569" s="130"/>
      <c r="Q569" s="320"/>
      <c r="R569" s="32"/>
      <c r="S569" s="32"/>
    </row>
    <row r="570" spans="1:19" ht="15.6">
      <c r="A570" s="110" t="s">
        <v>517</v>
      </c>
      <c r="B570" s="111" t="s">
        <v>505</v>
      </c>
      <c r="C570" s="112" t="s">
        <v>449</v>
      </c>
      <c r="D570" s="113" t="s">
        <v>17</v>
      </c>
      <c r="E570" s="114" t="s">
        <v>15</v>
      </c>
      <c r="F570" s="115" t="s">
        <v>37</v>
      </c>
      <c r="G570" s="116">
        <v>18.149999999999999</v>
      </c>
      <c r="H570" s="125">
        <v>12</v>
      </c>
      <c r="I570" s="111">
        <v>14</v>
      </c>
      <c r="J570" s="117">
        <f t="shared" si="297"/>
        <v>3.0491999999999999</v>
      </c>
      <c r="K570" s="118"/>
      <c r="L570" s="111">
        <v>14</v>
      </c>
      <c r="M570" s="117">
        <f t="shared" si="298"/>
        <v>3.0491999999999999</v>
      </c>
      <c r="N570" s="119">
        <f t="shared" si="299"/>
        <v>0</v>
      </c>
      <c r="O570" s="120">
        <f t="shared" si="300"/>
        <v>0</v>
      </c>
      <c r="P570" s="130"/>
      <c r="Q570" s="320"/>
      <c r="R570" s="32"/>
      <c r="S570" s="32"/>
    </row>
    <row r="571" spans="1:19" ht="15.6">
      <c r="A571" s="110" t="s">
        <v>517</v>
      </c>
      <c r="B571" s="111" t="s">
        <v>505</v>
      </c>
      <c r="C571" s="112" t="s">
        <v>449</v>
      </c>
      <c r="D571" s="113" t="s">
        <v>17</v>
      </c>
      <c r="E571" s="114" t="s">
        <v>15</v>
      </c>
      <c r="F571" s="115" t="s">
        <v>37</v>
      </c>
      <c r="G571" s="116">
        <v>18.149999999999999</v>
      </c>
      <c r="H571" s="125">
        <v>12</v>
      </c>
      <c r="I571" s="111">
        <v>14</v>
      </c>
      <c r="J571" s="117">
        <f t="shared" si="297"/>
        <v>3.0491999999999999</v>
      </c>
      <c r="K571" s="118"/>
      <c r="L571" s="111">
        <v>14</v>
      </c>
      <c r="M571" s="117">
        <f t="shared" si="298"/>
        <v>3.0491999999999999</v>
      </c>
      <c r="N571" s="119">
        <f t="shared" si="299"/>
        <v>0</v>
      </c>
      <c r="O571" s="120">
        <f t="shared" si="300"/>
        <v>0</v>
      </c>
      <c r="P571" s="130"/>
      <c r="Q571" s="320"/>
      <c r="R571" s="32"/>
      <c r="S571" s="32"/>
    </row>
    <row r="572" spans="1:19" ht="15.6">
      <c r="A572" s="110" t="s">
        <v>517</v>
      </c>
      <c r="B572" s="111" t="s">
        <v>505</v>
      </c>
      <c r="C572" s="112" t="s">
        <v>449</v>
      </c>
      <c r="D572" s="113" t="s">
        <v>17</v>
      </c>
      <c r="E572" s="114" t="s">
        <v>15</v>
      </c>
      <c r="F572" s="115" t="s">
        <v>37</v>
      </c>
      <c r="G572" s="116">
        <v>18.149999999999999</v>
      </c>
      <c r="H572" s="125">
        <v>11.35</v>
      </c>
      <c r="I572" s="111">
        <v>5</v>
      </c>
      <c r="J572" s="117">
        <f t="shared" si="297"/>
        <v>1.0300124999999998</v>
      </c>
      <c r="K572" s="118"/>
      <c r="L572" s="111">
        <v>5</v>
      </c>
      <c r="M572" s="117">
        <f t="shared" si="298"/>
        <v>1.0300124999999998</v>
      </c>
      <c r="N572" s="119">
        <f t="shared" si="299"/>
        <v>0</v>
      </c>
      <c r="O572" s="120">
        <f t="shared" si="300"/>
        <v>0</v>
      </c>
      <c r="P572" s="130"/>
      <c r="Q572" s="320">
        <v>5</v>
      </c>
      <c r="R572" s="32" t="s">
        <v>334</v>
      </c>
      <c r="S572" s="32"/>
    </row>
    <row r="573" spans="1:19" ht="15.6">
      <c r="A573" s="110" t="s">
        <v>517</v>
      </c>
      <c r="B573" s="111" t="s">
        <v>505</v>
      </c>
      <c r="C573" s="112" t="s">
        <v>449</v>
      </c>
      <c r="D573" s="113" t="s">
        <v>17</v>
      </c>
      <c r="E573" s="114" t="s">
        <v>15</v>
      </c>
      <c r="F573" s="115" t="s">
        <v>37</v>
      </c>
      <c r="G573" s="116">
        <v>18.149999999999999</v>
      </c>
      <c r="H573" s="125">
        <v>12</v>
      </c>
      <c r="I573" s="111">
        <v>15</v>
      </c>
      <c r="J573" s="117">
        <f t="shared" si="297"/>
        <v>3.2669999999999995</v>
      </c>
      <c r="K573" s="118"/>
      <c r="L573" s="111">
        <v>15</v>
      </c>
      <c r="M573" s="117">
        <f t="shared" si="298"/>
        <v>3.2669999999999995</v>
      </c>
      <c r="N573" s="119">
        <f t="shared" si="299"/>
        <v>0</v>
      </c>
      <c r="O573" s="120">
        <f t="shared" si="300"/>
        <v>0</v>
      </c>
      <c r="P573" s="130"/>
      <c r="Q573" s="320"/>
      <c r="R573" s="32"/>
      <c r="S573" s="32"/>
    </row>
    <row r="574" spans="1:19" ht="15.6">
      <c r="A574" s="110" t="s">
        <v>517</v>
      </c>
      <c r="B574" s="111" t="s">
        <v>505</v>
      </c>
      <c r="C574" s="112" t="s">
        <v>449</v>
      </c>
      <c r="D574" s="113" t="s">
        <v>17</v>
      </c>
      <c r="E574" s="114" t="s">
        <v>15</v>
      </c>
      <c r="F574" s="115" t="s">
        <v>37</v>
      </c>
      <c r="G574" s="116">
        <v>18.149999999999999</v>
      </c>
      <c r="H574" s="125">
        <v>12</v>
      </c>
      <c r="I574" s="111">
        <v>15</v>
      </c>
      <c r="J574" s="117">
        <f t="shared" si="297"/>
        <v>3.2669999999999995</v>
      </c>
      <c r="K574" s="118"/>
      <c r="L574" s="111">
        <v>15</v>
      </c>
      <c r="M574" s="117">
        <f t="shared" si="298"/>
        <v>3.2669999999999995</v>
      </c>
      <c r="N574" s="119">
        <f t="shared" si="299"/>
        <v>0</v>
      </c>
      <c r="O574" s="120">
        <f t="shared" si="300"/>
        <v>0</v>
      </c>
      <c r="P574" s="130"/>
      <c r="Q574" s="320"/>
      <c r="R574" s="32"/>
      <c r="S574" s="32"/>
    </row>
    <row r="575" spans="1:19" ht="15.6">
      <c r="A575" s="110" t="s">
        <v>517</v>
      </c>
      <c r="B575" s="111" t="s">
        <v>505</v>
      </c>
      <c r="C575" s="112" t="s">
        <v>449</v>
      </c>
      <c r="D575" s="113" t="s">
        <v>17</v>
      </c>
      <c r="E575" s="114" t="s">
        <v>15</v>
      </c>
      <c r="F575" s="115" t="s">
        <v>37</v>
      </c>
      <c r="G575" s="116">
        <v>18.149999999999999</v>
      </c>
      <c r="H575" s="125">
        <v>12</v>
      </c>
      <c r="I575" s="111">
        <v>10</v>
      </c>
      <c r="J575" s="117">
        <f t="shared" si="297"/>
        <v>2.1779999999999999</v>
      </c>
      <c r="K575" s="118"/>
      <c r="L575" s="111">
        <f>8+2</f>
        <v>10</v>
      </c>
      <c r="M575" s="117">
        <f t="shared" si="298"/>
        <v>2.1779999999999999</v>
      </c>
      <c r="N575" s="119">
        <f t="shared" si="299"/>
        <v>0</v>
      </c>
      <c r="O575" s="120">
        <f t="shared" si="300"/>
        <v>0</v>
      </c>
      <c r="P575" s="130"/>
      <c r="Q575" s="454">
        <v>2</v>
      </c>
      <c r="R575" s="45" t="s">
        <v>540</v>
      </c>
      <c r="S575" s="32"/>
    </row>
    <row r="576" spans="1:19" ht="15.6">
      <c r="A576" s="110" t="s">
        <v>517</v>
      </c>
      <c r="B576" s="111" t="s">
        <v>505</v>
      </c>
      <c r="C576" s="112" t="s">
        <v>449</v>
      </c>
      <c r="D576" s="113" t="s">
        <v>17</v>
      </c>
      <c r="E576" s="114" t="s">
        <v>15</v>
      </c>
      <c r="F576" s="115" t="s">
        <v>37</v>
      </c>
      <c r="G576" s="116">
        <v>18.149999999999999</v>
      </c>
      <c r="H576" s="125">
        <v>11.3</v>
      </c>
      <c r="I576" s="111">
        <v>3</v>
      </c>
      <c r="J576" s="117">
        <f t="shared" si="297"/>
        <v>0.61528499999999997</v>
      </c>
      <c r="K576" s="118"/>
      <c r="L576" s="111">
        <v>3</v>
      </c>
      <c r="M576" s="117">
        <f t="shared" si="298"/>
        <v>0.61528500000000008</v>
      </c>
      <c r="N576" s="119">
        <f t="shared" si="299"/>
        <v>0</v>
      </c>
      <c r="O576" s="120">
        <f>H576*N576*G576/1000</f>
        <v>0</v>
      </c>
      <c r="P576" s="130"/>
      <c r="Q576" s="320">
        <v>3</v>
      </c>
      <c r="R576" s="32" t="s">
        <v>334</v>
      </c>
      <c r="S576" s="32"/>
    </row>
    <row r="577" spans="1:19" ht="15.6">
      <c r="A577" s="110" t="s">
        <v>517</v>
      </c>
      <c r="B577" s="111" t="s">
        <v>505</v>
      </c>
      <c r="C577" s="112" t="s">
        <v>449</v>
      </c>
      <c r="D577" s="113" t="s">
        <v>17</v>
      </c>
      <c r="E577" s="114" t="s">
        <v>15</v>
      </c>
      <c r="F577" s="115" t="s">
        <v>37</v>
      </c>
      <c r="G577" s="116">
        <v>18.149999999999999</v>
      </c>
      <c r="H577" s="125">
        <v>11.7</v>
      </c>
      <c r="I577" s="111">
        <v>2</v>
      </c>
      <c r="J577" s="117">
        <f t="shared" si="297"/>
        <v>0.42470999999999992</v>
      </c>
      <c r="K577" s="118"/>
      <c r="L577" s="111">
        <v>2</v>
      </c>
      <c r="M577" s="117">
        <f t="shared" si="298"/>
        <v>0.42470999999999992</v>
      </c>
      <c r="N577" s="119">
        <f t="shared" si="299"/>
        <v>0</v>
      </c>
      <c r="O577" s="120">
        <f>H577*N577*G577/1000</f>
        <v>0</v>
      </c>
      <c r="P577" s="130"/>
      <c r="Q577" s="454">
        <v>2</v>
      </c>
      <c r="R577" s="45" t="s">
        <v>540</v>
      </c>
      <c r="S577" s="32"/>
    </row>
    <row r="578" spans="1:19">
      <c r="A578" s="32"/>
      <c r="B578" s="32"/>
      <c r="C578" s="32"/>
      <c r="D578" s="32"/>
      <c r="E578" s="32"/>
      <c r="F578" s="32"/>
      <c r="G578" s="32"/>
      <c r="H578" s="32"/>
      <c r="I578" s="171">
        <f>SUM(I568:I577)</f>
        <v>106</v>
      </c>
      <c r="J578" s="132">
        <f>SUM(J568:J577)</f>
        <v>22.978807499999998</v>
      </c>
      <c r="K578" s="32"/>
      <c r="L578" s="171">
        <f>SUM(L568:L577)</f>
        <v>106</v>
      </c>
      <c r="M578" s="132">
        <f>SUM(M568:M577)</f>
        <v>22.978807499999998</v>
      </c>
      <c r="N578" s="131">
        <f>SUM(N568:N577)</f>
        <v>0</v>
      </c>
      <c r="O578" s="132">
        <f>SUM(O568:O577)</f>
        <v>0</v>
      </c>
      <c r="P578" s="32"/>
      <c r="Q578" s="32"/>
      <c r="R578" s="32"/>
      <c r="S578" s="32"/>
    </row>
    <row r="581" spans="1:19" ht="15.6">
      <c r="A581" s="110" t="s">
        <v>644</v>
      </c>
      <c r="B581" s="111" t="s">
        <v>505</v>
      </c>
      <c r="C581" s="112" t="s">
        <v>449</v>
      </c>
      <c r="D581" s="113" t="s">
        <v>17</v>
      </c>
      <c r="E581" s="114" t="s">
        <v>15</v>
      </c>
      <c r="F581" s="115" t="s">
        <v>40</v>
      </c>
      <c r="G581" s="116">
        <v>16.5</v>
      </c>
      <c r="H581" s="125">
        <v>12</v>
      </c>
      <c r="I581" s="111">
        <v>15</v>
      </c>
      <c r="J581" s="117">
        <f t="shared" ref="J581" si="301">H581*G581*I581/1000</f>
        <v>2.97</v>
      </c>
      <c r="K581" s="118"/>
      <c r="L581" s="111">
        <v>15</v>
      </c>
      <c r="M581" s="117">
        <f t="shared" ref="M581" si="302">H581*L581*G581/1000</f>
        <v>2.97</v>
      </c>
      <c r="N581" s="119">
        <f t="shared" ref="N581" si="303">I581-L581</f>
        <v>0</v>
      </c>
      <c r="O581" s="120">
        <f t="shared" ref="O581" si="304">H581*N581*G581/1000</f>
        <v>0</v>
      </c>
      <c r="P581" s="130"/>
      <c r="Q581" s="320"/>
      <c r="R581" s="32"/>
      <c r="S581" s="32"/>
    </row>
    <row r="582" spans="1:19" ht="15.6">
      <c r="A582" s="110" t="s">
        <v>644</v>
      </c>
      <c r="B582" s="111" t="s">
        <v>505</v>
      </c>
      <c r="C582" s="112" t="s">
        <v>449</v>
      </c>
      <c r="D582" s="113" t="s">
        <v>17</v>
      </c>
      <c r="E582" s="114" t="s">
        <v>15</v>
      </c>
      <c r="F582" s="115" t="s">
        <v>40</v>
      </c>
      <c r="G582" s="116">
        <v>16.5</v>
      </c>
      <c r="H582" s="125">
        <v>12</v>
      </c>
      <c r="I582" s="111">
        <v>15</v>
      </c>
      <c r="J582" s="117">
        <f t="shared" ref="J582:J597" si="305">H582*G582*I582/1000</f>
        <v>2.97</v>
      </c>
      <c r="K582" s="118"/>
      <c r="L582" s="111">
        <v>15</v>
      </c>
      <c r="M582" s="117">
        <f t="shared" ref="M582:M597" si="306">H582*L582*G582/1000</f>
        <v>2.97</v>
      </c>
      <c r="N582" s="119">
        <f t="shared" ref="N582:N597" si="307">I582-L582</f>
        <v>0</v>
      </c>
      <c r="O582" s="120">
        <f t="shared" ref="O582:O597" si="308">H582*N582*G582/1000</f>
        <v>0</v>
      </c>
      <c r="P582" s="130"/>
      <c r="Q582" s="320"/>
      <c r="R582" s="32"/>
      <c r="S582" s="32"/>
    </row>
    <row r="583" spans="1:19" ht="15.6">
      <c r="A583" s="110" t="s">
        <v>644</v>
      </c>
      <c r="B583" s="111" t="s">
        <v>505</v>
      </c>
      <c r="C583" s="112" t="s">
        <v>449</v>
      </c>
      <c r="D583" s="113" t="s">
        <v>17</v>
      </c>
      <c r="E583" s="114" t="s">
        <v>15</v>
      </c>
      <c r="F583" s="115" t="s">
        <v>40</v>
      </c>
      <c r="G583" s="116">
        <v>16.5</v>
      </c>
      <c r="H583" s="125">
        <v>7.1</v>
      </c>
      <c r="I583" s="111">
        <v>20</v>
      </c>
      <c r="J583" s="117">
        <f t="shared" si="305"/>
        <v>2.343</v>
      </c>
      <c r="K583" s="118"/>
      <c r="L583" s="111">
        <v>20</v>
      </c>
      <c r="M583" s="117">
        <f t="shared" si="306"/>
        <v>2.343</v>
      </c>
      <c r="N583" s="119">
        <f t="shared" si="307"/>
        <v>0</v>
      </c>
      <c r="O583" s="120">
        <f t="shared" si="308"/>
        <v>0</v>
      </c>
      <c r="P583" s="130"/>
      <c r="Q583" s="320"/>
      <c r="R583" s="32"/>
      <c r="S583" s="32"/>
    </row>
    <row r="584" spans="1:19" ht="15.6">
      <c r="A584" s="110" t="s">
        <v>644</v>
      </c>
      <c r="B584" s="111" t="s">
        <v>505</v>
      </c>
      <c r="C584" s="112" t="s">
        <v>449</v>
      </c>
      <c r="D584" s="113" t="s">
        <v>17</v>
      </c>
      <c r="E584" s="114" t="s">
        <v>15</v>
      </c>
      <c r="F584" s="115" t="s">
        <v>40</v>
      </c>
      <c r="G584" s="116">
        <v>16.5</v>
      </c>
      <c r="H584" s="125">
        <v>12</v>
      </c>
      <c r="I584" s="111">
        <v>15</v>
      </c>
      <c r="J584" s="117">
        <f t="shared" si="305"/>
        <v>2.97</v>
      </c>
      <c r="K584" s="118"/>
      <c r="L584" s="111">
        <v>15</v>
      </c>
      <c r="M584" s="117">
        <f t="shared" si="306"/>
        <v>2.97</v>
      </c>
      <c r="N584" s="119">
        <f t="shared" si="307"/>
        <v>0</v>
      </c>
      <c r="O584" s="120">
        <f t="shared" si="308"/>
        <v>0</v>
      </c>
      <c r="P584" s="130"/>
      <c r="Q584" s="320"/>
      <c r="R584" s="32"/>
      <c r="S584" s="32"/>
    </row>
    <row r="585" spans="1:19" ht="15.6">
      <c r="A585" s="110" t="s">
        <v>644</v>
      </c>
      <c r="B585" s="111" t="s">
        <v>505</v>
      </c>
      <c r="C585" s="112" t="s">
        <v>449</v>
      </c>
      <c r="D585" s="113" t="s">
        <v>17</v>
      </c>
      <c r="E585" s="114" t="s">
        <v>15</v>
      </c>
      <c r="F585" s="115" t="s">
        <v>40</v>
      </c>
      <c r="G585" s="116">
        <v>16.5</v>
      </c>
      <c r="H585" s="125">
        <v>7.1</v>
      </c>
      <c r="I585" s="111">
        <v>20</v>
      </c>
      <c r="J585" s="117">
        <f t="shared" si="305"/>
        <v>2.343</v>
      </c>
      <c r="K585" s="118"/>
      <c r="L585" s="111">
        <v>20</v>
      </c>
      <c r="M585" s="117">
        <f t="shared" si="306"/>
        <v>2.343</v>
      </c>
      <c r="N585" s="119">
        <f t="shared" si="307"/>
        <v>0</v>
      </c>
      <c r="O585" s="120">
        <f t="shared" si="308"/>
        <v>0</v>
      </c>
      <c r="P585" s="130"/>
      <c r="Q585" s="320"/>
      <c r="R585" s="32"/>
      <c r="S585" s="32"/>
    </row>
    <row r="586" spans="1:19" ht="15.6">
      <c r="A586" s="110" t="s">
        <v>644</v>
      </c>
      <c r="B586" s="111" t="s">
        <v>505</v>
      </c>
      <c r="C586" s="112" t="s">
        <v>449</v>
      </c>
      <c r="D586" s="113" t="s">
        <v>17</v>
      </c>
      <c r="E586" s="114" t="s">
        <v>15</v>
      </c>
      <c r="F586" s="115" t="s">
        <v>40</v>
      </c>
      <c r="G586" s="116">
        <v>16.5</v>
      </c>
      <c r="H586" s="125">
        <v>7.1</v>
      </c>
      <c r="I586" s="111">
        <v>20</v>
      </c>
      <c r="J586" s="117">
        <f t="shared" si="305"/>
        <v>2.343</v>
      </c>
      <c r="K586" s="118"/>
      <c r="L586" s="111">
        <v>20</v>
      </c>
      <c r="M586" s="117">
        <f t="shared" si="306"/>
        <v>2.343</v>
      </c>
      <c r="N586" s="119">
        <f t="shared" si="307"/>
        <v>0</v>
      </c>
      <c r="O586" s="120">
        <f t="shared" si="308"/>
        <v>0</v>
      </c>
      <c r="P586" s="130"/>
      <c r="Q586" s="320"/>
      <c r="R586" s="32"/>
      <c r="S586" s="32"/>
    </row>
    <row r="587" spans="1:19" ht="15.6">
      <c r="A587" s="110" t="s">
        <v>644</v>
      </c>
      <c r="B587" s="111" t="s">
        <v>505</v>
      </c>
      <c r="C587" s="112" t="s">
        <v>449</v>
      </c>
      <c r="D587" s="113" t="s">
        <v>17</v>
      </c>
      <c r="E587" s="114" t="s">
        <v>15</v>
      </c>
      <c r="F587" s="115" t="s">
        <v>40</v>
      </c>
      <c r="G587" s="116">
        <v>16.5</v>
      </c>
      <c r="H587" s="125">
        <v>11.8</v>
      </c>
      <c r="I587" s="111">
        <v>15</v>
      </c>
      <c r="J587" s="117">
        <f t="shared" si="305"/>
        <v>2.9205000000000005</v>
      </c>
      <c r="K587" s="118"/>
      <c r="L587" s="111">
        <v>15</v>
      </c>
      <c r="M587" s="117">
        <f t="shared" si="306"/>
        <v>2.9205000000000001</v>
      </c>
      <c r="N587" s="119">
        <f t="shared" si="307"/>
        <v>0</v>
      </c>
      <c r="O587" s="120">
        <f t="shared" si="308"/>
        <v>0</v>
      </c>
      <c r="P587" s="130"/>
      <c r="Q587" s="320"/>
      <c r="R587" s="32"/>
      <c r="S587" s="32"/>
    </row>
    <row r="588" spans="1:19" ht="15.6">
      <c r="A588" s="110" t="s">
        <v>644</v>
      </c>
      <c r="B588" s="111" t="s">
        <v>505</v>
      </c>
      <c r="C588" s="112" t="s">
        <v>449</v>
      </c>
      <c r="D588" s="113" t="s">
        <v>17</v>
      </c>
      <c r="E588" s="114" t="s">
        <v>15</v>
      </c>
      <c r="F588" s="115" t="s">
        <v>40</v>
      </c>
      <c r="G588" s="116">
        <v>16.5</v>
      </c>
      <c r="H588" s="125">
        <v>11.8</v>
      </c>
      <c r="I588" s="111">
        <v>15</v>
      </c>
      <c r="J588" s="117">
        <f t="shared" si="305"/>
        <v>2.9205000000000005</v>
      </c>
      <c r="K588" s="118"/>
      <c r="L588" s="111">
        <v>15</v>
      </c>
      <c r="M588" s="117">
        <f t="shared" si="306"/>
        <v>2.9205000000000001</v>
      </c>
      <c r="N588" s="119">
        <f t="shared" si="307"/>
        <v>0</v>
      </c>
      <c r="O588" s="120">
        <f t="shared" si="308"/>
        <v>0</v>
      </c>
      <c r="P588" s="130"/>
      <c r="Q588" s="320"/>
      <c r="R588" s="32"/>
      <c r="S588" s="32"/>
    </row>
    <row r="589" spans="1:19" ht="15.6">
      <c r="A589" s="110" t="s">
        <v>644</v>
      </c>
      <c r="B589" s="111" t="s">
        <v>505</v>
      </c>
      <c r="C589" s="112" t="s">
        <v>449</v>
      </c>
      <c r="D589" s="113" t="s">
        <v>17</v>
      </c>
      <c r="E589" s="114" t="s">
        <v>15</v>
      </c>
      <c r="F589" s="115" t="s">
        <v>40</v>
      </c>
      <c r="G589" s="116">
        <v>16.5</v>
      </c>
      <c r="H589" s="125">
        <v>11.8</v>
      </c>
      <c r="I589" s="111">
        <v>15</v>
      </c>
      <c r="J589" s="117">
        <f t="shared" si="305"/>
        <v>2.9205000000000005</v>
      </c>
      <c r="K589" s="118"/>
      <c r="L589" s="111">
        <v>15</v>
      </c>
      <c r="M589" s="117">
        <f t="shared" si="306"/>
        <v>2.9205000000000001</v>
      </c>
      <c r="N589" s="119">
        <f t="shared" si="307"/>
        <v>0</v>
      </c>
      <c r="O589" s="120">
        <f t="shared" si="308"/>
        <v>0</v>
      </c>
      <c r="P589" s="130"/>
      <c r="Q589" s="320"/>
      <c r="R589" s="32"/>
      <c r="S589" s="32"/>
    </row>
    <row r="590" spans="1:19" ht="15.6">
      <c r="A590" s="110" t="s">
        <v>644</v>
      </c>
      <c r="B590" s="111" t="s">
        <v>505</v>
      </c>
      <c r="C590" s="112" t="s">
        <v>449</v>
      </c>
      <c r="D590" s="113" t="s">
        <v>17</v>
      </c>
      <c r="E590" s="114" t="s">
        <v>15</v>
      </c>
      <c r="F590" s="115" t="s">
        <v>40</v>
      </c>
      <c r="G590" s="116">
        <v>16.5</v>
      </c>
      <c r="H590" s="125">
        <v>8.9</v>
      </c>
      <c r="I590" s="111">
        <v>20</v>
      </c>
      <c r="J590" s="117">
        <f t="shared" si="305"/>
        <v>2.9369999999999998</v>
      </c>
      <c r="K590" s="118"/>
      <c r="L590" s="111">
        <v>20</v>
      </c>
      <c r="M590" s="117">
        <f t="shared" si="306"/>
        <v>2.9369999999999998</v>
      </c>
      <c r="N590" s="119">
        <f t="shared" si="307"/>
        <v>0</v>
      </c>
      <c r="O590" s="120">
        <f t="shared" si="308"/>
        <v>0</v>
      </c>
      <c r="P590" s="130"/>
      <c r="Q590" s="320"/>
      <c r="R590" s="32"/>
      <c r="S590" s="32"/>
    </row>
    <row r="591" spans="1:19" ht="15.6">
      <c r="A591" s="110" t="s">
        <v>644</v>
      </c>
      <c r="B591" s="111" t="s">
        <v>505</v>
      </c>
      <c r="C591" s="112" t="s">
        <v>449</v>
      </c>
      <c r="D591" s="113" t="s">
        <v>17</v>
      </c>
      <c r="E591" s="114" t="s">
        <v>15</v>
      </c>
      <c r="F591" s="115" t="s">
        <v>40</v>
      </c>
      <c r="G591" s="116">
        <v>16.5</v>
      </c>
      <c r="H591" s="125">
        <v>8.9</v>
      </c>
      <c r="I591" s="111">
        <v>20</v>
      </c>
      <c r="J591" s="117">
        <f t="shared" si="305"/>
        <v>2.9369999999999998</v>
      </c>
      <c r="K591" s="118"/>
      <c r="L591" s="111">
        <v>20</v>
      </c>
      <c r="M591" s="117">
        <f t="shared" si="306"/>
        <v>2.9369999999999998</v>
      </c>
      <c r="N591" s="119">
        <f t="shared" si="307"/>
        <v>0</v>
      </c>
      <c r="O591" s="120">
        <f t="shared" si="308"/>
        <v>0</v>
      </c>
      <c r="P591" s="130"/>
      <c r="Q591" s="320"/>
      <c r="R591" s="32"/>
      <c r="S591" s="32"/>
    </row>
    <row r="592" spans="1:19" ht="15.6">
      <c r="A592" s="110" t="s">
        <v>644</v>
      </c>
      <c r="B592" s="111" t="s">
        <v>505</v>
      </c>
      <c r="C592" s="112" t="s">
        <v>449</v>
      </c>
      <c r="D592" s="113" t="s">
        <v>17</v>
      </c>
      <c r="E592" s="114" t="s">
        <v>15</v>
      </c>
      <c r="F592" s="115" t="s">
        <v>40</v>
      </c>
      <c r="G592" s="116">
        <v>16.5</v>
      </c>
      <c r="H592" s="125">
        <v>12</v>
      </c>
      <c r="I592" s="111">
        <v>17</v>
      </c>
      <c r="J592" s="117">
        <f t="shared" si="305"/>
        <v>3.3660000000000001</v>
      </c>
      <c r="K592" s="118"/>
      <c r="L592" s="111">
        <v>17</v>
      </c>
      <c r="M592" s="117">
        <f t="shared" si="306"/>
        <v>3.3660000000000001</v>
      </c>
      <c r="N592" s="119">
        <f t="shared" si="307"/>
        <v>0</v>
      </c>
      <c r="O592" s="120">
        <f t="shared" si="308"/>
        <v>0</v>
      </c>
      <c r="P592" s="130"/>
      <c r="Q592" s="320"/>
      <c r="R592" s="32"/>
      <c r="S592" s="32"/>
    </row>
    <row r="593" spans="1:19" ht="15.6">
      <c r="A593" s="110" t="s">
        <v>644</v>
      </c>
      <c r="B593" s="111" t="s">
        <v>505</v>
      </c>
      <c r="C593" s="112" t="s">
        <v>449</v>
      </c>
      <c r="D593" s="113" t="s">
        <v>17</v>
      </c>
      <c r="E593" s="114" t="s">
        <v>15</v>
      </c>
      <c r="F593" s="115" t="s">
        <v>40</v>
      </c>
      <c r="G593" s="116">
        <v>16.5</v>
      </c>
      <c r="H593" s="125">
        <v>7.1</v>
      </c>
      <c r="I593" s="111">
        <v>20</v>
      </c>
      <c r="J593" s="117">
        <f t="shared" si="305"/>
        <v>2.343</v>
      </c>
      <c r="K593" s="118"/>
      <c r="L593" s="111">
        <v>20</v>
      </c>
      <c r="M593" s="117">
        <f t="shared" si="306"/>
        <v>2.343</v>
      </c>
      <c r="N593" s="119">
        <f t="shared" si="307"/>
        <v>0</v>
      </c>
      <c r="O593" s="120">
        <f t="shared" si="308"/>
        <v>0</v>
      </c>
      <c r="P593" s="130"/>
      <c r="Q593" s="320"/>
      <c r="R593" s="32"/>
      <c r="S593" s="32"/>
    </row>
    <row r="594" spans="1:19" ht="15.6">
      <c r="A594" s="110" t="s">
        <v>644</v>
      </c>
      <c r="B594" s="111" t="s">
        <v>505</v>
      </c>
      <c r="C594" s="112" t="s">
        <v>449</v>
      </c>
      <c r="D594" s="113" t="s">
        <v>17</v>
      </c>
      <c r="E594" s="114" t="s">
        <v>15</v>
      </c>
      <c r="F594" s="115" t="s">
        <v>40</v>
      </c>
      <c r="G594" s="116">
        <v>16.5</v>
      </c>
      <c r="H594" s="125">
        <v>8.9</v>
      </c>
      <c r="I594" s="111">
        <v>17</v>
      </c>
      <c r="J594" s="117">
        <f t="shared" si="305"/>
        <v>2.4964499999999998</v>
      </c>
      <c r="K594" s="118"/>
      <c r="L594" s="111">
        <v>17</v>
      </c>
      <c r="M594" s="117">
        <f t="shared" si="306"/>
        <v>2.4964500000000003</v>
      </c>
      <c r="N594" s="119">
        <f t="shared" si="307"/>
        <v>0</v>
      </c>
      <c r="O594" s="120">
        <f t="shared" si="308"/>
        <v>0</v>
      </c>
      <c r="P594" s="130"/>
      <c r="Q594" s="320"/>
      <c r="R594" s="32"/>
      <c r="S594" s="32"/>
    </row>
    <row r="595" spans="1:19" ht="15.6">
      <c r="A595" s="110" t="s">
        <v>644</v>
      </c>
      <c r="B595" s="111" t="s">
        <v>505</v>
      </c>
      <c r="C595" s="112" t="s">
        <v>449</v>
      </c>
      <c r="D595" s="113" t="s">
        <v>17</v>
      </c>
      <c r="E595" s="114" t="s">
        <v>15</v>
      </c>
      <c r="F595" s="115" t="s">
        <v>40</v>
      </c>
      <c r="G595" s="116">
        <v>16.5</v>
      </c>
      <c r="H595" s="125">
        <v>11.2</v>
      </c>
      <c r="I595" s="111">
        <v>13</v>
      </c>
      <c r="J595" s="117">
        <f t="shared" si="305"/>
        <v>2.4023999999999996</v>
      </c>
      <c r="K595" s="118"/>
      <c r="L595" s="111">
        <v>13</v>
      </c>
      <c r="M595" s="117">
        <f t="shared" si="306"/>
        <v>2.4024000000000001</v>
      </c>
      <c r="N595" s="119">
        <f t="shared" si="307"/>
        <v>0</v>
      </c>
      <c r="O595" s="120">
        <f t="shared" si="308"/>
        <v>0</v>
      </c>
      <c r="P595" s="130"/>
      <c r="Q595" s="320"/>
      <c r="R595" s="32"/>
      <c r="S595" s="32"/>
    </row>
    <row r="596" spans="1:19" ht="15.6">
      <c r="A596" s="110" t="s">
        <v>644</v>
      </c>
      <c r="B596" s="111" t="s">
        <v>505</v>
      </c>
      <c r="C596" s="112" t="s">
        <v>449</v>
      </c>
      <c r="D596" s="113" t="s">
        <v>17</v>
      </c>
      <c r="E596" s="114" t="s">
        <v>15</v>
      </c>
      <c r="F596" s="115" t="s">
        <v>40</v>
      </c>
      <c r="G596" s="116">
        <v>16.5</v>
      </c>
      <c r="H596" s="125">
        <v>12</v>
      </c>
      <c r="I596" s="111">
        <v>12</v>
      </c>
      <c r="J596" s="117">
        <f t="shared" si="305"/>
        <v>2.3759999999999999</v>
      </c>
      <c r="K596" s="118"/>
      <c r="L596" s="111">
        <v>12</v>
      </c>
      <c r="M596" s="117">
        <f t="shared" si="306"/>
        <v>2.3759999999999999</v>
      </c>
      <c r="N596" s="119">
        <f t="shared" si="307"/>
        <v>0</v>
      </c>
      <c r="O596" s="120">
        <f t="shared" si="308"/>
        <v>0</v>
      </c>
      <c r="P596" s="130"/>
      <c r="Q596" s="320"/>
      <c r="R596" s="32"/>
      <c r="S596" s="32"/>
    </row>
    <row r="597" spans="1:19" ht="15.6">
      <c r="A597" s="110" t="s">
        <v>644</v>
      </c>
      <c r="B597" s="111" t="s">
        <v>505</v>
      </c>
      <c r="C597" s="112" t="s">
        <v>449</v>
      </c>
      <c r="D597" s="113" t="s">
        <v>17</v>
      </c>
      <c r="E597" s="114" t="s">
        <v>15</v>
      </c>
      <c r="F597" s="115" t="s">
        <v>40</v>
      </c>
      <c r="G597" s="116">
        <v>16.5</v>
      </c>
      <c r="H597" s="125">
        <v>6.55</v>
      </c>
      <c r="I597" s="111">
        <v>15</v>
      </c>
      <c r="J597" s="117">
        <f t="shared" si="305"/>
        <v>1.6211249999999999</v>
      </c>
      <c r="K597" s="118"/>
      <c r="L597" s="111">
        <v>15</v>
      </c>
      <c r="M597" s="117">
        <f t="shared" si="306"/>
        <v>1.6211249999999999</v>
      </c>
      <c r="N597" s="119">
        <f t="shared" si="307"/>
        <v>0</v>
      </c>
      <c r="O597" s="120">
        <f t="shared" si="308"/>
        <v>0</v>
      </c>
      <c r="P597" s="130"/>
      <c r="Q597" s="320"/>
      <c r="R597" s="32"/>
      <c r="S597" s="32"/>
    </row>
    <row r="598" spans="1:19" ht="15.6">
      <c r="A598" s="110" t="s">
        <v>644</v>
      </c>
      <c r="B598" s="111" t="s">
        <v>505</v>
      </c>
      <c r="C598" s="112" t="s">
        <v>449</v>
      </c>
      <c r="D598" s="113" t="s">
        <v>17</v>
      </c>
      <c r="E598" s="114" t="s">
        <v>15</v>
      </c>
      <c r="F598" s="115" t="s">
        <v>40</v>
      </c>
      <c r="G598" s="116">
        <v>16.5</v>
      </c>
      <c r="H598" s="125">
        <v>12</v>
      </c>
      <c r="I598" s="111">
        <v>15</v>
      </c>
      <c r="J598" s="117">
        <f t="shared" ref="J598:J612" si="309">H598*G598*I598/1000</f>
        <v>2.97</v>
      </c>
      <c r="K598" s="118"/>
      <c r="L598" s="111">
        <v>15</v>
      </c>
      <c r="M598" s="117">
        <f t="shared" ref="M598:M612" si="310">H598*L598*G598/1000</f>
        <v>2.97</v>
      </c>
      <c r="N598" s="119">
        <f t="shared" ref="N598:N612" si="311">I598-L598</f>
        <v>0</v>
      </c>
      <c r="O598" s="120">
        <f t="shared" ref="O598:O612" si="312">H598*N598*G598/1000</f>
        <v>0</v>
      </c>
      <c r="P598" s="130"/>
      <c r="Q598" s="320"/>
      <c r="R598" s="32"/>
      <c r="S598" s="32"/>
    </row>
    <row r="599" spans="1:19" ht="15.6">
      <c r="A599" s="110" t="s">
        <v>644</v>
      </c>
      <c r="B599" s="111" t="s">
        <v>505</v>
      </c>
      <c r="C599" s="112" t="s">
        <v>449</v>
      </c>
      <c r="D599" s="113" t="s">
        <v>17</v>
      </c>
      <c r="E599" s="114" t="s">
        <v>15</v>
      </c>
      <c r="F599" s="115" t="s">
        <v>40</v>
      </c>
      <c r="G599" s="116">
        <v>16.5</v>
      </c>
      <c r="H599" s="125">
        <v>12</v>
      </c>
      <c r="I599" s="111">
        <v>15</v>
      </c>
      <c r="J599" s="117">
        <f t="shared" si="309"/>
        <v>2.97</v>
      </c>
      <c r="K599" s="118"/>
      <c r="L599" s="111">
        <v>15</v>
      </c>
      <c r="M599" s="117">
        <f t="shared" si="310"/>
        <v>2.97</v>
      </c>
      <c r="N599" s="119">
        <f t="shared" si="311"/>
        <v>0</v>
      </c>
      <c r="O599" s="120">
        <f t="shared" si="312"/>
        <v>0</v>
      </c>
      <c r="P599" s="130"/>
      <c r="Q599" s="320"/>
      <c r="R599" s="32"/>
      <c r="S599" s="32"/>
    </row>
    <row r="600" spans="1:19" ht="15.6">
      <c r="A600" s="110" t="s">
        <v>644</v>
      </c>
      <c r="B600" s="111" t="s">
        <v>505</v>
      </c>
      <c r="C600" s="112" t="s">
        <v>449</v>
      </c>
      <c r="D600" s="113" t="s">
        <v>17</v>
      </c>
      <c r="E600" s="114" t="s">
        <v>15</v>
      </c>
      <c r="F600" s="115" t="s">
        <v>40</v>
      </c>
      <c r="G600" s="116">
        <v>16.5</v>
      </c>
      <c r="H600" s="125">
        <v>12</v>
      </c>
      <c r="I600" s="111">
        <v>15</v>
      </c>
      <c r="J600" s="117">
        <f t="shared" si="309"/>
        <v>2.97</v>
      </c>
      <c r="K600" s="118"/>
      <c r="L600" s="111">
        <v>15</v>
      </c>
      <c r="M600" s="117">
        <f t="shared" si="310"/>
        <v>2.97</v>
      </c>
      <c r="N600" s="119">
        <f t="shared" si="311"/>
        <v>0</v>
      </c>
      <c r="O600" s="120">
        <f t="shared" si="312"/>
        <v>0</v>
      </c>
      <c r="P600" s="130"/>
      <c r="Q600" s="320"/>
      <c r="R600" s="32"/>
      <c r="S600" s="32"/>
    </row>
    <row r="601" spans="1:19" ht="15.6">
      <c r="A601" s="110" t="s">
        <v>644</v>
      </c>
      <c r="B601" s="111" t="s">
        <v>505</v>
      </c>
      <c r="C601" s="112" t="s">
        <v>449</v>
      </c>
      <c r="D601" s="113" t="s">
        <v>17</v>
      </c>
      <c r="E601" s="114" t="s">
        <v>15</v>
      </c>
      <c r="F601" s="115" t="s">
        <v>40</v>
      </c>
      <c r="G601" s="116">
        <v>16.5</v>
      </c>
      <c r="H601" s="125">
        <v>7.1</v>
      </c>
      <c r="I601" s="111">
        <v>17</v>
      </c>
      <c r="J601" s="117">
        <f t="shared" si="309"/>
        <v>1.9915499999999999</v>
      </c>
      <c r="K601" s="118"/>
      <c r="L601" s="111">
        <v>17</v>
      </c>
      <c r="M601" s="117">
        <f t="shared" si="310"/>
        <v>1.9915499999999997</v>
      </c>
      <c r="N601" s="119">
        <f t="shared" si="311"/>
        <v>0</v>
      </c>
      <c r="O601" s="120">
        <f t="shared" si="312"/>
        <v>0</v>
      </c>
      <c r="P601" s="130"/>
      <c r="Q601" s="320"/>
      <c r="R601" s="32"/>
      <c r="S601" s="32"/>
    </row>
    <row r="602" spans="1:19" ht="15.6">
      <c r="A602" s="110" t="s">
        <v>644</v>
      </c>
      <c r="B602" s="111" t="s">
        <v>505</v>
      </c>
      <c r="C602" s="112" t="s">
        <v>449</v>
      </c>
      <c r="D602" s="113" t="s">
        <v>17</v>
      </c>
      <c r="E602" s="114" t="s">
        <v>15</v>
      </c>
      <c r="F602" s="115" t="s">
        <v>40</v>
      </c>
      <c r="G602" s="116">
        <v>16.5</v>
      </c>
      <c r="H602" s="125">
        <v>12</v>
      </c>
      <c r="I602" s="111">
        <v>15</v>
      </c>
      <c r="J602" s="117">
        <f t="shared" si="309"/>
        <v>2.97</v>
      </c>
      <c r="K602" s="118"/>
      <c r="L602" s="111">
        <v>15</v>
      </c>
      <c r="M602" s="117">
        <f t="shared" si="310"/>
        <v>2.97</v>
      </c>
      <c r="N602" s="119">
        <f t="shared" si="311"/>
        <v>0</v>
      </c>
      <c r="O602" s="120">
        <f t="shared" si="312"/>
        <v>0</v>
      </c>
      <c r="P602" s="130"/>
      <c r="Q602" s="320"/>
      <c r="R602" s="32"/>
      <c r="S602" s="32"/>
    </row>
    <row r="603" spans="1:19" ht="15.6">
      <c r="A603" s="110" t="s">
        <v>644</v>
      </c>
      <c r="B603" s="111" t="s">
        <v>505</v>
      </c>
      <c r="C603" s="112" t="s">
        <v>449</v>
      </c>
      <c r="D603" s="113" t="s">
        <v>17</v>
      </c>
      <c r="E603" s="114" t="s">
        <v>15</v>
      </c>
      <c r="F603" s="115" t="s">
        <v>40</v>
      </c>
      <c r="G603" s="116">
        <v>16.5</v>
      </c>
      <c r="H603" s="125">
        <v>12</v>
      </c>
      <c r="I603" s="111">
        <v>15</v>
      </c>
      <c r="J603" s="117">
        <f t="shared" si="309"/>
        <v>2.97</v>
      </c>
      <c r="K603" s="118"/>
      <c r="L603" s="111">
        <v>15</v>
      </c>
      <c r="M603" s="117">
        <f t="shared" si="310"/>
        <v>2.97</v>
      </c>
      <c r="N603" s="119">
        <f t="shared" si="311"/>
        <v>0</v>
      </c>
      <c r="O603" s="120">
        <f t="shared" si="312"/>
        <v>0</v>
      </c>
      <c r="P603" s="130"/>
      <c r="Q603" s="320"/>
      <c r="R603" s="32"/>
      <c r="S603" s="32"/>
    </row>
    <row r="604" spans="1:19" ht="15.6">
      <c r="A604" s="110" t="s">
        <v>644</v>
      </c>
      <c r="B604" s="111" t="s">
        <v>505</v>
      </c>
      <c r="C604" s="112" t="s">
        <v>449</v>
      </c>
      <c r="D604" s="113" t="s">
        <v>17</v>
      </c>
      <c r="E604" s="114" t="s">
        <v>15</v>
      </c>
      <c r="F604" s="115" t="s">
        <v>40</v>
      </c>
      <c r="G604" s="116">
        <v>16.5</v>
      </c>
      <c r="H604" s="125">
        <v>7.1</v>
      </c>
      <c r="I604" s="111">
        <v>17</v>
      </c>
      <c r="J604" s="117">
        <f t="shared" si="309"/>
        <v>1.9915499999999999</v>
      </c>
      <c r="K604" s="118"/>
      <c r="L604" s="111">
        <v>17</v>
      </c>
      <c r="M604" s="117">
        <f t="shared" si="310"/>
        <v>1.9915499999999997</v>
      </c>
      <c r="N604" s="119">
        <f t="shared" si="311"/>
        <v>0</v>
      </c>
      <c r="O604" s="120">
        <f t="shared" si="312"/>
        <v>0</v>
      </c>
      <c r="P604" s="130"/>
      <c r="Q604" s="320"/>
      <c r="R604" s="32"/>
      <c r="S604" s="32"/>
    </row>
    <row r="605" spans="1:19" ht="15.6">
      <c r="A605" s="110" t="s">
        <v>644</v>
      </c>
      <c r="B605" s="111" t="s">
        <v>505</v>
      </c>
      <c r="C605" s="112" t="s">
        <v>449</v>
      </c>
      <c r="D605" s="113" t="s">
        <v>17</v>
      </c>
      <c r="E605" s="114" t="s">
        <v>15</v>
      </c>
      <c r="F605" s="115" t="s">
        <v>40</v>
      </c>
      <c r="G605" s="116">
        <v>16.5</v>
      </c>
      <c r="H605" s="125">
        <v>7.1</v>
      </c>
      <c r="I605" s="111">
        <v>17</v>
      </c>
      <c r="J605" s="117">
        <f t="shared" si="309"/>
        <v>1.9915499999999999</v>
      </c>
      <c r="K605" s="118"/>
      <c r="L605" s="111">
        <v>17</v>
      </c>
      <c r="M605" s="117">
        <f t="shared" si="310"/>
        <v>1.9915499999999997</v>
      </c>
      <c r="N605" s="119">
        <f t="shared" si="311"/>
        <v>0</v>
      </c>
      <c r="O605" s="120">
        <f t="shared" si="312"/>
        <v>0</v>
      </c>
      <c r="P605" s="130"/>
      <c r="Q605" s="320"/>
      <c r="R605" s="32"/>
      <c r="S605" s="32"/>
    </row>
    <row r="606" spans="1:19" ht="15.6">
      <c r="A606" s="110" t="s">
        <v>644</v>
      </c>
      <c r="B606" s="111" t="s">
        <v>505</v>
      </c>
      <c r="C606" s="112" t="s">
        <v>449</v>
      </c>
      <c r="D606" s="113" t="s">
        <v>17</v>
      </c>
      <c r="E606" s="114" t="s">
        <v>15</v>
      </c>
      <c r="F606" s="115" t="s">
        <v>40</v>
      </c>
      <c r="G606" s="116">
        <v>16.5</v>
      </c>
      <c r="H606" s="125">
        <v>11.8</v>
      </c>
      <c r="I606" s="111">
        <v>15</v>
      </c>
      <c r="J606" s="117">
        <f t="shared" si="309"/>
        <v>2.9205000000000005</v>
      </c>
      <c r="K606" s="118"/>
      <c r="L606" s="111">
        <v>15</v>
      </c>
      <c r="M606" s="117">
        <f t="shared" si="310"/>
        <v>2.9205000000000001</v>
      </c>
      <c r="N606" s="119">
        <f t="shared" si="311"/>
        <v>0</v>
      </c>
      <c r="O606" s="120">
        <f t="shared" si="312"/>
        <v>0</v>
      </c>
      <c r="P606" s="130"/>
      <c r="Q606" s="320"/>
      <c r="R606" s="32"/>
      <c r="S606" s="32"/>
    </row>
    <row r="607" spans="1:19" ht="15.6">
      <c r="A607" s="110" t="s">
        <v>644</v>
      </c>
      <c r="B607" s="111" t="s">
        <v>505</v>
      </c>
      <c r="C607" s="112" t="s">
        <v>449</v>
      </c>
      <c r="D607" s="113" t="s">
        <v>17</v>
      </c>
      <c r="E607" s="114" t="s">
        <v>15</v>
      </c>
      <c r="F607" s="115" t="s">
        <v>40</v>
      </c>
      <c r="G607" s="116">
        <v>16.5</v>
      </c>
      <c r="H607" s="125">
        <v>7.1</v>
      </c>
      <c r="I607" s="111">
        <v>19</v>
      </c>
      <c r="J607" s="117">
        <f t="shared" si="309"/>
        <v>2.2258499999999999</v>
      </c>
      <c r="K607" s="118"/>
      <c r="L607" s="111">
        <v>19</v>
      </c>
      <c r="M607" s="117">
        <f t="shared" si="310"/>
        <v>2.2258499999999999</v>
      </c>
      <c r="N607" s="119">
        <f t="shared" si="311"/>
        <v>0</v>
      </c>
      <c r="O607" s="120">
        <f t="shared" si="312"/>
        <v>0</v>
      </c>
      <c r="P607" s="130"/>
      <c r="Q607" s="320"/>
      <c r="R607" s="32"/>
      <c r="S607" s="32"/>
    </row>
    <row r="608" spans="1:19" ht="15.6">
      <c r="A608" s="110" t="s">
        <v>644</v>
      </c>
      <c r="B608" s="111" t="s">
        <v>505</v>
      </c>
      <c r="C608" s="112" t="s">
        <v>449</v>
      </c>
      <c r="D608" s="113" t="s">
        <v>17</v>
      </c>
      <c r="E608" s="114" t="s">
        <v>15</v>
      </c>
      <c r="F608" s="115" t="s">
        <v>40</v>
      </c>
      <c r="G608" s="116">
        <v>16.5</v>
      </c>
      <c r="H608" s="125">
        <v>6.55</v>
      </c>
      <c r="I608" s="111">
        <v>20</v>
      </c>
      <c r="J608" s="117">
        <f t="shared" si="309"/>
        <v>2.1615000000000002</v>
      </c>
      <c r="K608" s="118"/>
      <c r="L608" s="111">
        <v>20</v>
      </c>
      <c r="M608" s="117">
        <f t="shared" si="310"/>
        <v>2.1615000000000002</v>
      </c>
      <c r="N608" s="119">
        <f t="shared" si="311"/>
        <v>0</v>
      </c>
      <c r="O608" s="120">
        <f t="shared" si="312"/>
        <v>0</v>
      </c>
      <c r="P608" s="130"/>
      <c r="Q608" s="320"/>
      <c r="R608" s="32"/>
      <c r="S608" s="32"/>
    </row>
    <row r="609" spans="1:19" ht="15.6">
      <c r="A609" s="110" t="s">
        <v>644</v>
      </c>
      <c r="B609" s="111" t="s">
        <v>505</v>
      </c>
      <c r="C609" s="112" t="s">
        <v>449</v>
      </c>
      <c r="D609" s="113" t="s">
        <v>17</v>
      </c>
      <c r="E609" s="114" t="s">
        <v>15</v>
      </c>
      <c r="F609" s="115" t="s">
        <v>40</v>
      </c>
      <c r="G609" s="116">
        <v>16.5</v>
      </c>
      <c r="H609" s="125">
        <v>11.8</v>
      </c>
      <c r="I609" s="111">
        <v>15</v>
      </c>
      <c r="J609" s="117">
        <f t="shared" si="309"/>
        <v>2.9205000000000005</v>
      </c>
      <c r="K609" s="118"/>
      <c r="L609" s="111">
        <v>15</v>
      </c>
      <c r="M609" s="117">
        <f t="shared" si="310"/>
        <v>2.9205000000000001</v>
      </c>
      <c r="N609" s="119">
        <f t="shared" si="311"/>
        <v>0</v>
      </c>
      <c r="O609" s="120">
        <f t="shared" si="312"/>
        <v>0</v>
      </c>
      <c r="P609" s="130"/>
      <c r="Q609" s="320"/>
      <c r="R609" s="32"/>
      <c r="S609" s="32"/>
    </row>
    <row r="610" spans="1:19" ht="15.6">
      <c r="A610" s="110" t="s">
        <v>644</v>
      </c>
      <c r="B610" s="111" t="s">
        <v>505</v>
      </c>
      <c r="C610" s="112" t="s">
        <v>449</v>
      </c>
      <c r="D610" s="113" t="s">
        <v>17</v>
      </c>
      <c r="E610" s="114" t="s">
        <v>15</v>
      </c>
      <c r="F610" s="115" t="s">
        <v>40</v>
      </c>
      <c r="G610" s="116">
        <v>16.5</v>
      </c>
      <c r="H610" s="125">
        <v>6.55</v>
      </c>
      <c r="I610" s="111">
        <v>22</v>
      </c>
      <c r="J610" s="117">
        <f t="shared" si="309"/>
        <v>2.37765</v>
      </c>
      <c r="K610" s="118"/>
      <c r="L610" s="111">
        <v>22</v>
      </c>
      <c r="M610" s="117">
        <f t="shared" si="310"/>
        <v>2.37765</v>
      </c>
      <c r="N610" s="119">
        <f t="shared" si="311"/>
        <v>0</v>
      </c>
      <c r="O610" s="120">
        <f t="shared" si="312"/>
        <v>0</v>
      </c>
      <c r="P610" s="130"/>
      <c r="Q610" s="320"/>
      <c r="R610" s="32"/>
      <c r="S610" s="32"/>
    </row>
    <row r="611" spans="1:19" ht="15.6">
      <c r="A611" s="110" t="s">
        <v>644</v>
      </c>
      <c r="B611" s="111" t="s">
        <v>505</v>
      </c>
      <c r="C611" s="112" t="s">
        <v>449</v>
      </c>
      <c r="D611" s="113" t="s">
        <v>17</v>
      </c>
      <c r="E611" s="114" t="s">
        <v>15</v>
      </c>
      <c r="F611" s="115" t="s">
        <v>40</v>
      </c>
      <c r="G611" s="116">
        <v>16.5</v>
      </c>
      <c r="H611" s="125">
        <v>11.2</v>
      </c>
      <c r="I611" s="111">
        <v>17</v>
      </c>
      <c r="J611" s="117">
        <f t="shared" si="309"/>
        <v>3.1415999999999999</v>
      </c>
      <c r="K611" s="118"/>
      <c r="L611" s="111">
        <v>17</v>
      </c>
      <c r="M611" s="117">
        <f t="shared" si="310"/>
        <v>3.1415999999999995</v>
      </c>
      <c r="N611" s="119">
        <f t="shared" si="311"/>
        <v>0</v>
      </c>
      <c r="O611" s="120">
        <f t="shared" si="312"/>
        <v>0</v>
      </c>
      <c r="P611" s="130"/>
      <c r="Q611" s="320"/>
      <c r="R611" s="32"/>
      <c r="S611" s="32"/>
    </row>
    <row r="612" spans="1:19" ht="15.6">
      <c r="A612" s="110" t="s">
        <v>644</v>
      </c>
      <c r="B612" s="111" t="s">
        <v>505</v>
      </c>
      <c r="C612" s="112" t="s">
        <v>449</v>
      </c>
      <c r="D612" s="113" t="s">
        <v>17</v>
      </c>
      <c r="E612" s="114" t="s">
        <v>15</v>
      </c>
      <c r="F612" s="115" t="s">
        <v>40</v>
      </c>
      <c r="G612" s="116">
        <v>16.5</v>
      </c>
      <c r="H612" s="125">
        <v>8.9</v>
      </c>
      <c r="I612" s="111">
        <v>17</v>
      </c>
      <c r="J612" s="117">
        <f t="shared" si="309"/>
        <v>2.4964499999999998</v>
      </c>
      <c r="K612" s="118"/>
      <c r="L612" s="111">
        <v>17</v>
      </c>
      <c r="M612" s="117">
        <f t="shared" si="310"/>
        <v>2.4964500000000003</v>
      </c>
      <c r="N612" s="119">
        <f t="shared" si="311"/>
        <v>0</v>
      </c>
      <c r="O612" s="120">
        <f t="shared" si="312"/>
        <v>0</v>
      </c>
      <c r="P612" s="130"/>
      <c r="Q612" s="320"/>
      <c r="R612" s="32"/>
      <c r="S612" s="32"/>
    </row>
    <row r="613" spans="1:19" ht="15.6">
      <c r="A613" s="110" t="s">
        <v>644</v>
      </c>
      <c r="B613" s="111" t="s">
        <v>505</v>
      </c>
      <c r="C613" s="112" t="s">
        <v>449</v>
      </c>
      <c r="D613" s="113" t="s">
        <v>17</v>
      </c>
      <c r="E613" s="114" t="s">
        <v>15</v>
      </c>
      <c r="F613" s="115" t="s">
        <v>40</v>
      </c>
      <c r="G613" s="116">
        <v>16.5</v>
      </c>
      <c r="H613" s="125">
        <v>12</v>
      </c>
      <c r="I613" s="111">
        <v>19</v>
      </c>
      <c r="J613" s="117">
        <f t="shared" ref="J613:J618" si="313">H613*G613*I613/1000</f>
        <v>3.762</v>
      </c>
      <c r="K613" s="118"/>
      <c r="L613" s="111">
        <v>19</v>
      </c>
      <c r="M613" s="117">
        <f t="shared" ref="M613:M618" si="314">H613*L613*G613/1000</f>
        <v>3.762</v>
      </c>
      <c r="N613" s="119">
        <f t="shared" ref="N613:N618" si="315">I613-L613</f>
        <v>0</v>
      </c>
      <c r="O613" s="120">
        <f t="shared" ref="O613:O618" si="316">H613*N613*G613/1000</f>
        <v>0</v>
      </c>
      <c r="P613" s="130"/>
      <c r="Q613" s="320"/>
      <c r="R613" s="32"/>
      <c r="S613" s="32"/>
    </row>
    <row r="614" spans="1:19" ht="15.6">
      <c r="A614" s="110" t="s">
        <v>644</v>
      </c>
      <c r="B614" s="111" t="s">
        <v>505</v>
      </c>
      <c r="C614" s="112" t="s">
        <v>449</v>
      </c>
      <c r="D614" s="113" t="s">
        <v>17</v>
      </c>
      <c r="E614" s="114" t="s">
        <v>15</v>
      </c>
      <c r="F614" s="115" t="s">
        <v>40</v>
      </c>
      <c r="G614" s="116">
        <v>16.5</v>
      </c>
      <c r="H614" s="125">
        <v>11.8</v>
      </c>
      <c r="I614" s="111">
        <v>8</v>
      </c>
      <c r="J614" s="117">
        <f t="shared" si="313"/>
        <v>1.5576000000000001</v>
      </c>
      <c r="K614" s="118"/>
      <c r="L614" s="111">
        <f>4+4</f>
        <v>8</v>
      </c>
      <c r="M614" s="117">
        <f t="shared" si="314"/>
        <v>1.5576000000000001</v>
      </c>
      <c r="N614" s="119">
        <f t="shared" si="315"/>
        <v>0</v>
      </c>
      <c r="O614" s="120">
        <f t="shared" si="316"/>
        <v>0</v>
      </c>
      <c r="P614" s="130">
        <v>11.2</v>
      </c>
      <c r="Q614" s="320">
        <v>4</v>
      </c>
      <c r="R614" s="32"/>
      <c r="S614" s="32"/>
    </row>
    <row r="615" spans="1:19" ht="15.6">
      <c r="A615" s="110" t="s">
        <v>644</v>
      </c>
      <c r="B615" s="111" t="s">
        <v>505</v>
      </c>
      <c r="C615" s="112" t="s">
        <v>449</v>
      </c>
      <c r="D615" s="113" t="s">
        <v>17</v>
      </c>
      <c r="E615" s="114" t="s">
        <v>15</v>
      </c>
      <c r="F615" s="115" t="s">
        <v>40</v>
      </c>
      <c r="G615" s="116">
        <v>16.5</v>
      </c>
      <c r="H615" s="125">
        <v>7.1</v>
      </c>
      <c r="I615" s="111">
        <v>9</v>
      </c>
      <c r="J615" s="117">
        <f t="shared" si="313"/>
        <v>1.0543499999999999</v>
      </c>
      <c r="K615" s="118"/>
      <c r="L615" s="111">
        <v>9</v>
      </c>
      <c r="M615" s="117">
        <f t="shared" si="314"/>
        <v>1.0543499999999999</v>
      </c>
      <c r="N615" s="119">
        <f t="shared" si="315"/>
        <v>0</v>
      </c>
      <c r="O615" s="120">
        <f t="shared" si="316"/>
        <v>0</v>
      </c>
      <c r="P615" s="130"/>
      <c r="Q615" s="320"/>
      <c r="R615" s="32"/>
      <c r="S615" s="32"/>
    </row>
    <row r="616" spans="1:19" ht="15.6">
      <c r="A616" s="110" t="s">
        <v>644</v>
      </c>
      <c r="B616" s="111" t="s">
        <v>505</v>
      </c>
      <c r="C616" s="112" t="s">
        <v>449</v>
      </c>
      <c r="D616" s="113" t="s">
        <v>17</v>
      </c>
      <c r="E616" s="114" t="s">
        <v>15</v>
      </c>
      <c r="F616" s="115" t="s">
        <v>40</v>
      </c>
      <c r="G616" s="116">
        <v>16.5</v>
      </c>
      <c r="H616" s="125">
        <v>7.1</v>
      </c>
      <c r="I616" s="111">
        <v>2</v>
      </c>
      <c r="J616" s="117">
        <f t="shared" si="313"/>
        <v>0.23429999999999998</v>
      </c>
      <c r="K616" s="118"/>
      <c r="L616" s="111">
        <v>2</v>
      </c>
      <c r="M616" s="117">
        <f t="shared" si="314"/>
        <v>0.23429999999999998</v>
      </c>
      <c r="N616" s="119">
        <f t="shared" si="315"/>
        <v>0</v>
      </c>
      <c r="O616" s="120">
        <f t="shared" si="316"/>
        <v>0</v>
      </c>
      <c r="P616" s="130">
        <v>6.55</v>
      </c>
      <c r="Q616" s="320">
        <v>2</v>
      </c>
      <c r="R616" s="32"/>
      <c r="S616" s="32"/>
    </row>
    <row r="617" spans="1:19" ht="15.6">
      <c r="A617" s="110" t="s">
        <v>644</v>
      </c>
      <c r="B617" s="111" t="s">
        <v>505</v>
      </c>
      <c r="C617" s="112" t="s">
        <v>449</v>
      </c>
      <c r="D617" s="113" t="s">
        <v>17</v>
      </c>
      <c r="E617" s="114" t="s">
        <v>15</v>
      </c>
      <c r="F617" s="115" t="s">
        <v>40</v>
      </c>
      <c r="G617" s="116">
        <v>16.5</v>
      </c>
      <c r="H617" s="125">
        <v>12.4</v>
      </c>
      <c r="I617" s="111">
        <v>4</v>
      </c>
      <c r="J617" s="117">
        <f t="shared" si="313"/>
        <v>0.81840000000000002</v>
      </c>
      <c r="K617" s="118"/>
      <c r="L617" s="111"/>
      <c r="M617" s="117">
        <f t="shared" si="314"/>
        <v>0</v>
      </c>
      <c r="N617" s="119">
        <f t="shared" si="315"/>
        <v>4</v>
      </c>
      <c r="O617" s="120">
        <f t="shared" si="316"/>
        <v>0.81840000000000002</v>
      </c>
      <c r="P617" s="130"/>
      <c r="Q617" s="320"/>
      <c r="R617" s="32"/>
      <c r="S617" s="32"/>
    </row>
    <row r="618" spans="1:19" ht="15.6">
      <c r="A618" s="110" t="s">
        <v>644</v>
      </c>
      <c r="B618" s="111" t="s">
        <v>505</v>
      </c>
      <c r="C618" s="112" t="s">
        <v>449</v>
      </c>
      <c r="D618" s="113" t="s">
        <v>17</v>
      </c>
      <c r="E618" s="114" t="s">
        <v>15</v>
      </c>
      <c r="F618" s="115" t="s">
        <v>40</v>
      </c>
      <c r="G618" s="116">
        <v>16.5</v>
      </c>
      <c r="H618" s="125">
        <v>8.4</v>
      </c>
      <c r="I618" s="111">
        <v>1</v>
      </c>
      <c r="J618" s="117">
        <f t="shared" si="313"/>
        <v>0.1386</v>
      </c>
      <c r="K618" s="118"/>
      <c r="L618" s="111"/>
      <c r="M618" s="117">
        <f t="shared" si="314"/>
        <v>0</v>
      </c>
      <c r="N618" s="119">
        <f t="shared" si="315"/>
        <v>1</v>
      </c>
      <c r="O618" s="120">
        <f t="shared" si="316"/>
        <v>0.1386</v>
      </c>
      <c r="P618" s="130"/>
      <c r="Q618" s="320"/>
      <c r="R618" s="32"/>
      <c r="S618" s="32"/>
    </row>
    <row r="619" spans="1:19" ht="15.6">
      <c r="A619" s="110" t="s">
        <v>644</v>
      </c>
      <c r="B619" s="111" t="s">
        <v>505</v>
      </c>
      <c r="C619" s="112" t="s">
        <v>449</v>
      </c>
      <c r="D619" s="113" t="s">
        <v>17</v>
      </c>
      <c r="E619" s="114" t="s">
        <v>15</v>
      </c>
      <c r="F619" s="115" t="s">
        <v>40</v>
      </c>
      <c r="G619" s="116">
        <v>16.5</v>
      </c>
      <c r="H619" s="125">
        <v>6.55</v>
      </c>
      <c r="I619" s="111">
        <v>20</v>
      </c>
      <c r="J619" s="117">
        <f t="shared" ref="J619" si="317">H619*G619*I619/1000</f>
        <v>2.1615000000000002</v>
      </c>
      <c r="K619" s="118"/>
      <c r="L619" s="111">
        <v>20</v>
      </c>
      <c r="M619" s="117">
        <f t="shared" ref="M619:M629" si="318">H619*L619*G619/1000</f>
        <v>2.1615000000000002</v>
      </c>
      <c r="N619" s="119">
        <f t="shared" ref="N619:N629" si="319">I619-L619</f>
        <v>0</v>
      </c>
      <c r="O619" s="120">
        <f t="shared" ref="O619:O629" si="320">H619*N619*G619/1000</f>
        <v>0</v>
      </c>
      <c r="P619" s="130"/>
      <c r="Q619" s="320"/>
      <c r="R619" s="32"/>
      <c r="S619" s="32"/>
    </row>
    <row r="620" spans="1:19" ht="15.6">
      <c r="A620" s="110" t="s">
        <v>644</v>
      </c>
      <c r="B620" s="111" t="s">
        <v>505</v>
      </c>
      <c r="C620" s="112" t="s">
        <v>449</v>
      </c>
      <c r="D620" s="113" t="s">
        <v>17</v>
      </c>
      <c r="E620" s="114" t="s">
        <v>15</v>
      </c>
      <c r="F620" s="115" t="s">
        <v>40</v>
      </c>
      <c r="G620" s="116">
        <v>16.5</v>
      </c>
      <c r="H620" s="125">
        <v>7.1</v>
      </c>
      <c r="I620" s="111">
        <v>25</v>
      </c>
      <c r="J620" s="117">
        <f t="shared" ref="J620:J629" si="321">H620*G620*I620/1000</f>
        <v>2.92875</v>
      </c>
      <c r="K620" s="118"/>
      <c r="L620" s="111">
        <v>25</v>
      </c>
      <c r="M620" s="117">
        <f t="shared" si="318"/>
        <v>2.92875</v>
      </c>
      <c r="N620" s="119">
        <f t="shared" si="319"/>
        <v>0</v>
      </c>
      <c r="O620" s="120">
        <f t="shared" si="320"/>
        <v>0</v>
      </c>
      <c r="P620" s="130"/>
      <c r="Q620" s="320"/>
      <c r="R620" s="32"/>
      <c r="S620" s="32"/>
    </row>
    <row r="621" spans="1:19" ht="15.6">
      <c r="A621" s="110" t="s">
        <v>644</v>
      </c>
      <c r="B621" s="111" t="s">
        <v>505</v>
      </c>
      <c r="C621" s="112" t="s">
        <v>449</v>
      </c>
      <c r="D621" s="113" t="s">
        <v>17</v>
      </c>
      <c r="E621" s="114" t="s">
        <v>15</v>
      </c>
      <c r="F621" s="115" t="s">
        <v>40</v>
      </c>
      <c r="G621" s="116">
        <v>16.5</v>
      </c>
      <c r="H621" s="125">
        <v>8.1999999999999993</v>
      </c>
      <c r="I621" s="111">
        <v>1</v>
      </c>
      <c r="J621" s="117">
        <f t="shared" si="321"/>
        <v>0.13529999999999998</v>
      </c>
      <c r="K621" s="118"/>
      <c r="L621" s="111">
        <v>1</v>
      </c>
      <c r="M621" s="117">
        <f t="shared" si="318"/>
        <v>0.13529999999999998</v>
      </c>
      <c r="N621" s="119">
        <f t="shared" si="319"/>
        <v>0</v>
      </c>
      <c r="O621" s="120">
        <f t="shared" si="320"/>
        <v>0</v>
      </c>
      <c r="P621" s="130">
        <v>6.55</v>
      </c>
      <c r="Q621" s="320">
        <v>1</v>
      </c>
      <c r="R621" s="32"/>
      <c r="S621" s="32"/>
    </row>
    <row r="622" spans="1:19" ht="15.6">
      <c r="A622" s="110" t="s">
        <v>644</v>
      </c>
      <c r="B622" s="111" t="s">
        <v>505</v>
      </c>
      <c r="C622" s="112" t="s">
        <v>449</v>
      </c>
      <c r="D622" s="113" t="s">
        <v>17</v>
      </c>
      <c r="E622" s="114" t="s">
        <v>15</v>
      </c>
      <c r="F622" s="115" t="s">
        <v>40</v>
      </c>
      <c r="G622" s="116">
        <v>16.5</v>
      </c>
      <c r="H622" s="125">
        <v>8.6999999999999993</v>
      </c>
      <c r="I622" s="111">
        <v>1</v>
      </c>
      <c r="J622" s="117">
        <f t="shared" si="321"/>
        <v>0.14354999999999998</v>
      </c>
      <c r="K622" s="118"/>
      <c r="L622" s="111">
        <v>1</v>
      </c>
      <c r="M622" s="117">
        <f t="shared" si="318"/>
        <v>0.14354999999999998</v>
      </c>
      <c r="N622" s="119">
        <f t="shared" si="319"/>
        <v>0</v>
      </c>
      <c r="O622" s="120">
        <f t="shared" si="320"/>
        <v>0</v>
      </c>
      <c r="P622" s="130">
        <v>6.55</v>
      </c>
      <c r="Q622" s="320">
        <v>1</v>
      </c>
      <c r="R622" s="32"/>
      <c r="S622" s="32"/>
    </row>
    <row r="623" spans="1:19" ht="15.6">
      <c r="A623" s="110" t="s">
        <v>644</v>
      </c>
      <c r="B623" s="111" t="s">
        <v>505</v>
      </c>
      <c r="C623" s="112" t="s">
        <v>449</v>
      </c>
      <c r="D623" s="113" t="s">
        <v>17</v>
      </c>
      <c r="E623" s="114" t="s">
        <v>15</v>
      </c>
      <c r="F623" s="115" t="s">
        <v>40</v>
      </c>
      <c r="G623" s="116">
        <v>16.5</v>
      </c>
      <c r="H623" s="125">
        <v>8.9</v>
      </c>
      <c r="I623" s="111">
        <v>11</v>
      </c>
      <c r="J623" s="117">
        <f t="shared" si="321"/>
        <v>1.6153499999999998</v>
      </c>
      <c r="K623" s="118"/>
      <c r="L623" s="111">
        <v>10</v>
      </c>
      <c r="M623" s="117">
        <f t="shared" si="318"/>
        <v>1.4684999999999999</v>
      </c>
      <c r="N623" s="119">
        <f t="shared" si="319"/>
        <v>1</v>
      </c>
      <c r="O623" s="120">
        <f t="shared" si="320"/>
        <v>0.14684999999999998</v>
      </c>
      <c r="P623" s="130"/>
      <c r="Q623" s="320"/>
      <c r="R623" s="32"/>
      <c r="S623" s="32"/>
    </row>
    <row r="624" spans="1:19" ht="15.6">
      <c r="A624" s="110" t="s">
        <v>644</v>
      </c>
      <c r="B624" s="111" t="s">
        <v>505</v>
      </c>
      <c r="C624" s="112" t="s">
        <v>449</v>
      </c>
      <c r="D624" s="113" t="s">
        <v>17</v>
      </c>
      <c r="E624" s="114" t="s">
        <v>15</v>
      </c>
      <c r="F624" s="115" t="s">
        <v>40</v>
      </c>
      <c r="G624" s="116">
        <v>16.5</v>
      </c>
      <c r="H624" s="125">
        <v>11.2</v>
      </c>
      <c r="I624" s="111">
        <v>8</v>
      </c>
      <c r="J624" s="117">
        <f t="shared" si="321"/>
        <v>1.4783999999999999</v>
      </c>
      <c r="K624" s="118"/>
      <c r="L624" s="111">
        <v>8</v>
      </c>
      <c r="M624" s="117">
        <f t="shared" si="318"/>
        <v>1.4783999999999999</v>
      </c>
      <c r="N624" s="119">
        <f t="shared" si="319"/>
        <v>0</v>
      </c>
      <c r="O624" s="120">
        <f t="shared" si="320"/>
        <v>0</v>
      </c>
      <c r="P624" s="130"/>
      <c r="Q624" s="320"/>
      <c r="R624" s="32"/>
      <c r="S624" s="32"/>
    </row>
    <row r="625" spans="1:19" ht="15.6">
      <c r="A625" s="110" t="s">
        <v>644</v>
      </c>
      <c r="B625" s="111" t="s">
        <v>505</v>
      </c>
      <c r="C625" s="112" t="s">
        <v>449</v>
      </c>
      <c r="D625" s="113" t="s">
        <v>17</v>
      </c>
      <c r="E625" s="114" t="s">
        <v>15</v>
      </c>
      <c r="F625" s="115" t="s">
        <v>40</v>
      </c>
      <c r="G625" s="116">
        <v>16.5</v>
      </c>
      <c r="H625" s="125">
        <v>11.8</v>
      </c>
      <c r="I625" s="111">
        <v>15</v>
      </c>
      <c r="J625" s="117">
        <f t="shared" si="321"/>
        <v>2.9205000000000005</v>
      </c>
      <c r="K625" s="118"/>
      <c r="L625" s="111">
        <v>15</v>
      </c>
      <c r="M625" s="117">
        <f t="shared" si="318"/>
        <v>2.9205000000000001</v>
      </c>
      <c r="N625" s="119">
        <f t="shared" si="319"/>
        <v>0</v>
      </c>
      <c r="O625" s="120">
        <f t="shared" si="320"/>
        <v>0</v>
      </c>
      <c r="P625" s="130"/>
      <c r="Q625" s="320"/>
      <c r="R625" s="32"/>
      <c r="S625" s="32"/>
    </row>
    <row r="626" spans="1:19" ht="15.6">
      <c r="A626" s="110" t="s">
        <v>644</v>
      </c>
      <c r="B626" s="111" t="s">
        <v>505</v>
      </c>
      <c r="C626" s="112" t="s">
        <v>449</v>
      </c>
      <c r="D626" s="113" t="s">
        <v>17</v>
      </c>
      <c r="E626" s="114" t="s">
        <v>15</v>
      </c>
      <c r="F626" s="115" t="s">
        <v>40</v>
      </c>
      <c r="G626" s="116">
        <v>16.5</v>
      </c>
      <c r="H626" s="125">
        <v>12</v>
      </c>
      <c r="I626" s="111">
        <v>7</v>
      </c>
      <c r="J626" s="117">
        <f t="shared" si="321"/>
        <v>1.3859999999999999</v>
      </c>
      <c r="K626" s="118"/>
      <c r="L626" s="111">
        <f>4+2</f>
        <v>6</v>
      </c>
      <c r="M626" s="117">
        <f t="shared" si="318"/>
        <v>1.1879999999999999</v>
      </c>
      <c r="N626" s="119">
        <f t="shared" si="319"/>
        <v>1</v>
      </c>
      <c r="O626" s="120">
        <f t="shared" si="320"/>
        <v>0.19800000000000001</v>
      </c>
      <c r="P626" s="130" t="s">
        <v>645</v>
      </c>
      <c r="Q626" s="320">
        <v>2</v>
      </c>
      <c r="R626" s="32"/>
      <c r="S626" s="32"/>
    </row>
    <row r="627" spans="1:19" ht="15.6">
      <c r="A627" s="110" t="s">
        <v>644</v>
      </c>
      <c r="B627" s="111" t="s">
        <v>505</v>
      </c>
      <c r="C627" s="112" t="s">
        <v>449</v>
      </c>
      <c r="D627" s="113" t="s">
        <v>17</v>
      </c>
      <c r="E627" s="114" t="s">
        <v>15</v>
      </c>
      <c r="F627" s="115" t="s">
        <v>40</v>
      </c>
      <c r="G627" s="116">
        <v>16.5</v>
      </c>
      <c r="H627" s="125">
        <v>7.1</v>
      </c>
      <c r="I627" s="111">
        <v>6</v>
      </c>
      <c r="J627" s="117">
        <f t="shared" si="321"/>
        <v>0.70289999999999997</v>
      </c>
      <c r="K627" s="118"/>
      <c r="L627" s="111">
        <f>4+2</f>
        <v>6</v>
      </c>
      <c r="M627" s="117">
        <f t="shared" si="318"/>
        <v>0.70289999999999986</v>
      </c>
      <c r="N627" s="119">
        <f t="shared" si="319"/>
        <v>0</v>
      </c>
      <c r="O627" s="120">
        <f t="shared" si="320"/>
        <v>0</v>
      </c>
      <c r="P627" s="130">
        <v>6.55</v>
      </c>
      <c r="Q627" s="320">
        <v>2</v>
      </c>
      <c r="R627" s="32"/>
      <c r="S627" s="32"/>
    </row>
    <row r="628" spans="1:19" ht="15.6">
      <c r="A628" s="110" t="s">
        <v>644</v>
      </c>
      <c r="B628" s="111" t="s">
        <v>505</v>
      </c>
      <c r="C628" s="112" t="s">
        <v>449</v>
      </c>
      <c r="D628" s="113" t="s">
        <v>17</v>
      </c>
      <c r="E628" s="114" t="s">
        <v>15</v>
      </c>
      <c r="F628" s="115" t="s">
        <v>40</v>
      </c>
      <c r="G628" s="116">
        <v>16.5</v>
      </c>
      <c r="H628" s="125">
        <v>8.9</v>
      </c>
      <c r="I628" s="111">
        <v>1</v>
      </c>
      <c r="J628" s="117">
        <f t="shared" si="321"/>
        <v>0.14684999999999998</v>
      </c>
      <c r="K628" s="118"/>
      <c r="L628" s="111">
        <v>1</v>
      </c>
      <c r="M628" s="117">
        <f t="shared" si="318"/>
        <v>0.14684999999999998</v>
      </c>
      <c r="N628" s="119">
        <f t="shared" si="319"/>
        <v>0</v>
      </c>
      <c r="O628" s="120">
        <f t="shared" si="320"/>
        <v>0</v>
      </c>
      <c r="P628" s="130">
        <v>6.55</v>
      </c>
      <c r="Q628" s="320">
        <v>1</v>
      </c>
      <c r="R628" s="32"/>
      <c r="S628" s="32"/>
    </row>
    <row r="629" spans="1:19" ht="15.6">
      <c r="A629" s="110" t="s">
        <v>644</v>
      </c>
      <c r="B629" s="111" t="s">
        <v>505</v>
      </c>
      <c r="C629" s="112" t="s">
        <v>449</v>
      </c>
      <c r="D629" s="113" t="s">
        <v>17</v>
      </c>
      <c r="E629" s="114" t="s">
        <v>15</v>
      </c>
      <c r="F629" s="115" t="s">
        <v>40</v>
      </c>
      <c r="G629" s="116">
        <v>16.5</v>
      </c>
      <c r="H629" s="125">
        <v>12</v>
      </c>
      <c r="I629" s="111">
        <v>16</v>
      </c>
      <c r="J629" s="117">
        <f t="shared" si="321"/>
        <v>3.1680000000000001</v>
      </c>
      <c r="K629" s="118"/>
      <c r="L629" s="111">
        <v>16</v>
      </c>
      <c r="M629" s="117">
        <f t="shared" si="318"/>
        <v>3.1680000000000001</v>
      </c>
      <c r="N629" s="119">
        <f t="shared" si="319"/>
        <v>0</v>
      </c>
      <c r="O629" s="120">
        <f t="shared" si="320"/>
        <v>0</v>
      </c>
      <c r="P629" s="130"/>
      <c r="Q629" s="320"/>
      <c r="R629" s="32"/>
      <c r="S629" s="32"/>
    </row>
    <row r="630" spans="1:19">
      <c r="A630" s="32"/>
      <c r="B630" s="32"/>
      <c r="C630" s="32"/>
      <c r="D630" s="32"/>
      <c r="E630" s="32"/>
      <c r="F630" s="32"/>
      <c r="G630" s="32"/>
      <c r="H630" s="32"/>
      <c r="I630" s="129">
        <f>SUM(I581:I629)</f>
        <v>689</v>
      </c>
      <c r="J630" s="124">
        <f>SUM(J581:J629)</f>
        <v>108.600525</v>
      </c>
      <c r="K630" s="32"/>
      <c r="L630" s="129">
        <f>SUM(L581:L629)</f>
        <v>682</v>
      </c>
      <c r="M630" s="124">
        <f>SUM(M581:M629)</f>
        <v>107.29867500000002</v>
      </c>
      <c r="N630" s="129">
        <f>SUM(N581:N629)</f>
        <v>7</v>
      </c>
      <c r="O630" s="124">
        <f>SUM(O581:O629)</f>
        <v>1.30185</v>
      </c>
      <c r="P630" s="32"/>
      <c r="Q630" s="32"/>
      <c r="R630" s="32"/>
      <c r="S630" s="32"/>
    </row>
    <row r="633" spans="1:19" ht="15.6">
      <c r="A633" s="110" t="s">
        <v>644</v>
      </c>
      <c r="B633" s="111" t="s">
        <v>232</v>
      </c>
      <c r="C633" s="112" t="s">
        <v>449</v>
      </c>
      <c r="D633" s="113" t="s">
        <v>342</v>
      </c>
      <c r="E633" s="114" t="s">
        <v>15</v>
      </c>
      <c r="F633" s="115" t="s">
        <v>39</v>
      </c>
      <c r="G633" s="116">
        <v>14.7</v>
      </c>
      <c r="H633" s="125">
        <v>12.6</v>
      </c>
      <c r="I633" s="111">
        <v>17</v>
      </c>
      <c r="J633" s="117">
        <f>H633*G633*I633/1000</f>
        <v>3.1487399999999997</v>
      </c>
      <c r="K633" s="118"/>
      <c r="L633" s="111">
        <v>17</v>
      </c>
      <c r="M633" s="117">
        <f t="shared" ref="M633" si="322">H633*L633*G633/1000</f>
        <v>3.1487399999999997</v>
      </c>
      <c r="N633" s="119">
        <f t="shared" ref="N633" si="323">I633-L633</f>
        <v>0</v>
      </c>
      <c r="O633" s="120">
        <f t="shared" ref="O633" si="324">H633*N633*G633/1000</f>
        <v>0</v>
      </c>
      <c r="P633" s="111"/>
      <c r="Q633" s="320"/>
      <c r="R633" s="32"/>
      <c r="S633" s="32"/>
    </row>
    <row r="634" spans="1:19" ht="15.6">
      <c r="A634" s="110" t="s">
        <v>644</v>
      </c>
      <c r="B634" s="111" t="s">
        <v>232</v>
      </c>
      <c r="C634" s="112" t="s">
        <v>449</v>
      </c>
      <c r="D634" s="113" t="s">
        <v>342</v>
      </c>
      <c r="E634" s="114" t="s">
        <v>15</v>
      </c>
      <c r="F634" s="115" t="s">
        <v>39</v>
      </c>
      <c r="G634" s="116">
        <v>14.7</v>
      </c>
      <c r="H634" s="125">
        <v>12.6</v>
      </c>
      <c r="I634" s="111">
        <v>17</v>
      </c>
      <c r="J634" s="117">
        <f t="shared" ref="J634:J647" si="325">H634*G634*I634/1000</f>
        <v>3.1487399999999997</v>
      </c>
      <c r="K634" s="118"/>
      <c r="L634" s="111">
        <v>17</v>
      </c>
      <c r="M634" s="117">
        <f t="shared" ref="M634:M647" si="326">H634*L634*G634/1000</f>
        <v>3.1487399999999997</v>
      </c>
      <c r="N634" s="119">
        <f t="shared" ref="N634:N647" si="327">I634-L634</f>
        <v>0</v>
      </c>
      <c r="O634" s="120">
        <f t="shared" ref="O634:O647" si="328">H634*N634*G634/1000</f>
        <v>0</v>
      </c>
      <c r="P634" s="111"/>
      <c r="Q634" s="320"/>
      <c r="R634" s="32"/>
      <c r="S634" s="32"/>
    </row>
    <row r="635" spans="1:19" ht="15.6">
      <c r="A635" s="110" t="s">
        <v>644</v>
      </c>
      <c r="B635" s="111" t="s">
        <v>232</v>
      </c>
      <c r="C635" s="112" t="s">
        <v>449</v>
      </c>
      <c r="D635" s="113" t="s">
        <v>342</v>
      </c>
      <c r="E635" s="114" t="s">
        <v>15</v>
      </c>
      <c r="F635" s="115" t="s">
        <v>39</v>
      </c>
      <c r="G635" s="116">
        <v>14.7</v>
      </c>
      <c r="H635" s="125">
        <v>12.6</v>
      </c>
      <c r="I635" s="111">
        <v>17</v>
      </c>
      <c r="J635" s="117">
        <f t="shared" si="325"/>
        <v>3.1487399999999997</v>
      </c>
      <c r="K635" s="118"/>
      <c r="L635" s="111">
        <v>17</v>
      </c>
      <c r="M635" s="117">
        <f t="shared" si="326"/>
        <v>3.1487399999999997</v>
      </c>
      <c r="N635" s="119">
        <f t="shared" si="327"/>
        <v>0</v>
      </c>
      <c r="O635" s="120">
        <f t="shared" si="328"/>
        <v>0</v>
      </c>
      <c r="P635" s="111"/>
      <c r="Q635" s="320"/>
      <c r="R635" s="32"/>
      <c r="S635" s="32"/>
    </row>
    <row r="636" spans="1:19" ht="15.6">
      <c r="A636" s="110" t="s">
        <v>644</v>
      </c>
      <c r="B636" s="111" t="s">
        <v>232</v>
      </c>
      <c r="C636" s="112" t="s">
        <v>449</v>
      </c>
      <c r="D636" s="113" t="s">
        <v>342</v>
      </c>
      <c r="E636" s="114" t="s">
        <v>15</v>
      </c>
      <c r="F636" s="115" t="s">
        <v>39</v>
      </c>
      <c r="G636" s="116">
        <v>14.7</v>
      </c>
      <c r="H636" s="125">
        <v>12.6</v>
      </c>
      <c r="I636" s="111">
        <v>6</v>
      </c>
      <c r="J636" s="117">
        <f t="shared" si="325"/>
        <v>1.1113199999999999</v>
      </c>
      <c r="K636" s="118"/>
      <c r="L636" s="111">
        <v>6</v>
      </c>
      <c r="M636" s="117">
        <f t="shared" si="326"/>
        <v>1.1113199999999999</v>
      </c>
      <c r="N636" s="119">
        <f t="shared" si="327"/>
        <v>0</v>
      </c>
      <c r="O636" s="120">
        <f t="shared" si="328"/>
        <v>0</v>
      </c>
      <c r="P636" s="111"/>
      <c r="Q636" s="320"/>
      <c r="R636" s="32"/>
      <c r="S636" s="32"/>
    </row>
    <row r="637" spans="1:19" ht="15.6">
      <c r="A637" s="110" t="s">
        <v>644</v>
      </c>
      <c r="B637" s="111" t="s">
        <v>232</v>
      </c>
      <c r="C637" s="112" t="s">
        <v>449</v>
      </c>
      <c r="D637" s="113" t="s">
        <v>342</v>
      </c>
      <c r="E637" s="114" t="s">
        <v>15</v>
      </c>
      <c r="F637" s="115" t="s">
        <v>39</v>
      </c>
      <c r="G637" s="116">
        <v>14.7</v>
      </c>
      <c r="H637" s="125">
        <v>9</v>
      </c>
      <c r="I637" s="111">
        <v>2</v>
      </c>
      <c r="J637" s="117">
        <f t="shared" si="325"/>
        <v>0.26459999999999995</v>
      </c>
      <c r="K637" s="118"/>
      <c r="L637" s="111">
        <v>2</v>
      </c>
      <c r="M637" s="117">
        <f t="shared" si="326"/>
        <v>0.26459999999999995</v>
      </c>
      <c r="N637" s="119">
        <f t="shared" si="327"/>
        <v>0</v>
      </c>
      <c r="O637" s="120">
        <f t="shared" si="328"/>
        <v>0</v>
      </c>
      <c r="P637" s="111"/>
      <c r="Q637" s="320"/>
      <c r="R637" s="32"/>
      <c r="S637" s="32"/>
    </row>
    <row r="638" spans="1:19" ht="15.6">
      <c r="A638" s="110" t="s">
        <v>644</v>
      </c>
      <c r="B638" s="111" t="s">
        <v>232</v>
      </c>
      <c r="C638" s="112" t="s">
        <v>449</v>
      </c>
      <c r="D638" s="113" t="s">
        <v>342</v>
      </c>
      <c r="E638" s="114" t="s">
        <v>15</v>
      </c>
      <c r="F638" s="115" t="s">
        <v>39</v>
      </c>
      <c r="G638" s="116">
        <v>14.7</v>
      </c>
      <c r="H638" s="125">
        <v>9</v>
      </c>
      <c r="I638" s="111">
        <v>17</v>
      </c>
      <c r="J638" s="117">
        <f t="shared" si="325"/>
        <v>2.2490999999999999</v>
      </c>
      <c r="K638" s="118"/>
      <c r="L638" s="111">
        <v>17</v>
      </c>
      <c r="M638" s="117">
        <f t="shared" si="326"/>
        <v>2.2490999999999999</v>
      </c>
      <c r="N638" s="119">
        <f t="shared" si="327"/>
        <v>0</v>
      </c>
      <c r="O638" s="120">
        <f t="shared" si="328"/>
        <v>0</v>
      </c>
      <c r="P638" s="111"/>
      <c r="Q638" s="320"/>
      <c r="R638" s="32"/>
      <c r="S638" s="32"/>
    </row>
    <row r="639" spans="1:19" ht="15.6">
      <c r="A639" s="110" t="s">
        <v>644</v>
      </c>
      <c r="B639" s="111" t="s">
        <v>232</v>
      </c>
      <c r="C639" s="112" t="s">
        <v>449</v>
      </c>
      <c r="D639" s="113" t="s">
        <v>342</v>
      </c>
      <c r="E639" s="114" t="s">
        <v>15</v>
      </c>
      <c r="F639" s="115" t="s">
        <v>39</v>
      </c>
      <c r="G639" s="116">
        <v>14.7</v>
      </c>
      <c r="H639" s="125">
        <v>9</v>
      </c>
      <c r="I639" s="111">
        <v>18</v>
      </c>
      <c r="J639" s="117">
        <f t="shared" si="325"/>
        <v>2.3813999999999997</v>
      </c>
      <c r="K639" s="118"/>
      <c r="L639" s="111">
        <v>18</v>
      </c>
      <c r="M639" s="117">
        <f t="shared" si="326"/>
        <v>2.3814000000000002</v>
      </c>
      <c r="N639" s="119">
        <f t="shared" si="327"/>
        <v>0</v>
      </c>
      <c r="O639" s="120">
        <f t="shared" si="328"/>
        <v>0</v>
      </c>
      <c r="P639" s="111"/>
      <c r="Q639" s="320"/>
      <c r="R639" s="32"/>
      <c r="S639" s="32"/>
    </row>
    <row r="640" spans="1:19" ht="15.6">
      <c r="A640" s="110" t="s">
        <v>644</v>
      </c>
      <c r="B640" s="111" t="s">
        <v>232</v>
      </c>
      <c r="C640" s="112" t="s">
        <v>449</v>
      </c>
      <c r="D640" s="113" t="s">
        <v>342</v>
      </c>
      <c r="E640" s="114" t="s">
        <v>15</v>
      </c>
      <c r="F640" s="115" t="s">
        <v>39</v>
      </c>
      <c r="G640" s="116">
        <v>14.7</v>
      </c>
      <c r="H640" s="125">
        <v>9</v>
      </c>
      <c r="I640" s="111">
        <v>18</v>
      </c>
      <c r="J640" s="117">
        <f t="shared" si="325"/>
        <v>2.3813999999999997</v>
      </c>
      <c r="K640" s="118"/>
      <c r="L640" s="111">
        <v>18</v>
      </c>
      <c r="M640" s="117">
        <f t="shared" si="326"/>
        <v>2.3814000000000002</v>
      </c>
      <c r="N640" s="119">
        <f t="shared" si="327"/>
        <v>0</v>
      </c>
      <c r="O640" s="120">
        <f t="shared" si="328"/>
        <v>0</v>
      </c>
      <c r="P640" s="111"/>
      <c r="Q640" s="320"/>
      <c r="R640" s="32"/>
      <c r="S640" s="32"/>
    </row>
    <row r="641" spans="1:19" ht="15.6">
      <c r="A641" s="110" t="s">
        <v>644</v>
      </c>
      <c r="B641" s="111" t="s">
        <v>232</v>
      </c>
      <c r="C641" s="112" t="s">
        <v>449</v>
      </c>
      <c r="D641" s="113" t="s">
        <v>342</v>
      </c>
      <c r="E641" s="114" t="s">
        <v>15</v>
      </c>
      <c r="F641" s="115" t="s">
        <v>39</v>
      </c>
      <c r="G641" s="116">
        <v>14.7</v>
      </c>
      <c r="H641" s="125">
        <v>12.6</v>
      </c>
      <c r="I641" s="111">
        <v>18</v>
      </c>
      <c r="J641" s="117">
        <f t="shared" si="325"/>
        <v>3.3339600000000003</v>
      </c>
      <c r="K641" s="118"/>
      <c r="L641" s="111">
        <v>18</v>
      </c>
      <c r="M641" s="117">
        <f t="shared" si="326"/>
        <v>3.3339599999999994</v>
      </c>
      <c r="N641" s="119">
        <f t="shared" si="327"/>
        <v>0</v>
      </c>
      <c r="O641" s="120">
        <f t="shared" si="328"/>
        <v>0</v>
      </c>
      <c r="P641" s="111"/>
      <c r="Q641" s="320"/>
      <c r="R641" s="32"/>
      <c r="S641" s="32"/>
    </row>
    <row r="642" spans="1:19" ht="15.6">
      <c r="A642" s="110" t="s">
        <v>644</v>
      </c>
      <c r="B642" s="111" t="s">
        <v>232</v>
      </c>
      <c r="C642" s="112" t="s">
        <v>449</v>
      </c>
      <c r="D642" s="113" t="s">
        <v>342</v>
      </c>
      <c r="E642" s="114" t="s">
        <v>15</v>
      </c>
      <c r="F642" s="115" t="s">
        <v>39</v>
      </c>
      <c r="G642" s="116">
        <v>14.7</v>
      </c>
      <c r="H642" s="125">
        <v>12.6</v>
      </c>
      <c r="I642" s="111">
        <v>17</v>
      </c>
      <c r="J642" s="117">
        <f t="shared" si="325"/>
        <v>3.1487399999999997</v>
      </c>
      <c r="K642" s="118"/>
      <c r="L642" s="111">
        <v>17</v>
      </c>
      <c r="M642" s="117">
        <f t="shared" si="326"/>
        <v>3.1487399999999997</v>
      </c>
      <c r="N642" s="119">
        <f t="shared" si="327"/>
        <v>0</v>
      </c>
      <c r="O642" s="120">
        <f t="shared" si="328"/>
        <v>0</v>
      </c>
      <c r="P642" s="111"/>
      <c r="Q642" s="320"/>
      <c r="R642" s="32"/>
      <c r="S642" s="32"/>
    </row>
    <row r="643" spans="1:19" ht="15.6">
      <c r="A643" s="110" t="s">
        <v>644</v>
      </c>
      <c r="B643" s="111" t="s">
        <v>232</v>
      </c>
      <c r="C643" s="112" t="s">
        <v>449</v>
      </c>
      <c r="D643" s="113" t="s">
        <v>342</v>
      </c>
      <c r="E643" s="114" t="s">
        <v>15</v>
      </c>
      <c r="F643" s="115" t="s">
        <v>39</v>
      </c>
      <c r="G643" s="116">
        <v>14.7</v>
      </c>
      <c r="H643" s="125">
        <v>12.6</v>
      </c>
      <c r="I643" s="111">
        <v>17</v>
      </c>
      <c r="J643" s="117">
        <f t="shared" si="325"/>
        <v>3.1487399999999997</v>
      </c>
      <c r="K643" s="118"/>
      <c r="L643" s="111">
        <v>17</v>
      </c>
      <c r="M643" s="117">
        <f t="shared" si="326"/>
        <v>3.1487399999999997</v>
      </c>
      <c r="N643" s="119">
        <f t="shared" si="327"/>
        <v>0</v>
      </c>
      <c r="O643" s="120">
        <f t="shared" si="328"/>
        <v>0</v>
      </c>
      <c r="P643" s="111"/>
      <c r="Q643" s="320"/>
      <c r="R643" s="32"/>
      <c r="S643" s="32"/>
    </row>
    <row r="644" spans="1:19" ht="15.6">
      <c r="A644" s="110" t="s">
        <v>644</v>
      </c>
      <c r="B644" s="111" t="s">
        <v>232</v>
      </c>
      <c r="C644" s="112" t="s">
        <v>449</v>
      </c>
      <c r="D644" s="113" t="s">
        <v>342</v>
      </c>
      <c r="E644" s="114" t="s">
        <v>15</v>
      </c>
      <c r="F644" s="115" t="s">
        <v>39</v>
      </c>
      <c r="G644" s="116">
        <v>14.7</v>
      </c>
      <c r="H644" s="125">
        <v>12.6</v>
      </c>
      <c r="I644" s="111">
        <v>17</v>
      </c>
      <c r="J644" s="117">
        <f t="shared" si="325"/>
        <v>3.1487399999999997</v>
      </c>
      <c r="K644" s="118"/>
      <c r="L644" s="111">
        <v>17</v>
      </c>
      <c r="M644" s="117">
        <f t="shared" si="326"/>
        <v>3.1487399999999997</v>
      </c>
      <c r="N644" s="119">
        <f t="shared" si="327"/>
        <v>0</v>
      </c>
      <c r="O644" s="120">
        <f t="shared" si="328"/>
        <v>0</v>
      </c>
      <c r="P644" s="111"/>
      <c r="Q644" s="320"/>
      <c r="R644" s="32"/>
      <c r="S644" s="32"/>
    </row>
    <row r="645" spans="1:19" ht="15.6">
      <c r="A645" s="110" t="s">
        <v>644</v>
      </c>
      <c r="B645" s="111" t="s">
        <v>232</v>
      </c>
      <c r="C645" s="112" t="s">
        <v>449</v>
      </c>
      <c r="D645" s="113" t="s">
        <v>342</v>
      </c>
      <c r="E645" s="114" t="s">
        <v>15</v>
      </c>
      <c r="F645" s="115" t="s">
        <v>39</v>
      </c>
      <c r="G645" s="116">
        <v>14.7</v>
      </c>
      <c r="H645" s="125">
        <v>12.6</v>
      </c>
      <c r="I645" s="111">
        <v>17</v>
      </c>
      <c r="J645" s="117">
        <f t="shared" si="325"/>
        <v>3.1487399999999997</v>
      </c>
      <c r="K645" s="118"/>
      <c r="L645" s="111">
        <f>17+13</f>
        <v>30</v>
      </c>
      <c r="M645" s="117">
        <f t="shared" si="326"/>
        <v>5.5565999999999995</v>
      </c>
      <c r="N645" s="141">
        <f t="shared" si="327"/>
        <v>-13</v>
      </c>
      <c r="O645" s="142">
        <f t="shared" si="328"/>
        <v>-2.4078599999999999</v>
      </c>
      <c r="P645" s="111" t="s">
        <v>304</v>
      </c>
      <c r="Q645" s="320"/>
      <c r="R645" s="32"/>
      <c r="S645" s="32"/>
    </row>
    <row r="646" spans="1:19" ht="15.6">
      <c r="A646" s="110" t="s">
        <v>644</v>
      </c>
      <c r="B646" s="111" t="s">
        <v>232</v>
      </c>
      <c r="C646" s="112" t="s">
        <v>449</v>
      </c>
      <c r="D646" s="113" t="s">
        <v>342</v>
      </c>
      <c r="E646" s="114" t="s">
        <v>15</v>
      </c>
      <c r="F646" s="115" t="s">
        <v>39</v>
      </c>
      <c r="G646" s="116">
        <v>14.7</v>
      </c>
      <c r="H646" s="125">
        <v>12.6</v>
      </c>
      <c r="I646" s="111">
        <v>1</v>
      </c>
      <c r="J646" s="117">
        <f t="shared" si="325"/>
        <v>0.18522</v>
      </c>
      <c r="K646" s="118"/>
      <c r="L646" s="111">
        <v>1</v>
      </c>
      <c r="M646" s="117">
        <f t="shared" si="326"/>
        <v>0.18522</v>
      </c>
      <c r="N646" s="119">
        <f t="shared" si="327"/>
        <v>0</v>
      </c>
      <c r="O646" s="120">
        <f t="shared" si="328"/>
        <v>0</v>
      </c>
      <c r="P646" s="111"/>
      <c r="Q646" s="320"/>
      <c r="R646" s="32"/>
      <c r="S646" s="32"/>
    </row>
    <row r="647" spans="1:19" ht="15.6">
      <c r="A647" s="110" t="s">
        <v>644</v>
      </c>
      <c r="B647" s="111" t="s">
        <v>232</v>
      </c>
      <c r="C647" s="112" t="s">
        <v>449</v>
      </c>
      <c r="D647" s="113" t="s">
        <v>342</v>
      </c>
      <c r="E647" s="114" t="s">
        <v>15</v>
      </c>
      <c r="F647" s="115" t="s">
        <v>39</v>
      </c>
      <c r="G647" s="116">
        <v>14.7</v>
      </c>
      <c r="H647" s="125">
        <v>9</v>
      </c>
      <c r="I647" s="111">
        <v>1</v>
      </c>
      <c r="J647" s="117">
        <f t="shared" si="325"/>
        <v>0.13229999999999997</v>
      </c>
      <c r="K647" s="118"/>
      <c r="L647" s="111">
        <v>1</v>
      </c>
      <c r="M647" s="117">
        <f t="shared" si="326"/>
        <v>0.13229999999999997</v>
      </c>
      <c r="N647" s="119">
        <f t="shared" si="327"/>
        <v>0</v>
      </c>
      <c r="O647" s="120">
        <f t="shared" si="328"/>
        <v>0</v>
      </c>
      <c r="P647" s="111"/>
      <c r="Q647" s="320"/>
      <c r="R647" s="32"/>
      <c r="S647" s="32"/>
    </row>
    <row r="648" spans="1:19" ht="15.6">
      <c r="A648" s="110" t="s">
        <v>644</v>
      </c>
      <c r="B648" s="111" t="s">
        <v>232</v>
      </c>
      <c r="C648" s="112" t="s">
        <v>449</v>
      </c>
      <c r="D648" s="113" t="s">
        <v>342</v>
      </c>
      <c r="E648" s="114" t="s">
        <v>15</v>
      </c>
      <c r="F648" s="115" t="s">
        <v>39</v>
      </c>
      <c r="G648" s="116">
        <v>14.7</v>
      </c>
      <c r="H648" s="125">
        <v>11.5</v>
      </c>
      <c r="I648" s="111">
        <v>1</v>
      </c>
      <c r="J648" s="117">
        <f t="shared" ref="J648:J653" si="329">H648*G648*I648/1000</f>
        <v>0.16904999999999998</v>
      </c>
      <c r="K648" s="118"/>
      <c r="L648" s="111"/>
      <c r="M648" s="117">
        <f t="shared" ref="M648:M653" si="330">H648*L648*G648/1000</f>
        <v>0</v>
      </c>
      <c r="N648" s="119">
        <f t="shared" ref="N648:N653" si="331">I648-L648</f>
        <v>1</v>
      </c>
      <c r="O648" s="120">
        <f t="shared" ref="O648:O653" si="332">H648*N648*G648/1000</f>
        <v>0.16904999999999998</v>
      </c>
      <c r="P648" s="111"/>
      <c r="Q648" s="320"/>
      <c r="R648" s="32"/>
      <c r="S648" s="32"/>
    </row>
    <row r="649" spans="1:19" ht="15.6">
      <c r="A649" s="110" t="s">
        <v>644</v>
      </c>
      <c r="B649" s="111" t="s">
        <v>232</v>
      </c>
      <c r="C649" s="112" t="s">
        <v>449</v>
      </c>
      <c r="D649" s="113" t="s">
        <v>342</v>
      </c>
      <c r="E649" s="114" t="s">
        <v>15</v>
      </c>
      <c r="F649" s="115" t="s">
        <v>39</v>
      </c>
      <c r="G649" s="116">
        <v>14.7</v>
      </c>
      <c r="H649" s="125">
        <v>11.4</v>
      </c>
      <c r="I649" s="111">
        <v>1</v>
      </c>
      <c r="J649" s="117">
        <f t="shared" si="329"/>
        <v>0.16757999999999998</v>
      </c>
      <c r="K649" s="118"/>
      <c r="L649" s="111"/>
      <c r="M649" s="117">
        <f t="shared" si="330"/>
        <v>0</v>
      </c>
      <c r="N649" s="119">
        <f t="shared" si="331"/>
        <v>1</v>
      </c>
      <c r="O649" s="120">
        <f t="shared" si="332"/>
        <v>0.16757999999999998</v>
      </c>
      <c r="P649" s="111"/>
      <c r="Q649" s="320"/>
      <c r="R649" s="32"/>
      <c r="S649" s="32"/>
    </row>
    <row r="650" spans="1:19" ht="15.6">
      <c r="A650" s="110" t="s">
        <v>644</v>
      </c>
      <c r="B650" s="111" t="s">
        <v>232</v>
      </c>
      <c r="C650" s="112" t="s">
        <v>449</v>
      </c>
      <c r="D650" s="113" t="s">
        <v>342</v>
      </c>
      <c r="E650" s="114" t="s">
        <v>15</v>
      </c>
      <c r="F650" s="115" t="s">
        <v>39</v>
      </c>
      <c r="G650" s="116">
        <v>14.7</v>
      </c>
      <c r="H650" s="125">
        <v>12.1</v>
      </c>
      <c r="I650" s="111">
        <v>1</v>
      </c>
      <c r="J650" s="117">
        <f t="shared" si="329"/>
        <v>0.17786999999999997</v>
      </c>
      <c r="K650" s="118"/>
      <c r="L650" s="111"/>
      <c r="M650" s="117">
        <f t="shared" si="330"/>
        <v>0</v>
      </c>
      <c r="N650" s="119">
        <f t="shared" si="331"/>
        <v>1</v>
      </c>
      <c r="O650" s="120">
        <f t="shared" si="332"/>
        <v>0.17786999999999997</v>
      </c>
      <c r="P650" s="111"/>
      <c r="Q650" s="320"/>
      <c r="R650" s="32"/>
      <c r="S650" s="32"/>
    </row>
    <row r="651" spans="1:19" ht="15.6">
      <c r="A651" s="110" t="s">
        <v>644</v>
      </c>
      <c r="B651" s="111" t="s">
        <v>232</v>
      </c>
      <c r="C651" s="112" t="s">
        <v>449</v>
      </c>
      <c r="D651" s="113" t="s">
        <v>342</v>
      </c>
      <c r="E651" s="114" t="s">
        <v>15</v>
      </c>
      <c r="F651" s="115" t="s">
        <v>39</v>
      </c>
      <c r="G651" s="116">
        <v>14.7</v>
      </c>
      <c r="H651" s="125">
        <v>12</v>
      </c>
      <c r="I651" s="111">
        <v>3</v>
      </c>
      <c r="J651" s="117">
        <f t="shared" si="329"/>
        <v>0.52919999999999989</v>
      </c>
      <c r="K651" s="118"/>
      <c r="L651" s="111"/>
      <c r="M651" s="117">
        <f t="shared" si="330"/>
        <v>0</v>
      </c>
      <c r="N651" s="119">
        <f t="shared" si="331"/>
        <v>3</v>
      </c>
      <c r="O651" s="120">
        <f t="shared" si="332"/>
        <v>0.52919999999999989</v>
      </c>
      <c r="P651" s="111"/>
      <c r="Q651" s="320"/>
      <c r="R651" s="32"/>
      <c r="S651" s="32"/>
    </row>
    <row r="652" spans="1:19" ht="15.6">
      <c r="A652" s="110" t="s">
        <v>644</v>
      </c>
      <c r="B652" s="111" t="s">
        <v>232</v>
      </c>
      <c r="C652" s="112" t="s">
        <v>449</v>
      </c>
      <c r="D652" s="113" t="s">
        <v>342</v>
      </c>
      <c r="E652" s="114" t="s">
        <v>15</v>
      </c>
      <c r="F652" s="115" t="s">
        <v>39</v>
      </c>
      <c r="G652" s="116">
        <v>14.7</v>
      </c>
      <c r="H652" s="125">
        <v>10</v>
      </c>
      <c r="I652" s="111">
        <v>3</v>
      </c>
      <c r="J652" s="117">
        <f t="shared" si="329"/>
        <v>0.441</v>
      </c>
      <c r="K652" s="118"/>
      <c r="L652" s="111"/>
      <c r="M652" s="117">
        <f t="shared" si="330"/>
        <v>0</v>
      </c>
      <c r="N652" s="119">
        <f t="shared" si="331"/>
        <v>3</v>
      </c>
      <c r="O652" s="120">
        <f t="shared" si="332"/>
        <v>0.441</v>
      </c>
      <c r="P652" s="111"/>
      <c r="Q652" s="320"/>
      <c r="R652" s="32"/>
      <c r="S652" s="32"/>
    </row>
    <row r="653" spans="1:19" ht="15.6">
      <c r="A653" s="110" t="s">
        <v>644</v>
      </c>
      <c r="B653" s="111" t="s">
        <v>232</v>
      </c>
      <c r="C653" s="112" t="s">
        <v>449</v>
      </c>
      <c r="D653" s="113" t="s">
        <v>342</v>
      </c>
      <c r="E653" s="114" t="s">
        <v>15</v>
      </c>
      <c r="F653" s="115" t="s">
        <v>39</v>
      </c>
      <c r="G653" s="116">
        <v>14.7</v>
      </c>
      <c r="H653" s="125">
        <v>8.5</v>
      </c>
      <c r="I653" s="111">
        <v>1</v>
      </c>
      <c r="J653" s="117">
        <f t="shared" si="329"/>
        <v>0.12494999999999999</v>
      </c>
      <c r="K653" s="118"/>
      <c r="L653" s="111"/>
      <c r="M653" s="117">
        <f t="shared" si="330"/>
        <v>0</v>
      </c>
      <c r="N653" s="119">
        <f t="shared" si="331"/>
        <v>1</v>
      </c>
      <c r="O653" s="120">
        <f t="shared" si="332"/>
        <v>0.12494999999999999</v>
      </c>
      <c r="P653" s="111"/>
      <c r="Q653" s="320"/>
      <c r="R653" s="32"/>
      <c r="S653" s="32"/>
    </row>
    <row r="654" spans="1:19" ht="15.6">
      <c r="A654" s="110" t="s">
        <v>644</v>
      </c>
      <c r="B654" s="111" t="s">
        <v>232</v>
      </c>
      <c r="C654" s="112" t="s">
        <v>449</v>
      </c>
      <c r="D654" s="113" t="s">
        <v>342</v>
      </c>
      <c r="E654" s="114" t="s">
        <v>15</v>
      </c>
      <c r="F654" s="115" t="s">
        <v>39</v>
      </c>
      <c r="G654" s="116">
        <v>14.7</v>
      </c>
      <c r="H654" s="125">
        <v>12.6</v>
      </c>
      <c r="I654" s="111">
        <v>18</v>
      </c>
      <c r="J654" s="117">
        <f t="shared" ref="J654:J663" si="333">H654*G654*I654/1000</f>
        <v>3.3339600000000003</v>
      </c>
      <c r="K654" s="118"/>
      <c r="L654" s="111">
        <v>18</v>
      </c>
      <c r="M654" s="117">
        <f t="shared" ref="M654:M663" si="334">H654*L654*G654/1000</f>
        <v>3.3339599999999994</v>
      </c>
      <c r="N654" s="119">
        <f t="shared" ref="N654:N663" si="335">I654-L654</f>
        <v>0</v>
      </c>
      <c r="O654" s="120">
        <f t="shared" ref="O654:O662" si="336">H654*N654*G654/1000</f>
        <v>0</v>
      </c>
      <c r="P654" s="111"/>
      <c r="Q654" s="320"/>
      <c r="R654" s="32"/>
      <c r="S654" s="32"/>
    </row>
    <row r="655" spans="1:19" ht="15.6">
      <c r="A655" s="110" t="s">
        <v>644</v>
      </c>
      <c r="B655" s="111" t="s">
        <v>232</v>
      </c>
      <c r="C655" s="112" t="s">
        <v>449</v>
      </c>
      <c r="D655" s="113" t="s">
        <v>342</v>
      </c>
      <c r="E655" s="114" t="s">
        <v>15</v>
      </c>
      <c r="F655" s="115" t="s">
        <v>39</v>
      </c>
      <c r="G655" s="116">
        <v>14.7</v>
      </c>
      <c r="H655" s="125">
        <v>12.6</v>
      </c>
      <c r="I655" s="111">
        <v>18</v>
      </c>
      <c r="J655" s="117">
        <f t="shared" si="333"/>
        <v>3.3339600000000003</v>
      </c>
      <c r="K655" s="118"/>
      <c r="L655" s="111">
        <v>18</v>
      </c>
      <c r="M655" s="117">
        <f t="shared" si="334"/>
        <v>3.3339599999999994</v>
      </c>
      <c r="N655" s="119">
        <f t="shared" si="335"/>
        <v>0</v>
      </c>
      <c r="O655" s="120">
        <f t="shared" si="336"/>
        <v>0</v>
      </c>
      <c r="P655" s="111"/>
      <c r="Q655" s="320"/>
      <c r="R655" s="32"/>
      <c r="S655" s="32"/>
    </row>
    <row r="656" spans="1:19" ht="15.6">
      <c r="A656" s="110" t="s">
        <v>644</v>
      </c>
      <c r="B656" s="111" t="s">
        <v>232</v>
      </c>
      <c r="C656" s="112" t="s">
        <v>449</v>
      </c>
      <c r="D656" s="113" t="s">
        <v>342</v>
      </c>
      <c r="E656" s="114" t="s">
        <v>15</v>
      </c>
      <c r="F656" s="115" t="s">
        <v>39</v>
      </c>
      <c r="G656" s="116">
        <v>14.7</v>
      </c>
      <c r="H656" s="125">
        <v>9</v>
      </c>
      <c r="I656" s="111">
        <v>20</v>
      </c>
      <c r="J656" s="117">
        <f t="shared" si="333"/>
        <v>2.6459999999999995</v>
      </c>
      <c r="K656" s="118"/>
      <c r="L656" s="111">
        <v>20</v>
      </c>
      <c r="M656" s="117">
        <f t="shared" si="334"/>
        <v>2.6459999999999999</v>
      </c>
      <c r="N656" s="119">
        <f t="shared" si="335"/>
        <v>0</v>
      </c>
      <c r="O656" s="120">
        <f t="shared" si="336"/>
        <v>0</v>
      </c>
      <c r="P656" s="111"/>
      <c r="Q656" s="320"/>
      <c r="R656" s="32"/>
      <c r="S656" s="32"/>
    </row>
    <row r="657" spans="1:19" ht="15.6">
      <c r="A657" s="110" t="s">
        <v>644</v>
      </c>
      <c r="B657" s="111" t="s">
        <v>232</v>
      </c>
      <c r="C657" s="112" t="s">
        <v>449</v>
      </c>
      <c r="D657" s="113" t="s">
        <v>342</v>
      </c>
      <c r="E657" s="114" t="s">
        <v>15</v>
      </c>
      <c r="F657" s="115" t="s">
        <v>39</v>
      </c>
      <c r="G657" s="116">
        <v>14.7</v>
      </c>
      <c r="H657" s="125">
        <v>9</v>
      </c>
      <c r="I657" s="111">
        <v>20</v>
      </c>
      <c r="J657" s="117">
        <f t="shared" si="333"/>
        <v>2.6459999999999995</v>
      </c>
      <c r="K657" s="118"/>
      <c r="L657" s="111">
        <v>20</v>
      </c>
      <c r="M657" s="117">
        <f t="shared" si="334"/>
        <v>2.6459999999999999</v>
      </c>
      <c r="N657" s="119">
        <f t="shared" si="335"/>
        <v>0</v>
      </c>
      <c r="O657" s="120">
        <f t="shared" si="336"/>
        <v>0</v>
      </c>
      <c r="P657" s="111"/>
      <c r="Q657" s="320"/>
      <c r="R657" s="32"/>
      <c r="S657" s="32"/>
    </row>
    <row r="658" spans="1:19" ht="15.6">
      <c r="A658" s="110" t="s">
        <v>644</v>
      </c>
      <c r="B658" s="111" t="s">
        <v>232</v>
      </c>
      <c r="C658" s="112" t="s">
        <v>449</v>
      </c>
      <c r="D658" s="113" t="s">
        <v>342</v>
      </c>
      <c r="E658" s="114" t="s">
        <v>15</v>
      </c>
      <c r="F658" s="115" t="s">
        <v>39</v>
      </c>
      <c r="G658" s="116">
        <v>14.7</v>
      </c>
      <c r="H658" s="125">
        <v>12.6</v>
      </c>
      <c r="I658" s="111">
        <v>18</v>
      </c>
      <c r="J658" s="117">
        <f t="shared" si="333"/>
        <v>3.3339600000000003</v>
      </c>
      <c r="K658" s="118"/>
      <c r="L658" s="111">
        <v>18</v>
      </c>
      <c r="M658" s="117">
        <f t="shared" si="334"/>
        <v>3.3339599999999994</v>
      </c>
      <c r="N658" s="119">
        <f t="shared" si="335"/>
        <v>0</v>
      </c>
      <c r="O658" s="120">
        <f t="shared" si="336"/>
        <v>0</v>
      </c>
      <c r="P658" s="111"/>
      <c r="Q658" s="320"/>
      <c r="R658" s="32"/>
      <c r="S658" s="32"/>
    </row>
    <row r="659" spans="1:19" ht="15.6">
      <c r="A659" s="110" t="s">
        <v>644</v>
      </c>
      <c r="B659" s="111" t="s">
        <v>232</v>
      </c>
      <c r="C659" s="112" t="s">
        <v>449</v>
      </c>
      <c r="D659" s="113" t="s">
        <v>342</v>
      </c>
      <c r="E659" s="114" t="s">
        <v>15</v>
      </c>
      <c r="F659" s="115" t="s">
        <v>39</v>
      </c>
      <c r="G659" s="116">
        <v>14.7</v>
      </c>
      <c r="H659" s="125">
        <v>12.6</v>
      </c>
      <c r="I659" s="111">
        <v>18</v>
      </c>
      <c r="J659" s="117">
        <f t="shared" si="333"/>
        <v>3.3339600000000003</v>
      </c>
      <c r="K659" s="118"/>
      <c r="L659" s="111">
        <v>18</v>
      </c>
      <c r="M659" s="117">
        <f t="shared" si="334"/>
        <v>3.3339599999999994</v>
      </c>
      <c r="N659" s="119">
        <f t="shared" si="335"/>
        <v>0</v>
      </c>
      <c r="O659" s="120">
        <f t="shared" si="336"/>
        <v>0</v>
      </c>
      <c r="P659" s="111"/>
      <c r="Q659" s="320"/>
      <c r="R659" s="32"/>
      <c r="S659" s="32"/>
    </row>
    <row r="660" spans="1:19" ht="15.6">
      <c r="A660" s="110" t="s">
        <v>644</v>
      </c>
      <c r="B660" s="111" t="s">
        <v>232</v>
      </c>
      <c r="C660" s="112" t="s">
        <v>449</v>
      </c>
      <c r="D660" s="113" t="s">
        <v>342</v>
      </c>
      <c r="E660" s="114" t="s">
        <v>15</v>
      </c>
      <c r="F660" s="115" t="s">
        <v>39</v>
      </c>
      <c r="G660" s="116">
        <v>14.7</v>
      </c>
      <c r="H660" s="125">
        <v>12.6</v>
      </c>
      <c r="I660" s="111">
        <v>23</v>
      </c>
      <c r="J660" s="117">
        <f t="shared" si="333"/>
        <v>4.2600600000000002</v>
      </c>
      <c r="K660" s="118"/>
      <c r="L660" s="111">
        <v>23</v>
      </c>
      <c r="M660" s="117">
        <f t="shared" si="334"/>
        <v>4.2600600000000002</v>
      </c>
      <c r="N660" s="119">
        <f t="shared" si="335"/>
        <v>0</v>
      </c>
      <c r="O660" s="120">
        <f t="shared" si="336"/>
        <v>0</v>
      </c>
      <c r="P660" s="111"/>
      <c r="Q660" s="320"/>
      <c r="R660" s="32"/>
      <c r="S660" s="32"/>
    </row>
    <row r="661" spans="1:19" ht="15.6">
      <c r="A661" s="110" t="s">
        <v>644</v>
      </c>
      <c r="B661" s="111" t="s">
        <v>232</v>
      </c>
      <c r="C661" s="112" t="s">
        <v>449</v>
      </c>
      <c r="D661" s="113" t="s">
        <v>342</v>
      </c>
      <c r="E661" s="114" t="s">
        <v>15</v>
      </c>
      <c r="F661" s="115" t="s">
        <v>39</v>
      </c>
      <c r="G661" s="116">
        <v>14.7</v>
      </c>
      <c r="H661" s="125">
        <v>12</v>
      </c>
      <c r="I661" s="111">
        <v>2</v>
      </c>
      <c r="J661" s="117">
        <f t="shared" si="333"/>
        <v>0.35279999999999995</v>
      </c>
      <c r="K661" s="118"/>
      <c r="L661" s="111"/>
      <c r="M661" s="117">
        <f t="shared" si="334"/>
        <v>0</v>
      </c>
      <c r="N661" s="119">
        <f t="shared" si="335"/>
        <v>2</v>
      </c>
      <c r="O661" s="120">
        <f t="shared" si="336"/>
        <v>0.35279999999999995</v>
      </c>
      <c r="P661" s="111"/>
      <c r="Q661" s="320"/>
      <c r="R661" s="32"/>
      <c r="S661" s="32"/>
    </row>
    <row r="662" spans="1:19" ht="15.6">
      <c r="A662" s="110" t="s">
        <v>644</v>
      </c>
      <c r="B662" s="111" t="s">
        <v>232</v>
      </c>
      <c r="C662" s="112" t="s">
        <v>449</v>
      </c>
      <c r="D662" s="113" t="s">
        <v>342</v>
      </c>
      <c r="E662" s="114" t="s">
        <v>15</v>
      </c>
      <c r="F662" s="115" t="s">
        <v>39</v>
      </c>
      <c r="G662" s="116">
        <v>14.7</v>
      </c>
      <c r="H662" s="125">
        <v>12.2</v>
      </c>
      <c r="I662" s="111">
        <v>2</v>
      </c>
      <c r="J662" s="117">
        <f t="shared" si="333"/>
        <v>0.35867999999999994</v>
      </c>
      <c r="K662" s="118"/>
      <c r="L662" s="111">
        <v>2</v>
      </c>
      <c r="M662" s="117">
        <f t="shared" si="334"/>
        <v>0.35867999999999994</v>
      </c>
      <c r="N662" s="119">
        <f t="shared" si="335"/>
        <v>0</v>
      </c>
      <c r="O662" s="120">
        <f t="shared" si="336"/>
        <v>0</v>
      </c>
      <c r="P662" s="111">
        <v>12.6</v>
      </c>
      <c r="Q662" s="320">
        <v>2</v>
      </c>
      <c r="R662" s="32"/>
      <c r="S662" s="32"/>
    </row>
    <row r="663" spans="1:19" ht="15.6">
      <c r="A663" s="110" t="s">
        <v>644</v>
      </c>
      <c r="B663" s="111" t="s">
        <v>232</v>
      </c>
      <c r="C663" s="112" t="s">
        <v>449</v>
      </c>
      <c r="D663" s="113" t="s">
        <v>342</v>
      </c>
      <c r="E663" s="114" t="s">
        <v>15</v>
      </c>
      <c r="F663" s="115" t="s">
        <v>39</v>
      </c>
      <c r="G663" s="116">
        <v>14.7</v>
      </c>
      <c r="H663" s="125">
        <v>13</v>
      </c>
      <c r="I663" s="111">
        <v>1</v>
      </c>
      <c r="J663" s="117">
        <f t="shared" si="333"/>
        <v>0.19109999999999999</v>
      </c>
      <c r="K663" s="118"/>
      <c r="L663" s="111">
        <v>1</v>
      </c>
      <c r="M663" s="117">
        <f t="shared" si="334"/>
        <v>0.19109999999999999</v>
      </c>
      <c r="N663" s="119">
        <f t="shared" si="335"/>
        <v>0</v>
      </c>
      <c r="O663" s="120">
        <f>H663*N663*G663/1000</f>
        <v>0</v>
      </c>
      <c r="P663" s="111">
        <v>12.6</v>
      </c>
      <c r="Q663" s="320">
        <v>1</v>
      </c>
      <c r="R663" s="32"/>
      <c r="S663" s="32"/>
    </row>
    <row r="664" spans="1:19">
      <c r="I664" s="215">
        <f>SUM(I633:I663)</f>
        <v>350</v>
      </c>
      <c r="J664" s="214">
        <f>SUM(J633:J663)</f>
        <v>59.480609999999999</v>
      </c>
      <c r="L664" s="215">
        <f>SUM(L633:L663)</f>
        <v>351</v>
      </c>
      <c r="M664" s="214">
        <f>SUM(M633:M663)</f>
        <v>59.926019999999994</v>
      </c>
      <c r="N664" s="78">
        <f>SUM(N633:N663)</f>
        <v>-1</v>
      </c>
      <c r="O664" s="214">
        <f>SUM(O633:O663)</f>
        <v>-0.44541000000000003</v>
      </c>
    </row>
    <row r="666" spans="1:19" ht="15.6">
      <c r="A666" s="110" t="s">
        <v>644</v>
      </c>
      <c r="B666" s="111" t="s">
        <v>505</v>
      </c>
      <c r="C666" s="112" t="s">
        <v>449</v>
      </c>
      <c r="D666" s="113" t="s">
        <v>17</v>
      </c>
      <c r="E666" s="114" t="s">
        <v>15</v>
      </c>
      <c r="F666" s="115" t="s">
        <v>39</v>
      </c>
      <c r="G666" s="116">
        <v>14.7</v>
      </c>
      <c r="H666" s="125">
        <v>12</v>
      </c>
      <c r="I666" s="111">
        <v>17</v>
      </c>
      <c r="J666" s="117">
        <f t="shared" ref="J666" si="337">H666*G666*I666/1000</f>
        <v>2.9987999999999997</v>
      </c>
      <c r="K666" s="118"/>
      <c r="L666" s="111">
        <v>17</v>
      </c>
      <c r="M666" s="117">
        <f t="shared" ref="M666" si="338">H666*L666*G666/1000</f>
        <v>2.9987999999999997</v>
      </c>
      <c r="N666" s="119">
        <f t="shared" ref="N666" si="339">I666-L666</f>
        <v>0</v>
      </c>
      <c r="O666" s="120">
        <f t="shared" ref="O666" si="340">H666*N666*G666/1000</f>
        <v>0</v>
      </c>
      <c r="P666" s="130"/>
      <c r="Q666" s="320"/>
      <c r="R666" s="32"/>
      <c r="S666" s="32"/>
    </row>
    <row r="667" spans="1:19" ht="15.6">
      <c r="A667" s="110" t="s">
        <v>644</v>
      </c>
      <c r="B667" s="111" t="s">
        <v>505</v>
      </c>
      <c r="C667" s="112" t="s">
        <v>449</v>
      </c>
      <c r="D667" s="113" t="s">
        <v>17</v>
      </c>
      <c r="E667" s="114" t="s">
        <v>15</v>
      </c>
      <c r="F667" s="115" t="s">
        <v>39</v>
      </c>
      <c r="G667" s="116">
        <v>14.7</v>
      </c>
      <c r="H667" s="125">
        <v>12</v>
      </c>
      <c r="I667" s="111">
        <v>17</v>
      </c>
      <c r="J667" s="117">
        <f t="shared" ref="J667:J679" si="341">H667*G667*I667/1000</f>
        <v>2.9987999999999997</v>
      </c>
      <c r="K667" s="118"/>
      <c r="L667" s="111">
        <v>17</v>
      </c>
      <c r="M667" s="117">
        <f t="shared" ref="M667:M679" si="342">H667*L667*G667/1000</f>
        <v>2.9987999999999997</v>
      </c>
      <c r="N667" s="119">
        <f t="shared" ref="N667:N679" si="343">I667-L667</f>
        <v>0</v>
      </c>
      <c r="O667" s="120">
        <f t="shared" ref="O667:O679" si="344">H667*N667*G667/1000</f>
        <v>0</v>
      </c>
      <c r="P667" s="130"/>
      <c r="Q667" s="320"/>
      <c r="R667" s="32"/>
      <c r="S667" s="32"/>
    </row>
    <row r="668" spans="1:19" ht="15.6">
      <c r="A668" s="110" t="s">
        <v>644</v>
      </c>
      <c r="B668" s="111" t="s">
        <v>505</v>
      </c>
      <c r="C668" s="112" t="s">
        <v>449</v>
      </c>
      <c r="D668" s="113" t="s">
        <v>17</v>
      </c>
      <c r="E668" s="114" t="s">
        <v>15</v>
      </c>
      <c r="F668" s="115" t="s">
        <v>39</v>
      </c>
      <c r="G668" s="116">
        <v>14.7</v>
      </c>
      <c r="H668" s="125">
        <v>12</v>
      </c>
      <c r="I668" s="111">
        <v>17</v>
      </c>
      <c r="J668" s="117">
        <f t="shared" si="341"/>
        <v>2.9987999999999997</v>
      </c>
      <c r="K668" s="118"/>
      <c r="L668" s="111">
        <v>17</v>
      </c>
      <c r="M668" s="117">
        <f t="shared" si="342"/>
        <v>2.9987999999999997</v>
      </c>
      <c r="N668" s="119">
        <f t="shared" si="343"/>
        <v>0</v>
      </c>
      <c r="O668" s="120">
        <f t="shared" si="344"/>
        <v>0</v>
      </c>
      <c r="P668" s="130"/>
      <c r="Q668" s="320"/>
      <c r="R668" s="32"/>
      <c r="S668" s="32"/>
    </row>
    <row r="669" spans="1:19" ht="15.6">
      <c r="A669" s="110" t="s">
        <v>644</v>
      </c>
      <c r="B669" s="111" t="s">
        <v>505</v>
      </c>
      <c r="C669" s="112" t="s">
        <v>449</v>
      </c>
      <c r="D669" s="113" t="s">
        <v>17</v>
      </c>
      <c r="E669" s="114" t="s">
        <v>15</v>
      </c>
      <c r="F669" s="115" t="s">
        <v>39</v>
      </c>
      <c r="G669" s="116">
        <v>14.7</v>
      </c>
      <c r="H669" s="125">
        <v>12</v>
      </c>
      <c r="I669" s="111">
        <v>18</v>
      </c>
      <c r="J669" s="117">
        <f t="shared" si="341"/>
        <v>3.1751999999999998</v>
      </c>
      <c r="K669" s="118"/>
      <c r="L669" s="111">
        <v>18</v>
      </c>
      <c r="M669" s="117">
        <f t="shared" si="342"/>
        <v>3.1751999999999998</v>
      </c>
      <c r="N669" s="119">
        <f t="shared" si="343"/>
        <v>0</v>
      </c>
      <c r="O669" s="120">
        <f t="shared" si="344"/>
        <v>0</v>
      </c>
      <c r="P669" s="130"/>
      <c r="Q669" s="320"/>
      <c r="R669" s="32"/>
      <c r="S669" s="32"/>
    </row>
    <row r="670" spans="1:19" ht="15.6">
      <c r="A670" s="110" t="s">
        <v>644</v>
      </c>
      <c r="B670" s="111" t="s">
        <v>505</v>
      </c>
      <c r="C670" s="112" t="s">
        <v>449</v>
      </c>
      <c r="D670" s="113" t="s">
        <v>17</v>
      </c>
      <c r="E670" s="114" t="s">
        <v>15</v>
      </c>
      <c r="F670" s="115" t="s">
        <v>39</v>
      </c>
      <c r="G670" s="116">
        <v>14.7</v>
      </c>
      <c r="H670" s="125">
        <v>11.4</v>
      </c>
      <c r="I670" s="111">
        <v>13</v>
      </c>
      <c r="J670" s="117">
        <f t="shared" si="341"/>
        <v>2.1785399999999999</v>
      </c>
      <c r="K670" s="118"/>
      <c r="L670" s="111">
        <v>13</v>
      </c>
      <c r="M670" s="117">
        <f t="shared" si="342"/>
        <v>2.1785399999999999</v>
      </c>
      <c r="N670" s="119">
        <f t="shared" si="343"/>
        <v>0</v>
      </c>
      <c r="O670" s="120">
        <f t="shared" si="344"/>
        <v>0</v>
      </c>
      <c r="P670" s="130"/>
      <c r="Q670" s="320"/>
      <c r="R670" s="32"/>
      <c r="S670" s="32"/>
    </row>
    <row r="671" spans="1:19" ht="15.6">
      <c r="A671" s="110" t="s">
        <v>644</v>
      </c>
      <c r="B671" s="111" t="s">
        <v>505</v>
      </c>
      <c r="C671" s="112" t="s">
        <v>449</v>
      </c>
      <c r="D671" s="113" t="s">
        <v>17</v>
      </c>
      <c r="E671" s="114" t="s">
        <v>15</v>
      </c>
      <c r="F671" s="115" t="s">
        <v>39</v>
      </c>
      <c r="G671" s="116">
        <v>14.7</v>
      </c>
      <c r="H671" s="125">
        <v>10</v>
      </c>
      <c r="I671" s="111">
        <v>10</v>
      </c>
      <c r="J671" s="117">
        <f t="shared" si="341"/>
        <v>1.47</v>
      </c>
      <c r="K671" s="118"/>
      <c r="L671" s="111">
        <v>10</v>
      </c>
      <c r="M671" s="117">
        <f t="shared" si="342"/>
        <v>1.47</v>
      </c>
      <c r="N671" s="119">
        <f t="shared" si="343"/>
        <v>0</v>
      </c>
      <c r="O671" s="120">
        <f t="shared" si="344"/>
        <v>0</v>
      </c>
      <c r="P671" s="130"/>
      <c r="Q671" s="320"/>
      <c r="R671" s="32"/>
      <c r="S671" s="32"/>
    </row>
    <row r="672" spans="1:19" ht="15.6">
      <c r="A672" s="110" t="s">
        <v>644</v>
      </c>
      <c r="B672" s="111" t="s">
        <v>505</v>
      </c>
      <c r="C672" s="112" t="s">
        <v>449</v>
      </c>
      <c r="D672" s="113" t="s">
        <v>17</v>
      </c>
      <c r="E672" s="114" t="s">
        <v>15</v>
      </c>
      <c r="F672" s="115" t="s">
        <v>39</v>
      </c>
      <c r="G672" s="116">
        <v>14.7</v>
      </c>
      <c r="H672" s="125">
        <v>8.65</v>
      </c>
      <c r="I672" s="111">
        <v>2</v>
      </c>
      <c r="J672" s="117">
        <f t="shared" si="341"/>
        <v>0.25430999999999998</v>
      </c>
      <c r="K672" s="118"/>
      <c r="L672" s="111">
        <v>2</v>
      </c>
      <c r="M672" s="117">
        <f t="shared" si="342"/>
        <v>0.25430999999999998</v>
      </c>
      <c r="N672" s="119">
        <f t="shared" si="343"/>
        <v>0</v>
      </c>
      <c r="O672" s="120">
        <f t="shared" si="344"/>
        <v>0</v>
      </c>
      <c r="P672" s="130"/>
      <c r="Q672" s="320"/>
      <c r="R672" s="32"/>
      <c r="S672" s="32"/>
    </row>
    <row r="673" spans="1:19" ht="15.6">
      <c r="A673" s="110" t="s">
        <v>644</v>
      </c>
      <c r="B673" s="111" t="s">
        <v>505</v>
      </c>
      <c r="C673" s="112" t="s">
        <v>449</v>
      </c>
      <c r="D673" s="113" t="s">
        <v>17</v>
      </c>
      <c r="E673" s="114" t="s">
        <v>15</v>
      </c>
      <c r="F673" s="115" t="s">
        <v>39</v>
      </c>
      <c r="G673" s="116">
        <v>14.7</v>
      </c>
      <c r="H673" s="125">
        <v>9.6999999999999993</v>
      </c>
      <c r="I673" s="111">
        <v>2</v>
      </c>
      <c r="J673" s="117">
        <f t="shared" si="341"/>
        <v>0.28517999999999993</v>
      </c>
      <c r="K673" s="118"/>
      <c r="L673" s="111">
        <v>2</v>
      </c>
      <c r="M673" s="117">
        <f t="shared" si="342"/>
        <v>0.28517999999999993</v>
      </c>
      <c r="N673" s="119">
        <f t="shared" si="343"/>
        <v>0</v>
      </c>
      <c r="O673" s="120">
        <f t="shared" si="344"/>
        <v>0</v>
      </c>
      <c r="P673" s="130" t="s">
        <v>648</v>
      </c>
      <c r="Q673" s="320">
        <v>2</v>
      </c>
      <c r="R673" s="32"/>
      <c r="S673" s="32"/>
    </row>
    <row r="674" spans="1:19" ht="15.6">
      <c r="A674" s="110" t="s">
        <v>644</v>
      </c>
      <c r="B674" s="111" t="s">
        <v>505</v>
      </c>
      <c r="C674" s="112" t="s">
        <v>449</v>
      </c>
      <c r="D674" s="113" t="s">
        <v>17</v>
      </c>
      <c r="E674" s="114" t="s">
        <v>15</v>
      </c>
      <c r="F674" s="115" t="s">
        <v>39</v>
      </c>
      <c r="G674" s="116">
        <v>14.7</v>
      </c>
      <c r="H674" s="125">
        <v>12</v>
      </c>
      <c r="I674" s="111">
        <v>18</v>
      </c>
      <c r="J674" s="117">
        <f t="shared" si="341"/>
        <v>3.1751999999999998</v>
      </c>
      <c r="K674" s="118"/>
      <c r="L674" s="111">
        <v>18</v>
      </c>
      <c r="M674" s="117">
        <f t="shared" si="342"/>
        <v>3.1751999999999998</v>
      </c>
      <c r="N674" s="119">
        <f t="shared" si="343"/>
        <v>0</v>
      </c>
      <c r="O674" s="120">
        <f t="shared" si="344"/>
        <v>0</v>
      </c>
      <c r="P674" s="130">
        <v>11.4</v>
      </c>
      <c r="Q674" s="320">
        <v>18</v>
      </c>
      <c r="R674" s="32"/>
      <c r="S674" s="32"/>
    </row>
    <row r="675" spans="1:19" ht="15.6">
      <c r="A675" s="110" t="s">
        <v>644</v>
      </c>
      <c r="B675" s="111" t="s">
        <v>505</v>
      </c>
      <c r="C675" s="112" t="s">
        <v>449</v>
      </c>
      <c r="D675" s="113" t="s">
        <v>17</v>
      </c>
      <c r="E675" s="114" t="s">
        <v>15</v>
      </c>
      <c r="F675" s="115" t="s">
        <v>39</v>
      </c>
      <c r="G675" s="116">
        <v>14.7</v>
      </c>
      <c r="H675" s="125">
        <v>12</v>
      </c>
      <c r="I675" s="111">
        <v>14</v>
      </c>
      <c r="J675" s="117">
        <f t="shared" si="341"/>
        <v>2.4695999999999994</v>
      </c>
      <c r="K675" s="118"/>
      <c r="L675" s="111">
        <f>11+3</f>
        <v>14</v>
      </c>
      <c r="M675" s="117">
        <f t="shared" si="342"/>
        <v>2.4695999999999998</v>
      </c>
      <c r="N675" s="119">
        <f t="shared" si="343"/>
        <v>0</v>
      </c>
      <c r="O675" s="120">
        <f t="shared" si="344"/>
        <v>0</v>
      </c>
      <c r="P675" s="130" t="s">
        <v>647</v>
      </c>
      <c r="Q675" s="320">
        <v>3</v>
      </c>
      <c r="R675" s="32"/>
      <c r="S675" s="32"/>
    </row>
    <row r="676" spans="1:19" ht="15.6">
      <c r="A676" s="110" t="s">
        <v>644</v>
      </c>
      <c r="B676" s="111" t="s">
        <v>505</v>
      </c>
      <c r="C676" s="112" t="s">
        <v>449</v>
      </c>
      <c r="D676" s="113" t="s">
        <v>17</v>
      </c>
      <c r="E676" s="114" t="s">
        <v>15</v>
      </c>
      <c r="F676" s="115" t="s">
        <v>39</v>
      </c>
      <c r="G676" s="116">
        <v>14.7</v>
      </c>
      <c r="H676" s="125">
        <v>11.4</v>
      </c>
      <c r="I676" s="111">
        <v>11</v>
      </c>
      <c r="J676" s="117">
        <f t="shared" si="341"/>
        <v>1.8433799999999998</v>
      </c>
      <c r="K676" s="118"/>
      <c r="L676" s="111">
        <v>11</v>
      </c>
      <c r="M676" s="117">
        <f t="shared" si="342"/>
        <v>1.8433799999999998</v>
      </c>
      <c r="N676" s="119">
        <f t="shared" si="343"/>
        <v>0</v>
      </c>
      <c r="O676" s="120">
        <f t="shared" si="344"/>
        <v>0</v>
      </c>
      <c r="P676" s="130"/>
      <c r="Q676" s="320"/>
      <c r="R676" s="32"/>
      <c r="S676" s="32"/>
    </row>
    <row r="677" spans="1:19" ht="15.6">
      <c r="A677" s="110" t="s">
        <v>644</v>
      </c>
      <c r="B677" s="111" t="s">
        <v>505</v>
      </c>
      <c r="C677" s="112" t="s">
        <v>449</v>
      </c>
      <c r="D677" s="113" t="s">
        <v>17</v>
      </c>
      <c r="E677" s="114" t="s">
        <v>15</v>
      </c>
      <c r="F677" s="115" t="s">
        <v>39</v>
      </c>
      <c r="G677" s="116">
        <v>14.7</v>
      </c>
      <c r="H677" s="125">
        <v>10</v>
      </c>
      <c r="I677" s="111">
        <v>18</v>
      </c>
      <c r="J677" s="117">
        <f t="shared" si="341"/>
        <v>2.6459999999999999</v>
      </c>
      <c r="K677" s="118"/>
      <c r="L677" s="111">
        <v>18</v>
      </c>
      <c r="M677" s="117">
        <f t="shared" si="342"/>
        <v>2.6459999999999999</v>
      </c>
      <c r="N677" s="119">
        <f t="shared" si="343"/>
        <v>0</v>
      </c>
      <c r="O677" s="120">
        <f t="shared" si="344"/>
        <v>0</v>
      </c>
      <c r="P677" s="130"/>
      <c r="Q677" s="320"/>
      <c r="R677" s="32"/>
      <c r="S677" s="32"/>
    </row>
    <row r="678" spans="1:19" ht="15.6">
      <c r="A678" s="110" t="s">
        <v>644</v>
      </c>
      <c r="B678" s="111" t="s">
        <v>505</v>
      </c>
      <c r="C678" s="112" t="s">
        <v>449</v>
      </c>
      <c r="D678" s="113" t="s">
        <v>17</v>
      </c>
      <c r="E678" s="114" t="s">
        <v>15</v>
      </c>
      <c r="F678" s="115" t="s">
        <v>39</v>
      </c>
      <c r="G678" s="116">
        <v>14.7</v>
      </c>
      <c r="H678" s="125">
        <v>8.65</v>
      </c>
      <c r="I678" s="111">
        <v>27</v>
      </c>
      <c r="J678" s="117">
        <f t="shared" si="341"/>
        <v>3.4331849999999999</v>
      </c>
      <c r="K678" s="118"/>
      <c r="L678" s="111">
        <v>27</v>
      </c>
      <c r="M678" s="117">
        <f t="shared" si="342"/>
        <v>3.4331849999999999</v>
      </c>
      <c r="N678" s="119">
        <f t="shared" si="343"/>
        <v>0</v>
      </c>
      <c r="O678" s="120">
        <f t="shared" si="344"/>
        <v>0</v>
      </c>
      <c r="P678" s="130"/>
      <c r="Q678" s="320"/>
      <c r="R678" s="32"/>
      <c r="S678" s="32"/>
    </row>
    <row r="679" spans="1:19" ht="15.6">
      <c r="A679" s="110" t="s">
        <v>644</v>
      </c>
      <c r="B679" s="111" t="s">
        <v>505</v>
      </c>
      <c r="C679" s="112" t="s">
        <v>449</v>
      </c>
      <c r="D679" s="113" t="s">
        <v>17</v>
      </c>
      <c r="E679" s="114" t="s">
        <v>15</v>
      </c>
      <c r="F679" s="115" t="s">
        <v>39</v>
      </c>
      <c r="G679" s="116">
        <v>14.7</v>
      </c>
      <c r="H679" s="125">
        <v>6.3</v>
      </c>
      <c r="I679" s="111">
        <v>1</v>
      </c>
      <c r="J679" s="117">
        <f t="shared" si="341"/>
        <v>9.2609999999999998E-2</v>
      </c>
      <c r="K679" s="118"/>
      <c r="L679" s="111"/>
      <c r="M679" s="117">
        <f t="shared" si="342"/>
        <v>0</v>
      </c>
      <c r="N679" s="119">
        <f t="shared" si="343"/>
        <v>1</v>
      </c>
      <c r="O679" s="120">
        <f t="shared" si="344"/>
        <v>9.2609999999999998E-2</v>
      </c>
      <c r="P679" s="130"/>
      <c r="Q679" s="320"/>
      <c r="R679" s="32"/>
      <c r="S679" s="32"/>
    </row>
    <row r="680" spans="1:19">
      <c r="I680" s="215">
        <f>SUM(I666:I679)</f>
        <v>185</v>
      </c>
      <c r="J680" s="214">
        <f>SUM(J666:J679)</f>
        <v>30.019604999999999</v>
      </c>
      <c r="L680" s="215">
        <f>SUM(L666:L679)</f>
        <v>184</v>
      </c>
      <c r="M680" s="214">
        <f>SUM(M666:M679)</f>
        <v>29.926994999999998</v>
      </c>
      <c r="N680" s="215">
        <f>SUM(N666:N679)</f>
        <v>1</v>
      </c>
      <c r="O680" s="214">
        <f>SUM(O666:O679)</f>
        <v>9.2609999999999998E-2</v>
      </c>
    </row>
    <row r="682" spans="1:19" ht="15.6">
      <c r="A682" s="110" t="s">
        <v>644</v>
      </c>
      <c r="B682" s="111" t="s">
        <v>232</v>
      </c>
      <c r="C682" s="112" t="s">
        <v>449</v>
      </c>
      <c r="D682" s="113" t="s">
        <v>19</v>
      </c>
      <c r="E682" s="114" t="s">
        <v>14</v>
      </c>
      <c r="F682" s="115" t="s">
        <v>39</v>
      </c>
      <c r="G682" s="116">
        <v>14.7</v>
      </c>
      <c r="H682" s="125">
        <v>9.1</v>
      </c>
      <c r="I682" s="111">
        <v>23</v>
      </c>
      <c r="J682" s="117">
        <f t="shared" ref="J682" si="345">H682*G682*I682/1000</f>
        <v>3.0767099999999994</v>
      </c>
      <c r="K682" s="118"/>
      <c r="L682" s="111">
        <v>23</v>
      </c>
      <c r="M682" s="117">
        <f t="shared" ref="M682" si="346">H682*L682*G682/1000</f>
        <v>3.0767099999999994</v>
      </c>
      <c r="N682" s="119">
        <f t="shared" ref="N682" si="347">I682-L682</f>
        <v>0</v>
      </c>
      <c r="O682" s="120">
        <f t="shared" ref="O682" si="348">H682*N682*G682/1000</f>
        <v>0</v>
      </c>
      <c r="P682" s="130"/>
      <c r="Q682" s="320"/>
      <c r="R682" s="32"/>
      <c r="S682" s="32"/>
    </row>
    <row r="683" spans="1:19" ht="15.6">
      <c r="A683" s="110" t="s">
        <v>644</v>
      </c>
      <c r="B683" s="111" t="s">
        <v>232</v>
      </c>
      <c r="C683" s="112" t="s">
        <v>449</v>
      </c>
      <c r="D683" s="113" t="s">
        <v>19</v>
      </c>
      <c r="E683" s="114" t="s">
        <v>14</v>
      </c>
      <c r="F683" s="115" t="s">
        <v>39</v>
      </c>
      <c r="G683" s="116">
        <v>14.7</v>
      </c>
      <c r="H683" s="125">
        <v>9.1</v>
      </c>
      <c r="I683" s="111">
        <v>23</v>
      </c>
      <c r="J683" s="117">
        <f t="shared" ref="J683:J689" si="349">H683*G683*I683/1000</f>
        <v>3.0767099999999994</v>
      </c>
      <c r="K683" s="118"/>
      <c r="L683" s="111">
        <v>23</v>
      </c>
      <c r="M683" s="117">
        <f t="shared" ref="M683:M689" si="350">H683*L683*G683/1000</f>
        <v>3.0767099999999994</v>
      </c>
      <c r="N683" s="119">
        <f t="shared" ref="N683:N689" si="351">I683-L683</f>
        <v>0</v>
      </c>
      <c r="O683" s="120">
        <f t="shared" ref="O683:O689" si="352">H683*N683*G683/1000</f>
        <v>0</v>
      </c>
      <c r="P683" s="130"/>
      <c r="Q683" s="320"/>
      <c r="R683" s="32"/>
      <c r="S683" s="32"/>
    </row>
    <row r="684" spans="1:19" ht="15.6">
      <c r="A684" s="110" t="s">
        <v>644</v>
      </c>
      <c r="B684" s="111" t="s">
        <v>232</v>
      </c>
      <c r="C684" s="112" t="s">
        <v>449</v>
      </c>
      <c r="D684" s="113" t="s">
        <v>19</v>
      </c>
      <c r="E684" s="114" t="s">
        <v>14</v>
      </c>
      <c r="F684" s="115" t="s">
        <v>39</v>
      </c>
      <c r="G684" s="116">
        <v>14.7</v>
      </c>
      <c r="H684" s="125">
        <v>9.1</v>
      </c>
      <c r="I684" s="111">
        <v>23</v>
      </c>
      <c r="J684" s="117">
        <f t="shared" si="349"/>
        <v>3.0767099999999994</v>
      </c>
      <c r="K684" s="118"/>
      <c r="L684" s="111">
        <v>23</v>
      </c>
      <c r="M684" s="117">
        <f t="shared" si="350"/>
        <v>3.0767099999999994</v>
      </c>
      <c r="N684" s="119">
        <f t="shared" si="351"/>
        <v>0</v>
      </c>
      <c r="O684" s="120">
        <f t="shared" si="352"/>
        <v>0</v>
      </c>
      <c r="P684" s="130"/>
      <c r="Q684" s="320"/>
      <c r="R684" s="32"/>
      <c r="S684" s="32"/>
    </row>
    <row r="685" spans="1:19" ht="15.6">
      <c r="A685" s="110" t="s">
        <v>644</v>
      </c>
      <c r="B685" s="111" t="s">
        <v>232</v>
      </c>
      <c r="C685" s="112" t="s">
        <v>449</v>
      </c>
      <c r="D685" s="113" t="s">
        <v>19</v>
      </c>
      <c r="E685" s="114" t="s">
        <v>14</v>
      </c>
      <c r="F685" s="115" t="s">
        <v>39</v>
      </c>
      <c r="G685" s="116">
        <v>14.7</v>
      </c>
      <c r="H685" s="125">
        <v>9.1</v>
      </c>
      <c r="I685" s="111">
        <v>6</v>
      </c>
      <c r="J685" s="117">
        <f t="shared" si="349"/>
        <v>0.80261999999999989</v>
      </c>
      <c r="K685" s="118"/>
      <c r="L685" s="111">
        <v>6</v>
      </c>
      <c r="M685" s="117">
        <f t="shared" si="350"/>
        <v>0.80261999999999989</v>
      </c>
      <c r="N685" s="119">
        <f t="shared" si="351"/>
        <v>0</v>
      </c>
      <c r="O685" s="120">
        <f t="shared" si="352"/>
        <v>0</v>
      </c>
      <c r="P685" s="130"/>
      <c r="Q685" s="320"/>
      <c r="R685" s="32"/>
      <c r="S685" s="32"/>
    </row>
    <row r="686" spans="1:19" ht="15.6">
      <c r="A686" s="110" t="s">
        <v>644</v>
      </c>
      <c r="B686" s="111" t="s">
        <v>232</v>
      </c>
      <c r="C686" s="112" t="s">
        <v>449</v>
      </c>
      <c r="D686" s="113" t="s">
        <v>19</v>
      </c>
      <c r="E686" s="114" t="s">
        <v>14</v>
      </c>
      <c r="F686" s="115" t="s">
        <v>39</v>
      </c>
      <c r="G686" s="116">
        <v>14.7</v>
      </c>
      <c r="H686" s="125">
        <v>9.1</v>
      </c>
      <c r="I686" s="111">
        <v>8</v>
      </c>
      <c r="J686" s="117">
        <f t="shared" si="349"/>
        <v>1.0701599999999998</v>
      </c>
      <c r="K686" s="118"/>
      <c r="L686" s="111">
        <v>8</v>
      </c>
      <c r="M686" s="117">
        <f t="shared" si="350"/>
        <v>1.0701599999999998</v>
      </c>
      <c r="N686" s="119">
        <f t="shared" si="351"/>
        <v>0</v>
      </c>
      <c r="O686" s="120">
        <f t="shared" si="352"/>
        <v>0</v>
      </c>
      <c r="P686" s="130"/>
      <c r="Q686" s="320"/>
      <c r="R686" s="32"/>
      <c r="S686" s="32"/>
    </row>
    <row r="687" spans="1:19" ht="15.6">
      <c r="A687" s="110" t="s">
        <v>644</v>
      </c>
      <c r="B687" s="111" t="s">
        <v>232</v>
      </c>
      <c r="C687" s="112" t="s">
        <v>449</v>
      </c>
      <c r="D687" s="113" t="s">
        <v>19</v>
      </c>
      <c r="E687" s="114" t="s">
        <v>14</v>
      </c>
      <c r="F687" s="115" t="s">
        <v>39</v>
      </c>
      <c r="G687" s="116">
        <v>14.7</v>
      </c>
      <c r="H687" s="125">
        <v>8.5</v>
      </c>
      <c r="I687" s="111">
        <v>1</v>
      </c>
      <c r="J687" s="117">
        <f t="shared" si="349"/>
        <v>0.12494999999999999</v>
      </c>
      <c r="K687" s="118"/>
      <c r="L687" s="111">
        <v>1</v>
      </c>
      <c r="M687" s="117">
        <f t="shared" si="350"/>
        <v>0.12494999999999999</v>
      </c>
      <c r="N687" s="119">
        <f t="shared" si="351"/>
        <v>0</v>
      </c>
      <c r="O687" s="120">
        <f t="shared" si="352"/>
        <v>0</v>
      </c>
      <c r="P687" s="130"/>
      <c r="Q687" s="320">
        <v>1</v>
      </c>
      <c r="R687" s="32" t="s">
        <v>631</v>
      </c>
      <c r="S687" s="32"/>
    </row>
    <row r="688" spans="1:19" ht="15.6">
      <c r="A688" s="110" t="s">
        <v>644</v>
      </c>
      <c r="B688" s="111" t="s">
        <v>232</v>
      </c>
      <c r="C688" s="112" t="s">
        <v>449</v>
      </c>
      <c r="D688" s="113" t="s">
        <v>19</v>
      </c>
      <c r="E688" s="114" t="s">
        <v>14</v>
      </c>
      <c r="F688" s="115" t="s">
        <v>39</v>
      </c>
      <c r="G688" s="116">
        <v>14.7</v>
      </c>
      <c r="H688" s="125">
        <v>8.6999999999999993</v>
      </c>
      <c r="I688" s="111">
        <v>1</v>
      </c>
      <c r="J688" s="117">
        <f t="shared" si="349"/>
        <v>0.12788999999999998</v>
      </c>
      <c r="K688" s="118"/>
      <c r="L688" s="111">
        <v>1</v>
      </c>
      <c r="M688" s="117">
        <f t="shared" si="350"/>
        <v>0.12788999999999998</v>
      </c>
      <c r="N688" s="119">
        <f t="shared" si="351"/>
        <v>0</v>
      </c>
      <c r="O688" s="120">
        <f t="shared" si="352"/>
        <v>0</v>
      </c>
      <c r="P688" s="130"/>
      <c r="Q688" s="320">
        <v>1</v>
      </c>
      <c r="R688" s="32" t="s">
        <v>631</v>
      </c>
      <c r="S688" s="32"/>
    </row>
    <row r="689" spans="1:19" ht="15.6">
      <c r="A689" s="110" t="s">
        <v>644</v>
      </c>
      <c r="B689" s="111" t="s">
        <v>232</v>
      </c>
      <c r="C689" s="112" t="s">
        <v>449</v>
      </c>
      <c r="D689" s="113" t="s">
        <v>19</v>
      </c>
      <c r="E689" s="114" t="s">
        <v>14</v>
      </c>
      <c r="F689" s="115" t="s">
        <v>39</v>
      </c>
      <c r="G689" s="116">
        <v>14.7</v>
      </c>
      <c r="H689" s="125">
        <v>9.1</v>
      </c>
      <c r="I689" s="111">
        <v>26</v>
      </c>
      <c r="J689" s="117">
        <f t="shared" si="349"/>
        <v>3.4780199999999994</v>
      </c>
      <c r="K689" s="118"/>
      <c r="L689" s="111">
        <v>26</v>
      </c>
      <c r="M689" s="117">
        <f t="shared" si="350"/>
        <v>3.4780199999999994</v>
      </c>
      <c r="N689" s="119">
        <f t="shared" si="351"/>
        <v>0</v>
      </c>
      <c r="O689" s="120">
        <f t="shared" si="352"/>
        <v>0</v>
      </c>
      <c r="P689" s="130"/>
      <c r="Q689" s="320"/>
      <c r="R689" s="32"/>
      <c r="S689" s="32"/>
    </row>
    <row r="690" spans="1:19">
      <c r="I690" s="215">
        <f>SUM(I682:I689)</f>
        <v>111</v>
      </c>
      <c r="J690" s="214">
        <f>SUM(J682:J689)</f>
        <v>14.833769999999998</v>
      </c>
      <c r="L690" s="215">
        <f>SUM(L682:L689)</f>
        <v>111</v>
      </c>
      <c r="M690" s="214">
        <f>SUM(M682:M689)</f>
        <v>14.833769999999998</v>
      </c>
      <c r="N690" s="215">
        <f>SUM(N682:N689)</f>
        <v>0</v>
      </c>
      <c r="O690" s="214">
        <f>SUM(O682:O689)</f>
        <v>0</v>
      </c>
    </row>
  </sheetData>
  <pageMargins left="0.27" right="0.16" top="0.2" bottom="0.33" header="0.3" footer="0.3"/>
  <pageSetup paperSize="9" scale="75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U459"/>
  <sheetViews>
    <sheetView topLeftCell="A34" workbookViewId="0">
      <selection activeCell="J46" sqref="J46"/>
    </sheetView>
  </sheetViews>
  <sheetFormatPr defaultColWidth="9.109375" defaultRowHeight="14.4"/>
  <cols>
    <col min="1" max="2" width="9.109375" style="213"/>
    <col min="3" max="3" width="11.33203125" style="213" bestFit="1" customWidth="1"/>
    <col min="4" max="4" width="13.5546875" style="213" bestFit="1" customWidth="1"/>
    <col min="5" max="5" width="4.109375" style="213" bestFit="1" customWidth="1"/>
    <col min="6" max="6" width="13.44140625" style="213" bestFit="1" customWidth="1"/>
    <col min="7" max="7" width="8.6640625" style="213" bestFit="1" customWidth="1"/>
    <col min="8" max="8" width="9.109375" style="213"/>
    <col min="9" max="9" width="9.5546875" style="213" bestFit="1" customWidth="1"/>
    <col min="10" max="10" width="7.5546875" style="213" bestFit="1" customWidth="1"/>
    <col min="11" max="11" width="9.109375" style="213"/>
    <col min="12" max="12" width="4.5546875" style="213" bestFit="1" customWidth="1"/>
    <col min="13" max="13" width="7.5546875" style="213" bestFit="1" customWidth="1"/>
    <col min="14" max="14" width="4.5546875" style="213" bestFit="1" customWidth="1"/>
    <col min="15" max="15" width="7.5546875" style="213" bestFit="1" customWidth="1"/>
    <col min="16" max="16" width="12.88671875" style="213" bestFit="1" customWidth="1"/>
    <col min="17" max="17" width="9.109375" style="213"/>
    <col min="18" max="18" width="14.109375" style="213" bestFit="1" customWidth="1"/>
    <col min="19" max="16384" width="9.109375" style="213"/>
  </cols>
  <sheetData>
    <row r="2" spans="1:18" ht="26.4">
      <c r="A2" s="121" t="s">
        <v>229</v>
      </c>
      <c r="B2" s="122" t="s">
        <v>230</v>
      </c>
      <c r="C2" s="122" t="s">
        <v>0</v>
      </c>
      <c r="D2" s="122" t="s">
        <v>1</v>
      </c>
      <c r="E2" s="122" t="s">
        <v>2</v>
      </c>
      <c r="F2" s="122" t="s">
        <v>3</v>
      </c>
      <c r="G2" s="122" t="s">
        <v>10</v>
      </c>
      <c r="H2" s="122" t="s">
        <v>4</v>
      </c>
      <c r="I2" s="122" t="s">
        <v>5</v>
      </c>
      <c r="J2" s="122" t="s">
        <v>6</v>
      </c>
      <c r="K2" s="122" t="s">
        <v>7</v>
      </c>
      <c r="L2" s="122" t="s">
        <v>5</v>
      </c>
      <c r="M2" s="122" t="s">
        <v>6</v>
      </c>
      <c r="N2" s="122" t="s">
        <v>5</v>
      </c>
      <c r="O2" s="122" t="s">
        <v>6</v>
      </c>
      <c r="P2" s="122" t="s">
        <v>8</v>
      </c>
      <c r="Q2" s="32"/>
    </row>
    <row r="3" spans="1:18" ht="15.6">
      <c r="A3" s="110" t="s">
        <v>365</v>
      </c>
      <c r="B3" s="111" t="s">
        <v>232</v>
      </c>
      <c r="C3" s="112" t="s">
        <v>228</v>
      </c>
      <c r="D3" s="113" t="s">
        <v>130</v>
      </c>
      <c r="E3" s="114" t="s">
        <v>15</v>
      </c>
      <c r="F3" s="115" t="s">
        <v>42</v>
      </c>
      <c r="G3" s="116">
        <v>19.8</v>
      </c>
      <c r="H3" s="125">
        <v>12</v>
      </c>
      <c r="I3" s="111">
        <v>12</v>
      </c>
      <c r="J3" s="117">
        <f>H3*G3*I3/1000</f>
        <v>2.8512000000000004</v>
      </c>
      <c r="K3" s="118"/>
      <c r="L3" s="111">
        <v>12</v>
      </c>
      <c r="M3" s="117">
        <f t="shared" ref="M3:M18" si="0">H3*L3*G3/1000</f>
        <v>2.8512000000000004</v>
      </c>
      <c r="N3" s="119">
        <f t="shared" ref="N3:N18" si="1">I3-L3</f>
        <v>0</v>
      </c>
      <c r="O3" s="120">
        <f t="shared" ref="O3:O15" si="2">H3*N3*G3/1000</f>
        <v>0</v>
      </c>
      <c r="P3" s="111"/>
      <c r="Q3" s="32"/>
    </row>
    <row r="4" spans="1:18" ht="15.6">
      <c r="A4" s="110" t="s">
        <v>365</v>
      </c>
      <c r="B4" s="111" t="s">
        <v>232</v>
      </c>
      <c r="C4" s="112" t="s">
        <v>228</v>
      </c>
      <c r="D4" s="113" t="s">
        <v>130</v>
      </c>
      <c r="E4" s="114" t="s">
        <v>15</v>
      </c>
      <c r="F4" s="115" t="s">
        <v>42</v>
      </c>
      <c r="G4" s="116">
        <v>19.8</v>
      </c>
      <c r="H4" s="125">
        <v>11.5</v>
      </c>
      <c r="I4" s="111">
        <v>12</v>
      </c>
      <c r="J4" s="117">
        <f>H4*G4*I4/1000</f>
        <v>2.7324000000000002</v>
      </c>
      <c r="K4" s="118"/>
      <c r="L4" s="111">
        <v>12</v>
      </c>
      <c r="M4" s="117">
        <f t="shared" si="0"/>
        <v>2.7324000000000002</v>
      </c>
      <c r="N4" s="119">
        <f t="shared" si="1"/>
        <v>0</v>
      </c>
      <c r="O4" s="120">
        <f t="shared" si="2"/>
        <v>0</v>
      </c>
      <c r="P4" s="111"/>
      <c r="Q4" s="32"/>
    </row>
    <row r="5" spans="1:18" ht="15.6">
      <c r="A5" s="110" t="s">
        <v>365</v>
      </c>
      <c r="B5" s="111" t="s">
        <v>232</v>
      </c>
      <c r="C5" s="112" t="s">
        <v>228</v>
      </c>
      <c r="D5" s="113" t="s">
        <v>130</v>
      </c>
      <c r="E5" s="114" t="s">
        <v>15</v>
      </c>
      <c r="F5" s="115" t="s">
        <v>42</v>
      </c>
      <c r="G5" s="116">
        <v>19.8</v>
      </c>
      <c r="H5" s="125">
        <v>12</v>
      </c>
      <c r="I5" s="111">
        <v>12</v>
      </c>
      <c r="J5" s="117">
        <f>H5*G5*I5/1000</f>
        <v>2.8512000000000004</v>
      </c>
      <c r="K5" s="118"/>
      <c r="L5" s="111">
        <v>12</v>
      </c>
      <c r="M5" s="117">
        <f t="shared" si="0"/>
        <v>2.8512000000000004</v>
      </c>
      <c r="N5" s="119">
        <f t="shared" si="1"/>
        <v>0</v>
      </c>
      <c r="O5" s="120">
        <f t="shared" si="2"/>
        <v>0</v>
      </c>
      <c r="P5" s="111"/>
      <c r="Q5" s="32"/>
    </row>
    <row r="6" spans="1:18" ht="15.6">
      <c r="A6" s="110" t="s">
        <v>365</v>
      </c>
      <c r="B6" s="111" t="s">
        <v>232</v>
      </c>
      <c r="C6" s="112" t="s">
        <v>228</v>
      </c>
      <c r="D6" s="113" t="s">
        <v>130</v>
      </c>
      <c r="E6" s="114" t="s">
        <v>15</v>
      </c>
      <c r="F6" s="115" t="s">
        <v>42</v>
      </c>
      <c r="G6" s="116">
        <v>19.8</v>
      </c>
      <c r="H6" s="125">
        <v>12</v>
      </c>
      <c r="I6" s="111">
        <v>14</v>
      </c>
      <c r="J6" s="117">
        <f>H6*G6*I6/1000</f>
        <v>3.3264000000000005</v>
      </c>
      <c r="K6" s="118"/>
      <c r="L6" s="111">
        <v>14</v>
      </c>
      <c r="M6" s="117">
        <f t="shared" si="0"/>
        <v>3.3264</v>
      </c>
      <c r="N6" s="119">
        <f t="shared" si="1"/>
        <v>0</v>
      </c>
      <c r="O6" s="120">
        <f t="shared" si="2"/>
        <v>0</v>
      </c>
      <c r="P6" s="111"/>
      <c r="Q6" s="32"/>
    </row>
    <row r="7" spans="1:18" ht="15.6">
      <c r="A7" s="110" t="s">
        <v>365</v>
      </c>
      <c r="B7" s="111" t="s">
        <v>232</v>
      </c>
      <c r="C7" s="112" t="s">
        <v>228</v>
      </c>
      <c r="D7" s="113" t="s">
        <v>130</v>
      </c>
      <c r="E7" s="114" t="s">
        <v>15</v>
      </c>
      <c r="F7" s="115" t="s">
        <v>42</v>
      </c>
      <c r="G7" s="116">
        <v>19.8</v>
      </c>
      <c r="H7" s="125">
        <v>11.9</v>
      </c>
      <c r="I7" s="111">
        <v>7</v>
      </c>
      <c r="J7" s="117">
        <f t="shared" ref="J7:J18" si="3">H7*G7*I7/1000</f>
        <v>1.6493400000000003</v>
      </c>
      <c r="K7" s="118"/>
      <c r="L7" s="111">
        <v>7</v>
      </c>
      <c r="M7" s="117">
        <f t="shared" si="0"/>
        <v>1.64934</v>
      </c>
      <c r="N7" s="119">
        <f t="shared" si="1"/>
        <v>0</v>
      </c>
      <c r="O7" s="120">
        <f t="shared" si="2"/>
        <v>0</v>
      </c>
      <c r="P7" s="111"/>
      <c r="Q7" s="32"/>
    </row>
    <row r="8" spans="1:18" ht="15.6">
      <c r="A8" s="110" t="s">
        <v>365</v>
      </c>
      <c r="B8" s="111" t="s">
        <v>232</v>
      </c>
      <c r="C8" s="112" t="s">
        <v>228</v>
      </c>
      <c r="D8" s="113" t="s">
        <v>130</v>
      </c>
      <c r="E8" s="114" t="s">
        <v>15</v>
      </c>
      <c r="F8" s="115" t="s">
        <v>42</v>
      </c>
      <c r="G8" s="116">
        <v>19.8</v>
      </c>
      <c r="H8" s="125">
        <v>11.5</v>
      </c>
      <c r="I8" s="111">
        <v>4</v>
      </c>
      <c r="J8" s="117">
        <f t="shared" si="3"/>
        <v>0.91080000000000005</v>
      </c>
      <c r="K8" s="118"/>
      <c r="L8" s="111">
        <v>4</v>
      </c>
      <c r="M8" s="117">
        <f t="shared" si="0"/>
        <v>0.91080000000000005</v>
      </c>
      <c r="N8" s="119">
        <f t="shared" si="1"/>
        <v>0</v>
      </c>
      <c r="O8" s="120">
        <f t="shared" si="2"/>
        <v>0</v>
      </c>
      <c r="P8" s="111"/>
      <c r="Q8" s="32"/>
    </row>
    <row r="9" spans="1:18" ht="15.6">
      <c r="A9" s="110" t="s">
        <v>365</v>
      </c>
      <c r="B9" s="111" t="s">
        <v>232</v>
      </c>
      <c r="C9" s="112" t="s">
        <v>228</v>
      </c>
      <c r="D9" s="113" t="s">
        <v>130</v>
      </c>
      <c r="E9" s="114" t="s">
        <v>15</v>
      </c>
      <c r="F9" s="115" t="s">
        <v>42</v>
      </c>
      <c r="G9" s="116">
        <v>19.8</v>
      </c>
      <c r="H9" s="125">
        <v>11.45</v>
      </c>
      <c r="I9" s="111">
        <v>1</v>
      </c>
      <c r="J9" s="117">
        <f t="shared" si="3"/>
        <v>0.22670999999999999</v>
      </c>
      <c r="K9" s="118"/>
      <c r="L9" s="111">
        <v>1</v>
      </c>
      <c r="M9" s="117">
        <f t="shared" si="0"/>
        <v>0.22670999999999999</v>
      </c>
      <c r="N9" s="119">
        <f t="shared" si="1"/>
        <v>0</v>
      </c>
      <c r="O9" s="120">
        <f t="shared" si="2"/>
        <v>0</v>
      </c>
      <c r="P9" s="182">
        <v>10.9</v>
      </c>
      <c r="Q9" s="354">
        <v>1</v>
      </c>
      <c r="R9" s="558" t="s">
        <v>794</v>
      </c>
    </row>
    <row r="10" spans="1:18" ht="15.6">
      <c r="A10" s="110" t="s">
        <v>365</v>
      </c>
      <c r="B10" s="111" t="s">
        <v>232</v>
      </c>
      <c r="C10" s="112" t="s">
        <v>228</v>
      </c>
      <c r="D10" s="113" t="s">
        <v>130</v>
      </c>
      <c r="E10" s="114" t="s">
        <v>15</v>
      </c>
      <c r="F10" s="115" t="s">
        <v>42</v>
      </c>
      <c r="G10" s="116">
        <v>19.8</v>
      </c>
      <c r="H10" s="125">
        <v>7.1</v>
      </c>
      <c r="I10" s="111">
        <v>9</v>
      </c>
      <c r="J10" s="117">
        <f t="shared" si="3"/>
        <v>1.2652199999999998</v>
      </c>
      <c r="K10" s="118"/>
      <c r="L10" s="111">
        <v>9</v>
      </c>
      <c r="M10" s="117">
        <f t="shared" si="0"/>
        <v>1.26522</v>
      </c>
      <c r="N10" s="119">
        <f t="shared" si="1"/>
        <v>0</v>
      </c>
      <c r="O10" s="120">
        <f t="shared" si="2"/>
        <v>0</v>
      </c>
      <c r="P10" s="111"/>
      <c r="Q10" s="32"/>
    </row>
    <row r="11" spans="1:18" ht="15.6">
      <c r="A11" s="110" t="s">
        <v>365</v>
      </c>
      <c r="B11" s="111" t="s">
        <v>232</v>
      </c>
      <c r="C11" s="112" t="s">
        <v>228</v>
      </c>
      <c r="D11" s="113" t="s">
        <v>130</v>
      </c>
      <c r="E11" s="114" t="s">
        <v>15</v>
      </c>
      <c r="F11" s="115" t="s">
        <v>42</v>
      </c>
      <c r="G11" s="116">
        <v>19.8</v>
      </c>
      <c r="H11" s="125">
        <v>10.9</v>
      </c>
      <c r="I11" s="111">
        <v>1</v>
      </c>
      <c r="J11" s="117">
        <f t="shared" si="3"/>
        <v>0.21582000000000001</v>
      </c>
      <c r="K11" s="118"/>
      <c r="L11" s="111">
        <v>1</v>
      </c>
      <c r="M11" s="117">
        <f t="shared" si="0"/>
        <v>0.21582000000000001</v>
      </c>
      <c r="N11" s="119">
        <f t="shared" si="1"/>
        <v>0</v>
      </c>
      <c r="O11" s="120">
        <f t="shared" si="2"/>
        <v>0</v>
      </c>
      <c r="P11" s="130">
        <v>7.1</v>
      </c>
      <c r="Q11" s="32">
        <v>1</v>
      </c>
    </row>
    <row r="12" spans="1:18" ht="15.6">
      <c r="A12" s="110" t="s">
        <v>365</v>
      </c>
      <c r="B12" s="111" t="s">
        <v>232</v>
      </c>
      <c r="C12" s="112" t="s">
        <v>228</v>
      </c>
      <c r="D12" s="113" t="s">
        <v>130</v>
      </c>
      <c r="E12" s="114" t="s">
        <v>15</v>
      </c>
      <c r="F12" s="115" t="s">
        <v>42</v>
      </c>
      <c r="G12" s="116">
        <v>19.8</v>
      </c>
      <c r="H12" s="125">
        <v>12</v>
      </c>
      <c r="I12" s="111">
        <v>6</v>
      </c>
      <c r="J12" s="117">
        <f t="shared" si="3"/>
        <v>1.4256000000000002</v>
      </c>
      <c r="K12" s="118"/>
      <c r="L12" s="111">
        <v>6</v>
      </c>
      <c r="M12" s="117">
        <f t="shared" si="0"/>
        <v>1.4256000000000002</v>
      </c>
      <c r="N12" s="119">
        <f t="shared" si="1"/>
        <v>0</v>
      </c>
      <c r="O12" s="120">
        <f t="shared" si="2"/>
        <v>0</v>
      </c>
      <c r="P12" s="130"/>
      <c r="Q12" s="32"/>
    </row>
    <row r="13" spans="1:18" ht="15.6">
      <c r="A13" s="110" t="s">
        <v>365</v>
      </c>
      <c r="B13" s="111" t="s">
        <v>232</v>
      </c>
      <c r="C13" s="112" t="s">
        <v>228</v>
      </c>
      <c r="D13" s="113" t="s">
        <v>130</v>
      </c>
      <c r="E13" s="114" t="s">
        <v>15</v>
      </c>
      <c r="F13" s="115" t="s">
        <v>42</v>
      </c>
      <c r="G13" s="116">
        <v>19.8</v>
      </c>
      <c r="H13" s="125">
        <v>12</v>
      </c>
      <c r="I13" s="111">
        <v>13</v>
      </c>
      <c r="J13" s="117">
        <f t="shared" si="3"/>
        <v>3.0888</v>
      </c>
      <c r="K13" s="118"/>
      <c r="L13" s="111">
        <v>13</v>
      </c>
      <c r="M13" s="117">
        <f t="shared" si="0"/>
        <v>3.0888</v>
      </c>
      <c r="N13" s="119">
        <f t="shared" si="1"/>
        <v>0</v>
      </c>
      <c r="O13" s="120">
        <f t="shared" si="2"/>
        <v>0</v>
      </c>
      <c r="P13" s="130"/>
      <c r="Q13" s="32"/>
    </row>
    <row r="14" spans="1:18" ht="15.6">
      <c r="A14" s="110" t="s">
        <v>365</v>
      </c>
      <c r="B14" s="111" t="s">
        <v>232</v>
      </c>
      <c r="C14" s="112" t="s">
        <v>228</v>
      </c>
      <c r="D14" s="113" t="s">
        <v>130</v>
      </c>
      <c r="E14" s="114" t="s">
        <v>15</v>
      </c>
      <c r="F14" s="115" t="s">
        <v>42</v>
      </c>
      <c r="G14" s="116">
        <v>19.8</v>
      </c>
      <c r="H14" s="125">
        <v>12</v>
      </c>
      <c r="I14" s="111">
        <v>13</v>
      </c>
      <c r="J14" s="117">
        <f t="shared" si="3"/>
        <v>3.0888</v>
      </c>
      <c r="K14" s="118"/>
      <c r="L14" s="111">
        <v>13</v>
      </c>
      <c r="M14" s="117">
        <f t="shared" si="0"/>
        <v>3.0888</v>
      </c>
      <c r="N14" s="119">
        <f t="shared" si="1"/>
        <v>0</v>
      </c>
      <c r="O14" s="120">
        <f t="shared" si="2"/>
        <v>0</v>
      </c>
      <c r="P14" s="130"/>
      <c r="Q14" s="32"/>
    </row>
    <row r="15" spans="1:18" ht="15.6">
      <c r="A15" s="110" t="s">
        <v>365</v>
      </c>
      <c r="B15" s="111" t="s">
        <v>232</v>
      </c>
      <c r="C15" s="112" t="s">
        <v>228</v>
      </c>
      <c r="D15" s="113" t="s">
        <v>130</v>
      </c>
      <c r="E15" s="114" t="s">
        <v>15</v>
      </c>
      <c r="F15" s="115" t="s">
        <v>42</v>
      </c>
      <c r="G15" s="116">
        <v>19.8</v>
      </c>
      <c r="H15" s="125">
        <v>11.9</v>
      </c>
      <c r="I15" s="111">
        <v>12</v>
      </c>
      <c r="J15" s="117">
        <f t="shared" si="3"/>
        <v>2.8274400000000002</v>
      </c>
      <c r="K15" s="118"/>
      <c r="L15" s="111">
        <v>12</v>
      </c>
      <c r="M15" s="117">
        <f t="shared" si="0"/>
        <v>2.8274400000000006</v>
      </c>
      <c r="N15" s="119">
        <f t="shared" si="1"/>
        <v>0</v>
      </c>
      <c r="O15" s="120">
        <f t="shared" si="2"/>
        <v>0</v>
      </c>
      <c r="P15" s="130"/>
      <c r="Q15" s="32"/>
    </row>
    <row r="16" spans="1:18" ht="15.6">
      <c r="A16" s="110" t="s">
        <v>365</v>
      </c>
      <c r="B16" s="111" t="s">
        <v>232</v>
      </c>
      <c r="C16" s="112" t="s">
        <v>228</v>
      </c>
      <c r="D16" s="113" t="s">
        <v>130</v>
      </c>
      <c r="E16" s="114" t="s">
        <v>15</v>
      </c>
      <c r="F16" s="115" t="s">
        <v>42</v>
      </c>
      <c r="G16" s="116">
        <v>19.8</v>
      </c>
      <c r="H16" s="125">
        <v>11.3</v>
      </c>
      <c r="I16" s="111">
        <v>1</v>
      </c>
      <c r="J16" s="117">
        <f t="shared" si="3"/>
        <v>0.22374000000000002</v>
      </c>
      <c r="K16" s="118"/>
      <c r="L16" s="111">
        <v>1</v>
      </c>
      <c r="M16" s="117">
        <f t="shared" si="0"/>
        <v>0.22374000000000002</v>
      </c>
      <c r="N16" s="119">
        <f t="shared" si="1"/>
        <v>0</v>
      </c>
      <c r="O16" s="120">
        <f>H16*N16*G16/1000</f>
        <v>0</v>
      </c>
      <c r="P16" s="130">
        <v>9.5</v>
      </c>
      <c r="Q16" s="32">
        <v>1</v>
      </c>
      <c r="R16" s="213" t="s">
        <v>598</v>
      </c>
    </row>
    <row r="17" spans="1:18" ht="15.6">
      <c r="A17" s="110" t="s">
        <v>365</v>
      </c>
      <c r="B17" s="111" t="s">
        <v>232</v>
      </c>
      <c r="C17" s="112" t="s">
        <v>228</v>
      </c>
      <c r="D17" s="113" t="s">
        <v>130</v>
      </c>
      <c r="E17" s="114" t="s">
        <v>15</v>
      </c>
      <c r="F17" s="115" t="s">
        <v>42</v>
      </c>
      <c r="G17" s="116">
        <v>19.8</v>
      </c>
      <c r="H17" s="125">
        <v>11.4</v>
      </c>
      <c r="I17" s="111">
        <v>1</v>
      </c>
      <c r="J17" s="117">
        <f t="shared" si="3"/>
        <v>0.22572000000000003</v>
      </c>
      <c r="K17" s="118"/>
      <c r="L17" s="111">
        <v>1</v>
      </c>
      <c r="M17" s="117">
        <f t="shared" si="0"/>
        <v>0.22572000000000003</v>
      </c>
      <c r="N17" s="119">
        <f t="shared" si="1"/>
        <v>0</v>
      </c>
      <c r="O17" s="120">
        <f>H17*N17*G17/1000</f>
        <v>0</v>
      </c>
      <c r="P17" s="130">
        <v>9.5</v>
      </c>
      <c r="Q17" s="32">
        <v>1</v>
      </c>
      <c r="R17" s="213" t="s">
        <v>598</v>
      </c>
    </row>
    <row r="18" spans="1:18" ht="15.6">
      <c r="A18" s="110" t="s">
        <v>365</v>
      </c>
      <c r="B18" s="111" t="s">
        <v>232</v>
      </c>
      <c r="C18" s="112" t="s">
        <v>228</v>
      </c>
      <c r="D18" s="113" t="s">
        <v>130</v>
      </c>
      <c r="E18" s="114" t="s">
        <v>15</v>
      </c>
      <c r="F18" s="115" t="s">
        <v>42</v>
      </c>
      <c r="G18" s="116">
        <v>19.8</v>
      </c>
      <c r="H18" s="125">
        <v>11.8</v>
      </c>
      <c r="I18" s="111">
        <v>1</v>
      </c>
      <c r="J18" s="117">
        <f t="shared" si="3"/>
        <v>0.23364000000000001</v>
      </c>
      <c r="K18" s="118"/>
      <c r="L18" s="111">
        <v>1</v>
      </c>
      <c r="M18" s="117">
        <f t="shared" si="0"/>
        <v>0.23364000000000001</v>
      </c>
      <c r="N18" s="119">
        <f t="shared" si="1"/>
        <v>0</v>
      </c>
      <c r="O18" s="120">
        <f>H18*N18*G18/1000</f>
        <v>0</v>
      </c>
      <c r="P18" s="130">
        <v>12</v>
      </c>
      <c r="Q18" s="32">
        <v>1</v>
      </c>
    </row>
    <row r="19" spans="1:18">
      <c r="A19" s="32"/>
      <c r="B19" s="32"/>
      <c r="C19" s="32"/>
      <c r="D19" s="32"/>
      <c r="E19" s="32"/>
      <c r="F19" s="32"/>
      <c r="G19" s="32"/>
      <c r="H19" s="32"/>
      <c r="I19" s="123">
        <f>SUM(I3:I18)</f>
        <v>119</v>
      </c>
      <c r="J19" s="124">
        <f>SUM(J3:J18)</f>
        <v>27.14283</v>
      </c>
      <c r="K19" s="32"/>
      <c r="L19" s="123">
        <f>SUM(L3:L18)</f>
        <v>119</v>
      </c>
      <c r="M19" s="124">
        <f>SUM(M3:M18)</f>
        <v>27.142829999999996</v>
      </c>
      <c r="N19" s="131">
        <f>SUM(N3:N18)</f>
        <v>0</v>
      </c>
      <c r="O19" s="132">
        <f>SUM(O3:O18)</f>
        <v>0</v>
      </c>
      <c r="P19" s="32"/>
      <c r="Q19" s="32"/>
    </row>
    <row r="21" spans="1:18" ht="15.6">
      <c r="A21" s="110" t="s">
        <v>365</v>
      </c>
      <c r="B21" s="111" t="s">
        <v>232</v>
      </c>
      <c r="C21" s="112" t="s">
        <v>228</v>
      </c>
      <c r="D21" s="113" t="s">
        <v>17</v>
      </c>
      <c r="E21" s="114" t="s">
        <v>15</v>
      </c>
      <c r="F21" s="115" t="s">
        <v>42</v>
      </c>
      <c r="G21" s="116">
        <v>19.8</v>
      </c>
      <c r="H21" s="125">
        <v>11.6</v>
      </c>
      <c r="I21" s="111">
        <v>15</v>
      </c>
      <c r="J21" s="117">
        <f>H21*G21*I21/1000</f>
        <v>3.4452000000000003</v>
      </c>
      <c r="K21" s="118"/>
      <c r="L21" s="111">
        <v>15</v>
      </c>
      <c r="M21" s="117">
        <f t="shared" ref="M21:M31" si="4">H21*L21*G21/1000</f>
        <v>3.4452000000000003</v>
      </c>
      <c r="N21" s="119">
        <f t="shared" ref="N21:N31" si="5">I21-L21</f>
        <v>0</v>
      </c>
      <c r="O21" s="120">
        <f t="shared" ref="O21:O31" si="6">H21*N21*G21/1000</f>
        <v>0</v>
      </c>
      <c r="P21" s="111"/>
      <c r="Q21" s="32"/>
    </row>
    <row r="22" spans="1:18" ht="15.6">
      <c r="A22" s="110" t="s">
        <v>365</v>
      </c>
      <c r="B22" s="111" t="s">
        <v>232</v>
      </c>
      <c r="C22" s="112" t="s">
        <v>228</v>
      </c>
      <c r="D22" s="113" t="s">
        <v>17</v>
      </c>
      <c r="E22" s="114" t="s">
        <v>15</v>
      </c>
      <c r="F22" s="115" t="s">
        <v>42</v>
      </c>
      <c r="G22" s="116">
        <v>19.8</v>
      </c>
      <c r="H22" s="125">
        <v>11.6</v>
      </c>
      <c r="I22" s="111">
        <v>15</v>
      </c>
      <c r="J22" s="117">
        <f t="shared" ref="J22:J29" si="7">H22*G22*I22/1000</f>
        <v>3.4452000000000003</v>
      </c>
      <c r="K22" s="118"/>
      <c r="L22" s="111">
        <f>14</f>
        <v>14</v>
      </c>
      <c r="M22" s="117">
        <f t="shared" si="4"/>
        <v>3.2155200000000006</v>
      </c>
      <c r="N22" s="119">
        <f t="shared" si="5"/>
        <v>1</v>
      </c>
      <c r="O22" s="120">
        <f t="shared" si="6"/>
        <v>0.22968</v>
      </c>
      <c r="P22" s="159"/>
      <c r="Q22" s="32"/>
    </row>
    <row r="23" spans="1:18" ht="15.6">
      <c r="A23" s="110" t="s">
        <v>365</v>
      </c>
      <c r="B23" s="111" t="s">
        <v>232</v>
      </c>
      <c r="C23" s="112" t="s">
        <v>228</v>
      </c>
      <c r="D23" s="113" t="s">
        <v>17</v>
      </c>
      <c r="E23" s="114" t="s">
        <v>15</v>
      </c>
      <c r="F23" s="115" t="s">
        <v>42</v>
      </c>
      <c r="G23" s="116">
        <v>19.8</v>
      </c>
      <c r="H23" s="125">
        <v>12</v>
      </c>
      <c r="I23" s="111">
        <v>1</v>
      </c>
      <c r="J23" s="117">
        <f t="shared" si="7"/>
        <v>0.23760000000000003</v>
      </c>
      <c r="K23" s="118"/>
      <c r="L23" s="111">
        <v>1</v>
      </c>
      <c r="M23" s="117">
        <f t="shared" si="4"/>
        <v>0.23760000000000003</v>
      </c>
      <c r="N23" s="119">
        <f t="shared" si="5"/>
        <v>0</v>
      </c>
      <c r="O23" s="120">
        <f t="shared" si="6"/>
        <v>0</v>
      </c>
      <c r="P23" s="111"/>
      <c r="Q23" s="32"/>
    </row>
    <row r="24" spans="1:18" ht="15.6">
      <c r="A24" s="110" t="s">
        <v>365</v>
      </c>
      <c r="B24" s="111" t="s">
        <v>232</v>
      </c>
      <c r="C24" s="112" t="s">
        <v>228</v>
      </c>
      <c r="D24" s="113" t="s">
        <v>17</v>
      </c>
      <c r="E24" s="114" t="s">
        <v>15</v>
      </c>
      <c r="F24" s="115" t="s">
        <v>42</v>
      </c>
      <c r="G24" s="116">
        <v>19.8</v>
      </c>
      <c r="H24" s="125">
        <v>11.3</v>
      </c>
      <c r="I24" s="111">
        <v>2</v>
      </c>
      <c r="J24" s="117">
        <f t="shared" si="7"/>
        <v>0.44748000000000004</v>
      </c>
      <c r="K24" s="118"/>
      <c r="L24" s="111">
        <v>2</v>
      </c>
      <c r="M24" s="117">
        <f t="shared" si="4"/>
        <v>0.44748000000000004</v>
      </c>
      <c r="N24" s="119">
        <f t="shared" si="5"/>
        <v>0</v>
      </c>
      <c r="O24" s="120">
        <f t="shared" si="6"/>
        <v>0</v>
      </c>
      <c r="P24" s="111">
        <v>9.6</v>
      </c>
      <c r="Q24" s="32">
        <v>2</v>
      </c>
    </row>
    <row r="25" spans="1:18" ht="15.6">
      <c r="A25" s="110" t="s">
        <v>365</v>
      </c>
      <c r="B25" s="111" t="s">
        <v>232</v>
      </c>
      <c r="C25" s="112" t="s">
        <v>228</v>
      </c>
      <c r="D25" s="113" t="s">
        <v>17</v>
      </c>
      <c r="E25" s="114" t="s">
        <v>15</v>
      </c>
      <c r="F25" s="115" t="s">
        <v>42</v>
      </c>
      <c r="G25" s="116">
        <v>19.8</v>
      </c>
      <c r="H25" s="125">
        <v>10</v>
      </c>
      <c r="I25" s="111">
        <v>7</v>
      </c>
      <c r="J25" s="117">
        <f t="shared" si="7"/>
        <v>1.3859999999999999</v>
      </c>
      <c r="K25" s="118"/>
      <c r="L25" s="111">
        <v>7</v>
      </c>
      <c r="M25" s="117">
        <f t="shared" si="4"/>
        <v>1.3859999999999999</v>
      </c>
      <c r="N25" s="119">
        <f t="shared" si="5"/>
        <v>0</v>
      </c>
      <c r="O25" s="120">
        <f t="shared" si="6"/>
        <v>0</v>
      </c>
      <c r="P25" s="111"/>
      <c r="Q25" s="32"/>
    </row>
    <row r="26" spans="1:18" ht="15.6">
      <c r="A26" s="110" t="s">
        <v>365</v>
      </c>
      <c r="B26" s="111" t="s">
        <v>232</v>
      </c>
      <c r="C26" s="112" t="s">
        <v>228</v>
      </c>
      <c r="D26" s="113" t="s">
        <v>17</v>
      </c>
      <c r="E26" s="114" t="s">
        <v>15</v>
      </c>
      <c r="F26" s="115" t="s">
        <v>42</v>
      </c>
      <c r="G26" s="116">
        <v>19.8</v>
      </c>
      <c r="H26" s="125">
        <v>12</v>
      </c>
      <c r="I26" s="111">
        <v>2</v>
      </c>
      <c r="J26" s="117">
        <f t="shared" si="7"/>
        <v>0.47520000000000007</v>
      </c>
      <c r="K26" s="118"/>
      <c r="L26" s="111">
        <v>2</v>
      </c>
      <c r="M26" s="117">
        <f t="shared" si="4"/>
        <v>0.47520000000000007</v>
      </c>
      <c r="N26" s="119">
        <f t="shared" si="5"/>
        <v>0</v>
      </c>
      <c r="O26" s="120">
        <f t="shared" si="6"/>
        <v>0</v>
      </c>
      <c r="P26" s="111"/>
      <c r="Q26" s="32"/>
    </row>
    <row r="27" spans="1:18" ht="15.6">
      <c r="A27" s="110" t="s">
        <v>365</v>
      </c>
      <c r="B27" s="111" t="s">
        <v>232</v>
      </c>
      <c r="C27" s="112" t="s">
        <v>228</v>
      </c>
      <c r="D27" s="113" t="s">
        <v>17</v>
      </c>
      <c r="E27" s="114" t="s">
        <v>15</v>
      </c>
      <c r="F27" s="115" t="s">
        <v>42</v>
      </c>
      <c r="G27" s="116">
        <v>19.8</v>
      </c>
      <c r="H27" s="125">
        <v>9.6</v>
      </c>
      <c r="I27" s="111">
        <v>2</v>
      </c>
      <c r="J27" s="117">
        <f t="shared" si="7"/>
        <v>0.38016</v>
      </c>
      <c r="K27" s="118"/>
      <c r="L27" s="111">
        <v>2</v>
      </c>
      <c r="M27" s="117">
        <f t="shared" si="4"/>
        <v>0.38016</v>
      </c>
      <c r="N27" s="119">
        <f t="shared" si="5"/>
        <v>0</v>
      </c>
      <c r="O27" s="120">
        <f t="shared" si="6"/>
        <v>0</v>
      </c>
      <c r="P27" s="111"/>
      <c r="Q27" s="32"/>
    </row>
    <row r="28" spans="1:18" ht="15.6">
      <c r="A28" s="110" t="s">
        <v>365</v>
      </c>
      <c r="B28" s="111" t="s">
        <v>232</v>
      </c>
      <c r="C28" s="112" t="s">
        <v>228</v>
      </c>
      <c r="D28" s="113" t="s">
        <v>17</v>
      </c>
      <c r="E28" s="114" t="s">
        <v>15</v>
      </c>
      <c r="F28" s="115" t="s">
        <v>42</v>
      </c>
      <c r="G28" s="116">
        <v>19.8</v>
      </c>
      <c r="H28" s="125">
        <v>12</v>
      </c>
      <c r="I28" s="111">
        <v>5</v>
      </c>
      <c r="J28" s="117">
        <f t="shared" si="7"/>
        <v>1.1879999999999999</v>
      </c>
      <c r="K28" s="118"/>
      <c r="L28" s="111">
        <v>5</v>
      </c>
      <c r="M28" s="117">
        <f t="shared" si="4"/>
        <v>1.1879999999999999</v>
      </c>
      <c r="N28" s="119">
        <f t="shared" si="5"/>
        <v>0</v>
      </c>
      <c r="O28" s="120">
        <f t="shared" si="6"/>
        <v>0</v>
      </c>
      <c r="P28" s="111"/>
      <c r="Q28" s="32"/>
    </row>
    <row r="29" spans="1:18" ht="15.6">
      <c r="A29" s="110" t="s">
        <v>365</v>
      </c>
      <c r="B29" s="111" t="s">
        <v>232</v>
      </c>
      <c r="C29" s="112" t="s">
        <v>228</v>
      </c>
      <c r="D29" s="113" t="s">
        <v>17</v>
      </c>
      <c r="E29" s="114" t="s">
        <v>15</v>
      </c>
      <c r="F29" s="115" t="s">
        <v>42</v>
      </c>
      <c r="G29" s="116">
        <v>19.8</v>
      </c>
      <c r="H29" s="125">
        <v>12</v>
      </c>
      <c r="I29" s="111">
        <v>15</v>
      </c>
      <c r="J29" s="117">
        <f t="shared" si="7"/>
        <v>3.5640000000000005</v>
      </c>
      <c r="K29" s="118"/>
      <c r="L29" s="111">
        <f>13+1</f>
        <v>14</v>
      </c>
      <c r="M29" s="117">
        <f t="shared" si="4"/>
        <v>3.3264</v>
      </c>
      <c r="N29" s="119">
        <f t="shared" si="5"/>
        <v>1</v>
      </c>
      <c r="O29" s="120">
        <f t="shared" si="6"/>
        <v>0.23760000000000003</v>
      </c>
      <c r="P29" s="111"/>
      <c r="Q29" s="32"/>
    </row>
    <row r="30" spans="1:18" ht="15.6">
      <c r="A30" s="110" t="s">
        <v>365</v>
      </c>
      <c r="B30" s="111" t="s">
        <v>232</v>
      </c>
      <c r="C30" s="112" t="s">
        <v>228</v>
      </c>
      <c r="D30" s="113" t="s">
        <v>17</v>
      </c>
      <c r="E30" s="114" t="s">
        <v>15</v>
      </c>
      <c r="F30" s="115" t="s">
        <v>42</v>
      </c>
      <c r="G30" s="116">
        <v>19.8</v>
      </c>
      <c r="H30" s="125">
        <v>9</v>
      </c>
      <c r="I30" s="111">
        <v>1</v>
      </c>
      <c r="J30" s="117">
        <f>H30*G30*I30/1000</f>
        <v>0.17820000000000003</v>
      </c>
      <c r="K30" s="118" t="s">
        <v>381</v>
      </c>
      <c r="L30" s="111"/>
      <c r="M30" s="117">
        <f t="shared" si="4"/>
        <v>0</v>
      </c>
      <c r="N30" s="119">
        <f t="shared" si="5"/>
        <v>1</v>
      </c>
      <c r="O30" s="120">
        <f t="shared" si="6"/>
        <v>0.17820000000000003</v>
      </c>
      <c r="P30" s="111"/>
      <c r="Q30" s="32"/>
    </row>
    <row r="31" spans="1:18" ht="15.6">
      <c r="A31" s="110" t="s">
        <v>365</v>
      </c>
      <c r="B31" s="111" t="s">
        <v>232</v>
      </c>
      <c r="C31" s="112" t="s">
        <v>228</v>
      </c>
      <c r="D31" s="113" t="s">
        <v>17</v>
      </c>
      <c r="E31" s="114" t="s">
        <v>15</v>
      </c>
      <c r="F31" s="115" t="s">
        <v>42</v>
      </c>
      <c r="G31" s="116">
        <v>19.8</v>
      </c>
      <c r="H31" s="125">
        <v>9.6</v>
      </c>
      <c r="I31" s="111">
        <v>1</v>
      </c>
      <c r="J31" s="117">
        <f>H31*G31*I31/1000</f>
        <v>0.19008</v>
      </c>
      <c r="K31" s="118" t="s">
        <v>381</v>
      </c>
      <c r="L31" s="111"/>
      <c r="M31" s="117">
        <f t="shared" si="4"/>
        <v>0</v>
      </c>
      <c r="N31" s="119">
        <f t="shared" si="5"/>
        <v>1</v>
      </c>
      <c r="O31" s="120">
        <f t="shared" si="6"/>
        <v>0.19008</v>
      </c>
      <c r="P31" s="111"/>
      <c r="Q31" s="32"/>
    </row>
    <row r="32" spans="1:18">
      <c r="I32" s="215">
        <f>SUM(I21:I31)</f>
        <v>66</v>
      </c>
      <c r="J32" s="214">
        <f>SUM(J21:J31)</f>
        <v>14.93712</v>
      </c>
      <c r="L32" s="215">
        <f>SUM(L21:L31)</f>
        <v>62</v>
      </c>
      <c r="M32" s="214">
        <f>SUM(M21:M31)</f>
        <v>14.101560000000001</v>
      </c>
      <c r="N32" s="78">
        <f>SUM(N21:N31)</f>
        <v>4</v>
      </c>
      <c r="O32" s="214">
        <f>SUM(O21:O31)</f>
        <v>0.83556000000000008</v>
      </c>
    </row>
    <row r="34" spans="1:20" ht="15.6">
      <c r="A34" s="110" t="s">
        <v>365</v>
      </c>
      <c r="B34" s="111" t="s">
        <v>232</v>
      </c>
      <c r="C34" s="112" t="s">
        <v>228</v>
      </c>
      <c r="D34" s="113" t="s">
        <v>24</v>
      </c>
      <c r="E34" s="114" t="s">
        <v>14</v>
      </c>
      <c r="F34" s="115" t="s">
        <v>49</v>
      </c>
      <c r="G34" s="116">
        <v>17.82</v>
      </c>
      <c r="H34" s="125">
        <v>12</v>
      </c>
      <c r="I34" s="111">
        <v>15</v>
      </c>
      <c r="J34" s="117">
        <f t="shared" ref="J34:J35" si="8">H34*G34*I34/1000</f>
        <v>3.2075999999999998</v>
      </c>
      <c r="K34" s="118"/>
      <c r="L34" s="111">
        <v>11</v>
      </c>
      <c r="M34" s="117">
        <f t="shared" ref="M34:M35" si="9">H34*L34*G34/1000</f>
        <v>2.3522400000000001</v>
      </c>
      <c r="N34" s="119">
        <f t="shared" ref="N34:N35" si="10">I34-L34</f>
        <v>4</v>
      </c>
      <c r="O34" s="120">
        <f t="shared" ref="O34:O35" si="11">H34*N34*G34/1000</f>
        <v>0.85536000000000001</v>
      </c>
      <c r="P34" s="111"/>
      <c r="Q34" s="32"/>
    </row>
    <row r="35" spans="1:20" ht="15.6">
      <c r="A35" s="110" t="s">
        <v>365</v>
      </c>
      <c r="B35" s="111" t="s">
        <v>232</v>
      </c>
      <c r="C35" s="112" t="s">
        <v>228</v>
      </c>
      <c r="D35" s="113" t="s">
        <v>24</v>
      </c>
      <c r="E35" s="114" t="s">
        <v>14</v>
      </c>
      <c r="F35" s="115" t="s">
        <v>49</v>
      </c>
      <c r="G35" s="116">
        <v>17.82</v>
      </c>
      <c r="H35" s="125">
        <v>12</v>
      </c>
      <c r="I35" s="111">
        <v>7</v>
      </c>
      <c r="J35" s="117">
        <f t="shared" si="8"/>
        <v>1.4968800000000002</v>
      </c>
      <c r="K35" s="118"/>
      <c r="L35" s="111">
        <f>2+5</f>
        <v>7</v>
      </c>
      <c r="M35" s="117">
        <f t="shared" si="9"/>
        <v>1.4968800000000002</v>
      </c>
      <c r="N35" s="119">
        <f t="shared" si="10"/>
        <v>0</v>
      </c>
      <c r="O35" s="120">
        <f t="shared" si="11"/>
        <v>0</v>
      </c>
      <c r="P35" s="111">
        <v>2</v>
      </c>
      <c r="Q35" s="29" t="s">
        <v>662</v>
      </c>
      <c r="R35" s="29">
        <v>12</v>
      </c>
      <c r="S35" s="354">
        <v>5</v>
      </c>
      <c r="T35" s="213" t="s">
        <v>723</v>
      </c>
    </row>
    <row r="36" spans="1:20">
      <c r="A36" s="32"/>
      <c r="B36" s="32"/>
      <c r="C36" s="32"/>
      <c r="D36" s="32"/>
      <c r="E36" s="32"/>
      <c r="F36" s="32"/>
      <c r="G36" s="32"/>
      <c r="H36" s="32"/>
      <c r="I36" s="129">
        <f>SUM(I34:I35)</f>
        <v>22</v>
      </c>
      <c r="J36" s="124">
        <f>SUM(J34:J35)</f>
        <v>4.7044800000000002</v>
      </c>
      <c r="K36" s="32"/>
      <c r="L36" s="129">
        <f>SUM(L34:L35)</f>
        <v>18</v>
      </c>
      <c r="M36" s="124">
        <f>SUM(M34:M35)</f>
        <v>3.8491200000000001</v>
      </c>
      <c r="N36" s="131">
        <f>SUM(N34:N35)</f>
        <v>4</v>
      </c>
      <c r="O36" s="132">
        <f>SUM(O34:O35)</f>
        <v>0.85536000000000001</v>
      </c>
      <c r="P36" s="32"/>
      <c r="Q36" s="32"/>
    </row>
    <row r="39" spans="1:20" ht="15.6">
      <c r="A39" s="110" t="s">
        <v>365</v>
      </c>
      <c r="B39" s="111" t="s">
        <v>232</v>
      </c>
      <c r="C39" s="112" t="s">
        <v>228</v>
      </c>
      <c r="D39" s="113" t="s">
        <v>17</v>
      </c>
      <c r="E39" s="114" t="s">
        <v>15</v>
      </c>
      <c r="F39" s="115" t="s">
        <v>50</v>
      </c>
      <c r="G39" s="116">
        <v>21.7</v>
      </c>
      <c r="H39" s="125">
        <v>6.8</v>
      </c>
      <c r="I39" s="111">
        <v>6</v>
      </c>
      <c r="J39" s="117">
        <f t="shared" ref="J39:J44" si="12">H39*G39*I39/1000</f>
        <v>0.88536000000000004</v>
      </c>
      <c r="K39" s="118"/>
      <c r="L39" s="111">
        <v>6</v>
      </c>
      <c r="M39" s="117">
        <f t="shared" ref="M39:M44" si="13">H39*L39*G39/1000</f>
        <v>0.88535999999999992</v>
      </c>
      <c r="N39" s="119">
        <f t="shared" ref="N39:N44" si="14">I39-L39</f>
        <v>0</v>
      </c>
      <c r="O39" s="120">
        <f t="shared" ref="O39:O44" si="15">H39*N39*G39/1000</f>
        <v>0</v>
      </c>
      <c r="P39" s="111"/>
      <c r="Q39" s="32"/>
    </row>
    <row r="40" spans="1:20" ht="15.6">
      <c r="A40" s="110" t="s">
        <v>365</v>
      </c>
      <c r="B40" s="111" t="s">
        <v>232</v>
      </c>
      <c r="C40" s="112" t="s">
        <v>228</v>
      </c>
      <c r="D40" s="113" t="s">
        <v>17</v>
      </c>
      <c r="E40" s="114" t="s">
        <v>15</v>
      </c>
      <c r="F40" s="115" t="s">
        <v>50</v>
      </c>
      <c r="G40" s="116">
        <v>21.7</v>
      </c>
      <c r="H40" s="125">
        <v>8.3000000000000007</v>
      </c>
      <c r="I40" s="111">
        <v>16</v>
      </c>
      <c r="J40" s="117">
        <f t="shared" si="12"/>
        <v>2.8817600000000003</v>
      </c>
      <c r="K40" s="118"/>
      <c r="L40" s="111">
        <v>16</v>
      </c>
      <c r="M40" s="117">
        <f t="shared" si="13"/>
        <v>2.8817600000000003</v>
      </c>
      <c r="N40" s="119">
        <f t="shared" si="14"/>
        <v>0</v>
      </c>
      <c r="O40" s="120">
        <f t="shared" si="15"/>
        <v>0</v>
      </c>
      <c r="P40" s="111"/>
      <c r="Q40" s="32"/>
    </row>
    <row r="41" spans="1:20" ht="15.6">
      <c r="A41" s="110" t="s">
        <v>365</v>
      </c>
      <c r="B41" s="111" t="s">
        <v>232</v>
      </c>
      <c r="C41" s="112" t="s">
        <v>228</v>
      </c>
      <c r="D41" s="113" t="s">
        <v>17</v>
      </c>
      <c r="E41" s="114" t="s">
        <v>15</v>
      </c>
      <c r="F41" s="115" t="s">
        <v>50</v>
      </c>
      <c r="G41" s="116">
        <v>21.7</v>
      </c>
      <c r="H41" s="125">
        <v>9.1999999999999993</v>
      </c>
      <c r="I41" s="111">
        <f>13+4</f>
        <v>17</v>
      </c>
      <c r="J41" s="117">
        <f t="shared" si="12"/>
        <v>3.3938799999999998</v>
      </c>
      <c r="K41" s="118"/>
      <c r="L41" s="111">
        <f>16+1</f>
        <v>17</v>
      </c>
      <c r="M41" s="117">
        <f t="shared" si="13"/>
        <v>3.3938799999999993</v>
      </c>
      <c r="N41" s="119">
        <f t="shared" si="14"/>
        <v>0</v>
      </c>
      <c r="O41" s="120">
        <f t="shared" si="15"/>
        <v>0</v>
      </c>
      <c r="P41" s="111">
        <v>8.3000000000000007</v>
      </c>
      <c r="Q41" s="32">
        <v>1</v>
      </c>
    </row>
    <row r="42" spans="1:20" ht="15.6">
      <c r="A42" s="110" t="s">
        <v>365</v>
      </c>
      <c r="B42" s="111" t="s">
        <v>232</v>
      </c>
      <c r="C42" s="112" t="s">
        <v>228</v>
      </c>
      <c r="D42" s="113" t="s">
        <v>17</v>
      </c>
      <c r="E42" s="114" t="s">
        <v>15</v>
      </c>
      <c r="F42" s="115" t="s">
        <v>50</v>
      </c>
      <c r="G42" s="116">
        <v>21.7</v>
      </c>
      <c r="H42" s="125">
        <v>10.8</v>
      </c>
      <c r="I42" s="111">
        <f>8+3</f>
        <v>11</v>
      </c>
      <c r="J42" s="117">
        <f t="shared" si="12"/>
        <v>2.57796</v>
      </c>
      <c r="K42" s="118"/>
      <c r="L42" s="111">
        <v>11</v>
      </c>
      <c r="M42" s="117">
        <f t="shared" si="13"/>
        <v>2.57796</v>
      </c>
      <c r="N42" s="119">
        <f t="shared" si="14"/>
        <v>0</v>
      </c>
      <c r="O42" s="120">
        <f t="shared" si="15"/>
        <v>0</v>
      </c>
      <c r="P42" s="111"/>
      <c r="Q42" s="32"/>
    </row>
    <row r="43" spans="1:20" ht="15.6">
      <c r="A43" s="110" t="s">
        <v>365</v>
      </c>
      <c r="B43" s="111" t="s">
        <v>232</v>
      </c>
      <c r="C43" s="112" t="s">
        <v>228</v>
      </c>
      <c r="D43" s="113" t="s">
        <v>17</v>
      </c>
      <c r="E43" s="114" t="s">
        <v>15</v>
      </c>
      <c r="F43" s="115" t="s">
        <v>50</v>
      </c>
      <c r="G43" s="116">
        <v>21.7</v>
      </c>
      <c r="H43" s="125">
        <v>11.8</v>
      </c>
      <c r="I43" s="111">
        <f>12+12+13+12</f>
        <v>49</v>
      </c>
      <c r="J43" s="117">
        <f t="shared" si="12"/>
        <v>12.546940000000001</v>
      </c>
      <c r="K43" s="118"/>
      <c r="L43" s="111">
        <v>49</v>
      </c>
      <c r="M43" s="117">
        <f t="shared" si="13"/>
        <v>12.546940000000001</v>
      </c>
      <c r="N43" s="119">
        <f t="shared" si="14"/>
        <v>0</v>
      </c>
      <c r="O43" s="120">
        <f t="shared" si="15"/>
        <v>0</v>
      </c>
      <c r="P43" s="111"/>
      <c r="Q43" s="32"/>
    </row>
    <row r="44" spans="1:20" ht="15.6">
      <c r="A44" s="110" t="s">
        <v>365</v>
      </c>
      <c r="B44" s="111" t="s">
        <v>232</v>
      </c>
      <c r="C44" s="112" t="s">
        <v>228</v>
      </c>
      <c r="D44" s="113" t="s">
        <v>17</v>
      </c>
      <c r="E44" s="114" t="s">
        <v>15</v>
      </c>
      <c r="F44" s="115" t="s">
        <v>50</v>
      </c>
      <c r="G44" s="116">
        <v>21.7</v>
      </c>
      <c r="H44" s="125">
        <v>6.2</v>
      </c>
      <c r="I44" s="111">
        <v>1</v>
      </c>
      <c r="J44" s="117">
        <f t="shared" si="12"/>
        <v>0.13453999999999999</v>
      </c>
      <c r="K44" s="118"/>
      <c r="L44" s="111">
        <v>1</v>
      </c>
      <c r="M44" s="117">
        <f t="shared" si="13"/>
        <v>0.13453999999999999</v>
      </c>
      <c r="N44" s="119">
        <f t="shared" si="14"/>
        <v>0</v>
      </c>
      <c r="O44" s="120">
        <f t="shared" si="15"/>
        <v>0</v>
      </c>
      <c r="P44" s="366">
        <v>6.2</v>
      </c>
      <c r="Q44" s="45">
        <v>1</v>
      </c>
      <c r="R44" s="354" t="s">
        <v>544</v>
      </c>
    </row>
    <row r="45" spans="1:20" ht="15.6">
      <c r="A45" s="110" t="s">
        <v>365</v>
      </c>
      <c r="B45" s="111" t="s">
        <v>232</v>
      </c>
      <c r="C45" s="112" t="s">
        <v>228</v>
      </c>
      <c r="D45" s="113" t="s">
        <v>17</v>
      </c>
      <c r="E45" s="114" t="s">
        <v>15</v>
      </c>
      <c r="F45" s="115" t="s">
        <v>50</v>
      </c>
      <c r="G45" s="116">
        <v>21.7</v>
      </c>
      <c r="H45" s="125">
        <v>10.6</v>
      </c>
      <c r="I45" s="111">
        <v>1</v>
      </c>
      <c r="J45" s="117">
        <f t="shared" ref="J45:J49" si="16">H45*G45*I45/1000</f>
        <v>0.23001999999999997</v>
      </c>
      <c r="K45" s="118"/>
      <c r="L45" s="111">
        <v>1</v>
      </c>
      <c r="M45" s="117">
        <f t="shared" ref="M45:M49" si="17">H45*L45*G45/1000</f>
        <v>0.23001999999999997</v>
      </c>
      <c r="N45" s="119">
        <f t="shared" ref="N45:N49" si="18">I45-L45</f>
        <v>0</v>
      </c>
      <c r="O45" s="120">
        <f t="shared" ref="O45:O49" si="19">H45*N45*G45/1000</f>
        <v>0</v>
      </c>
      <c r="P45" s="366">
        <v>10.3</v>
      </c>
      <c r="Q45" s="45">
        <v>1</v>
      </c>
      <c r="R45" s="354" t="s">
        <v>545</v>
      </c>
    </row>
    <row r="46" spans="1:20" ht="15.6">
      <c r="A46" s="110" t="s">
        <v>365</v>
      </c>
      <c r="B46" s="111" t="s">
        <v>232</v>
      </c>
      <c r="C46" s="112" t="s">
        <v>228</v>
      </c>
      <c r="D46" s="113" t="s">
        <v>17</v>
      </c>
      <c r="E46" s="114" t="s">
        <v>15</v>
      </c>
      <c r="F46" s="115" t="s">
        <v>50</v>
      </c>
      <c r="G46" s="116">
        <v>21.7</v>
      </c>
      <c r="H46" s="125">
        <v>8.3000000000000007</v>
      </c>
      <c r="I46" s="111">
        <v>1</v>
      </c>
      <c r="J46" s="117">
        <f t="shared" si="16"/>
        <v>0.18011000000000002</v>
      </c>
      <c r="K46" s="118"/>
      <c r="L46" s="111">
        <v>1</v>
      </c>
      <c r="M46" s="117">
        <f t="shared" si="17"/>
        <v>0.18011000000000002</v>
      </c>
      <c r="N46" s="119">
        <f t="shared" si="18"/>
        <v>0</v>
      </c>
      <c r="O46" s="120">
        <f t="shared" si="19"/>
        <v>0</v>
      </c>
      <c r="P46" s="366">
        <v>6.2</v>
      </c>
      <c r="Q46" s="45">
        <v>1</v>
      </c>
      <c r="R46" s="354" t="s">
        <v>544</v>
      </c>
    </row>
    <row r="47" spans="1:20" ht="15.6">
      <c r="A47" s="110" t="s">
        <v>365</v>
      </c>
      <c r="B47" s="111" t="s">
        <v>232</v>
      </c>
      <c r="C47" s="112" t="s">
        <v>228</v>
      </c>
      <c r="D47" s="113" t="s">
        <v>17</v>
      </c>
      <c r="E47" s="114" t="s">
        <v>15</v>
      </c>
      <c r="F47" s="115" t="s">
        <v>50</v>
      </c>
      <c r="G47" s="116">
        <v>21.7</v>
      </c>
      <c r="H47" s="125">
        <v>9.1999999999999993</v>
      </c>
      <c r="I47" s="111">
        <v>3</v>
      </c>
      <c r="J47" s="117">
        <f t="shared" si="16"/>
        <v>0.59892000000000001</v>
      </c>
      <c r="K47" s="118"/>
      <c r="L47" s="111">
        <v>3</v>
      </c>
      <c r="M47" s="117">
        <f t="shared" si="17"/>
        <v>0.59892000000000001</v>
      </c>
      <c r="N47" s="119">
        <f t="shared" si="18"/>
        <v>0</v>
      </c>
      <c r="O47" s="120">
        <f t="shared" si="19"/>
        <v>0</v>
      </c>
      <c r="P47" s="45">
        <v>8.9</v>
      </c>
      <c r="Q47" s="404">
        <v>3</v>
      </c>
      <c r="R47" s="354" t="s">
        <v>545</v>
      </c>
    </row>
    <row r="48" spans="1:20" ht="15.6">
      <c r="A48" s="110" t="s">
        <v>365</v>
      </c>
      <c r="B48" s="111" t="s">
        <v>232</v>
      </c>
      <c r="C48" s="112" t="s">
        <v>228</v>
      </c>
      <c r="D48" s="113" t="s">
        <v>17</v>
      </c>
      <c r="E48" s="114" t="s">
        <v>15</v>
      </c>
      <c r="F48" s="115" t="s">
        <v>50</v>
      </c>
      <c r="G48" s="116">
        <v>21.7</v>
      </c>
      <c r="H48" s="125">
        <v>10.6</v>
      </c>
      <c r="I48" s="111">
        <v>1</v>
      </c>
      <c r="J48" s="117">
        <f t="shared" si="16"/>
        <v>0.23001999999999997</v>
      </c>
      <c r="K48" s="118"/>
      <c r="L48" s="111">
        <v>1</v>
      </c>
      <c r="M48" s="117">
        <f t="shared" si="17"/>
        <v>0.23001999999999997</v>
      </c>
      <c r="N48" s="119">
        <f t="shared" si="18"/>
        <v>0</v>
      </c>
      <c r="O48" s="120">
        <f t="shared" si="19"/>
        <v>0</v>
      </c>
      <c r="P48" s="366">
        <v>10.3</v>
      </c>
      <c r="Q48" s="45">
        <v>1</v>
      </c>
      <c r="R48" s="354" t="s">
        <v>545</v>
      </c>
    </row>
    <row r="49" spans="1:18" ht="15.6">
      <c r="A49" s="110" t="s">
        <v>365</v>
      </c>
      <c r="B49" s="111" t="s">
        <v>232</v>
      </c>
      <c r="C49" s="112" t="s">
        <v>228</v>
      </c>
      <c r="D49" s="113" t="s">
        <v>17</v>
      </c>
      <c r="E49" s="114" t="s">
        <v>15</v>
      </c>
      <c r="F49" s="115" t="s">
        <v>50</v>
      </c>
      <c r="G49" s="116">
        <v>21.7</v>
      </c>
      <c r="H49" s="125">
        <v>11.6</v>
      </c>
      <c r="I49" s="111">
        <v>1</v>
      </c>
      <c r="J49" s="117">
        <f t="shared" si="16"/>
        <v>0.25171999999999994</v>
      </c>
      <c r="K49" s="118"/>
      <c r="L49" s="111">
        <v>1</v>
      </c>
      <c r="M49" s="117">
        <f t="shared" si="17"/>
        <v>0.25171999999999994</v>
      </c>
      <c r="N49" s="119">
        <f t="shared" si="18"/>
        <v>0</v>
      </c>
      <c r="O49" s="120">
        <f t="shared" si="19"/>
        <v>0</v>
      </c>
      <c r="P49" s="366">
        <v>10.3</v>
      </c>
      <c r="Q49" s="45">
        <v>1</v>
      </c>
      <c r="R49" s="354" t="s">
        <v>545</v>
      </c>
    </row>
    <row r="50" spans="1:18">
      <c r="I50" s="215">
        <f>SUM(I39:I49)</f>
        <v>107</v>
      </c>
      <c r="J50" s="214">
        <f>SUM(J39:J49)</f>
        <v>23.911229999999996</v>
      </c>
      <c r="L50" s="215">
        <f>SUM(L39:L49)</f>
        <v>107</v>
      </c>
      <c r="M50" s="214">
        <f>SUM(M39:M49)</f>
        <v>23.911229999999996</v>
      </c>
      <c r="N50" s="215">
        <f>SUM(N39:N49)</f>
        <v>0</v>
      </c>
      <c r="O50" s="214">
        <f>SUM(O39:O49)</f>
        <v>0</v>
      </c>
      <c r="Q50" s="215">
        <f>SUM(Q39:Q49)</f>
        <v>9</v>
      </c>
    </row>
    <row r="52" spans="1:18" ht="15.6">
      <c r="A52" s="110" t="s">
        <v>365</v>
      </c>
      <c r="B52" s="111" t="s">
        <v>232</v>
      </c>
      <c r="C52" s="112" t="s">
        <v>228</v>
      </c>
      <c r="D52" s="113" t="s">
        <v>17</v>
      </c>
      <c r="E52" s="114" t="s">
        <v>15</v>
      </c>
      <c r="F52" s="115" t="s">
        <v>48</v>
      </c>
      <c r="G52" s="116">
        <v>23.45</v>
      </c>
      <c r="H52" s="125">
        <v>7.5</v>
      </c>
      <c r="I52" s="111">
        <f>9+9</f>
        <v>18</v>
      </c>
      <c r="J52" s="117">
        <f t="shared" ref="J52:J55" si="20">H52*G52*I52/1000</f>
        <v>3.1657500000000001</v>
      </c>
      <c r="K52" s="118"/>
      <c r="L52" s="111">
        <v>18</v>
      </c>
      <c r="M52" s="117">
        <f t="shared" ref="M52:M55" si="21">H52*L52*G52/1000</f>
        <v>3.1657500000000001</v>
      </c>
      <c r="N52" s="119">
        <f t="shared" ref="N52:N55" si="22">I52-L52</f>
        <v>0</v>
      </c>
      <c r="O52" s="120">
        <f t="shared" ref="O52:O55" si="23">H52*N52*G52/1000</f>
        <v>0</v>
      </c>
      <c r="P52" s="111"/>
      <c r="Q52" s="32"/>
    </row>
    <row r="53" spans="1:18" ht="15.6">
      <c r="A53" s="110" t="s">
        <v>365</v>
      </c>
      <c r="B53" s="111" t="s">
        <v>232</v>
      </c>
      <c r="C53" s="112" t="s">
        <v>228</v>
      </c>
      <c r="D53" s="113" t="s">
        <v>17</v>
      </c>
      <c r="E53" s="114" t="s">
        <v>15</v>
      </c>
      <c r="F53" s="115" t="s">
        <v>48</v>
      </c>
      <c r="G53" s="116">
        <v>23.45</v>
      </c>
      <c r="H53" s="125">
        <v>10</v>
      </c>
      <c r="I53" s="111">
        <v>4</v>
      </c>
      <c r="J53" s="117">
        <f t="shared" si="20"/>
        <v>0.93799999999999994</v>
      </c>
      <c r="K53" s="118"/>
      <c r="L53" s="111">
        <v>4</v>
      </c>
      <c r="M53" s="117">
        <f t="shared" si="21"/>
        <v>0.93799999999999994</v>
      </c>
      <c r="N53" s="119">
        <f t="shared" si="22"/>
        <v>0</v>
      </c>
      <c r="O53" s="120">
        <f t="shared" si="23"/>
        <v>0</v>
      </c>
      <c r="P53" s="111"/>
      <c r="Q53" s="32"/>
    </row>
    <row r="54" spans="1:18" ht="15.6">
      <c r="A54" s="110" t="s">
        <v>365</v>
      </c>
      <c r="B54" s="111" t="s">
        <v>232</v>
      </c>
      <c r="C54" s="112" t="s">
        <v>228</v>
      </c>
      <c r="D54" s="113" t="s">
        <v>17</v>
      </c>
      <c r="E54" s="114" t="s">
        <v>15</v>
      </c>
      <c r="F54" s="115" t="s">
        <v>48</v>
      </c>
      <c r="G54" s="116">
        <v>23.45</v>
      </c>
      <c r="H54" s="125">
        <v>11</v>
      </c>
      <c r="I54" s="111">
        <f>11+5</f>
        <v>16</v>
      </c>
      <c r="J54" s="117">
        <f t="shared" si="20"/>
        <v>4.1272000000000002</v>
      </c>
      <c r="K54" s="118"/>
      <c r="L54" s="111">
        <v>16</v>
      </c>
      <c r="M54" s="117">
        <f t="shared" si="21"/>
        <v>4.1272000000000002</v>
      </c>
      <c r="N54" s="119">
        <f t="shared" si="22"/>
        <v>0</v>
      </c>
      <c r="O54" s="120">
        <f t="shared" si="23"/>
        <v>0</v>
      </c>
      <c r="P54" s="111"/>
      <c r="Q54" s="32"/>
    </row>
    <row r="55" spans="1:18" ht="15.6">
      <c r="A55" s="110" t="s">
        <v>365</v>
      </c>
      <c r="B55" s="111" t="s">
        <v>232</v>
      </c>
      <c r="C55" s="112" t="s">
        <v>228</v>
      </c>
      <c r="D55" s="113" t="s">
        <v>17</v>
      </c>
      <c r="E55" s="114" t="s">
        <v>15</v>
      </c>
      <c r="F55" s="115" t="s">
        <v>48</v>
      </c>
      <c r="G55" s="116">
        <v>23.45</v>
      </c>
      <c r="H55" s="125">
        <v>11</v>
      </c>
      <c r="I55" s="111">
        <v>2</v>
      </c>
      <c r="J55" s="117">
        <f t="shared" si="20"/>
        <v>0.51590000000000003</v>
      </c>
      <c r="K55" s="118"/>
      <c r="L55" s="111">
        <v>2</v>
      </c>
      <c r="M55" s="117">
        <f t="shared" si="21"/>
        <v>0.51590000000000003</v>
      </c>
      <c r="N55" s="119">
        <f t="shared" si="22"/>
        <v>0</v>
      </c>
      <c r="O55" s="120">
        <f t="shared" si="23"/>
        <v>0</v>
      </c>
      <c r="P55" s="111"/>
      <c r="Q55" s="32"/>
    </row>
    <row r="56" spans="1:18" ht="15.6">
      <c r="A56" s="110" t="s">
        <v>365</v>
      </c>
      <c r="B56" s="111" t="s">
        <v>232</v>
      </c>
      <c r="C56" s="112" t="s">
        <v>228</v>
      </c>
      <c r="D56" s="113" t="s">
        <v>17</v>
      </c>
      <c r="E56" s="114" t="s">
        <v>15</v>
      </c>
      <c r="F56" s="115" t="s">
        <v>48</v>
      </c>
      <c r="G56" s="116">
        <v>23.45</v>
      </c>
      <c r="H56" s="125">
        <v>12</v>
      </c>
      <c r="I56" s="111">
        <f>2+3</f>
        <v>5</v>
      </c>
      <c r="J56" s="117">
        <f t="shared" ref="J56:J59" si="24">H56*G56*I56/1000</f>
        <v>1.407</v>
      </c>
      <c r="K56" s="118"/>
      <c r="L56" s="111">
        <v>5</v>
      </c>
      <c r="M56" s="117">
        <f t="shared" ref="M56:M59" si="25">H56*L56*G56/1000</f>
        <v>1.407</v>
      </c>
      <c r="N56" s="119">
        <f t="shared" ref="N56:N59" si="26">I56-L56</f>
        <v>0</v>
      </c>
      <c r="O56" s="120">
        <f t="shared" ref="O56:O59" si="27">H56*N56*G56/1000</f>
        <v>0</v>
      </c>
      <c r="P56" s="111"/>
      <c r="Q56" s="32"/>
    </row>
    <row r="57" spans="1:18" ht="15.6">
      <c r="A57" s="110" t="s">
        <v>365</v>
      </c>
      <c r="B57" s="111" t="s">
        <v>232</v>
      </c>
      <c r="C57" s="112" t="s">
        <v>228</v>
      </c>
      <c r="D57" s="113" t="s">
        <v>17</v>
      </c>
      <c r="E57" s="114" t="s">
        <v>15</v>
      </c>
      <c r="F57" s="115" t="s">
        <v>48</v>
      </c>
      <c r="G57" s="116">
        <v>23.45</v>
      </c>
      <c r="H57" s="125">
        <v>7.1</v>
      </c>
      <c r="I57" s="111">
        <v>1</v>
      </c>
      <c r="J57" s="117">
        <f t="shared" si="24"/>
        <v>0.16649499999999998</v>
      </c>
      <c r="K57" s="118"/>
      <c r="L57" s="111"/>
      <c r="M57" s="117">
        <f t="shared" si="25"/>
        <v>0</v>
      </c>
      <c r="N57" s="119">
        <f t="shared" si="26"/>
        <v>1</v>
      </c>
      <c r="O57" s="120">
        <f t="shared" si="27"/>
        <v>0.16649499999999998</v>
      </c>
      <c r="P57" s="111"/>
      <c r="Q57" s="32"/>
    </row>
    <row r="58" spans="1:18" ht="15.6">
      <c r="A58" s="110" t="s">
        <v>365</v>
      </c>
      <c r="B58" s="111" t="s">
        <v>232</v>
      </c>
      <c r="C58" s="112" t="s">
        <v>228</v>
      </c>
      <c r="D58" s="113" t="s">
        <v>17</v>
      </c>
      <c r="E58" s="114" t="s">
        <v>15</v>
      </c>
      <c r="F58" s="115" t="s">
        <v>48</v>
      </c>
      <c r="G58" s="116">
        <v>23.45</v>
      </c>
      <c r="H58" s="125">
        <v>10</v>
      </c>
      <c r="I58" s="111">
        <v>1</v>
      </c>
      <c r="J58" s="117">
        <f t="shared" si="24"/>
        <v>0.23449999999999999</v>
      </c>
      <c r="K58" s="118"/>
      <c r="L58" s="111"/>
      <c r="M58" s="117">
        <f t="shared" si="25"/>
        <v>0</v>
      </c>
      <c r="N58" s="119">
        <f t="shared" si="26"/>
        <v>1</v>
      </c>
      <c r="O58" s="120">
        <f t="shared" si="27"/>
        <v>0.23449999999999999</v>
      </c>
      <c r="P58" s="111"/>
      <c r="Q58" s="32"/>
    </row>
    <row r="59" spans="1:18" ht="15.6">
      <c r="A59" s="110" t="s">
        <v>365</v>
      </c>
      <c r="B59" s="111" t="s">
        <v>232</v>
      </c>
      <c r="C59" s="112" t="s">
        <v>228</v>
      </c>
      <c r="D59" s="113" t="s">
        <v>17</v>
      </c>
      <c r="E59" s="114" t="s">
        <v>15</v>
      </c>
      <c r="F59" s="115" t="s">
        <v>48</v>
      </c>
      <c r="G59" s="116">
        <v>23.45</v>
      </c>
      <c r="H59" s="125">
        <v>12</v>
      </c>
      <c r="I59" s="111">
        <v>2</v>
      </c>
      <c r="J59" s="117">
        <f t="shared" si="24"/>
        <v>0.56279999999999997</v>
      </c>
      <c r="K59" s="118"/>
      <c r="L59" s="111">
        <v>2</v>
      </c>
      <c r="M59" s="117">
        <f t="shared" si="25"/>
        <v>0.56279999999999997</v>
      </c>
      <c r="N59" s="119">
        <f t="shared" si="26"/>
        <v>0</v>
      </c>
      <c r="O59" s="120">
        <f t="shared" si="27"/>
        <v>0</v>
      </c>
      <c r="P59" s="45">
        <v>12</v>
      </c>
      <c r="Q59" s="45">
        <v>2</v>
      </c>
      <c r="R59" s="354" t="s">
        <v>530</v>
      </c>
    </row>
    <row r="60" spans="1:18">
      <c r="I60" s="215">
        <f>SUM(I52:I59)</f>
        <v>49</v>
      </c>
      <c r="J60" s="214">
        <f>SUM(J52:J59)</f>
        <v>11.117645</v>
      </c>
      <c r="L60" s="215">
        <f>SUM(L52:L59)</f>
        <v>47</v>
      </c>
      <c r="M60" s="214">
        <f>SUM(M52:M59)</f>
        <v>10.71665</v>
      </c>
      <c r="N60" s="215">
        <f>SUM(N52:N59)</f>
        <v>2</v>
      </c>
      <c r="O60" s="214">
        <f>SUM(O52:O59)</f>
        <v>0.40099499999999999</v>
      </c>
    </row>
    <row r="62" spans="1:18" ht="15.6">
      <c r="A62" s="110" t="s">
        <v>365</v>
      </c>
      <c r="B62" s="111" t="s">
        <v>232</v>
      </c>
      <c r="C62" s="112" t="s">
        <v>228</v>
      </c>
      <c r="D62" s="113" t="s">
        <v>24</v>
      </c>
      <c r="E62" s="114" t="s">
        <v>14</v>
      </c>
      <c r="F62" s="115" t="s">
        <v>48</v>
      </c>
      <c r="G62" s="116">
        <v>23.45</v>
      </c>
      <c r="H62" s="125">
        <v>10</v>
      </c>
      <c r="I62" s="111">
        <v>4</v>
      </c>
      <c r="J62" s="117">
        <f t="shared" ref="J62" si="28">H62*G62*I62/1000</f>
        <v>0.93799999999999994</v>
      </c>
      <c r="K62" s="118"/>
      <c r="L62" s="111">
        <v>4</v>
      </c>
      <c r="M62" s="117">
        <f t="shared" ref="M62" si="29">H62*L62*G62/1000</f>
        <v>0.93799999999999994</v>
      </c>
      <c r="N62" s="119">
        <f t="shared" ref="N62" si="30">I62-L62</f>
        <v>0</v>
      </c>
      <c r="O62" s="120">
        <f t="shared" ref="O62" si="31">H62*N62*G62/1000</f>
        <v>0</v>
      </c>
      <c r="P62" s="111"/>
      <c r="Q62" s="32"/>
    </row>
    <row r="63" spans="1:18" ht="15.6">
      <c r="A63" s="110" t="s">
        <v>365</v>
      </c>
      <c r="B63" s="111" t="s">
        <v>232</v>
      </c>
      <c r="C63" s="112" t="s">
        <v>228</v>
      </c>
      <c r="D63" s="113" t="s">
        <v>24</v>
      </c>
      <c r="E63" s="114" t="s">
        <v>14</v>
      </c>
      <c r="F63" s="115" t="s">
        <v>48</v>
      </c>
      <c r="G63" s="116">
        <v>23.45</v>
      </c>
      <c r="H63" s="125">
        <v>11</v>
      </c>
      <c r="I63" s="111">
        <v>2</v>
      </c>
      <c r="J63" s="117">
        <f t="shared" ref="J63:J65" si="32">H63*G63*I63/1000</f>
        <v>0.51590000000000003</v>
      </c>
      <c r="K63" s="118"/>
      <c r="L63" s="111">
        <v>2</v>
      </c>
      <c r="M63" s="117">
        <f t="shared" ref="M63:M65" si="33">H63*L63*G63/1000</f>
        <v>0.51590000000000003</v>
      </c>
      <c r="N63" s="119">
        <f t="shared" ref="N63:N65" si="34">I63-L63</f>
        <v>0</v>
      </c>
      <c r="O63" s="120">
        <f t="shared" ref="O63:O65" si="35">H63*N63*G63/1000</f>
        <v>0</v>
      </c>
      <c r="P63" s="111"/>
      <c r="Q63" s="32"/>
    </row>
    <row r="64" spans="1:18" ht="15.6">
      <c r="A64" s="110" t="s">
        <v>365</v>
      </c>
      <c r="B64" s="111" t="s">
        <v>232</v>
      </c>
      <c r="C64" s="112" t="s">
        <v>228</v>
      </c>
      <c r="D64" s="113" t="s">
        <v>24</v>
      </c>
      <c r="E64" s="114" t="s">
        <v>14</v>
      </c>
      <c r="F64" s="115" t="s">
        <v>48</v>
      </c>
      <c r="G64" s="116">
        <v>23.45</v>
      </c>
      <c r="H64" s="125">
        <v>9</v>
      </c>
      <c r="I64" s="111">
        <v>1</v>
      </c>
      <c r="J64" s="117">
        <f t="shared" si="32"/>
        <v>0.21104999999999999</v>
      </c>
      <c r="K64" s="118"/>
      <c r="L64" s="111">
        <v>1</v>
      </c>
      <c r="M64" s="117">
        <f t="shared" si="33"/>
        <v>0.21104999999999999</v>
      </c>
      <c r="N64" s="119">
        <f t="shared" si="34"/>
        <v>0</v>
      </c>
      <c r="O64" s="120">
        <f t="shared" si="35"/>
        <v>0</v>
      </c>
      <c r="P64" s="111">
        <v>7</v>
      </c>
      <c r="Q64" s="32">
        <v>1</v>
      </c>
    </row>
    <row r="65" spans="1:20" ht="15.6">
      <c r="A65" s="110" t="s">
        <v>365</v>
      </c>
      <c r="B65" s="111" t="s">
        <v>232</v>
      </c>
      <c r="C65" s="112" t="s">
        <v>228</v>
      </c>
      <c r="D65" s="113" t="s">
        <v>24</v>
      </c>
      <c r="E65" s="114" t="s">
        <v>14</v>
      </c>
      <c r="F65" s="115" t="s">
        <v>48</v>
      </c>
      <c r="G65" s="116">
        <v>23.45</v>
      </c>
      <c r="H65" s="125">
        <v>12</v>
      </c>
      <c r="I65" s="111">
        <f>4+12</f>
        <v>16</v>
      </c>
      <c r="J65" s="117">
        <f t="shared" si="32"/>
        <v>4.5023999999999997</v>
      </c>
      <c r="K65" s="118"/>
      <c r="L65" s="111">
        <f>2+1+1</f>
        <v>4</v>
      </c>
      <c r="M65" s="117">
        <f t="shared" si="33"/>
        <v>1.1255999999999999</v>
      </c>
      <c r="N65" s="119">
        <f t="shared" si="34"/>
        <v>12</v>
      </c>
      <c r="O65" s="120">
        <f t="shared" si="35"/>
        <v>3.3767999999999998</v>
      </c>
      <c r="P65" s="111">
        <v>6.6</v>
      </c>
      <c r="Q65" s="32">
        <v>2</v>
      </c>
      <c r="R65" s="213" t="s">
        <v>370</v>
      </c>
      <c r="S65" s="354">
        <v>1</v>
      </c>
      <c r="T65" s="354" t="s">
        <v>713</v>
      </c>
    </row>
    <row r="66" spans="1:20">
      <c r="I66" s="215">
        <f>SUM(I62:I65)</f>
        <v>23</v>
      </c>
      <c r="J66" s="214">
        <f>SUM(J62:J65)</f>
        <v>6.1673499999999999</v>
      </c>
      <c r="L66" s="215">
        <f>SUM(L62:L65)</f>
        <v>11</v>
      </c>
      <c r="M66" s="214">
        <f>SUM(M62:M65)</f>
        <v>2.7905499999999996</v>
      </c>
      <c r="N66" s="215">
        <f>SUM(N62:N65)</f>
        <v>12</v>
      </c>
      <c r="O66" s="214">
        <f>SUM(O62:O65)</f>
        <v>3.3767999999999998</v>
      </c>
    </row>
    <row r="68" spans="1:20" ht="15.6">
      <c r="A68" s="110" t="s">
        <v>365</v>
      </c>
      <c r="B68" s="111" t="s">
        <v>232</v>
      </c>
      <c r="C68" s="112" t="s">
        <v>228</v>
      </c>
      <c r="D68" s="113" t="s">
        <v>382</v>
      </c>
      <c r="E68" s="114" t="s">
        <v>15</v>
      </c>
      <c r="F68" s="115" t="s">
        <v>50</v>
      </c>
      <c r="G68" s="116">
        <v>21.7</v>
      </c>
      <c r="H68" s="125">
        <v>6.1</v>
      </c>
      <c r="I68" s="111">
        <f>18+2+20+6</f>
        <v>46</v>
      </c>
      <c r="J68" s="117">
        <f>H68*G68*I68/1000</f>
        <v>6.0890199999999988</v>
      </c>
      <c r="K68" s="118"/>
      <c r="L68" s="111">
        <v>46</v>
      </c>
      <c r="M68" s="117">
        <f t="shared" ref="M68" si="36">H68*L68*G68/1000</f>
        <v>6.0890199999999988</v>
      </c>
      <c r="N68" s="119">
        <f t="shared" ref="N68" si="37">I68-L68</f>
        <v>0</v>
      </c>
      <c r="O68" s="120">
        <f t="shared" ref="O68" si="38">H68*N68*G68/1000</f>
        <v>0</v>
      </c>
      <c r="P68" s="111"/>
      <c r="Q68" s="32"/>
    </row>
    <row r="69" spans="1:20" ht="15.6">
      <c r="A69" s="110" t="s">
        <v>365</v>
      </c>
      <c r="B69" s="111" t="s">
        <v>232</v>
      </c>
      <c r="C69" s="112" t="s">
        <v>228</v>
      </c>
      <c r="D69" s="113" t="s">
        <v>382</v>
      </c>
      <c r="E69" s="114" t="s">
        <v>15</v>
      </c>
      <c r="F69" s="115" t="s">
        <v>50</v>
      </c>
      <c r="G69" s="116">
        <v>21.7</v>
      </c>
      <c r="H69" s="125">
        <v>6.3</v>
      </c>
      <c r="I69" s="111">
        <f>17+11+19</f>
        <v>47</v>
      </c>
      <c r="J69" s="117">
        <f t="shared" ref="J69:J78" si="39">H69*G69*I69/1000</f>
        <v>6.4253699999999991</v>
      </c>
      <c r="K69" s="118"/>
      <c r="L69" s="111">
        <f>25+4+18</f>
        <v>47</v>
      </c>
      <c r="M69" s="117">
        <f t="shared" ref="M69:M78" si="40">H69*L69*G69/1000</f>
        <v>6.4253699999999991</v>
      </c>
      <c r="N69" s="119">
        <f t="shared" ref="N69:N78" si="41">I69-L69</f>
        <v>0</v>
      </c>
      <c r="O69" s="120">
        <f t="shared" ref="O69:O76" si="42">H69*N69*G69/1000</f>
        <v>0</v>
      </c>
      <c r="P69" s="111">
        <v>6.1</v>
      </c>
      <c r="Q69" s="32">
        <v>4</v>
      </c>
      <c r="S69" s="213">
        <v>18</v>
      </c>
      <c r="T69" s="158">
        <f>H69*S69*G69/1000</f>
        <v>2.4607799999999997</v>
      </c>
    </row>
    <row r="70" spans="1:20" ht="15.6">
      <c r="A70" s="110" t="s">
        <v>365</v>
      </c>
      <c r="B70" s="111" t="s">
        <v>232</v>
      </c>
      <c r="C70" s="112" t="s">
        <v>228</v>
      </c>
      <c r="D70" s="113" t="s">
        <v>382</v>
      </c>
      <c r="E70" s="114" t="s">
        <v>15</v>
      </c>
      <c r="F70" s="115" t="s">
        <v>50</v>
      </c>
      <c r="G70" s="116">
        <v>21.7</v>
      </c>
      <c r="H70" s="125">
        <v>8.4</v>
      </c>
      <c r="I70" s="111">
        <f>15+9</f>
        <v>24</v>
      </c>
      <c r="J70" s="117">
        <f t="shared" si="39"/>
        <v>4.3747199999999999</v>
      </c>
      <c r="K70" s="118"/>
      <c r="L70" s="111">
        <f>3+21</f>
        <v>24</v>
      </c>
      <c r="M70" s="117">
        <f t="shared" si="40"/>
        <v>4.3747199999999999</v>
      </c>
      <c r="N70" s="119">
        <f t="shared" si="41"/>
        <v>0</v>
      </c>
      <c r="O70" s="120">
        <f t="shared" si="42"/>
        <v>0</v>
      </c>
      <c r="P70" s="159">
        <v>7</v>
      </c>
      <c r="Q70" s="222">
        <v>11</v>
      </c>
      <c r="R70" s="213" t="s">
        <v>605</v>
      </c>
      <c r="S70" s="213">
        <f>13+11</f>
        <v>24</v>
      </c>
      <c r="T70" s="158">
        <f>H70*S70*G70/1000</f>
        <v>4.3747199999999999</v>
      </c>
    </row>
    <row r="71" spans="1:20" ht="15.6">
      <c r="A71" s="110" t="s">
        <v>365</v>
      </c>
      <c r="B71" s="111" t="s">
        <v>232</v>
      </c>
      <c r="C71" s="112" t="s">
        <v>228</v>
      </c>
      <c r="D71" s="113" t="s">
        <v>382</v>
      </c>
      <c r="E71" s="114" t="s">
        <v>15</v>
      </c>
      <c r="F71" s="115" t="s">
        <v>50</v>
      </c>
      <c r="G71" s="116">
        <v>21.7</v>
      </c>
      <c r="H71" s="125">
        <v>8.6</v>
      </c>
      <c r="I71" s="111">
        <f>15+15+11+16+13+2</f>
        <v>72</v>
      </c>
      <c r="J71" s="117">
        <f t="shared" si="39"/>
        <v>13.436639999999997</v>
      </c>
      <c r="K71" s="118"/>
      <c r="L71" s="111">
        <v>72</v>
      </c>
      <c r="M71" s="117">
        <f t="shared" si="40"/>
        <v>13.436639999999997</v>
      </c>
      <c r="N71" s="119">
        <f t="shared" si="41"/>
        <v>0</v>
      </c>
      <c r="O71" s="120">
        <f t="shared" si="42"/>
        <v>0</v>
      </c>
      <c r="P71" s="111"/>
      <c r="Q71" s="32"/>
    </row>
    <row r="72" spans="1:20" ht="15.6">
      <c r="A72" s="110" t="s">
        <v>365</v>
      </c>
      <c r="B72" s="111" t="s">
        <v>232</v>
      </c>
      <c r="C72" s="112" t="s">
        <v>228</v>
      </c>
      <c r="D72" s="113" t="s">
        <v>382</v>
      </c>
      <c r="E72" s="114" t="s">
        <v>15</v>
      </c>
      <c r="F72" s="115" t="s">
        <v>50</v>
      </c>
      <c r="G72" s="116">
        <v>21.7</v>
      </c>
      <c r="H72" s="125">
        <v>9.1</v>
      </c>
      <c r="I72" s="111">
        <f>13+15+15+15+15+4+1+16+13+13+8</f>
        <v>128</v>
      </c>
      <c r="J72" s="117">
        <f t="shared" si="39"/>
        <v>25.276160000000001</v>
      </c>
      <c r="K72" s="118"/>
      <c r="L72" s="111">
        <f>126+2</f>
        <v>128</v>
      </c>
      <c r="M72" s="117">
        <f t="shared" si="40"/>
        <v>25.276160000000001</v>
      </c>
      <c r="N72" s="119">
        <f t="shared" si="41"/>
        <v>0</v>
      </c>
      <c r="O72" s="120">
        <f t="shared" si="42"/>
        <v>0</v>
      </c>
      <c r="P72" s="111">
        <v>7</v>
      </c>
      <c r="Q72" s="45">
        <v>2</v>
      </c>
      <c r="R72" s="213" t="s">
        <v>605</v>
      </c>
      <c r="S72" s="213">
        <v>2</v>
      </c>
      <c r="T72" s="158">
        <f>H72*S72*G72/1000</f>
        <v>0.39494000000000001</v>
      </c>
    </row>
    <row r="73" spans="1:20" ht="15.6">
      <c r="A73" s="110" t="s">
        <v>365</v>
      </c>
      <c r="B73" s="111" t="s">
        <v>232</v>
      </c>
      <c r="C73" s="112" t="s">
        <v>228</v>
      </c>
      <c r="D73" s="113" t="s">
        <v>382</v>
      </c>
      <c r="E73" s="114" t="s">
        <v>15</v>
      </c>
      <c r="F73" s="115" t="s">
        <v>50</v>
      </c>
      <c r="G73" s="116">
        <v>21.7</v>
      </c>
      <c r="H73" s="125">
        <v>9.6999999999999993</v>
      </c>
      <c r="I73" s="111">
        <f>15+12+15+10</f>
        <v>52</v>
      </c>
      <c r="J73" s="117">
        <f t="shared" si="39"/>
        <v>10.94548</v>
      </c>
      <c r="K73" s="118"/>
      <c r="L73" s="111">
        <v>52</v>
      </c>
      <c r="M73" s="117">
        <f t="shared" si="40"/>
        <v>10.94548</v>
      </c>
      <c r="N73" s="119">
        <f t="shared" si="41"/>
        <v>0</v>
      </c>
      <c r="O73" s="120">
        <f t="shared" si="42"/>
        <v>0</v>
      </c>
      <c r="P73" s="111"/>
      <c r="Q73" s="222"/>
    </row>
    <row r="74" spans="1:20" ht="15.6">
      <c r="A74" s="110" t="s">
        <v>365</v>
      </c>
      <c r="B74" s="111" t="s">
        <v>232</v>
      </c>
      <c r="C74" s="112" t="s">
        <v>228</v>
      </c>
      <c r="D74" s="113" t="s">
        <v>382</v>
      </c>
      <c r="E74" s="114" t="s">
        <v>15</v>
      </c>
      <c r="F74" s="115" t="s">
        <v>50</v>
      </c>
      <c r="G74" s="116">
        <v>21.7</v>
      </c>
      <c r="H74" s="125">
        <v>10.1</v>
      </c>
      <c r="I74" s="111">
        <f>15+10+1+10</f>
        <v>36</v>
      </c>
      <c r="J74" s="117">
        <f t="shared" si="39"/>
        <v>7.8901199999999996</v>
      </c>
      <c r="K74" s="118"/>
      <c r="L74" s="111">
        <f>26+10</f>
        <v>36</v>
      </c>
      <c r="M74" s="117">
        <f t="shared" si="40"/>
        <v>7.8901199999999987</v>
      </c>
      <c r="N74" s="119">
        <f t="shared" si="41"/>
        <v>0</v>
      </c>
      <c r="O74" s="120">
        <f t="shared" si="42"/>
        <v>0</v>
      </c>
      <c r="P74" s="111">
        <v>8.5500000000000007</v>
      </c>
      <c r="Q74" s="222">
        <v>9</v>
      </c>
      <c r="R74" s="213" t="s">
        <v>605</v>
      </c>
      <c r="S74" s="213">
        <v>10</v>
      </c>
      <c r="T74" s="158">
        <f t="shared" ref="T74:T89" si="43">H74*S74*G74/1000</f>
        <v>2.1917</v>
      </c>
    </row>
    <row r="75" spans="1:20" ht="15.6">
      <c r="A75" s="110" t="s">
        <v>365</v>
      </c>
      <c r="B75" s="111" t="s">
        <v>232</v>
      </c>
      <c r="C75" s="112" t="s">
        <v>228</v>
      </c>
      <c r="D75" s="113" t="s">
        <v>382</v>
      </c>
      <c r="E75" s="114" t="s">
        <v>15</v>
      </c>
      <c r="F75" s="115" t="s">
        <v>50</v>
      </c>
      <c r="G75" s="116">
        <v>21.7</v>
      </c>
      <c r="H75" s="125">
        <v>6</v>
      </c>
      <c r="I75" s="111">
        <v>1</v>
      </c>
      <c r="J75" s="117">
        <f t="shared" si="39"/>
        <v>0.13019999999999998</v>
      </c>
      <c r="K75" s="118"/>
      <c r="L75" s="111"/>
      <c r="M75" s="117">
        <f t="shared" si="40"/>
        <v>0</v>
      </c>
      <c r="N75" s="119">
        <f t="shared" si="41"/>
        <v>1</v>
      </c>
      <c r="O75" s="120">
        <f t="shared" si="42"/>
        <v>0.13019999999999998</v>
      </c>
      <c r="P75" s="111"/>
      <c r="Q75" s="32"/>
      <c r="S75" s="213">
        <v>1</v>
      </c>
      <c r="T75" s="158">
        <f t="shared" si="43"/>
        <v>0.13019999999999998</v>
      </c>
    </row>
    <row r="76" spans="1:20" ht="15.6">
      <c r="A76" s="110" t="s">
        <v>365</v>
      </c>
      <c r="B76" s="111" t="s">
        <v>232</v>
      </c>
      <c r="C76" s="112" t="s">
        <v>228</v>
      </c>
      <c r="D76" s="113" t="s">
        <v>382</v>
      </c>
      <c r="E76" s="114" t="s">
        <v>15</v>
      </c>
      <c r="F76" s="115" t="s">
        <v>50</v>
      </c>
      <c r="G76" s="116">
        <v>21.7</v>
      </c>
      <c r="H76" s="125">
        <v>7.5</v>
      </c>
      <c r="I76" s="111">
        <v>1</v>
      </c>
      <c r="J76" s="117">
        <f t="shared" si="39"/>
        <v>0.16275000000000001</v>
      </c>
      <c r="K76" s="118"/>
      <c r="L76" s="111">
        <v>1</v>
      </c>
      <c r="M76" s="117">
        <f t="shared" si="40"/>
        <v>0.16275000000000001</v>
      </c>
      <c r="N76" s="119">
        <f t="shared" si="41"/>
        <v>0</v>
      </c>
      <c r="O76" s="120">
        <f t="shared" si="42"/>
        <v>0</v>
      </c>
      <c r="P76" s="130">
        <v>7</v>
      </c>
      <c r="Q76" s="222">
        <v>1</v>
      </c>
      <c r="R76" s="213" t="s">
        <v>605</v>
      </c>
      <c r="S76" s="213">
        <v>1</v>
      </c>
      <c r="T76" s="158">
        <f t="shared" si="43"/>
        <v>0.16275000000000001</v>
      </c>
    </row>
    <row r="77" spans="1:20" ht="15.6">
      <c r="A77" s="110" t="s">
        <v>365</v>
      </c>
      <c r="B77" s="111" t="s">
        <v>232</v>
      </c>
      <c r="C77" s="112" t="s">
        <v>228</v>
      </c>
      <c r="D77" s="113" t="s">
        <v>382</v>
      </c>
      <c r="E77" s="114" t="s">
        <v>15</v>
      </c>
      <c r="F77" s="115" t="s">
        <v>50</v>
      </c>
      <c r="G77" s="116">
        <v>21.7</v>
      </c>
      <c r="H77" s="125">
        <v>7.9</v>
      </c>
      <c r="I77" s="111">
        <v>2</v>
      </c>
      <c r="J77" s="117">
        <f t="shared" si="39"/>
        <v>0.34286</v>
      </c>
      <c r="K77" s="118"/>
      <c r="L77" s="111">
        <v>2</v>
      </c>
      <c r="M77" s="117">
        <f t="shared" si="40"/>
        <v>0.34286</v>
      </c>
      <c r="N77" s="119">
        <f t="shared" si="41"/>
        <v>0</v>
      </c>
      <c r="O77" s="120">
        <f>H77*N77*G77/1000</f>
        <v>0</v>
      </c>
      <c r="P77" s="130">
        <v>7</v>
      </c>
      <c r="Q77" s="222">
        <v>2</v>
      </c>
      <c r="R77" s="213" t="s">
        <v>605</v>
      </c>
      <c r="S77" s="213">
        <v>2</v>
      </c>
      <c r="T77" s="158">
        <f t="shared" si="43"/>
        <v>0.34286</v>
      </c>
    </row>
    <row r="78" spans="1:20" ht="15.6">
      <c r="A78" s="110" t="s">
        <v>365</v>
      </c>
      <c r="B78" s="111" t="s">
        <v>232</v>
      </c>
      <c r="C78" s="112" t="s">
        <v>228</v>
      </c>
      <c r="D78" s="113" t="s">
        <v>382</v>
      </c>
      <c r="E78" s="114" t="s">
        <v>15</v>
      </c>
      <c r="F78" s="115" t="s">
        <v>50</v>
      </c>
      <c r="G78" s="116">
        <v>21.7</v>
      </c>
      <c r="H78" s="125">
        <v>8.4</v>
      </c>
      <c r="I78" s="111">
        <v>1</v>
      </c>
      <c r="J78" s="117">
        <f t="shared" si="39"/>
        <v>0.18228</v>
      </c>
      <c r="K78" s="118"/>
      <c r="L78" s="111">
        <v>1</v>
      </c>
      <c r="M78" s="117">
        <f t="shared" si="40"/>
        <v>0.18228</v>
      </c>
      <c r="N78" s="119">
        <f t="shared" si="41"/>
        <v>0</v>
      </c>
      <c r="O78" s="120">
        <f>H78*N78*G78/1000</f>
        <v>0</v>
      </c>
      <c r="P78" s="111">
        <v>8.5500000000000007</v>
      </c>
      <c r="Q78" s="45">
        <v>1</v>
      </c>
      <c r="R78" s="213" t="s">
        <v>605</v>
      </c>
      <c r="S78" s="213">
        <v>1</v>
      </c>
      <c r="T78" s="158">
        <f t="shared" si="43"/>
        <v>0.18228</v>
      </c>
    </row>
    <row r="79" spans="1:20" ht="15.6">
      <c r="A79" s="110" t="s">
        <v>365</v>
      </c>
      <c r="B79" s="111" t="s">
        <v>232</v>
      </c>
      <c r="C79" s="112" t="s">
        <v>228</v>
      </c>
      <c r="D79" s="113" t="s">
        <v>382</v>
      </c>
      <c r="E79" s="114" t="s">
        <v>15</v>
      </c>
      <c r="F79" s="115" t="s">
        <v>50</v>
      </c>
      <c r="G79" s="116">
        <v>21.7</v>
      </c>
      <c r="H79" s="125">
        <v>11.5</v>
      </c>
      <c r="I79" s="111">
        <v>1</v>
      </c>
      <c r="J79" s="117">
        <f t="shared" ref="J79:J83" si="44">H79*G79*I79/1000</f>
        <v>0.24954999999999999</v>
      </c>
      <c r="K79" s="118"/>
      <c r="L79" s="111">
        <v>1</v>
      </c>
      <c r="M79" s="117">
        <f t="shared" ref="M79:M85" si="45">H79*L79*G79/1000</f>
        <v>0.24954999999999999</v>
      </c>
      <c r="N79" s="119">
        <f t="shared" ref="N79:N85" si="46">I79-L79</f>
        <v>0</v>
      </c>
      <c r="O79" s="120">
        <f t="shared" ref="O79:O81" si="47">H79*N79*G79/1000</f>
        <v>0</v>
      </c>
      <c r="P79" s="111">
        <v>8.5500000000000007</v>
      </c>
      <c r="Q79" s="45">
        <v>1</v>
      </c>
      <c r="S79" s="213">
        <v>1</v>
      </c>
      <c r="T79" s="158">
        <f t="shared" si="43"/>
        <v>0.24954999999999999</v>
      </c>
    </row>
    <row r="80" spans="1:20" ht="15.6">
      <c r="A80" s="110" t="s">
        <v>365</v>
      </c>
      <c r="B80" s="111" t="s">
        <v>232</v>
      </c>
      <c r="C80" s="112" t="s">
        <v>228</v>
      </c>
      <c r="D80" s="113" t="s">
        <v>382</v>
      </c>
      <c r="E80" s="114" t="s">
        <v>15</v>
      </c>
      <c r="F80" s="115" t="s">
        <v>50</v>
      </c>
      <c r="G80" s="116">
        <v>21.7</v>
      </c>
      <c r="H80" s="125">
        <v>11</v>
      </c>
      <c r="I80" s="111">
        <v>3</v>
      </c>
      <c r="J80" s="117">
        <f t="shared" si="44"/>
        <v>0.71609999999999996</v>
      </c>
      <c r="K80" s="118"/>
      <c r="L80" s="111">
        <f>1+2</f>
        <v>3</v>
      </c>
      <c r="M80" s="117">
        <f t="shared" si="45"/>
        <v>0.71610000000000007</v>
      </c>
      <c r="N80" s="119">
        <f t="shared" si="46"/>
        <v>0</v>
      </c>
      <c r="O80" s="120">
        <f t="shared" si="47"/>
        <v>0</v>
      </c>
      <c r="P80" s="111">
        <v>8.5500000000000007</v>
      </c>
      <c r="Q80" s="45">
        <v>2</v>
      </c>
      <c r="R80" s="213" t="s">
        <v>605</v>
      </c>
      <c r="S80" s="213">
        <v>3</v>
      </c>
      <c r="T80" s="158">
        <f t="shared" si="43"/>
        <v>0.71610000000000007</v>
      </c>
    </row>
    <row r="81" spans="1:20" ht="15.6">
      <c r="A81" s="110" t="s">
        <v>365</v>
      </c>
      <c r="B81" s="111" t="s">
        <v>232</v>
      </c>
      <c r="C81" s="112" t="s">
        <v>228</v>
      </c>
      <c r="D81" s="113" t="s">
        <v>382</v>
      </c>
      <c r="E81" s="114" t="s">
        <v>15</v>
      </c>
      <c r="F81" s="115" t="s">
        <v>50</v>
      </c>
      <c r="G81" s="116">
        <v>21.7</v>
      </c>
      <c r="H81" s="125">
        <v>9.6999999999999993</v>
      </c>
      <c r="I81" s="111">
        <v>3</v>
      </c>
      <c r="J81" s="117">
        <f t="shared" si="44"/>
        <v>0.63146999999999986</v>
      </c>
      <c r="K81" s="118"/>
      <c r="L81" s="111">
        <v>3</v>
      </c>
      <c r="M81" s="117">
        <f t="shared" si="45"/>
        <v>0.63146999999999986</v>
      </c>
      <c r="N81" s="119">
        <f t="shared" si="46"/>
        <v>0</v>
      </c>
      <c r="O81" s="120">
        <f t="shared" si="47"/>
        <v>0</v>
      </c>
      <c r="P81" s="130">
        <v>8.5500000000000007</v>
      </c>
      <c r="Q81" s="222">
        <v>3</v>
      </c>
      <c r="R81" s="213" t="s">
        <v>605</v>
      </c>
      <c r="S81" s="213">
        <v>3</v>
      </c>
      <c r="T81" s="158">
        <f t="shared" si="43"/>
        <v>0.63146999999999986</v>
      </c>
    </row>
    <row r="82" spans="1:20" ht="15.6">
      <c r="A82" s="110" t="s">
        <v>365</v>
      </c>
      <c r="B82" s="111" t="s">
        <v>232</v>
      </c>
      <c r="C82" s="112" t="s">
        <v>228</v>
      </c>
      <c r="D82" s="113" t="s">
        <v>382</v>
      </c>
      <c r="E82" s="114" t="s">
        <v>15</v>
      </c>
      <c r="F82" s="115" t="s">
        <v>50</v>
      </c>
      <c r="G82" s="116">
        <v>21.7</v>
      </c>
      <c r="H82" s="125">
        <v>8.6</v>
      </c>
      <c r="I82" s="111">
        <v>1</v>
      </c>
      <c r="J82" s="117">
        <f t="shared" si="44"/>
        <v>0.18661999999999998</v>
      </c>
      <c r="K82" s="118"/>
      <c r="L82" s="111">
        <v>1</v>
      </c>
      <c r="M82" s="117">
        <f t="shared" si="45"/>
        <v>0.18661999999999998</v>
      </c>
      <c r="N82" s="119">
        <f t="shared" si="46"/>
        <v>0</v>
      </c>
      <c r="O82" s="120">
        <f>H82*N82*G82/1000</f>
        <v>0</v>
      </c>
      <c r="P82" s="130">
        <v>8.5500000000000007</v>
      </c>
      <c r="Q82" s="222">
        <v>1</v>
      </c>
      <c r="R82" s="213" t="s">
        <v>605</v>
      </c>
      <c r="S82" s="213">
        <v>1</v>
      </c>
      <c r="T82" s="158">
        <f t="shared" si="43"/>
        <v>0.18661999999999998</v>
      </c>
    </row>
    <row r="83" spans="1:20" ht="15.6">
      <c r="A83" s="110" t="s">
        <v>365</v>
      </c>
      <c r="B83" s="111" t="s">
        <v>232</v>
      </c>
      <c r="C83" s="112" t="s">
        <v>228</v>
      </c>
      <c r="D83" s="113" t="s">
        <v>382</v>
      </c>
      <c r="E83" s="114" t="s">
        <v>15</v>
      </c>
      <c r="F83" s="115" t="s">
        <v>50</v>
      </c>
      <c r="G83" s="116">
        <v>21.7</v>
      </c>
      <c r="H83" s="125">
        <v>7.7</v>
      </c>
      <c r="I83" s="111">
        <v>2</v>
      </c>
      <c r="J83" s="117">
        <f t="shared" si="44"/>
        <v>0.33418000000000003</v>
      </c>
      <c r="K83" s="118"/>
      <c r="L83" s="111">
        <v>2</v>
      </c>
      <c r="M83" s="117">
        <f t="shared" si="45"/>
        <v>0.33418000000000003</v>
      </c>
      <c r="N83" s="119">
        <f t="shared" si="46"/>
        <v>0</v>
      </c>
      <c r="O83" s="120">
        <f>H83*N83*G83/1000</f>
        <v>0</v>
      </c>
      <c r="P83" s="130">
        <v>7</v>
      </c>
      <c r="Q83" s="222">
        <v>2</v>
      </c>
      <c r="R83" s="213" t="s">
        <v>605</v>
      </c>
      <c r="S83" s="213">
        <v>2</v>
      </c>
      <c r="T83" s="158">
        <f t="shared" si="43"/>
        <v>0.33418000000000003</v>
      </c>
    </row>
    <row r="84" spans="1:20" ht="15.6">
      <c r="A84" s="110" t="s">
        <v>365</v>
      </c>
      <c r="B84" s="111" t="s">
        <v>232</v>
      </c>
      <c r="C84" s="112" t="s">
        <v>228</v>
      </c>
      <c r="D84" s="113" t="s">
        <v>382</v>
      </c>
      <c r="E84" s="114" t="s">
        <v>15</v>
      </c>
      <c r="F84" s="115" t="s">
        <v>50</v>
      </c>
      <c r="G84" s="116">
        <v>21.7</v>
      </c>
      <c r="H84" s="125">
        <v>7.8</v>
      </c>
      <c r="I84" s="111">
        <v>1</v>
      </c>
      <c r="J84" s="117">
        <f>H84*G84*I84/1000</f>
        <v>0.16925999999999999</v>
      </c>
      <c r="K84" s="118"/>
      <c r="L84" s="111">
        <v>1</v>
      </c>
      <c r="M84" s="117">
        <f t="shared" si="45"/>
        <v>0.16925999999999999</v>
      </c>
      <c r="N84" s="119">
        <f t="shared" si="46"/>
        <v>0</v>
      </c>
      <c r="O84" s="120">
        <f>H84*N84*G84/1000</f>
        <v>0</v>
      </c>
      <c r="P84" s="130">
        <v>7</v>
      </c>
      <c r="Q84" s="222">
        <v>1</v>
      </c>
      <c r="R84" s="213" t="s">
        <v>605</v>
      </c>
      <c r="S84" s="213">
        <v>1</v>
      </c>
      <c r="T84" s="158">
        <f t="shared" si="43"/>
        <v>0.16925999999999999</v>
      </c>
    </row>
    <row r="85" spans="1:20" ht="15.6">
      <c r="A85" s="110" t="s">
        <v>365</v>
      </c>
      <c r="B85" s="111" t="s">
        <v>232</v>
      </c>
      <c r="C85" s="112" t="s">
        <v>228</v>
      </c>
      <c r="D85" s="113" t="s">
        <v>382</v>
      </c>
      <c r="E85" s="114" t="s">
        <v>15</v>
      </c>
      <c r="F85" s="115" t="s">
        <v>50</v>
      </c>
      <c r="G85" s="116">
        <v>21.7</v>
      </c>
      <c r="H85" s="125">
        <v>6.3</v>
      </c>
      <c r="I85" s="111">
        <v>2</v>
      </c>
      <c r="J85" s="117">
        <f>H85*G85*I85/1000</f>
        <v>0.27341999999999994</v>
      </c>
      <c r="K85" s="118"/>
      <c r="L85" s="111"/>
      <c r="M85" s="117">
        <f t="shared" si="45"/>
        <v>0</v>
      </c>
      <c r="N85" s="119">
        <f t="shared" si="46"/>
        <v>2</v>
      </c>
      <c r="O85" s="120">
        <f>H85*N85*G85/1000</f>
        <v>0.27341999999999994</v>
      </c>
      <c r="P85" s="111"/>
      <c r="Q85" s="32"/>
      <c r="S85" s="213">
        <v>2</v>
      </c>
      <c r="T85" s="158">
        <f t="shared" si="43"/>
        <v>0.27341999999999994</v>
      </c>
    </row>
    <row r="86" spans="1:20">
      <c r="I86" s="215">
        <f>SUM(I68:I85)</f>
        <v>423</v>
      </c>
      <c r="J86" s="214">
        <f>SUM(J68:J85)</f>
        <v>77.816199999999995</v>
      </c>
      <c r="L86" s="215">
        <f>SUM(L68:L85)</f>
        <v>420</v>
      </c>
      <c r="M86" s="214">
        <f>SUM(M68:M85)</f>
        <v>77.412579999999991</v>
      </c>
      <c r="N86" s="215">
        <f>SUM(N68:N85)</f>
        <v>3</v>
      </c>
      <c r="O86" s="214">
        <f>SUM(O68:O85)</f>
        <v>0.40361999999999992</v>
      </c>
      <c r="P86" s="213" t="s">
        <v>398</v>
      </c>
      <c r="S86" s="215">
        <f>SUM(S68:S85)</f>
        <v>72</v>
      </c>
      <c r="T86" s="214">
        <f>SUM(T68:T85)</f>
        <v>12.800829999999999</v>
      </c>
    </row>
    <row r="87" spans="1:20" ht="15.6">
      <c r="A87" s="110" t="s">
        <v>365</v>
      </c>
      <c r="B87" s="111" t="s">
        <v>232</v>
      </c>
      <c r="C87" s="112" t="s">
        <v>228</v>
      </c>
      <c r="D87" s="113" t="s">
        <v>382</v>
      </c>
      <c r="E87" s="114" t="s">
        <v>15</v>
      </c>
      <c r="F87" s="115" t="s">
        <v>48</v>
      </c>
      <c r="G87" s="116">
        <v>23.6</v>
      </c>
      <c r="H87" s="125">
        <v>8.6999999999999993</v>
      </c>
      <c r="I87" s="111">
        <f>14+14+14+14+5+16+15+7+15+16+17</f>
        <v>147</v>
      </c>
      <c r="J87" s="117">
        <f t="shared" ref="J87:J88" si="48">H87*G87*I87/1000</f>
        <v>30.182039999999997</v>
      </c>
      <c r="K87" s="118"/>
      <c r="L87" s="111">
        <f>144+3</f>
        <v>147</v>
      </c>
      <c r="M87" s="117">
        <f t="shared" ref="M87:M89" si="49">H87*L87*G87/1000</f>
        <v>30.182039999999997</v>
      </c>
      <c r="N87" s="119">
        <f t="shared" ref="N87:N89" si="50">I87-L87</f>
        <v>0</v>
      </c>
      <c r="O87" s="120">
        <f>H87*N87*G87/1000</f>
        <v>0</v>
      </c>
      <c r="P87" s="159">
        <v>7.2</v>
      </c>
      <c r="Q87" s="45">
        <v>3</v>
      </c>
      <c r="R87" s="556" t="s">
        <v>760</v>
      </c>
      <c r="S87" s="213">
        <v>3</v>
      </c>
      <c r="T87" s="158">
        <f t="shared" si="43"/>
        <v>0.61596000000000006</v>
      </c>
    </row>
    <row r="88" spans="1:20" ht="15.6">
      <c r="A88" s="110" t="s">
        <v>365</v>
      </c>
      <c r="B88" s="111" t="s">
        <v>232</v>
      </c>
      <c r="C88" s="112" t="s">
        <v>228</v>
      </c>
      <c r="D88" s="113" t="s">
        <v>382</v>
      </c>
      <c r="E88" s="114" t="s">
        <v>15</v>
      </c>
      <c r="F88" s="115" t="s">
        <v>48</v>
      </c>
      <c r="G88" s="116">
        <v>23.6</v>
      </c>
      <c r="H88" s="125">
        <v>8.5</v>
      </c>
      <c r="I88" s="111">
        <v>1</v>
      </c>
      <c r="J88" s="117">
        <f t="shared" si="48"/>
        <v>0.20060000000000003</v>
      </c>
      <c r="K88" s="118"/>
      <c r="L88" s="111">
        <v>1</v>
      </c>
      <c r="M88" s="117">
        <f t="shared" si="49"/>
        <v>0.20060000000000003</v>
      </c>
      <c r="N88" s="119">
        <f t="shared" si="50"/>
        <v>0</v>
      </c>
      <c r="O88" s="120">
        <f>H88*N88*G88/1000</f>
        <v>0</v>
      </c>
      <c r="P88" s="159">
        <v>7.2</v>
      </c>
      <c r="Q88" s="45">
        <v>1</v>
      </c>
      <c r="R88" s="556" t="s">
        <v>760</v>
      </c>
      <c r="S88" s="213">
        <v>1</v>
      </c>
      <c r="T88" s="158">
        <f t="shared" si="43"/>
        <v>0.20060000000000003</v>
      </c>
    </row>
    <row r="89" spans="1:20" ht="15.6">
      <c r="A89" s="110" t="s">
        <v>365</v>
      </c>
      <c r="B89" s="111" t="s">
        <v>232</v>
      </c>
      <c r="C89" s="112" t="s">
        <v>228</v>
      </c>
      <c r="D89" s="113" t="s">
        <v>382</v>
      </c>
      <c r="E89" s="114" t="s">
        <v>15</v>
      </c>
      <c r="F89" s="115" t="s">
        <v>48</v>
      </c>
      <c r="G89" s="116">
        <v>23.6</v>
      </c>
      <c r="H89" s="125">
        <v>8.6</v>
      </c>
      <c r="I89" s="111">
        <v>1</v>
      </c>
      <c r="J89" s="117">
        <f>H89*G89*I89/1000</f>
        <v>0.20296</v>
      </c>
      <c r="K89" s="118"/>
      <c r="L89" s="111">
        <v>1</v>
      </c>
      <c r="M89" s="117">
        <f t="shared" si="49"/>
        <v>0.20296</v>
      </c>
      <c r="N89" s="119">
        <f t="shared" si="50"/>
        <v>0</v>
      </c>
      <c r="O89" s="120">
        <f>H89*N89*G89/1000</f>
        <v>0</v>
      </c>
      <c r="P89" s="159">
        <v>7.2</v>
      </c>
      <c r="Q89" s="45">
        <v>1</v>
      </c>
      <c r="R89" s="556" t="s">
        <v>760</v>
      </c>
      <c r="S89" s="213">
        <v>1</v>
      </c>
      <c r="T89" s="158">
        <f t="shared" si="43"/>
        <v>0.20296</v>
      </c>
    </row>
    <row r="90" spans="1:20" ht="15.6">
      <c r="A90" s="110" t="s">
        <v>365</v>
      </c>
      <c r="B90" s="111" t="s">
        <v>232</v>
      </c>
      <c r="C90" s="112" t="s">
        <v>228</v>
      </c>
      <c r="D90" s="113" t="s">
        <v>382</v>
      </c>
      <c r="E90" s="114" t="s">
        <v>15</v>
      </c>
      <c r="F90" s="115" t="s">
        <v>48</v>
      </c>
      <c r="G90" s="116">
        <v>23.6</v>
      </c>
      <c r="H90" s="125">
        <v>7.5</v>
      </c>
      <c r="I90" s="111">
        <v>1</v>
      </c>
      <c r="J90" s="117">
        <f>H90*G90*I90/1000</f>
        <v>0.17699999999999999</v>
      </c>
      <c r="K90" s="118" t="s">
        <v>381</v>
      </c>
      <c r="L90" s="111">
        <v>1</v>
      </c>
      <c r="M90" s="117">
        <f t="shared" ref="M90:M91" si="51">H90*L90*G90/1000</f>
        <v>0.17699999999999999</v>
      </c>
      <c r="N90" s="119">
        <f t="shared" ref="N90:N91" si="52">I90-L90</f>
        <v>0</v>
      </c>
      <c r="O90" s="120">
        <f>H90*N90*G90/1000</f>
        <v>0</v>
      </c>
      <c r="P90" s="159">
        <v>6</v>
      </c>
      <c r="Q90" s="45">
        <v>1</v>
      </c>
      <c r="R90" s="556" t="s">
        <v>760</v>
      </c>
    </row>
    <row r="91" spans="1:20" ht="15.6">
      <c r="A91" s="110" t="s">
        <v>365</v>
      </c>
      <c r="B91" s="111" t="s">
        <v>232</v>
      </c>
      <c r="C91" s="112" t="s">
        <v>228</v>
      </c>
      <c r="D91" s="113" t="s">
        <v>382</v>
      </c>
      <c r="E91" s="114" t="s">
        <v>15</v>
      </c>
      <c r="F91" s="115" t="s">
        <v>48</v>
      </c>
      <c r="G91" s="116">
        <v>23.6</v>
      </c>
      <c r="H91" s="125">
        <v>8.6999999999999993</v>
      </c>
      <c r="I91" s="111">
        <v>6</v>
      </c>
      <c r="J91" s="117">
        <f>H91*G91*I91/1000</f>
        <v>1.2319200000000001</v>
      </c>
      <c r="K91" s="118" t="s">
        <v>381</v>
      </c>
      <c r="L91" s="111"/>
      <c r="M91" s="117">
        <f t="shared" si="51"/>
        <v>0</v>
      </c>
      <c r="N91" s="119">
        <f t="shared" si="52"/>
        <v>6</v>
      </c>
      <c r="O91" s="120">
        <f>H91*N91*G91/1000</f>
        <v>1.2319200000000001</v>
      </c>
      <c r="P91" s="111"/>
      <c r="Q91" s="32"/>
    </row>
    <row r="92" spans="1:20">
      <c r="I92" s="215">
        <f>SUM(I87:I91)</f>
        <v>156</v>
      </c>
      <c r="J92" s="214">
        <f>SUM(J87:J91)</f>
        <v>31.994519999999998</v>
      </c>
      <c r="L92" s="215">
        <f>SUM(L87:L91)</f>
        <v>150</v>
      </c>
      <c r="M92" s="214">
        <f>SUM(M87:M91)</f>
        <v>30.762599999999999</v>
      </c>
      <c r="N92" s="215">
        <f>SUM(N87:N91)</f>
        <v>6</v>
      </c>
      <c r="O92" s="214">
        <f>SUM(O87:O91)</f>
        <v>1.2319200000000001</v>
      </c>
    </row>
    <row r="94" spans="1:20" ht="15.6">
      <c r="A94" s="110" t="s">
        <v>365</v>
      </c>
      <c r="B94" s="111" t="s">
        <v>232</v>
      </c>
      <c r="C94" s="112" t="s">
        <v>228</v>
      </c>
      <c r="D94" s="113" t="s">
        <v>382</v>
      </c>
      <c r="E94" s="114" t="s">
        <v>15</v>
      </c>
      <c r="F94" s="115" t="s">
        <v>42</v>
      </c>
      <c r="G94" s="116">
        <v>19.8</v>
      </c>
      <c r="H94" s="125">
        <v>9.6</v>
      </c>
      <c r="I94" s="111">
        <v>15</v>
      </c>
      <c r="J94" s="117">
        <f t="shared" ref="J94" si="53">H94*G94*I94/1000</f>
        <v>2.8512000000000004</v>
      </c>
      <c r="K94" s="118"/>
      <c r="L94" s="111">
        <v>15</v>
      </c>
      <c r="M94" s="117">
        <f t="shared" ref="M94" si="54">H94*L94*G94/1000</f>
        <v>2.8512000000000004</v>
      </c>
      <c r="N94" s="119">
        <f t="shared" ref="N94" si="55">I94-L94</f>
        <v>0</v>
      </c>
      <c r="O94" s="120">
        <f>H94*N94*G94/1000</f>
        <v>0</v>
      </c>
      <c r="P94" s="111"/>
      <c r="Q94" s="32"/>
    </row>
    <row r="95" spans="1:20" ht="15.6">
      <c r="A95" s="110" t="s">
        <v>365</v>
      </c>
      <c r="B95" s="111" t="s">
        <v>232</v>
      </c>
      <c r="C95" s="112" t="s">
        <v>228</v>
      </c>
      <c r="D95" s="113" t="s">
        <v>382</v>
      </c>
      <c r="E95" s="114" t="s">
        <v>15</v>
      </c>
      <c r="F95" s="115" t="s">
        <v>42</v>
      </c>
      <c r="G95" s="116">
        <v>19.8</v>
      </c>
      <c r="H95" s="125">
        <v>8.1</v>
      </c>
      <c r="I95" s="111">
        <v>18</v>
      </c>
      <c r="J95" s="117">
        <f t="shared" ref="J95:J109" si="56">H95*G95*I95/1000</f>
        <v>2.8868400000000003</v>
      </c>
      <c r="K95" s="118"/>
      <c r="L95" s="111">
        <v>18</v>
      </c>
      <c r="M95" s="117">
        <f t="shared" ref="M95:M109" si="57">H95*L95*G95/1000</f>
        <v>2.8868399999999999</v>
      </c>
      <c r="N95" s="119">
        <f t="shared" ref="N95:N109" si="58">I95-L95</f>
        <v>0</v>
      </c>
      <c r="O95" s="120">
        <f t="shared" ref="O95:O109" si="59">H95*N95*G95/1000</f>
        <v>0</v>
      </c>
      <c r="P95" s="111"/>
      <c r="Q95" s="32"/>
    </row>
    <row r="96" spans="1:20" ht="15.6">
      <c r="A96" s="110" t="s">
        <v>365</v>
      </c>
      <c r="B96" s="111" t="s">
        <v>232</v>
      </c>
      <c r="C96" s="112" t="s">
        <v>228</v>
      </c>
      <c r="D96" s="113" t="s">
        <v>382</v>
      </c>
      <c r="E96" s="114" t="s">
        <v>15</v>
      </c>
      <c r="F96" s="115" t="s">
        <v>42</v>
      </c>
      <c r="G96" s="116">
        <v>19.8</v>
      </c>
      <c r="H96" s="125">
        <v>8.1</v>
      </c>
      <c r="I96" s="111">
        <v>17</v>
      </c>
      <c r="J96" s="117">
        <f t="shared" si="56"/>
        <v>2.7264599999999999</v>
      </c>
      <c r="K96" s="118"/>
      <c r="L96" s="111">
        <v>17</v>
      </c>
      <c r="M96" s="117">
        <f t="shared" si="57"/>
        <v>2.7264599999999999</v>
      </c>
      <c r="N96" s="119">
        <f t="shared" si="58"/>
        <v>0</v>
      </c>
      <c r="O96" s="120">
        <f t="shared" si="59"/>
        <v>0</v>
      </c>
      <c r="P96" s="111"/>
      <c r="Q96" s="32"/>
    </row>
    <row r="97" spans="1:17" ht="15.6">
      <c r="A97" s="110" t="s">
        <v>365</v>
      </c>
      <c r="B97" s="111" t="s">
        <v>232</v>
      </c>
      <c r="C97" s="112" t="s">
        <v>228</v>
      </c>
      <c r="D97" s="113" t="s">
        <v>382</v>
      </c>
      <c r="E97" s="114" t="s">
        <v>15</v>
      </c>
      <c r="F97" s="115" t="s">
        <v>42</v>
      </c>
      <c r="G97" s="116">
        <v>19.8</v>
      </c>
      <c r="H97" s="125">
        <v>7.7</v>
      </c>
      <c r="I97" s="111">
        <v>13</v>
      </c>
      <c r="J97" s="117">
        <f t="shared" si="56"/>
        <v>1.9819800000000001</v>
      </c>
      <c r="K97" s="118"/>
      <c r="L97" s="111">
        <v>13</v>
      </c>
      <c r="M97" s="117">
        <f t="shared" si="57"/>
        <v>1.9819800000000003</v>
      </c>
      <c r="N97" s="119">
        <f t="shared" si="58"/>
        <v>0</v>
      </c>
      <c r="O97" s="120">
        <f t="shared" si="59"/>
        <v>0</v>
      </c>
      <c r="P97" s="111"/>
      <c r="Q97" s="32"/>
    </row>
    <row r="98" spans="1:17" ht="15.6">
      <c r="A98" s="110" t="s">
        <v>365</v>
      </c>
      <c r="B98" s="111" t="s">
        <v>232</v>
      </c>
      <c r="C98" s="112" t="s">
        <v>228</v>
      </c>
      <c r="D98" s="113" t="s">
        <v>382</v>
      </c>
      <c r="E98" s="114" t="s">
        <v>15</v>
      </c>
      <c r="F98" s="115" t="s">
        <v>42</v>
      </c>
      <c r="G98" s="116">
        <v>19.8</v>
      </c>
      <c r="H98" s="125">
        <v>8.9</v>
      </c>
      <c r="I98" s="111">
        <v>2</v>
      </c>
      <c r="J98" s="117">
        <f t="shared" si="56"/>
        <v>0.35244000000000003</v>
      </c>
      <c r="K98" s="118"/>
      <c r="L98" s="111">
        <v>2</v>
      </c>
      <c r="M98" s="117">
        <f t="shared" si="57"/>
        <v>0.35244000000000003</v>
      </c>
      <c r="N98" s="119">
        <f t="shared" si="58"/>
        <v>0</v>
      </c>
      <c r="O98" s="120">
        <f t="shared" si="59"/>
        <v>0</v>
      </c>
      <c r="P98" s="111"/>
      <c r="Q98" s="32"/>
    </row>
    <row r="99" spans="1:17" ht="15.6">
      <c r="A99" s="110" t="s">
        <v>365</v>
      </c>
      <c r="B99" s="111" t="s">
        <v>232</v>
      </c>
      <c r="C99" s="112" t="s">
        <v>228</v>
      </c>
      <c r="D99" s="113" t="s">
        <v>382</v>
      </c>
      <c r="E99" s="114" t="s">
        <v>15</v>
      </c>
      <c r="F99" s="115" t="s">
        <v>42</v>
      </c>
      <c r="G99" s="116">
        <v>19.8</v>
      </c>
      <c r="H99" s="125">
        <v>9</v>
      </c>
      <c r="I99" s="111">
        <v>1</v>
      </c>
      <c r="J99" s="117">
        <f t="shared" si="56"/>
        <v>0.17820000000000003</v>
      </c>
      <c r="K99" s="118"/>
      <c r="L99" s="111">
        <v>1</v>
      </c>
      <c r="M99" s="117">
        <f t="shared" si="57"/>
        <v>0.17820000000000003</v>
      </c>
      <c r="N99" s="119">
        <f t="shared" si="58"/>
        <v>0</v>
      </c>
      <c r="O99" s="120">
        <f t="shared" si="59"/>
        <v>0</v>
      </c>
      <c r="P99" s="111"/>
      <c r="Q99" s="32"/>
    </row>
    <row r="100" spans="1:17" ht="15.6">
      <c r="A100" s="110" t="s">
        <v>365</v>
      </c>
      <c r="B100" s="111" t="s">
        <v>232</v>
      </c>
      <c r="C100" s="112" t="s">
        <v>228</v>
      </c>
      <c r="D100" s="113" t="s">
        <v>382</v>
      </c>
      <c r="E100" s="114" t="s">
        <v>15</v>
      </c>
      <c r="F100" s="115" t="s">
        <v>42</v>
      </c>
      <c r="G100" s="116">
        <v>19.8</v>
      </c>
      <c r="H100" s="125">
        <v>9.6</v>
      </c>
      <c r="I100" s="111">
        <v>5</v>
      </c>
      <c r="J100" s="117">
        <f t="shared" si="56"/>
        <v>0.95040000000000013</v>
      </c>
      <c r="K100" s="118"/>
      <c r="L100" s="111">
        <v>5</v>
      </c>
      <c r="M100" s="117">
        <f t="shared" si="57"/>
        <v>0.95040000000000013</v>
      </c>
      <c r="N100" s="119">
        <f t="shared" si="58"/>
        <v>0</v>
      </c>
      <c r="O100" s="120">
        <f t="shared" si="59"/>
        <v>0</v>
      </c>
      <c r="P100" s="111"/>
      <c r="Q100" s="32"/>
    </row>
    <row r="101" spans="1:17" ht="15.6">
      <c r="A101" s="110" t="s">
        <v>365</v>
      </c>
      <c r="B101" s="111" t="s">
        <v>232</v>
      </c>
      <c r="C101" s="112" t="s">
        <v>228</v>
      </c>
      <c r="D101" s="113" t="s">
        <v>382</v>
      </c>
      <c r="E101" s="114" t="s">
        <v>15</v>
      </c>
      <c r="F101" s="115" t="s">
        <v>42</v>
      </c>
      <c r="G101" s="116">
        <v>19.8</v>
      </c>
      <c r="H101" s="125">
        <v>11.7</v>
      </c>
      <c r="I101" s="111">
        <v>2</v>
      </c>
      <c r="J101" s="117">
        <f t="shared" si="56"/>
        <v>0.46332000000000001</v>
      </c>
      <c r="K101" s="118"/>
      <c r="L101" s="111"/>
      <c r="M101" s="117">
        <f t="shared" si="57"/>
        <v>0</v>
      </c>
      <c r="N101" s="119">
        <f t="shared" si="58"/>
        <v>2</v>
      </c>
      <c r="O101" s="120">
        <f t="shared" si="59"/>
        <v>0.46332000000000001</v>
      </c>
      <c r="P101" s="159"/>
      <c r="Q101" s="32"/>
    </row>
    <row r="102" spans="1:17" ht="15.6">
      <c r="A102" s="110" t="s">
        <v>365</v>
      </c>
      <c r="B102" s="111" t="s">
        <v>232</v>
      </c>
      <c r="C102" s="112" t="s">
        <v>228</v>
      </c>
      <c r="D102" s="113" t="s">
        <v>382</v>
      </c>
      <c r="E102" s="114" t="s">
        <v>15</v>
      </c>
      <c r="F102" s="115" t="s">
        <v>42</v>
      </c>
      <c r="G102" s="116">
        <v>19.8</v>
      </c>
      <c r="H102" s="125">
        <v>6.8</v>
      </c>
      <c r="I102" s="111">
        <v>1</v>
      </c>
      <c r="J102" s="117">
        <f t="shared" si="56"/>
        <v>0.13464000000000001</v>
      </c>
      <c r="K102" s="118"/>
      <c r="L102" s="111"/>
      <c r="M102" s="117">
        <f t="shared" si="57"/>
        <v>0</v>
      </c>
      <c r="N102" s="119">
        <f t="shared" si="58"/>
        <v>1</v>
      </c>
      <c r="O102" s="120">
        <f t="shared" si="59"/>
        <v>0.13464000000000001</v>
      </c>
      <c r="P102" s="159"/>
      <c r="Q102" s="32"/>
    </row>
    <row r="103" spans="1:17" ht="15.6">
      <c r="A103" s="110" t="s">
        <v>365</v>
      </c>
      <c r="B103" s="111" t="s">
        <v>232</v>
      </c>
      <c r="C103" s="112" t="s">
        <v>228</v>
      </c>
      <c r="D103" s="113" t="s">
        <v>382</v>
      </c>
      <c r="E103" s="114" t="s">
        <v>15</v>
      </c>
      <c r="F103" s="115" t="s">
        <v>42</v>
      </c>
      <c r="G103" s="116">
        <v>19.8</v>
      </c>
      <c r="H103" s="125">
        <v>10.6</v>
      </c>
      <c r="I103" s="111">
        <v>1</v>
      </c>
      <c r="J103" s="117">
        <f t="shared" si="56"/>
        <v>0.20987999999999998</v>
      </c>
      <c r="K103" s="118"/>
      <c r="L103" s="111">
        <v>1</v>
      </c>
      <c r="M103" s="117">
        <f t="shared" si="57"/>
        <v>0.20987999999999998</v>
      </c>
      <c r="N103" s="119">
        <f t="shared" si="58"/>
        <v>0</v>
      </c>
      <c r="O103" s="120">
        <f t="shared" si="59"/>
        <v>0</v>
      </c>
      <c r="P103" s="159">
        <v>8.4</v>
      </c>
      <c r="Q103" s="32">
        <v>1</v>
      </c>
    </row>
    <row r="104" spans="1:17" ht="15.6">
      <c r="A104" s="110" t="s">
        <v>365</v>
      </c>
      <c r="B104" s="111" t="s">
        <v>232</v>
      </c>
      <c r="C104" s="112" t="s">
        <v>228</v>
      </c>
      <c r="D104" s="113" t="s">
        <v>382</v>
      </c>
      <c r="E104" s="114" t="s">
        <v>15</v>
      </c>
      <c r="F104" s="115" t="s">
        <v>42</v>
      </c>
      <c r="G104" s="116">
        <v>19.8</v>
      </c>
      <c r="H104" s="125">
        <v>8.5</v>
      </c>
      <c r="I104" s="111">
        <v>15</v>
      </c>
      <c r="J104" s="117">
        <f t="shared" si="56"/>
        <v>2.5245000000000002</v>
      </c>
      <c r="K104" s="118"/>
      <c r="L104" s="111">
        <v>15</v>
      </c>
      <c r="M104" s="117">
        <f t="shared" si="57"/>
        <v>2.5245000000000002</v>
      </c>
      <c r="N104" s="119">
        <f t="shared" si="58"/>
        <v>0</v>
      </c>
      <c r="O104" s="120">
        <f t="shared" si="59"/>
        <v>0</v>
      </c>
      <c r="P104" s="111"/>
      <c r="Q104" s="32"/>
    </row>
    <row r="105" spans="1:17" ht="15.6">
      <c r="A105" s="110" t="s">
        <v>365</v>
      </c>
      <c r="B105" s="111" t="s">
        <v>232</v>
      </c>
      <c r="C105" s="112" t="s">
        <v>228</v>
      </c>
      <c r="D105" s="113" t="s">
        <v>382</v>
      </c>
      <c r="E105" s="114" t="s">
        <v>15</v>
      </c>
      <c r="F105" s="115" t="s">
        <v>42</v>
      </c>
      <c r="G105" s="116">
        <v>19.8</v>
      </c>
      <c r="H105" s="125">
        <v>8.1</v>
      </c>
      <c r="I105" s="111">
        <v>17</v>
      </c>
      <c r="J105" s="117">
        <f t="shared" si="56"/>
        <v>2.7264599999999999</v>
      </c>
      <c r="K105" s="118"/>
      <c r="L105" s="111">
        <v>17</v>
      </c>
      <c r="M105" s="117">
        <f t="shared" si="57"/>
        <v>2.7264599999999999</v>
      </c>
      <c r="N105" s="119">
        <f t="shared" si="58"/>
        <v>0</v>
      </c>
      <c r="O105" s="120">
        <f t="shared" si="59"/>
        <v>0</v>
      </c>
      <c r="P105" s="111"/>
      <c r="Q105" s="32"/>
    </row>
    <row r="106" spans="1:17" ht="15.6">
      <c r="A106" s="110" t="s">
        <v>365</v>
      </c>
      <c r="B106" s="111" t="s">
        <v>232</v>
      </c>
      <c r="C106" s="112" t="s">
        <v>228</v>
      </c>
      <c r="D106" s="113" t="s">
        <v>382</v>
      </c>
      <c r="E106" s="114" t="s">
        <v>15</v>
      </c>
      <c r="F106" s="115" t="s">
        <v>42</v>
      </c>
      <c r="G106" s="116">
        <v>19.8</v>
      </c>
      <c r="H106" s="125">
        <v>8.4</v>
      </c>
      <c r="I106" s="111">
        <v>17</v>
      </c>
      <c r="J106" s="117">
        <f t="shared" si="56"/>
        <v>2.8274400000000006</v>
      </c>
      <c r="K106" s="118"/>
      <c r="L106" s="111">
        <v>17</v>
      </c>
      <c r="M106" s="117">
        <f t="shared" si="57"/>
        <v>2.8274400000000006</v>
      </c>
      <c r="N106" s="119">
        <f t="shared" si="58"/>
        <v>0</v>
      </c>
      <c r="O106" s="120">
        <f t="shared" si="59"/>
        <v>0</v>
      </c>
      <c r="P106" s="111"/>
      <c r="Q106" s="32"/>
    </row>
    <row r="107" spans="1:17" ht="15.6">
      <c r="A107" s="110" t="s">
        <v>365</v>
      </c>
      <c r="B107" s="111" t="s">
        <v>232</v>
      </c>
      <c r="C107" s="112" t="s">
        <v>228</v>
      </c>
      <c r="D107" s="113" t="s">
        <v>382</v>
      </c>
      <c r="E107" s="114" t="s">
        <v>15</v>
      </c>
      <c r="F107" s="115" t="s">
        <v>42</v>
      </c>
      <c r="G107" s="116">
        <v>19.8</v>
      </c>
      <c r="H107" s="125">
        <v>8.1</v>
      </c>
      <c r="I107" s="111">
        <v>17</v>
      </c>
      <c r="J107" s="117">
        <f t="shared" si="56"/>
        <v>2.7264599999999999</v>
      </c>
      <c r="K107" s="118"/>
      <c r="L107" s="111">
        <v>17</v>
      </c>
      <c r="M107" s="117">
        <f t="shared" si="57"/>
        <v>2.7264599999999999</v>
      </c>
      <c r="N107" s="119">
        <f t="shared" si="58"/>
        <v>0</v>
      </c>
      <c r="O107" s="120">
        <f t="shared" si="59"/>
        <v>0</v>
      </c>
      <c r="P107" s="111"/>
      <c r="Q107" s="32"/>
    </row>
    <row r="108" spans="1:17" ht="15.6">
      <c r="A108" s="110" t="s">
        <v>365</v>
      </c>
      <c r="B108" s="111" t="s">
        <v>232</v>
      </c>
      <c r="C108" s="112" t="s">
        <v>228</v>
      </c>
      <c r="D108" s="113" t="s">
        <v>382</v>
      </c>
      <c r="E108" s="114" t="s">
        <v>15</v>
      </c>
      <c r="F108" s="115" t="s">
        <v>42</v>
      </c>
      <c r="G108" s="116">
        <v>19.8</v>
      </c>
      <c r="H108" s="125">
        <v>11.7</v>
      </c>
      <c r="I108" s="111">
        <v>7</v>
      </c>
      <c r="J108" s="117">
        <f t="shared" si="56"/>
        <v>1.6216199999999998</v>
      </c>
      <c r="K108" s="118"/>
      <c r="L108" s="111">
        <f>5</f>
        <v>5</v>
      </c>
      <c r="M108" s="117">
        <f t="shared" si="57"/>
        <v>1.1582999999999999</v>
      </c>
      <c r="N108" s="119">
        <f t="shared" si="58"/>
        <v>2</v>
      </c>
      <c r="O108" s="120">
        <f t="shared" si="59"/>
        <v>0.46332000000000001</v>
      </c>
      <c r="P108" s="111"/>
      <c r="Q108" s="32"/>
    </row>
    <row r="109" spans="1:17" ht="15.6">
      <c r="A109" s="110" t="s">
        <v>365</v>
      </c>
      <c r="B109" s="111" t="s">
        <v>232</v>
      </c>
      <c r="C109" s="112" t="s">
        <v>228</v>
      </c>
      <c r="D109" s="113" t="s">
        <v>382</v>
      </c>
      <c r="E109" s="114" t="s">
        <v>15</v>
      </c>
      <c r="F109" s="115" t="s">
        <v>42</v>
      </c>
      <c r="G109" s="116">
        <v>19.8</v>
      </c>
      <c r="H109" s="125">
        <v>8.1</v>
      </c>
      <c r="I109" s="111">
        <v>11</v>
      </c>
      <c r="J109" s="117">
        <f t="shared" si="56"/>
        <v>1.7641799999999999</v>
      </c>
      <c r="K109" s="118"/>
      <c r="L109" s="111">
        <f>9+2</f>
        <v>11</v>
      </c>
      <c r="M109" s="117">
        <f t="shared" si="57"/>
        <v>1.7641800000000001</v>
      </c>
      <c r="N109" s="119">
        <f t="shared" si="58"/>
        <v>0</v>
      </c>
      <c r="O109" s="120">
        <f t="shared" si="59"/>
        <v>0</v>
      </c>
      <c r="P109" s="111">
        <v>7.7</v>
      </c>
      <c r="Q109" s="32">
        <f>9+2</f>
        <v>11</v>
      </c>
    </row>
    <row r="110" spans="1:17" ht="15.6">
      <c r="A110" s="110" t="s">
        <v>365</v>
      </c>
      <c r="B110" s="111" t="s">
        <v>232</v>
      </c>
      <c r="C110" s="112" t="s">
        <v>228</v>
      </c>
      <c r="D110" s="113" t="s">
        <v>382</v>
      </c>
      <c r="E110" s="114" t="s">
        <v>15</v>
      </c>
      <c r="F110" s="115" t="s">
        <v>42</v>
      </c>
      <c r="G110" s="116">
        <v>19.8</v>
      </c>
      <c r="H110" s="125">
        <v>8.5</v>
      </c>
      <c r="I110" s="111">
        <v>12</v>
      </c>
      <c r="J110" s="117">
        <f t="shared" ref="J110:J118" si="60">H110*G110*I110/1000</f>
        <v>2.0196000000000001</v>
      </c>
      <c r="K110" s="118"/>
      <c r="L110" s="111">
        <v>12</v>
      </c>
      <c r="M110" s="117">
        <f t="shared" ref="M110:M118" si="61">H110*L110*G110/1000</f>
        <v>2.0196000000000001</v>
      </c>
      <c r="N110" s="119">
        <f t="shared" ref="N110:N118" si="62">I110-L110</f>
        <v>0</v>
      </c>
      <c r="O110" s="120">
        <f t="shared" ref="O110:O118" si="63">H110*N110*G110/1000</f>
        <v>0</v>
      </c>
      <c r="P110" s="111"/>
      <c r="Q110" s="32"/>
    </row>
    <row r="111" spans="1:17" ht="15.6">
      <c r="A111" s="110" t="s">
        <v>365</v>
      </c>
      <c r="B111" s="111" t="s">
        <v>232</v>
      </c>
      <c r="C111" s="112" t="s">
        <v>228</v>
      </c>
      <c r="D111" s="113" t="s">
        <v>382</v>
      </c>
      <c r="E111" s="114" t="s">
        <v>15</v>
      </c>
      <c r="F111" s="115" t="s">
        <v>42</v>
      </c>
      <c r="G111" s="116">
        <v>19.8</v>
      </c>
      <c r="H111" s="125">
        <v>7.7</v>
      </c>
      <c r="I111" s="111">
        <v>4</v>
      </c>
      <c r="J111" s="117">
        <f t="shared" si="60"/>
        <v>0.60984000000000005</v>
      </c>
      <c r="K111" s="118"/>
      <c r="L111" s="111">
        <v>4</v>
      </c>
      <c r="M111" s="117">
        <f t="shared" si="61"/>
        <v>0.60984000000000005</v>
      </c>
      <c r="N111" s="119">
        <f t="shared" si="62"/>
        <v>0</v>
      </c>
      <c r="O111" s="120">
        <f t="shared" si="63"/>
        <v>0</v>
      </c>
      <c r="P111" s="111"/>
      <c r="Q111" s="32"/>
    </row>
    <row r="112" spans="1:17" ht="15.6">
      <c r="A112" s="110" t="s">
        <v>365</v>
      </c>
      <c r="B112" s="111" t="s">
        <v>232</v>
      </c>
      <c r="C112" s="112" t="s">
        <v>228</v>
      </c>
      <c r="D112" s="113" t="s">
        <v>382</v>
      </c>
      <c r="E112" s="114" t="s">
        <v>15</v>
      </c>
      <c r="F112" s="115" t="s">
        <v>42</v>
      </c>
      <c r="G112" s="116">
        <v>19.8</v>
      </c>
      <c r="H112" s="125">
        <v>8.4</v>
      </c>
      <c r="I112" s="111">
        <v>1</v>
      </c>
      <c r="J112" s="117">
        <f t="shared" si="60"/>
        <v>0.16632000000000002</v>
      </c>
      <c r="K112" s="118"/>
      <c r="L112" s="111">
        <v>1</v>
      </c>
      <c r="M112" s="117">
        <f t="shared" si="61"/>
        <v>0.16632000000000002</v>
      </c>
      <c r="N112" s="119">
        <f t="shared" si="62"/>
        <v>0</v>
      </c>
      <c r="O112" s="120">
        <f t="shared" si="63"/>
        <v>0</v>
      </c>
      <c r="P112" s="111"/>
      <c r="Q112" s="32"/>
    </row>
    <row r="113" spans="1:17" ht="15.6">
      <c r="A113" s="110" t="s">
        <v>365</v>
      </c>
      <c r="B113" s="111" t="s">
        <v>232</v>
      </c>
      <c r="C113" s="112" t="s">
        <v>228</v>
      </c>
      <c r="D113" s="113" t="s">
        <v>382</v>
      </c>
      <c r="E113" s="114" t="s">
        <v>15</v>
      </c>
      <c r="F113" s="115" t="s">
        <v>42</v>
      </c>
      <c r="G113" s="116">
        <v>19.8</v>
      </c>
      <c r="H113" s="125">
        <v>8.8000000000000007</v>
      </c>
      <c r="I113" s="111">
        <v>6</v>
      </c>
      <c r="J113" s="117">
        <f t="shared" si="60"/>
        <v>1.0454400000000001</v>
      </c>
      <c r="K113" s="118"/>
      <c r="L113" s="111">
        <v>6</v>
      </c>
      <c r="M113" s="117">
        <f t="shared" si="61"/>
        <v>1.0454400000000001</v>
      </c>
      <c r="N113" s="119">
        <f t="shared" si="62"/>
        <v>0</v>
      </c>
      <c r="O113" s="120">
        <f t="shared" si="63"/>
        <v>0</v>
      </c>
      <c r="P113" s="111"/>
      <c r="Q113" s="32"/>
    </row>
    <row r="114" spans="1:17" ht="15.6">
      <c r="A114" s="110" t="s">
        <v>365</v>
      </c>
      <c r="B114" s="111" t="s">
        <v>232</v>
      </c>
      <c r="C114" s="112" t="s">
        <v>228</v>
      </c>
      <c r="D114" s="113" t="s">
        <v>382</v>
      </c>
      <c r="E114" s="114" t="s">
        <v>15</v>
      </c>
      <c r="F114" s="115" t="s">
        <v>42</v>
      </c>
      <c r="G114" s="116">
        <v>19.8</v>
      </c>
      <c r="H114" s="125">
        <v>8.9</v>
      </c>
      <c r="I114" s="111">
        <v>3</v>
      </c>
      <c r="J114" s="117">
        <f t="shared" si="60"/>
        <v>0.52866000000000013</v>
      </c>
      <c r="K114" s="118"/>
      <c r="L114" s="111">
        <v>3</v>
      </c>
      <c r="M114" s="117">
        <f t="shared" si="61"/>
        <v>0.52866000000000013</v>
      </c>
      <c r="N114" s="119">
        <f t="shared" si="62"/>
        <v>0</v>
      </c>
      <c r="O114" s="120">
        <f t="shared" si="63"/>
        <v>0</v>
      </c>
      <c r="P114" s="111"/>
      <c r="Q114" s="32"/>
    </row>
    <row r="115" spans="1:17" ht="15.6">
      <c r="A115" s="110" t="s">
        <v>365</v>
      </c>
      <c r="B115" s="111" t="s">
        <v>232</v>
      </c>
      <c r="C115" s="112" t="s">
        <v>228</v>
      </c>
      <c r="D115" s="113" t="s">
        <v>382</v>
      </c>
      <c r="E115" s="114" t="s">
        <v>15</v>
      </c>
      <c r="F115" s="115" t="s">
        <v>42</v>
      </c>
      <c r="G115" s="116">
        <v>19.8</v>
      </c>
      <c r="H115" s="125">
        <v>9</v>
      </c>
      <c r="I115" s="111">
        <v>3</v>
      </c>
      <c r="J115" s="117">
        <f t="shared" si="60"/>
        <v>0.53460000000000008</v>
      </c>
      <c r="K115" s="118"/>
      <c r="L115" s="111">
        <v>3</v>
      </c>
      <c r="M115" s="117">
        <f t="shared" si="61"/>
        <v>0.53460000000000008</v>
      </c>
      <c r="N115" s="119">
        <f t="shared" si="62"/>
        <v>0</v>
      </c>
      <c r="O115" s="120">
        <f t="shared" si="63"/>
        <v>0</v>
      </c>
      <c r="P115" s="111"/>
      <c r="Q115" s="32"/>
    </row>
    <row r="116" spans="1:17" ht="15.6">
      <c r="A116" s="110" t="s">
        <v>365</v>
      </c>
      <c r="B116" s="111" t="s">
        <v>232</v>
      </c>
      <c r="C116" s="112" t="s">
        <v>228</v>
      </c>
      <c r="D116" s="113" t="s">
        <v>382</v>
      </c>
      <c r="E116" s="114" t="s">
        <v>15</v>
      </c>
      <c r="F116" s="115" t="s">
        <v>42</v>
      </c>
      <c r="G116" s="116">
        <v>19.8</v>
      </c>
      <c r="H116" s="125">
        <v>9.6</v>
      </c>
      <c r="I116" s="111">
        <v>4</v>
      </c>
      <c r="J116" s="117">
        <f t="shared" si="60"/>
        <v>0.76032</v>
      </c>
      <c r="K116" s="118"/>
      <c r="L116" s="111">
        <v>4</v>
      </c>
      <c r="M116" s="117">
        <f t="shared" si="61"/>
        <v>0.76032</v>
      </c>
      <c r="N116" s="119">
        <f t="shared" si="62"/>
        <v>0</v>
      </c>
      <c r="O116" s="120">
        <f t="shared" si="63"/>
        <v>0</v>
      </c>
      <c r="P116" s="111"/>
      <c r="Q116" s="32"/>
    </row>
    <row r="117" spans="1:17" ht="15.6">
      <c r="A117" s="110" t="s">
        <v>365</v>
      </c>
      <c r="B117" s="111" t="s">
        <v>232</v>
      </c>
      <c r="C117" s="112" t="s">
        <v>228</v>
      </c>
      <c r="D117" s="113" t="s">
        <v>382</v>
      </c>
      <c r="E117" s="114" t="s">
        <v>15</v>
      </c>
      <c r="F117" s="115" t="s">
        <v>42</v>
      </c>
      <c r="G117" s="116">
        <v>19.8</v>
      </c>
      <c r="H117" s="125">
        <v>6.5</v>
      </c>
      <c r="I117" s="111">
        <v>1</v>
      </c>
      <c r="J117" s="117">
        <f t="shared" si="60"/>
        <v>0.12870000000000001</v>
      </c>
      <c r="K117" s="118"/>
      <c r="L117" s="111"/>
      <c r="M117" s="117">
        <f t="shared" si="61"/>
        <v>0</v>
      </c>
      <c r="N117" s="119">
        <f t="shared" si="62"/>
        <v>1</v>
      </c>
      <c r="O117" s="120">
        <f t="shared" si="63"/>
        <v>0.12870000000000001</v>
      </c>
      <c r="P117" s="111"/>
      <c r="Q117" s="32"/>
    </row>
    <row r="118" spans="1:17" ht="15.6">
      <c r="A118" s="110" t="s">
        <v>365</v>
      </c>
      <c r="B118" s="111" t="s">
        <v>232</v>
      </c>
      <c r="C118" s="112" t="s">
        <v>228</v>
      </c>
      <c r="D118" s="113" t="s">
        <v>382</v>
      </c>
      <c r="E118" s="114" t="s">
        <v>15</v>
      </c>
      <c r="F118" s="115" t="s">
        <v>42</v>
      </c>
      <c r="G118" s="116">
        <v>19.8</v>
      </c>
      <c r="H118" s="125">
        <v>11.5</v>
      </c>
      <c r="I118" s="111">
        <v>1</v>
      </c>
      <c r="J118" s="117">
        <f t="shared" si="60"/>
        <v>0.22770000000000001</v>
      </c>
      <c r="K118" s="118"/>
      <c r="L118" s="111"/>
      <c r="M118" s="117">
        <f t="shared" si="61"/>
        <v>0</v>
      </c>
      <c r="N118" s="119">
        <f t="shared" si="62"/>
        <v>1</v>
      </c>
      <c r="O118" s="120">
        <f t="shared" si="63"/>
        <v>0.22770000000000001</v>
      </c>
      <c r="P118" s="111"/>
      <c r="Q118" s="32"/>
    </row>
    <row r="119" spans="1:17" ht="15.6">
      <c r="A119" s="110" t="s">
        <v>365</v>
      </c>
      <c r="B119" s="111" t="s">
        <v>232</v>
      </c>
      <c r="C119" s="112" t="s">
        <v>228</v>
      </c>
      <c r="D119" s="113" t="s">
        <v>382</v>
      </c>
      <c r="E119" s="114" t="s">
        <v>15</v>
      </c>
      <c r="F119" s="115" t="s">
        <v>42</v>
      </c>
      <c r="G119" s="116">
        <v>19.8</v>
      </c>
      <c r="H119" s="125">
        <v>7.7</v>
      </c>
      <c r="I119" s="111">
        <v>16</v>
      </c>
      <c r="J119" s="117">
        <f t="shared" ref="J119:J129" si="64">H119*G119*I119/1000</f>
        <v>2.4393600000000002</v>
      </c>
      <c r="K119" s="118"/>
      <c r="L119" s="111">
        <v>16</v>
      </c>
      <c r="M119" s="117">
        <f t="shared" ref="M119:M129" si="65">H119*L119*G119/1000</f>
        <v>2.4393600000000002</v>
      </c>
      <c r="N119" s="119">
        <f t="shared" ref="N119:N130" si="66">I119-L119</f>
        <v>0</v>
      </c>
      <c r="O119" s="120">
        <f t="shared" ref="O119:O129" si="67">H119*N119*G119/1000</f>
        <v>0</v>
      </c>
      <c r="P119" s="111"/>
      <c r="Q119" s="32"/>
    </row>
    <row r="120" spans="1:17" ht="15.6">
      <c r="A120" s="110" t="s">
        <v>365</v>
      </c>
      <c r="B120" s="111" t="s">
        <v>232</v>
      </c>
      <c r="C120" s="112" t="s">
        <v>228</v>
      </c>
      <c r="D120" s="113" t="s">
        <v>382</v>
      </c>
      <c r="E120" s="114" t="s">
        <v>15</v>
      </c>
      <c r="F120" s="115" t="s">
        <v>42</v>
      </c>
      <c r="G120" s="116">
        <v>19.8</v>
      </c>
      <c r="H120" s="125">
        <v>8.1</v>
      </c>
      <c r="I120" s="111">
        <v>15</v>
      </c>
      <c r="J120" s="117">
        <f t="shared" si="64"/>
        <v>2.4056999999999999</v>
      </c>
      <c r="K120" s="118"/>
      <c r="L120" s="111">
        <v>15</v>
      </c>
      <c r="M120" s="117">
        <f t="shared" si="65"/>
        <v>2.4057000000000004</v>
      </c>
      <c r="N120" s="119">
        <f t="shared" si="66"/>
        <v>0</v>
      </c>
      <c r="O120" s="120">
        <f t="shared" si="67"/>
        <v>0</v>
      </c>
      <c r="P120" s="111"/>
      <c r="Q120" s="32"/>
    </row>
    <row r="121" spans="1:17" ht="15.6">
      <c r="A121" s="110" t="s">
        <v>365</v>
      </c>
      <c r="B121" s="111" t="s">
        <v>232</v>
      </c>
      <c r="C121" s="112" t="s">
        <v>228</v>
      </c>
      <c r="D121" s="113" t="s">
        <v>382</v>
      </c>
      <c r="E121" s="114" t="s">
        <v>15</v>
      </c>
      <c r="F121" s="115" t="s">
        <v>42</v>
      </c>
      <c r="G121" s="116">
        <v>19.8</v>
      </c>
      <c r="H121" s="125">
        <v>8.1</v>
      </c>
      <c r="I121" s="111">
        <v>15</v>
      </c>
      <c r="J121" s="117">
        <f t="shared" si="64"/>
        <v>2.4056999999999999</v>
      </c>
      <c r="K121" s="118"/>
      <c r="L121" s="111">
        <v>15</v>
      </c>
      <c r="M121" s="117">
        <f t="shared" si="65"/>
        <v>2.4057000000000004</v>
      </c>
      <c r="N121" s="119">
        <f t="shared" si="66"/>
        <v>0</v>
      </c>
      <c r="O121" s="120">
        <f t="shared" si="67"/>
        <v>0</v>
      </c>
      <c r="P121" s="111"/>
      <c r="Q121" s="32"/>
    </row>
    <row r="122" spans="1:17" ht="15.6">
      <c r="A122" s="110" t="s">
        <v>365</v>
      </c>
      <c r="B122" s="111" t="s">
        <v>232</v>
      </c>
      <c r="C122" s="112" t="s">
        <v>228</v>
      </c>
      <c r="D122" s="113" t="s">
        <v>382</v>
      </c>
      <c r="E122" s="114" t="s">
        <v>15</v>
      </c>
      <c r="F122" s="115" t="s">
        <v>42</v>
      </c>
      <c r="G122" s="116">
        <v>19.8</v>
      </c>
      <c r="H122" s="125">
        <v>8.1</v>
      </c>
      <c r="I122" s="111">
        <v>7</v>
      </c>
      <c r="J122" s="117">
        <f t="shared" si="64"/>
        <v>1.1226599999999998</v>
      </c>
      <c r="K122" s="118"/>
      <c r="L122" s="111">
        <v>7</v>
      </c>
      <c r="M122" s="117">
        <f t="shared" si="65"/>
        <v>1.1226599999999998</v>
      </c>
      <c r="N122" s="119">
        <f t="shared" si="66"/>
        <v>0</v>
      </c>
      <c r="O122" s="120">
        <f t="shared" si="67"/>
        <v>0</v>
      </c>
      <c r="P122" s="111"/>
      <c r="Q122" s="32"/>
    </row>
    <row r="123" spans="1:17" ht="15.6">
      <c r="A123" s="110" t="s">
        <v>365</v>
      </c>
      <c r="B123" s="111" t="s">
        <v>232</v>
      </c>
      <c r="C123" s="112" t="s">
        <v>228</v>
      </c>
      <c r="D123" s="113" t="s">
        <v>382</v>
      </c>
      <c r="E123" s="114" t="s">
        <v>15</v>
      </c>
      <c r="F123" s="115" t="s">
        <v>42</v>
      </c>
      <c r="G123" s="116">
        <v>19.8</v>
      </c>
      <c r="H123" s="125">
        <v>8.4</v>
      </c>
      <c r="I123" s="111">
        <v>3</v>
      </c>
      <c r="J123" s="117">
        <f t="shared" si="64"/>
        <v>0.49896000000000001</v>
      </c>
      <c r="K123" s="118"/>
      <c r="L123" s="111">
        <v>3</v>
      </c>
      <c r="M123" s="117">
        <f t="shared" si="65"/>
        <v>0.49896000000000007</v>
      </c>
      <c r="N123" s="119">
        <f t="shared" si="66"/>
        <v>0</v>
      </c>
      <c r="O123" s="120">
        <f t="shared" si="67"/>
        <v>0</v>
      </c>
      <c r="P123" s="111"/>
      <c r="Q123" s="32"/>
    </row>
    <row r="124" spans="1:17" ht="15.6">
      <c r="A124" s="110" t="s">
        <v>365</v>
      </c>
      <c r="B124" s="111" t="s">
        <v>232</v>
      </c>
      <c r="C124" s="112" t="s">
        <v>228</v>
      </c>
      <c r="D124" s="113" t="s">
        <v>382</v>
      </c>
      <c r="E124" s="114" t="s">
        <v>15</v>
      </c>
      <c r="F124" s="115" t="s">
        <v>42</v>
      </c>
      <c r="G124" s="116">
        <v>19.8</v>
      </c>
      <c r="H124" s="125">
        <v>8.5</v>
      </c>
      <c r="I124" s="111">
        <v>7</v>
      </c>
      <c r="J124" s="117">
        <f t="shared" si="64"/>
        <v>1.1781000000000001</v>
      </c>
      <c r="K124" s="118"/>
      <c r="L124" s="111">
        <v>7</v>
      </c>
      <c r="M124" s="117">
        <f t="shared" si="65"/>
        <v>1.1781000000000001</v>
      </c>
      <c r="N124" s="119">
        <f t="shared" si="66"/>
        <v>0</v>
      </c>
      <c r="O124" s="120">
        <f t="shared" si="67"/>
        <v>0</v>
      </c>
      <c r="P124" s="111"/>
      <c r="Q124" s="32"/>
    </row>
    <row r="125" spans="1:17" ht="15.6">
      <c r="A125" s="110" t="s">
        <v>365</v>
      </c>
      <c r="B125" s="111" t="s">
        <v>232</v>
      </c>
      <c r="C125" s="112" t="s">
        <v>228</v>
      </c>
      <c r="D125" s="113" t="s">
        <v>382</v>
      </c>
      <c r="E125" s="114" t="s">
        <v>15</v>
      </c>
      <c r="F125" s="115" t="s">
        <v>42</v>
      </c>
      <c r="G125" s="116">
        <v>19.8</v>
      </c>
      <c r="H125" s="125">
        <v>8.8000000000000007</v>
      </c>
      <c r="I125" s="111">
        <v>3</v>
      </c>
      <c r="J125" s="117">
        <f t="shared" si="64"/>
        <v>0.52272000000000007</v>
      </c>
      <c r="K125" s="118"/>
      <c r="L125" s="111">
        <v>3</v>
      </c>
      <c r="M125" s="117">
        <f t="shared" si="65"/>
        <v>0.52272000000000007</v>
      </c>
      <c r="N125" s="119">
        <f t="shared" si="66"/>
        <v>0</v>
      </c>
      <c r="O125" s="120">
        <f t="shared" si="67"/>
        <v>0</v>
      </c>
      <c r="P125" s="111"/>
      <c r="Q125" s="32"/>
    </row>
    <row r="126" spans="1:17" ht="15.6">
      <c r="A126" s="110" t="s">
        <v>365</v>
      </c>
      <c r="B126" s="111" t="s">
        <v>232</v>
      </c>
      <c r="C126" s="112" t="s">
        <v>228</v>
      </c>
      <c r="D126" s="113" t="s">
        <v>382</v>
      </c>
      <c r="E126" s="114" t="s">
        <v>15</v>
      </c>
      <c r="F126" s="115" t="s">
        <v>42</v>
      </c>
      <c r="G126" s="116">
        <v>19.8</v>
      </c>
      <c r="H126" s="125">
        <v>8.9</v>
      </c>
      <c r="I126" s="111">
        <v>1</v>
      </c>
      <c r="J126" s="117">
        <f t="shared" si="64"/>
        <v>0.17622000000000002</v>
      </c>
      <c r="K126" s="118"/>
      <c r="L126" s="111">
        <v>1</v>
      </c>
      <c r="M126" s="117">
        <f t="shared" si="65"/>
        <v>0.17622000000000002</v>
      </c>
      <c r="N126" s="119">
        <f t="shared" si="66"/>
        <v>0</v>
      </c>
      <c r="O126" s="120">
        <f t="shared" si="67"/>
        <v>0</v>
      </c>
      <c r="P126" s="111"/>
      <c r="Q126" s="32"/>
    </row>
    <row r="127" spans="1:17" ht="15.6">
      <c r="A127" s="110" t="s">
        <v>365</v>
      </c>
      <c r="B127" s="111" t="s">
        <v>232</v>
      </c>
      <c r="C127" s="112" t="s">
        <v>228</v>
      </c>
      <c r="D127" s="113" t="s">
        <v>382</v>
      </c>
      <c r="E127" s="114" t="s">
        <v>15</v>
      </c>
      <c r="F127" s="115" t="s">
        <v>42</v>
      </c>
      <c r="G127" s="116">
        <v>19.8</v>
      </c>
      <c r="H127" s="125">
        <v>9</v>
      </c>
      <c r="I127" s="111">
        <v>10</v>
      </c>
      <c r="J127" s="117">
        <f t="shared" si="64"/>
        <v>1.7820000000000003</v>
      </c>
      <c r="K127" s="118"/>
      <c r="L127" s="111">
        <v>10</v>
      </c>
      <c r="M127" s="117">
        <f t="shared" si="65"/>
        <v>1.782</v>
      </c>
      <c r="N127" s="119">
        <f t="shared" si="66"/>
        <v>0</v>
      </c>
      <c r="O127" s="120">
        <f t="shared" si="67"/>
        <v>0</v>
      </c>
      <c r="P127" s="111"/>
      <c r="Q127" s="32"/>
    </row>
    <row r="128" spans="1:17" ht="15.6">
      <c r="A128" s="110" t="s">
        <v>365</v>
      </c>
      <c r="B128" s="111" t="s">
        <v>232</v>
      </c>
      <c r="C128" s="112" t="s">
        <v>228</v>
      </c>
      <c r="D128" s="113" t="s">
        <v>382</v>
      </c>
      <c r="E128" s="114" t="s">
        <v>15</v>
      </c>
      <c r="F128" s="115" t="s">
        <v>42</v>
      </c>
      <c r="G128" s="116">
        <v>19.8</v>
      </c>
      <c r="H128" s="125">
        <v>9.6</v>
      </c>
      <c r="I128" s="111">
        <v>15</v>
      </c>
      <c r="J128" s="117">
        <f t="shared" si="64"/>
        <v>2.8512000000000004</v>
      </c>
      <c r="K128" s="118"/>
      <c r="L128" s="111">
        <v>15</v>
      </c>
      <c r="M128" s="117">
        <f t="shared" si="65"/>
        <v>2.8512000000000004</v>
      </c>
      <c r="N128" s="119">
        <f t="shared" si="66"/>
        <v>0</v>
      </c>
      <c r="O128" s="120">
        <f t="shared" si="67"/>
        <v>0</v>
      </c>
      <c r="P128" s="111"/>
      <c r="Q128" s="32"/>
    </row>
    <row r="129" spans="1:18" ht="15.6">
      <c r="A129" s="110" t="s">
        <v>365</v>
      </c>
      <c r="B129" s="111" t="s">
        <v>232</v>
      </c>
      <c r="C129" s="112" t="s">
        <v>228</v>
      </c>
      <c r="D129" s="113" t="s">
        <v>382</v>
      </c>
      <c r="E129" s="114" t="s">
        <v>15</v>
      </c>
      <c r="F129" s="115" t="s">
        <v>42</v>
      </c>
      <c r="G129" s="116">
        <v>19.8</v>
      </c>
      <c r="H129" s="340">
        <v>9.6</v>
      </c>
      <c r="I129" s="111">
        <v>12</v>
      </c>
      <c r="J129" s="117">
        <f t="shared" si="64"/>
        <v>2.2809599999999999</v>
      </c>
      <c r="K129" s="118"/>
      <c r="L129" s="111">
        <f>8+4</f>
        <v>12</v>
      </c>
      <c r="M129" s="117">
        <f t="shared" si="65"/>
        <v>2.2809599999999999</v>
      </c>
      <c r="N129" s="119">
        <f t="shared" si="66"/>
        <v>0</v>
      </c>
      <c r="O129" s="120">
        <f t="shared" si="67"/>
        <v>0</v>
      </c>
      <c r="P129" s="111">
        <v>8.5</v>
      </c>
      <c r="Q129" s="32">
        <v>4</v>
      </c>
      <c r="R129" s="213">
        <v>9.5</v>
      </c>
    </row>
    <row r="130" spans="1:18" ht="15.6">
      <c r="A130" s="110" t="s">
        <v>365</v>
      </c>
      <c r="B130" s="111" t="s">
        <v>232</v>
      </c>
      <c r="C130" s="112" t="s">
        <v>228</v>
      </c>
      <c r="D130" s="113" t="s">
        <v>382</v>
      </c>
      <c r="E130" s="114" t="s">
        <v>15</v>
      </c>
      <c r="F130" s="115" t="s">
        <v>42</v>
      </c>
      <c r="G130" s="116">
        <v>19.8</v>
      </c>
      <c r="H130" s="125">
        <v>11.7</v>
      </c>
      <c r="I130" s="111">
        <v>10</v>
      </c>
      <c r="J130" s="117">
        <f>H130*G130*I130/1000</f>
        <v>2.3165999999999998</v>
      </c>
      <c r="K130" s="118"/>
      <c r="L130" s="111">
        <v>10</v>
      </c>
      <c r="M130" s="117">
        <f>H130*L130*G130/1000</f>
        <v>2.3165999999999998</v>
      </c>
      <c r="N130" s="119">
        <f t="shared" si="66"/>
        <v>0</v>
      </c>
      <c r="O130" s="120">
        <f>H130*N130*G130/1000</f>
        <v>0</v>
      </c>
      <c r="P130" s="111"/>
      <c r="Q130" s="32"/>
    </row>
    <row r="131" spans="1:18">
      <c r="A131" s="32"/>
      <c r="B131" s="32"/>
      <c r="C131" s="32"/>
      <c r="D131" s="32"/>
      <c r="E131" s="32"/>
      <c r="F131" s="32"/>
      <c r="G131" s="32"/>
      <c r="H131" s="32"/>
      <c r="I131" s="129">
        <f>SUM(I94:I130)</f>
        <v>308</v>
      </c>
      <c r="J131" s="124">
        <f>SUM(J94:J130)</f>
        <v>52.927380000000007</v>
      </c>
      <c r="K131" s="32"/>
      <c r="L131" s="129">
        <f>SUM(L94:L130)</f>
        <v>301</v>
      </c>
      <c r="M131" s="124">
        <f>SUM(M94:M130)</f>
        <v>51.509700000000002</v>
      </c>
      <c r="N131" s="131">
        <f>SUM(N94:N130)</f>
        <v>7</v>
      </c>
      <c r="O131" s="132">
        <f>SUM(O94:O130)</f>
        <v>1.4176800000000001</v>
      </c>
      <c r="P131" s="32"/>
      <c r="Q131" s="129">
        <f>SUM(Q94:Q130)</f>
        <v>16</v>
      </c>
    </row>
    <row r="133" spans="1:18" ht="15.6">
      <c r="A133" s="110" t="s">
        <v>365</v>
      </c>
      <c r="B133" s="111" t="s">
        <v>232</v>
      </c>
      <c r="C133" s="112" t="s">
        <v>228</v>
      </c>
      <c r="D133" s="113" t="s">
        <v>382</v>
      </c>
      <c r="E133" s="114" t="s">
        <v>15</v>
      </c>
      <c r="F133" s="115" t="s">
        <v>49</v>
      </c>
      <c r="G133" s="116">
        <v>17.899999999999999</v>
      </c>
      <c r="H133" s="125">
        <v>9.1</v>
      </c>
      <c r="I133" s="111">
        <v>19</v>
      </c>
      <c r="J133" s="117">
        <f t="shared" ref="J133" si="68">H133*G133*I133/1000</f>
        <v>3.09491</v>
      </c>
      <c r="K133" s="118"/>
      <c r="L133" s="111">
        <v>19</v>
      </c>
      <c r="M133" s="117">
        <f t="shared" ref="M133" si="69">H133*L133*G133/1000</f>
        <v>3.09491</v>
      </c>
      <c r="N133" s="119">
        <f t="shared" ref="N133" si="70">I133-L133</f>
        <v>0</v>
      </c>
      <c r="O133" s="120">
        <f t="shared" ref="O133" si="71">H133*N133*G133/1000</f>
        <v>0</v>
      </c>
      <c r="P133" s="111"/>
      <c r="Q133" s="32"/>
    </row>
    <row r="134" spans="1:18" ht="15.6">
      <c r="A134" s="110" t="s">
        <v>365</v>
      </c>
      <c r="B134" s="111" t="s">
        <v>232</v>
      </c>
      <c r="C134" s="112" t="s">
        <v>228</v>
      </c>
      <c r="D134" s="113" t="s">
        <v>382</v>
      </c>
      <c r="E134" s="114" t="s">
        <v>15</v>
      </c>
      <c r="F134" s="115" t="s">
        <v>49</v>
      </c>
      <c r="G134" s="116">
        <v>17.899999999999999</v>
      </c>
      <c r="H134" s="125">
        <v>9.6999999999999993</v>
      </c>
      <c r="I134" s="111">
        <v>18</v>
      </c>
      <c r="J134" s="117">
        <f t="shared" ref="J134:J150" si="72">H134*G134*I134/1000</f>
        <v>3.1253399999999991</v>
      </c>
      <c r="K134" s="118"/>
      <c r="L134" s="111">
        <v>18</v>
      </c>
      <c r="M134" s="117">
        <f t="shared" ref="M134:M150" si="73">H134*L134*G134/1000</f>
        <v>3.1253399999999996</v>
      </c>
      <c r="N134" s="119">
        <f t="shared" ref="N134:N150" si="74">I134-L134</f>
        <v>0</v>
      </c>
      <c r="O134" s="120">
        <f t="shared" ref="O134:O150" si="75">H134*N134*G134/1000</f>
        <v>0</v>
      </c>
      <c r="P134" s="111"/>
      <c r="Q134" s="32"/>
    </row>
    <row r="135" spans="1:18" ht="15.6">
      <c r="A135" s="110" t="s">
        <v>365</v>
      </c>
      <c r="B135" s="111" t="s">
        <v>232</v>
      </c>
      <c r="C135" s="112" t="s">
        <v>228</v>
      </c>
      <c r="D135" s="113" t="s">
        <v>382</v>
      </c>
      <c r="E135" s="114" t="s">
        <v>15</v>
      </c>
      <c r="F135" s="115" t="s">
        <v>49</v>
      </c>
      <c r="G135" s="116">
        <v>17.899999999999999</v>
      </c>
      <c r="H135" s="125">
        <v>11.7</v>
      </c>
      <c r="I135" s="111">
        <v>15</v>
      </c>
      <c r="J135" s="117">
        <f t="shared" si="72"/>
        <v>3.1414499999999999</v>
      </c>
      <c r="K135" s="118"/>
      <c r="L135" s="111">
        <v>15</v>
      </c>
      <c r="M135" s="117">
        <f t="shared" si="73"/>
        <v>3.1414499999999999</v>
      </c>
      <c r="N135" s="119">
        <f t="shared" si="74"/>
        <v>0</v>
      </c>
      <c r="O135" s="120">
        <f t="shared" si="75"/>
        <v>0</v>
      </c>
      <c r="P135" s="111"/>
      <c r="Q135" s="32"/>
    </row>
    <row r="136" spans="1:18" ht="15.6">
      <c r="A136" s="110" t="s">
        <v>365</v>
      </c>
      <c r="B136" s="111" t="s">
        <v>232</v>
      </c>
      <c r="C136" s="112" t="s">
        <v>228</v>
      </c>
      <c r="D136" s="113" t="s">
        <v>382</v>
      </c>
      <c r="E136" s="114" t="s">
        <v>15</v>
      </c>
      <c r="F136" s="115" t="s">
        <v>49</v>
      </c>
      <c r="G136" s="116">
        <v>17.899999999999999</v>
      </c>
      <c r="H136" s="125">
        <v>9.6999999999999993</v>
      </c>
      <c r="I136" s="111">
        <v>18</v>
      </c>
      <c r="J136" s="117">
        <f t="shared" si="72"/>
        <v>3.1253399999999991</v>
      </c>
      <c r="K136" s="118"/>
      <c r="L136" s="111">
        <v>18</v>
      </c>
      <c r="M136" s="117">
        <f t="shared" si="73"/>
        <v>3.1253399999999996</v>
      </c>
      <c r="N136" s="119">
        <f t="shared" si="74"/>
        <v>0</v>
      </c>
      <c r="O136" s="120">
        <f t="shared" si="75"/>
        <v>0</v>
      </c>
      <c r="P136" s="111"/>
      <c r="Q136" s="32"/>
    </row>
    <row r="137" spans="1:18" ht="15.6">
      <c r="A137" s="110" t="s">
        <v>365</v>
      </c>
      <c r="B137" s="111" t="s">
        <v>232</v>
      </c>
      <c r="C137" s="112" t="s">
        <v>228</v>
      </c>
      <c r="D137" s="113" t="s">
        <v>382</v>
      </c>
      <c r="E137" s="114" t="s">
        <v>15</v>
      </c>
      <c r="F137" s="115" t="s">
        <v>49</v>
      </c>
      <c r="G137" s="116">
        <v>17.899999999999999</v>
      </c>
      <c r="H137" s="125">
        <v>9.3000000000000007</v>
      </c>
      <c r="I137" s="111">
        <v>18</v>
      </c>
      <c r="J137" s="117">
        <f t="shared" si="72"/>
        <v>2.9964599999999999</v>
      </c>
      <c r="K137" s="118"/>
      <c r="L137" s="111">
        <v>18</v>
      </c>
      <c r="M137" s="117">
        <f t="shared" si="73"/>
        <v>2.9964599999999999</v>
      </c>
      <c r="N137" s="119">
        <f t="shared" si="74"/>
        <v>0</v>
      </c>
      <c r="O137" s="120">
        <f t="shared" si="75"/>
        <v>0</v>
      </c>
      <c r="P137" s="111"/>
      <c r="Q137" s="32"/>
    </row>
    <row r="138" spans="1:18" ht="15.6">
      <c r="A138" s="110" t="s">
        <v>365</v>
      </c>
      <c r="B138" s="111" t="s">
        <v>232</v>
      </c>
      <c r="C138" s="112" t="s">
        <v>228</v>
      </c>
      <c r="D138" s="113" t="s">
        <v>382</v>
      </c>
      <c r="E138" s="114" t="s">
        <v>15</v>
      </c>
      <c r="F138" s="115" t="s">
        <v>49</v>
      </c>
      <c r="G138" s="116">
        <v>17.899999999999999</v>
      </c>
      <c r="H138" s="125">
        <v>7.7</v>
      </c>
      <c r="I138" s="111">
        <v>1</v>
      </c>
      <c r="J138" s="117">
        <f t="shared" si="72"/>
        <v>0.13782999999999998</v>
      </c>
      <c r="K138" s="118"/>
      <c r="L138" s="111">
        <v>1</v>
      </c>
      <c r="M138" s="117">
        <f t="shared" si="73"/>
        <v>0.13782999999999998</v>
      </c>
      <c r="N138" s="119">
        <f t="shared" si="74"/>
        <v>0</v>
      </c>
      <c r="O138" s="120">
        <f t="shared" si="75"/>
        <v>0</v>
      </c>
      <c r="P138" s="111"/>
      <c r="Q138" s="32"/>
    </row>
    <row r="139" spans="1:18" ht="15.6">
      <c r="A139" s="110" t="s">
        <v>365</v>
      </c>
      <c r="B139" s="111" t="s">
        <v>232</v>
      </c>
      <c r="C139" s="112" t="s">
        <v>228</v>
      </c>
      <c r="D139" s="113" t="s">
        <v>382</v>
      </c>
      <c r="E139" s="114" t="s">
        <v>15</v>
      </c>
      <c r="F139" s="115" t="s">
        <v>49</v>
      </c>
      <c r="G139" s="116">
        <v>17.899999999999999</v>
      </c>
      <c r="H139" s="125">
        <v>9.1</v>
      </c>
      <c r="I139" s="111">
        <v>16</v>
      </c>
      <c r="J139" s="117">
        <f t="shared" si="72"/>
        <v>2.6062399999999997</v>
      </c>
      <c r="K139" s="118"/>
      <c r="L139" s="111">
        <v>16</v>
      </c>
      <c r="M139" s="117">
        <f t="shared" si="73"/>
        <v>2.6062399999999997</v>
      </c>
      <c r="N139" s="119">
        <f t="shared" si="74"/>
        <v>0</v>
      </c>
      <c r="O139" s="120">
        <f t="shared" si="75"/>
        <v>0</v>
      </c>
      <c r="P139" s="111"/>
      <c r="Q139" s="32"/>
    </row>
    <row r="140" spans="1:18" ht="15.6">
      <c r="A140" s="110" t="s">
        <v>365</v>
      </c>
      <c r="B140" s="111" t="s">
        <v>232</v>
      </c>
      <c r="C140" s="112" t="s">
        <v>228</v>
      </c>
      <c r="D140" s="113" t="s">
        <v>382</v>
      </c>
      <c r="E140" s="114" t="s">
        <v>15</v>
      </c>
      <c r="F140" s="115" t="s">
        <v>49</v>
      </c>
      <c r="G140" s="116">
        <v>17.899999999999999</v>
      </c>
      <c r="H140" s="125">
        <v>7.25</v>
      </c>
      <c r="I140" s="111">
        <v>1</v>
      </c>
      <c r="J140" s="117">
        <f t="shared" si="72"/>
        <v>0.12977499999999997</v>
      </c>
      <c r="K140" s="118"/>
      <c r="L140" s="111">
        <v>1</v>
      </c>
      <c r="M140" s="117">
        <f t="shared" si="73"/>
        <v>0.12977499999999997</v>
      </c>
      <c r="N140" s="119">
        <f t="shared" si="74"/>
        <v>0</v>
      </c>
      <c r="O140" s="120">
        <f t="shared" si="75"/>
        <v>0</v>
      </c>
      <c r="P140" s="449">
        <v>7.1</v>
      </c>
      <c r="Q140" s="448">
        <v>1</v>
      </c>
      <c r="R140" s="213" t="s">
        <v>604</v>
      </c>
    </row>
    <row r="141" spans="1:18" ht="15.6">
      <c r="A141" s="110" t="s">
        <v>365</v>
      </c>
      <c r="B141" s="111" t="s">
        <v>232</v>
      </c>
      <c r="C141" s="112" t="s">
        <v>228</v>
      </c>
      <c r="D141" s="113" t="s">
        <v>382</v>
      </c>
      <c r="E141" s="114" t="s">
        <v>15</v>
      </c>
      <c r="F141" s="115" t="s">
        <v>49</v>
      </c>
      <c r="G141" s="116">
        <v>17.899999999999999</v>
      </c>
      <c r="H141" s="125">
        <v>10.7</v>
      </c>
      <c r="I141" s="111">
        <v>1</v>
      </c>
      <c r="J141" s="117">
        <f t="shared" si="72"/>
        <v>0.19152999999999998</v>
      </c>
      <c r="K141" s="118"/>
      <c r="L141" s="111">
        <v>1</v>
      </c>
      <c r="M141" s="117">
        <f t="shared" si="73"/>
        <v>0.19152999999999998</v>
      </c>
      <c r="N141" s="119">
        <f t="shared" si="74"/>
        <v>0</v>
      </c>
      <c r="O141" s="120">
        <f t="shared" si="75"/>
        <v>0</v>
      </c>
      <c r="P141" s="449">
        <v>7.1</v>
      </c>
      <c r="Q141" s="448">
        <v>1</v>
      </c>
      <c r="R141" s="213" t="s">
        <v>604</v>
      </c>
    </row>
    <row r="142" spans="1:18" ht="15.6">
      <c r="A142" s="110" t="s">
        <v>365</v>
      </c>
      <c r="B142" s="111" t="s">
        <v>232</v>
      </c>
      <c r="C142" s="112" t="s">
        <v>228</v>
      </c>
      <c r="D142" s="113" t="s">
        <v>382</v>
      </c>
      <c r="E142" s="114" t="s">
        <v>15</v>
      </c>
      <c r="F142" s="115" t="s">
        <v>49</v>
      </c>
      <c r="G142" s="116">
        <v>17.899999999999999</v>
      </c>
      <c r="H142" s="125">
        <v>7.7</v>
      </c>
      <c r="I142" s="111">
        <v>2</v>
      </c>
      <c r="J142" s="117">
        <f t="shared" si="72"/>
        <v>0.27565999999999996</v>
      </c>
      <c r="K142" s="118"/>
      <c r="L142" s="111">
        <v>2</v>
      </c>
      <c r="M142" s="117">
        <f t="shared" si="73"/>
        <v>0.27565999999999996</v>
      </c>
      <c r="N142" s="119">
        <f t="shared" si="74"/>
        <v>0</v>
      </c>
      <c r="O142" s="120">
        <f t="shared" si="75"/>
        <v>0</v>
      </c>
      <c r="P142" s="159"/>
      <c r="Q142" s="32"/>
    </row>
    <row r="143" spans="1:18" ht="15.6">
      <c r="A143" s="110" t="s">
        <v>365</v>
      </c>
      <c r="B143" s="111" t="s">
        <v>232</v>
      </c>
      <c r="C143" s="112" t="s">
        <v>228</v>
      </c>
      <c r="D143" s="113" t="s">
        <v>382</v>
      </c>
      <c r="E143" s="114" t="s">
        <v>15</v>
      </c>
      <c r="F143" s="115" t="s">
        <v>49</v>
      </c>
      <c r="G143" s="116">
        <v>17.899999999999999</v>
      </c>
      <c r="H143" s="125">
        <v>9.1</v>
      </c>
      <c r="I143" s="111">
        <v>18</v>
      </c>
      <c r="J143" s="117">
        <f t="shared" si="72"/>
        <v>2.9320199999999996</v>
      </c>
      <c r="K143" s="118"/>
      <c r="L143" s="111">
        <v>18</v>
      </c>
      <c r="M143" s="117">
        <f t="shared" si="73"/>
        <v>2.9320199999999996</v>
      </c>
      <c r="N143" s="119">
        <f t="shared" si="74"/>
        <v>0</v>
      </c>
      <c r="O143" s="120">
        <f t="shared" si="75"/>
        <v>0</v>
      </c>
      <c r="P143" s="159"/>
      <c r="Q143" s="32"/>
    </row>
    <row r="144" spans="1:18" ht="15.6">
      <c r="A144" s="110" t="s">
        <v>365</v>
      </c>
      <c r="B144" s="111" t="s">
        <v>232</v>
      </c>
      <c r="C144" s="112" t="s">
        <v>228</v>
      </c>
      <c r="D144" s="113" t="s">
        <v>382</v>
      </c>
      <c r="E144" s="114" t="s">
        <v>15</v>
      </c>
      <c r="F144" s="115" t="s">
        <v>49</v>
      </c>
      <c r="G144" s="116">
        <v>17.899999999999999</v>
      </c>
      <c r="H144" s="125">
        <v>9.3000000000000007</v>
      </c>
      <c r="I144" s="111">
        <v>5</v>
      </c>
      <c r="J144" s="117">
        <f t="shared" si="72"/>
        <v>0.83235000000000003</v>
      </c>
      <c r="K144" s="118"/>
      <c r="L144" s="111">
        <v>5</v>
      </c>
      <c r="M144" s="117">
        <f t="shared" si="73"/>
        <v>0.83234999999999992</v>
      </c>
      <c r="N144" s="119">
        <f t="shared" si="74"/>
        <v>0</v>
      </c>
      <c r="O144" s="120">
        <f t="shared" si="75"/>
        <v>0</v>
      </c>
      <c r="P144" s="159"/>
      <c r="Q144" s="32"/>
    </row>
    <row r="145" spans="1:20" ht="15.6">
      <c r="A145" s="110" t="s">
        <v>365</v>
      </c>
      <c r="B145" s="111" t="s">
        <v>232</v>
      </c>
      <c r="C145" s="112" t="s">
        <v>228</v>
      </c>
      <c r="D145" s="113" t="s">
        <v>382</v>
      </c>
      <c r="E145" s="114" t="s">
        <v>15</v>
      </c>
      <c r="F145" s="115" t="s">
        <v>49</v>
      </c>
      <c r="G145" s="116">
        <v>17.899999999999999</v>
      </c>
      <c r="H145" s="125">
        <v>9.6999999999999993</v>
      </c>
      <c r="I145" s="111">
        <v>4</v>
      </c>
      <c r="J145" s="117">
        <f t="shared" si="72"/>
        <v>0.69451999999999992</v>
      </c>
      <c r="K145" s="118"/>
      <c r="L145" s="111">
        <f>3+1</f>
        <v>4</v>
      </c>
      <c r="M145" s="117">
        <f t="shared" si="73"/>
        <v>0.69451999999999992</v>
      </c>
      <c r="N145" s="119">
        <f t="shared" si="74"/>
        <v>0</v>
      </c>
      <c r="O145" s="120">
        <f t="shared" si="75"/>
        <v>0</v>
      </c>
      <c r="P145" s="97">
        <v>7.1</v>
      </c>
      <c r="Q145" s="45">
        <v>1</v>
      </c>
      <c r="R145" s="213" t="s">
        <v>604</v>
      </c>
    </row>
    <row r="146" spans="1:20" ht="15.6">
      <c r="A146" s="110" t="s">
        <v>365</v>
      </c>
      <c r="B146" s="111" t="s">
        <v>232</v>
      </c>
      <c r="C146" s="112" t="s">
        <v>228</v>
      </c>
      <c r="D146" s="113" t="s">
        <v>382</v>
      </c>
      <c r="E146" s="114" t="s">
        <v>15</v>
      </c>
      <c r="F146" s="115" t="s">
        <v>49</v>
      </c>
      <c r="G146" s="116">
        <v>17.899999999999999</v>
      </c>
      <c r="H146" s="125">
        <v>11.7</v>
      </c>
      <c r="I146" s="111">
        <v>3</v>
      </c>
      <c r="J146" s="117">
        <f t="shared" si="72"/>
        <v>0.62829000000000002</v>
      </c>
      <c r="K146" s="118"/>
      <c r="L146" s="111">
        <v>3</v>
      </c>
      <c r="M146" s="117">
        <f t="shared" si="73"/>
        <v>0.6282899999999999</v>
      </c>
      <c r="N146" s="119">
        <f t="shared" si="74"/>
        <v>0</v>
      </c>
      <c r="O146" s="120">
        <f t="shared" si="75"/>
        <v>0</v>
      </c>
      <c r="P146" s="159"/>
      <c r="Q146" s="32"/>
    </row>
    <row r="147" spans="1:20" ht="15.6">
      <c r="A147" s="110" t="s">
        <v>365</v>
      </c>
      <c r="B147" s="111" t="s">
        <v>232</v>
      </c>
      <c r="C147" s="112" t="s">
        <v>228</v>
      </c>
      <c r="D147" s="113" t="s">
        <v>382</v>
      </c>
      <c r="E147" s="114" t="s">
        <v>15</v>
      </c>
      <c r="F147" s="115" t="s">
        <v>49</v>
      </c>
      <c r="G147" s="116">
        <v>17.899999999999999</v>
      </c>
      <c r="H147" s="125">
        <v>11.5</v>
      </c>
      <c r="I147" s="111">
        <v>1</v>
      </c>
      <c r="J147" s="117">
        <f t="shared" si="72"/>
        <v>0.20585000000000001</v>
      </c>
      <c r="K147" s="118"/>
      <c r="L147" s="111">
        <v>1</v>
      </c>
      <c r="M147" s="117">
        <f t="shared" si="73"/>
        <v>0.20585000000000001</v>
      </c>
      <c r="N147" s="119">
        <f t="shared" si="74"/>
        <v>0</v>
      </c>
      <c r="O147" s="120">
        <f t="shared" si="75"/>
        <v>0</v>
      </c>
      <c r="P147" s="97">
        <v>7.1</v>
      </c>
      <c r="Q147" s="32">
        <v>1</v>
      </c>
      <c r="R147" s="213" t="s">
        <v>604</v>
      </c>
    </row>
    <row r="148" spans="1:20" ht="15.6">
      <c r="A148" s="110" t="s">
        <v>365</v>
      </c>
      <c r="B148" s="111" t="s">
        <v>232</v>
      </c>
      <c r="C148" s="112" t="s">
        <v>228</v>
      </c>
      <c r="D148" s="113" t="s">
        <v>382</v>
      </c>
      <c r="E148" s="114" t="s">
        <v>15</v>
      </c>
      <c r="F148" s="115" t="s">
        <v>49</v>
      </c>
      <c r="G148" s="116">
        <v>17.899999999999999</v>
      </c>
      <c r="H148" s="125">
        <v>11.1</v>
      </c>
      <c r="I148" s="111">
        <v>1</v>
      </c>
      <c r="J148" s="117">
        <f t="shared" si="72"/>
        <v>0.19868999999999998</v>
      </c>
      <c r="K148" s="118"/>
      <c r="L148" s="111">
        <v>1</v>
      </c>
      <c r="M148" s="117">
        <f t="shared" si="73"/>
        <v>0.19868999999999998</v>
      </c>
      <c r="N148" s="119">
        <f t="shared" si="74"/>
        <v>0</v>
      </c>
      <c r="O148" s="120">
        <f t="shared" si="75"/>
        <v>0</v>
      </c>
      <c r="P148" s="97">
        <v>7.1</v>
      </c>
      <c r="Q148" s="32">
        <v>1</v>
      </c>
      <c r="R148" s="213" t="s">
        <v>604</v>
      </c>
    </row>
    <row r="149" spans="1:20" ht="15.6">
      <c r="A149" s="110" t="s">
        <v>365</v>
      </c>
      <c r="B149" s="111" t="s">
        <v>232</v>
      </c>
      <c r="C149" s="112" t="s">
        <v>228</v>
      </c>
      <c r="D149" s="113" t="s">
        <v>382</v>
      </c>
      <c r="E149" s="114" t="s">
        <v>15</v>
      </c>
      <c r="F149" s="115" t="s">
        <v>49</v>
      </c>
      <c r="G149" s="116">
        <v>17.899999999999999</v>
      </c>
      <c r="H149" s="125">
        <v>8.9</v>
      </c>
      <c r="I149" s="111">
        <v>1</v>
      </c>
      <c r="J149" s="117">
        <f t="shared" si="72"/>
        <v>0.15931000000000001</v>
      </c>
      <c r="K149" s="118"/>
      <c r="L149" s="111">
        <v>1</v>
      </c>
      <c r="M149" s="117">
        <f t="shared" si="73"/>
        <v>0.15931000000000001</v>
      </c>
      <c r="N149" s="119">
        <f t="shared" si="74"/>
        <v>0</v>
      </c>
      <c r="O149" s="120">
        <f t="shared" si="75"/>
        <v>0</v>
      </c>
      <c r="P149" s="97">
        <v>7.1</v>
      </c>
      <c r="Q149" s="32">
        <v>1</v>
      </c>
      <c r="R149" s="213" t="s">
        <v>604</v>
      </c>
    </row>
    <row r="150" spans="1:20" ht="15.6">
      <c r="A150" s="110" t="s">
        <v>365</v>
      </c>
      <c r="B150" s="111" t="s">
        <v>232</v>
      </c>
      <c r="C150" s="112" t="s">
        <v>228</v>
      </c>
      <c r="D150" s="113" t="s">
        <v>382</v>
      </c>
      <c r="E150" s="114" t="s">
        <v>15</v>
      </c>
      <c r="F150" s="115" t="s">
        <v>49</v>
      </c>
      <c r="G150" s="116">
        <v>17.899999999999999</v>
      </c>
      <c r="H150" s="125">
        <v>7</v>
      </c>
      <c r="I150" s="111">
        <v>1</v>
      </c>
      <c r="J150" s="117">
        <f t="shared" si="72"/>
        <v>0.12529999999999999</v>
      </c>
      <c r="K150" s="118"/>
      <c r="L150" s="111">
        <v>1</v>
      </c>
      <c r="M150" s="117">
        <f t="shared" si="73"/>
        <v>0.12529999999999999</v>
      </c>
      <c r="N150" s="119">
        <f t="shared" si="74"/>
        <v>0</v>
      </c>
      <c r="O150" s="120">
        <f t="shared" si="75"/>
        <v>0</v>
      </c>
      <c r="P150" s="97">
        <v>7.1</v>
      </c>
      <c r="Q150" s="32">
        <v>1</v>
      </c>
      <c r="R150" s="213" t="s">
        <v>604</v>
      </c>
    </row>
    <row r="151" spans="1:20" ht="15.6">
      <c r="A151" s="110" t="s">
        <v>365</v>
      </c>
      <c r="B151" s="111" t="s">
        <v>232</v>
      </c>
      <c r="C151" s="112" t="s">
        <v>228</v>
      </c>
      <c r="D151" s="113" t="s">
        <v>382</v>
      </c>
      <c r="E151" s="114" t="s">
        <v>15</v>
      </c>
      <c r="F151" s="115" t="s">
        <v>49</v>
      </c>
      <c r="G151" s="116">
        <v>17.899999999999999</v>
      </c>
      <c r="H151" s="125">
        <v>9.1</v>
      </c>
      <c r="I151" s="111">
        <v>9</v>
      </c>
      <c r="J151" s="117">
        <f t="shared" ref="J151" si="76">H151*G151*I151/1000</f>
        <v>1.4660099999999998</v>
      </c>
      <c r="K151" s="118"/>
      <c r="L151" s="111">
        <v>9</v>
      </c>
      <c r="M151" s="117">
        <f t="shared" ref="M151" si="77">H151*L151*G151/1000</f>
        <v>1.4660099999999998</v>
      </c>
      <c r="N151" s="119">
        <f t="shared" ref="N151" si="78">I151-L151</f>
        <v>0</v>
      </c>
      <c r="O151" s="120">
        <f t="shared" ref="O151" si="79">H151*N151*G151/1000</f>
        <v>0</v>
      </c>
      <c r="P151" s="159"/>
      <c r="Q151" s="32"/>
    </row>
    <row r="152" spans="1:20" ht="15.6">
      <c r="A152" s="110" t="s">
        <v>365</v>
      </c>
      <c r="B152" s="111" t="s">
        <v>232</v>
      </c>
      <c r="C152" s="112" t="s">
        <v>228</v>
      </c>
      <c r="D152" s="113" t="s">
        <v>382</v>
      </c>
      <c r="E152" s="114" t="s">
        <v>15</v>
      </c>
      <c r="F152" s="115" t="s">
        <v>49</v>
      </c>
      <c r="G152" s="116">
        <v>17.899999999999999</v>
      </c>
      <c r="H152" s="125">
        <v>9.1</v>
      </c>
      <c r="I152" s="111">
        <v>17</v>
      </c>
      <c r="J152" s="117">
        <f t="shared" ref="J152" si="80">H152*G152*I152/1000</f>
        <v>2.7691299999999996</v>
      </c>
      <c r="K152" s="118"/>
      <c r="L152" s="111">
        <v>17</v>
      </c>
      <c r="M152" s="117">
        <f t="shared" ref="M152:M155" si="81">H152*L152*G152/1000</f>
        <v>2.7691299999999996</v>
      </c>
      <c r="N152" s="119">
        <f t="shared" ref="N152:N155" si="82">I152-L152</f>
        <v>0</v>
      </c>
      <c r="O152" s="120">
        <f t="shared" ref="O152:O155" si="83">H152*N152*G152/1000</f>
        <v>0</v>
      </c>
      <c r="P152" s="159"/>
      <c r="Q152" s="32"/>
    </row>
    <row r="153" spans="1:20" ht="15.6">
      <c r="A153" s="110" t="s">
        <v>365</v>
      </c>
      <c r="B153" s="111" t="s">
        <v>232</v>
      </c>
      <c r="C153" s="112" t="s">
        <v>228</v>
      </c>
      <c r="D153" s="113" t="s">
        <v>382</v>
      </c>
      <c r="E153" s="114" t="s">
        <v>15</v>
      </c>
      <c r="F153" s="115" t="s">
        <v>49</v>
      </c>
      <c r="G153" s="116">
        <v>17.899999999999999</v>
      </c>
      <c r="H153" s="125">
        <v>9.3000000000000007</v>
      </c>
      <c r="I153" s="111">
        <v>13</v>
      </c>
      <c r="J153" s="117">
        <f>H153*G153*I153/1000</f>
        <v>2.16411</v>
      </c>
      <c r="K153" s="118"/>
      <c r="L153" s="111">
        <v>13</v>
      </c>
      <c r="M153" s="117">
        <f t="shared" si="81"/>
        <v>2.16411</v>
      </c>
      <c r="N153" s="119">
        <f t="shared" si="82"/>
        <v>0</v>
      </c>
      <c r="O153" s="120">
        <f t="shared" si="83"/>
        <v>0</v>
      </c>
      <c r="P153" s="159"/>
      <c r="Q153" s="32"/>
    </row>
    <row r="154" spans="1:20" ht="15.6">
      <c r="A154" s="110" t="s">
        <v>365</v>
      </c>
      <c r="B154" s="111" t="s">
        <v>232</v>
      </c>
      <c r="C154" s="112" t="s">
        <v>228</v>
      </c>
      <c r="D154" s="113" t="s">
        <v>382</v>
      </c>
      <c r="E154" s="114" t="s">
        <v>15</v>
      </c>
      <c r="F154" s="115" t="s">
        <v>49</v>
      </c>
      <c r="G154" s="116">
        <v>17.899999999999999</v>
      </c>
      <c r="H154" s="125">
        <v>9.6999999999999993</v>
      </c>
      <c r="I154" s="111">
        <v>19</v>
      </c>
      <c r="J154" s="117">
        <f>H154*G154*I154/1000</f>
        <v>3.2989699999999993</v>
      </c>
      <c r="K154" s="118"/>
      <c r="L154" s="111">
        <f>16+2+1</f>
        <v>19</v>
      </c>
      <c r="M154" s="117">
        <f t="shared" si="81"/>
        <v>3.2989699999999993</v>
      </c>
      <c r="N154" s="119">
        <f t="shared" si="82"/>
        <v>0</v>
      </c>
      <c r="O154" s="120">
        <f t="shared" si="83"/>
        <v>0</v>
      </c>
      <c r="P154" s="97">
        <v>7.1</v>
      </c>
      <c r="Q154" s="32">
        <v>1</v>
      </c>
      <c r="R154" s="213" t="s">
        <v>604</v>
      </c>
      <c r="S154" s="159">
        <v>9.1</v>
      </c>
      <c r="T154" s="32">
        <v>2</v>
      </c>
    </row>
    <row r="155" spans="1:20" ht="15.6">
      <c r="A155" s="110" t="s">
        <v>365</v>
      </c>
      <c r="B155" s="111" t="s">
        <v>232</v>
      </c>
      <c r="C155" s="112" t="s">
        <v>228</v>
      </c>
      <c r="D155" s="113" t="s">
        <v>382</v>
      </c>
      <c r="E155" s="114" t="s">
        <v>15</v>
      </c>
      <c r="F155" s="115" t="s">
        <v>49</v>
      </c>
      <c r="G155" s="116">
        <v>17.899999999999999</v>
      </c>
      <c r="H155" s="125">
        <v>11.7</v>
      </c>
      <c r="I155" s="111">
        <v>5</v>
      </c>
      <c r="J155" s="117">
        <f>H155*G155*I155/1000</f>
        <v>1.0471499999999998</v>
      </c>
      <c r="K155" s="118"/>
      <c r="L155" s="111">
        <v>5</v>
      </c>
      <c r="M155" s="117">
        <f t="shared" si="81"/>
        <v>1.0471499999999998</v>
      </c>
      <c r="N155" s="119">
        <f t="shared" si="82"/>
        <v>0</v>
      </c>
      <c r="O155" s="120">
        <f t="shared" si="83"/>
        <v>0</v>
      </c>
      <c r="P155" s="111"/>
      <c r="Q155" s="32"/>
    </row>
    <row r="156" spans="1:20">
      <c r="I156" s="215">
        <f>SUM(I133:I155)</f>
        <v>206</v>
      </c>
      <c r="J156" s="214">
        <f>SUM(J133:J155)</f>
        <v>35.346235000000007</v>
      </c>
      <c r="L156" s="215">
        <f>SUM(L133:L155)</f>
        <v>206</v>
      </c>
      <c r="M156" s="214">
        <f>SUM(M133:M155)</f>
        <v>35.346235</v>
      </c>
      <c r="N156" s="215">
        <f>SUM(N133:N155)</f>
        <v>0</v>
      </c>
      <c r="O156" s="214">
        <f>SUM(O133:O155)</f>
        <v>0</v>
      </c>
      <c r="Q156" s="215">
        <f>SUM(Q133:Q155)</f>
        <v>8</v>
      </c>
    </row>
    <row r="158" spans="1:20" ht="15.6">
      <c r="A158" s="110" t="s">
        <v>365</v>
      </c>
      <c r="B158" s="111" t="s">
        <v>232</v>
      </c>
      <c r="C158" s="112" t="s">
        <v>228</v>
      </c>
      <c r="D158" s="113" t="s">
        <v>130</v>
      </c>
      <c r="E158" s="114" t="s">
        <v>15</v>
      </c>
      <c r="F158" s="115" t="s">
        <v>49</v>
      </c>
      <c r="G158" s="116">
        <v>17.899999999999999</v>
      </c>
      <c r="H158" s="125">
        <v>9.6</v>
      </c>
      <c r="I158" s="111">
        <v>16</v>
      </c>
      <c r="J158" s="117">
        <f t="shared" ref="J158" si="84">H158*G158*I158/1000</f>
        <v>2.7494399999999994</v>
      </c>
      <c r="K158" s="118"/>
      <c r="L158" s="111">
        <v>16</v>
      </c>
      <c r="M158" s="117">
        <f t="shared" ref="M158" si="85">H158*L158*G158/1000</f>
        <v>2.7494399999999994</v>
      </c>
      <c r="N158" s="119">
        <f t="shared" ref="N158" si="86">I158-L158</f>
        <v>0</v>
      </c>
      <c r="O158" s="120">
        <f t="shared" ref="O158" si="87">H158*N158*G158/1000</f>
        <v>0</v>
      </c>
      <c r="P158" s="111"/>
      <c r="Q158" s="32"/>
    </row>
    <row r="159" spans="1:20" ht="15.6">
      <c r="A159" s="110" t="s">
        <v>365</v>
      </c>
      <c r="B159" s="111" t="s">
        <v>232</v>
      </c>
      <c r="C159" s="112" t="s">
        <v>228</v>
      </c>
      <c r="D159" s="113" t="s">
        <v>130</v>
      </c>
      <c r="E159" s="114" t="s">
        <v>15</v>
      </c>
      <c r="F159" s="115" t="s">
        <v>49</v>
      </c>
      <c r="G159" s="116">
        <v>17.899999999999999</v>
      </c>
      <c r="H159" s="125">
        <v>9.5</v>
      </c>
      <c r="I159" s="111">
        <v>10</v>
      </c>
      <c r="J159" s="117">
        <f t="shared" ref="J159:J170" si="88">H159*G159*I159/1000</f>
        <v>1.7004999999999997</v>
      </c>
      <c r="K159" s="118"/>
      <c r="L159" s="111">
        <v>10</v>
      </c>
      <c r="M159" s="117">
        <f t="shared" ref="M159:M170" si="89">H159*L159*G159/1000</f>
        <v>1.7004999999999997</v>
      </c>
      <c r="N159" s="119">
        <f t="shared" ref="N159:N170" si="90">I159-L159</f>
        <v>0</v>
      </c>
      <c r="O159" s="120">
        <f t="shared" ref="O159:O170" si="91">H159*N159*G159/1000</f>
        <v>0</v>
      </c>
      <c r="P159" s="111"/>
      <c r="Q159" s="32"/>
    </row>
    <row r="160" spans="1:20" ht="15.6">
      <c r="A160" s="110" t="s">
        <v>365</v>
      </c>
      <c r="B160" s="111" t="s">
        <v>232</v>
      </c>
      <c r="C160" s="112" t="s">
        <v>228</v>
      </c>
      <c r="D160" s="113" t="s">
        <v>130</v>
      </c>
      <c r="E160" s="114" t="s">
        <v>15</v>
      </c>
      <c r="F160" s="115" t="s">
        <v>49</v>
      </c>
      <c r="G160" s="116">
        <v>17.899999999999999</v>
      </c>
      <c r="H160" s="125">
        <v>11.6</v>
      </c>
      <c r="I160" s="111">
        <v>12</v>
      </c>
      <c r="J160" s="117">
        <f t="shared" si="88"/>
        <v>2.4916799999999997</v>
      </c>
      <c r="K160" s="118"/>
      <c r="L160" s="111">
        <v>12</v>
      </c>
      <c r="M160" s="117">
        <f t="shared" si="89"/>
        <v>2.4916799999999992</v>
      </c>
      <c r="N160" s="119">
        <f t="shared" si="90"/>
        <v>0</v>
      </c>
      <c r="O160" s="120">
        <f t="shared" si="91"/>
        <v>0</v>
      </c>
      <c r="P160" s="111"/>
      <c r="Q160" s="32"/>
    </row>
    <row r="161" spans="1:17" ht="15.6">
      <c r="A161" s="110" t="s">
        <v>365</v>
      </c>
      <c r="B161" s="111" t="s">
        <v>232</v>
      </c>
      <c r="C161" s="112" t="s">
        <v>228</v>
      </c>
      <c r="D161" s="113" t="s">
        <v>130</v>
      </c>
      <c r="E161" s="114" t="s">
        <v>15</v>
      </c>
      <c r="F161" s="115" t="s">
        <v>49</v>
      </c>
      <c r="G161" s="116">
        <v>17.899999999999999</v>
      </c>
      <c r="H161" s="125">
        <v>11.5</v>
      </c>
      <c r="I161" s="111">
        <v>1</v>
      </c>
      <c r="J161" s="117">
        <f t="shared" si="88"/>
        <v>0.20585000000000001</v>
      </c>
      <c r="K161" s="118"/>
      <c r="L161" s="111">
        <v>1</v>
      </c>
      <c r="M161" s="117">
        <f t="shared" si="89"/>
        <v>0.20585000000000001</v>
      </c>
      <c r="N161" s="119">
        <f t="shared" si="90"/>
        <v>0</v>
      </c>
      <c r="O161" s="120">
        <f t="shared" si="91"/>
        <v>0</v>
      </c>
      <c r="P161" s="111"/>
      <c r="Q161" s="32"/>
    </row>
    <row r="162" spans="1:17" ht="15.6">
      <c r="A162" s="110" t="s">
        <v>365</v>
      </c>
      <c r="B162" s="111" t="s">
        <v>232</v>
      </c>
      <c r="C162" s="112" t="s">
        <v>228</v>
      </c>
      <c r="D162" s="113" t="s">
        <v>130</v>
      </c>
      <c r="E162" s="114" t="s">
        <v>15</v>
      </c>
      <c r="F162" s="115" t="s">
        <v>49</v>
      </c>
      <c r="G162" s="116">
        <v>17.899999999999999</v>
      </c>
      <c r="H162" s="125">
        <v>11.6</v>
      </c>
      <c r="I162" s="111">
        <v>3</v>
      </c>
      <c r="J162" s="117">
        <f t="shared" si="88"/>
        <v>0.62291999999999992</v>
      </c>
      <c r="K162" s="118"/>
      <c r="L162" s="111">
        <v>3</v>
      </c>
      <c r="M162" s="117">
        <f t="shared" si="89"/>
        <v>0.62291999999999981</v>
      </c>
      <c r="N162" s="119">
        <f t="shared" si="90"/>
        <v>0</v>
      </c>
      <c r="O162" s="120">
        <f t="shared" si="91"/>
        <v>0</v>
      </c>
      <c r="P162" s="111"/>
      <c r="Q162" s="32"/>
    </row>
    <row r="163" spans="1:17" ht="15.6">
      <c r="A163" s="110" t="s">
        <v>365</v>
      </c>
      <c r="B163" s="111" t="s">
        <v>232</v>
      </c>
      <c r="C163" s="112" t="s">
        <v>228</v>
      </c>
      <c r="D163" s="113" t="s">
        <v>130</v>
      </c>
      <c r="E163" s="114" t="s">
        <v>15</v>
      </c>
      <c r="F163" s="115" t="s">
        <v>49</v>
      </c>
      <c r="G163" s="116">
        <v>17.899999999999999</v>
      </c>
      <c r="H163" s="125">
        <v>9.6</v>
      </c>
      <c r="I163" s="111">
        <v>6</v>
      </c>
      <c r="J163" s="117">
        <f t="shared" si="88"/>
        <v>1.03104</v>
      </c>
      <c r="K163" s="118"/>
      <c r="L163" s="111">
        <v>6</v>
      </c>
      <c r="M163" s="117">
        <f t="shared" si="89"/>
        <v>1.0310399999999997</v>
      </c>
      <c r="N163" s="119">
        <f t="shared" si="90"/>
        <v>0</v>
      </c>
      <c r="O163" s="120">
        <f t="shared" si="91"/>
        <v>0</v>
      </c>
      <c r="P163" s="111"/>
      <c r="Q163" s="32"/>
    </row>
    <row r="164" spans="1:17" ht="15.6">
      <c r="A164" s="110" t="s">
        <v>365</v>
      </c>
      <c r="B164" s="111" t="s">
        <v>232</v>
      </c>
      <c r="C164" s="112" t="s">
        <v>228</v>
      </c>
      <c r="D164" s="113" t="s">
        <v>130</v>
      </c>
      <c r="E164" s="114" t="s">
        <v>15</v>
      </c>
      <c r="F164" s="115" t="s">
        <v>49</v>
      </c>
      <c r="G164" s="116">
        <v>17.899999999999999</v>
      </c>
      <c r="H164" s="125">
        <v>9.6</v>
      </c>
      <c r="I164" s="111">
        <v>4</v>
      </c>
      <c r="J164" s="117">
        <f t="shared" si="88"/>
        <v>0.68735999999999986</v>
      </c>
      <c r="K164" s="118"/>
      <c r="L164" s="111">
        <v>4</v>
      </c>
      <c r="M164" s="117">
        <f t="shared" si="89"/>
        <v>0.68735999999999986</v>
      </c>
      <c r="N164" s="119">
        <f t="shared" si="90"/>
        <v>0</v>
      </c>
      <c r="O164" s="120">
        <f t="shared" si="91"/>
        <v>0</v>
      </c>
      <c r="P164" s="111">
        <v>9.5</v>
      </c>
      <c r="Q164" s="155">
        <v>4</v>
      </c>
    </row>
    <row r="165" spans="1:17" ht="15.6">
      <c r="A165" s="110" t="s">
        <v>365</v>
      </c>
      <c r="B165" s="111" t="s">
        <v>232</v>
      </c>
      <c r="C165" s="112" t="s">
        <v>228</v>
      </c>
      <c r="D165" s="113" t="s">
        <v>130</v>
      </c>
      <c r="E165" s="114" t="s">
        <v>15</v>
      </c>
      <c r="F165" s="115" t="s">
        <v>49</v>
      </c>
      <c r="G165" s="116">
        <v>17.899999999999999</v>
      </c>
      <c r="H165" s="125">
        <v>9.5</v>
      </c>
      <c r="I165" s="111">
        <v>2</v>
      </c>
      <c r="J165" s="117">
        <f t="shared" si="88"/>
        <v>0.34009999999999996</v>
      </c>
      <c r="K165" s="118"/>
      <c r="L165" s="111">
        <v>2</v>
      </c>
      <c r="M165" s="117">
        <f t="shared" si="89"/>
        <v>0.34009999999999996</v>
      </c>
      <c r="N165" s="119">
        <f t="shared" si="90"/>
        <v>0</v>
      </c>
      <c r="O165" s="120">
        <f t="shared" si="91"/>
        <v>0</v>
      </c>
      <c r="P165" s="111"/>
      <c r="Q165" s="155"/>
    </row>
    <row r="166" spans="1:17" ht="15.6">
      <c r="A166" s="110" t="s">
        <v>365</v>
      </c>
      <c r="B166" s="111" t="s">
        <v>232</v>
      </c>
      <c r="C166" s="112" t="s">
        <v>228</v>
      </c>
      <c r="D166" s="113" t="s">
        <v>130</v>
      </c>
      <c r="E166" s="114" t="s">
        <v>15</v>
      </c>
      <c r="F166" s="115" t="s">
        <v>49</v>
      </c>
      <c r="G166" s="116">
        <v>17.899999999999999</v>
      </c>
      <c r="H166" s="125">
        <v>7.55</v>
      </c>
      <c r="I166" s="111">
        <v>1</v>
      </c>
      <c r="J166" s="117">
        <f t="shared" si="88"/>
        <v>0.13514499999999999</v>
      </c>
      <c r="K166" s="118"/>
      <c r="L166" s="111"/>
      <c r="M166" s="117">
        <f t="shared" si="89"/>
        <v>0</v>
      </c>
      <c r="N166" s="119">
        <f t="shared" si="90"/>
        <v>1</v>
      </c>
      <c r="O166" s="120">
        <f t="shared" si="91"/>
        <v>0.13514499999999999</v>
      </c>
      <c r="P166" s="111"/>
      <c r="Q166" s="155"/>
    </row>
    <row r="167" spans="1:17" ht="15.6">
      <c r="A167" s="110" t="s">
        <v>365</v>
      </c>
      <c r="B167" s="111" t="s">
        <v>232</v>
      </c>
      <c r="C167" s="112" t="s">
        <v>228</v>
      </c>
      <c r="D167" s="113" t="s">
        <v>130</v>
      </c>
      <c r="E167" s="114" t="s">
        <v>15</v>
      </c>
      <c r="F167" s="115" t="s">
        <v>49</v>
      </c>
      <c r="G167" s="116">
        <v>17.899999999999999</v>
      </c>
      <c r="H167" s="125">
        <v>11.3</v>
      </c>
      <c r="I167" s="111">
        <v>3</v>
      </c>
      <c r="J167" s="117">
        <f t="shared" si="88"/>
        <v>0.60681000000000007</v>
      </c>
      <c r="K167" s="118"/>
      <c r="L167" s="111">
        <v>3</v>
      </c>
      <c r="M167" s="117">
        <f t="shared" si="89"/>
        <v>0.60681000000000007</v>
      </c>
      <c r="N167" s="119">
        <f t="shared" si="90"/>
        <v>0</v>
      </c>
      <c r="O167" s="120">
        <f t="shared" si="91"/>
        <v>0</v>
      </c>
      <c r="P167" s="111">
        <v>9.5</v>
      </c>
      <c r="Q167" s="155">
        <v>3</v>
      </c>
    </row>
    <row r="168" spans="1:17" ht="15.6">
      <c r="A168" s="110" t="s">
        <v>365</v>
      </c>
      <c r="B168" s="111" t="s">
        <v>232</v>
      </c>
      <c r="C168" s="112" t="s">
        <v>228</v>
      </c>
      <c r="D168" s="113" t="s">
        <v>130</v>
      </c>
      <c r="E168" s="114" t="s">
        <v>15</v>
      </c>
      <c r="F168" s="115" t="s">
        <v>49</v>
      </c>
      <c r="G168" s="116">
        <v>17.899999999999999</v>
      </c>
      <c r="H168" s="125">
        <v>9.5</v>
      </c>
      <c r="I168" s="111">
        <v>16</v>
      </c>
      <c r="J168" s="117">
        <f t="shared" si="88"/>
        <v>2.7207999999999997</v>
      </c>
      <c r="K168" s="118"/>
      <c r="L168" s="111">
        <v>16</v>
      </c>
      <c r="M168" s="117">
        <f t="shared" si="89"/>
        <v>2.7207999999999997</v>
      </c>
      <c r="N168" s="119">
        <f t="shared" si="90"/>
        <v>0</v>
      </c>
      <c r="O168" s="120">
        <f t="shared" si="91"/>
        <v>0</v>
      </c>
      <c r="P168" s="111"/>
      <c r="Q168" s="155"/>
    </row>
    <row r="169" spans="1:17" ht="15.6">
      <c r="A169" s="110" t="s">
        <v>365</v>
      </c>
      <c r="B169" s="111" t="s">
        <v>232</v>
      </c>
      <c r="C169" s="112" t="s">
        <v>228</v>
      </c>
      <c r="D169" s="113" t="s">
        <v>130</v>
      </c>
      <c r="E169" s="114" t="s">
        <v>15</v>
      </c>
      <c r="F169" s="115" t="s">
        <v>49</v>
      </c>
      <c r="G169" s="116">
        <v>17.899999999999999</v>
      </c>
      <c r="H169" s="125">
        <v>11.6</v>
      </c>
      <c r="I169" s="111">
        <v>15</v>
      </c>
      <c r="J169" s="117">
        <f t="shared" si="88"/>
        <v>3.1145999999999998</v>
      </c>
      <c r="K169" s="118"/>
      <c r="L169" s="111">
        <v>15</v>
      </c>
      <c r="M169" s="117">
        <f t="shared" si="89"/>
        <v>3.1145999999999998</v>
      </c>
      <c r="N169" s="119">
        <f t="shared" si="90"/>
        <v>0</v>
      </c>
      <c r="O169" s="120">
        <f t="shared" si="91"/>
        <v>0</v>
      </c>
      <c r="P169" s="111"/>
      <c r="Q169" s="155"/>
    </row>
    <row r="170" spans="1:17" ht="15.6">
      <c r="A170" s="110" t="s">
        <v>365</v>
      </c>
      <c r="B170" s="111" t="s">
        <v>232</v>
      </c>
      <c r="C170" s="112" t="s">
        <v>228</v>
      </c>
      <c r="D170" s="113" t="s">
        <v>130</v>
      </c>
      <c r="E170" s="114" t="s">
        <v>15</v>
      </c>
      <c r="F170" s="115" t="s">
        <v>49</v>
      </c>
      <c r="G170" s="116">
        <v>17.899999999999999</v>
      </c>
      <c r="H170" s="125">
        <v>9.6</v>
      </c>
      <c r="I170" s="111">
        <v>12</v>
      </c>
      <c r="J170" s="117">
        <f t="shared" si="88"/>
        <v>2.0620799999999999</v>
      </c>
      <c r="K170" s="118"/>
      <c r="L170" s="111">
        <v>12</v>
      </c>
      <c r="M170" s="117">
        <f t="shared" si="89"/>
        <v>2.0620799999999995</v>
      </c>
      <c r="N170" s="119">
        <f t="shared" si="90"/>
        <v>0</v>
      </c>
      <c r="O170" s="120">
        <f t="shared" si="91"/>
        <v>0</v>
      </c>
      <c r="P170" s="111"/>
      <c r="Q170" s="155"/>
    </row>
    <row r="171" spans="1:17" ht="15.6">
      <c r="A171" s="110" t="s">
        <v>365</v>
      </c>
      <c r="B171" s="111" t="s">
        <v>232</v>
      </c>
      <c r="C171" s="112" t="s">
        <v>228</v>
      </c>
      <c r="D171" s="113" t="s">
        <v>130</v>
      </c>
      <c r="E171" s="114" t="s">
        <v>15</v>
      </c>
      <c r="F171" s="115" t="s">
        <v>49</v>
      </c>
      <c r="G171" s="116">
        <v>17.899999999999999</v>
      </c>
      <c r="H171" s="125">
        <v>11.6</v>
      </c>
      <c r="I171" s="111">
        <v>12</v>
      </c>
      <c r="J171" s="117">
        <f t="shared" ref="J171:J187" si="92">H171*G171*I171/1000</f>
        <v>2.4916799999999997</v>
      </c>
      <c r="K171" s="118"/>
      <c r="L171" s="111">
        <v>12</v>
      </c>
      <c r="M171" s="117">
        <f t="shared" ref="M171:M180" si="93">H171*L171*G171/1000</f>
        <v>2.4916799999999992</v>
      </c>
      <c r="N171" s="119">
        <f t="shared" ref="N171:N180" si="94">I171-L171</f>
        <v>0</v>
      </c>
      <c r="O171" s="120">
        <f t="shared" ref="O171:O180" si="95">H171*N171*G171/1000</f>
        <v>0</v>
      </c>
      <c r="P171" s="111"/>
      <c r="Q171" s="155"/>
    </row>
    <row r="172" spans="1:17" ht="15.6">
      <c r="A172" s="110" t="s">
        <v>365</v>
      </c>
      <c r="B172" s="111" t="s">
        <v>232</v>
      </c>
      <c r="C172" s="112" t="s">
        <v>228</v>
      </c>
      <c r="D172" s="113" t="s">
        <v>130</v>
      </c>
      <c r="E172" s="114" t="s">
        <v>15</v>
      </c>
      <c r="F172" s="115" t="s">
        <v>49</v>
      </c>
      <c r="G172" s="116">
        <v>17.899999999999999</v>
      </c>
      <c r="H172" s="125">
        <v>10.7</v>
      </c>
      <c r="I172" s="111">
        <v>2</v>
      </c>
      <c r="J172" s="117">
        <f t="shared" si="92"/>
        <v>0.38305999999999996</v>
      </c>
      <c r="K172" s="118"/>
      <c r="L172" s="111">
        <v>2</v>
      </c>
      <c r="M172" s="117">
        <f t="shared" si="93"/>
        <v>0.38305999999999996</v>
      </c>
      <c r="N172" s="119">
        <f t="shared" si="94"/>
        <v>0</v>
      </c>
      <c r="O172" s="120">
        <f t="shared" si="95"/>
        <v>0</v>
      </c>
      <c r="P172" s="111">
        <v>9.5</v>
      </c>
      <c r="Q172" s="155">
        <v>2</v>
      </c>
    </row>
    <row r="173" spans="1:17" ht="15.6">
      <c r="A173" s="110" t="s">
        <v>365</v>
      </c>
      <c r="B173" s="111" t="s">
        <v>232</v>
      </c>
      <c r="C173" s="112" t="s">
        <v>228</v>
      </c>
      <c r="D173" s="113" t="s">
        <v>130</v>
      </c>
      <c r="E173" s="114" t="s">
        <v>15</v>
      </c>
      <c r="F173" s="115" t="s">
        <v>49</v>
      </c>
      <c r="G173" s="116">
        <v>17.899999999999999</v>
      </c>
      <c r="H173" s="125">
        <v>11.3</v>
      </c>
      <c r="I173" s="111">
        <v>4</v>
      </c>
      <c r="J173" s="117">
        <f t="shared" si="92"/>
        <v>0.80908000000000002</v>
      </c>
      <c r="K173" s="118"/>
      <c r="L173" s="111">
        <v>2</v>
      </c>
      <c r="M173" s="117">
        <f t="shared" si="93"/>
        <v>0.40454000000000001</v>
      </c>
      <c r="N173" s="119">
        <f t="shared" si="94"/>
        <v>2</v>
      </c>
      <c r="O173" s="120">
        <f t="shared" si="95"/>
        <v>0.40454000000000001</v>
      </c>
      <c r="P173" s="111">
        <v>9.5</v>
      </c>
      <c r="Q173" s="155">
        <v>2</v>
      </c>
    </row>
    <row r="174" spans="1:17" ht="15.6">
      <c r="A174" s="110" t="s">
        <v>365</v>
      </c>
      <c r="B174" s="111" t="s">
        <v>232</v>
      </c>
      <c r="C174" s="112" t="s">
        <v>228</v>
      </c>
      <c r="D174" s="113" t="s">
        <v>130</v>
      </c>
      <c r="E174" s="114" t="s">
        <v>15</v>
      </c>
      <c r="F174" s="115" t="s">
        <v>49</v>
      </c>
      <c r="G174" s="116">
        <v>17.899999999999999</v>
      </c>
      <c r="H174" s="125">
        <v>9.6</v>
      </c>
      <c r="I174" s="111">
        <v>3</v>
      </c>
      <c r="J174" s="117">
        <f t="shared" si="92"/>
        <v>0.51551999999999998</v>
      </c>
      <c r="K174" s="118"/>
      <c r="L174" s="111">
        <v>3</v>
      </c>
      <c r="M174" s="117">
        <f t="shared" si="93"/>
        <v>0.51551999999999987</v>
      </c>
      <c r="N174" s="119">
        <f t="shared" si="94"/>
        <v>0</v>
      </c>
      <c r="O174" s="120">
        <f t="shared" si="95"/>
        <v>0</v>
      </c>
      <c r="P174" s="111"/>
      <c r="Q174" s="155"/>
    </row>
    <row r="175" spans="1:17" ht="15.6">
      <c r="A175" s="110" t="s">
        <v>365</v>
      </c>
      <c r="B175" s="111" t="s">
        <v>232</v>
      </c>
      <c r="C175" s="112" t="s">
        <v>228</v>
      </c>
      <c r="D175" s="113" t="s">
        <v>130</v>
      </c>
      <c r="E175" s="114" t="s">
        <v>15</v>
      </c>
      <c r="F175" s="115" t="s">
        <v>49</v>
      </c>
      <c r="G175" s="116">
        <v>17.899999999999999</v>
      </c>
      <c r="H175" s="125">
        <v>11.5</v>
      </c>
      <c r="I175" s="111">
        <v>10</v>
      </c>
      <c r="J175" s="117">
        <f t="shared" si="92"/>
        <v>2.0585</v>
      </c>
      <c r="K175" s="118"/>
      <c r="L175" s="111">
        <v>10</v>
      </c>
      <c r="M175" s="117">
        <f t="shared" si="93"/>
        <v>2.0585</v>
      </c>
      <c r="N175" s="119">
        <f t="shared" si="94"/>
        <v>0</v>
      </c>
      <c r="O175" s="120">
        <f t="shared" si="95"/>
        <v>0</v>
      </c>
      <c r="P175" s="111"/>
      <c r="Q175" s="155"/>
    </row>
    <row r="176" spans="1:17" ht="15.6">
      <c r="A176" s="110" t="s">
        <v>365</v>
      </c>
      <c r="B176" s="111" t="s">
        <v>232</v>
      </c>
      <c r="C176" s="112" t="s">
        <v>228</v>
      </c>
      <c r="D176" s="113" t="s">
        <v>130</v>
      </c>
      <c r="E176" s="114" t="s">
        <v>15</v>
      </c>
      <c r="F176" s="115" t="s">
        <v>49</v>
      </c>
      <c r="G176" s="116">
        <v>17.899999999999999</v>
      </c>
      <c r="H176" s="125">
        <v>11.5</v>
      </c>
      <c r="I176" s="111">
        <v>15</v>
      </c>
      <c r="J176" s="117">
        <f t="shared" si="92"/>
        <v>3.0877500000000002</v>
      </c>
      <c r="K176" s="118"/>
      <c r="L176" s="111">
        <v>15</v>
      </c>
      <c r="M176" s="117">
        <f t="shared" si="93"/>
        <v>3.0877499999999993</v>
      </c>
      <c r="N176" s="119">
        <f t="shared" si="94"/>
        <v>0</v>
      </c>
      <c r="O176" s="120">
        <f t="shared" si="95"/>
        <v>0</v>
      </c>
      <c r="P176" s="111"/>
      <c r="Q176" s="155"/>
    </row>
    <row r="177" spans="1:18" ht="15.6">
      <c r="A177" s="110" t="s">
        <v>365</v>
      </c>
      <c r="B177" s="111" t="s">
        <v>232</v>
      </c>
      <c r="C177" s="112" t="s">
        <v>228</v>
      </c>
      <c r="D177" s="113" t="s">
        <v>130</v>
      </c>
      <c r="E177" s="114" t="s">
        <v>15</v>
      </c>
      <c r="F177" s="115" t="s">
        <v>49</v>
      </c>
      <c r="G177" s="116">
        <v>17.899999999999999</v>
      </c>
      <c r="H177" s="125">
        <v>9.5</v>
      </c>
      <c r="I177" s="111">
        <v>11</v>
      </c>
      <c r="J177" s="117">
        <f t="shared" si="92"/>
        <v>1.8705499999999997</v>
      </c>
      <c r="K177" s="118"/>
      <c r="L177" s="111">
        <v>11</v>
      </c>
      <c r="M177" s="117">
        <f t="shared" si="93"/>
        <v>1.8705499999999999</v>
      </c>
      <c r="N177" s="119">
        <f t="shared" si="94"/>
        <v>0</v>
      </c>
      <c r="O177" s="120">
        <f t="shared" si="95"/>
        <v>0</v>
      </c>
      <c r="P177" s="111"/>
      <c r="Q177" s="155"/>
    </row>
    <row r="178" spans="1:18" ht="15.6">
      <c r="A178" s="110" t="s">
        <v>365</v>
      </c>
      <c r="B178" s="111" t="s">
        <v>232</v>
      </c>
      <c r="C178" s="112" t="s">
        <v>228</v>
      </c>
      <c r="D178" s="113" t="s">
        <v>130</v>
      </c>
      <c r="E178" s="114" t="s">
        <v>15</v>
      </c>
      <c r="F178" s="115" t="s">
        <v>49</v>
      </c>
      <c r="G178" s="116">
        <v>17.899999999999999</v>
      </c>
      <c r="H178" s="125">
        <v>11.6</v>
      </c>
      <c r="I178" s="111">
        <v>15</v>
      </c>
      <c r="J178" s="117">
        <f t="shared" si="92"/>
        <v>3.1145999999999998</v>
      </c>
      <c r="K178" s="118"/>
      <c r="L178" s="111">
        <v>15</v>
      </c>
      <c r="M178" s="117">
        <f t="shared" si="93"/>
        <v>3.1145999999999998</v>
      </c>
      <c r="N178" s="119">
        <f t="shared" si="94"/>
        <v>0</v>
      </c>
      <c r="O178" s="120">
        <f t="shared" si="95"/>
        <v>0</v>
      </c>
      <c r="P178" s="111"/>
      <c r="Q178" s="155"/>
    </row>
    <row r="179" spans="1:18" ht="15.6">
      <c r="A179" s="110" t="s">
        <v>365</v>
      </c>
      <c r="B179" s="111" t="s">
        <v>232</v>
      </c>
      <c r="C179" s="112" t="s">
        <v>228</v>
      </c>
      <c r="D179" s="113" t="s">
        <v>130</v>
      </c>
      <c r="E179" s="114" t="s">
        <v>15</v>
      </c>
      <c r="F179" s="115" t="s">
        <v>49</v>
      </c>
      <c r="G179" s="116">
        <v>17.899999999999999</v>
      </c>
      <c r="H179" s="125">
        <v>11.6</v>
      </c>
      <c r="I179" s="111">
        <v>13</v>
      </c>
      <c r="J179" s="117">
        <f t="shared" si="92"/>
        <v>2.6993199999999997</v>
      </c>
      <c r="K179" s="118"/>
      <c r="L179" s="111">
        <v>13</v>
      </c>
      <c r="M179" s="117">
        <f t="shared" si="93"/>
        <v>2.6993199999999993</v>
      </c>
      <c r="N179" s="119">
        <f t="shared" si="94"/>
        <v>0</v>
      </c>
      <c r="O179" s="120">
        <f t="shared" si="95"/>
        <v>0</v>
      </c>
      <c r="P179" s="111"/>
      <c r="Q179" s="155"/>
    </row>
    <row r="180" spans="1:18" ht="15.6">
      <c r="A180" s="110" t="s">
        <v>365</v>
      </c>
      <c r="B180" s="111" t="s">
        <v>232</v>
      </c>
      <c r="C180" s="112" t="s">
        <v>228</v>
      </c>
      <c r="D180" s="113" t="s">
        <v>130</v>
      </c>
      <c r="E180" s="114" t="s">
        <v>15</v>
      </c>
      <c r="F180" s="115" t="s">
        <v>49</v>
      </c>
      <c r="G180" s="116">
        <v>17.899999999999999</v>
      </c>
      <c r="H180" s="125">
        <v>11</v>
      </c>
      <c r="I180" s="111">
        <v>1</v>
      </c>
      <c r="J180" s="117">
        <f t="shared" si="92"/>
        <v>0.19689999999999996</v>
      </c>
      <c r="K180" s="118"/>
      <c r="L180" s="111">
        <v>1</v>
      </c>
      <c r="M180" s="117">
        <f t="shared" si="93"/>
        <v>0.19689999999999996</v>
      </c>
      <c r="N180" s="119">
        <f t="shared" si="94"/>
        <v>0</v>
      </c>
      <c r="O180" s="120">
        <f t="shared" si="95"/>
        <v>0</v>
      </c>
      <c r="P180" s="111">
        <v>9.5</v>
      </c>
      <c r="Q180" s="155">
        <v>1</v>
      </c>
    </row>
    <row r="181" spans="1:18" ht="15.6">
      <c r="A181" s="110" t="s">
        <v>365</v>
      </c>
      <c r="B181" s="111" t="s">
        <v>232</v>
      </c>
      <c r="C181" s="112" t="s">
        <v>228</v>
      </c>
      <c r="D181" s="113" t="s">
        <v>130</v>
      </c>
      <c r="E181" s="114" t="s">
        <v>15</v>
      </c>
      <c r="F181" s="115" t="s">
        <v>49</v>
      </c>
      <c r="G181" s="116">
        <v>17.899999999999999</v>
      </c>
      <c r="H181" s="125">
        <v>9.6</v>
      </c>
      <c r="I181" s="111">
        <v>15</v>
      </c>
      <c r="J181" s="117">
        <f t="shared" si="92"/>
        <v>2.5775999999999994</v>
      </c>
      <c r="K181" s="32"/>
      <c r="L181" s="32">
        <v>15</v>
      </c>
      <c r="M181" s="117">
        <f t="shared" ref="M181:M187" si="96">H181*L181*G181/1000</f>
        <v>2.5775999999999999</v>
      </c>
      <c r="N181" s="119">
        <f t="shared" ref="N181:N187" si="97">I181-L181</f>
        <v>0</v>
      </c>
      <c r="O181" s="120">
        <f t="shared" ref="O181:O184" si="98">H181*N181*G181/1000</f>
        <v>0</v>
      </c>
      <c r="P181" s="111"/>
      <c r="Q181" s="155"/>
    </row>
    <row r="182" spans="1:18" ht="15.6">
      <c r="A182" s="110" t="s">
        <v>365</v>
      </c>
      <c r="B182" s="111" t="s">
        <v>232</v>
      </c>
      <c r="C182" s="112" t="s">
        <v>228</v>
      </c>
      <c r="D182" s="113" t="s">
        <v>130</v>
      </c>
      <c r="E182" s="114" t="s">
        <v>15</v>
      </c>
      <c r="F182" s="115" t="s">
        <v>49</v>
      </c>
      <c r="G182" s="116">
        <v>17.899999999999999</v>
      </c>
      <c r="H182" s="125">
        <v>11.5</v>
      </c>
      <c r="I182" s="111">
        <v>14</v>
      </c>
      <c r="J182" s="117">
        <f t="shared" si="92"/>
        <v>2.8818999999999999</v>
      </c>
      <c r="K182" s="32"/>
      <c r="L182" s="32">
        <v>14</v>
      </c>
      <c r="M182" s="117">
        <f t="shared" si="96"/>
        <v>2.8818999999999995</v>
      </c>
      <c r="N182" s="119">
        <f t="shared" si="97"/>
        <v>0</v>
      </c>
      <c r="O182" s="120">
        <f t="shared" si="98"/>
        <v>0</v>
      </c>
      <c r="P182" s="111"/>
      <c r="Q182" s="155"/>
    </row>
    <row r="183" spans="1:18" ht="15.6">
      <c r="A183" s="110" t="s">
        <v>365</v>
      </c>
      <c r="B183" s="111" t="s">
        <v>232</v>
      </c>
      <c r="C183" s="112" t="s">
        <v>228</v>
      </c>
      <c r="D183" s="113" t="s">
        <v>130</v>
      </c>
      <c r="E183" s="114" t="s">
        <v>15</v>
      </c>
      <c r="F183" s="115" t="s">
        <v>49</v>
      </c>
      <c r="G183" s="116">
        <v>17.899999999999999</v>
      </c>
      <c r="H183" s="125">
        <v>11.6</v>
      </c>
      <c r="I183" s="111">
        <v>12</v>
      </c>
      <c r="J183" s="117">
        <f t="shared" si="92"/>
        <v>2.4916799999999997</v>
      </c>
      <c r="K183" s="32"/>
      <c r="L183" s="32">
        <v>12</v>
      </c>
      <c r="M183" s="117">
        <f t="shared" si="96"/>
        <v>2.4916799999999992</v>
      </c>
      <c r="N183" s="119">
        <f t="shared" si="97"/>
        <v>0</v>
      </c>
      <c r="O183" s="120">
        <f t="shared" si="98"/>
        <v>0</v>
      </c>
      <c r="P183" s="111"/>
      <c r="Q183" s="155"/>
    </row>
    <row r="184" spans="1:18" ht="15.6">
      <c r="A184" s="110" t="s">
        <v>365</v>
      </c>
      <c r="B184" s="111" t="s">
        <v>232</v>
      </c>
      <c r="C184" s="112" t="s">
        <v>228</v>
      </c>
      <c r="D184" s="113" t="s">
        <v>130</v>
      </c>
      <c r="E184" s="114" t="s">
        <v>15</v>
      </c>
      <c r="F184" s="115" t="s">
        <v>49</v>
      </c>
      <c r="G184" s="116">
        <v>17.899999999999999</v>
      </c>
      <c r="H184" s="125">
        <v>11.6</v>
      </c>
      <c r="I184" s="111">
        <v>12</v>
      </c>
      <c r="J184" s="117">
        <f t="shared" si="92"/>
        <v>2.4916799999999997</v>
      </c>
      <c r="K184" s="32"/>
      <c r="L184" s="32">
        <v>12</v>
      </c>
      <c r="M184" s="117">
        <f t="shared" si="96"/>
        <v>2.4916799999999992</v>
      </c>
      <c r="N184" s="119">
        <f t="shared" si="97"/>
        <v>0</v>
      </c>
      <c r="O184" s="120">
        <f t="shared" si="98"/>
        <v>0</v>
      </c>
      <c r="P184" s="111"/>
      <c r="Q184" s="32"/>
    </row>
    <row r="185" spans="1:18" ht="15.6">
      <c r="A185" s="110" t="s">
        <v>365</v>
      </c>
      <c r="B185" s="111" t="s">
        <v>232</v>
      </c>
      <c r="C185" s="112" t="s">
        <v>228</v>
      </c>
      <c r="D185" s="113" t="s">
        <v>130</v>
      </c>
      <c r="E185" s="114" t="s">
        <v>15</v>
      </c>
      <c r="F185" s="115" t="s">
        <v>49</v>
      </c>
      <c r="G185" s="116">
        <v>17.899999999999999</v>
      </c>
      <c r="H185" s="125">
        <v>11.5</v>
      </c>
      <c r="I185" s="111">
        <v>6</v>
      </c>
      <c r="J185" s="117">
        <f t="shared" ref="J185" si="99">H185*G185*I185/1000</f>
        <v>1.2350999999999999</v>
      </c>
      <c r="K185" s="32"/>
      <c r="L185" s="32">
        <v>6</v>
      </c>
      <c r="M185" s="117">
        <f t="shared" ref="M185" si="100">H185*L185*G185/1000</f>
        <v>1.2350999999999999</v>
      </c>
      <c r="N185" s="119">
        <f t="shared" ref="N185" si="101">I185-L185</f>
        <v>0</v>
      </c>
      <c r="O185" s="120">
        <f>H185*N185*G185/1000</f>
        <v>0</v>
      </c>
      <c r="P185" s="111"/>
      <c r="Q185" s="32"/>
    </row>
    <row r="186" spans="1:18" ht="15.6">
      <c r="A186" s="110" t="s">
        <v>365</v>
      </c>
      <c r="B186" s="111" t="s">
        <v>232</v>
      </c>
      <c r="C186" s="112" t="s">
        <v>228</v>
      </c>
      <c r="D186" s="113" t="s">
        <v>130</v>
      </c>
      <c r="E186" s="114" t="s">
        <v>15</v>
      </c>
      <c r="F186" s="115" t="s">
        <v>49</v>
      </c>
      <c r="G186" s="116">
        <v>17.899999999999999</v>
      </c>
      <c r="H186" s="125">
        <v>11.6</v>
      </c>
      <c r="I186" s="111">
        <v>6</v>
      </c>
      <c r="J186" s="117">
        <f t="shared" si="92"/>
        <v>1.2458399999999998</v>
      </c>
      <c r="K186" s="32"/>
      <c r="L186" s="32">
        <v>6</v>
      </c>
      <c r="M186" s="117">
        <f t="shared" si="96"/>
        <v>1.2458399999999996</v>
      </c>
      <c r="N186" s="119">
        <f t="shared" si="97"/>
        <v>0</v>
      </c>
      <c r="O186" s="120">
        <f>H186*N186*G186/1000</f>
        <v>0</v>
      </c>
      <c r="P186" s="111"/>
      <c r="Q186" s="32"/>
    </row>
    <row r="187" spans="1:18" ht="15.6">
      <c r="A187" s="110" t="s">
        <v>365</v>
      </c>
      <c r="B187" s="111" t="s">
        <v>232</v>
      </c>
      <c r="C187" s="112" t="s">
        <v>228</v>
      </c>
      <c r="D187" s="113" t="s">
        <v>130</v>
      </c>
      <c r="E187" s="114" t="s">
        <v>15</v>
      </c>
      <c r="F187" s="115" t="s">
        <v>49</v>
      </c>
      <c r="G187" s="116">
        <v>17.899999999999999</v>
      </c>
      <c r="H187" s="125">
        <v>9.5</v>
      </c>
      <c r="I187" s="111">
        <v>11</v>
      </c>
      <c r="J187" s="117">
        <f t="shared" si="92"/>
        <v>1.8705499999999997</v>
      </c>
      <c r="K187" s="32"/>
      <c r="L187" s="32">
        <v>11</v>
      </c>
      <c r="M187" s="117">
        <f t="shared" si="96"/>
        <v>1.8705499999999999</v>
      </c>
      <c r="N187" s="119">
        <f t="shared" si="97"/>
        <v>0</v>
      </c>
      <c r="O187" s="120">
        <f>H187*N187*G187/1000</f>
        <v>0</v>
      </c>
      <c r="P187" s="111"/>
      <c r="Q187" s="32"/>
    </row>
    <row r="188" spans="1:18" ht="15.6">
      <c r="A188" s="110"/>
      <c r="B188" s="111"/>
      <c r="C188" s="112"/>
      <c r="D188" s="113"/>
      <c r="E188" s="114"/>
      <c r="F188" s="115"/>
      <c r="G188" s="116"/>
      <c r="H188" s="32"/>
      <c r="I188" s="129">
        <f>SUM(I158:I187)</f>
        <v>263</v>
      </c>
      <c r="J188" s="124">
        <f>SUM(J158:J187)</f>
        <v>50.489635</v>
      </c>
      <c r="K188" s="32"/>
      <c r="L188" s="129">
        <f>SUM(L158:L187)</f>
        <v>260</v>
      </c>
      <c r="M188" s="124">
        <f>SUM(M158:M187)</f>
        <v>49.949950000000001</v>
      </c>
      <c r="N188" s="129">
        <f>SUM(N158:N187)</f>
        <v>3</v>
      </c>
      <c r="O188" s="124">
        <f>SUM(O158:O187)</f>
        <v>0.53968499999999997</v>
      </c>
      <c r="P188" s="32"/>
      <c r="Q188" s="32"/>
    </row>
    <row r="190" spans="1:18" ht="15.6">
      <c r="A190" s="110" t="s">
        <v>365</v>
      </c>
      <c r="B190" s="111" t="s">
        <v>232</v>
      </c>
      <c r="C190" s="112" t="s">
        <v>228</v>
      </c>
      <c r="D190" s="113" t="s">
        <v>24</v>
      </c>
      <c r="E190" s="114" t="s">
        <v>14</v>
      </c>
      <c r="F190" s="115" t="s">
        <v>42</v>
      </c>
      <c r="G190" s="116">
        <v>19.72</v>
      </c>
      <c r="H190" s="125">
        <v>6.5</v>
      </c>
      <c r="I190" s="111">
        <f>14+2</f>
        <v>16</v>
      </c>
      <c r="J190" s="117">
        <f t="shared" ref="J190:J191" si="102">H190*G190*I190/1000</f>
        <v>2.0508800000000003</v>
      </c>
      <c r="K190" s="118"/>
      <c r="L190" s="111">
        <v>16</v>
      </c>
      <c r="M190" s="117">
        <f t="shared" ref="M190:M191" si="103">H190*L190*G190/1000</f>
        <v>2.0508800000000003</v>
      </c>
      <c r="N190" s="119">
        <f t="shared" ref="N190:N191" si="104">I190-L190</f>
        <v>0</v>
      </c>
      <c r="O190" s="120">
        <f>H190*N190*G190/1000</f>
        <v>0</v>
      </c>
      <c r="P190" s="111"/>
      <c r="Q190" s="32"/>
    </row>
    <row r="191" spans="1:18" ht="15.6">
      <c r="A191" s="110" t="s">
        <v>365</v>
      </c>
      <c r="B191" s="111" t="s">
        <v>232</v>
      </c>
      <c r="C191" s="112" t="s">
        <v>228</v>
      </c>
      <c r="D191" s="113" t="s">
        <v>24</v>
      </c>
      <c r="E191" s="114" t="s">
        <v>14</v>
      </c>
      <c r="F191" s="115" t="s">
        <v>42</v>
      </c>
      <c r="G191" s="116">
        <v>19.72</v>
      </c>
      <c r="H191" s="125">
        <v>7</v>
      </c>
      <c r="I191" s="111">
        <f>16+8</f>
        <v>24</v>
      </c>
      <c r="J191" s="117">
        <f t="shared" si="102"/>
        <v>3.3129599999999999</v>
      </c>
      <c r="K191" s="118"/>
      <c r="L191" s="111">
        <f>16+6+2</f>
        <v>24</v>
      </c>
      <c r="M191" s="117">
        <f t="shared" si="103"/>
        <v>3.3129599999999999</v>
      </c>
      <c r="N191" s="119">
        <f t="shared" si="104"/>
        <v>0</v>
      </c>
      <c r="O191" s="120">
        <f>H191*N191*G191/1000</f>
        <v>0</v>
      </c>
      <c r="P191" s="159">
        <v>7</v>
      </c>
      <c r="Q191" s="111">
        <v>8</v>
      </c>
      <c r="R191" s="111" t="s">
        <v>431</v>
      </c>
    </row>
    <row r="192" spans="1:18">
      <c r="A192" s="32"/>
      <c r="B192" s="32"/>
      <c r="C192" s="32"/>
      <c r="D192" s="32"/>
      <c r="E192" s="32"/>
      <c r="F192" s="32"/>
      <c r="G192" s="32"/>
      <c r="H192" s="32"/>
      <c r="I192" s="129">
        <f>SUM(I190:I191)</f>
        <v>40</v>
      </c>
      <c r="J192" s="124">
        <f>SUM(J190:J191)</f>
        <v>5.3638399999999997</v>
      </c>
      <c r="K192" s="32"/>
      <c r="L192" s="129">
        <f>SUM(L190:L191)</f>
        <v>40</v>
      </c>
      <c r="M192" s="124">
        <f>SUM(M190:M191)</f>
        <v>5.3638399999999997</v>
      </c>
      <c r="N192" s="129">
        <f>SUM(N190:N191)</f>
        <v>0</v>
      </c>
      <c r="O192" s="124">
        <f>SUM(O190:O191)</f>
        <v>0</v>
      </c>
      <c r="P192" s="32"/>
      <c r="Q192" s="32"/>
    </row>
    <row r="194" spans="1:17" ht="15.6">
      <c r="A194" s="110" t="s">
        <v>408</v>
      </c>
      <c r="B194" s="111" t="s">
        <v>232</v>
      </c>
      <c r="C194" s="112" t="s">
        <v>228</v>
      </c>
      <c r="D194" s="113" t="s">
        <v>382</v>
      </c>
      <c r="E194" s="114" t="s">
        <v>15</v>
      </c>
      <c r="F194" s="115" t="s">
        <v>33</v>
      </c>
      <c r="G194" s="116">
        <v>16</v>
      </c>
      <c r="H194" s="125">
        <v>6.1</v>
      </c>
      <c r="I194" s="111">
        <f>12+15</f>
        <v>27</v>
      </c>
      <c r="J194" s="117">
        <f t="shared" ref="J194:J197" si="105">H194*G194*I194/1000</f>
        <v>2.6351999999999998</v>
      </c>
      <c r="K194" s="118"/>
      <c r="L194" s="111">
        <v>27</v>
      </c>
      <c r="M194" s="117">
        <f t="shared" ref="M194:M197" si="106">H194*L194*G194/1000</f>
        <v>2.6351999999999998</v>
      </c>
      <c r="N194" s="119">
        <f t="shared" ref="N194:N197" si="107">I194-L194</f>
        <v>0</v>
      </c>
      <c r="O194" s="120">
        <f t="shared" ref="O194:O197" si="108">H194*N194*G194/1000</f>
        <v>0</v>
      </c>
      <c r="P194" s="111"/>
      <c r="Q194" s="32"/>
    </row>
    <row r="195" spans="1:17" ht="15.6">
      <c r="A195" s="110" t="s">
        <v>408</v>
      </c>
      <c r="B195" s="111" t="s">
        <v>232</v>
      </c>
      <c r="C195" s="112" t="s">
        <v>228</v>
      </c>
      <c r="D195" s="113" t="s">
        <v>382</v>
      </c>
      <c r="E195" s="114" t="s">
        <v>15</v>
      </c>
      <c r="F195" s="115" t="s">
        <v>33</v>
      </c>
      <c r="G195" s="116">
        <v>16</v>
      </c>
      <c r="H195" s="125">
        <v>7.2</v>
      </c>
      <c r="I195" s="111">
        <f>27+19+25+25+18</f>
        <v>114</v>
      </c>
      <c r="J195" s="117">
        <f t="shared" si="105"/>
        <v>13.132800000000001</v>
      </c>
      <c r="K195" s="118"/>
      <c r="L195" s="111">
        <v>114</v>
      </c>
      <c r="M195" s="117">
        <f t="shared" si="106"/>
        <v>13.132800000000001</v>
      </c>
      <c r="N195" s="119">
        <f t="shared" si="107"/>
        <v>0</v>
      </c>
      <c r="O195" s="120">
        <f t="shared" si="108"/>
        <v>0</v>
      </c>
      <c r="P195" s="111"/>
      <c r="Q195" s="32"/>
    </row>
    <row r="196" spans="1:17" ht="15.6">
      <c r="A196" s="110" t="s">
        <v>408</v>
      </c>
      <c r="B196" s="111" t="s">
        <v>232</v>
      </c>
      <c r="C196" s="112" t="s">
        <v>228</v>
      </c>
      <c r="D196" s="113" t="s">
        <v>382</v>
      </c>
      <c r="E196" s="114" t="s">
        <v>15</v>
      </c>
      <c r="F196" s="115" t="s">
        <v>33</v>
      </c>
      <c r="G196" s="116">
        <v>16</v>
      </c>
      <c r="H196" s="125">
        <v>7.5</v>
      </c>
      <c r="I196" s="111">
        <f>5+13</f>
        <v>18</v>
      </c>
      <c r="J196" s="117">
        <f t="shared" si="105"/>
        <v>2.16</v>
      </c>
      <c r="K196" s="118"/>
      <c r="L196" s="111">
        <v>18</v>
      </c>
      <c r="M196" s="117">
        <f t="shared" si="106"/>
        <v>2.16</v>
      </c>
      <c r="N196" s="119">
        <f t="shared" si="107"/>
        <v>0</v>
      </c>
      <c r="O196" s="120">
        <f t="shared" si="108"/>
        <v>0</v>
      </c>
      <c r="P196" s="111"/>
      <c r="Q196" s="32"/>
    </row>
    <row r="197" spans="1:17" ht="15.6">
      <c r="A197" s="110" t="s">
        <v>408</v>
      </c>
      <c r="B197" s="111" t="s">
        <v>232</v>
      </c>
      <c r="C197" s="112" t="s">
        <v>228</v>
      </c>
      <c r="D197" s="113" t="s">
        <v>382</v>
      </c>
      <c r="E197" s="114" t="s">
        <v>15</v>
      </c>
      <c r="F197" s="115" t="s">
        <v>33</v>
      </c>
      <c r="G197" s="116">
        <v>16</v>
      </c>
      <c r="H197" s="125">
        <v>10</v>
      </c>
      <c r="I197" s="111">
        <f>6+1</f>
        <v>7</v>
      </c>
      <c r="J197" s="117">
        <f t="shared" si="105"/>
        <v>1.1200000000000001</v>
      </c>
      <c r="K197" s="118"/>
      <c r="L197" s="111">
        <v>7</v>
      </c>
      <c r="M197" s="117">
        <f t="shared" si="106"/>
        <v>1.1200000000000001</v>
      </c>
      <c r="N197" s="119">
        <f t="shared" si="107"/>
        <v>0</v>
      </c>
      <c r="O197" s="120">
        <f t="shared" si="108"/>
        <v>0</v>
      </c>
      <c r="P197" s="111"/>
      <c r="Q197" s="32"/>
    </row>
    <row r="198" spans="1:17" ht="15.6">
      <c r="A198" s="110" t="s">
        <v>408</v>
      </c>
      <c r="B198" s="111" t="s">
        <v>232</v>
      </c>
      <c r="C198" s="112" t="s">
        <v>228</v>
      </c>
      <c r="D198" s="113" t="s">
        <v>382</v>
      </c>
      <c r="E198" s="114" t="s">
        <v>15</v>
      </c>
      <c r="F198" s="115" t="s">
        <v>33</v>
      </c>
      <c r="G198" s="116">
        <v>16</v>
      </c>
      <c r="H198" s="125">
        <v>11.3</v>
      </c>
      <c r="I198" s="111">
        <f>16+18</f>
        <v>34</v>
      </c>
      <c r="J198" s="117">
        <f t="shared" ref="J198:J204" si="109">H198*G198*I198/1000</f>
        <v>6.1472000000000007</v>
      </c>
      <c r="K198" s="118"/>
      <c r="L198" s="111">
        <v>34</v>
      </c>
      <c r="M198" s="117">
        <f t="shared" ref="M198:M206" si="110">H198*L198*G198/1000</f>
        <v>6.1472000000000007</v>
      </c>
      <c r="N198" s="119">
        <f t="shared" ref="N198:N206" si="111">I198-L198</f>
        <v>0</v>
      </c>
      <c r="O198" s="120">
        <f t="shared" ref="O198:O203" si="112">H198*N198*G198/1000</f>
        <v>0</v>
      </c>
      <c r="P198" s="111"/>
      <c r="Q198" s="32"/>
    </row>
    <row r="199" spans="1:17" ht="15.6">
      <c r="A199" s="110" t="s">
        <v>408</v>
      </c>
      <c r="B199" s="111" t="s">
        <v>232</v>
      </c>
      <c r="C199" s="112" t="s">
        <v>228</v>
      </c>
      <c r="D199" s="113" t="s">
        <v>382</v>
      </c>
      <c r="E199" s="114" t="s">
        <v>15</v>
      </c>
      <c r="F199" s="115" t="s">
        <v>33</v>
      </c>
      <c r="G199" s="116">
        <v>16</v>
      </c>
      <c r="H199" s="125">
        <v>11.8</v>
      </c>
      <c r="I199" s="111">
        <v>2</v>
      </c>
      <c r="J199" s="117">
        <f t="shared" si="109"/>
        <v>0.37760000000000005</v>
      </c>
      <c r="K199" s="118"/>
      <c r="L199" s="111">
        <v>2</v>
      </c>
      <c r="M199" s="117">
        <f t="shared" si="110"/>
        <v>0.37760000000000005</v>
      </c>
      <c r="N199" s="119">
        <f t="shared" si="111"/>
        <v>0</v>
      </c>
      <c r="O199" s="120">
        <f t="shared" si="112"/>
        <v>0</v>
      </c>
      <c r="P199" s="111"/>
      <c r="Q199" s="32"/>
    </row>
    <row r="200" spans="1:17" ht="15.6">
      <c r="A200" s="110" t="s">
        <v>408</v>
      </c>
      <c r="B200" s="111" t="s">
        <v>232</v>
      </c>
      <c r="C200" s="112" t="s">
        <v>228</v>
      </c>
      <c r="D200" s="113" t="s">
        <v>382</v>
      </c>
      <c r="E200" s="114" t="s">
        <v>15</v>
      </c>
      <c r="F200" s="115" t="s">
        <v>33</v>
      </c>
      <c r="G200" s="116">
        <v>16</v>
      </c>
      <c r="H200" s="125">
        <v>7.15</v>
      </c>
      <c r="I200" s="111">
        <v>1</v>
      </c>
      <c r="J200" s="117">
        <f t="shared" si="109"/>
        <v>0.1144</v>
      </c>
      <c r="K200" s="118"/>
      <c r="L200" s="111">
        <v>1</v>
      </c>
      <c r="M200" s="117">
        <f t="shared" si="110"/>
        <v>0.1144</v>
      </c>
      <c r="N200" s="119">
        <f t="shared" si="111"/>
        <v>0</v>
      </c>
      <c r="O200" s="120">
        <f t="shared" si="112"/>
        <v>0</v>
      </c>
      <c r="P200" s="130">
        <v>6.1</v>
      </c>
      <c r="Q200" s="32">
        <v>1</v>
      </c>
    </row>
    <row r="201" spans="1:17" ht="15.6">
      <c r="A201" s="110" t="s">
        <v>408</v>
      </c>
      <c r="B201" s="111" t="s">
        <v>232</v>
      </c>
      <c r="C201" s="112" t="s">
        <v>228</v>
      </c>
      <c r="D201" s="113" t="s">
        <v>382</v>
      </c>
      <c r="E201" s="114" t="s">
        <v>15</v>
      </c>
      <c r="F201" s="115" t="s">
        <v>33</v>
      </c>
      <c r="G201" s="116">
        <v>16</v>
      </c>
      <c r="H201" s="125">
        <v>9</v>
      </c>
      <c r="I201" s="111">
        <v>1</v>
      </c>
      <c r="J201" s="117">
        <f t="shared" si="109"/>
        <v>0.14399999999999999</v>
      </c>
      <c r="K201" s="118"/>
      <c r="L201" s="111">
        <v>1</v>
      </c>
      <c r="M201" s="117">
        <f t="shared" si="110"/>
        <v>0.14399999999999999</v>
      </c>
      <c r="N201" s="119">
        <f t="shared" si="111"/>
        <v>0</v>
      </c>
      <c r="O201" s="120">
        <f t="shared" si="112"/>
        <v>0</v>
      </c>
      <c r="P201" s="130">
        <v>6.1</v>
      </c>
      <c r="Q201" s="32">
        <v>1</v>
      </c>
    </row>
    <row r="202" spans="1:17" ht="15.6">
      <c r="A202" s="110" t="s">
        <v>408</v>
      </c>
      <c r="B202" s="111" t="s">
        <v>232</v>
      </c>
      <c r="C202" s="112" t="s">
        <v>228</v>
      </c>
      <c r="D202" s="113" t="s">
        <v>382</v>
      </c>
      <c r="E202" s="114" t="s">
        <v>15</v>
      </c>
      <c r="F202" s="115" t="s">
        <v>33</v>
      </c>
      <c r="G202" s="116">
        <v>16</v>
      </c>
      <c r="H202" s="125">
        <v>9.6</v>
      </c>
      <c r="I202" s="111">
        <v>1</v>
      </c>
      <c r="J202" s="117">
        <f t="shared" si="109"/>
        <v>0.15359999999999999</v>
      </c>
      <c r="K202" s="118"/>
      <c r="L202" s="111">
        <v>1</v>
      </c>
      <c r="M202" s="117">
        <f t="shared" si="110"/>
        <v>0.15359999999999999</v>
      </c>
      <c r="N202" s="119">
        <f t="shared" si="111"/>
        <v>0</v>
      </c>
      <c r="O202" s="120">
        <f t="shared" si="112"/>
        <v>0</v>
      </c>
      <c r="P202" s="130">
        <v>7.2</v>
      </c>
      <c r="Q202" s="32">
        <v>1</v>
      </c>
    </row>
    <row r="203" spans="1:17" ht="15.6">
      <c r="A203" s="110" t="s">
        <v>408</v>
      </c>
      <c r="B203" s="111" t="s">
        <v>232</v>
      </c>
      <c r="C203" s="112" t="s">
        <v>228</v>
      </c>
      <c r="D203" s="113" t="s">
        <v>382</v>
      </c>
      <c r="E203" s="114" t="s">
        <v>15</v>
      </c>
      <c r="F203" s="115" t="s">
        <v>33</v>
      </c>
      <c r="G203" s="116">
        <v>16</v>
      </c>
      <c r="H203" s="125">
        <v>10.5</v>
      </c>
      <c r="I203" s="111">
        <v>1</v>
      </c>
      <c r="J203" s="117">
        <f t="shared" si="109"/>
        <v>0.16800000000000001</v>
      </c>
      <c r="K203" s="118"/>
      <c r="L203" s="111">
        <v>1</v>
      </c>
      <c r="M203" s="117">
        <f t="shared" si="110"/>
        <v>0.16800000000000001</v>
      </c>
      <c r="N203" s="119">
        <f t="shared" si="111"/>
        <v>0</v>
      </c>
      <c r="O203" s="120">
        <f t="shared" si="112"/>
        <v>0</v>
      </c>
      <c r="P203" s="130"/>
      <c r="Q203" s="32"/>
    </row>
    <row r="204" spans="1:17" ht="15.6">
      <c r="A204" s="110" t="s">
        <v>408</v>
      </c>
      <c r="B204" s="111" t="s">
        <v>232</v>
      </c>
      <c r="C204" s="112" t="s">
        <v>228</v>
      </c>
      <c r="D204" s="113" t="s">
        <v>382</v>
      </c>
      <c r="E204" s="114" t="s">
        <v>15</v>
      </c>
      <c r="F204" s="115" t="s">
        <v>33</v>
      </c>
      <c r="G204" s="116">
        <v>16</v>
      </c>
      <c r="H204" s="125">
        <v>10</v>
      </c>
      <c r="I204" s="111">
        <v>6</v>
      </c>
      <c r="J204" s="117">
        <f t="shared" si="109"/>
        <v>0.96</v>
      </c>
      <c r="K204" s="118"/>
      <c r="L204" s="111">
        <v>4</v>
      </c>
      <c r="M204" s="117">
        <f t="shared" si="110"/>
        <v>0.64</v>
      </c>
      <c r="N204" s="119">
        <f t="shared" si="111"/>
        <v>2</v>
      </c>
      <c r="O204" s="120">
        <f>H204*N204*G204/1000</f>
        <v>0.32</v>
      </c>
      <c r="P204" s="130">
        <v>7.2</v>
      </c>
      <c r="Q204" s="32">
        <v>4</v>
      </c>
    </row>
    <row r="205" spans="1:17" ht="15.6">
      <c r="A205" s="110" t="s">
        <v>408</v>
      </c>
      <c r="B205" s="111" t="s">
        <v>232</v>
      </c>
      <c r="C205" s="112" t="s">
        <v>228</v>
      </c>
      <c r="D205" s="113" t="s">
        <v>382</v>
      </c>
      <c r="E205" s="114" t="s">
        <v>15</v>
      </c>
      <c r="F205" s="115" t="s">
        <v>33</v>
      </c>
      <c r="G205" s="116">
        <v>16</v>
      </c>
      <c r="H205" s="125">
        <v>11.8</v>
      </c>
      <c r="I205" s="111">
        <v>3</v>
      </c>
      <c r="J205" s="117">
        <f>H205*G205*I205/1000</f>
        <v>0.56640000000000013</v>
      </c>
      <c r="K205" s="118"/>
      <c r="L205" s="111"/>
      <c r="M205" s="117">
        <f t="shared" si="110"/>
        <v>0</v>
      </c>
      <c r="N205" s="141">
        <f t="shared" si="111"/>
        <v>3</v>
      </c>
      <c r="O205" s="142">
        <f>H205*N205*G205/1000</f>
        <v>0.56640000000000013</v>
      </c>
      <c r="P205" s="111" t="s">
        <v>519</v>
      </c>
      <c r="Q205" s="32"/>
    </row>
    <row r="206" spans="1:17" ht="15.6">
      <c r="A206" s="110" t="s">
        <v>408</v>
      </c>
      <c r="B206" s="111" t="s">
        <v>232</v>
      </c>
      <c r="C206" s="112" t="s">
        <v>228</v>
      </c>
      <c r="D206" s="113" t="s">
        <v>382</v>
      </c>
      <c r="E206" s="114" t="s">
        <v>15</v>
      </c>
      <c r="F206" s="115" t="s">
        <v>33</v>
      </c>
      <c r="G206" s="116">
        <v>16</v>
      </c>
      <c r="H206" s="125">
        <v>11</v>
      </c>
      <c r="I206" s="111">
        <v>3</v>
      </c>
      <c r="J206" s="117">
        <f>H206*G206*I206/1000</f>
        <v>0.52800000000000002</v>
      </c>
      <c r="K206" s="118"/>
      <c r="L206" s="111"/>
      <c r="M206" s="117">
        <f t="shared" si="110"/>
        <v>0</v>
      </c>
      <c r="N206" s="119">
        <f t="shared" si="111"/>
        <v>3</v>
      </c>
      <c r="O206" s="120">
        <f>H206*N206*G206/1000</f>
        <v>0.52800000000000002</v>
      </c>
      <c r="P206" s="111"/>
      <c r="Q206" s="32"/>
    </row>
    <row r="207" spans="1:17">
      <c r="I207" s="215">
        <f>SUM(I194:I206)</f>
        <v>218</v>
      </c>
      <c r="J207" s="214">
        <f>SUM(J194:J206)</f>
        <v>28.207200000000004</v>
      </c>
      <c r="L207" s="215">
        <f>SUM(L194:L206)</f>
        <v>210</v>
      </c>
      <c r="M207" s="214">
        <f>SUM(M194:M206)</f>
        <v>26.792800000000003</v>
      </c>
      <c r="N207" s="78">
        <f>SUM(N194:N206)</f>
        <v>8</v>
      </c>
      <c r="O207" s="128">
        <f>SUM(O194:O206)</f>
        <v>1.4144000000000001</v>
      </c>
      <c r="Q207" s="215">
        <f>SUM(Q194:Q206)</f>
        <v>7</v>
      </c>
    </row>
    <row r="210" spans="1:20" ht="15.6">
      <c r="A210" s="110" t="s">
        <v>547</v>
      </c>
      <c r="B210" s="111" t="s">
        <v>505</v>
      </c>
      <c r="C210" s="112" t="s">
        <v>449</v>
      </c>
      <c r="D210" s="113" t="s">
        <v>130</v>
      </c>
      <c r="E210" s="114" t="s">
        <v>15</v>
      </c>
      <c r="F210" s="115" t="s">
        <v>42</v>
      </c>
      <c r="G210" s="116">
        <v>19.8</v>
      </c>
      <c r="H210" s="125">
        <v>12</v>
      </c>
      <c r="I210" s="111">
        <v>12</v>
      </c>
      <c r="J210" s="117">
        <f>H210*G210*I210/1000</f>
        <v>2.8512000000000004</v>
      </c>
      <c r="K210" s="32"/>
      <c r="L210" s="111">
        <v>12</v>
      </c>
      <c r="M210" s="117">
        <f t="shared" ref="M210" si="113">H210*L210*G210/1000</f>
        <v>2.8512000000000004</v>
      </c>
      <c r="N210" s="119">
        <f t="shared" ref="N210" si="114">I210-L210</f>
        <v>0</v>
      </c>
      <c r="O210" s="120">
        <f t="shared" ref="O210" si="115">H210*N210*G210/1000</f>
        <v>0</v>
      </c>
      <c r="P210" s="111"/>
      <c r="Q210" s="32"/>
    </row>
    <row r="211" spans="1:20" ht="15.6">
      <c r="A211" s="110" t="s">
        <v>547</v>
      </c>
      <c r="B211" s="111" t="s">
        <v>505</v>
      </c>
      <c r="C211" s="112" t="s">
        <v>449</v>
      </c>
      <c r="D211" s="113" t="s">
        <v>130</v>
      </c>
      <c r="E211" s="114" t="s">
        <v>15</v>
      </c>
      <c r="F211" s="115" t="s">
        <v>42</v>
      </c>
      <c r="G211" s="116">
        <v>19.8</v>
      </c>
      <c r="H211" s="125">
        <v>12</v>
      </c>
      <c r="I211" s="111">
        <v>12</v>
      </c>
      <c r="J211" s="117">
        <f>H211*G211*I211/1000</f>
        <v>2.8512000000000004</v>
      </c>
      <c r="K211" s="32"/>
      <c r="L211" s="111">
        <v>12</v>
      </c>
      <c r="M211" s="117">
        <f t="shared" ref="M211:M227" si="116">H211*L211*G211/1000</f>
        <v>2.8512000000000004</v>
      </c>
      <c r="N211" s="119">
        <f t="shared" ref="N211:N227" si="117">I211-L211</f>
        <v>0</v>
      </c>
      <c r="O211" s="120">
        <f t="shared" ref="O211:O226" si="118">H211*N211*G211/1000</f>
        <v>0</v>
      </c>
      <c r="P211" s="111"/>
      <c r="Q211" s="32"/>
    </row>
    <row r="212" spans="1:20" ht="15.6">
      <c r="A212" s="110" t="s">
        <v>547</v>
      </c>
      <c r="B212" s="111" t="s">
        <v>505</v>
      </c>
      <c r="C212" s="112" t="s">
        <v>449</v>
      </c>
      <c r="D212" s="113" t="s">
        <v>130</v>
      </c>
      <c r="E212" s="114" t="s">
        <v>15</v>
      </c>
      <c r="F212" s="115" t="s">
        <v>42</v>
      </c>
      <c r="G212" s="116">
        <v>19.8</v>
      </c>
      <c r="H212" s="125">
        <v>12</v>
      </c>
      <c r="I212" s="111">
        <v>13</v>
      </c>
      <c r="J212" s="117">
        <f>H212*G212*I212/1000</f>
        <v>3.0888</v>
      </c>
      <c r="K212" s="32"/>
      <c r="L212" s="111">
        <v>13</v>
      </c>
      <c r="M212" s="117">
        <f t="shared" si="116"/>
        <v>3.0888</v>
      </c>
      <c r="N212" s="119">
        <f t="shared" si="117"/>
        <v>0</v>
      </c>
      <c r="O212" s="120">
        <f t="shared" si="118"/>
        <v>0</v>
      </c>
      <c r="P212" s="111"/>
      <c r="Q212" s="32"/>
    </row>
    <row r="213" spans="1:20" ht="15.6">
      <c r="A213" s="110" t="s">
        <v>547</v>
      </c>
      <c r="B213" s="111" t="s">
        <v>505</v>
      </c>
      <c r="C213" s="112" t="s">
        <v>449</v>
      </c>
      <c r="D213" s="113" t="s">
        <v>130</v>
      </c>
      <c r="E213" s="114" t="s">
        <v>15</v>
      </c>
      <c r="F213" s="115" t="s">
        <v>42</v>
      </c>
      <c r="G213" s="116">
        <v>19.8</v>
      </c>
      <c r="H213" s="125">
        <v>11.8</v>
      </c>
      <c r="I213" s="111">
        <v>2</v>
      </c>
      <c r="J213" s="117">
        <f t="shared" ref="J213:J225" si="119">H213*G213*I213/1000</f>
        <v>0.46728000000000003</v>
      </c>
      <c r="K213" s="32"/>
      <c r="L213" s="32">
        <f>1+1</f>
        <v>2</v>
      </c>
      <c r="M213" s="117">
        <f t="shared" si="116"/>
        <v>0.46728000000000003</v>
      </c>
      <c r="N213" s="145">
        <f t="shared" si="117"/>
        <v>0</v>
      </c>
      <c r="O213" s="120">
        <f t="shared" si="118"/>
        <v>0</v>
      </c>
      <c r="P213" s="111">
        <v>9.5</v>
      </c>
      <c r="Q213" s="32">
        <v>1</v>
      </c>
      <c r="R213" s="213" t="s">
        <v>598</v>
      </c>
      <c r="S213" s="111">
        <v>12</v>
      </c>
      <c r="T213" s="32">
        <v>1</v>
      </c>
    </row>
    <row r="214" spans="1:20" ht="15.6">
      <c r="A214" s="110" t="s">
        <v>547</v>
      </c>
      <c r="B214" s="111" t="s">
        <v>505</v>
      </c>
      <c r="C214" s="112" t="s">
        <v>449</v>
      </c>
      <c r="D214" s="113" t="s">
        <v>130</v>
      </c>
      <c r="E214" s="114" t="s">
        <v>15</v>
      </c>
      <c r="F214" s="115" t="s">
        <v>42</v>
      </c>
      <c r="G214" s="116">
        <v>19.8</v>
      </c>
      <c r="H214" s="125">
        <v>11.7</v>
      </c>
      <c r="I214" s="111">
        <v>2</v>
      </c>
      <c r="J214" s="117">
        <f t="shared" si="119"/>
        <v>0.46332000000000001</v>
      </c>
      <c r="K214" s="32"/>
      <c r="L214" s="32">
        <v>2</v>
      </c>
      <c r="M214" s="117">
        <f t="shared" si="116"/>
        <v>0.46332000000000001</v>
      </c>
      <c r="N214" s="145">
        <f t="shared" si="117"/>
        <v>0</v>
      </c>
      <c r="O214" s="120">
        <f t="shared" si="118"/>
        <v>0</v>
      </c>
      <c r="P214" s="111">
        <v>9.5</v>
      </c>
      <c r="Q214" s="32">
        <v>2</v>
      </c>
      <c r="R214" s="213" t="s">
        <v>598</v>
      </c>
    </row>
    <row r="215" spans="1:20" ht="15.6">
      <c r="A215" s="110" t="s">
        <v>547</v>
      </c>
      <c r="B215" s="111" t="s">
        <v>505</v>
      </c>
      <c r="C215" s="112" t="s">
        <v>449</v>
      </c>
      <c r="D215" s="113" t="s">
        <v>130</v>
      </c>
      <c r="E215" s="114" t="s">
        <v>15</v>
      </c>
      <c r="F215" s="115" t="s">
        <v>42</v>
      </c>
      <c r="G215" s="116">
        <v>19.8</v>
      </c>
      <c r="H215" s="125">
        <v>12</v>
      </c>
      <c r="I215" s="111">
        <v>12</v>
      </c>
      <c r="J215" s="117">
        <f t="shared" si="119"/>
        <v>2.8512000000000004</v>
      </c>
      <c r="K215" s="32"/>
      <c r="L215" s="111">
        <v>12</v>
      </c>
      <c r="M215" s="117">
        <f t="shared" si="116"/>
        <v>2.8512000000000004</v>
      </c>
      <c r="N215" s="119">
        <f t="shared" si="117"/>
        <v>0</v>
      </c>
      <c r="O215" s="120">
        <f t="shared" si="118"/>
        <v>0</v>
      </c>
      <c r="P215" s="111"/>
      <c r="Q215" s="32"/>
    </row>
    <row r="216" spans="1:20" ht="15.6">
      <c r="A216" s="110" t="s">
        <v>547</v>
      </c>
      <c r="B216" s="111" t="s">
        <v>505</v>
      </c>
      <c r="C216" s="112" t="s">
        <v>449</v>
      </c>
      <c r="D216" s="113" t="s">
        <v>130</v>
      </c>
      <c r="E216" s="114" t="s">
        <v>15</v>
      </c>
      <c r="F216" s="115" t="s">
        <v>42</v>
      </c>
      <c r="G216" s="116">
        <v>19.8</v>
      </c>
      <c r="H216" s="125">
        <v>12</v>
      </c>
      <c r="I216" s="111">
        <v>12</v>
      </c>
      <c r="J216" s="117">
        <f t="shared" si="119"/>
        <v>2.8512000000000004</v>
      </c>
      <c r="K216" s="32"/>
      <c r="L216" s="111">
        <v>12</v>
      </c>
      <c r="M216" s="117">
        <f t="shared" si="116"/>
        <v>2.8512000000000004</v>
      </c>
      <c r="N216" s="119">
        <f t="shared" si="117"/>
        <v>0</v>
      </c>
      <c r="O216" s="120">
        <f t="shared" si="118"/>
        <v>0</v>
      </c>
      <c r="P216" s="111"/>
      <c r="Q216" s="32"/>
    </row>
    <row r="217" spans="1:20" ht="15.6">
      <c r="A217" s="110" t="s">
        <v>547</v>
      </c>
      <c r="B217" s="111" t="s">
        <v>505</v>
      </c>
      <c r="C217" s="112" t="s">
        <v>449</v>
      </c>
      <c r="D217" s="113" t="s">
        <v>130</v>
      </c>
      <c r="E217" s="114" t="s">
        <v>15</v>
      </c>
      <c r="F217" s="115" t="s">
        <v>42</v>
      </c>
      <c r="G217" s="116">
        <v>19.8</v>
      </c>
      <c r="H217" s="125">
        <v>12</v>
      </c>
      <c r="I217" s="111">
        <v>14</v>
      </c>
      <c r="J217" s="117">
        <f t="shared" si="119"/>
        <v>3.3264000000000005</v>
      </c>
      <c r="K217" s="32"/>
      <c r="L217" s="111">
        <v>14</v>
      </c>
      <c r="M217" s="117">
        <f t="shared" si="116"/>
        <v>3.3264</v>
      </c>
      <c r="N217" s="119">
        <f t="shared" si="117"/>
        <v>0</v>
      </c>
      <c r="O217" s="120">
        <f t="shared" si="118"/>
        <v>0</v>
      </c>
      <c r="P217" s="111"/>
      <c r="Q217" s="32"/>
    </row>
    <row r="218" spans="1:20" ht="15.6">
      <c r="A218" s="110" t="s">
        <v>547</v>
      </c>
      <c r="B218" s="111" t="s">
        <v>505</v>
      </c>
      <c r="C218" s="112" t="s">
        <v>449</v>
      </c>
      <c r="D218" s="113" t="s">
        <v>130</v>
      </c>
      <c r="E218" s="114" t="s">
        <v>15</v>
      </c>
      <c r="F218" s="115" t="s">
        <v>42</v>
      </c>
      <c r="G218" s="116">
        <v>19.8</v>
      </c>
      <c r="H218" s="125">
        <v>12</v>
      </c>
      <c r="I218" s="111">
        <v>8</v>
      </c>
      <c r="J218" s="117">
        <f t="shared" si="119"/>
        <v>1.9008000000000003</v>
      </c>
      <c r="K218" s="32"/>
      <c r="L218" s="111">
        <v>8</v>
      </c>
      <c r="M218" s="117">
        <f t="shared" si="116"/>
        <v>1.9008000000000003</v>
      </c>
      <c r="N218" s="119">
        <f t="shared" si="117"/>
        <v>0</v>
      </c>
      <c r="O218" s="120">
        <f t="shared" si="118"/>
        <v>0</v>
      </c>
      <c r="P218" s="111"/>
      <c r="Q218" s="32"/>
    </row>
    <row r="219" spans="1:20" ht="15.6">
      <c r="A219" s="110" t="s">
        <v>547</v>
      </c>
      <c r="B219" s="111" t="s">
        <v>505</v>
      </c>
      <c r="C219" s="112" t="s">
        <v>449</v>
      </c>
      <c r="D219" s="113" t="s">
        <v>130</v>
      </c>
      <c r="E219" s="114" t="s">
        <v>15</v>
      </c>
      <c r="F219" s="115" t="s">
        <v>42</v>
      </c>
      <c r="G219" s="116">
        <v>19.8</v>
      </c>
      <c r="H219" s="125">
        <v>11.8</v>
      </c>
      <c r="I219" s="111">
        <v>1</v>
      </c>
      <c r="J219" s="117">
        <f t="shared" si="119"/>
        <v>0.23364000000000001</v>
      </c>
      <c r="K219" s="32"/>
      <c r="L219" s="32">
        <v>1</v>
      </c>
      <c r="M219" s="117">
        <f t="shared" si="116"/>
        <v>0.23364000000000001</v>
      </c>
      <c r="N219" s="145">
        <f t="shared" si="117"/>
        <v>0</v>
      </c>
      <c r="O219" s="120">
        <f t="shared" si="118"/>
        <v>0</v>
      </c>
      <c r="P219" s="111">
        <v>9.5</v>
      </c>
      <c r="Q219" s="32">
        <v>1</v>
      </c>
      <c r="R219" s="213" t="s">
        <v>598</v>
      </c>
    </row>
    <row r="220" spans="1:20" ht="15.6">
      <c r="A220" s="110" t="s">
        <v>547</v>
      </c>
      <c r="B220" s="111" t="s">
        <v>505</v>
      </c>
      <c r="C220" s="112" t="s">
        <v>449</v>
      </c>
      <c r="D220" s="113" t="s">
        <v>130</v>
      </c>
      <c r="E220" s="114" t="s">
        <v>15</v>
      </c>
      <c r="F220" s="115" t="s">
        <v>42</v>
      </c>
      <c r="G220" s="116">
        <v>19.8</v>
      </c>
      <c r="H220" s="125">
        <v>11.5</v>
      </c>
      <c r="I220" s="111">
        <v>1</v>
      </c>
      <c r="J220" s="117">
        <f t="shared" si="119"/>
        <v>0.22770000000000001</v>
      </c>
      <c r="K220" s="32"/>
      <c r="L220" s="32">
        <v>1</v>
      </c>
      <c r="M220" s="117">
        <f t="shared" si="116"/>
        <v>0.22770000000000001</v>
      </c>
      <c r="N220" s="145">
        <f t="shared" si="117"/>
        <v>0</v>
      </c>
      <c r="O220" s="120">
        <f t="shared" si="118"/>
        <v>0</v>
      </c>
      <c r="P220" s="111">
        <v>9.5</v>
      </c>
      <c r="Q220" s="32">
        <v>1</v>
      </c>
      <c r="R220" s="213" t="s">
        <v>598</v>
      </c>
    </row>
    <row r="221" spans="1:20" ht="15.6">
      <c r="A221" s="110" t="s">
        <v>547</v>
      </c>
      <c r="B221" s="111" t="s">
        <v>505</v>
      </c>
      <c r="C221" s="112" t="s">
        <v>449</v>
      </c>
      <c r="D221" s="113" t="s">
        <v>130</v>
      </c>
      <c r="E221" s="114" t="s">
        <v>15</v>
      </c>
      <c r="F221" s="115" t="s">
        <v>42</v>
      </c>
      <c r="G221" s="116">
        <v>19.8</v>
      </c>
      <c r="H221" s="125">
        <v>10.95</v>
      </c>
      <c r="I221" s="111">
        <v>1</v>
      </c>
      <c r="J221" s="117">
        <f t="shared" si="119"/>
        <v>0.21681</v>
      </c>
      <c r="K221" s="32"/>
      <c r="L221" s="32">
        <v>1</v>
      </c>
      <c r="M221" s="117">
        <f t="shared" si="116"/>
        <v>0.21681</v>
      </c>
      <c r="N221" s="145">
        <f t="shared" si="117"/>
        <v>0</v>
      </c>
      <c r="O221" s="120">
        <f t="shared" si="118"/>
        <v>0</v>
      </c>
      <c r="P221" s="111">
        <v>9.5</v>
      </c>
      <c r="Q221" s="32">
        <v>1</v>
      </c>
      <c r="R221" s="213" t="s">
        <v>598</v>
      </c>
    </row>
    <row r="222" spans="1:20" ht="15.6">
      <c r="A222" s="110" t="s">
        <v>547</v>
      </c>
      <c r="B222" s="111" t="s">
        <v>505</v>
      </c>
      <c r="C222" s="112" t="s">
        <v>449</v>
      </c>
      <c r="D222" s="113" t="s">
        <v>130</v>
      </c>
      <c r="E222" s="114" t="s">
        <v>15</v>
      </c>
      <c r="F222" s="115" t="s">
        <v>42</v>
      </c>
      <c r="G222" s="116">
        <v>19.8</v>
      </c>
      <c r="H222" s="125">
        <v>12</v>
      </c>
      <c r="I222" s="111">
        <v>14</v>
      </c>
      <c r="J222" s="117">
        <f t="shared" si="119"/>
        <v>3.3264000000000005</v>
      </c>
      <c r="K222" s="32"/>
      <c r="L222" s="111">
        <v>14</v>
      </c>
      <c r="M222" s="117">
        <f t="shared" si="116"/>
        <v>3.3264</v>
      </c>
      <c r="N222" s="119">
        <f t="shared" si="117"/>
        <v>0</v>
      </c>
      <c r="O222" s="120">
        <f t="shared" si="118"/>
        <v>0</v>
      </c>
      <c r="P222" s="111"/>
      <c r="Q222" s="32"/>
    </row>
    <row r="223" spans="1:20" ht="15.6">
      <c r="A223" s="110" t="s">
        <v>547</v>
      </c>
      <c r="B223" s="111" t="s">
        <v>505</v>
      </c>
      <c r="C223" s="112" t="s">
        <v>449</v>
      </c>
      <c r="D223" s="113" t="s">
        <v>130</v>
      </c>
      <c r="E223" s="114" t="s">
        <v>15</v>
      </c>
      <c r="F223" s="115" t="s">
        <v>42</v>
      </c>
      <c r="G223" s="116">
        <v>19.8</v>
      </c>
      <c r="H223" s="125">
        <v>12</v>
      </c>
      <c r="I223" s="111">
        <v>14</v>
      </c>
      <c r="J223" s="117">
        <f t="shared" si="119"/>
        <v>3.3264000000000005</v>
      </c>
      <c r="K223" s="32"/>
      <c r="L223" s="111">
        <v>14</v>
      </c>
      <c r="M223" s="117">
        <f t="shared" si="116"/>
        <v>3.3264</v>
      </c>
      <c r="N223" s="119">
        <f t="shared" si="117"/>
        <v>0</v>
      </c>
      <c r="O223" s="120">
        <f t="shared" si="118"/>
        <v>0</v>
      </c>
      <c r="P223" s="111"/>
      <c r="Q223" s="32"/>
    </row>
    <row r="224" spans="1:20" ht="15.6">
      <c r="A224" s="110" t="s">
        <v>547</v>
      </c>
      <c r="B224" s="111" t="s">
        <v>505</v>
      </c>
      <c r="C224" s="112" t="s">
        <v>449</v>
      </c>
      <c r="D224" s="113" t="s">
        <v>130</v>
      </c>
      <c r="E224" s="114" t="s">
        <v>15</v>
      </c>
      <c r="F224" s="115" t="s">
        <v>42</v>
      </c>
      <c r="G224" s="116">
        <v>19.8</v>
      </c>
      <c r="H224" s="125">
        <v>12</v>
      </c>
      <c r="I224" s="111">
        <v>14</v>
      </c>
      <c r="J224" s="117">
        <f t="shared" si="119"/>
        <v>3.3264000000000005</v>
      </c>
      <c r="K224" s="32"/>
      <c r="L224" s="111">
        <v>14</v>
      </c>
      <c r="M224" s="117">
        <f t="shared" si="116"/>
        <v>3.3264</v>
      </c>
      <c r="N224" s="119">
        <f t="shared" si="117"/>
        <v>0</v>
      </c>
      <c r="O224" s="120">
        <f t="shared" si="118"/>
        <v>0</v>
      </c>
      <c r="P224" s="111"/>
      <c r="Q224" s="32"/>
    </row>
    <row r="225" spans="1:18" ht="15.6">
      <c r="A225" s="110" t="s">
        <v>547</v>
      </c>
      <c r="B225" s="111" t="s">
        <v>505</v>
      </c>
      <c r="C225" s="112" t="s">
        <v>449</v>
      </c>
      <c r="D225" s="113" t="s">
        <v>130</v>
      </c>
      <c r="E225" s="114" t="s">
        <v>15</v>
      </c>
      <c r="F225" s="115" t="s">
        <v>42</v>
      </c>
      <c r="G225" s="116">
        <v>19.8</v>
      </c>
      <c r="H225" s="125">
        <v>12</v>
      </c>
      <c r="I225" s="111">
        <v>14</v>
      </c>
      <c r="J225" s="117">
        <f t="shared" si="119"/>
        <v>3.3264000000000005</v>
      </c>
      <c r="K225" s="32"/>
      <c r="L225" s="111">
        <v>14</v>
      </c>
      <c r="M225" s="117">
        <f t="shared" si="116"/>
        <v>3.3264</v>
      </c>
      <c r="N225" s="119">
        <f t="shared" si="117"/>
        <v>0</v>
      </c>
      <c r="O225" s="120">
        <f t="shared" si="118"/>
        <v>0</v>
      </c>
      <c r="P225" s="111"/>
      <c r="Q225" s="32"/>
    </row>
    <row r="226" spans="1:18" ht="15.6">
      <c r="A226" s="110" t="s">
        <v>547</v>
      </c>
      <c r="B226" s="111" t="s">
        <v>505</v>
      </c>
      <c r="C226" s="112" t="s">
        <v>449</v>
      </c>
      <c r="D226" s="113" t="s">
        <v>130</v>
      </c>
      <c r="E226" s="114" t="s">
        <v>15</v>
      </c>
      <c r="F226" s="115" t="s">
        <v>42</v>
      </c>
      <c r="G226" s="116">
        <v>19.8</v>
      </c>
      <c r="H226" s="125">
        <v>12</v>
      </c>
      <c r="I226" s="111">
        <v>14</v>
      </c>
      <c r="J226" s="117">
        <f>H226*G226*I226/1000</f>
        <v>3.3264000000000005</v>
      </c>
      <c r="K226" s="32"/>
      <c r="L226" s="111">
        <v>14</v>
      </c>
      <c r="M226" s="117">
        <f t="shared" si="116"/>
        <v>3.3264</v>
      </c>
      <c r="N226" s="119">
        <f t="shared" si="117"/>
        <v>0</v>
      </c>
      <c r="O226" s="120">
        <f t="shared" si="118"/>
        <v>0</v>
      </c>
      <c r="P226" s="111"/>
      <c r="Q226" s="32"/>
    </row>
    <row r="227" spans="1:18" ht="15.6">
      <c r="A227" s="110" t="s">
        <v>547</v>
      </c>
      <c r="B227" s="111" t="s">
        <v>505</v>
      </c>
      <c r="C227" s="112" t="s">
        <v>449</v>
      </c>
      <c r="D227" s="113" t="s">
        <v>130</v>
      </c>
      <c r="E227" s="114" t="s">
        <v>15</v>
      </c>
      <c r="F227" s="115" t="s">
        <v>42</v>
      </c>
      <c r="G227" s="116">
        <v>19.8</v>
      </c>
      <c r="H227" s="125">
        <v>12</v>
      </c>
      <c r="I227" s="111">
        <v>6</v>
      </c>
      <c r="J227" s="117">
        <f>H227*G227*I227/1000</f>
        <v>1.4256000000000002</v>
      </c>
      <c r="K227" s="32"/>
      <c r="L227" s="111">
        <v>6</v>
      </c>
      <c r="M227" s="117">
        <f t="shared" si="116"/>
        <v>1.4256000000000002</v>
      </c>
      <c r="N227" s="119">
        <f t="shared" si="117"/>
        <v>0</v>
      </c>
      <c r="O227" s="120">
        <f>H227*N227*G227/1000</f>
        <v>0</v>
      </c>
      <c r="P227" s="111"/>
      <c r="Q227" s="32"/>
    </row>
    <row r="228" spans="1:18">
      <c r="A228" s="32"/>
      <c r="B228" s="32"/>
      <c r="C228" s="32"/>
      <c r="D228" s="32"/>
      <c r="E228" s="32"/>
      <c r="F228" s="32"/>
      <c r="G228" s="32"/>
      <c r="H228" s="32"/>
      <c r="I228" s="129">
        <f>SUM(I210:I227)</f>
        <v>166</v>
      </c>
      <c r="J228" s="124">
        <f>SUM(J210:J227)</f>
        <v>39.387150000000005</v>
      </c>
      <c r="K228" s="32"/>
      <c r="L228" s="129">
        <f>SUM(L210:L227)</f>
        <v>166</v>
      </c>
      <c r="M228" s="124">
        <f>SUM(M210:M227)</f>
        <v>39.387150000000005</v>
      </c>
      <c r="N228" s="129">
        <f>SUM(N210:N227)</f>
        <v>0</v>
      </c>
      <c r="O228" s="124">
        <f>SUM(O210:O227)</f>
        <v>0</v>
      </c>
      <c r="P228" s="32"/>
      <c r="Q228" s="32"/>
    </row>
    <row r="231" spans="1:18" ht="15.6">
      <c r="A231" s="110" t="s">
        <v>547</v>
      </c>
      <c r="B231" s="111" t="s">
        <v>232</v>
      </c>
      <c r="C231" s="112" t="s">
        <v>449</v>
      </c>
      <c r="D231" s="113" t="s">
        <v>506</v>
      </c>
      <c r="E231" s="114" t="s">
        <v>15</v>
      </c>
      <c r="F231" s="115" t="s">
        <v>42</v>
      </c>
      <c r="G231" s="116">
        <v>19.8</v>
      </c>
      <c r="H231" s="125">
        <v>12</v>
      </c>
      <c r="I231" s="111">
        <v>13</v>
      </c>
      <c r="J231" s="117">
        <f>H231*G231*I231/1000</f>
        <v>3.0888</v>
      </c>
      <c r="K231" s="32"/>
      <c r="L231" s="111">
        <v>13</v>
      </c>
      <c r="M231" s="117">
        <f t="shared" ref="M231" si="120">H231*L231*G231/1000</f>
        <v>3.0888</v>
      </c>
      <c r="N231" s="119">
        <f t="shared" ref="N231" si="121">I231-L231</f>
        <v>0</v>
      </c>
      <c r="O231" s="120">
        <f t="shared" ref="O231" si="122">H231*N231*G231/1000</f>
        <v>0</v>
      </c>
      <c r="P231" s="111"/>
      <c r="Q231" s="32"/>
    </row>
    <row r="232" spans="1:18" ht="15.6">
      <c r="A232" s="110" t="s">
        <v>547</v>
      </c>
      <c r="B232" s="111" t="s">
        <v>232</v>
      </c>
      <c r="C232" s="112" t="s">
        <v>449</v>
      </c>
      <c r="D232" s="113" t="s">
        <v>506</v>
      </c>
      <c r="E232" s="114" t="s">
        <v>15</v>
      </c>
      <c r="F232" s="115" t="s">
        <v>42</v>
      </c>
      <c r="G232" s="116">
        <v>19.8</v>
      </c>
      <c r="H232" s="125">
        <v>9.6</v>
      </c>
      <c r="I232" s="111">
        <v>11</v>
      </c>
      <c r="J232" s="117">
        <f>H232*G232*I232/1000</f>
        <v>2.0908800000000003</v>
      </c>
      <c r="K232" s="32"/>
      <c r="L232" s="111">
        <v>11</v>
      </c>
      <c r="M232" s="117">
        <f t="shared" ref="M232:M235" si="123">H232*L232*G232/1000</f>
        <v>2.0908800000000003</v>
      </c>
      <c r="N232" s="119">
        <f t="shared" ref="N232:N235" si="124">I232-L232</f>
        <v>0</v>
      </c>
      <c r="O232" s="120">
        <f t="shared" ref="O232:O234" si="125">H232*N232*G232/1000</f>
        <v>0</v>
      </c>
      <c r="P232" s="111"/>
      <c r="Q232" s="32"/>
    </row>
    <row r="233" spans="1:18" ht="15.6">
      <c r="A233" s="110" t="s">
        <v>547</v>
      </c>
      <c r="B233" s="111" t="s">
        <v>232</v>
      </c>
      <c r="C233" s="112" t="s">
        <v>449</v>
      </c>
      <c r="D233" s="113" t="s">
        <v>506</v>
      </c>
      <c r="E233" s="114" t="s">
        <v>15</v>
      </c>
      <c r="F233" s="115" t="s">
        <v>42</v>
      </c>
      <c r="G233" s="116">
        <v>19.8</v>
      </c>
      <c r="H233" s="125">
        <v>12</v>
      </c>
      <c r="I233" s="111">
        <v>1</v>
      </c>
      <c r="J233" s="117">
        <f>H233*G233*I233/1000</f>
        <v>0.23760000000000003</v>
      </c>
      <c r="K233" s="32"/>
      <c r="L233" s="111">
        <v>1</v>
      </c>
      <c r="M233" s="117">
        <f t="shared" si="123"/>
        <v>0.23760000000000003</v>
      </c>
      <c r="N233" s="119">
        <f t="shared" si="124"/>
        <v>0</v>
      </c>
      <c r="O233" s="120">
        <f t="shared" si="125"/>
        <v>0</v>
      </c>
      <c r="P233" s="111"/>
      <c r="Q233" s="32"/>
    </row>
    <row r="234" spans="1:18" ht="15.6">
      <c r="A234" s="110" t="s">
        <v>547</v>
      </c>
      <c r="B234" s="111" t="s">
        <v>232</v>
      </c>
      <c r="C234" s="112" t="s">
        <v>449</v>
      </c>
      <c r="D234" s="113" t="s">
        <v>506</v>
      </c>
      <c r="E234" s="114" t="s">
        <v>15</v>
      </c>
      <c r="F234" s="115" t="s">
        <v>42</v>
      </c>
      <c r="G234" s="116">
        <v>19.8</v>
      </c>
      <c r="H234" s="125">
        <v>12</v>
      </c>
      <c r="I234" s="111">
        <v>2</v>
      </c>
      <c r="J234" s="117">
        <f>H234*G234*I234/1000</f>
        <v>0.47520000000000007</v>
      </c>
      <c r="K234" s="32"/>
      <c r="L234" s="111">
        <f>1+1</f>
        <v>2</v>
      </c>
      <c r="M234" s="117">
        <f t="shared" si="123"/>
        <v>0.47520000000000007</v>
      </c>
      <c r="N234" s="119">
        <f t="shared" si="124"/>
        <v>0</v>
      </c>
      <c r="O234" s="120">
        <f t="shared" si="125"/>
        <v>0</v>
      </c>
      <c r="P234" s="111"/>
      <c r="Q234" s="32">
        <v>1</v>
      </c>
      <c r="R234" s="213" t="s">
        <v>548</v>
      </c>
    </row>
    <row r="235" spans="1:18" ht="15.6">
      <c r="A235" s="110" t="s">
        <v>547</v>
      </c>
      <c r="B235" s="111" t="s">
        <v>232</v>
      </c>
      <c r="C235" s="112" t="s">
        <v>449</v>
      </c>
      <c r="D235" s="113" t="s">
        <v>506</v>
      </c>
      <c r="E235" s="114" t="s">
        <v>15</v>
      </c>
      <c r="F235" s="115" t="s">
        <v>42</v>
      </c>
      <c r="G235" s="116">
        <v>19.8</v>
      </c>
      <c r="H235" s="125">
        <v>8.5</v>
      </c>
      <c r="I235" s="111">
        <v>1</v>
      </c>
      <c r="J235" s="117">
        <f>H235*G235*I235/1000</f>
        <v>0.16830000000000001</v>
      </c>
      <c r="K235" s="32"/>
      <c r="L235" s="111">
        <v>1</v>
      </c>
      <c r="M235" s="117">
        <f t="shared" si="123"/>
        <v>0.16830000000000001</v>
      </c>
      <c r="N235" s="119">
        <f t="shared" si="124"/>
        <v>0</v>
      </c>
      <c r="O235" s="120">
        <f>H235*N235*G235/1000</f>
        <v>0</v>
      </c>
      <c r="P235" s="111">
        <v>8.25</v>
      </c>
      <c r="Q235" s="45">
        <v>1</v>
      </c>
      <c r="R235" s="354" t="s">
        <v>760</v>
      </c>
    </row>
    <row r="236" spans="1:18">
      <c r="I236" s="215">
        <f>SUM(I231:I235)</f>
        <v>28</v>
      </c>
      <c r="J236" s="214">
        <f>SUM(J231:J235)</f>
        <v>6.0607800000000003</v>
      </c>
      <c r="L236" s="215">
        <f>SUM(L231:L235)</f>
        <v>28</v>
      </c>
      <c r="M236" s="214">
        <f>SUM(M231:M235)</f>
        <v>6.0607800000000003</v>
      </c>
      <c r="N236" s="215">
        <f>SUM(N231:N235)</f>
        <v>0</v>
      </c>
      <c r="O236" s="214">
        <f>SUM(O231:O235)</f>
        <v>0</v>
      </c>
    </row>
    <row r="238" spans="1:18" ht="15.6">
      <c r="A238" s="110" t="s">
        <v>547</v>
      </c>
      <c r="B238" s="111" t="s">
        <v>232</v>
      </c>
      <c r="C238" s="112" t="s">
        <v>449</v>
      </c>
      <c r="D238" s="113" t="s">
        <v>506</v>
      </c>
      <c r="E238" s="114" t="s">
        <v>15</v>
      </c>
      <c r="F238" s="115" t="s">
        <v>48</v>
      </c>
      <c r="G238" s="116">
        <v>23.45</v>
      </c>
      <c r="H238" s="125">
        <v>10</v>
      </c>
      <c r="I238" s="111">
        <v>3</v>
      </c>
      <c r="J238" s="117">
        <f>H238*G238*I238/1000</f>
        <v>0.70350000000000001</v>
      </c>
      <c r="K238" s="32"/>
      <c r="L238" s="111">
        <v>3</v>
      </c>
      <c r="M238" s="117">
        <f t="shared" ref="M238" si="126">H238*L238*G238/1000</f>
        <v>0.70350000000000001</v>
      </c>
      <c r="N238" s="119">
        <f t="shared" ref="N238" si="127">I238-L238</f>
        <v>0</v>
      </c>
      <c r="O238" s="120">
        <f t="shared" ref="O238" si="128">H238*N238*G238/1000</f>
        <v>0</v>
      </c>
      <c r="P238" s="111"/>
      <c r="Q238" s="32"/>
    </row>
    <row r="239" spans="1:18" ht="15.6">
      <c r="A239" s="110" t="s">
        <v>547</v>
      </c>
      <c r="B239" s="111" t="s">
        <v>232</v>
      </c>
      <c r="C239" s="112" t="s">
        <v>449</v>
      </c>
      <c r="D239" s="113" t="s">
        <v>506</v>
      </c>
      <c r="E239" s="114" t="s">
        <v>15</v>
      </c>
      <c r="F239" s="115" t="s">
        <v>48</v>
      </c>
      <c r="G239" s="116">
        <v>23.45</v>
      </c>
      <c r="H239" s="125">
        <v>10</v>
      </c>
      <c r="I239" s="111">
        <v>6</v>
      </c>
      <c r="J239" s="117">
        <f t="shared" ref="J239:J243" si="129">H239*G239*I239/1000</f>
        <v>1.407</v>
      </c>
      <c r="K239" s="32"/>
      <c r="L239" s="111">
        <v>6</v>
      </c>
      <c r="M239" s="117">
        <f t="shared" ref="M239:M243" si="130">H239*L239*G239/1000</f>
        <v>1.407</v>
      </c>
      <c r="N239" s="119">
        <f t="shared" ref="N239:N243" si="131">I239-L239</f>
        <v>0</v>
      </c>
      <c r="O239" s="120">
        <f t="shared" ref="O239:O242" si="132">H239*N239*G239/1000</f>
        <v>0</v>
      </c>
      <c r="P239" s="111"/>
      <c r="Q239" s="32"/>
    </row>
    <row r="240" spans="1:18" ht="15.6">
      <c r="A240" s="110" t="s">
        <v>547</v>
      </c>
      <c r="B240" s="111" t="s">
        <v>232</v>
      </c>
      <c r="C240" s="112" t="s">
        <v>449</v>
      </c>
      <c r="D240" s="113" t="s">
        <v>506</v>
      </c>
      <c r="E240" s="114" t="s">
        <v>15</v>
      </c>
      <c r="F240" s="115" t="s">
        <v>48</v>
      </c>
      <c r="G240" s="116">
        <v>23.45</v>
      </c>
      <c r="H240" s="125">
        <v>12</v>
      </c>
      <c r="I240" s="111">
        <v>7</v>
      </c>
      <c r="J240" s="117">
        <f t="shared" si="129"/>
        <v>1.9697999999999998</v>
      </c>
      <c r="K240" s="32"/>
      <c r="L240" s="111">
        <v>7</v>
      </c>
      <c r="M240" s="117">
        <f t="shared" si="130"/>
        <v>1.9698</v>
      </c>
      <c r="N240" s="119">
        <f t="shared" si="131"/>
        <v>0</v>
      </c>
      <c r="O240" s="120">
        <f t="shared" si="132"/>
        <v>0</v>
      </c>
      <c r="P240" s="111"/>
      <c r="Q240" s="32"/>
    </row>
    <row r="241" spans="1:21" ht="15.6">
      <c r="A241" s="110" t="s">
        <v>547</v>
      </c>
      <c r="B241" s="111" t="s">
        <v>232</v>
      </c>
      <c r="C241" s="112" t="s">
        <v>449</v>
      </c>
      <c r="D241" s="113" t="s">
        <v>506</v>
      </c>
      <c r="E241" s="114" t="s">
        <v>15</v>
      </c>
      <c r="F241" s="115" t="s">
        <v>48</v>
      </c>
      <c r="G241" s="116">
        <v>23.45</v>
      </c>
      <c r="H241" s="125">
        <v>12</v>
      </c>
      <c r="I241" s="111">
        <v>7</v>
      </c>
      <c r="J241" s="117">
        <f t="shared" si="129"/>
        <v>1.9697999999999998</v>
      </c>
      <c r="K241" s="32"/>
      <c r="L241" s="111">
        <f>2+5</f>
        <v>7</v>
      </c>
      <c r="M241" s="117">
        <f t="shared" si="130"/>
        <v>1.9698</v>
      </c>
      <c r="N241" s="119">
        <f t="shared" si="131"/>
        <v>0</v>
      </c>
      <c r="O241" s="120">
        <f t="shared" si="132"/>
        <v>0</v>
      </c>
      <c r="P241" s="111"/>
      <c r="Q241" s="32"/>
    </row>
    <row r="242" spans="1:21" ht="15.6">
      <c r="A242" s="110" t="s">
        <v>547</v>
      </c>
      <c r="B242" s="111" t="s">
        <v>232</v>
      </c>
      <c r="C242" s="112" t="s">
        <v>449</v>
      </c>
      <c r="D242" s="113" t="s">
        <v>506</v>
      </c>
      <c r="E242" s="114" t="s">
        <v>15</v>
      </c>
      <c r="F242" s="115" t="s">
        <v>48</v>
      </c>
      <c r="G242" s="116">
        <v>23.45</v>
      </c>
      <c r="H242" s="125">
        <v>12</v>
      </c>
      <c r="I242" s="111">
        <v>4</v>
      </c>
      <c r="J242" s="117">
        <f t="shared" si="129"/>
        <v>1.1255999999999999</v>
      </c>
      <c r="K242" s="32"/>
      <c r="L242" s="111">
        <f>2+2</f>
        <v>4</v>
      </c>
      <c r="M242" s="117">
        <f t="shared" si="130"/>
        <v>1.1255999999999999</v>
      </c>
      <c r="N242" s="119">
        <f t="shared" si="131"/>
        <v>0</v>
      </c>
      <c r="O242" s="120">
        <f t="shared" si="132"/>
        <v>0</v>
      </c>
      <c r="P242" s="111">
        <v>10.3</v>
      </c>
      <c r="Q242" s="45">
        <v>2</v>
      </c>
      <c r="R242" s="354" t="s">
        <v>600</v>
      </c>
      <c r="S242" s="213">
        <v>10.25</v>
      </c>
      <c r="T242" s="213">
        <v>2</v>
      </c>
      <c r="U242" s="213" t="s">
        <v>760</v>
      </c>
    </row>
    <row r="243" spans="1:21" ht="15.6">
      <c r="A243" s="110" t="s">
        <v>547</v>
      </c>
      <c r="B243" s="111" t="s">
        <v>232</v>
      </c>
      <c r="C243" s="112" t="s">
        <v>449</v>
      </c>
      <c r="D243" s="113" t="s">
        <v>506</v>
      </c>
      <c r="E243" s="114" t="s">
        <v>15</v>
      </c>
      <c r="F243" s="115" t="s">
        <v>48</v>
      </c>
      <c r="G243" s="116">
        <v>23.45</v>
      </c>
      <c r="H243" s="125">
        <v>10</v>
      </c>
      <c r="I243" s="111">
        <v>1</v>
      </c>
      <c r="J243" s="117">
        <f t="shared" si="129"/>
        <v>0.23449999999999999</v>
      </c>
      <c r="K243" s="32"/>
      <c r="L243" s="111">
        <v>1</v>
      </c>
      <c r="M243" s="117">
        <f t="shared" si="130"/>
        <v>0.23449999999999999</v>
      </c>
      <c r="N243" s="119">
        <f t="shared" si="131"/>
        <v>0</v>
      </c>
      <c r="O243" s="120">
        <f>H243*N243*G243/1000</f>
        <v>0</v>
      </c>
      <c r="P243" s="111">
        <v>7</v>
      </c>
      <c r="Q243" s="32">
        <v>1</v>
      </c>
    </row>
    <row r="244" spans="1:21">
      <c r="I244" s="215">
        <f>SUM(I238:I243)</f>
        <v>28</v>
      </c>
      <c r="J244" s="214">
        <f>SUM(J238:J243)</f>
        <v>7.4101999999999988</v>
      </c>
      <c r="L244" s="215">
        <f>SUM(L238:L243)</f>
        <v>28</v>
      </c>
      <c r="M244" s="214">
        <f>SUM(M238:M243)</f>
        <v>7.4102000000000006</v>
      </c>
      <c r="N244" s="215">
        <f>SUM(N238:N243)</f>
        <v>0</v>
      </c>
      <c r="O244" s="214">
        <f>SUM(O238:O243)</f>
        <v>0</v>
      </c>
    </row>
    <row r="247" spans="1:21" ht="15.6">
      <c r="A247" s="110" t="s">
        <v>547</v>
      </c>
      <c r="B247" s="111" t="s">
        <v>505</v>
      </c>
      <c r="C247" s="112" t="s">
        <v>449</v>
      </c>
      <c r="D247" s="113" t="s">
        <v>130</v>
      </c>
      <c r="E247" s="114" t="s">
        <v>15</v>
      </c>
      <c r="F247" s="115" t="s">
        <v>49</v>
      </c>
      <c r="G247" s="116">
        <v>17.82</v>
      </c>
      <c r="H247" s="125">
        <v>11.6</v>
      </c>
      <c r="I247" s="111">
        <v>15</v>
      </c>
      <c r="J247" s="117">
        <f t="shared" ref="J247" si="133">H247*G247*I247/1000</f>
        <v>3.1006799999999997</v>
      </c>
      <c r="K247" s="32"/>
      <c r="L247" s="32">
        <v>15</v>
      </c>
      <c r="M247" s="117">
        <f t="shared" ref="M247" si="134">H247*L247*G247/1000</f>
        <v>3.1006799999999997</v>
      </c>
      <c r="N247" s="119">
        <f t="shared" ref="N247" si="135">I247-L247</f>
        <v>0</v>
      </c>
      <c r="O247" s="120">
        <f t="shared" ref="O247" si="136">H247*N247*G247/1000</f>
        <v>0</v>
      </c>
      <c r="P247" s="111"/>
      <c r="Q247" s="32"/>
    </row>
    <row r="248" spans="1:21" ht="15.6">
      <c r="A248" s="110" t="s">
        <v>547</v>
      </c>
      <c r="B248" s="111" t="s">
        <v>505</v>
      </c>
      <c r="C248" s="112" t="s">
        <v>449</v>
      </c>
      <c r="D248" s="113" t="s">
        <v>130</v>
      </c>
      <c r="E248" s="114" t="s">
        <v>15</v>
      </c>
      <c r="F248" s="115" t="s">
        <v>49</v>
      </c>
      <c r="G248" s="116">
        <v>17.82</v>
      </c>
      <c r="H248" s="125">
        <v>11.6</v>
      </c>
      <c r="I248" s="111">
        <v>15</v>
      </c>
      <c r="J248" s="117">
        <f t="shared" ref="J248:J266" si="137">H248*G248*I248/1000</f>
        <v>3.1006799999999997</v>
      </c>
      <c r="K248" s="32"/>
      <c r="L248" s="32">
        <v>15</v>
      </c>
      <c r="M248" s="117">
        <f t="shared" ref="M248:M266" si="138">H248*L248*G248/1000</f>
        <v>3.1006799999999997</v>
      </c>
      <c r="N248" s="119">
        <f t="shared" ref="N248:N266" si="139">I248-L248</f>
        <v>0</v>
      </c>
      <c r="O248" s="120">
        <f t="shared" ref="O248:O266" si="140">H248*N248*G248/1000</f>
        <v>0</v>
      </c>
      <c r="P248" s="111"/>
      <c r="Q248" s="32"/>
    </row>
    <row r="249" spans="1:21" ht="15.6">
      <c r="A249" s="110" t="s">
        <v>547</v>
      </c>
      <c r="B249" s="111" t="s">
        <v>505</v>
      </c>
      <c r="C249" s="112" t="s">
        <v>449</v>
      </c>
      <c r="D249" s="113" t="s">
        <v>130</v>
      </c>
      <c r="E249" s="114" t="s">
        <v>15</v>
      </c>
      <c r="F249" s="115" t="s">
        <v>49</v>
      </c>
      <c r="G249" s="116">
        <v>17.82</v>
      </c>
      <c r="H249" s="125">
        <v>9.5</v>
      </c>
      <c r="I249" s="44">
        <v>19</v>
      </c>
      <c r="J249" s="117">
        <f t="shared" si="137"/>
        <v>3.21651</v>
      </c>
      <c r="K249" s="32"/>
      <c r="L249" s="32">
        <v>19</v>
      </c>
      <c r="M249" s="117">
        <f t="shared" si="138"/>
        <v>3.2165100000000004</v>
      </c>
      <c r="N249" s="119">
        <f t="shared" si="139"/>
        <v>0</v>
      </c>
      <c r="O249" s="120">
        <f t="shared" si="140"/>
        <v>0</v>
      </c>
      <c r="P249" s="111"/>
      <c r="Q249" s="32"/>
    </row>
    <row r="250" spans="1:21" ht="15.6">
      <c r="A250" s="110" t="s">
        <v>547</v>
      </c>
      <c r="B250" s="111" t="s">
        <v>505</v>
      </c>
      <c r="C250" s="112" t="s">
        <v>449</v>
      </c>
      <c r="D250" s="113" t="s">
        <v>130</v>
      </c>
      <c r="E250" s="114" t="s">
        <v>15</v>
      </c>
      <c r="F250" s="115" t="s">
        <v>49</v>
      </c>
      <c r="G250" s="116">
        <v>17.82</v>
      </c>
      <c r="H250" s="125">
        <v>11.6</v>
      </c>
      <c r="I250" s="111">
        <v>15</v>
      </c>
      <c r="J250" s="117">
        <f t="shared" si="137"/>
        <v>3.1006799999999997</v>
      </c>
      <c r="K250" s="32"/>
      <c r="L250" s="32">
        <v>15</v>
      </c>
      <c r="M250" s="117">
        <f t="shared" si="138"/>
        <v>3.1006799999999997</v>
      </c>
      <c r="N250" s="119">
        <f t="shared" si="139"/>
        <v>0</v>
      </c>
      <c r="O250" s="120">
        <f t="shared" si="140"/>
        <v>0</v>
      </c>
      <c r="P250" s="111"/>
      <c r="Q250" s="32"/>
    </row>
    <row r="251" spans="1:21" ht="15.6">
      <c r="A251" s="110" t="s">
        <v>547</v>
      </c>
      <c r="B251" s="111" t="s">
        <v>505</v>
      </c>
      <c r="C251" s="112" t="s">
        <v>449</v>
      </c>
      <c r="D251" s="113" t="s">
        <v>130</v>
      </c>
      <c r="E251" s="114" t="s">
        <v>15</v>
      </c>
      <c r="F251" s="115" t="s">
        <v>49</v>
      </c>
      <c r="G251" s="116">
        <v>17.82</v>
      </c>
      <c r="H251" s="125">
        <v>11.6</v>
      </c>
      <c r="I251" s="111">
        <v>15</v>
      </c>
      <c r="J251" s="117">
        <f t="shared" si="137"/>
        <v>3.1006799999999997</v>
      </c>
      <c r="K251" s="32"/>
      <c r="L251" s="32">
        <v>15</v>
      </c>
      <c r="M251" s="117">
        <f t="shared" si="138"/>
        <v>3.1006799999999997</v>
      </c>
      <c r="N251" s="119">
        <f t="shared" si="139"/>
        <v>0</v>
      </c>
      <c r="O251" s="120">
        <f t="shared" si="140"/>
        <v>0</v>
      </c>
      <c r="P251" s="111"/>
      <c r="Q251" s="32"/>
    </row>
    <row r="252" spans="1:21" ht="15.6">
      <c r="A252" s="110" t="s">
        <v>547</v>
      </c>
      <c r="B252" s="111" t="s">
        <v>505</v>
      </c>
      <c r="C252" s="112" t="s">
        <v>449</v>
      </c>
      <c r="D252" s="113" t="s">
        <v>130</v>
      </c>
      <c r="E252" s="114" t="s">
        <v>15</v>
      </c>
      <c r="F252" s="115" t="s">
        <v>49</v>
      </c>
      <c r="G252" s="116">
        <v>17.82</v>
      </c>
      <c r="H252" s="125">
        <v>11.6</v>
      </c>
      <c r="I252" s="111">
        <v>15</v>
      </c>
      <c r="J252" s="117">
        <f t="shared" si="137"/>
        <v>3.1006799999999997</v>
      </c>
      <c r="K252" s="32"/>
      <c r="L252" s="32">
        <v>15</v>
      </c>
      <c r="M252" s="117">
        <f t="shared" si="138"/>
        <v>3.1006799999999997</v>
      </c>
      <c r="N252" s="119">
        <f t="shared" si="139"/>
        <v>0</v>
      </c>
      <c r="O252" s="120">
        <f t="shared" si="140"/>
        <v>0</v>
      </c>
      <c r="P252" s="111"/>
      <c r="Q252" s="32"/>
    </row>
    <row r="253" spans="1:21" ht="15.6">
      <c r="A253" s="110" t="s">
        <v>547</v>
      </c>
      <c r="B253" s="111" t="s">
        <v>505</v>
      </c>
      <c r="C253" s="112" t="s">
        <v>449</v>
      </c>
      <c r="D253" s="113" t="s">
        <v>130</v>
      </c>
      <c r="E253" s="114" t="s">
        <v>15</v>
      </c>
      <c r="F253" s="115" t="s">
        <v>49</v>
      </c>
      <c r="G253" s="116">
        <v>17.82</v>
      </c>
      <c r="H253" s="125">
        <v>11.6</v>
      </c>
      <c r="I253" s="111">
        <v>8</v>
      </c>
      <c r="J253" s="117">
        <f t="shared" si="137"/>
        <v>1.6536959999999998</v>
      </c>
      <c r="K253" s="32"/>
      <c r="L253" s="32">
        <v>8</v>
      </c>
      <c r="M253" s="117">
        <f t="shared" si="138"/>
        <v>1.6536959999999998</v>
      </c>
      <c r="N253" s="119">
        <f t="shared" si="139"/>
        <v>0</v>
      </c>
      <c r="O253" s="120">
        <f t="shared" si="140"/>
        <v>0</v>
      </c>
      <c r="P253" s="111"/>
      <c r="Q253" s="32"/>
    </row>
    <row r="254" spans="1:21" ht="15.6">
      <c r="A254" s="110" t="s">
        <v>547</v>
      </c>
      <c r="B254" s="111" t="s">
        <v>505</v>
      </c>
      <c r="C254" s="112" t="s">
        <v>449</v>
      </c>
      <c r="D254" s="113" t="s">
        <v>130</v>
      </c>
      <c r="E254" s="114" t="s">
        <v>15</v>
      </c>
      <c r="F254" s="115" t="s">
        <v>49</v>
      </c>
      <c r="G254" s="116">
        <v>17.82</v>
      </c>
      <c r="H254" s="125">
        <v>9.5</v>
      </c>
      <c r="I254" s="44">
        <v>15</v>
      </c>
      <c r="J254" s="117">
        <f t="shared" si="137"/>
        <v>2.5393499999999998</v>
      </c>
      <c r="K254" s="32"/>
      <c r="L254" s="32">
        <v>15</v>
      </c>
      <c r="M254" s="117">
        <f t="shared" si="138"/>
        <v>2.5393499999999998</v>
      </c>
      <c r="N254" s="119">
        <f t="shared" si="139"/>
        <v>0</v>
      </c>
      <c r="O254" s="120">
        <f t="shared" si="140"/>
        <v>0</v>
      </c>
      <c r="P254" s="111"/>
      <c r="Q254" s="32"/>
    </row>
    <row r="255" spans="1:21" ht="15.6">
      <c r="A255" s="110" t="s">
        <v>547</v>
      </c>
      <c r="B255" s="111" t="s">
        <v>505</v>
      </c>
      <c r="C255" s="112" t="s">
        <v>449</v>
      </c>
      <c r="D255" s="113" t="s">
        <v>130</v>
      </c>
      <c r="E255" s="114" t="s">
        <v>15</v>
      </c>
      <c r="F255" s="115" t="s">
        <v>49</v>
      </c>
      <c r="G255" s="116">
        <v>17.82</v>
      </c>
      <c r="H255" s="125">
        <v>9.3000000000000007</v>
      </c>
      <c r="I255" s="111">
        <v>1</v>
      </c>
      <c r="J255" s="117">
        <f t="shared" si="137"/>
        <v>0.16572600000000004</v>
      </c>
      <c r="K255" s="32"/>
      <c r="L255" s="32">
        <v>1</v>
      </c>
      <c r="M255" s="117">
        <f t="shared" si="138"/>
        <v>0.16572600000000004</v>
      </c>
      <c r="N255" s="119">
        <f t="shared" si="139"/>
        <v>0</v>
      </c>
      <c r="O255" s="120">
        <f t="shared" si="140"/>
        <v>0</v>
      </c>
      <c r="P255" s="111">
        <v>7.1</v>
      </c>
      <c r="Q255" s="45">
        <v>1</v>
      </c>
    </row>
    <row r="256" spans="1:21" ht="15.6">
      <c r="A256" s="110" t="s">
        <v>547</v>
      </c>
      <c r="B256" s="111" t="s">
        <v>505</v>
      </c>
      <c r="C256" s="112" t="s">
        <v>449</v>
      </c>
      <c r="D256" s="113" t="s">
        <v>130</v>
      </c>
      <c r="E256" s="114" t="s">
        <v>15</v>
      </c>
      <c r="F256" s="115" t="s">
        <v>49</v>
      </c>
      <c r="G256" s="116">
        <v>17.82</v>
      </c>
      <c r="H256" s="125">
        <v>9.4</v>
      </c>
      <c r="I256" s="111">
        <v>2</v>
      </c>
      <c r="J256" s="117">
        <f t="shared" si="137"/>
        <v>0.33501600000000004</v>
      </c>
      <c r="K256" s="32"/>
      <c r="L256" s="32">
        <v>2</v>
      </c>
      <c r="M256" s="117">
        <f t="shared" si="138"/>
        <v>0.33501600000000004</v>
      </c>
      <c r="N256" s="119">
        <f t="shared" si="139"/>
        <v>0</v>
      </c>
      <c r="O256" s="120">
        <f t="shared" si="140"/>
        <v>0</v>
      </c>
      <c r="P256" s="111">
        <v>7.1</v>
      </c>
      <c r="Q256" s="45">
        <v>2</v>
      </c>
    </row>
    <row r="257" spans="1:17" ht="15.6">
      <c r="A257" s="110" t="s">
        <v>547</v>
      </c>
      <c r="B257" s="111" t="s">
        <v>505</v>
      </c>
      <c r="C257" s="112" t="s">
        <v>449</v>
      </c>
      <c r="D257" s="113" t="s">
        <v>130</v>
      </c>
      <c r="E257" s="114" t="s">
        <v>15</v>
      </c>
      <c r="F257" s="115" t="s">
        <v>49</v>
      </c>
      <c r="G257" s="116">
        <v>17.82</v>
      </c>
      <c r="H257" s="125">
        <v>9.5</v>
      </c>
      <c r="I257" s="44">
        <v>1</v>
      </c>
      <c r="J257" s="117">
        <f t="shared" si="137"/>
        <v>0.16929</v>
      </c>
      <c r="K257" s="32"/>
      <c r="L257" s="32">
        <v>1</v>
      </c>
      <c r="M257" s="117">
        <f t="shared" si="138"/>
        <v>0.16929</v>
      </c>
      <c r="N257" s="119">
        <f t="shared" si="139"/>
        <v>0</v>
      </c>
      <c r="O257" s="120">
        <f t="shared" si="140"/>
        <v>0</v>
      </c>
      <c r="P257" s="111"/>
      <c r="Q257" s="32"/>
    </row>
    <row r="258" spans="1:17" ht="15.6">
      <c r="A258" s="110" t="s">
        <v>547</v>
      </c>
      <c r="B258" s="111" t="s">
        <v>505</v>
      </c>
      <c r="C258" s="112" t="s">
        <v>449</v>
      </c>
      <c r="D258" s="113" t="s">
        <v>130</v>
      </c>
      <c r="E258" s="114" t="s">
        <v>15</v>
      </c>
      <c r="F258" s="115" t="s">
        <v>49</v>
      </c>
      <c r="G258" s="116">
        <v>17.82</v>
      </c>
      <c r="H258" s="125">
        <v>11.2</v>
      </c>
      <c r="I258" s="111">
        <v>1</v>
      </c>
      <c r="J258" s="117">
        <f t="shared" si="137"/>
        <v>0.19958400000000001</v>
      </c>
      <c r="K258" s="32"/>
      <c r="L258" s="32"/>
      <c r="M258" s="117">
        <f t="shared" si="138"/>
        <v>0</v>
      </c>
      <c r="N258" s="119">
        <f t="shared" si="139"/>
        <v>1</v>
      </c>
      <c r="O258" s="120">
        <f t="shared" si="140"/>
        <v>0.19958400000000001</v>
      </c>
      <c r="P258" s="111"/>
      <c r="Q258" s="32"/>
    </row>
    <row r="259" spans="1:17" ht="15.6">
      <c r="A259" s="110" t="s">
        <v>547</v>
      </c>
      <c r="B259" s="111" t="s">
        <v>505</v>
      </c>
      <c r="C259" s="112" t="s">
        <v>449</v>
      </c>
      <c r="D259" s="113" t="s">
        <v>130</v>
      </c>
      <c r="E259" s="114" t="s">
        <v>15</v>
      </c>
      <c r="F259" s="115" t="s">
        <v>49</v>
      </c>
      <c r="G259" s="116">
        <v>17.82</v>
      </c>
      <c r="H259" s="125">
        <v>11.3</v>
      </c>
      <c r="I259" s="111">
        <v>1</v>
      </c>
      <c r="J259" s="117">
        <f t="shared" si="137"/>
        <v>0.20136600000000002</v>
      </c>
      <c r="K259" s="32"/>
      <c r="L259" s="32"/>
      <c r="M259" s="117">
        <f t="shared" si="138"/>
        <v>0</v>
      </c>
      <c r="N259" s="119">
        <f t="shared" si="139"/>
        <v>1</v>
      </c>
      <c r="O259" s="120">
        <f t="shared" si="140"/>
        <v>0.20136600000000002</v>
      </c>
      <c r="P259" s="111"/>
      <c r="Q259" s="32"/>
    </row>
    <row r="260" spans="1:17" ht="15.6">
      <c r="A260" s="110" t="s">
        <v>547</v>
      </c>
      <c r="B260" s="111" t="s">
        <v>505</v>
      </c>
      <c r="C260" s="112" t="s">
        <v>449</v>
      </c>
      <c r="D260" s="113" t="s">
        <v>130</v>
      </c>
      <c r="E260" s="114" t="s">
        <v>15</v>
      </c>
      <c r="F260" s="115" t="s">
        <v>49</v>
      </c>
      <c r="G260" s="116">
        <v>17.82</v>
      </c>
      <c r="H260" s="125">
        <v>11.5</v>
      </c>
      <c r="I260" s="111">
        <v>1</v>
      </c>
      <c r="J260" s="117">
        <f t="shared" si="137"/>
        <v>0.20493</v>
      </c>
      <c r="K260" s="32"/>
      <c r="L260" s="32"/>
      <c r="M260" s="117">
        <f t="shared" si="138"/>
        <v>0</v>
      </c>
      <c r="N260" s="119">
        <f t="shared" si="139"/>
        <v>1</v>
      </c>
      <c r="O260" s="120">
        <f t="shared" si="140"/>
        <v>0.20493</v>
      </c>
      <c r="P260" s="111"/>
      <c r="Q260" s="32"/>
    </row>
    <row r="261" spans="1:17" ht="15.6">
      <c r="A261" s="110" t="s">
        <v>547</v>
      </c>
      <c r="B261" s="111" t="s">
        <v>505</v>
      </c>
      <c r="C261" s="112" t="s">
        <v>449</v>
      </c>
      <c r="D261" s="113" t="s">
        <v>130</v>
      </c>
      <c r="E261" s="114" t="s">
        <v>15</v>
      </c>
      <c r="F261" s="115" t="s">
        <v>49</v>
      </c>
      <c r="G261" s="116">
        <v>17.82</v>
      </c>
      <c r="H261" s="125">
        <v>9.5</v>
      </c>
      <c r="I261" s="44">
        <v>18</v>
      </c>
      <c r="J261" s="117">
        <f t="shared" si="137"/>
        <v>3.0472199999999998</v>
      </c>
      <c r="K261" s="32"/>
      <c r="L261" s="32">
        <v>18</v>
      </c>
      <c r="M261" s="117">
        <f t="shared" si="138"/>
        <v>3.0472200000000003</v>
      </c>
      <c r="N261" s="119">
        <f t="shared" si="139"/>
        <v>0</v>
      </c>
      <c r="O261" s="120">
        <f t="shared" si="140"/>
        <v>0</v>
      </c>
      <c r="P261" s="111"/>
      <c r="Q261" s="32"/>
    </row>
    <row r="262" spans="1:17" ht="15.6">
      <c r="A262" s="110" t="s">
        <v>547</v>
      </c>
      <c r="B262" s="111" t="s">
        <v>505</v>
      </c>
      <c r="C262" s="112" t="s">
        <v>449</v>
      </c>
      <c r="D262" s="113" t="s">
        <v>130</v>
      </c>
      <c r="E262" s="114" t="s">
        <v>15</v>
      </c>
      <c r="F262" s="115" t="s">
        <v>49</v>
      </c>
      <c r="G262" s="116">
        <v>17.82</v>
      </c>
      <c r="H262" s="125">
        <v>9.5</v>
      </c>
      <c r="I262" s="44">
        <v>18</v>
      </c>
      <c r="J262" s="117">
        <f t="shared" si="137"/>
        <v>3.0472199999999998</v>
      </c>
      <c r="K262" s="32"/>
      <c r="L262" s="32">
        <v>18</v>
      </c>
      <c r="M262" s="117">
        <f t="shared" si="138"/>
        <v>3.0472200000000003</v>
      </c>
      <c r="N262" s="119">
        <f t="shared" si="139"/>
        <v>0</v>
      </c>
      <c r="O262" s="120">
        <f t="shared" si="140"/>
        <v>0</v>
      </c>
      <c r="P262" s="111"/>
      <c r="Q262" s="32"/>
    </row>
    <row r="263" spans="1:17" ht="15.6">
      <c r="A263" s="110" t="s">
        <v>547</v>
      </c>
      <c r="B263" s="111" t="s">
        <v>505</v>
      </c>
      <c r="C263" s="112" t="s">
        <v>449</v>
      </c>
      <c r="D263" s="113" t="s">
        <v>130</v>
      </c>
      <c r="E263" s="114" t="s">
        <v>15</v>
      </c>
      <c r="F263" s="115" t="s">
        <v>49</v>
      </c>
      <c r="G263" s="116">
        <v>17.82</v>
      </c>
      <c r="H263" s="125">
        <v>9.5</v>
      </c>
      <c r="I263" s="44">
        <v>6</v>
      </c>
      <c r="J263" s="117">
        <f t="shared" si="137"/>
        <v>1.0157400000000001</v>
      </c>
      <c r="K263" s="32"/>
      <c r="L263" s="32">
        <v>6</v>
      </c>
      <c r="M263" s="117">
        <f t="shared" si="138"/>
        <v>1.0157400000000001</v>
      </c>
      <c r="N263" s="119">
        <f t="shared" si="139"/>
        <v>0</v>
      </c>
      <c r="O263" s="120">
        <f t="shared" si="140"/>
        <v>0</v>
      </c>
      <c r="P263" s="111"/>
      <c r="Q263" s="32"/>
    </row>
    <row r="264" spans="1:17" ht="15.6">
      <c r="A264" s="110" t="s">
        <v>547</v>
      </c>
      <c r="B264" s="111" t="s">
        <v>505</v>
      </c>
      <c r="C264" s="112" t="s">
        <v>449</v>
      </c>
      <c r="D264" s="113" t="s">
        <v>130</v>
      </c>
      <c r="E264" s="114" t="s">
        <v>15</v>
      </c>
      <c r="F264" s="115" t="s">
        <v>49</v>
      </c>
      <c r="G264" s="116">
        <v>17.82</v>
      </c>
      <c r="H264" s="125">
        <v>11.6</v>
      </c>
      <c r="I264" s="111">
        <v>7</v>
      </c>
      <c r="J264" s="117">
        <f t="shared" si="137"/>
        <v>1.4469839999999998</v>
      </c>
      <c r="K264" s="32"/>
      <c r="L264" s="32">
        <v>7</v>
      </c>
      <c r="M264" s="117">
        <f t="shared" si="138"/>
        <v>1.446984</v>
      </c>
      <c r="N264" s="119">
        <f t="shared" si="139"/>
        <v>0</v>
      </c>
      <c r="O264" s="120">
        <f t="shared" si="140"/>
        <v>0</v>
      </c>
      <c r="P264" s="111"/>
      <c r="Q264" s="32"/>
    </row>
    <row r="265" spans="1:17" ht="15.6">
      <c r="A265" s="110" t="s">
        <v>547</v>
      </c>
      <c r="B265" s="111" t="s">
        <v>505</v>
      </c>
      <c r="C265" s="112" t="s">
        <v>449</v>
      </c>
      <c r="D265" s="113" t="s">
        <v>130</v>
      </c>
      <c r="E265" s="114" t="s">
        <v>15</v>
      </c>
      <c r="F265" s="115" t="s">
        <v>49</v>
      </c>
      <c r="G265" s="116">
        <v>17.82</v>
      </c>
      <c r="H265" s="125">
        <v>11.6</v>
      </c>
      <c r="I265" s="111">
        <v>15</v>
      </c>
      <c r="J265" s="117">
        <f t="shared" si="137"/>
        <v>3.1006799999999997</v>
      </c>
      <c r="K265" s="32"/>
      <c r="L265" s="32">
        <v>15</v>
      </c>
      <c r="M265" s="117">
        <f t="shared" si="138"/>
        <v>3.1006799999999997</v>
      </c>
      <c r="N265" s="119">
        <f t="shared" si="139"/>
        <v>0</v>
      </c>
      <c r="O265" s="120">
        <f t="shared" si="140"/>
        <v>0</v>
      </c>
      <c r="P265" s="111"/>
      <c r="Q265" s="32"/>
    </row>
    <row r="266" spans="1:17" ht="15.6">
      <c r="A266" s="110" t="s">
        <v>547</v>
      </c>
      <c r="B266" s="111" t="s">
        <v>505</v>
      </c>
      <c r="C266" s="112" t="s">
        <v>449</v>
      </c>
      <c r="D266" s="113" t="s">
        <v>130</v>
      </c>
      <c r="E266" s="114" t="s">
        <v>15</v>
      </c>
      <c r="F266" s="115" t="s">
        <v>49</v>
      </c>
      <c r="G266" s="116">
        <v>17.82</v>
      </c>
      <c r="H266" s="125">
        <v>11.6</v>
      </c>
      <c r="I266" s="111">
        <v>15</v>
      </c>
      <c r="J266" s="117">
        <f t="shared" si="137"/>
        <v>3.1006799999999997</v>
      </c>
      <c r="K266" s="32"/>
      <c r="L266" s="32">
        <v>15</v>
      </c>
      <c r="M266" s="117">
        <f t="shared" si="138"/>
        <v>3.1006799999999997</v>
      </c>
      <c r="N266" s="119">
        <f t="shared" si="139"/>
        <v>0</v>
      </c>
      <c r="O266" s="120">
        <f t="shared" si="140"/>
        <v>0</v>
      </c>
      <c r="P266" s="111"/>
      <c r="Q266" s="32"/>
    </row>
    <row r="267" spans="1:17" ht="15.6">
      <c r="A267" s="110" t="s">
        <v>547</v>
      </c>
      <c r="B267" s="111" t="s">
        <v>505</v>
      </c>
      <c r="C267" s="112" t="s">
        <v>449</v>
      </c>
      <c r="D267" s="113" t="s">
        <v>130</v>
      </c>
      <c r="E267" s="114" t="s">
        <v>15</v>
      </c>
      <c r="F267" s="115" t="s">
        <v>49</v>
      </c>
      <c r="G267" s="116">
        <v>17.82</v>
      </c>
      <c r="H267" s="126">
        <v>9.5</v>
      </c>
      <c r="I267" s="447">
        <v>10</v>
      </c>
      <c r="J267" s="117">
        <f t="shared" ref="J267:J279" si="141">H267*G267*I267/1000</f>
        <v>1.6928999999999998</v>
      </c>
      <c r="K267" s="32"/>
      <c r="L267" s="32">
        <v>10</v>
      </c>
      <c r="M267" s="117">
        <f t="shared" ref="M267:M279" si="142">H267*L267*G267/1000</f>
        <v>1.6929000000000001</v>
      </c>
      <c r="N267" s="119">
        <f t="shared" ref="N267:N279" si="143">I267-L267</f>
        <v>0</v>
      </c>
      <c r="O267" s="120">
        <f t="shared" ref="O267:O279" si="144">H267*N267*G267/1000</f>
        <v>0</v>
      </c>
      <c r="P267" s="111"/>
      <c r="Q267" s="32"/>
    </row>
    <row r="268" spans="1:17" ht="15.6">
      <c r="A268" s="110" t="s">
        <v>547</v>
      </c>
      <c r="B268" s="111" t="s">
        <v>505</v>
      </c>
      <c r="C268" s="112" t="s">
        <v>449</v>
      </c>
      <c r="D268" s="113" t="s">
        <v>130</v>
      </c>
      <c r="E268" s="114" t="s">
        <v>15</v>
      </c>
      <c r="F268" s="115" t="s">
        <v>49</v>
      </c>
      <c r="G268" s="116">
        <v>17.82</v>
      </c>
      <c r="H268" s="126">
        <v>11.6</v>
      </c>
      <c r="I268" s="321">
        <v>11</v>
      </c>
      <c r="J268" s="117">
        <f t="shared" si="141"/>
        <v>2.2738320000000001</v>
      </c>
      <c r="K268" s="32"/>
      <c r="L268" s="32">
        <v>11</v>
      </c>
      <c r="M268" s="117">
        <f t="shared" si="142"/>
        <v>2.2738320000000001</v>
      </c>
      <c r="N268" s="119">
        <f t="shared" si="143"/>
        <v>0</v>
      </c>
      <c r="O268" s="120">
        <f t="shared" si="144"/>
        <v>0</v>
      </c>
      <c r="P268" s="111"/>
      <c r="Q268" s="32"/>
    </row>
    <row r="269" spans="1:17" ht="15.6">
      <c r="A269" s="110" t="s">
        <v>547</v>
      </c>
      <c r="B269" s="111" t="s">
        <v>505</v>
      </c>
      <c r="C269" s="112" t="s">
        <v>449</v>
      </c>
      <c r="D269" s="113" t="s">
        <v>130</v>
      </c>
      <c r="E269" s="114" t="s">
        <v>15</v>
      </c>
      <c r="F269" s="115" t="s">
        <v>49</v>
      </c>
      <c r="G269" s="116">
        <v>17.82</v>
      </c>
      <c r="H269" s="126">
        <v>12</v>
      </c>
      <c r="I269" s="321">
        <v>4</v>
      </c>
      <c r="J269" s="117">
        <f t="shared" si="141"/>
        <v>0.85536000000000001</v>
      </c>
      <c r="K269" s="32"/>
      <c r="L269" s="32">
        <v>4</v>
      </c>
      <c r="M269" s="117">
        <f t="shared" si="142"/>
        <v>0.85536000000000001</v>
      </c>
      <c r="N269" s="119">
        <f t="shared" si="143"/>
        <v>0</v>
      </c>
      <c r="O269" s="120">
        <f t="shared" si="144"/>
        <v>0</v>
      </c>
      <c r="P269" s="111">
        <v>11.6</v>
      </c>
      <c r="Q269" s="32">
        <v>4</v>
      </c>
    </row>
    <row r="270" spans="1:17" ht="15.6">
      <c r="A270" s="110" t="s">
        <v>547</v>
      </c>
      <c r="B270" s="111" t="s">
        <v>505</v>
      </c>
      <c r="C270" s="112" t="s">
        <v>449</v>
      </c>
      <c r="D270" s="113" t="s">
        <v>130</v>
      </c>
      <c r="E270" s="114" t="s">
        <v>15</v>
      </c>
      <c r="F270" s="115" t="s">
        <v>49</v>
      </c>
      <c r="G270" s="116">
        <v>17.82</v>
      </c>
      <c r="H270" s="126">
        <v>9</v>
      </c>
      <c r="I270" s="321">
        <v>1</v>
      </c>
      <c r="J270" s="117">
        <f t="shared" si="141"/>
        <v>0.16037999999999999</v>
      </c>
      <c r="K270" s="32"/>
      <c r="L270" s="32">
        <v>1</v>
      </c>
      <c r="M270" s="117">
        <f t="shared" si="142"/>
        <v>0.16037999999999999</v>
      </c>
      <c r="N270" s="119">
        <f t="shared" si="143"/>
        <v>0</v>
      </c>
      <c r="O270" s="120">
        <f t="shared" si="144"/>
        <v>0</v>
      </c>
      <c r="P270" s="111">
        <v>7.1</v>
      </c>
      <c r="Q270" s="45">
        <v>1</v>
      </c>
    </row>
    <row r="271" spans="1:17" ht="15.6">
      <c r="A271" s="110" t="s">
        <v>547</v>
      </c>
      <c r="B271" s="111" t="s">
        <v>505</v>
      </c>
      <c r="C271" s="112" t="s">
        <v>449</v>
      </c>
      <c r="D271" s="113" t="s">
        <v>130</v>
      </c>
      <c r="E271" s="114" t="s">
        <v>15</v>
      </c>
      <c r="F271" s="115" t="s">
        <v>49</v>
      </c>
      <c r="G271" s="116">
        <v>17.82</v>
      </c>
      <c r="H271" s="126">
        <v>9.1999999999999993</v>
      </c>
      <c r="I271" s="321">
        <v>2</v>
      </c>
      <c r="J271" s="117">
        <f t="shared" si="141"/>
        <v>0.32788799999999996</v>
      </c>
      <c r="K271" s="32"/>
      <c r="L271" s="32">
        <v>2</v>
      </c>
      <c r="M271" s="117">
        <f t="shared" si="142"/>
        <v>0.32788799999999996</v>
      </c>
      <c r="N271" s="119">
        <f t="shared" si="143"/>
        <v>0</v>
      </c>
      <c r="O271" s="120">
        <f t="shared" si="144"/>
        <v>0</v>
      </c>
      <c r="P271" s="111">
        <v>7.1</v>
      </c>
      <c r="Q271" s="45">
        <v>2</v>
      </c>
    </row>
    <row r="272" spans="1:17" ht="15.6">
      <c r="A272" s="110" t="s">
        <v>547</v>
      </c>
      <c r="B272" s="111" t="s">
        <v>505</v>
      </c>
      <c r="C272" s="112" t="s">
        <v>449</v>
      </c>
      <c r="D272" s="113" t="s">
        <v>130</v>
      </c>
      <c r="E272" s="114" t="s">
        <v>15</v>
      </c>
      <c r="F272" s="115" t="s">
        <v>49</v>
      </c>
      <c r="G272" s="116">
        <v>17.82</v>
      </c>
      <c r="H272" s="126">
        <v>11</v>
      </c>
      <c r="I272" s="321">
        <v>1</v>
      </c>
      <c r="J272" s="117">
        <f t="shared" si="141"/>
        <v>0.19602</v>
      </c>
      <c r="K272" s="32"/>
      <c r="L272" s="32"/>
      <c r="M272" s="117">
        <f t="shared" si="142"/>
        <v>0</v>
      </c>
      <c r="N272" s="119">
        <f t="shared" si="143"/>
        <v>1</v>
      </c>
      <c r="O272" s="120">
        <f t="shared" si="144"/>
        <v>0.19602</v>
      </c>
      <c r="P272" s="111"/>
      <c r="Q272" s="32"/>
    </row>
    <row r="273" spans="1:17" ht="15.6">
      <c r="A273" s="110" t="s">
        <v>547</v>
      </c>
      <c r="B273" s="111" t="s">
        <v>505</v>
      </c>
      <c r="C273" s="112" t="s">
        <v>449</v>
      </c>
      <c r="D273" s="113" t="s">
        <v>130</v>
      </c>
      <c r="E273" s="114" t="s">
        <v>15</v>
      </c>
      <c r="F273" s="115" t="s">
        <v>49</v>
      </c>
      <c r="G273" s="116">
        <v>17.82</v>
      </c>
      <c r="H273" s="126">
        <v>11.3</v>
      </c>
      <c r="I273" s="321">
        <v>6</v>
      </c>
      <c r="J273" s="117">
        <f t="shared" si="141"/>
        <v>1.208196</v>
      </c>
      <c r="K273" s="32"/>
      <c r="L273" s="32"/>
      <c r="M273" s="117">
        <f t="shared" si="142"/>
        <v>0</v>
      </c>
      <c r="N273" s="119">
        <f t="shared" si="143"/>
        <v>6</v>
      </c>
      <c r="O273" s="120">
        <f t="shared" si="144"/>
        <v>1.208196</v>
      </c>
      <c r="P273" s="111"/>
      <c r="Q273" s="32"/>
    </row>
    <row r="274" spans="1:17" ht="15.6">
      <c r="A274" s="110" t="s">
        <v>547</v>
      </c>
      <c r="B274" s="111" t="s">
        <v>505</v>
      </c>
      <c r="C274" s="112" t="s">
        <v>449</v>
      </c>
      <c r="D274" s="113" t="s">
        <v>130</v>
      </c>
      <c r="E274" s="114" t="s">
        <v>15</v>
      </c>
      <c r="F274" s="115" t="s">
        <v>49</v>
      </c>
      <c r="G274" s="116">
        <v>17.82</v>
      </c>
      <c r="H274" s="126">
        <v>9.5</v>
      </c>
      <c r="I274" s="447">
        <v>3</v>
      </c>
      <c r="J274" s="117">
        <f t="shared" si="141"/>
        <v>0.50787000000000004</v>
      </c>
      <c r="K274" s="32"/>
      <c r="L274" s="32">
        <v>3</v>
      </c>
      <c r="M274" s="117">
        <f t="shared" si="142"/>
        <v>0.50787000000000004</v>
      </c>
      <c r="N274" s="119">
        <f t="shared" si="143"/>
        <v>0</v>
      </c>
      <c r="O274" s="120">
        <f t="shared" si="144"/>
        <v>0</v>
      </c>
      <c r="P274" s="111"/>
      <c r="Q274" s="32"/>
    </row>
    <row r="275" spans="1:17" ht="15.6">
      <c r="A275" s="110" t="s">
        <v>547</v>
      </c>
      <c r="B275" s="111" t="s">
        <v>505</v>
      </c>
      <c r="C275" s="112" t="s">
        <v>449</v>
      </c>
      <c r="D275" s="113" t="s">
        <v>130</v>
      </c>
      <c r="E275" s="114" t="s">
        <v>15</v>
      </c>
      <c r="F275" s="115" t="s">
        <v>49</v>
      </c>
      <c r="G275" s="116">
        <v>17.82</v>
      </c>
      <c r="H275" s="126">
        <v>9.5</v>
      </c>
      <c r="I275" s="447">
        <v>18</v>
      </c>
      <c r="J275" s="117">
        <f t="shared" si="141"/>
        <v>3.0472199999999998</v>
      </c>
      <c r="K275" s="32"/>
      <c r="L275" s="32">
        <v>18</v>
      </c>
      <c r="M275" s="117">
        <f t="shared" si="142"/>
        <v>3.0472200000000003</v>
      </c>
      <c r="N275" s="119">
        <f t="shared" si="143"/>
        <v>0</v>
      </c>
      <c r="O275" s="120">
        <f t="shared" si="144"/>
        <v>0</v>
      </c>
      <c r="P275" s="111"/>
      <c r="Q275" s="32"/>
    </row>
    <row r="276" spans="1:17" ht="15.6">
      <c r="A276" s="110" t="s">
        <v>547</v>
      </c>
      <c r="B276" s="111" t="s">
        <v>505</v>
      </c>
      <c r="C276" s="112" t="s">
        <v>449</v>
      </c>
      <c r="D276" s="113" t="s">
        <v>130</v>
      </c>
      <c r="E276" s="114" t="s">
        <v>15</v>
      </c>
      <c r="F276" s="115" t="s">
        <v>49</v>
      </c>
      <c r="G276" s="116">
        <v>17.82</v>
      </c>
      <c r="H276" s="126">
        <v>9.5</v>
      </c>
      <c r="I276" s="447">
        <v>18</v>
      </c>
      <c r="J276" s="117">
        <f t="shared" si="141"/>
        <v>3.0472199999999998</v>
      </c>
      <c r="K276" s="32"/>
      <c r="L276" s="32">
        <v>18</v>
      </c>
      <c r="M276" s="117">
        <f t="shared" si="142"/>
        <v>3.0472200000000003</v>
      </c>
      <c r="N276" s="119">
        <f t="shared" si="143"/>
        <v>0</v>
      </c>
      <c r="O276" s="120">
        <f t="shared" si="144"/>
        <v>0</v>
      </c>
      <c r="P276" s="111"/>
      <c r="Q276" s="32"/>
    </row>
    <row r="277" spans="1:17" ht="15.6">
      <c r="A277" s="110" t="s">
        <v>547</v>
      </c>
      <c r="B277" s="111" t="s">
        <v>505</v>
      </c>
      <c r="C277" s="112" t="s">
        <v>449</v>
      </c>
      <c r="D277" s="113" t="s">
        <v>130</v>
      </c>
      <c r="E277" s="114" t="s">
        <v>15</v>
      </c>
      <c r="F277" s="115" t="s">
        <v>49</v>
      </c>
      <c r="G277" s="116">
        <v>17.82</v>
      </c>
      <c r="H277" s="126">
        <v>9.5</v>
      </c>
      <c r="I277" s="447">
        <v>9</v>
      </c>
      <c r="J277" s="117">
        <f t="shared" si="141"/>
        <v>1.5236099999999999</v>
      </c>
      <c r="K277" s="32"/>
      <c r="L277" s="32">
        <v>9</v>
      </c>
      <c r="M277" s="117">
        <f t="shared" si="142"/>
        <v>1.5236100000000001</v>
      </c>
      <c r="N277" s="119">
        <f t="shared" si="143"/>
        <v>0</v>
      </c>
      <c r="O277" s="120">
        <f t="shared" si="144"/>
        <v>0</v>
      </c>
      <c r="P277" s="111"/>
      <c r="Q277" s="32"/>
    </row>
    <row r="278" spans="1:17" ht="15.6">
      <c r="A278" s="110" t="s">
        <v>547</v>
      </c>
      <c r="B278" s="111" t="s">
        <v>505</v>
      </c>
      <c r="C278" s="112" t="s">
        <v>449</v>
      </c>
      <c r="D278" s="113" t="s">
        <v>130</v>
      </c>
      <c r="E278" s="114" t="s">
        <v>15</v>
      </c>
      <c r="F278" s="115" t="s">
        <v>49</v>
      </c>
      <c r="G278" s="116">
        <v>17.82</v>
      </c>
      <c r="H278" s="126">
        <v>9.6999999999999993</v>
      </c>
      <c r="I278" s="321">
        <v>1</v>
      </c>
      <c r="J278" s="117">
        <f t="shared" si="141"/>
        <v>0.17285399999999998</v>
      </c>
      <c r="K278" s="32"/>
      <c r="L278" s="32">
        <v>1</v>
      </c>
      <c r="M278" s="117">
        <f t="shared" si="142"/>
        <v>0.17285399999999998</v>
      </c>
      <c r="N278" s="119">
        <f t="shared" si="143"/>
        <v>0</v>
      </c>
      <c r="O278" s="120">
        <f t="shared" si="144"/>
        <v>0</v>
      </c>
      <c r="P278" s="111">
        <v>7.1</v>
      </c>
      <c r="Q278" s="45">
        <v>1</v>
      </c>
    </row>
    <row r="279" spans="1:17" ht="15.6">
      <c r="A279" s="110" t="s">
        <v>547</v>
      </c>
      <c r="B279" s="111" t="s">
        <v>505</v>
      </c>
      <c r="C279" s="112" t="s">
        <v>449</v>
      </c>
      <c r="D279" s="113" t="s">
        <v>130</v>
      </c>
      <c r="E279" s="114" t="s">
        <v>15</v>
      </c>
      <c r="F279" s="115" t="s">
        <v>49</v>
      </c>
      <c r="G279" s="116">
        <v>17.82</v>
      </c>
      <c r="H279" s="126">
        <v>12</v>
      </c>
      <c r="I279" s="321">
        <v>11</v>
      </c>
      <c r="J279" s="117">
        <f t="shared" si="141"/>
        <v>2.3522400000000001</v>
      </c>
      <c r="K279" s="32"/>
      <c r="L279" s="32">
        <f>8+3</f>
        <v>11</v>
      </c>
      <c r="M279" s="117">
        <f t="shared" si="142"/>
        <v>2.3522400000000001</v>
      </c>
      <c r="N279" s="119">
        <f t="shared" si="143"/>
        <v>0</v>
      </c>
      <c r="O279" s="120">
        <f t="shared" si="144"/>
        <v>0</v>
      </c>
      <c r="P279" s="111">
        <v>11.6</v>
      </c>
      <c r="Q279" s="32">
        <v>3</v>
      </c>
    </row>
    <row r="280" spans="1:17" ht="15.6">
      <c r="A280" s="110" t="s">
        <v>547</v>
      </c>
      <c r="B280" s="111" t="s">
        <v>505</v>
      </c>
      <c r="C280" s="112" t="s">
        <v>449</v>
      </c>
      <c r="D280" s="113" t="s">
        <v>130</v>
      </c>
      <c r="E280" s="114" t="s">
        <v>15</v>
      </c>
      <c r="F280" s="115" t="s">
        <v>49</v>
      </c>
      <c r="G280" s="116">
        <v>17.82</v>
      </c>
      <c r="H280" s="126">
        <v>11.6</v>
      </c>
      <c r="I280" s="321">
        <v>15</v>
      </c>
      <c r="J280" s="117">
        <f t="shared" ref="J280:J294" si="145">H280*G280*I280/1000</f>
        <v>3.1006799999999997</v>
      </c>
      <c r="K280" s="32"/>
      <c r="L280" s="32">
        <v>15</v>
      </c>
      <c r="M280" s="117">
        <f t="shared" ref="M280:M294" si="146">H280*L280*G280/1000</f>
        <v>3.1006799999999997</v>
      </c>
      <c r="N280" s="119">
        <f t="shared" ref="N280:N294" si="147">I280-L280</f>
        <v>0</v>
      </c>
      <c r="O280" s="120">
        <f t="shared" ref="O280:O294" si="148">H280*N280*G280/1000</f>
        <v>0</v>
      </c>
      <c r="P280" s="111"/>
      <c r="Q280" s="32"/>
    </row>
    <row r="281" spans="1:17" ht="15.6">
      <c r="A281" s="110" t="s">
        <v>547</v>
      </c>
      <c r="B281" s="111" t="s">
        <v>505</v>
      </c>
      <c r="C281" s="112" t="s">
        <v>449</v>
      </c>
      <c r="D281" s="113" t="s">
        <v>130</v>
      </c>
      <c r="E281" s="114" t="s">
        <v>15</v>
      </c>
      <c r="F281" s="115" t="s">
        <v>49</v>
      </c>
      <c r="G281" s="116">
        <v>17.82</v>
      </c>
      <c r="H281" s="126">
        <v>11.6</v>
      </c>
      <c r="I281" s="321">
        <v>15</v>
      </c>
      <c r="J281" s="117">
        <f t="shared" si="145"/>
        <v>3.1006799999999997</v>
      </c>
      <c r="K281" s="32"/>
      <c r="L281" s="32">
        <v>15</v>
      </c>
      <c r="M281" s="117">
        <f t="shared" si="146"/>
        <v>3.1006799999999997</v>
      </c>
      <c r="N281" s="119">
        <f t="shared" si="147"/>
        <v>0</v>
      </c>
      <c r="O281" s="120">
        <f t="shared" si="148"/>
        <v>0</v>
      </c>
      <c r="P281" s="111"/>
      <c r="Q281" s="32"/>
    </row>
    <row r="282" spans="1:17" ht="15.6">
      <c r="A282" s="110" t="s">
        <v>547</v>
      </c>
      <c r="B282" s="111" t="s">
        <v>505</v>
      </c>
      <c r="C282" s="112" t="s">
        <v>449</v>
      </c>
      <c r="D282" s="113" t="s">
        <v>130</v>
      </c>
      <c r="E282" s="114" t="s">
        <v>15</v>
      </c>
      <c r="F282" s="115" t="s">
        <v>49</v>
      </c>
      <c r="G282" s="116">
        <v>17.82</v>
      </c>
      <c r="H282" s="126">
        <v>11.6</v>
      </c>
      <c r="I282" s="321">
        <v>15</v>
      </c>
      <c r="J282" s="117">
        <f t="shared" si="145"/>
        <v>3.1006799999999997</v>
      </c>
      <c r="K282" s="32"/>
      <c r="L282" s="32">
        <v>15</v>
      </c>
      <c r="M282" s="117">
        <f t="shared" si="146"/>
        <v>3.1006799999999997</v>
      </c>
      <c r="N282" s="119">
        <f t="shared" si="147"/>
        <v>0</v>
      </c>
      <c r="O282" s="120">
        <f t="shared" si="148"/>
        <v>0</v>
      </c>
      <c r="P282" s="111"/>
      <c r="Q282" s="32"/>
    </row>
    <row r="283" spans="1:17" ht="15.6">
      <c r="A283" s="110" t="s">
        <v>547</v>
      </c>
      <c r="B283" s="111" t="s">
        <v>505</v>
      </c>
      <c r="C283" s="112" t="s">
        <v>449</v>
      </c>
      <c r="D283" s="113" t="s">
        <v>130</v>
      </c>
      <c r="E283" s="114" t="s">
        <v>15</v>
      </c>
      <c r="F283" s="115" t="s">
        <v>49</v>
      </c>
      <c r="G283" s="116">
        <v>17.82</v>
      </c>
      <c r="H283" s="126">
        <v>11.6</v>
      </c>
      <c r="I283" s="321">
        <v>15</v>
      </c>
      <c r="J283" s="117">
        <f t="shared" si="145"/>
        <v>3.1006799999999997</v>
      </c>
      <c r="K283" s="32"/>
      <c r="L283" s="32">
        <v>15</v>
      </c>
      <c r="M283" s="117">
        <f t="shared" si="146"/>
        <v>3.1006799999999997</v>
      </c>
      <c r="N283" s="119">
        <f t="shared" si="147"/>
        <v>0</v>
      </c>
      <c r="O283" s="120">
        <f t="shared" si="148"/>
        <v>0</v>
      </c>
      <c r="P283" s="111"/>
      <c r="Q283" s="32"/>
    </row>
    <row r="284" spans="1:17" ht="15.6">
      <c r="A284" s="110" t="s">
        <v>547</v>
      </c>
      <c r="B284" s="111" t="s">
        <v>505</v>
      </c>
      <c r="C284" s="112" t="s">
        <v>449</v>
      </c>
      <c r="D284" s="113" t="s">
        <v>130</v>
      </c>
      <c r="E284" s="114" t="s">
        <v>15</v>
      </c>
      <c r="F284" s="115" t="s">
        <v>49</v>
      </c>
      <c r="G284" s="116">
        <v>17.82</v>
      </c>
      <c r="H284" s="126">
        <v>11.6</v>
      </c>
      <c r="I284" s="321">
        <v>15</v>
      </c>
      <c r="J284" s="117">
        <f t="shared" si="145"/>
        <v>3.1006799999999997</v>
      </c>
      <c r="K284" s="32"/>
      <c r="L284" s="32">
        <v>15</v>
      </c>
      <c r="M284" s="117">
        <f t="shared" si="146"/>
        <v>3.1006799999999997</v>
      </c>
      <c r="N284" s="119">
        <f t="shared" si="147"/>
        <v>0</v>
      </c>
      <c r="O284" s="120">
        <f t="shared" si="148"/>
        <v>0</v>
      </c>
      <c r="P284" s="111"/>
      <c r="Q284" s="32"/>
    </row>
    <row r="285" spans="1:17" ht="15.6">
      <c r="A285" s="110" t="s">
        <v>547</v>
      </c>
      <c r="B285" s="111" t="s">
        <v>505</v>
      </c>
      <c r="C285" s="112" t="s">
        <v>449</v>
      </c>
      <c r="D285" s="113" t="s">
        <v>130</v>
      </c>
      <c r="E285" s="114" t="s">
        <v>15</v>
      </c>
      <c r="F285" s="115" t="s">
        <v>49</v>
      </c>
      <c r="G285" s="116">
        <v>17.82</v>
      </c>
      <c r="H285" s="126">
        <v>11.6</v>
      </c>
      <c r="I285" s="321">
        <v>15</v>
      </c>
      <c r="J285" s="117">
        <f t="shared" si="145"/>
        <v>3.1006799999999997</v>
      </c>
      <c r="K285" s="32"/>
      <c r="L285" s="32">
        <v>15</v>
      </c>
      <c r="M285" s="117">
        <f t="shared" si="146"/>
        <v>3.1006799999999997</v>
      </c>
      <c r="N285" s="119">
        <f t="shared" si="147"/>
        <v>0</v>
      </c>
      <c r="O285" s="120">
        <f t="shared" si="148"/>
        <v>0</v>
      </c>
      <c r="P285" s="111"/>
      <c r="Q285" s="32"/>
    </row>
    <row r="286" spans="1:17" ht="15.6">
      <c r="A286" s="110" t="s">
        <v>547</v>
      </c>
      <c r="B286" s="111" t="s">
        <v>505</v>
      </c>
      <c r="C286" s="112" t="s">
        <v>449</v>
      </c>
      <c r="D286" s="113" t="s">
        <v>130</v>
      </c>
      <c r="E286" s="114" t="s">
        <v>15</v>
      </c>
      <c r="F286" s="115" t="s">
        <v>49</v>
      </c>
      <c r="G286" s="116">
        <v>17.82</v>
      </c>
      <c r="H286" s="126">
        <v>11.6</v>
      </c>
      <c r="I286" s="321">
        <v>15</v>
      </c>
      <c r="J286" s="117">
        <f t="shared" si="145"/>
        <v>3.1006799999999997</v>
      </c>
      <c r="K286" s="32"/>
      <c r="L286" s="32">
        <v>15</v>
      </c>
      <c r="M286" s="117">
        <f t="shared" si="146"/>
        <v>3.1006799999999997</v>
      </c>
      <c r="N286" s="119">
        <f t="shared" si="147"/>
        <v>0</v>
      </c>
      <c r="O286" s="120">
        <f t="shared" si="148"/>
        <v>0</v>
      </c>
      <c r="P286" s="111"/>
      <c r="Q286" s="32"/>
    </row>
    <row r="287" spans="1:17" ht="15.6">
      <c r="A287" s="110" t="s">
        <v>547</v>
      </c>
      <c r="B287" s="111" t="s">
        <v>505</v>
      </c>
      <c r="C287" s="112" t="s">
        <v>449</v>
      </c>
      <c r="D287" s="113" t="s">
        <v>130</v>
      </c>
      <c r="E287" s="114" t="s">
        <v>15</v>
      </c>
      <c r="F287" s="115" t="s">
        <v>49</v>
      </c>
      <c r="G287" s="116">
        <v>17.82</v>
      </c>
      <c r="H287" s="126">
        <v>11.6</v>
      </c>
      <c r="I287" s="321">
        <v>15</v>
      </c>
      <c r="J287" s="117">
        <f t="shared" si="145"/>
        <v>3.1006799999999997</v>
      </c>
      <c r="K287" s="32"/>
      <c r="L287" s="32">
        <v>15</v>
      </c>
      <c r="M287" s="117">
        <f t="shared" si="146"/>
        <v>3.1006799999999997</v>
      </c>
      <c r="N287" s="119">
        <f t="shared" si="147"/>
        <v>0</v>
      </c>
      <c r="O287" s="120">
        <f t="shared" si="148"/>
        <v>0</v>
      </c>
      <c r="P287" s="111"/>
      <c r="Q287" s="32"/>
    </row>
    <row r="288" spans="1:17" ht="15.6">
      <c r="A288" s="110" t="s">
        <v>547</v>
      </c>
      <c r="B288" s="111" t="s">
        <v>505</v>
      </c>
      <c r="C288" s="112" t="s">
        <v>449</v>
      </c>
      <c r="D288" s="113" t="s">
        <v>130</v>
      </c>
      <c r="E288" s="114" t="s">
        <v>15</v>
      </c>
      <c r="F288" s="115" t="s">
        <v>49</v>
      </c>
      <c r="G288" s="116">
        <v>17.82</v>
      </c>
      <c r="H288" s="126">
        <v>11.6</v>
      </c>
      <c r="I288" s="321">
        <v>15</v>
      </c>
      <c r="J288" s="117">
        <f t="shared" si="145"/>
        <v>3.1006799999999997</v>
      </c>
      <c r="K288" s="32"/>
      <c r="L288" s="32">
        <v>15</v>
      </c>
      <c r="M288" s="117">
        <f t="shared" si="146"/>
        <v>3.1006799999999997</v>
      </c>
      <c r="N288" s="119">
        <f t="shared" si="147"/>
        <v>0</v>
      </c>
      <c r="O288" s="120">
        <f t="shared" si="148"/>
        <v>0</v>
      </c>
      <c r="P288" s="111"/>
      <c r="Q288" s="32"/>
    </row>
    <row r="289" spans="1:18" ht="15.6">
      <c r="A289" s="110" t="s">
        <v>547</v>
      </c>
      <c r="B289" s="111" t="s">
        <v>505</v>
      </c>
      <c r="C289" s="112" t="s">
        <v>449</v>
      </c>
      <c r="D289" s="113" t="s">
        <v>130</v>
      </c>
      <c r="E289" s="114" t="s">
        <v>15</v>
      </c>
      <c r="F289" s="115" t="s">
        <v>49</v>
      </c>
      <c r="G289" s="116">
        <v>17.82</v>
      </c>
      <c r="H289" s="126">
        <v>9.5</v>
      </c>
      <c r="I289" s="447">
        <v>18</v>
      </c>
      <c r="J289" s="117">
        <f t="shared" si="145"/>
        <v>3.0472199999999998</v>
      </c>
      <c r="K289" s="32"/>
      <c r="L289" s="32">
        <v>18</v>
      </c>
      <c r="M289" s="117">
        <f t="shared" si="146"/>
        <v>3.0472200000000003</v>
      </c>
      <c r="N289" s="119">
        <f t="shared" si="147"/>
        <v>0</v>
      </c>
      <c r="O289" s="120">
        <f t="shared" si="148"/>
        <v>0</v>
      </c>
      <c r="P289" s="111"/>
      <c r="Q289" s="32"/>
    </row>
    <row r="290" spans="1:18" ht="15.6">
      <c r="A290" s="110" t="s">
        <v>547</v>
      </c>
      <c r="B290" s="111" t="s">
        <v>505</v>
      </c>
      <c r="C290" s="112" t="s">
        <v>449</v>
      </c>
      <c r="D290" s="113" t="s">
        <v>130</v>
      </c>
      <c r="E290" s="114" t="s">
        <v>15</v>
      </c>
      <c r="F290" s="115" t="s">
        <v>49</v>
      </c>
      <c r="G290" s="116">
        <v>17.82</v>
      </c>
      <c r="H290" s="126">
        <v>11.6</v>
      </c>
      <c r="I290" s="321">
        <v>15</v>
      </c>
      <c r="J290" s="117">
        <f t="shared" si="145"/>
        <v>3.1006799999999997</v>
      </c>
      <c r="K290" s="32"/>
      <c r="L290" s="32">
        <v>15</v>
      </c>
      <c r="M290" s="117">
        <f t="shared" si="146"/>
        <v>3.1006799999999997</v>
      </c>
      <c r="N290" s="119">
        <f t="shared" si="147"/>
        <v>0</v>
      </c>
      <c r="O290" s="120">
        <f t="shared" si="148"/>
        <v>0</v>
      </c>
      <c r="P290" s="111"/>
      <c r="Q290" s="32"/>
    </row>
    <row r="291" spans="1:18" ht="15.6">
      <c r="A291" s="110" t="s">
        <v>547</v>
      </c>
      <c r="B291" s="111" t="s">
        <v>505</v>
      </c>
      <c r="C291" s="112" t="s">
        <v>449</v>
      </c>
      <c r="D291" s="113" t="s">
        <v>130</v>
      </c>
      <c r="E291" s="114" t="s">
        <v>15</v>
      </c>
      <c r="F291" s="115" t="s">
        <v>49</v>
      </c>
      <c r="G291" s="116">
        <v>17.82</v>
      </c>
      <c r="H291" s="126">
        <v>9.5</v>
      </c>
      <c r="I291" s="447">
        <v>24</v>
      </c>
      <c r="J291" s="117">
        <f t="shared" si="145"/>
        <v>4.0629600000000003</v>
      </c>
      <c r="K291" s="32"/>
      <c r="L291" s="32">
        <v>24</v>
      </c>
      <c r="M291" s="117">
        <f t="shared" si="146"/>
        <v>4.0629600000000003</v>
      </c>
      <c r="N291" s="119">
        <f t="shared" si="147"/>
        <v>0</v>
      </c>
      <c r="O291" s="120">
        <f t="shared" si="148"/>
        <v>0</v>
      </c>
      <c r="P291" s="111"/>
      <c r="Q291" s="32"/>
    </row>
    <row r="292" spans="1:18" ht="15.6">
      <c r="A292" s="110" t="s">
        <v>547</v>
      </c>
      <c r="B292" s="111" t="s">
        <v>505</v>
      </c>
      <c r="C292" s="112" t="s">
        <v>449</v>
      </c>
      <c r="D292" s="113" t="s">
        <v>130</v>
      </c>
      <c r="E292" s="114" t="s">
        <v>15</v>
      </c>
      <c r="F292" s="115" t="s">
        <v>49</v>
      </c>
      <c r="G292" s="116">
        <v>17.82</v>
      </c>
      <c r="H292" s="126">
        <v>9.5</v>
      </c>
      <c r="I292" s="447">
        <v>21</v>
      </c>
      <c r="J292" s="117">
        <f t="shared" si="145"/>
        <v>3.5550899999999999</v>
      </c>
      <c r="K292" s="32"/>
      <c r="L292" s="32">
        <v>21</v>
      </c>
      <c r="M292" s="117">
        <f t="shared" si="146"/>
        <v>3.5550900000000003</v>
      </c>
      <c r="N292" s="119">
        <f t="shared" si="147"/>
        <v>0</v>
      </c>
      <c r="O292" s="120">
        <f t="shared" si="148"/>
        <v>0</v>
      </c>
      <c r="P292" s="111"/>
      <c r="Q292" s="32"/>
    </row>
    <row r="293" spans="1:18" ht="15.6">
      <c r="A293" s="110" t="s">
        <v>547</v>
      </c>
      <c r="B293" s="111" t="s">
        <v>505</v>
      </c>
      <c r="C293" s="112" t="s">
        <v>449</v>
      </c>
      <c r="D293" s="113" t="s">
        <v>130</v>
      </c>
      <c r="E293" s="114" t="s">
        <v>15</v>
      </c>
      <c r="F293" s="115" t="s">
        <v>49</v>
      </c>
      <c r="G293" s="116">
        <v>17.82</v>
      </c>
      <c r="H293" s="126">
        <v>11.6</v>
      </c>
      <c r="I293" s="321">
        <v>15</v>
      </c>
      <c r="J293" s="117">
        <f t="shared" si="145"/>
        <v>3.1006799999999997</v>
      </c>
      <c r="K293" s="32"/>
      <c r="L293" s="32">
        <v>15</v>
      </c>
      <c r="M293" s="117">
        <f t="shared" si="146"/>
        <v>3.1006799999999997</v>
      </c>
      <c r="N293" s="119">
        <f t="shared" si="147"/>
        <v>0</v>
      </c>
      <c r="O293" s="120">
        <f t="shared" si="148"/>
        <v>0</v>
      </c>
      <c r="P293" s="111"/>
      <c r="Q293" s="32"/>
    </row>
    <row r="294" spans="1:18" ht="15.6">
      <c r="A294" s="110" t="s">
        <v>547</v>
      </c>
      <c r="B294" s="111" t="s">
        <v>505</v>
      </c>
      <c r="C294" s="112" t="s">
        <v>449</v>
      </c>
      <c r="D294" s="113" t="s">
        <v>130</v>
      </c>
      <c r="E294" s="114" t="s">
        <v>15</v>
      </c>
      <c r="F294" s="115" t="s">
        <v>49</v>
      </c>
      <c r="G294" s="116">
        <v>17.82</v>
      </c>
      <c r="H294" s="126">
        <v>11.6</v>
      </c>
      <c r="I294" s="321">
        <v>15</v>
      </c>
      <c r="J294" s="117">
        <f t="shared" si="145"/>
        <v>3.1006799999999997</v>
      </c>
      <c r="K294" s="32"/>
      <c r="L294" s="32">
        <v>15</v>
      </c>
      <c r="M294" s="117">
        <f t="shared" si="146"/>
        <v>3.1006799999999997</v>
      </c>
      <c r="N294" s="119">
        <f t="shared" si="147"/>
        <v>0</v>
      </c>
      <c r="O294" s="120">
        <f t="shared" si="148"/>
        <v>0</v>
      </c>
      <c r="P294" s="111"/>
      <c r="Q294" s="32"/>
    </row>
    <row r="295" spans="1:18" ht="15.6">
      <c r="A295" s="110" t="s">
        <v>547</v>
      </c>
      <c r="B295" s="111" t="s">
        <v>505</v>
      </c>
      <c r="C295" s="112" t="s">
        <v>449</v>
      </c>
      <c r="D295" s="113" t="s">
        <v>130</v>
      </c>
      <c r="E295" s="114" t="s">
        <v>15</v>
      </c>
      <c r="F295" s="115" t="s">
        <v>49</v>
      </c>
      <c r="G295" s="116">
        <v>17.82</v>
      </c>
      <c r="H295" s="126">
        <v>11.6</v>
      </c>
      <c r="I295" s="321">
        <v>14</v>
      </c>
      <c r="J295" s="117">
        <f t="shared" ref="J295:J301" si="149">H295*G295*I295/1000</f>
        <v>2.8939679999999997</v>
      </c>
      <c r="K295" s="32"/>
      <c r="L295" s="32">
        <v>14</v>
      </c>
      <c r="M295" s="117">
        <f t="shared" ref="M295:M301" si="150">H295*L295*G295/1000</f>
        <v>2.8939680000000001</v>
      </c>
      <c r="N295" s="119">
        <f t="shared" ref="N295:N301" si="151">I295-L295</f>
        <v>0</v>
      </c>
      <c r="O295" s="120">
        <f t="shared" ref="O295:O301" si="152">H295*N295*G295/1000</f>
        <v>0</v>
      </c>
      <c r="P295" s="111"/>
      <c r="Q295" s="32"/>
    </row>
    <row r="296" spans="1:18" ht="15.6">
      <c r="A296" s="110" t="s">
        <v>547</v>
      </c>
      <c r="B296" s="111" t="s">
        <v>505</v>
      </c>
      <c r="C296" s="112" t="s">
        <v>449</v>
      </c>
      <c r="D296" s="113" t="s">
        <v>130</v>
      </c>
      <c r="E296" s="114" t="s">
        <v>15</v>
      </c>
      <c r="F296" s="115" t="s">
        <v>49</v>
      </c>
      <c r="G296" s="116">
        <v>17.82</v>
      </c>
      <c r="H296" s="126">
        <v>11.6</v>
      </c>
      <c r="I296" s="321">
        <v>17</v>
      </c>
      <c r="J296" s="117">
        <f t="shared" si="149"/>
        <v>3.5141039999999997</v>
      </c>
      <c r="K296" s="32"/>
      <c r="L296" s="32">
        <v>17</v>
      </c>
      <c r="M296" s="117">
        <f t="shared" si="150"/>
        <v>3.5141039999999997</v>
      </c>
      <c r="N296" s="119">
        <f t="shared" si="151"/>
        <v>0</v>
      </c>
      <c r="O296" s="120">
        <f t="shared" si="152"/>
        <v>0</v>
      </c>
      <c r="P296" s="111"/>
      <c r="Q296" s="32"/>
    </row>
    <row r="297" spans="1:18" ht="15.6">
      <c r="A297" s="110" t="s">
        <v>547</v>
      </c>
      <c r="B297" s="111" t="s">
        <v>505</v>
      </c>
      <c r="C297" s="112" t="s">
        <v>449</v>
      </c>
      <c r="D297" s="113" t="s">
        <v>130</v>
      </c>
      <c r="E297" s="114" t="s">
        <v>15</v>
      </c>
      <c r="F297" s="115" t="s">
        <v>49</v>
      </c>
      <c r="G297" s="116">
        <v>17.82</v>
      </c>
      <c r="H297" s="126">
        <v>11.6</v>
      </c>
      <c r="I297" s="321">
        <v>14</v>
      </c>
      <c r="J297" s="117">
        <f t="shared" si="149"/>
        <v>2.8939679999999997</v>
      </c>
      <c r="K297" s="32"/>
      <c r="L297" s="32">
        <v>14</v>
      </c>
      <c r="M297" s="117">
        <f t="shared" si="150"/>
        <v>2.8939680000000001</v>
      </c>
      <c r="N297" s="119">
        <f t="shared" si="151"/>
        <v>0</v>
      </c>
      <c r="O297" s="120">
        <f t="shared" si="152"/>
        <v>0</v>
      </c>
      <c r="P297" s="111"/>
      <c r="Q297" s="32"/>
    </row>
    <row r="298" spans="1:18" ht="15.6">
      <c r="A298" s="110" t="s">
        <v>547</v>
      </c>
      <c r="B298" s="111" t="s">
        <v>505</v>
      </c>
      <c r="C298" s="112" t="s">
        <v>449</v>
      </c>
      <c r="D298" s="113" t="s">
        <v>130</v>
      </c>
      <c r="E298" s="114" t="s">
        <v>15</v>
      </c>
      <c r="F298" s="115" t="s">
        <v>49</v>
      </c>
      <c r="G298" s="116">
        <v>17.82</v>
      </c>
      <c r="H298" s="126">
        <v>11.6</v>
      </c>
      <c r="I298" s="321">
        <v>14</v>
      </c>
      <c r="J298" s="117">
        <f t="shared" si="149"/>
        <v>2.8939679999999997</v>
      </c>
      <c r="K298" s="32"/>
      <c r="L298" s="32">
        <v>14</v>
      </c>
      <c r="M298" s="117">
        <f t="shared" si="150"/>
        <v>2.8939680000000001</v>
      </c>
      <c r="N298" s="119">
        <f t="shared" si="151"/>
        <v>0</v>
      </c>
      <c r="O298" s="120">
        <f t="shared" si="152"/>
        <v>0</v>
      </c>
      <c r="P298" s="111"/>
      <c r="Q298" s="32"/>
    </row>
    <row r="299" spans="1:18" ht="15.6">
      <c r="A299" s="110" t="s">
        <v>547</v>
      </c>
      <c r="B299" s="111" t="s">
        <v>505</v>
      </c>
      <c r="C299" s="112" t="s">
        <v>449</v>
      </c>
      <c r="D299" s="113" t="s">
        <v>130</v>
      </c>
      <c r="E299" s="114" t="s">
        <v>15</v>
      </c>
      <c r="F299" s="115" t="s">
        <v>49</v>
      </c>
      <c r="G299" s="116">
        <v>17.82</v>
      </c>
      <c r="H299" s="126">
        <v>11.6</v>
      </c>
      <c r="I299" s="321">
        <v>14</v>
      </c>
      <c r="J299" s="117">
        <f t="shared" si="149"/>
        <v>2.8939679999999997</v>
      </c>
      <c r="K299" s="32"/>
      <c r="L299" s="32">
        <v>14</v>
      </c>
      <c r="M299" s="117">
        <f t="shared" si="150"/>
        <v>2.8939680000000001</v>
      </c>
      <c r="N299" s="119">
        <f t="shared" si="151"/>
        <v>0</v>
      </c>
      <c r="O299" s="120">
        <f t="shared" si="152"/>
        <v>0</v>
      </c>
      <c r="P299" s="111"/>
      <c r="Q299" s="32"/>
    </row>
    <row r="300" spans="1:18" ht="15.6">
      <c r="A300" s="110" t="s">
        <v>547</v>
      </c>
      <c r="B300" s="111" t="s">
        <v>505</v>
      </c>
      <c r="C300" s="112" t="s">
        <v>449</v>
      </c>
      <c r="D300" s="113" t="s">
        <v>130</v>
      </c>
      <c r="E300" s="114" t="s">
        <v>15</v>
      </c>
      <c r="F300" s="115" t="s">
        <v>49</v>
      </c>
      <c r="G300" s="116">
        <v>17.82</v>
      </c>
      <c r="H300" s="126">
        <v>11.6</v>
      </c>
      <c r="I300" s="321">
        <v>14</v>
      </c>
      <c r="J300" s="117">
        <f t="shared" si="149"/>
        <v>2.8939679999999997</v>
      </c>
      <c r="K300" s="32"/>
      <c r="L300" s="32">
        <v>14</v>
      </c>
      <c r="M300" s="117">
        <f t="shared" si="150"/>
        <v>2.8939680000000001</v>
      </c>
      <c r="N300" s="119">
        <f t="shared" si="151"/>
        <v>0</v>
      </c>
      <c r="O300" s="120">
        <f t="shared" si="152"/>
        <v>0</v>
      </c>
      <c r="P300" s="111"/>
      <c r="Q300" s="32"/>
    </row>
    <row r="301" spans="1:18" ht="15.6">
      <c r="A301" s="110" t="s">
        <v>547</v>
      </c>
      <c r="B301" s="111" t="s">
        <v>505</v>
      </c>
      <c r="C301" s="112" t="s">
        <v>449</v>
      </c>
      <c r="D301" s="113" t="s">
        <v>130</v>
      </c>
      <c r="E301" s="114" t="s">
        <v>15</v>
      </c>
      <c r="F301" s="115" t="s">
        <v>49</v>
      </c>
      <c r="G301" s="116">
        <v>17.82</v>
      </c>
      <c r="H301" s="126">
        <v>9.5</v>
      </c>
      <c r="I301" s="447">
        <v>15</v>
      </c>
      <c r="J301" s="117">
        <f t="shared" si="149"/>
        <v>2.5393499999999998</v>
      </c>
      <c r="K301" s="32"/>
      <c r="L301" s="32">
        <v>15</v>
      </c>
      <c r="M301" s="117">
        <f t="shared" si="150"/>
        <v>2.5393499999999998</v>
      </c>
      <c r="N301" s="141">
        <f t="shared" si="151"/>
        <v>0</v>
      </c>
      <c r="O301" s="142">
        <f t="shared" si="152"/>
        <v>0</v>
      </c>
      <c r="P301" s="130"/>
      <c r="Q301" s="111"/>
      <c r="R301" s="29"/>
    </row>
    <row r="302" spans="1:18">
      <c r="I302" s="215">
        <f>SUM(I247:I301)</f>
        <v>643</v>
      </c>
      <c r="J302" s="214">
        <f>SUM(J247:J301)</f>
        <v>124.70970599999997</v>
      </c>
      <c r="L302" s="215">
        <f>SUM(L247:L301)</f>
        <v>633</v>
      </c>
      <c r="M302" s="214">
        <f>SUM(M247:M301)</f>
        <v>122.69960999999998</v>
      </c>
      <c r="N302" s="215">
        <f>SUM(N247:N301)</f>
        <v>10</v>
      </c>
      <c r="O302" s="214">
        <f>SUM(O247:O301)</f>
        <v>2.0100959999999999</v>
      </c>
      <c r="Q302" s="215">
        <f>SUM(Q247:Q301)</f>
        <v>14</v>
      </c>
    </row>
    <row r="304" spans="1:18" ht="15.6">
      <c r="A304" s="110" t="s">
        <v>547</v>
      </c>
      <c r="B304" s="111" t="s">
        <v>505</v>
      </c>
      <c r="C304" s="112" t="s">
        <v>449</v>
      </c>
      <c r="D304" s="113" t="s">
        <v>17</v>
      </c>
      <c r="E304" s="114" t="s">
        <v>15</v>
      </c>
      <c r="F304" s="115" t="s">
        <v>49</v>
      </c>
      <c r="G304" s="116">
        <v>17.82</v>
      </c>
      <c r="H304" s="125">
        <v>12</v>
      </c>
      <c r="I304" s="111">
        <v>15</v>
      </c>
      <c r="J304" s="117">
        <f t="shared" ref="J304" si="153">H304*G304*I304/1000</f>
        <v>3.2075999999999998</v>
      </c>
      <c r="K304" s="32"/>
      <c r="L304" s="111">
        <v>15</v>
      </c>
      <c r="M304" s="117">
        <f t="shared" ref="M304" si="154">H304*L304*G304/1000</f>
        <v>3.2075999999999998</v>
      </c>
      <c r="N304" s="119">
        <f t="shared" ref="N304" si="155">I304-L304</f>
        <v>0</v>
      </c>
      <c r="O304" s="120">
        <f t="shared" ref="O304" si="156">H304*N304*G304/1000</f>
        <v>0</v>
      </c>
      <c r="P304" s="111"/>
      <c r="Q304" s="32"/>
    </row>
    <row r="305" spans="1:20" ht="15.6">
      <c r="A305" s="110" t="s">
        <v>547</v>
      </c>
      <c r="B305" s="111" t="s">
        <v>505</v>
      </c>
      <c r="C305" s="112" t="s">
        <v>449</v>
      </c>
      <c r="D305" s="113" t="s">
        <v>17</v>
      </c>
      <c r="E305" s="114" t="s">
        <v>15</v>
      </c>
      <c r="F305" s="115" t="s">
        <v>49</v>
      </c>
      <c r="G305" s="116">
        <v>17.82</v>
      </c>
      <c r="H305" s="125">
        <v>12</v>
      </c>
      <c r="I305" s="111">
        <v>15</v>
      </c>
      <c r="J305" s="117">
        <f t="shared" ref="J305:J314" si="157">H305*G305*I305/1000</f>
        <v>3.2075999999999998</v>
      </c>
      <c r="K305" s="32"/>
      <c r="L305" s="111">
        <v>15</v>
      </c>
      <c r="M305" s="117">
        <f t="shared" ref="M305:M314" si="158">H305*L305*G305/1000</f>
        <v>3.2075999999999998</v>
      </c>
      <c r="N305" s="119">
        <f t="shared" ref="N305:N314" si="159">I305-L305</f>
        <v>0</v>
      </c>
      <c r="O305" s="120">
        <f t="shared" ref="O305:O314" si="160">H305*N305*G305/1000</f>
        <v>0</v>
      </c>
      <c r="P305" s="111"/>
      <c r="Q305" s="32"/>
    </row>
    <row r="306" spans="1:20" ht="15.6">
      <c r="A306" s="110" t="s">
        <v>547</v>
      </c>
      <c r="B306" s="111" t="s">
        <v>505</v>
      </c>
      <c r="C306" s="112" t="s">
        <v>449</v>
      </c>
      <c r="D306" s="113" t="s">
        <v>17</v>
      </c>
      <c r="E306" s="114" t="s">
        <v>15</v>
      </c>
      <c r="F306" s="115" t="s">
        <v>49</v>
      </c>
      <c r="G306" s="116">
        <v>17.82</v>
      </c>
      <c r="H306" s="125">
        <v>11.8</v>
      </c>
      <c r="I306" s="111">
        <v>15</v>
      </c>
      <c r="J306" s="117">
        <f t="shared" si="157"/>
        <v>3.1541400000000004</v>
      </c>
      <c r="K306" s="32"/>
      <c r="L306" s="111">
        <v>15</v>
      </c>
      <c r="M306" s="117">
        <f t="shared" si="158"/>
        <v>3.1541399999999999</v>
      </c>
      <c r="N306" s="119">
        <f t="shared" si="159"/>
        <v>0</v>
      </c>
      <c r="O306" s="120">
        <f t="shared" si="160"/>
        <v>0</v>
      </c>
      <c r="P306" s="111"/>
      <c r="Q306" s="32"/>
    </row>
    <row r="307" spans="1:20" ht="15.6">
      <c r="A307" s="110" t="s">
        <v>547</v>
      </c>
      <c r="B307" s="111" t="s">
        <v>505</v>
      </c>
      <c r="C307" s="112" t="s">
        <v>449</v>
      </c>
      <c r="D307" s="113" t="s">
        <v>17</v>
      </c>
      <c r="E307" s="114" t="s">
        <v>15</v>
      </c>
      <c r="F307" s="115" t="s">
        <v>49</v>
      </c>
      <c r="G307" s="116">
        <v>17.82</v>
      </c>
      <c r="H307" s="125">
        <v>11.8</v>
      </c>
      <c r="I307" s="111">
        <v>15</v>
      </c>
      <c r="J307" s="117">
        <f t="shared" si="157"/>
        <v>3.1541400000000004</v>
      </c>
      <c r="K307" s="32"/>
      <c r="L307" s="111">
        <v>15</v>
      </c>
      <c r="M307" s="117">
        <f t="shared" si="158"/>
        <v>3.1541399999999999</v>
      </c>
      <c r="N307" s="119">
        <f t="shared" si="159"/>
        <v>0</v>
      </c>
      <c r="O307" s="120">
        <f t="shared" si="160"/>
        <v>0</v>
      </c>
      <c r="P307" s="111"/>
      <c r="Q307" s="32"/>
    </row>
    <row r="308" spans="1:20" ht="15.6">
      <c r="A308" s="110" t="s">
        <v>547</v>
      </c>
      <c r="B308" s="111" t="s">
        <v>505</v>
      </c>
      <c r="C308" s="112" t="s">
        <v>449</v>
      </c>
      <c r="D308" s="113" t="s">
        <v>17</v>
      </c>
      <c r="E308" s="114" t="s">
        <v>15</v>
      </c>
      <c r="F308" s="115" t="s">
        <v>49</v>
      </c>
      <c r="G308" s="116">
        <v>17.82</v>
      </c>
      <c r="H308" s="125">
        <v>10.3</v>
      </c>
      <c r="I308" s="111">
        <v>12</v>
      </c>
      <c r="J308" s="117">
        <f t="shared" si="157"/>
        <v>2.2025520000000003</v>
      </c>
      <c r="K308" s="32"/>
      <c r="L308" s="111">
        <v>12</v>
      </c>
      <c r="M308" s="117">
        <f t="shared" si="158"/>
        <v>2.2025520000000003</v>
      </c>
      <c r="N308" s="119">
        <f t="shared" si="159"/>
        <v>0</v>
      </c>
      <c r="O308" s="120">
        <f t="shared" si="160"/>
        <v>0</v>
      </c>
      <c r="P308" s="111"/>
      <c r="Q308" s="32"/>
    </row>
    <row r="309" spans="1:20" ht="15.6">
      <c r="A309" s="110" t="s">
        <v>547</v>
      </c>
      <c r="B309" s="111" t="s">
        <v>505</v>
      </c>
      <c r="C309" s="112" t="s">
        <v>449</v>
      </c>
      <c r="D309" s="113" t="s">
        <v>17</v>
      </c>
      <c r="E309" s="114" t="s">
        <v>15</v>
      </c>
      <c r="F309" s="115" t="s">
        <v>49</v>
      </c>
      <c r="G309" s="116">
        <v>17.82</v>
      </c>
      <c r="H309" s="125">
        <v>12</v>
      </c>
      <c r="I309" s="111">
        <v>18</v>
      </c>
      <c r="J309" s="117">
        <f t="shared" si="157"/>
        <v>3.8491200000000001</v>
      </c>
      <c r="K309" s="32"/>
      <c r="L309" s="32">
        <v>18</v>
      </c>
      <c r="M309" s="117">
        <f t="shared" si="158"/>
        <v>3.8491200000000001</v>
      </c>
      <c r="N309" s="119">
        <f t="shared" si="159"/>
        <v>0</v>
      </c>
      <c r="O309" s="120">
        <f t="shared" si="160"/>
        <v>0</v>
      </c>
      <c r="P309" s="111"/>
      <c r="Q309" s="32"/>
    </row>
    <row r="310" spans="1:20" ht="15.6">
      <c r="A310" s="110" t="s">
        <v>547</v>
      </c>
      <c r="B310" s="111" t="s">
        <v>505</v>
      </c>
      <c r="C310" s="112" t="s">
        <v>449</v>
      </c>
      <c r="D310" s="113" t="s">
        <v>17</v>
      </c>
      <c r="E310" s="114" t="s">
        <v>15</v>
      </c>
      <c r="F310" s="115" t="s">
        <v>49</v>
      </c>
      <c r="G310" s="116">
        <v>17.82</v>
      </c>
      <c r="H310" s="125">
        <v>11.8</v>
      </c>
      <c r="I310" s="111">
        <v>18</v>
      </c>
      <c r="J310" s="117">
        <f t="shared" si="157"/>
        <v>3.7849680000000001</v>
      </c>
      <c r="K310" s="32"/>
      <c r="L310" s="32">
        <v>18</v>
      </c>
      <c r="M310" s="117">
        <f t="shared" si="158"/>
        <v>3.7849680000000001</v>
      </c>
      <c r="N310" s="119">
        <f t="shared" si="159"/>
        <v>0</v>
      </c>
      <c r="O310" s="120">
        <f t="shared" si="160"/>
        <v>0</v>
      </c>
      <c r="P310" s="111"/>
      <c r="Q310" s="32"/>
    </row>
    <row r="311" spans="1:20" ht="15.6">
      <c r="A311" s="110" t="s">
        <v>547</v>
      </c>
      <c r="B311" s="111" t="s">
        <v>505</v>
      </c>
      <c r="C311" s="112" t="s">
        <v>449</v>
      </c>
      <c r="D311" s="113" t="s">
        <v>17</v>
      </c>
      <c r="E311" s="114" t="s">
        <v>15</v>
      </c>
      <c r="F311" s="115" t="s">
        <v>49</v>
      </c>
      <c r="G311" s="116">
        <v>17.82</v>
      </c>
      <c r="H311" s="125">
        <v>12</v>
      </c>
      <c r="I311" s="111">
        <v>3</v>
      </c>
      <c r="J311" s="117">
        <f t="shared" si="157"/>
        <v>0.64151999999999998</v>
      </c>
      <c r="K311" s="32"/>
      <c r="L311" s="32">
        <v>2</v>
      </c>
      <c r="M311" s="117">
        <f t="shared" si="158"/>
        <v>0.42768</v>
      </c>
      <c r="N311" s="119">
        <f t="shared" si="159"/>
        <v>1</v>
      </c>
      <c r="O311" s="120">
        <f t="shared" si="160"/>
        <v>0.21384</v>
      </c>
      <c r="P311" s="111"/>
      <c r="Q311" s="32">
        <v>2</v>
      </c>
      <c r="R311" s="213" t="s">
        <v>474</v>
      </c>
    </row>
    <row r="312" spans="1:20" ht="15.6">
      <c r="A312" s="110" t="s">
        <v>547</v>
      </c>
      <c r="B312" s="111" t="s">
        <v>505</v>
      </c>
      <c r="C312" s="112" t="s">
        <v>449</v>
      </c>
      <c r="D312" s="113" t="s">
        <v>17</v>
      </c>
      <c r="E312" s="114" t="s">
        <v>15</v>
      </c>
      <c r="F312" s="115" t="s">
        <v>49</v>
      </c>
      <c r="G312" s="116">
        <v>17.82</v>
      </c>
      <c r="H312" s="125">
        <v>11.5</v>
      </c>
      <c r="I312" s="111">
        <v>2</v>
      </c>
      <c r="J312" s="117">
        <f t="shared" si="157"/>
        <v>0.40986</v>
      </c>
      <c r="K312" s="32"/>
      <c r="L312" s="32"/>
      <c r="M312" s="117">
        <f t="shared" si="158"/>
        <v>0</v>
      </c>
      <c r="N312" s="119">
        <f t="shared" si="159"/>
        <v>2</v>
      </c>
      <c r="O312" s="120">
        <f t="shared" si="160"/>
        <v>0.40986</v>
      </c>
      <c r="P312" s="111"/>
      <c r="Q312" s="32"/>
    </row>
    <row r="313" spans="1:20" ht="15.6">
      <c r="A313" s="110" t="s">
        <v>547</v>
      </c>
      <c r="B313" s="111" t="s">
        <v>505</v>
      </c>
      <c r="C313" s="112" t="s">
        <v>449</v>
      </c>
      <c r="D313" s="113" t="s">
        <v>17</v>
      </c>
      <c r="E313" s="114" t="s">
        <v>15</v>
      </c>
      <c r="F313" s="115" t="s">
        <v>49</v>
      </c>
      <c r="G313" s="116">
        <v>17.82</v>
      </c>
      <c r="H313" s="125">
        <v>11.8</v>
      </c>
      <c r="I313" s="111">
        <v>2</v>
      </c>
      <c r="J313" s="117">
        <f t="shared" si="157"/>
        <v>0.42055200000000004</v>
      </c>
      <c r="K313" s="32"/>
      <c r="L313" s="32">
        <v>2</v>
      </c>
      <c r="M313" s="117">
        <f t="shared" si="158"/>
        <v>0.42055200000000004</v>
      </c>
      <c r="N313" s="119">
        <f t="shared" si="159"/>
        <v>0</v>
      </c>
      <c r="O313" s="120">
        <f t="shared" si="160"/>
        <v>0</v>
      </c>
      <c r="P313" s="111"/>
      <c r="Q313" s="32">
        <v>2</v>
      </c>
      <c r="R313" s="213" t="s">
        <v>474</v>
      </c>
    </row>
    <row r="314" spans="1:20" ht="15.6">
      <c r="A314" s="110" t="s">
        <v>547</v>
      </c>
      <c r="B314" s="111" t="s">
        <v>505</v>
      </c>
      <c r="C314" s="112" t="s">
        <v>449</v>
      </c>
      <c r="D314" s="113" t="s">
        <v>17</v>
      </c>
      <c r="E314" s="114" t="s">
        <v>15</v>
      </c>
      <c r="F314" s="115" t="s">
        <v>49</v>
      </c>
      <c r="G314" s="116">
        <v>17.82</v>
      </c>
      <c r="H314" s="125">
        <v>11.6</v>
      </c>
      <c r="I314" s="111">
        <v>1</v>
      </c>
      <c r="J314" s="117">
        <f t="shared" si="157"/>
        <v>0.20671199999999998</v>
      </c>
      <c r="K314" s="32"/>
      <c r="L314" s="32">
        <v>1</v>
      </c>
      <c r="M314" s="117">
        <f t="shared" si="158"/>
        <v>0.20671199999999998</v>
      </c>
      <c r="N314" s="119">
        <f t="shared" si="159"/>
        <v>0</v>
      </c>
      <c r="O314" s="120">
        <f t="shared" si="160"/>
        <v>0</v>
      </c>
      <c r="P314" s="111"/>
      <c r="Q314" s="32">
        <v>1</v>
      </c>
      <c r="R314" s="213" t="s">
        <v>474</v>
      </c>
    </row>
    <row r="315" spans="1:20">
      <c r="A315" s="32"/>
      <c r="B315" s="32"/>
      <c r="C315" s="32"/>
      <c r="D315" s="32"/>
      <c r="E315" s="32"/>
      <c r="F315" s="32"/>
      <c r="G315" s="32"/>
      <c r="H315" s="32"/>
      <c r="I315" s="129">
        <f>SUM(I304:I314)</f>
        <v>116</v>
      </c>
      <c r="J315" s="124">
        <f>SUM(J304:J314)</f>
        <v>24.238764</v>
      </c>
      <c r="K315" s="32"/>
      <c r="L315" s="129">
        <f>SUM(L304:L314)</f>
        <v>113</v>
      </c>
      <c r="M315" s="124">
        <f>SUM(M304:M314)</f>
        <v>23.615064</v>
      </c>
      <c r="N315" s="131">
        <f>SUM(N304:N314)</f>
        <v>3</v>
      </c>
      <c r="O315" s="132">
        <f>SUM(O304:O314)</f>
        <v>0.62370000000000003</v>
      </c>
      <c r="P315" s="32"/>
      <c r="Q315" s="32"/>
    </row>
    <row r="318" spans="1:20" ht="15.6">
      <c r="A318" s="110" t="s">
        <v>636</v>
      </c>
      <c r="B318" s="111" t="s">
        <v>232</v>
      </c>
      <c r="C318" s="112" t="s">
        <v>468</v>
      </c>
      <c r="D318" s="113" t="s">
        <v>507</v>
      </c>
      <c r="E318" s="114" t="s">
        <v>15</v>
      </c>
      <c r="F318" s="115" t="s">
        <v>42</v>
      </c>
      <c r="G318" s="116">
        <v>19.8</v>
      </c>
      <c r="H318" s="125">
        <v>11.1</v>
      </c>
      <c r="I318" s="111">
        <v>244</v>
      </c>
      <c r="J318" s="117">
        <f>H318*G318*I318/1000</f>
        <v>53.62632</v>
      </c>
      <c r="K318" s="32"/>
      <c r="L318" s="111">
        <f>237+7</f>
        <v>244</v>
      </c>
      <c r="M318" s="117">
        <f>H318*L318*G318/1000</f>
        <v>53.626320000000007</v>
      </c>
      <c r="N318" s="119">
        <f t="shared" ref="N318" si="161">I318-L318</f>
        <v>0</v>
      </c>
      <c r="O318" s="120">
        <f>H318*N318*G318/1000</f>
        <v>0</v>
      </c>
      <c r="P318" s="111"/>
      <c r="Q318" s="32"/>
      <c r="T318" s="213">
        <v>7</v>
      </c>
    </row>
    <row r="319" spans="1:20" ht="15.6">
      <c r="A319" s="110" t="s">
        <v>636</v>
      </c>
      <c r="B319" s="111" t="s">
        <v>232</v>
      </c>
      <c r="C319" s="112" t="s">
        <v>468</v>
      </c>
      <c r="D319" s="113" t="s">
        <v>507</v>
      </c>
      <c r="E319" s="114" t="s">
        <v>15</v>
      </c>
      <c r="F319" s="115" t="s">
        <v>42</v>
      </c>
      <c r="G319" s="116">
        <v>19.8</v>
      </c>
      <c r="H319" s="125">
        <v>10.7</v>
      </c>
      <c r="I319" s="111">
        <v>1</v>
      </c>
      <c r="J319" s="117">
        <f t="shared" ref="J319:J320" si="162">H319*G319*I319/1000</f>
        <v>0.21185999999999999</v>
      </c>
      <c r="K319" s="32"/>
      <c r="L319" s="111">
        <v>1</v>
      </c>
      <c r="M319" s="117">
        <f>H319*L319*G319/1000</f>
        <v>0.21185999999999999</v>
      </c>
      <c r="N319" s="119">
        <f t="shared" ref="N319:N320" si="163">I319-L319</f>
        <v>0</v>
      </c>
      <c r="O319" s="120">
        <f>H319*N319*G319/1000</f>
        <v>0</v>
      </c>
      <c r="P319" s="111">
        <v>9.25</v>
      </c>
      <c r="Q319" s="45">
        <v>1</v>
      </c>
      <c r="R319" s="213" t="s">
        <v>760</v>
      </c>
      <c r="T319" s="213">
        <v>1</v>
      </c>
    </row>
    <row r="320" spans="1:20" ht="15.6">
      <c r="A320" s="110" t="s">
        <v>636</v>
      </c>
      <c r="B320" s="111" t="s">
        <v>232</v>
      </c>
      <c r="C320" s="112" t="s">
        <v>468</v>
      </c>
      <c r="D320" s="113" t="s">
        <v>507</v>
      </c>
      <c r="E320" s="114" t="s">
        <v>15</v>
      </c>
      <c r="F320" s="115" t="s">
        <v>42</v>
      </c>
      <c r="G320" s="116">
        <v>19.8</v>
      </c>
      <c r="H320" s="125">
        <v>11.1</v>
      </c>
      <c r="I320" s="111">
        <v>2</v>
      </c>
      <c r="J320" s="117">
        <f t="shared" si="162"/>
        <v>0.43956000000000001</v>
      </c>
      <c r="K320" s="32"/>
      <c r="L320" s="111">
        <v>2</v>
      </c>
      <c r="M320" s="117">
        <f>H320*L320*G320/1000</f>
        <v>0.43956000000000001</v>
      </c>
      <c r="N320" s="119">
        <f t="shared" si="163"/>
        <v>0</v>
      </c>
      <c r="O320" s="120">
        <f>H320*N320*G320/1000</f>
        <v>0</v>
      </c>
      <c r="P320" s="111">
        <v>9.25</v>
      </c>
      <c r="Q320" s="45">
        <v>2</v>
      </c>
      <c r="R320" s="213" t="s">
        <v>760</v>
      </c>
      <c r="T320" s="213">
        <v>2</v>
      </c>
    </row>
    <row r="321" spans="1:20">
      <c r="I321" s="215">
        <f>SUM(I318:I320)</f>
        <v>247</v>
      </c>
      <c r="J321" s="214">
        <f>SUM(J318:J320)</f>
        <v>54.277740000000001</v>
      </c>
      <c r="L321" s="215">
        <f>SUM(L318:L320)</f>
        <v>247</v>
      </c>
      <c r="M321" s="214">
        <f>SUM(M318:M320)</f>
        <v>54.277740000000009</v>
      </c>
      <c r="N321" s="215">
        <f>SUM(N318:N320)</f>
        <v>0</v>
      </c>
      <c r="O321" s="214">
        <f>SUM(O318:O320)</f>
        <v>0</v>
      </c>
      <c r="T321" s="215">
        <f>SUM(T318:T320)</f>
        <v>10</v>
      </c>
    </row>
    <row r="323" spans="1:20" ht="15.6">
      <c r="A323" s="110" t="s">
        <v>636</v>
      </c>
      <c r="B323" s="111" t="s">
        <v>232</v>
      </c>
      <c r="C323" s="112" t="s">
        <v>468</v>
      </c>
      <c r="D323" s="113" t="s">
        <v>507</v>
      </c>
      <c r="E323" s="114" t="s">
        <v>15</v>
      </c>
      <c r="F323" s="115" t="s">
        <v>48</v>
      </c>
      <c r="G323" s="116">
        <v>23.6</v>
      </c>
      <c r="H323" s="125">
        <v>12.6</v>
      </c>
      <c r="I323" s="468">
        <f>11+11+11+11+11+11+11+11+11+11+11+11+11+11+11+11+11+11+11+11+11+11+11+11+11+11+11+11+11+11+11+11+11+11+11+11+11+11+11+11+11+11+11+12+12+12+12+7+10+9+7+2</f>
        <v>556</v>
      </c>
      <c r="J323" s="117">
        <f>H323*G323*I323/1000</f>
        <v>165.33216000000002</v>
      </c>
      <c r="K323" s="32"/>
      <c r="L323" s="111">
        <f>556+2</f>
        <v>558</v>
      </c>
      <c r="M323" s="117">
        <f>H323*L323*G323/1000</f>
        <v>165.92688000000001</v>
      </c>
      <c r="N323" s="180">
        <f t="shared" ref="N323" si="164">I323-L323</f>
        <v>-2</v>
      </c>
      <c r="O323" s="181">
        <f>H323*N323*G323/1000</f>
        <v>-0.59472000000000003</v>
      </c>
      <c r="P323" s="111" t="s">
        <v>637</v>
      </c>
      <c r="Q323" s="32"/>
    </row>
    <row r="324" spans="1:20" ht="15.6">
      <c r="A324" s="110" t="s">
        <v>636</v>
      </c>
      <c r="B324" s="111" t="s">
        <v>232</v>
      </c>
      <c r="C324" s="112" t="s">
        <v>468</v>
      </c>
      <c r="D324" s="113" t="s">
        <v>507</v>
      </c>
      <c r="E324" s="114" t="s">
        <v>15</v>
      </c>
      <c r="F324" s="115" t="s">
        <v>48</v>
      </c>
      <c r="G324" s="116">
        <v>23.6</v>
      </c>
      <c r="H324" s="125">
        <v>12.2</v>
      </c>
      <c r="I324" s="111">
        <v>2</v>
      </c>
      <c r="J324" s="117">
        <f t="shared" ref="J324:J325" si="165">H324*G324*I324/1000</f>
        <v>0.57584000000000002</v>
      </c>
      <c r="K324" s="32"/>
      <c r="L324" s="111">
        <v>2</v>
      </c>
      <c r="M324" s="117">
        <f t="shared" ref="M324:M325" si="166">H324*L324*G324/1000</f>
        <v>0.57584000000000002</v>
      </c>
      <c r="N324" s="119">
        <f t="shared" ref="N324:N325" si="167">I324-L324</f>
        <v>0</v>
      </c>
      <c r="O324" s="120">
        <f>H324*N324*G324/1000</f>
        <v>0</v>
      </c>
      <c r="P324" s="111">
        <v>12.6</v>
      </c>
      <c r="Q324" s="32">
        <v>2</v>
      </c>
    </row>
    <row r="325" spans="1:20" ht="15.6">
      <c r="A325" s="110" t="s">
        <v>636</v>
      </c>
      <c r="B325" s="111" t="s">
        <v>232</v>
      </c>
      <c r="C325" s="112" t="s">
        <v>468</v>
      </c>
      <c r="D325" s="113" t="s">
        <v>507</v>
      </c>
      <c r="E325" s="114" t="s">
        <v>15</v>
      </c>
      <c r="F325" s="115" t="s">
        <v>48</v>
      </c>
      <c r="G325" s="116">
        <v>23.6</v>
      </c>
      <c r="H325" s="125">
        <v>11.5</v>
      </c>
      <c r="I325" s="111">
        <v>1</v>
      </c>
      <c r="J325" s="117">
        <f t="shared" si="165"/>
        <v>0.27140000000000003</v>
      </c>
      <c r="K325" s="32"/>
      <c r="L325" s="111">
        <v>1</v>
      </c>
      <c r="M325" s="117">
        <f t="shared" si="166"/>
        <v>0.27140000000000003</v>
      </c>
      <c r="N325" s="119">
        <f t="shared" si="167"/>
        <v>0</v>
      </c>
      <c r="O325" s="120">
        <f>H325*N325*G325/1000</f>
        <v>0</v>
      </c>
      <c r="P325" s="111">
        <v>10.25</v>
      </c>
      <c r="Q325" s="32">
        <v>1</v>
      </c>
      <c r="R325" s="213" t="s">
        <v>760</v>
      </c>
    </row>
    <row r="326" spans="1:20">
      <c r="I326" s="215">
        <f>SUM(I323:I325)</f>
        <v>559</v>
      </c>
      <c r="J326" s="214">
        <f>SUM(J323:J325)</f>
        <v>166.17940000000002</v>
      </c>
      <c r="L326" s="215">
        <f>SUM(L323:L325)</f>
        <v>561</v>
      </c>
      <c r="M326" s="214">
        <f>SUM(M323:M325)</f>
        <v>166.77412000000001</v>
      </c>
      <c r="N326" s="215">
        <f>SUM(N323:N325)</f>
        <v>-2</v>
      </c>
      <c r="O326" s="214">
        <f>SUM(O323:O325)</f>
        <v>-0.59472000000000003</v>
      </c>
    </row>
    <row r="329" spans="1:20" ht="15.6">
      <c r="A329" s="110" t="s">
        <v>638</v>
      </c>
      <c r="B329" s="111" t="s">
        <v>505</v>
      </c>
      <c r="C329" s="112" t="s">
        <v>449</v>
      </c>
      <c r="D329" s="113" t="s">
        <v>130</v>
      </c>
      <c r="E329" s="114" t="s">
        <v>15</v>
      </c>
      <c r="F329" s="115" t="s">
        <v>48</v>
      </c>
      <c r="G329" s="116">
        <v>23.6</v>
      </c>
      <c r="H329" s="125">
        <v>10.4</v>
      </c>
      <c r="I329" s="468">
        <v>12</v>
      </c>
      <c r="J329" s="117">
        <f>H329*G329*I329/1000</f>
        <v>2.9452800000000003</v>
      </c>
      <c r="K329" s="32"/>
      <c r="L329" s="111">
        <v>12</v>
      </c>
      <c r="M329" s="117">
        <f>H329*L329*G329/1000</f>
        <v>2.9452800000000008</v>
      </c>
      <c r="N329" s="119">
        <f t="shared" ref="N329" si="168">I329-L329</f>
        <v>0</v>
      </c>
      <c r="O329" s="120">
        <f>H329*N329*G329/1000</f>
        <v>0</v>
      </c>
      <c r="P329" s="111"/>
      <c r="Q329" s="111"/>
    </row>
    <row r="330" spans="1:20" ht="15.6">
      <c r="A330" s="110" t="s">
        <v>638</v>
      </c>
      <c r="B330" s="111" t="s">
        <v>505</v>
      </c>
      <c r="C330" s="112" t="s">
        <v>449</v>
      </c>
      <c r="D330" s="113" t="s">
        <v>130</v>
      </c>
      <c r="E330" s="114" t="s">
        <v>15</v>
      </c>
      <c r="F330" s="115" t="s">
        <v>48</v>
      </c>
      <c r="G330" s="116">
        <v>23.6</v>
      </c>
      <c r="H330" s="125">
        <v>10.4</v>
      </c>
      <c r="I330" s="468">
        <v>12</v>
      </c>
      <c r="J330" s="117">
        <f t="shared" ref="J330:J346" si="169">H330*G330*I330/1000</f>
        <v>2.9452800000000003</v>
      </c>
      <c r="K330" s="32"/>
      <c r="L330" s="111">
        <v>12</v>
      </c>
      <c r="M330" s="117">
        <f t="shared" ref="M330:M346" si="170">H330*L330*G330/1000</f>
        <v>2.9452800000000008</v>
      </c>
      <c r="N330" s="119">
        <f t="shared" ref="N330:N346" si="171">I330-L330</f>
        <v>0</v>
      </c>
      <c r="O330" s="120">
        <f t="shared" ref="O330:O346" si="172">H330*N330*G330/1000</f>
        <v>0</v>
      </c>
      <c r="P330" s="111"/>
      <c r="Q330" s="111"/>
    </row>
    <row r="331" spans="1:20" ht="15.6">
      <c r="A331" s="110" t="s">
        <v>638</v>
      </c>
      <c r="B331" s="111" t="s">
        <v>505</v>
      </c>
      <c r="C331" s="112" t="s">
        <v>449</v>
      </c>
      <c r="D331" s="113" t="s">
        <v>130</v>
      </c>
      <c r="E331" s="114" t="s">
        <v>15</v>
      </c>
      <c r="F331" s="115" t="s">
        <v>48</v>
      </c>
      <c r="G331" s="116">
        <v>23.6</v>
      </c>
      <c r="H331" s="125">
        <v>10.4</v>
      </c>
      <c r="I331" s="468">
        <v>12</v>
      </c>
      <c r="J331" s="117">
        <f t="shared" si="169"/>
        <v>2.9452800000000003</v>
      </c>
      <c r="K331" s="32"/>
      <c r="L331" s="111">
        <v>12</v>
      </c>
      <c r="M331" s="117">
        <f t="shared" si="170"/>
        <v>2.9452800000000008</v>
      </c>
      <c r="N331" s="119">
        <f t="shared" si="171"/>
        <v>0</v>
      </c>
      <c r="O331" s="120">
        <f t="shared" si="172"/>
        <v>0</v>
      </c>
      <c r="P331" s="111"/>
      <c r="Q331" s="111"/>
    </row>
    <row r="332" spans="1:20" ht="15.6">
      <c r="A332" s="110" t="s">
        <v>638</v>
      </c>
      <c r="B332" s="111" t="s">
        <v>505</v>
      </c>
      <c r="C332" s="112" t="s">
        <v>449</v>
      </c>
      <c r="D332" s="113" t="s">
        <v>130</v>
      </c>
      <c r="E332" s="114" t="s">
        <v>15</v>
      </c>
      <c r="F332" s="115" t="s">
        <v>48</v>
      </c>
      <c r="G332" s="116">
        <v>23.6</v>
      </c>
      <c r="H332" s="125">
        <v>10.4</v>
      </c>
      <c r="I332" s="468">
        <v>12</v>
      </c>
      <c r="J332" s="117">
        <f t="shared" si="169"/>
        <v>2.9452800000000003</v>
      </c>
      <c r="K332" s="32"/>
      <c r="L332" s="111">
        <v>12</v>
      </c>
      <c r="M332" s="117">
        <f t="shared" si="170"/>
        <v>2.9452800000000008</v>
      </c>
      <c r="N332" s="119">
        <f t="shared" si="171"/>
        <v>0</v>
      </c>
      <c r="O332" s="120">
        <f t="shared" si="172"/>
        <v>0</v>
      </c>
      <c r="P332" s="111"/>
      <c r="Q332" s="111"/>
    </row>
    <row r="333" spans="1:20" ht="15.6">
      <c r="A333" s="110" t="s">
        <v>638</v>
      </c>
      <c r="B333" s="111" t="s">
        <v>505</v>
      </c>
      <c r="C333" s="112" t="s">
        <v>449</v>
      </c>
      <c r="D333" s="113" t="s">
        <v>130</v>
      </c>
      <c r="E333" s="114" t="s">
        <v>15</v>
      </c>
      <c r="F333" s="115" t="s">
        <v>48</v>
      </c>
      <c r="G333" s="116">
        <v>23.6</v>
      </c>
      <c r="H333" s="125">
        <v>10.3</v>
      </c>
      <c r="I333" s="468">
        <v>12</v>
      </c>
      <c r="J333" s="117">
        <f t="shared" si="169"/>
        <v>2.9169600000000004</v>
      </c>
      <c r="K333" s="32"/>
      <c r="L333" s="111">
        <v>12</v>
      </c>
      <c r="M333" s="117">
        <f t="shared" si="170"/>
        <v>2.9169600000000004</v>
      </c>
      <c r="N333" s="119">
        <f t="shared" si="171"/>
        <v>0</v>
      </c>
      <c r="O333" s="120">
        <f t="shared" si="172"/>
        <v>0</v>
      </c>
      <c r="P333" s="111"/>
      <c r="Q333" s="111"/>
    </row>
    <row r="334" spans="1:20" ht="15.6">
      <c r="A334" s="110" t="s">
        <v>638</v>
      </c>
      <c r="B334" s="111" t="s">
        <v>505</v>
      </c>
      <c r="C334" s="112" t="s">
        <v>449</v>
      </c>
      <c r="D334" s="113" t="s">
        <v>130</v>
      </c>
      <c r="E334" s="114" t="s">
        <v>15</v>
      </c>
      <c r="F334" s="115" t="s">
        <v>48</v>
      </c>
      <c r="G334" s="116">
        <v>23.6</v>
      </c>
      <c r="H334" s="125">
        <v>10.4</v>
      </c>
      <c r="I334" s="468">
        <v>2</v>
      </c>
      <c r="J334" s="117">
        <f t="shared" si="169"/>
        <v>0.49088000000000004</v>
      </c>
      <c r="K334" s="32"/>
      <c r="L334" s="111">
        <v>2</v>
      </c>
      <c r="M334" s="117">
        <f t="shared" si="170"/>
        <v>0.49088000000000004</v>
      </c>
      <c r="N334" s="119">
        <f t="shared" si="171"/>
        <v>0</v>
      </c>
      <c r="O334" s="120">
        <f t="shared" si="172"/>
        <v>0</v>
      </c>
      <c r="P334" s="111"/>
      <c r="Q334" s="111"/>
    </row>
    <row r="335" spans="1:20" ht="15.6">
      <c r="A335" s="110" t="s">
        <v>638</v>
      </c>
      <c r="B335" s="111" t="s">
        <v>505</v>
      </c>
      <c r="C335" s="112" t="s">
        <v>449</v>
      </c>
      <c r="D335" s="113" t="s">
        <v>130</v>
      </c>
      <c r="E335" s="114" t="s">
        <v>15</v>
      </c>
      <c r="F335" s="115" t="s">
        <v>48</v>
      </c>
      <c r="G335" s="116">
        <v>23.6</v>
      </c>
      <c r="H335" s="125">
        <v>10.3</v>
      </c>
      <c r="I335" s="468">
        <v>1</v>
      </c>
      <c r="J335" s="117">
        <f t="shared" si="169"/>
        <v>0.24308000000000005</v>
      </c>
      <c r="K335" s="32"/>
      <c r="L335" s="111">
        <v>1</v>
      </c>
      <c r="M335" s="117">
        <f t="shared" si="170"/>
        <v>0.24308000000000005</v>
      </c>
      <c r="N335" s="119">
        <f t="shared" si="171"/>
        <v>0</v>
      </c>
      <c r="O335" s="120">
        <f t="shared" si="172"/>
        <v>0</v>
      </c>
      <c r="P335" s="111"/>
      <c r="Q335" s="111"/>
    </row>
    <row r="336" spans="1:20" ht="15.6">
      <c r="A336" s="110" t="s">
        <v>638</v>
      </c>
      <c r="B336" s="111" t="s">
        <v>505</v>
      </c>
      <c r="C336" s="112" t="s">
        <v>449</v>
      </c>
      <c r="D336" s="113" t="s">
        <v>130</v>
      </c>
      <c r="E336" s="114" t="s">
        <v>15</v>
      </c>
      <c r="F336" s="115" t="s">
        <v>48</v>
      </c>
      <c r="G336" s="116">
        <v>23.6</v>
      </c>
      <c r="H336" s="125">
        <v>10.4</v>
      </c>
      <c r="I336" s="468">
        <v>2</v>
      </c>
      <c r="J336" s="117">
        <f t="shared" si="169"/>
        <v>0.49088000000000004</v>
      </c>
      <c r="K336" s="32"/>
      <c r="L336" s="111">
        <v>2</v>
      </c>
      <c r="M336" s="117">
        <f t="shared" si="170"/>
        <v>0.49088000000000004</v>
      </c>
      <c r="N336" s="119">
        <f t="shared" si="171"/>
        <v>0</v>
      </c>
      <c r="O336" s="120">
        <f t="shared" si="172"/>
        <v>0</v>
      </c>
      <c r="P336" s="111"/>
      <c r="Q336" s="111"/>
    </row>
    <row r="337" spans="1:18" ht="15.6">
      <c r="A337" s="110" t="s">
        <v>638</v>
      </c>
      <c r="B337" s="111" t="s">
        <v>505</v>
      </c>
      <c r="C337" s="112" t="s">
        <v>449</v>
      </c>
      <c r="D337" s="113" t="s">
        <v>130</v>
      </c>
      <c r="E337" s="114" t="s">
        <v>15</v>
      </c>
      <c r="F337" s="115" t="s">
        <v>48</v>
      </c>
      <c r="G337" s="116">
        <v>23.6</v>
      </c>
      <c r="H337" s="125">
        <v>11.5</v>
      </c>
      <c r="I337" s="468">
        <v>1</v>
      </c>
      <c r="J337" s="117">
        <f t="shared" si="169"/>
        <v>0.27140000000000003</v>
      </c>
      <c r="K337" s="32"/>
      <c r="L337" s="111">
        <v>1</v>
      </c>
      <c r="M337" s="117">
        <f t="shared" si="170"/>
        <v>0.27140000000000003</v>
      </c>
      <c r="N337" s="119">
        <f t="shared" si="171"/>
        <v>0</v>
      </c>
      <c r="O337" s="120">
        <f t="shared" si="172"/>
        <v>0</v>
      </c>
      <c r="P337" s="111"/>
      <c r="Q337" s="111"/>
    </row>
    <row r="338" spans="1:18" ht="15.6">
      <c r="A338" s="110" t="s">
        <v>638</v>
      </c>
      <c r="B338" s="111" t="s">
        <v>505</v>
      </c>
      <c r="C338" s="112" t="s">
        <v>449</v>
      </c>
      <c r="D338" s="113" t="s">
        <v>130</v>
      </c>
      <c r="E338" s="114" t="s">
        <v>15</v>
      </c>
      <c r="F338" s="115" t="s">
        <v>48</v>
      </c>
      <c r="G338" s="116">
        <v>23.6</v>
      </c>
      <c r="H338" s="125">
        <v>6.75</v>
      </c>
      <c r="I338" s="468">
        <v>2</v>
      </c>
      <c r="J338" s="117">
        <f t="shared" si="169"/>
        <v>0.31860000000000005</v>
      </c>
      <c r="K338" s="32"/>
      <c r="L338" s="111">
        <v>2</v>
      </c>
      <c r="M338" s="117">
        <f t="shared" si="170"/>
        <v>0.31860000000000005</v>
      </c>
      <c r="N338" s="119">
        <f t="shared" si="171"/>
        <v>0</v>
      </c>
      <c r="O338" s="120">
        <f t="shared" si="172"/>
        <v>0</v>
      </c>
      <c r="P338" s="111"/>
      <c r="Q338" s="111"/>
    </row>
    <row r="339" spans="1:18" ht="15.6">
      <c r="A339" s="110" t="s">
        <v>638</v>
      </c>
      <c r="B339" s="111" t="s">
        <v>505</v>
      </c>
      <c r="C339" s="112" t="s">
        <v>449</v>
      </c>
      <c r="D339" s="113" t="s">
        <v>130</v>
      </c>
      <c r="E339" s="114" t="s">
        <v>15</v>
      </c>
      <c r="F339" s="115" t="s">
        <v>48</v>
      </c>
      <c r="G339" s="116">
        <v>23.6</v>
      </c>
      <c r="H339" s="125">
        <v>11</v>
      </c>
      <c r="I339" s="468">
        <v>3</v>
      </c>
      <c r="J339" s="117">
        <f t="shared" si="169"/>
        <v>0.77880000000000005</v>
      </c>
      <c r="K339" s="32"/>
      <c r="L339" s="111">
        <f>2+1</f>
        <v>3</v>
      </c>
      <c r="M339" s="117">
        <f t="shared" si="170"/>
        <v>0.77880000000000005</v>
      </c>
      <c r="N339" s="119">
        <f t="shared" si="171"/>
        <v>0</v>
      </c>
      <c r="O339" s="120">
        <f t="shared" si="172"/>
        <v>0</v>
      </c>
      <c r="P339" s="111" t="s">
        <v>639</v>
      </c>
      <c r="Q339" s="111">
        <v>3</v>
      </c>
    </row>
    <row r="340" spans="1:18" ht="15.6">
      <c r="A340" s="110" t="s">
        <v>638</v>
      </c>
      <c r="B340" s="111" t="s">
        <v>505</v>
      </c>
      <c r="C340" s="112" t="s">
        <v>449</v>
      </c>
      <c r="D340" s="113" t="s">
        <v>130</v>
      </c>
      <c r="E340" s="114" t="s">
        <v>15</v>
      </c>
      <c r="F340" s="115" t="s">
        <v>48</v>
      </c>
      <c r="G340" s="116">
        <v>23.6</v>
      </c>
      <c r="H340" s="125">
        <v>12</v>
      </c>
      <c r="I340" s="468">
        <v>2</v>
      </c>
      <c r="J340" s="117">
        <f t="shared" si="169"/>
        <v>0.56640000000000013</v>
      </c>
      <c r="K340" s="32"/>
      <c r="L340" s="111">
        <v>2</v>
      </c>
      <c r="M340" s="117">
        <f t="shared" si="170"/>
        <v>0.56640000000000013</v>
      </c>
      <c r="N340" s="119">
        <f t="shared" si="171"/>
        <v>0</v>
      </c>
      <c r="O340" s="120">
        <f t="shared" si="172"/>
        <v>0</v>
      </c>
      <c r="P340" s="111"/>
      <c r="Q340" s="111"/>
    </row>
    <row r="341" spans="1:18" ht="15.6">
      <c r="A341" s="110" t="s">
        <v>638</v>
      </c>
      <c r="B341" s="111" t="s">
        <v>505</v>
      </c>
      <c r="C341" s="112" t="s">
        <v>449</v>
      </c>
      <c r="D341" s="113" t="s">
        <v>130</v>
      </c>
      <c r="E341" s="114" t="s">
        <v>15</v>
      </c>
      <c r="F341" s="115" t="s">
        <v>48</v>
      </c>
      <c r="G341" s="116">
        <v>23.6</v>
      </c>
      <c r="H341" s="125">
        <v>12</v>
      </c>
      <c r="I341" s="468">
        <v>3</v>
      </c>
      <c r="J341" s="117">
        <f t="shared" si="169"/>
        <v>0.84960000000000013</v>
      </c>
      <c r="K341" s="32"/>
      <c r="L341" s="111">
        <v>3</v>
      </c>
      <c r="M341" s="117">
        <f t="shared" si="170"/>
        <v>0.84960000000000002</v>
      </c>
      <c r="N341" s="119">
        <f t="shared" si="171"/>
        <v>0</v>
      </c>
      <c r="O341" s="120">
        <f t="shared" si="172"/>
        <v>0</v>
      </c>
      <c r="P341" s="111">
        <v>10.25</v>
      </c>
      <c r="Q341" s="45">
        <v>3</v>
      </c>
      <c r="R341" s="213" t="s">
        <v>760</v>
      </c>
    </row>
    <row r="342" spans="1:18" ht="15.6">
      <c r="A342" s="110" t="s">
        <v>638</v>
      </c>
      <c r="B342" s="111" t="s">
        <v>505</v>
      </c>
      <c r="C342" s="112" t="s">
        <v>449</v>
      </c>
      <c r="D342" s="113" t="s">
        <v>130</v>
      </c>
      <c r="E342" s="114" t="s">
        <v>15</v>
      </c>
      <c r="F342" s="115" t="s">
        <v>48</v>
      </c>
      <c r="G342" s="116">
        <v>23.6</v>
      </c>
      <c r="H342" s="125">
        <v>8.75</v>
      </c>
      <c r="I342" s="468">
        <v>1</v>
      </c>
      <c r="J342" s="117">
        <f t="shared" si="169"/>
        <v>0.20649999999999999</v>
      </c>
      <c r="K342" s="32"/>
      <c r="L342" s="111"/>
      <c r="M342" s="117">
        <f t="shared" si="170"/>
        <v>0</v>
      </c>
      <c r="N342" s="119">
        <f t="shared" si="171"/>
        <v>1</v>
      </c>
      <c r="O342" s="120">
        <f t="shared" si="172"/>
        <v>0.20649999999999999</v>
      </c>
      <c r="P342" s="111"/>
      <c r="Q342" s="111"/>
    </row>
    <row r="343" spans="1:18" ht="15.6">
      <c r="A343" s="110" t="s">
        <v>638</v>
      </c>
      <c r="B343" s="111" t="s">
        <v>505</v>
      </c>
      <c r="C343" s="112" t="s">
        <v>449</v>
      </c>
      <c r="D343" s="113" t="s">
        <v>130</v>
      </c>
      <c r="E343" s="114" t="s">
        <v>15</v>
      </c>
      <c r="F343" s="115" t="s">
        <v>48</v>
      </c>
      <c r="G343" s="116">
        <v>23.6</v>
      </c>
      <c r="H343" s="125">
        <v>10.4</v>
      </c>
      <c r="I343" s="468">
        <v>12</v>
      </c>
      <c r="J343" s="117">
        <f t="shared" si="169"/>
        <v>2.9452800000000003</v>
      </c>
      <c r="K343" s="32"/>
      <c r="L343" s="111">
        <v>12</v>
      </c>
      <c r="M343" s="117">
        <f t="shared" si="170"/>
        <v>2.9452800000000008</v>
      </c>
      <c r="N343" s="119">
        <f t="shared" si="171"/>
        <v>0</v>
      </c>
      <c r="O343" s="120">
        <f t="shared" si="172"/>
        <v>0</v>
      </c>
      <c r="P343" s="111"/>
      <c r="Q343" s="111"/>
    </row>
    <row r="344" spans="1:18" ht="15.6">
      <c r="A344" s="110" t="s">
        <v>638</v>
      </c>
      <c r="B344" s="111" t="s">
        <v>505</v>
      </c>
      <c r="C344" s="112" t="s">
        <v>449</v>
      </c>
      <c r="D344" s="113" t="s">
        <v>130</v>
      </c>
      <c r="E344" s="114" t="s">
        <v>15</v>
      </c>
      <c r="F344" s="115" t="s">
        <v>48</v>
      </c>
      <c r="G344" s="116">
        <v>23.6</v>
      </c>
      <c r="H344" s="125">
        <v>10.4</v>
      </c>
      <c r="I344" s="468">
        <v>12</v>
      </c>
      <c r="J344" s="117">
        <f t="shared" si="169"/>
        <v>2.9452800000000003</v>
      </c>
      <c r="K344" s="32"/>
      <c r="L344" s="111">
        <v>12</v>
      </c>
      <c r="M344" s="117">
        <f t="shared" si="170"/>
        <v>2.9452800000000008</v>
      </c>
      <c r="N344" s="119">
        <f t="shared" si="171"/>
        <v>0</v>
      </c>
      <c r="O344" s="120">
        <f t="shared" si="172"/>
        <v>0</v>
      </c>
      <c r="P344" s="111"/>
      <c r="Q344" s="111"/>
    </row>
    <row r="345" spans="1:18" ht="15.6">
      <c r="A345" s="110" t="s">
        <v>638</v>
      </c>
      <c r="B345" s="111" t="s">
        <v>505</v>
      </c>
      <c r="C345" s="112" t="s">
        <v>449</v>
      </c>
      <c r="D345" s="113" t="s">
        <v>130</v>
      </c>
      <c r="E345" s="114" t="s">
        <v>15</v>
      </c>
      <c r="F345" s="115" t="s">
        <v>48</v>
      </c>
      <c r="G345" s="116">
        <v>23.6</v>
      </c>
      <c r="H345" s="125">
        <v>10.4</v>
      </c>
      <c r="I345" s="468">
        <v>12</v>
      </c>
      <c r="J345" s="117">
        <f t="shared" si="169"/>
        <v>2.9452800000000003</v>
      </c>
      <c r="K345" s="32"/>
      <c r="L345" s="111">
        <v>12</v>
      </c>
      <c r="M345" s="117">
        <f t="shared" si="170"/>
        <v>2.9452800000000008</v>
      </c>
      <c r="N345" s="119">
        <f t="shared" si="171"/>
        <v>0</v>
      </c>
      <c r="O345" s="120">
        <f t="shared" si="172"/>
        <v>0</v>
      </c>
      <c r="P345" s="111"/>
      <c r="Q345" s="111"/>
    </row>
    <row r="346" spans="1:18" ht="15.6">
      <c r="A346" s="110" t="s">
        <v>638</v>
      </c>
      <c r="B346" s="111" t="s">
        <v>505</v>
      </c>
      <c r="C346" s="112" t="s">
        <v>449</v>
      </c>
      <c r="D346" s="113" t="s">
        <v>130</v>
      </c>
      <c r="E346" s="114" t="s">
        <v>15</v>
      </c>
      <c r="F346" s="115" t="s">
        <v>48</v>
      </c>
      <c r="G346" s="116">
        <v>23.6</v>
      </c>
      <c r="H346" s="125">
        <v>10.4</v>
      </c>
      <c r="I346" s="469">
        <f>12+12</f>
        <v>24</v>
      </c>
      <c r="J346" s="117">
        <f t="shared" si="169"/>
        <v>5.8905600000000007</v>
      </c>
      <c r="K346" s="32"/>
      <c r="L346" s="111">
        <v>24</v>
      </c>
      <c r="M346" s="117">
        <f t="shared" si="170"/>
        <v>5.8905600000000016</v>
      </c>
      <c r="N346" s="119">
        <f t="shared" si="171"/>
        <v>0</v>
      </c>
      <c r="O346" s="120">
        <f t="shared" si="172"/>
        <v>0</v>
      </c>
      <c r="P346" s="111"/>
      <c r="Q346" s="111"/>
    </row>
    <row r="347" spans="1:18" ht="15.6">
      <c r="A347" s="110" t="s">
        <v>638</v>
      </c>
      <c r="B347" s="111" t="s">
        <v>505</v>
      </c>
      <c r="C347" s="112" t="s">
        <v>449</v>
      </c>
      <c r="D347" s="113" t="s">
        <v>130</v>
      </c>
      <c r="E347" s="114" t="s">
        <v>15</v>
      </c>
      <c r="F347" s="115" t="s">
        <v>48</v>
      </c>
      <c r="G347" s="116">
        <v>23.6</v>
      </c>
      <c r="H347" s="125">
        <v>10.3</v>
      </c>
      <c r="I347" s="468">
        <v>1</v>
      </c>
      <c r="J347" s="117">
        <f t="shared" ref="J347:J351" si="173">H347*G347*I347/1000</f>
        <v>0.24308000000000005</v>
      </c>
      <c r="K347" s="32"/>
      <c r="L347" s="111">
        <v>1</v>
      </c>
      <c r="M347" s="117">
        <f t="shared" ref="M347:M351" si="174">H347*L347*G347/1000</f>
        <v>0.24308000000000005</v>
      </c>
      <c r="N347" s="119">
        <f t="shared" ref="N347:N351" si="175">I347-L347</f>
        <v>0</v>
      </c>
      <c r="O347" s="120">
        <f t="shared" ref="O347:O351" si="176">H347*N347*G347/1000</f>
        <v>0</v>
      </c>
      <c r="P347" s="111"/>
      <c r="Q347" s="111"/>
    </row>
    <row r="348" spans="1:18" ht="15.6">
      <c r="A348" s="110" t="s">
        <v>638</v>
      </c>
      <c r="B348" s="111" t="s">
        <v>505</v>
      </c>
      <c r="C348" s="112" t="s">
        <v>449</v>
      </c>
      <c r="D348" s="113" t="s">
        <v>130</v>
      </c>
      <c r="E348" s="114" t="s">
        <v>15</v>
      </c>
      <c r="F348" s="115" t="s">
        <v>48</v>
      </c>
      <c r="G348" s="116">
        <v>23.6</v>
      </c>
      <c r="H348" s="125">
        <v>11.5</v>
      </c>
      <c r="I348" s="468">
        <v>9</v>
      </c>
      <c r="J348" s="117">
        <f t="shared" si="173"/>
        <v>2.4426000000000005</v>
      </c>
      <c r="K348" s="32"/>
      <c r="L348" s="111">
        <v>9</v>
      </c>
      <c r="M348" s="117">
        <f t="shared" si="174"/>
        <v>2.4426000000000005</v>
      </c>
      <c r="N348" s="119">
        <f t="shared" si="175"/>
        <v>0</v>
      </c>
      <c r="O348" s="120">
        <f t="shared" si="176"/>
        <v>0</v>
      </c>
      <c r="P348" s="111"/>
      <c r="Q348" s="111"/>
    </row>
    <row r="349" spans="1:18" ht="15.6">
      <c r="A349" s="110" t="s">
        <v>638</v>
      </c>
      <c r="B349" s="111" t="s">
        <v>505</v>
      </c>
      <c r="C349" s="112" t="s">
        <v>449</v>
      </c>
      <c r="D349" s="113" t="s">
        <v>130</v>
      </c>
      <c r="E349" s="114" t="s">
        <v>15</v>
      </c>
      <c r="F349" s="115" t="s">
        <v>48</v>
      </c>
      <c r="G349" s="116">
        <v>23.6</v>
      </c>
      <c r="H349" s="125">
        <v>11</v>
      </c>
      <c r="I349" s="468">
        <v>7</v>
      </c>
      <c r="J349" s="117">
        <f t="shared" si="173"/>
        <v>1.8172000000000004</v>
      </c>
      <c r="K349" s="32"/>
      <c r="L349" s="111">
        <f>4+3</f>
        <v>7</v>
      </c>
      <c r="M349" s="117">
        <f t="shared" si="174"/>
        <v>1.8172000000000001</v>
      </c>
      <c r="N349" s="119">
        <f t="shared" si="175"/>
        <v>0</v>
      </c>
      <c r="O349" s="120">
        <f t="shared" si="176"/>
        <v>0</v>
      </c>
      <c r="P349" s="111">
        <v>10.4</v>
      </c>
      <c r="Q349" s="111">
        <v>3</v>
      </c>
    </row>
    <row r="350" spans="1:18" ht="15.6">
      <c r="A350" s="110" t="s">
        <v>638</v>
      </c>
      <c r="B350" s="111" t="s">
        <v>505</v>
      </c>
      <c r="C350" s="112" t="s">
        <v>449</v>
      </c>
      <c r="D350" s="113" t="s">
        <v>130</v>
      </c>
      <c r="E350" s="114" t="s">
        <v>15</v>
      </c>
      <c r="F350" s="115" t="s">
        <v>48</v>
      </c>
      <c r="G350" s="116">
        <v>23.6</v>
      </c>
      <c r="H350" s="125">
        <v>10.4</v>
      </c>
      <c r="I350" s="468">
        <v>7</v>
      </c>
      <c r="J350" s="117">
        <f t="shared" si="173"/>
        <v>1.7180800000000001</v>
      </c>
      <c r="K350" s="32"/>
      <c r="L350" s="111">
        <v>7</v>
      </c>
      <c r="M350" s="117">
        <f t="shared" si="174"/>
        <v>1.7180799999999998</v>
      </c>
      <c r="N350" s="119">
        <f t="shared" si="175"/>
        <v>0</v>
      </c>
      <c r="O350" s="120">
        <f t="shared" si="176"/>
        <v>0</v>
      </c>
      <c r="P350" s="111"/>
      <c r="Q350" s="111"/>
    </row>
    <row r="351" spans="1:18" ht="15.6">
      <c r="A351" s="110" t="s">
        <v>638</v>
      </c>
      <c r="B351" s="111" t="s">
        <v>505</v>
      </c>
      <c r="C351" s="112" t="s">
        <v>449</v>
      </c>
      <c r="D351" s="113" t="s">
        <v>130</v>
      </c>
      <c r="E351" s="114" t="s">
        <v>15</v>
      </c>
      <c r="F351" s="115" t="s">
        <v>48</v>
      </c>
      <c r="G351" s="116">
        <v>23.6</v>
      </c>
      <c r="H351" s="125">
        <v>12</v>
      </c>
      <c r="I351" s="468">
        <v>3</v>
      </c>
      <c r="J351" s="117">
        <f t="shared" si="173"/>
        <v>0.84960000000000013</v>
      </c>
      <c r="K351" s="32"/>
      <c r="L351" s="111">
        <f>1+2</f>
        <v>3</v>
      </c>
      <c r="M351" s="117">
        <f t="shared" si="174"/>
        <v>0.84960000000000002</v>
      </c>
      <c r="N351" s="119">
        <f t="shared" si="175"/>
        <v>0</v>
      </c>
      <c r="O351" s="120">
        <f t="shared" si="176"/>
        <v>0</v>
      </c>
      <c r="P351" s="111" t="s">
        <v>640</v>
      </c>
      <c r="Q351" s="111">
        <v>3</v>
      </c>
    </row>
    <row r="352" spans="1:18">
      <c r="A352" s="32"/>
      <c r="B352" s="32"/>
      <c r="C352" s="32"/>
      <c r="D352" s="32"/>
      <c r="E352" s="32"/>
      <c r="F352" s="32"/>
      <c r="G352" s="32"/>
      <c r="H352" s="32"/>
      <c r="I352" s="129">
        <f>SUM(I329:I351)</f>
        <v>164</v>
      </c>
      <c r="J352" s="124">
        <f>SUM(J329:J351)</f>
        <v>40.711180000000006</v>
      </c>
      <c r="K352" s="32"/>
      <c r="L352" s="129">
        <f>SUM(L329:L351)</f>
        <v>163</v>
      </c>
      <c r="M352" s="124">
        <f>SUM(M329:M351)</f>
        <v>40.504680000000015</v>
      </c>
      <c r="N352" s="129">
        <f>SUM(N329:N351)</f>
        <v>1</v>
      </c>
      <c r="O352" s="124">
        <f>SUM(O329:O351)</f>
        <v>0.20649999999999999</v>
      </c>
      <c r="P352" s="32"/>
      <c r="Q352" s="32"/>
    </row>
    <row r="354" spans="1:17" ht="15.6">
      <c r="A354" s="110" t="s">
        <v>638</v>
      </c>
      <c r="B354" s="111" t="s">
        <v>505</v>
      </c>
      <c r="C354" s="112" t="s">
        <v>449</v>
      </c>
      <c r="D354" s="113" t="s">
        <v>17</v>
      </c>
      <c r="E354" s="114" t="s">
        <v>15</v>
      </c>
      <c r="F354" s="115" t="s">
        <v>48</v>
      </c>
      <c r="G354" s="116">
        <v>23.6</v>
      </c>
      <c r="H354" s="125">
        <v>9.6</v>
      </c>
      <c r="I354" s="468">
        <v>12</v>
      </c>
      <c r="J354" s="117">
        <f t="shared" ref="J354" si="177">H354*G354*I354/1000</f>
        <v>2.7187200000000002</v>
      </c>
      <c r="K354" s="32"/>
      <c r="L354" s="468">
        <v>12</v>
      </c>
      <c r="M354" s="117">
        <f t="shared" ref="M354" si="178">H354*L354*G354/1000</f>
        <v>2.7187199999999998</v>
      </c>
      <c r="N354" s="119">
        <f t="shared" ref="N354" si="179">I354-L354</f>
        <v>0</v>
      </c>
      <c r="O354" s="120">
        <f t="shared" ref="O354" si="180">H354*N354*G354/1000</f>
        <v>0</v>
      </c>
      <c r="P354" s="111"/>
      <c r="Q354" s="111"/>
    </row>
    <row r="355" spans="1:17" ht="15.6">
      <c r="A355" s="110" t="s">
        <v>638</v>
      </c>
      <c r="B355" s="111" t="s">
        <v>505</v>
      </c>
      <c r="C355" s="112" t="s">
        <v>449</v>
      </c>
      <c r="D355" s="113" t="s">
        <v>17</v>
      </c>
      <c r="E355" s="114" t="s">
        <v>15</v>
      </c>
      <c r="F355" s="115" t="s">
        <v>48</v>
      </c>
      <c r="G355" s="116">
        <v>23.6</v>
      </c>
      <c r="H355" s="125">
        <v>9.6</v>
      </c>
      <c r="I355" s="468">
        <v>12</v>
      </c>
      <c r="J355" s="117">
        <f t="shared" ref="J355:J370" si="181">H355*G355*I355/1000</f>
        <v>2.7187200000000002</v>
      </c>
      <c r="K355" s="32"/>
      <c r="L355" s="468">
        <v>12</v>
      </c>
      <c r="M355" s="117">
        <f t="shared" ref="M355:M370" si="182">H355*L355*G355/1000</f>
        <v>2.7187199999999998</v>
      </c>
      <c r="N355" s="119">
        <f t="shared" ref="N355:N370" si="183">I355-L355</f>
        <v>0</v>
      </c>
      <c r="O355" s="120">
        <f t="shared" ref="O355:O370" si="184">H355*N355*G355/1000</f>
        <v>0</v>
      </c>
      <c r="P355" s="111"/>
      <c r="Q355" s="111"/>
    </row>
    <row r="356" spans="1:17" ht="15.6">
      <c r="A356" s="110" t="s">
        <v>638</v>
      </c>
      <c r="B356" s="111" t="s">
        <v>505</v>
      </c>
      <c r="C356" s="112" t="s">
        <v>449</v>
      </c>
      <c r="D356" s="113" t="s">
        <v>17</v>
      </c>
      <c r="E356" s="114" t="s">
        <v>15</v>
      </c>
      <c r="F356" s="115" t="s">
        <v>48</v>
      </c>
      <c r="G356" s="116">
        <v>23.6</v>
      </c>
      <c r="H356" s="125">
        <v>9.3000000000000007</v>
      </c>
      <c r="I356" s="468">
        <v>12</v>
      </c>
      <c r="J356" s="117">
        <f t="shared" si="181"/>
        <v>2.6337600000000001</v>
      </c>
      <c r="K356" s="32"/>
      <c r="L356" s="468">
        <v>12</v>
      </c>
      <c r="M356" s="117">
        <f t="shared" si="182"/>
        <v>2.6337600000000001</v>
      </c>
      <c r="N356" s="119">
        <f t="shared" si="183"/>
        <v>0</v>
      </c>
      <c r="O356" s="120">
        <f t="shared" si="184"/>
        <v>0</v>
      </c>
      <c r="P356" s="111"/>
      <c r="Q356" s="111"/>
    </row>
    <row r="357" spans="1:17" ht="15.6">
      <c r="A357" s="110" t="s">
        <v>638</v>
      </c>
      <c r="B357" s="111" t="s">
        <v>505</v>
      </c>
      <c r="C357" s="112" t="s">
        <v>449</v>
      </c>
      <c r="D357" s="113" t="s">
        <v>17</v>
      </c>
      <c r="E357" s="114" t="s">
        <v>15</v>
      </c>
      <c r="F357" s="115" t="s">
        <v>48</v>
      </c>
      <c r="G357" s="116">
        <v>23.6</v>
      </c>
      <c r="H357" s="125">
        <v>10</v>
      </c>
      <c r="I357" s="468">
        <v>12</v>
      </c>
      <c r="J357" s="117">
        <f t="shared" si="181"/>
        <v>2.8319999999999999</v>
      </c>
      <c r="K357" s="32"/>
      <c r="L357" s="468">
        <v>12</v>
      </c>
      <c r="M357" s="117">
        <f t="shared" si="182"/>
        <v>2.8319999999999999</v>
      </c>
      <c r="N357" s="119">
        <f t="shared" si="183"/>
        <v>0</v>
      </c>
      <c r="O357" s="120">
        <f t="shared" si="184"/>
        <v>0</v>
      </c>
      <c r="P357" s="111"/>
      <c r="Q357" s="111"/>
    </row>
    <row r="358" spans="1:17" ht="15.6">
      <c r="A358" s="110" t="s">
        <v>638</v>
      </c>
      <c r="B358" s="111" t="s">
        <v>505</v>
      </c>
      <c r="C358" s="112" t="s">
        <v>449</v>
      </c>
      <c r="D358" s="113" t="s">
        <v>17</v>
      </c>
      <c r="E358" s="114" t="s">
        <v>15</v>
      </c>
      <c r="F358" s="115" t="s">
        <v>48</v>
      </c>
      <c r="G358" s="116">
        <v>23.6</v>
      </c>
      <c r="H358" s="125">
        <v>10</v>
      </c>
      <c r="I358" s="468">
        <v>12</v>
      </c>
      <c r="J358" s="117">
        <f t="shared" si="181"/>
        <v>2.8319999999999999</v>
      </c>
      <c r="K358" s="32"/>
      <c r="L358" s="468">
        <v>12</v>
      </c>
      <c r="M358" s="117">
        <f t="shared" si="182"/>
        <v>2.8319999999999999</v>
      </c>
      <c r="N358" s="119">
        <f t="shared" si="183"/>
        <v>0</v>
      </c>
      <c r="O358" s="120">
        <f t="shared" si="184"/>
        <v>0</v>
      </c>
      <c r="P358" s="111"/>
      <c r="Q358" s="111"/>
    </row>
    <row r="359" spans="1:17" ht="15.6">
      <c r="A359" s="110" t="s">
        <v>638</v>
      </c>
      <c r="B359" s="111" t="s">
        <v>505</v>
      </c>
      <c r="C359" s="112" t="s">
        <v>449</v>
      </c>
      <c r="D359" s="113" t="s">
        <v>17</v>
      </c>
      <c r="E359" s="114" t="s">
        <v>15</v>
      </c>
      <c r="F359" s="115" t="s">
        <v>48</v>
      </c>
      <c r="G359" s="116">
        <v>23.6</v>
      </c>
      <c r="H359" s="125">
        <v>12</v>
      </c>
      <c r="I359" s="468">
        <v>3</v>
      </c>
      <c r="J359" s="117">
        <f t="shared" si="181"/>
        <v>0.84960000000000013</v>
      </c>
      <c r="K359" s="32"/>
      <c r="L359" s="111"/>
      <c r="M359" s="117">
        <f t="shared" si="182"/>
        <v>0</v>
      </c>
      <c r="N359" s="119">
        <f t="shared" si="183"/>
        <v>3</v>
      </c>
      <c r="O359" s="120">
        <f t="shared" si="184"/>
        <v>0.84960000000000002</v>
      </c>
      <c r="P359" s="111"/>
      <c r="Q359" s="111"/>
    </row>
    <row r="360" spans="1:17" ht="15.6">
      <c r="A360" s="110" t="s">
        <v>638</v>
      </c>
      <c r="B360" s="111" t="s">
        <v>505</v>
      </c>
      <c r="C360" s="112" t="s">
        <v>449</v>
      </c>
      <c r="D360" s="113" t="s">
        <v>17</v>
      </c>
      <c r="E360" s="114" t="s">
        <v>15</v>
      </c>
      <c r="F360" s="115" t="s">
        <v>48</v>
      </c>
      <c r="G360" s="116">
        <v>23.6</v>
      </c>
      <c r="H360" s="125">
        <v>10</v>
      </c>
      <c r="I360" s="468">
        <v>1</v>
      </c>
      <c r="J360" s="117">
        <f t="shared" si="181"/>
        <v>0.23599999999999999</v>
      </c>
      <c r="K360" s="32"/>
      <c r="L360" s="111"/>
      <c r="M360" s="117">
        <f t="shared" si="182"/>
        <v>0</v>
      </c>
      <c r="N360" s="119">
        <f t="shared" si="183"/>
        <v>1</v>
      </c>
      <c r="O360" s="120">
        <f t="shared" si="184"/>
        <v>0.23599999999999999</v>
      </c>
      <c r="P360" s="111"/>
      <c r="Q360" s="111"/>
    </row>
    <row r="361" spans="1:17" ht="15.6">
      <c r="A361" s="110" t="s">
        <v>638</v>
      </c>
      <c r="B361" s="111" t="s">
        <v>505</v>
      </c>
      <c r="C361" s="112" t="s">
        <v>449</v>
      </c>
      <c r="D361" s="113" t="s">
        <v>17</v>
      </c>
      <c r="E361" s="114" t="s">
        <v>15</v>
      </c>
      <c r="F361" s="115" t="s">
        <v>48</v>
      </c>
      <c r="G361" s="116">
        <v>23.6</v>
      </c>
      <c r="H361" s="125">
        <v>9.6</v>
      </c>
      <c r="I361" s="468">
        <v>2</v>
      </c>
      <c r="J361" s="117">
        <f t="shared" si="181"/>
        <v>0.45312000000000002</v>
      </c>
      <c r="K361" s="32"/>
      <c r="L361" s="111">
        <v>2</v>
      </c>
      <c r="M361" s="117">
        <f t="shared" si="182"/>
        <v>0.45312000000000002</v>
      </c>
      <c r="N361" s="119">
        <f t="shared" si="183"/>
        <v>0</v>
      </c>
      <c r="O361" s="120">
        <f t="shared" si="184"/>
        <v>0</v>
      </c>
      <c r="P361" s="111"/>
      <c r="Q361" s="111"/>
    </row>
    <row r="362" spans="1:17" ht="15.6">
      <c r="A362" s="110" t="s">
        <v>638</v>
      </c>
      <c r="B362" s="111" t="s">
        <v>505</v>
      </c>
      <c r="C362" s="112" t="s">
        <v>449</v>
      </c>
      <c r="D362" s="113" t="s">
        <v>17</v>
      </c>
      <c r="E362" s="114" t="s">
        <v>15</v>
      </c>
      <c r="F362" s="115" t="s">
        <v>48</v>
      </c>
      <c r="G362" s="116">
        <v>23.6</v>
      </c>
      <c r="H362" s="125">
        <v>9.3000000000000007</v>
      </c>
      <c r="I362" s="468">
        <v>2</v>
      </c>
      <c r="J362" s="117">
        <f t="shared" si="181"/>
        <v>0.43896000000000002</v>
      </c>
      <c r="K362" s="32"/>
      <c r="L362" s="111">
        <v>2</v>
      </c>
      <c r="M362" s="117">
        <f t="shared" si="182"/>
        <v>0.43896000000000002</v>
      </c>
      <c r="N362" s="119">
        <f t="shared" si="183"/>
        <v>0</v>
      </c>
      <c r="O362" s="120">
        <f t="shared" si="184"/>
        <v>0</v>
      </c>
      <c r="P362" s="111"/>
      <c r="Q362" s="111"/>
    </row>
    <row r="363" spans="1:17" ht="15.6">
      <c r="A363" s="110" t="s">
        <v>638</v>
      </c>
      <c r="B363" s="111" t="s">
        <v>505</v>
      </c>
      <c r="C363" s="112" t="s">
        <v>449</v>
      </c>
      <c r="D363" s="113" t="s">
        <v>17</v>
      </c>
      <c r="E363" s="114" t="s">
        <v>15</v>
      </c>
      <c r="F363" s="115" t="s">
        <v>48</v>
      </c>
      <c r="G363" s="116">
        <v>23.6</v>
      </c>
      <c r="H363" s="125">
        <v>11.5</v>
      </c>
      <c r="I363" s="468">
        <v>1</v>
      </c>
      <c r="J363" s="117">
        <f t="shared" si="181"/>
        <v>0.27140000000000003</v>
      </c>
      <c r="K363" s="32"/>
      <c r="L363" s="111"/>
      <c r="M363" s="117">
        <f t="shared" si="182"/>
        <v>0</v>
      </c>
      <c r="N363" s="119">
        <f t="shared" si="183"/>
        <v>1</v>
      </c>
      <c r="O363" s="120">
        <f t="shared" si="184"/>
        <v>0.27140000000000003</v>
      </c>
      <c r="P363" s="111"/>
      <c r="Q363" s="111"/>
    </row>
    <row r="364" spans="1:17" ht="15.6">
      <c r="A364" s="110" t="s">
        <v>638</v>
      </c>
      <c r="B364" s="111" t="s">
        <v>505</v>
      </c>
      <c r="C364" s="112" t="s">
        <v>449</v>
      </c>
      <c r="D364" s="113" t="s">
        <v>17</v>
      </c>
      <c r="E364" s="114" t="s">
        <v>15</v>
      </c>
      <c r="F364" s="115" t="s">
        <v>48</v>
      </c>
      <c r="G364" s="116">
        <v>23.6</v>
      </c>
      <c r="H364" s="125">
        <v>12</v>
      </c>
      <c r="I364" s="468">
        <v>3</v>
      </c>
      <c r="J364" s="117">
        <f t="shared" si="181"/>
        <v>0.84960000000000013</v>
      </c>
      <c r="K364" s="32"/>
      <c r="L364" s="111">
        <v>3</v>
      </c>
      <c r="M364" s="117">
        <f t="shared" si="182"/>
        <v>0.84960000000000002</v>
      </c>
      <c r="N364" s="119">
        <f t="shared" si="183"/>
        <v>0</v>
      </c>
      <c r="O364" s="120">
        <f t="shared" si="184"/>
        <v>0</v>
      </c>
      <c r="P364" s="111"/>
      <c r="Q364" s="111"/>
    </row>
    <row r="365" spans="1:17" ht="15.6">
      <c r="A365" s="110" t="s">
        <v>638</v>
      </c>
      <c r="B365" s="111" t="s">
        <v>505</v>
      </c>
      <c r="C365" s="112" t="s">
        <v>449</v>
      </c>
      <c r="D365" s="113" t="s">
        <v>17</v>
      </c>
      <c r="E365" s="114" t="s">
        <v>15</v>
      </c>
      <c r="F365" s="115" t="s">
        <v>48</v>
      </c>
      <c r="G365" s="116">
        <v>23.6</v>
      </c>
      <c r="H365" s="125">
        <v>9.6</v>
      </c>
      <c r="I365" s="468">
        <v>12</v>
      </c>
      <c r="J365" s="117">
        <f t="shared" si="181"/>
        <v>2.7187200000000002</v>
      </c>
      <c r="K365" s="32"/>
      <c r="L365" s="468">
        <v>12</v>
      </c>
      <c r="M365" s="117">
        <f t="shared" si="182"/>
        <v>2.7187199999999998</v>
      </c>
      <c r="N365" s="119">
        <f t="shared" si="183"/>
        <v>0</v>
      </c>
      <c r="O365" s="120">
        <f t="shared" si="184"/>
        <v>0</v>
      </c>
      <c r="P365" s="111"/>
      <c r="Q365" s="111"/>
    </row>
    <row r="366" spans="1:17" ht="15.6">
      <c r="A366" s="110" t="s">
        <v>638</v>
      </c>
      <c r="B366" s="111" t="s">
        <v>505</v>
      </c>
      <c r="C366" s="112" t="s">
        <v>449</v>
      </c>
      <c r="D366" s="113" t="s">
        <v>17</v>
      </c>
      <c r="E366" s="114" t="s">
        <v>15</v>
      </c>
      <c r="F366" s="115" t="s">
        <v>48</v>
      </c>
      <c r="G366" s="116">
        <v>23.6</v>
      </c>
      <c r="H366" s="125">
        <v>9.6</v>
      </c>
      <c r="I366" s="468">
        <v>12</v>
      </c>
      <c r="J366" s="117">
        <f t="shared" si="181"/>
        <v>2.7187200000000002</v>
      </c>
      <c r="K366" s="32"/>
      <c r="L366" s="468">
        <v>12</v>
      </c>
      <c r="M366" s="117">
        <f t="shared" si="182"/>
        <v>2.7187199999999998</v>
      </c>
      <c r="N366" s="119">
        <f t="shared" si="183"/>
        <v>0</v>
      </c>
      <c r="O366" s="120">
        <f t="shared" si="184"/>
        <v>0</v>
      </c>
      <c r="P366" s="111"/>
      <c r="Q366" s="111"/>
    </row>
    <row r="367" spans="1:17" ht="15.6">
      <c r="A367" s="110" t="s">
        <v>638</v>
      </c>
      <c r="B367" s="111" t="s">
        <v>505</v>
      </c>
      <c r="C367" s="112" t="s">
        <v>449</v>
      </c>
      <c r="D367" s="113" t="s">
        <v>17</v>
      </c>
      <c r="E367" s="114" t="s">
        <v>15</v>
      </c>
      <c r="F367" s="115" t="s">
        <v>48</v>
      </c>
      <c r="G367" s="116">
        <v>23.6</v>
      </c>
      <c r="H367" s="125">
        <v>9.6</v>
      </c>
      <c r="I367" s="468">
        <v>12</v>
      </c>
      <c r="J367" s="117">
        <f t="shared" si="181"/>
        <v>2.7187200000000002</v>
      </c>
      <c r="K367" s="32"/>
      <c r="L367" s="468">
        <v>12</v>
      </c>
      <c r="M367" s="117">
        <f t="shared" si="182"/>
        <v>2.7187199999999998</v>
      </c>
      <c r="N367" s="119">
        <f t="shared" si="183"/>
        <v>0</v>
      </c>
      <c r="O367" s="120">
        <f t="shared" si="184"/>
        <v>0</v>
      </c>
      <c r="P367" s="111"/>
      <c r="Q367" s="111"/>
    </row>
    <row r="368" spans="1:17" ht="15.6">
      <c r="A368" s="110" t="s">
        <v>638</v>
      </c>
      <c r="B368" s="111" t="s">
        <v>505</v>
      </c>
      <c r="C368" s="112" t="s">
        <v>449</v>
      </c>
      <c r="D368" s="113" t="s">
        <v>17</v>
      </c>
      <c r="E368" s="114" t="s">
        <v>15</v>
      </c>
      <c r="F368" s="115" t="s">
        <v>48</v>
      </c>
      <c r="G368" s="116">
        <v>23.6</v>
      </c>
      <c r="H368" s="125">
        <v>9.3000000000000007</v>
      </c>
      <c r="I368" s="468">
        <v>3</v>
      </c>
      <c r="J368" s="117">
        <f t="shared" si="181"/>
        <v>0.65844000000000003</v>
      </c>
      <c r="K368" s="32"/>
      <c r="L368" s="111">
        <v>3</v>
      </c>
      <c r="M368" s="117">
        <f t="shared" si="182"/>
        <v>0.65844000000000003</v>
      </c>
      <c r="N368" s="119">
        <f t="shared" si="183"/>
        <v>0</v>
      </c>
      <c r="O368" s="120">
        <f t="shared" si="184"/>
        <v>0</v>
      </c>
      <c r="P368" s="111"/>
      <c r="Q368" s="111"/>
    </row>
    <row r="369" spans="1:17" ht="15.6">
      <c r="A369" s="110" t="s">
        <v>638</v>
      </c>
      <c r="B369" s="111" t="s">
        <v>505</v>
      </c>
      <c r="C369" s="112" t="s">
        <v>449</v>
      </c>
      <c r="D369" s="113" t="s">
        <v>17</v>
      </c>
      <c r="E369" s="114" t="s">
        <v>15</v>
      </c>
      <c r="F369" s="115" t="s">
        <v>48</v>
      </c>
      <c r="G369" s="116">
        <v>23.6</v>
      </c>
      <c r="H369" s="125">
        <v>10</v>
      </c>
      <c r="I369" s="468">
        <v>4</v>
      </c>
      <c r="J369" s="117">
        <f t="shared" si="181"/>
        <v>0.94399999999999995</v>
      </c>
      <c r="K369" s="32"/>
      <c r="L369" s="111"/>
      <c r="M369" s="117">
        <f t="shared" si="182"/>
        <v>0</v>
      </c>
      <c r="N369" s="119">
        <f t="shared" si="183"/>
        <v>4</v>
      </c>
      <c r="O369" s="120">
        <f t="shared" si="184"/>
        <v>0.94399999999999995</v>
      </c>
      <c r="P369" s="111"/>
      <c r="Q369" s="111"/>
    </row>
    <row r="370" spans="1:17" ht="15.6">
      <c r="A370" s="110" t="s">
        <v>638</v>
      </c>
      <c r="B370" s="111" t="s">
        <v>505</v>
      </c>
      <c r="C370" s="112" t="s">
        <v>449</v>
      </c>
      <c r="D370" s="113" t="s">
        <v>17</v>
      </c>
      <c r="E370" s="114" t="s">
        <v>15</v>
      </c>
      <c r="F370" s="115" t="s">
        <v>48</v>
      </c>
      <c r="G370" s="116">
        <v>23.6</v>
      </c>
      <c r="H370" s="125">
        <v>10</v>
      </c>
      <c r="I370" s="468">
        <v>10</v>
      </c>
      <c r="J370" s="117">
        <f t="shared" si="181"/>
        <v>2.36</v>
      </c>
      <c r="K370" s="32"/>
      <c r="L370" s="111">
        <f>6+4</f>
        <v>10</v>
      </c>
      <c r="M370" s="117">
        <f t="shared" si="182"/>
        <v>2.36</v>
      </c>
      <c r="N370" s="119">
        <f t="shared" si="183"/>
        <v>0</v>
      </c>
      <c r="O370" s="120">
        <f t="shared" si="184"/>
        <v>0</v>
      </c>
      <c r="P370" s="111" t="s">
        <v>641</v>
      </c>
      <c r="Q370" s="111">
        <v>4</v>
      </c>
    </row>
    <row r="371" spans="1:17">
      <c r="I371" s="215">
        <f>SUM(I354:I370)</f>
        <v>125</v>
      </c>
      <c r="J371" s="214">
        <f>SUM(J354:J370)</f>
        <v>28.952480000000005</v>
      </c>
      <c r="L371" s="215">
        <f>SUM(L354:L370)</f>
        <v>116</v>
      </c>
      <c r="M371" s="214">
        <f>SUM(M354:M370)</f>
        <v>26.651479999999999</v>
      </c>
      <c r="N371" s="215">
        <f>SUM(N354:N370)</f>
        <v>9</v>
      </c>
      <c r="O371" s="214">
        <f>SUM(O354:O370)</f>
        <v>2.3010000000000002</v>
      </c>
    </row>
    <row r="373" spans="1:17" ht="15.6">
      <c r="A373" s="110" t="s">
        <v>638</v>
      </c>
      <c r="B373" s="111" t="s">
        <v>505</v>
      </c>
      <c r="C373" s="112" t="s">
        <v>449</v>
      </c>
      <c r="D373" s="113" t="s">
        <v>17</v>
      </c>
      <c r="E373" s="114" t="s">
        <v>15</v>
      </c>
      <c r="F373" s="115" t="s">
        <v>42</v>
      </c>
      <c r="G373" s="116">
        <v>19.72</v>
      </c>
      <c r="H373" s="125">
        <v>11</v>
      </c>
      <c r="I373" s="468">
        <v>14</v>
      </c>
      <c r="J373" s="117">
        <f t="shared" ref="J373" si="185">H373*G373*I373/1000</f>
        <v>3.0368799999999996</v>
      </c>
      <c r="K373" s="32"/>
      <c r="L373" s="111">
        <v>14</v>
      </c>
      <c r="M373" s="117">
        <f t="shared" ref="M373" si="186">H373*L373*G373/1000</f>
        <v>3.0368799999999996</v>
      </c>
      <c r="N373" s="119">
        <f t="shared" ref="N373" si="187">I373-L373</f>
        <v>0</v>
      </c>
      <c r="O373" s="120">
        <f t="shared" ref="O373" si="188">H373*N373*G373/1000</f>
        <v>0</v>
      </c>
      <c r="P373" s="111"/>
      <c r="Q373" s="111"/>
    </row>
    <row r="374" spans="1:17" ht="15.6">
      <c r="A374" s="110" t="s">
        <v>638</v>
      </c>
      <c r="B374" s="111" t="s">
        <v>505</v>
      </c>
      <c r="C374" s="112" t="s">
        <v>449</v>
      </c>
      <c r="D374" s="113" t="s">
        <v>17</v>
      </c>
      <c r="E374" s="114" t="s">
        <v>15</v>
      </c>
      <c r="F374" s="115" t="s">
        <v>42</v>
      </c>
      <c r="G374" s="116">
        <v>19.72</v>
      </c>
      <c r="H374" s="125">
        <v>11.5</v>
      </c>
      <c r="I374" s="468">
        <v>14</v>
      </c>
      <c r="J374" s="117">
        <f t="shared" ref="J374:J387" si="189">H374*G374*I374/1000</f>
        <v>3.1749199999999997</v>
      </c>
      <c r="K374" s="32"/>
      <c r="L374" s="111">
        <v>14</v>
      </c>
      <c r="M374" s="117">
        <f t="shared" ref="M374:M387" si="190">H374*L374*G374/1000</f>
        <v>3.1749199999999997</v>
      </c>
      <c r="N374" s="119">
        <f t="shared" ref="N374:N387" si="191">I374-L374</f>
        <v>0</v>
      </c>
      <c r="O374" s="120">
        <f t="shared" ref="O374:O387" si="192">H374*N374*G374/1000</f>
        <v>0</v>
      </c>
      <c r="P374" s="111"/>
      <c r="Q374" s="111"/>
    </row>
    <row r="375" spans="1:17" ht="15.6">
      <c r="A375" s="110" t="s">
        <v>638</v>
      </c>
      <c r="B375" s="111" t="s">
        <v>505</v>
      </c>
      <c r="C375" s="112" t="s">
        <v>449</v>
      </c>
      <c r="D375" s="113" t="s">
        <v>17</v>
      </c>
      <c r="E375" s="114" t="s">
        <v>15</v>
      </c>
      <c r="F375" s="115" t="s">
        <v>42</v>
      </c>
      <c r="G375" s="116">
        <v>19.72</v>
      </c>
      <c r="H375" s="125">
        <v>10.85</v>
      </c>
      <c r="I375" s="468">
        <v>14</v>
      </c>
      <c r="J375" s="117">
        <f t="shared" si="189"/>
        <v>2.9954679999999998</v>
      </c>
      <c r="K375" s="32"/>
      <c r="L375" s="111">
        <v>14</v>
      </c>
      <c r="M375" s="117">
        <f t="shared" si="190"/>
        <v>2.9954679999999998</v>
      </c>
      <c r="N375" s="119">
        <f t="shared" si="191"/>
        <v>0</v>
      </c>
      <c r="O375" s="120">
        <f t="shared" si="192"/>
        <v>0</v>
      </c>
      <c r="P375" s="111"/>
      <c r="Q375" s="111"/>
    </row>
    <row r="376" spans="1:17" ht="15.6">
      <c r="A376" s="110" t="s">
        <v>638</v>
      </c>
      <c r="B376" s="111" t="s">
        <v>505</v>
      </c>
      <c r="C376" s="112" t="s">
        <v>449</v>
      </c>
      <c r="D376" s="113" t="s">
        <v>17</v>
      </c>
      <c r="E376" s="114" t="s">
        <v>15</v>
      </c>
      <c r="F376" s="115" t="s">
        <v>42</v>
      </c>
      <c r="G376" s="116">
        <v>19.72</v>
      </c>
      <c r="H376" s="125">
        <v>11</v>
      </c>
      <c r="I376" s="468">
        <v>14</v>
      </c>
      <c r="J376" s="117">
        <f t="shared" si="189"/>
        <v>3.0368799999999996</v>
      </c>
      <c r="K376" s="32"/>
      <c r="L376" s="111">
        <v>14</v>
      </c>
      <c r="M376" s="117">
        <f t="shared" si="190"/>
        <v>3.0368799999999996</v>
      </c>
      <c r="N376" s="119">
        <f t="shared" si="191"/>
        <v>0</v>
      </c>
      <c r="O376" s="120">
        <f t="shared" si="192"/>
        <v>0</v>
      </c>
      <c r="P376" s="111"/>
      <c r="Q376" s="111"/>
    </row>
    <row r="377" spans="1:17" ht="15.6">
      <c r="A377" s="110" t="s">
        <v>638</v>
      </c>
      <c r="B377" s="111" t="s">
        <v>505</v>
      </c>
      <c r="C377" s="112" t="s">
        <v>449</v>
      </c>
      <c r="D377" s="113" t="s">
        <v>17</v>
      </c>
      <c r="E377" s="114" t="s">
        <v>15</v>
      </c>
      <c r="F377" s="115" t="s">
        <v>42</v>
      </c>
      <c r="G377" s="116">
        <v>19.72</v>
      </c>
      <c r="H377" s="125">
        <v>11.5</v>
      </c>
      <c r="I377" s="468">
        <v>4</v>
      </c>
      <c r="J377" s="117">
        <f t="shared" si="189"/>
        <v>0.90711999999999993</v>
      </c>
      <c r="K377" s="32"/>
      <c r="L377" s="111">
        <v>4</v>
      </c>
      <c r="M377" s="117">
        <f t="shared" si="190"/>
        <v>0.90711999999999993</v>
      </c>
      <c r="N377" s="119">
        <f t="shared" si="191"/>
        <v>0</v>
      </c>
      <c r="O377" s="120">
        <f t="shared" si="192"/>
        <v>0</v>
      </c>
      <c r="P377" s="111"/>
      <c r="Q377" s="111"/>
    </row>
    <row r="378" spans="1:17" ht="15.6">
      <c r="A378" s="110" t="s">
        <v>638</v>
      </c>
      <c r="B378" s="111" t="s">
        <v>505</v>
      </c>
      <c r="C378" s="112" t="s">
        <v>449</v>
      </c>
      <c r="D378" s="113" t="s">
        <v>17</v>
      </c>
      <c r="E378" s="114" t="s">
        <v>15</v>
      </c>
      <c r="F378" s="115" t="s">
        <v>42</v>
      </c>
      <c r="G378" s="116">
        <v>19.72</v>
      </c>
      <c r="H378" s="125">
        <v>10.85</v>
      </c>
      <c r="I378" s="468">
        <v>14</v>
      </c>
      <c r="J378" s="117">
        <f t="shared" si="189"/>
        <v>2.9954679999999998</v>
      </c>
      <c r="K378" s="32"/>
      <c r="L378" s="111">
        <v>14</v>
      </c>
      <c r="M378" s="117">
        <f t="shared" si="190"/>
        <v>2.9954679999999998</v>
      </c>
      <c r="N378" s="119">
        <f t="shared" si="191"/>
        <v>0</v>
      </c>
      <c r="O378" s="120">
        <f t="shared" si="192"/>
        <v>0</v>
      </c>
      <c r="P378" s="111"/>
      <c r="Q378" s="111"/>
    </row>
    <row r="379" spans="1:17" ht="15.6">
      <c r="A379" s="110" t="s">
        <v>638</v>
      </c>
      <c r="B379" s="111" t="s">
        <v>505</v>
      </c>
      <c r="C379" s="112" t="s">
        <v>449</v>
      </c>
      <c r="D379" s="113" t="s">
        <v>17</v>
      </c>
      <c r="E379" s="114" t="s">
        <v>15</v>
      </c>
      <c r="F379" s="115" t="s">
        <v>42</v>
      </c>
      <c r="G379" s="116">
        <v>19.72</v>
      </c>
      <c r="H379" s="125">
        <v>11</v>
      </c>
      <c r="I379" s="468">
        <v>14</v>
      </c>
      <c r="J379" s="117">
        <f t="shared" si="189"/>
        <v>3.0368799999999996</v>
      </c>
      <c r="K379" s="32"/>
      <c r="L379" s="111">
        <v>14</v>
      </c>
      <c r="M379" s="117">
        <f t="shared" si="190"/>
        <v>3.0368799999999996</v>
      </c>
      <c r="N379" s="119">
        <f t="shared" si="191"/>
        <v>0</v>
      </c>
      <c r="O379" s="120">
        <f t="shared" si="192"/>
        <v>0</v>
      </c>
      <c r="P379" s="111"/>
      <c r="Q379" s="111"/>
    </row>
    <row r="380" spans="1:17" ht="15.6">
      <c r="A380" s="110" t="s">
        <v>638</v>
      </c>
      <c r="B380" s="111" t="s">
        <v>505</v>
      </c>
      <c r="C380" s="112" t="s">
        <v>449</v>
      </c>
      <c r="D380" s="113" t="s">
        <v>17</v>
      </c>
      <c r="E380" s="114" t="s">
        <v>15</v>
      </c>
      <c r="F380" s="115" t="s">
        <v>42</v>
      </c>
      <c r="G380" s="116">
        <v>19.72</v>
      </c>
      <c r="H380" s="125">
        <v>10.5</v>
      </c>
      <c r="I380" s="468">
        <v>15</v>
      </c>
      <c r="J380" s="117">
        <f t="shared" si="189"/>
        <v>3.1059000000000001</v>
      </c>
      <c r="K380" s="32"/>
      <c r="L380" s="111">
        <v>15</v>
      </c>
      <c r="M380" s="117">
        <f t="shared" si="190"/>
        <v>3.1058999999999997</v>
      </c>
      <c r="N380" s="119">
        <f t="shared" si="191"/>
        <v>0</v>
      </c>
      <c r="O380" s="120">
        <f t="shared" si="192"/>
        <v>0</v>
      </c>
      <c r="P380" s="111"/>
      <c r="Q380" s="111"/>
    </row>
    <row r="381" spans="1:17" ht="15.6">
      <c r="A381" s="110" t="s">
        <v>638</v>
      </c>
      <c r="B381" s="111" t="s">
        <v>505</v>
      </c>
      <c r="C381" s="112" t="s">
        <v>449</v>
      </c>
      <c r="D381" s="113" t="s">
        <v>17</v>
      </c>
      <c r="E381" s="114" t="s">
        <v>15</v>
      </c>
      <c r="F381" s="115" t="s">
        <v>42</v>
      </c>
      <c r="G381" s="116">
        <v>19.72</v>
      </c>
      <c r="H381" s="125">
        <v>10.85</v>
      </c>
      <c r="I381" s="468">
        <v>15</v>
      </c>
      <c r="J381" s="117">
        <f t="shared" si="189"/>
        <v>3.2094299999999998</v>
      </c>
      <c r="K381" s="32"/>
      <c r="L381" s="111">
        <v>15</v>
      </c>
      <c r="M381" s="117">
        <f t="shared" si="190"/>
        <v>3.2094299999999998</v>
      </c>
      <c r="N381" s="119">
        <f t="shared" si="191"/>
        <v>0</v>
      </c>
      <c r="O381" s="120">
        <f t="shared" si="192"/>
        <v>0</v>
      </c>
      <c r="P381" s="111"/>
      <c r="Q381" s="111"/>
    </row>
    <row r="382" spans="1:17" ht="15.6">
      <c r="A382" s="110" t="s">
        <v>638</v>
      </c>
      <c r="B382" s="111" t="s">
        <v>505</v>
      </c>
      <c r="C382" s="112" t="s">
        <v>449</v>
      </c>
      <c r="D382" s="113" t="s">
        <v>17</v>
      </c>
      <c r="E382" s="114" t="s">
        <v>15</v>
      </c>
      <c r="F382" s="115" t="s">
        <v>42</v>
      </c>
      <c r="G382" s="116">
        <v>19.72</v>
      </c>
      <c r="H382" s="125">
        <v>10.5</v>
      </c>
      <c r="I382" s="468">
        <v>8</v>
      </c>
      <c r="J382" s="117">
        <f t="shared" si="189"/>
        <v>1.65648</v>
      </c>
      <c r="K382" s="32"/>
      <c r="L382" s="111">
        <v>8</v>
      </c>
      <c r="M382" s="117">
        <f t="shared" si="190"/>
        <v>1.65648</v>
      </c>
      <c r="N382" s="119">
        <f t="shared" si="191"/>
        <v>0</v>
      </c>
      <c r="O382" s="120">
        <f t="shared" si="192"/>
        <v>0</v>
      </c>
      <c r="P382" s="111"/>
      <c r="Q382" s="111"/>
    </row>
    <row r="383" spans="1:17" ht="15.6">
      <c r="A383" s="110" t="s">
        <v>638</v>
      </c>
      <c r="B383" s="111" t="s">
        <v>505</v>
      </c>
      <c r="C383" s="112" t="s">
        <v>449</v>
      </c>
      <c r="D383" s="113" t="s">
        <v>17</v>
      </c>
      <c r="E383" s="114" t="s">
        <v>15</v>
      </c>
      <c r="F383" s="115" t="s">
        <v>42</v>
      </c>
      <c r="G383" s="116">
        <v>19.72</v>
      </c>
      <c r="H383" s="125">
        <v>10.85</v>
      </c>
      <c r="I383" s="468">
        <v>12</v>
      </c>
      <c r="J383" s="117">
        <f t="shared" si="189"/>
        <v>2.5675439999999998</v>
      </c>
      <c r="K383" s="32"/>
      <c r="L383" s="111">
        <v>12</v>
      </c>
      <c r="M383" s="117">
        <f t="shared" si="190"/>
        <v>2.5675439999999994</v>
      </c>
      <c r="N383" s="119">
        <f t="shared" si="191"/>
        <v>0</v>
      </c>
      <c r="O383" s="120">
        <f t="shared" si="192"/>
        <v>0</v>
      </c>
      <c r="P383" s="111"/>
      <c r="Q383" s="111"/>
    </row>
    <row r="384" spans="1:17" ht="15.6">
      <c r="A384" s="110" t="s">
        <v>638</v>
      </c>
      <c r="B384" s="111" t="s">
        <v>505</v>
      </c>
      <c r="C384" s="112" t="s">
        <v>449</v>
      </c>
      <c r="D384" s="113" t="s">
        <v>17</v>
      </c>
      <c r="E384" s="114" t="s">
        <v>15</v>
      </c>
      <c r="F384" s="115" t="s">
        <v>42</v>
      </c>
      <c r="G384" s="116">
        <v>19.72</v>
      </c>
      <c r="H384" s="125">
        <v>8</v>
      </c>
      <c r="I384" s="468">
        <v>8</v>
      </c>
      <c r="J384" s="117">
        <f t="shared" si="189"/>
        <v>1.2620799999999999</v>
      </c>
      <c r="K384" s="32"/>
      <c r="L384" s="111">
        <v>8</v>
      </c>
      <c r="M384" s="117">
        <f t="shared" si="190"/>
        <v>1.2620799999999999</v>
      </c>
      <c r="N384" s="119">
        <f t="shared" si="191"/>
        <v>0</v>
      </c>
      <c r="O384" s="120">
        <f t="shared" si="192"/>
        <v>0</v>
      </c>
      <c r="P384" s="111"/>
      <c r="Q384" s="111"/>
    </row>
    <row r="385" spans="1:20" ht="15.6">
      <c r="A385" s="110" t="s">
        <v>638</v>
      </c>
      <c r="B385" s="111" t="s">
        <v>505</v>
      </c>
      <c r="C385" s="112" t="s">
        <v>449</v>
      </c>
      <c r="D385" s="113" t="s">
        <v>17</v>
      </c>
      <c r="E385" s="114" t="s">
        <v>15</v>
      </c>
      <c r="F385" s="115" t="s">
        <v>42</v>
      </c>
      <c r="G385" s="116">
        <v>19.72</v>
      </c>
      <c r="H385" s="125">
        <v>8.5</v>
      </c>
      <c r="I385" s="468">
        <v>7</v>
      </c>
      <c r="J385" s="117">
        <f t="shared" si="189"/>
        <v>1.17334</v>
      </c>
      <c r="K385" s="32"/>
      <c r="L385" s="111">
        <v>7</v>
      </c>
      <c r="M385" s="117">
        <f t="shared" si="190"/>
        <v>1.1733399999999998</v>
      </c>
      <c r="N385" s="119">
        <f t="shared" si="191"/>
        <v>0</v>
      </c>
      <c r="O385" s="120">
        <f t="shared" si="192"/>
        <v>0</v>
      </c>
      <c r="P385" s="111"/>
      <c r="Q385" s="111"/>
    </row>
    <row r="386" spans="1:20" ht="15.6">
      <c r="A386" s="110" t="s">
        <v>638</v>
      </c>
      <c r="B386" s="111" t="s">
        <v>505</v>
      </c>
      <c r="C386" s="112" t="s">
        <v>449</v>
      </c>
      <c r="D386" s="113" t="s">
        <v>17</v>
      </c>
      <c r="E386" s="114" t="s">
        <v>15</v>
      </c>
      <c r="F386" s="115" t="s">
        <v>42</v>
      </c>
      <c r="G386" s="116">
        <v>19.72</v>
      </c>
      <c r="H386" s="125">
        <v>11</v>
      </c>
      <c r="I386" s="468">
        <v>3</v>
      </c>
      <c r="J386" s="117">
        <f t="shared" si="189"/>
        <v>0.65076000000000001</v>
      </c>
      <c r="K386" s="32"/>
      <c r="L386" s="111">
        <v>3</v>
      </c>
      <c r="M386" s="117">
        <f t="shared" si="190"/>
        <v>0.65076000000000001</v>
      </c>
      <c r="N386" s="119">
        <f t="shared" si="191"/>
        <v>0</v>
      </c>
      <c r="O386" s="120">
        <f t="shared" si="192"/>
        <v>0</v>
      </c>
      <c r="P386" s="111"/>
      <c r="Q386" s="111"/>
    </row>
    <row r="387" spans="1:20" ht="15.6">
      <c r="A387" s="110" t="s">
        <v>638</v>
      </c>
      <c r="B387" s="111" t="s">
        <v>505</v>
      </c>
      <c r="C387" s="112" t="s">
        <v>449</v>
      </c>
      <c r="D387" s="113" t="s">
        <v>17</v>
      </c>
      <c r="E387" s="114" t="s">
        <v>15</v>
      </c>
      <c r="F387" s="115" t="s">
        <v>42</v>
      </c>
      <c r="G387" s="116">
        <v>19.72</v>
      </c>
      <c r="H387" s="125">
        <v>9.25</v>
      </c>
      <c r="I387" s="468">
        <v>4</v>
      </c>
      <c r="J387" s="117">
        <f t="shared" si="189"/>
        <v>0.72963999999999996</v>
      </c>
      <c r="K387" s="32"/>
      <c r="L387" s="111">
        <v>4</v>
      </c>
      <c r="M387" s="117">
        <f t="shared" si="190"/>
        <v>0.72963999999999996</v>
      </c>
      <c r="N387" s="119">
        <f t="shared" si="191"/>
        <v>0</v>
      </c>
      <c r="O387" s="120">
        <f t="shared" si="192"/>
        <v>0</v>
      </c>
      <c r="P387" s="111"/>
      <c r="Q387" s="111"/>
    </row>
    <row r="388" spans="1:20" ht="15.6">
      <c r="A388" s="110" t="s">
        <v>638</v>
      </c>
      <c r="B388" s="111" t="s">
        <v>505</v>
      </c>
      <c r="C388" s="112" t="s">
        <v>449</v>
      </c>
      <c r="D388" s="113" t="s">
        <v>17</v>
      </c>
      <c r="E388" s="114" t="s">
        <v>15</v>
      </c>
      <c r="F388" s="115" t="s">
        <v>42</v>
      </c>
      <c r="G388" s="116">
        <v>19.72</v>
      </c>
      <c r="H388" s="125">
        <v>10.85</v>
      </c>
      <c r="I388" s="468">
        <v>3</v>
      </c>
      <c r="J388" s="117">
        <f t="shared" ref="J388:J392" si="193">H388*G388*I388/1000</f>
        <v>0.64188599999999996</v>
      </c>
      <c r="K388" s="32"/>
      <c r="L388" s="111">
        <v>3</v>
      </c>
      <c r="M388" s="117">
        <f t="shared" ref="M388:M394" si="194">H388*L388*G388/1000</f>
        <v>0.64188599999999985</v>
      </c>
      <c r="N388" s="119">
        <f t="shared" ref="N388:N394" si="195">I388-L388</f>
        <v>0</v>
      </c>
      <c r="O388" s="120">
        <f t="shared" ref="O388:O392" si="196">H388*N388*G388/1000</f>
        <v>0</v>
      </c>
      <c r="P388" s="111">
        <v>10.5</v>
      </c>
      <c r="Q388" s="111">
        <v>3</v>
      </c>
    </row>
    <row r="389" spans="1:20" ht="15.6">
      <c r="A389" s="110" t="s">
        <v>638</v>
      </c>
      <c r="B389" s="111" t="s">
        <v>505</v>
      </c>
      <c r="C389" s="112" t="s">
        <v>449</v>
      </c>
      <c r="D389" s="113" t="s">
        <v>17</v>
      </c>
      <c r="E389" s="114" t="s">
        <v>15</v>
      </c>
      <c r="F389" s="115" t="s">
        <v>42</v>
      </c>
      <c r="G389" s="116">
        <v>19.72</v>
      </c>
      <c r="H389" s="125">
        <v>10.3</v>
      </c>
      <c r="I389" s="468">
        <v>1</v>
      </c>
      <c r="J389" s="117">
        <f t="shared" si="193"/>
        <v>0.20311600000000002</v>
      </c>
      <c r="K389" s="32"/>
      <c r="L389" s="111">
        <v>1</v>
      </c>
      <c r="M389" s="117">
        <f t="shared" si="194"/>
        <v>0.20311600000000002</v>
      </c>
      <c r="N389" s="119">
        <f t="shared" si="195"/>
        <v>0</v>
      </c>
      <c r="O389" s="120">
        <f t="shared" si="196"/>
        <v>0</v>
      </c>
      <c r="P389" s="111">
        <v>9.25</v>
      </c>
      <c r="Q389" s="111">
        <v>1</v>
      </c>
    </row>
    <row r="390" spans="1:20" ht="15.6">
      <c r="A390" s="110" t="s">
        <v>638</v>
      </c>
      <c r="B390" s="111" t="s">
        <v>505</v>
      </c>
      <c r="C390" s="112" t="s">
        <v>449</v>
      </c>
      <c r="D390" s="113" t="s">
        <v>17</v>
      </c>
      <c r="E390" s="114" t="s">
        <v>15</v>
      </c>
      <c r="F390" s="115" t="s">
        <v>42</v>
      </c>
      <c r="G390" s="116">
        <v>19.72</v>
      </c>
      <c r="H390" s="125">
        <v>11.5</v>
      </c>
      <c r="I390" s="468">
        <v>9</v>
      </c>
      <c r="J390" s="117">
        <f t="shared" si="193"/>
        <v>2.0410199999999996</v>
      </c>
      <c r="K390" s="32"/>
      <c r="L390" s="111">
        <v>1</v>
      </c>
      <c r="M390" s="117">
        <f t="shared" si="194"/>
        <v>0.22677999999999998</v>
      </c>
      <c r="N390" s="119">
        <f t="shared" si="195"/>
        <v>8</v>
      </c>
      <c r="O390" s="120">
        <f t="shared" si="196"/>
        <v>1.8142399999999999</v>
      </c>
      <c r="P390" s="111"/>
      <c r="Q390" s="111"/>
      <c r="R390" s="213">
        <v>11.5</v>
      </c>
      <c r="S390" s="213">
        <v>1</v>
      </c>
      <c r="T390" s="213" t="s">
        <v>775</v>
      </c>
    </row>
    <row r="391" spans="1:20" ht="15.6">
      <c r="A391" s="110" t="s">
        <v>638</v>
      </c>
      <c r="B391" s="111" t="s">
        <v>505</v>
      </c>
      <c r="C391" s="112" t="s">
        <v>449</v>
      </c>
      <c r="D391" s="113" t="s">
        <v>17</v>
      </c>
      <c r="E391" s="114" t="s">
        <v>15</v>
      </c>
      <c r="F391" s="115" t="s">
        <v>42</v>
      </c>
      <c r="G391" s="116">
        <v>19.72</v>
      </c>
      <c r="H391" s="125">
        <v>11.1</v>
      </c>
      <c r="I391" s="468">
        <v>2</v>
      </c>
      <c r="J391" s="117">
        <f t="shared" si="193"/>
        <v>0.43778399999999995</v>
      </c>
      <c r="K391" s="32"/>
      <c r="L391" s="111">
        <v>2</v>
      </c>
      <c r="M391" s="117">
        <f t="shared" si="194"/>
        <v>0.43778399999999995</v>
      </c>
      <c r="N391" s="119">
        <f t="shared" si="195"/>
        <v>0</v>
      </c>
      <c r="O391" s="120">
        <f t="shared" si="196"/>
        <v>0</v>
      </c>
      <c r="P391" s="111">
        <v>9.25</v>
      </c>
      <c r="Q391" s="111">
        <v>2</v>
      </c>
    </row>
    <row r="392" spans="1:20" ht="15.6">
      <c r="A392" s="110" t="s">
        <v>638</v>
      </c>
      <c r="B392" s="111" t="s">
        <v>505</v>
      </c>
      <c r="C392" s="112" t="s">
        <v>449</v>
      </c>
      <c r="D392" s="113" t="s">
        <v>17</v>
      </c>
      <c r="E392" s="114" t="s">
        <v>15</v>
      </c>
      <c r="F392" s="115" t="s">
        <v>42</v>
      </c>
      <c r="G392" s="116">
        <v>19.72</v>
      </c>
      <c r="H392" s="125">
        <v>11</v>
      </c>
      <c r="I392" s="468">
        <v>4</v>
      </c>
      <c r="J392" s="117">
        <f t="shared" si="193"/>
        <v>0.8676799999999999</v>
      </c>
      <c r="K392" s="32"/>
      <c r="L392" s="111">
        <v>4</v>
      </c>
      <c r="M392" s="117">
        <f t="shared" si="194"/>
        <v>0.8676799999999999</v>
      </c>
      <c r="N392" s="119">
        <f t="shared" si="195"/>
        <v>0</v>
      </c>
      <c r="O392" s="120">
        <f t="shared" si="196"/>
        <v>0</v>
      </c>
      <c r="P392" s="111">
        <v>10.5</v>
      </c>
      <c r="Q392" s="111">
        <v>4</v>
      </c>
    </row>
    <row r="393" spans="1:20" ht="15.6">
      <c r="A393" s="110" t="s">
        <v>638</v>
      </c>
      <c r="B393" s="111" t="s">
        <v>505</v>
      </c>
      <c r="C393" s="112" t="s">
        <v>449</v>
      </c>
      <c r="D393" s="113" t="s">
        <v>17</v>
      </c>
      <c r="E393" s="114" t="s">
        <v>15</v>
      </c>
      <c r="F393" s="115" t="s">
        <v>42</v>
      </c>
      <c r="G393" s="116">
        <v>19.72</v>
      </c>
      <c r="H393" s="125">
        <v>8</v>
      </c>
      <c r="I393" s="468">
        <v>1</v>
      </c>
      <c r="J393" s="117">
        <f>H393*G393*I393/1000</f>
        <v>0.15775999999999998</v>
      </c>
      <c r="K393" s="32"/>
      <c r="L393" s="111"/>
      <c r="M393" s="117">
        <f t="shared" si="194"/>
        <v>0</v>
      </c>
      <c r="N393" s="145">
        <f t="shared" si="195"/>
        <v>1</v>
      </c>
      <c r="O393" s="120">
        <f>H393*N393*G393/1000</f>
        <v>0.15775999999999998</v>
      </c>
      <c r="P393" s="111">
        <v>1</v>
      </c>
      <c r="Q393" s="111" t="s">
        <v>631</v>
      </c>
    </row>
    <row r="394" spans="1:20" ht="15.6">
      <c r="A394" s="110" t="s">
        <v>638</v>
      </c>
      <c r="B394" s="111" t="s">
        <v>505</v>
      </c>
      <c r="C394" s="112" t="s">
        <v>449</v>
      </c>
      <c r="D394" s="113" t="s">
        <v>17</v>
      </c>
      <c r="E394" s="114" t="s">
        <v>15</v>
      </c>
      <c r="F394" s="115" t="s">
        <v>42</v>
      </c>
      <c r="G394" s="116">
        <v>19.72</v>
      </c>
      <c r="H394" s="125">
        <v>6.8</v>
      </c>
      <c r="I394" s="468">
        <v>1</v>
      </c>
      <c r="J394" s="117">
        <f>H394*G394*I394/1000</f>
        <v>0.13409599999999997</v>
      </c>
      <c r="K394" s="32"/>
      <c r="L394" s="111"/>
      <c r="M394" s="117">
        <f t="shared" si="194"/>
        <v>0</v>
      </c>
      <c r="N394" s="145">
        <f t="shared" si="195"/>
        <v>1</v>
      </c>
      <c r="O394" s="120">
        <f>H394*N394*G394/1000</f>
        <v>0.13409599999999997</v>
      </c>
      <c r="P394" s="111">
        <v>1</v>
      </c>
      <c r="Q394" s="111" t="s">
        <v>631</v>
      </c>
    </row>
    <row r="395" spans="1:20">
      <c r="A395" s="32"/>
      <c r="B395" s="32"/>
      <c r="C395" s="32"/>
      <c r="D395" s="32"/>
      <c r="E395" s="32"/>
      <c r="F395" s="32"/>
      <c r="G395" s="32"/>
      <c r="H395" s="32"/>
      <c r="I395" s="129">
        <f>SUM(I373:I394)</f>
        <v>181</v>
      </c>
      <c r="J395" s="124">
        <f>SUM(J373:J394)</f>
        <v>38.022132000000006</v>
      </c>
      <c r="K395" s="32"/>
      <c r="L395" s="129">
        <f>SUM(L373:L394)</f>
        <v>171</v>
      </c>
      <c r="M395" s="124">
        <f>SUM(M373:M394)</f>
        <v>35.916035999999998</v>
      </c>
      <c r="N395" s="131">
        <f>SUM(N373:N394)</f>
        <v>10</v>
      </c>
      <c r="O395" s="132">
        <f>SUM(O373:O394)</f>
        <v>2.1060959999999995</v>
      </c>
      <c r="P395" s="32"/>
      <c r="Q395" s="32"/>
    </row>
    <row r="398" spans="1:20" ht="15.6">
      <c r="A398" s="110" t="s">
        <v>638</v>
      </c>
      <c r="B398" s="111" t="s">
        <v>505</v>
      </c>
      <c r="C398" s="112" t="s">
        <v>449</v>
      </c>
      <c r="D398" s="113" t="s">
        <v>17</v>
      </c>
      <c r="E398" s="114" t="s">
        <v>15</v>
      </c>
      <c r="F398" s="115" t="s">
        <v>50</v>
      </c>
      <c r="G398" s="116">
        <v>21.7</v>
      </c>
      <c r="H398" s="125">
        <v>8.5</v>
      </c>
      <c r="I398" s="468">
        <v>14</v>
      </c>
      <c r="J398" s="117">
        <f t="shared" ref="J398" si="197">H398*G398*I398/1000</f>
        <v>2.5822999999999996</v>
      </c>
      <c r="K398" s="32"/>
      <c r="L398" s="468">
        <v>14</v>
      </c>
      <c r="M398" s="117">
        <f t="shared" ref="M398" si="198">H398*L398*G398/1000</f>
        <v>2.5822999999999996</v>
      </c>
      <c r="N398" s="119">
        <f t="shared" ref="N398" si="199">I398-L398</f>
        <v>0</v>
      </c>
      <c r="O398" s="120">
        <f t="shared" ref="O398" si="200">H398*N398*G398/1000</f>
        <v>0</v>
      </c>
      <c r="P398" s="111"/>
      <c r="Q398" s="111"/>
    </row>
    <row r="399" spans="1:20" ht="15.6">
      <c r="A399" s="110" t="s">
        <v>638</v>
      </c>
      <c r="B399" s="111" t="s">
        <v>505</v>
      </c>
      <c r="C399" s="112" t="s">
        <v>449</v>
      </c>
      <c r="D399" s="113" t="s">
        <v>17</v>
      </c>
      <c r="E399" s="114" t="s">
        <v>15</v>
      </c>
      <c r="F399" s="115" t="s">
        <v>50</v>
      </c>
      <c r="G399" s="116">
        <v>21.7</v>
      </c>
      <c r="H399" s="125">
        <v>8.5</v>
      </c>
      <c r="I399" s="468">
        <v>11</v>
      </c>
      <c r="J399" s="117">
        <f t="shared" ref="J399:J408" si="201">H399*G399*I399/1000</f>
        <v>2.02895</v>
      </c>
      <c r="K399" s="32"/>
      <c r="L399" s="468">
        <v>11</v>
      </c>
      <c r="M399" s="117">
        <f t="shared" ref="M399:M408" si="202">H399*L399*G399/1000</f>
        <v>2.02895</v>
      </c>
      <c r="N399" s="119">
        <f t="shared" ref="N399:N407" si="203">I399-L399</f>
        <v>0</v>
      </c>
      <c r="O399" s="120">
        <f t="shared" ref="O399:O406" si="204">H399*N399*G399/1000</f>
        <v>0</v>
      </c>
      <c r="P399" s="111"/>
      <c r="Q399" s="111"/>
    </row>
    <row r="400" spans="1:20" ht="15.6">
      <c r="A400" s="110" t="s">
        <v>638</v>
      </c>
      <c r="B400" s="111" t="s">
        <v>505</v>
      </c>
      <c r="C400" s="112" t="s">
        <v>449</v>
      </c>
      <c r="D400" s="113" t="s">
        <v>17</v>
      </c>
      <c r="E400" s="114" t="s">
        <v>15</v>
      </c>
      <c r="F400" s="115" t="s">
        <v>50</v>
      </c>
      <c r="G400" s="116">
        <v>21.7</v>
      </c>
      <c r="H400" s="125">
        <v>8.9</v>
      </c>
      <c r="I400" s="468">
        <v>14</v>
      </c>
      <c r="J400" s="117">
        <f t="shared" si="201"/>
        <v>2.7038199999999999</v>
      </c>
      <c r="K400" s="32"/>
      <c r="L400" s="468">
        <v>14</v>
      </c>
      <c r="M400" s="117">
        <f t="shared" si="202"/>
        <v>2.7038200000000003</v>
      </c>
      <c r="N400" s="119">
        <f t="shared" si="203"/>
        <v>0</v>
      </c>
      <c r="O400" s="120">
        <f t="shared" si="204"/>
        <v>0</v>
      </c>
      <c r="P400" s="111"/>
      <c r="Q400" s="111"/>
    </row>
    <row r="401" spans="1:17" ht="15.6">
      <c r="A401" s="110" t="s">
        <v>638</v>
      </c>
      <c r="B401" s="111" t="s">
        <v>505</v>
      </c>
      <c r="C401" s="112" t="s">
        <v>449</v>
      </c>
      <c r="D401" s="113" t="s">
        <v>17</v>
      </c>
      <c r="E401" s="114" t="s">
        <v>15</v>
      </c>
      <c r="F401" s="115" t="s">
        <v>50</v>
      </c>
      <c r="G401" s="116">
        <v>21.7</v>
      </c>
      <c r="H401" s="125">
        <v>8.9</v>
      </c>
      <c r="I401" s="468">
        <v>7</v>
      </c>
      <c r="J401" s="117">
        <f t="shared" si="201"/>
        <v>1.3519099999999999</v>
      </c>
      <c r="K401" s="32"/>
      <c r="L401" s="468">
        <v>7</v>
      </c>
      <c r="M401" s="117">
        <f t="shared" si="202"/>
        <v>1.3519100000000002</v>
      </c>
      <c r="N401" s="119">
        <f t="shared" si="203"/>
        <v>0</v>
      </c>
      <c r="O401" s="120">
        <f t="shared" si="204"/>
        <v>0</v>
      </c>
      <c r="P401" s="111"/>
      <c r="Q401" s="111"/>
    </row>
    <row r="402" spans="1:17" ht="15.6">
      <c r="A402" s="110" t="s">
        <v>638</v>
      </c>
      <c r="B402" s="111" t="s">
        <v>505</v>
      </c>
      <c r="C402" s="112" t="s">
        <v>449</v>
      </c>
      <c r="D402" s="113" t="s">
        <v>17</v>
      </c>
      <c r="E402" s="114" t="s">
        <v>15</v>
      </c>
      <c r="F402" s="115" t="s">
        <v>50</v>
      </c>
      <c r="G402" s="116">
        <v>21.7</v>
      </c>
      <c r="H402" s="125">
        <v>10</v>
      </c>
      <c r="I402" s="468">
        <v>14</v>
      </c>
      <c r="J402" s="117">
        <f t="shared" si="201"/>
        <v>3.0379999999999998</v>
      </c>
      <c r="K402" s="32"/>
      <c r="L402" s="468">
        <v>14</v>
      </c>
      <c r="M402" s="117">
        <f t="shared" si="202"/>
        <v>3.0379999999999998</v>
      </c>
      <c r="N402" s="119">
        <f t="shared" si="203"/>
        <v>0</v>
      </c>
      <c r="O402" s="120">
        <f t="shared" si="204"/>
        <v>0</v>
      </c>
      <c r="P402" s="111"/>
      <c r="Q402" s="111"/>
    </row>
    <row r="403" spans="1:17" ht="15.6">
      <c r="A403" s="110" t="s">
        <v>638</v>
      </c>
      <c r="B403" s="111" t="s">
        <v>505</v>
      </c>
      <c r="C403" s="112" t="s">
        <v>449</v>
      </c>
      <c r="D403" s="113" t="s">
        <v>17</v>
      </c>
      <c r="E403" s="114" t="s">
        <v>15</v>
      </c>
      <c r="F403" s="115" t="s">
        <v>50</v>
      </c>
      <c r="G403" s="116">
        <v>21.7</v>
      </c>
      <c r="H403" s="125">
        <v>10.3</v>
      </c>
      <c r="I403" s="468">
        <v>14</v>
      </c>
      <c r="J403" s="117">
        <f t="shared" si="201"/>
        <v>3.1291400000000005</v>
      </c>
      <c r="K403" s="32"/>
      <c r="L403" s="468">
        <v>14</v>
      </c>
      <c r="M403" s="117">
        <f t="shared" si="202"/>
        <v>3.1291400000000005</v>
      </c>
      <c r="N403" s="119">
        <f t="shared" si="203"/>
        <v>0</v>
      </c>
      <c r="O403" s="120">
        <f t="shared" si="204"/>
        <v>0</v>
      </c>
      <c r="P403" s="111"/>
      <c r="Q403" s="111"/>
    </row>
    <row r="404" spans="1:17" ht="15.6">
      <c r="A404" s="110" t="s">
        <v>638</v>
      </c>
      <c r="B404" s="111" t="s">
        <v>505</v>
      </c>
      <c r="C404" s="112" t="s">
        <v>449</v>
      </c>
      <c r="D404" s="113" t="s">
        <v>17</v>
      </c>
      <c r="E404" s="114" t="s">
        <v>15</v>
      </c>
      <c r="F404" s="115" t="s">
        <v>50</v>
      </c>
      <c r="G404" s="116">
        <v>21.7</v>
      </c>
      <c r="H404" s="125">
        <v>10.3</v>
      </c>
      <c r="I404" s="468">
        <v>7</v>
      </c>
      <c r="J404" s="117">
        <f t="shared" si="201"/>
        <v>1.5645700000000002</v>
      </c>
      <c r="K404" s="32"/>
      <c r="L404" s="468">
        <v>7</v>
      </c>
      <c r="M404" s="117">
        <f t="shared" si="202"/>
        <v>1.5645700000000002</v>
      </c>
      <c r="N404" s="119">
        <f t="shared" si="203"/>
        <v>0</v>
      </c>
      <c r="O404" s="120">
        <f t="shared" si="204"/>
        <v>0</v>
      </c>
      <c r="P404" s="111"/>
      <c r="Q404" s="111"/>
    </row>
    <row r="405" spans="1:17" ht="15.6">
      <c r="A405" s="110" t="s">
        <v>638</v>
      </c>
      <c r="B405" s="111" t="s">
        <v>505</v>
      </c>
      <c r="C405" s="112" t="s">
        <v>449</v>
      </c>
      <c r="D405" s="113" t="s">
        <v>17</v>
      </c>
      <c r="E405" s="114" t="s">
        <v>15</v>
      </c>
      <c r="F405" s="115" t="s">
        <v>50</v>
      </c>
      <c r="G405" s="116">
        <v>21.7</v>
      </c>
      <c r="H405" s="125">
        <v>10</v>
      </c>
      <c r="I405" s="468">
        <v>12</v>
      </c>
      <c r="J405" s="117">
        <f t="shared" si="201"/>
        <v>2.6040000000000001</v>
      </c>
      <c r="K405" s="32"/>
      <c r="L405" s="111">
        <v>12</v>
      </c>
      <c r="M405" s="117">
        <f t="shared" si="202"/>
        <v>2.6040000000000001</v>
      </c>
      <c r="N405" s="119">
        <f t="shared" si="203"/>
        <v>0</v>
      </c>
      <c r="O405" s="120">
        <f t="shared" si="204"/>
        <v>0</v>
      </c>
      <c r="P405" s="111"/>
      <c r="Q405" s="111"/>
    </row>
    <row r="406" spans="1:17" ht="15.6">
      <c r="A406" s="110" t="s">
        <v>638</v>
      </c>
      <c r="B406" s="111" t="s">
        <v>505</v>
      </c>
      <c r="C406" s="112" t="s">
        <v>449</v>
      </c>
      <c r="D406" s="113" t="s">
        <v>17</v>
      </c>
      <c r="E406" s="114" t="s">
        <v>15</v>
      </c>
      <c r="F406" s="115" t="s">
        <v>50</v>
      </c>
      <c r="G406" s="116">
        <v>21.7</v>
      </c>
      <c r="H406" s="125">
        <v>8.3000000000000007</v>
      </c>
      <c r="I406" s="468">
        <v>2</v>
      </c>
      <c r="J406" s="117">
        <f t="shared" si="201"/>
        <v>0.36022000000000004</v>
      </c>
      <c r="K406" s="32"/>
      <c r="L406" s="111"/>
      <c r="M406" s="117">
        <f t="shared" si="202"/>
        <v>0</v>
      </c>
      <c r="N406" s="119">
        <f t="shared" si="203"/>
        <v>2</v>
      </c>
      <c r="O406" s="120">
        <f t="shared" si="204"/>
        <v>0.36022000000000004</v>
      </c>
      <c r="P406" s="111"/>
      <c r="Q406" s="111"/>
    </row>
    <row r="407" spans="1:17" ht="15.6">
      <c r="A407" s="110" t="s">
        <v>638</v>
      </c>
      <c r="B407" s="111" t="s">
        <v>505</v>
      </c>
      <c r="C407" s="112" t="s">
        <v>449</v>
      </c>
      <c r="D407" s="113" t="s">
        <v>17</v>
      </c>
      <c r="E407" s="114" t="s">
        <v>15</v>
      </c>
      <c r="F407" s="115" t="s">
        <v>50</v>
      </c>
      <c r="G407" s="116">
        <v>21.7</v>
      </c>
      <c r="H407" s="125">
        <v>8.1</v>
      </c>
      <c r="I407" s="468">
        <v>1</v>
      </c>
      <c r="J407" s="117">
        <f t="shared" si="201"/>
        <v>0.17576999999999998</v>
      </c>
      <c r="K407" s="32"/>
      <c r="L407" s="111"/>
      <c r="M407" s="117">
        <f t="shared" si="202"/>
        <v>0</v>
      </c>
      <c r="N407" s="119">
        <f t="shared" si="203"/>
        <v>1</v>
      </c>
      <c r="O407" s="120">
        <f>H407*N407*G407/1000</f>
        <v>0.17576999999999998</v>
      </c>
      <c r="P407" s="111"/>
      <c r="Q407" s="111"/>
    </row>
    <row r="408" spans="1:17" ht="15.6">
      <c r="A408" s="110" t="s">
        <v>638</v>
      </c>
      <c r="B408" s="111" t="s">
        <v>505</v>
      </c>
      <c r="C408" s="112" t="s">
        <v>449</v>
      </c>
      <c r="D408" s="113" t="s">
        <v>17</v>
      </c>
      <c r="E408" s="114" t="s">
        <v>15</v>
      </c>
      <c r="F408" s="115" t="s">
        <v>50</v>
      </c>
      <c r="G408" s="116">
        <v>21.7</v>
      </c>
      <c r="H408" s="125">
        <v>5.4</v>
      </c>
      <c r="I408" s="468">
        <v>1</v>
      </c>
      <c r="J408" s="117">
        <f t="shared" si="201"/>
        <v>0.11718000000000001</v>
      </c>
      <c r="K408" s="32"/>
      <c r="L408" s="111"/>
      <c r="M408" s="117">
        <f t="shared" si="202"/>
        <v>0</v>
      </c>
      <c r="N408" s="119">
        <f>I408-L408</f>
        <v>1</v>
      </c>
      <c r="O408" s="120">
        <f>H408*N408*G408/1000</f>
        <v>0.11718000000000001</v>
      </c>
      <c r="P408" s="111"/>
      <c r="Q408" s="111"/>
    </row>
    <row r="409" spans="1:17">
      <c r="I409" s="215">
        <f>SUM(I398:I408)</f>
        <v>97</v>
      </c>
      <c r="J409" s="214">
        <f>SUM(J398:J408)</f>
        <v>19.655860000000004</v>
      </c>
      <c r="L409" s="215">
        <f>SUM(L398:L408)</f>
        <v>93</v>
      </c>
      <c r="M409" s="214">
        <f>SUM(M398:M408)</f>
        <v>19.002690000000001</v>
      </c>
      <c r="N409" s="215">
        <f>SUM(N398:N408)</f>
        <v>4</v>
      </c>
      <c r="O409" s="128">
        <f>SUM(O398:O408)</f>
        <v>0.65317000000000003</v>
      </c>
    </row>
    <row r="411" spans="1:17" ht="15.6">
      <c r="A411" s="110" t="s">
        <v>638</v>
      </c>
      <c r="B411" s="111" t="s">
        <v>505</v>
      </c>
      <c r="C411" s="112" t="s">
        <v>449</v>
      </c>
      <c r="D411" s="113" t="s">
        <v>17</v>
      </c>
      <c r="E411" s="114" t="s">
        <v>15</v>
      </c>
      <c r="F411" s="115" t="s">
        <v>33</v>
      </c>
      <c r="G411" s="116">
        <v>15.92</v>
      </c>
      <c r="H411" s="125">
        <v>7.1</v>
      </c>
      <c r="I411" s="468">
        <v>26</v>
      </c>
      <c r="J411" s="117">
        <f t="shared" ref="J411" si="205">H411*G411*I411/1000</f>
        <v>2.9388319999999997</v>
      </c>
      <c r="K411" s="32"/>
      <c r="L411" s="468">
        <v>26</v>
      </c>
      <c r="M411" s="117">
        <f t="shared" ref="M411" si="206">H411*L411*G411/1000</f>
        <v>2.9388319999999997</v>
      </c>
      <c r="N411" s="119">
        <f t="shared" ref="N411" si="207">I411-L411</f>
        <v>0</v>
      </c>
      <c r="O411" s="120">
        <f t="shared" ref="O411" si="208">H411*N411*G411/1000</f>
        <v>0</v>
      </c>
      <c r="P411" s="111"/>
      <c r="Q411" s="111"/>
    </row>
    <row r="412" spans="1:17" ht="15.6">
      <c r="A412" s="110" t="s">
        <v>638</v>
      </c>
      <c r="B412" s="111" t="s">
        <v>505</v>
      </c>
      <c r="C412" s="112" t="s">
        <v>449</v>
      </c>
      <c r="D412" s="113" t="s">
        <v>17</v>
      </c>
      <c r="E412" s="114" t="s">
        <v>15</v>
      </c>
      <c r="F412" s="115" t="s">
        <v>33</v>
      </c>
      <c r="G412" s="116">
        <v>15.92</v>
      </c>
      <c r="H412" s="125">
        <v>6.6</v>
      </c>
      <c r="I412" s="468">
        <v>11</v>
      </c>
      <c r="J412" s="117">
        <f t="shared" ref="J412:J429" si="209">H412*G412*I412/1000</f>
        <v>1.1557919999999999</v>
      </c>
      <c r="K412" s="32"/>
      <c r="L412" s="468">
        <v>11</v>
      </c>
      <c r="M412" s="117">
        <f t="shared" ref="M412:M429" si="210">H412*L412*G412/1000</f>
        <v>1.1557919999999999</v>
      </c>
      <c r="N412" s="119">
        <f t="shared" ref="N412:N429" si="211">I412-L412</f>
        <v>0</v>
      </c>
      <c r="O412" s="120">
        <f t="shared" ref="O412:O429" si="212">H412*N412*G412/1000</f>
        <v>0</v>
      </c>
      <c r="P412" s="111"/>
      <c r="Q412" s="111"/>
    </row>
    <row r="413" spans="1:17" ht="15.6">
      <c r="A413" s="110" t="s">
        <v>638</v>
      </c>
      <c r="B413" s="111" t="s">
        <v>505</v>
      </c>
      <c r="C413" s="112" t="s">
        <v>449</v>
      </c>
      <c r="D413" s="113" t="s">
        <v>17</v>
      </c>
      <c r="E413" s="114" t="s">
        <v>15</v>
      </c>
      <c r="F413" s="115" t="s">
        <v>33</v>
      </c>
      <c r="G413" s="116">
        <v>15.92</v>
      </c>
      <c r="H413" s="125">
        <v>11.9</v>
      </c>
      <c r="I413" s="468">
        <v>13</v>
      </c>
      <c r="J413" s="117">
        <f t="shared" si="209"/>
        <v>2.4628239999999999</v>
      </c>
      <c r="K413" s="32"/>
      <c r="L413" s="468">
        <v>13</v>
      </c>
      <c r="M413" s="117">
        <f t="shared" si="210"/>
        <v>2.4628239999999999</v>
      </c>
      <c r="N413" s="119">
        <f t="shared" si="211"/>
        <v>0</v>
      </c>
      <c r="O413" s="120">
        <f t="shared" si="212"/>
        <v>0</v>
      </c>
      <c r="P413" s="111"/>
      <c r="Q413" s="111"/>
    </row>
    <row r="414" spans="1:17" ht="15.6">
      <c r="A414" s="110" t="s">
        <v>638</v>
      </c>
      <c r="B414" s="111" t="s">
        <v>505</v>
      </c>
      <c r="C414" s="112" t="s">
        <v>449</v>
      </c>
      <c r="D414" s="113" t="s">
        <v>17</v>
      </c>
      <c r="E414" s="114" t="s">
        <v>15</v>
      </c>
      <c r="F414" s="115" t="s">
        <v>33</v>
      </c>
      <c r="G414" s="116">
        <v>15.92</v>
      </c>
      <c r="H414" s="125">
        <v>6.3</v>
      </c>
      <c r="I414" s="468">
        <v>14</v>
      </c>
      <c r="J414" s="117">
        <f t="shared" si="209"/>
        <v>1.4041439999999998</v>
      </c>
      <c r="K414" s="32"/>
      <c r="L414" s="468">
        <v>14</v>
      </c>
      <c r="M414" s="117">
        <f t="shared" si="210"/>
        <v>1.4041440000000001</v>
      </c>
      <c r="N414" s="119">
        <f t="shared" si="211"/>
        <v>0</v>
      </c>
      <c r="O414" s="120">
        <f t="shared" si="212"/>
        <v>0</v>
      </c>
      <c r="P414" s="111"/>
      <c r="Q414" s="111"/>
    </row>
    <row r="415" spans="1:17" ht="15.6">
      <c r="A415" s="110" t="s">
        <v>638</v>
      </c>
      <c r="B415" s="111" t="s">
        <v>505</v>
      </c>
      <c r="C415" s="112" t="s">
        <v>449</v>
      </c>
      <c r="D415" s="113" t="s">
        <v>17</v>
      </c>
      <c r="E415" s="114" t="s">
        <v>15</v>
      </c>
      <c r="F415" s="115" t="s">
        <v>33</v>
      </c>
      <c r="G415" s="116">
        <v>15.92</v>
      </c>
      <c r="H415" s="125">
        <v>7.2</v>
      </c>
      <c r="I415" s="468">
        <v>6</v>
      </c>
      <c r="J415" s="117">
        <f t="shared" si="209"/>
        <v>0.68774399999999991</v>
      </c>
      <c r="K415" s="32"/>
      <c r="L415" s="468">
        <v>6</v>
      </c>
      <c r="M415" s="117">
        <f t="shared" si="210"/>
        <v>0.68774400000000002</v>
      </c>
      <c r="N415" s="119">
        <f t="shared" si="211"/>
        <v>0</v>
      </c>
      <c r="O415" s="120">
        <f t="shared" si="212"/>
        <v>0</v>
      </c>
      <c r="P415" s="111"/>
      <c r="Q415" s="111"/>
    </row>
    <row r="416" spans="1:17" ht="15.6">
      <c r="A416" s="110" t="s">
        <v>638</v>
      </c>
      <c r="B416" s="111" t="s">
        <v>505</v>
      </c>
      <c r="C416" s="112" t="s">
        <v>449</v>
      </c>
      <c r="D416" s="113" t="s">
        <v>17</v>
      </c>
      <c r="E416" s="114" t="s">
        <v>15</v>
      </c>
      <c r="F416" s="115" t="s">
        <v>33</v>
      </c>
      <c r="G416" s="116">
        <v>15.92</v>
      </c>
      <c r="H416" s="125">
        <v>7.6</v>
      </c>
      <c r="I416" s="468">
        <v>12</v>
      </c>
      <c r="J416" s="117">
        <f t="shared" si="209"/>
        <v>1.4519040000000001</v>
      </c>
      <c r="K416" s="32"/>
      <c r="L416" s="468">
        <v>12</v>
      </c>
      <c r="M416" s="117">
        <f t="shared" si="210"/>
        <v>1.4519039999999999</v>
      </c>
      <c r="N416" s="119">
        <f t="shared" si="211"/>
        <v>0</v>
      </c>
      <c r="O416" s="120">
        <f t="shared" si="212"/>
        <v>0</v>
      </c>
      <c r="P416" s="111">
        <v>7.1</v>
      </c>
      <c r="Q416" s="111">
        <v>12</v>
      </c>
    </row>
    <row r="417" spans="1:17" ht="15.6">
      <c r="A417" s="110" t="s">
        <v>638</v>
      </c>
      <c r="B417" s="111" t="s">
        <v>505</v>
      </c>
      <c r="C417" s="112" t="s">
        <v>449</v>
      </c>
      <c r="D417" s="113" t="s">
        <v>17</v>
      </c>
      <c r="E417" s="114" t="s">
        <v>15</v>
      </c>
      <c r="F417" s="115" t="s">
        <v>33</v>
      </c>
      <c r="G417" s="116">
        <v>15.92</v>
      </c>
      <c r="H417" s="125">
        <v>7.2</v>
      </c>
      <c r="I417" s="468">
        <v>7</v>
      </c>
      <c r="J417" s="117">
        <f t="shared" si="209"/>
        <v>0.80236799999999997</v>
      </c>
      <c r="K417" s="32"/>
      <c r="L417" s="468">
        <v>7</v>
      </c>
      <c r="M417" s="117">
        <f t="shared" si="210"/>
        <v>0.80236799999999997</v>
      </c>
      <c r="N417" s="119">
        <f t="shared" si="211"/>
        <v>0</v>
      </c>
      <c r="O417" s="120">
        <f t="shared" si="212"/>
        <v>0</v>
      </c>
      <c r="P417" s="111">
        <v>7.1</v>
      </c>
      <c r="Q417" s="111">
        <v>7</v>
      </c>
    </row>
    <row r="418" spans="1:17" ht="15.6">
      <c r="A418" s="110" t="s">
        <v>638</v>
      </c>
      <c r="B418" s="111" t="s">
        <v>505</v>
      </c>
      <c r="C418" s="112" t="s">
        <v>449</v>
      </c>
      <c r="D418" s="113" t="s">
        <v>17</v>
      </c>
      <c r="E418" s="114" t="s">
        <v>15</v>
      </c>
      <c r="F418" s="115" t="s">
        <v>33</v>
      </c>
      <c r="G418" s="116">
        <v>15.92</v>
      </c>
      <c r="H418" s="125">
        <v>8.6999999999999993</v>
      </c>
      <c r="I418" s="468">
        <v>1</v>
      </c>
      <c r="J418" s="117">
        <f t="shared" si="209"/>
        <v>0.13850399999999999</v>
      </c>
      <c r="K418" s="32"/>
      <c r="L418" s="468">
        <v>1</v>
      </c>
      <c r="M418" s="117">
        <f t="shared" si="210"/>
        <v>0.13850399999999999</v>
      </c>
      <c r="N418" s="119">
        <f t="shared" si="211"/>
        <v>0</v>
      </c>
      <c r="O418" s="120">
        <f t="shared" si="212"/>
        <v>0</v>
      </c>
      <c r="P418" s="111">
        <v>7.1</v>
      </c>
      <c r="Q418" s="111">
        <v>1</v>
      </c>
    </row>
    <row r="419" spans="1:17" ht="15.6">
      <c r="A419" s="110" t="s">
        <v>638</v>
      </c>
      <c r="B419" s="111" t="s">
        <v>505</v>
      </c>
      <c r="C419" s="112" t="s">
        <v>449</v>
      </c>
      <c r="D419" s="113" t="s">
        <v>17</v>
      </c>
      <c r="E419" s="114" t="s">
        <v>15</v>
      </c>
      <c r="F419" s="115" t="s">
        <v>33</v>
      </c>
      <c r="G419" s="116">
        <v>15.92</v>
      </c>
      <c r="H419" s="125">
        <v>8.9</v>
      </c>
      <c r="I419" s="468">
        <v>1</v>
      </c>
      <c r="J419" s="117">
        <f t="shared" si="209"/>
        <v>0.14168800000000001</v>
      </c>
      <c r="K419" s="32"/>
      <c r="L419" s="468">
        <v>1</v>
      </c>
      <c r="M419" s="117">
        <f t="shared" si="210"/>
        <v>0.14168800000000001</v>
      </c>
      <c r="N419" s="119">
        <f t="shared" si="211"/>
        <v>0</v>
      </c>
      <c r="O419" s="120">
        <f t="shared" si="212"/>
        <v>0</v>
      </c>
      <c r="P419" s="111">
        <v>7.1</v>
      </c>
      <c r="Q419" s="111">
        <v>1</v>
      </c>
    </row>
    <row r="420" spans="1:17" ht="15.6">
      <c r="A420" s="110" t="s">
        <v>638</v>
      </c>
      <c r="B420" s="111" t="s">
        <v>505</v>
      </c>
      <c r="C420" s="112" t="s">
        <v>449</v>
      </c>
      <c r="D420" s="113" t="s">
        <v>17</v>
      </c>
      <c r="E420" s="114" t="s">
        <v>15</v>
      </c>
      <c r="F420" s="115" t="s">
        <v>33</v>
      </c>
      <c r="G420" s="116">
        <v>15.92</v>
      </c>
      <c r="H420" s="125">
        <v>9</v>
      </c>
      <c r="I420" s="468">
        <v>1</v>
      </c>
      <c r="J420" s="117">
        <f t="shared" si="209"/>
        <v>0.14327999999999999</v>
      </c>
      <c r="K420" s="32"/>
      <c r="L420" s="468">
        <v>1</v>
      </c>
      <c r="M420" s="117">
        <f t="shared" si="210"/>
        <v>0.14327999999999999</v>
      </c>
      <c r="N420" s="119">
        <f t="shared" si="211"/>
        <v>0</v>
      </c>
      <c r="O420" s="120">
        <f t="shared" si="212"/>
        <v>0</v>
      </c>
      <c r="P420" s="111">
        <v>7.1</v>
      </c>
      <c r="Q420" s="111">
        <v>1</v>
      </c>
    </row>
    <row r="421" spans="1:17" ht="15.6">
      <c r="A421" s="110" t="s">
        <v>638</v>
      </c>
      <c r="B421" s="111" t="s">
        <v>505</v>
      </c>
      <c r="C421" s="112" t="s">
        <v>449</v>
      </c>
      <c r="D421" s="113" t="s">
        <v>17</v>
      </c>
      <c r="E421" s="114" t="s">
        <v>15</v>
      </c>
      <c r="F421" s="115" t="s">
        <v>33</v>
      </c>
      <c r="G421" s="116">
        <v>15.92</v>
      </c>
      <c r="H421" s="125">
        <v>10</v>
      </c>
      <c r="I421" s="468">
        <v>1</v>
      </c>
      <c r="J421" s="117">
        <f t="shared" si="209"/>
        <v>0.15919999999999998</v>
      </c>
      <c r="K421" s="32"/>
      <c r="L421" s="468">
        <v>1</v>
      </c>
      <c r="M421" s="117">
        <f t="shared" si="210"/>
        <v>0.15919999999999998</v>
      </c>
      <c r="N421" s="119">
        <f t="shared" si="211"/>
        <v>0</v>
      </c>
      <c r="O421" s="120">
        <f t="shared" si="212"/>
        <v>0</v>
      </c>
      <c r="P421" s="111">
        <v>6.3</v>
      </c>
      <c r="Q421" s="111">
        <v>1</v>
      </c>
    </row>
    <row r="422" spans="1:17" ht="15.6">
      <c r="A422" s="110" t="s">
        <v>638</v>
      </c>
      <c r="B422" s="111" t="s">
        <v>505</v>
      </c>
      <c r="C422" s="112" t="s">
        <v>449</v>
      </c>
      <c r="D422" s="113" t="s">
        <v>17</v>
      </c>
      <c r="E422" s="114" t="s">
        <v>15</v>
      </c>
      <c r="F422" s="115" t="s">
        <v>33</v>
      </c>
      <c r="G422" s="116">
        <v>15.92</v>
      </c>
      <c r="H422" s="125">
        <v>10.5</v>
      </c>
      <c r="I422" s="468">
        <v>2</v>
      </c>
      <c r="J422" s="117">
        <f t="shared" si="209"/>
        <v>0.33432000000000001</v>
      </c>
      <c r="K422" s="32"/>
      <c r="L422" s="468">
        <v>2</v>
      </c>
      <c r="M422" s="117">
        <f t="shared" si="210"/>
        <v>0.33432000000000001</v>
      </c>
      <c r="N422" s="119">
        <f t="shared" si="211"/>
        <v>0</v>
      </c>
      <c r="O422" s="120">
        <f t="shared" si="212"/>
        <v>0</v>
      </c>
      <c r="P422" s="111">
        <v>7.1</v>
      </c>
      <c r="Q422" s="111">
        <v>2</v>
      </c>
    </row>
    <row r="423" spans="1:17" ht="15.6">
      <c r="A423" s="110" t="s">
        <v>638</v>
      </c>
      <c r="B423" s="111" t="s">
        <v>505</v>
      </c>
      <c r="C423" s="112" t="s">
        <v>449</v>
      </c>
      <c r="D423" s="113" t="s">
        <v>17</v>
      </c>
      <c r="E423" s="114" t="s">
        <v>15</v>
      </c>
      <c r="F423" s="115" t="s">
        <v>33</v>
      </c>
      <c r="G423" s="116">
        <v>15.92</v>
      </c>
      <c r="H423" s="125">
        <v>10.4</v>
      </c>
      <c r="I423" s="468">
        <v>1</v>
      </c>
      <c r="J423" s="117">
        <f t="shared" si="209"/>
        <v>0.16556800000000002</v>
      </c>
      <c r="K423" s="32"/>
      <c r="L423" s="468">
        <v>1</v>
      </c>
      <c r="M423" s="117">
        <f t="shared" si="210"/>
        <v>0.16556800000000002</v>
      </c>
      <c r="N423" s="119">
        <f t="shared" si="211"/>
        <v>0</v>
      </c>
      <c r="O423" s="120">
        <f t="shared" si="212"/>
        <v>0</v>
      </c>
      <c r="P423" s="111">
        <v>6.3</v>
      </c>
      <c r="Q423" s="111">
        <v>1</v>
      </c>
    </row>
    <row r="424" spans="1:17" ht="15.6">
      <c r="A424" s="110" t="s">
        <v>638</v>
      </c>
      <c r="B424" s="111" t="s">
        <v>505</v>
      </c>
      <c r="C424" s="112" t="s">
        <v>449</v>
      </c>
      <c r="D424" s="113" t="s">
        <v>17</v>
      </c>
      <c r="E424" s="114" t="s">
        <v>15</v>
      </c>
      <c r="F424" s="115" t="s">
        <v>33</v>
      </c>
      <c r="G424" s="116">
        <v>15.92</v>
      </c>
      <c r="H424" s="125">
        <v>11</v>
      </c>
      <c r="I424" s="468">
        <v>4</v>
      </c>
      <c r="J424" s="117">
        <f t="shared" si="209"/>
        <v>0.70047999999999999</v>
      </c>
      <c r="K424" s="32"/>
      <c r="L424" s="468">
        <v>4</v>
      </c>
      <c r="M424" s="117">
        <f t="shared" si="210"/>
        <v>0.70047999999999999</v>
      </c>
      <c r="N424" s="119">
        <f t="shared" si="211"/>
        <v>0</v>
      </c>
      <c r="O424" s="120">
        <f t="shared" si="212"/>
        <v>0</v>
      </c>
      <c r="P424" s="111">
        <v>6.3</v>
      </c>
      <c r="Q424" s="111">
        <v>4</v>
      </c>
    </row>
    <row r="425" spans="1:17" ht="15.6">
      <c r="A425" s="110" t="s">
        <v>638</v>
      </c>
      <c r="B425" s="111" t="s">
        <v>505</v>
      </c>
      <c r="C425" s="112" t="s">
        <v>449</v>
      </c>
      <c r="D425" s="113" t="s">
        <v>17</v>
      </c>
      <c r="E425" s="114" t="s">
        <v>15</v>
      </c>
      <c r="F425" s="115" t="s">
        <v>33</v>
      </c>
      <c r="G425" s="116">
        <v>15.92</v>
      </c>
      <c r="H425" s="125">
        <v>7.1</v>
      </c>
      <c r="I425" s="468">
        <v>3</v>
      </c>
      <c r="J425" s="117">
        <f t="shared" si="209"/>
        <v>0.33909600000000001</v>
      </c>
      <c r="K425" s="32"/>
      <c r="L425" s="468">
        <v>3</v>
      </c>
      <c r="M425" s="117">
        <f t="shared" si="210"/>
        <v>0.33909599999999995</v>
      </c>
      <c r="N425" s="119">
        <f t="shared" si="211"/>
        <v>0</v>
      </c>
      <c r="O425" s="120">
        <f t="shared" si="212"/>
        <v>0</v>
      </c>
      <c r="P425" s="111"/>
      <c r="Q425" s="111"/>
    </row>
    <row r="426" spans="1:17" ht="15.6">
      <c r="A426" s="110" t="s">
        <v>638</v>
      </c>
      <c r="B426" s="111" t="s">
        <v>505</v>
      </c>
      <c r="C426" s="112" t="s">
        <v>449</v>
      </c>
      <c r="D426" s="113" t="s">
        <v>17</v>
      </c>
      <c r="E426" s="114" t="s">
        <v>15</v>
      </c>
      <c r="F426" s="115" t="s">
        <v>33</v>
      </c>
      <c r="G426" s="116">
        <v>15.92</v>
      </c>
      <c r="H426" s="125">
        <v>6.6</v>
      </c>
      <c r="I426" s="468">
        <v>7</v>
      </c>
      <c r="J426" s="117">
        <f t="shared" si="209"/>
        <v>0.73550399999999994</v>
      </c>
      <c r="K426" s="32"/>
      <c r="L426" s="468">
        <v>7</v>
      </c>
      <c r="M426" s="117">
        <f t="shared" si="210"/>
        <v>0.73550399999999994</v>
      </c>
      <c r="N426" s="119">
        <f t="shared" si="211"/>
        <v>0</v>
      </c>
      <c r="O426" s="120">
        <f t="shared" si="212"/>
        <v>0</v>
      </c>
      <c r="P426" s="130">
        <v>6.3</v>
      </c>
      <c r="Q426" s="111">
        <v>7</v>
      </c>
    </row>
    <row r="427" spans="1:17" ht="15.6">
      <c r="A427" s="110" t="s">
        <v>638</v>
      </c>
      <c r="B427" s="111" t="s">
        <v>505</v>
      </c>
      <c r="C427" s="112" t="s">
        <v>449</v>
      </c>
      <c r="D427" s="113" t="s">
        <v>17</v>
      </c>
      <c r="E427" s="114" t="s">
        <v>15</v>
      </c>
      <c r="F427" s="115" t="s">
        <v>33</v>
      </c>
      <c r="G427" s="116">
        <v>15.92</v>
      </c>
      <c r="H427" s="125">
        <v>6.25</v>
      </c>
      <c r="I427" s="468">
        <v>1</v>
      </c>
      <c r="J427" s="117">
        <f t="shared" si="209"/>
        <v>9.9500000000000005E-2</v>
      </c>
      <c r="K427" s="32"/>
      <c r="L427" s="468">
        <v>1</v>
      </c>
      <c r="M427" s="117">
        <f t="shared" si="210"/>
        <v>9.9500000000000005E-2</v>
      </c>
      <c r="N427" s="119">
        <f t="shared" si="211"/>
        <v>0</v>
      </c>
      <c r="O427" s="120">
        <f t="shared" si="212"/>
        <v>0</v>
      </c>
      <c r="P427" s="111">
        <v>6.3</v>
      </c>
      <c r="Q427" s="111">
        <v>1</v>
      </c>
    </row>
    <row r="428" spans="1:17" ht="15.6">
      <c r="A428" s="110" t="s">
        <v>638</v>
      </c>
      <c r="B428" s="111" t="s">
        <v>505</v>
      </c>
      <c r="C428" s="112" t="s">
        <v>449</v>
      </c>
      <c r="D428" s="113" t="s">
        <v>17</v>
      </c>
      <c r="E428" s="114" t="s">
        <v>15</v>
      </c>
      <c r="F428" s="115" t="s">
        <v>33</v>
      </c>
      <c r="G428" s="116">
        <v>15.92</v>
      </c>
      <c r="H428" s="125">
        <v>6.15</v>
      </c>
      <c r="I428" s="468">
        <v>1</v>
      </c>
      <c r="J428" s="117">
        <f t="shared" si="209"/>
        <v>9.7907999999999995E-2</v>
      </c>
      <c r="K428" s="32"/>
      <c r="L428" s="468"/>
      <c r="M428" s="117">
        <f t="shared" si="210"/>
        <v>0</v>
      </c>
      <c r="N428" s="119">
        <f t="shared" si="211"/>
        <v>1</v>
      </c>
      <c r="O428" s="120">
        <f t="shared" si="212"/>
        <v>9.7907999999999995E-2</v>
      </c>
      <c r="P428" s="111"/>
      <c r="Q428" s="111"/>
    </row>
    <row r="429" spans="1:17" ht="15.6">
      <c r="A429" s="110" t="s">
        <v>638</v>
      </c>
      <c r="B429" s="111" t="s">
        <v>505</v>
      </c>
      <c r="C429" s="112" t="s">
        <v>449</v>
      </c>
      <c r="D429" s="113" t="s">
        <v>17</v>
      </c>
      <c r="E429" s="114" t="s">
        <v>15</v>
      </c>
      <c r="F429" s="115" t="s">
        <v>33</v>
      </c>
      <c r="G429" s="116">
        <v>15.92</v>
      </c>
      <c r="H429" s="125">
        <v>5.75</v>
      </c>
      <c r="I429" s="468">
        <v>1</v>
      </c>
      <c r="J429" s="117">
        <f t="shared" si="209"/>
        <v>9.154000000000001E-2</v>
      </c>
      <c r="K429" s="32"/>
      <c r="L429" s="468"/>
      <c r="M429" s="117">
        <f t="shared" si="210"/>
        <v>0</v>
      </c>
      <c r="N429" s="119">
        <f t="shared" si="211"/>
        <v>1</v>
      </c>
      <c r="O429" s="120">
        <f t="shared" si="212"/>
        <v>9.154000000000001E-2</v>
      </c>
      <c r="P429" s="111"/>
      <c r="Q429" s="111"/>
    </row>
    <row r="430" spans="1:17" ht="15.6">
      <c r="A430" s="110" t="s">
        <v>638</v>
      </c>
      <c r="B430" s="111" t="s">
        <v>505</v>
      </c>
      <c r="C430" s="112" t="s">
        <v>449</v>
      </c>
      <c r="D430" s="113" t="s">
        <v>17</v>
      </c>
      <c r="E430" s="114" t="s">
        <v>15</v>
      </c>
      <c r="F430" s="115" t="s">
        <v>33</v>
      </c>
      <c r="G430" s="116">
        <v>15.92</v>
      </c>
      <c r="H430" s="126">
        <v>7.1</v>
      </c>
      <c r="I430" s="471">
        <v>19</v>
      </c>
      <c r="J430" s="117">
        <f t="shared" ref="J430:J442" si="213">H430*G430*I430/1000</f>
        <v>2.1476079999999995</v>
      </c>
      <c r="K430" s="32"/>
      <c r="L430" s="468">
        <v>19</v>
      </c>
      <c r="M430" s="117">
        <f t="shared" ref="M430:M442" si="214">H430*L430*G430/1000</f>
        <v>2.147608</v>
      </c>
      <c r="N430" s="119">
        <f t="shared" ref="N430:N442" si="215">I430-L430</f>
        <v>0</v>
      </c>
      <c r="O430" s="120">
        <f t="shared" ref="O430:O442" si="216">H430*N430*G430/1000</f>
        <v>0</v>
      </c>
      <c r="P430" s="111"/>
      <c r="Q430" s="111"/>
    </row>
    <row r="431" spans="1:17" ht="15.6">
      <c r="A431" s="110" t="s">
        <v>638</v>
      </c>
      <c r="B431" s="111" t="s">
        <v>505</v>
      </c>
      <c r="C431" s="112" t="s">
        <v>449</v>
      </c>
      <c r="D431" s="113" t="s">
        <v>17</v>
      </c>
      <c r="E431" s="114" t="s">
        <v>15</v>
      </c>
      <c r="F431" s="115" t="s">
        <v>33</v>
      </c>
      <c r="G431" s="116">
        <v>15.92</v>
      </c>
      <c r="H431" s="126">
        <v>6.3</v>
      </c>
      <c r="I431" s="471">
        <v>20</v>
      </c>
      <c r="J431" s="117">
        <f t="shared" si="213"/>
        <v>2.0059199999999997</v>
      </c>
      <c r="K431" s="32"/>
      <c r="L431" s="468">
        <v>20</v>
      </c>
      <c r="M431" s="117">
        <f t="shared" si="214"/>
        <v>2.0059200000000001</v>
      </c>
      <c r="N431" s="119">
        <f t="shared" si="215"/>
        <v>0</v>
      </c>
      <c r="O431" s="120">
        <f t="shared" si="216"/>
        <v>0</v>
      </c>
      <c r="P431" s="111"/>
      <c r="Q431" s="111"/>
    </row>
    <row r="432" spans="1:17" ht="15.6">
      <c r="A432" s="110" t="s">
        <v>638</v>
      </c>
      <c r="B432" s="111" t="s">
        <v>505</v>
      </c>
      <c r="C432" s="112" t="s">
        <v>449</v>
      </c>
      <c r="D432" s="113" t="s">
        <v>17</v>
      </c>
      <c r="E432" s="114" t="s">
        <v>15</v>
      </c>
      <c r="F432" s="115" t="s">
        <v>33</v>
      </c>
      <c r="G432" s="116">
        <v>15.92</v>
      </c>
      <c r="H432" s="126">
        <v>11.9</v>
      </c>
      <c r="I432" s="471">
        <v>18</v>
      </c>
      <c r="J432" s="117">
        <f t="shared" si="213"/>
        <v>3.4100640000000002</v>
      </c>
      <c r="K432" s="32"/>
      <c r="L432" s="468">
        <v>18</v>
      </c>
      <c r="M432" s="117">
        <f t="shared" si="214"/>
        <v>3.4100640000000002</v>
      </c>
      <c r="N432" s="119">
        <f t="shared" si="215"/>
        <v>0</v>
      </c>
      <c r="O432" s="120">
        <f t="shared" si="216"/>
        <v>0</v>
      </c>
      <c r="P432" s="111"/>
      <c r="Q432" s="111"/>
    </row>
    <row r="433" spans="1:17" ht="15.6">
      <c r="A433" s="110" t="s">
        <v>638</v>
      </c>
      <c r="B433" s="111" t="s">
        <v>505</v>
      </c>
      <c r="C433" s="112" t="s">
        <v>449</v>
      </c>
      <c r="D433" s="113" t="s">
        <v>17</v>
      </c>
      <c r="E433" s="114" t="s">
        <v>15</v>
      </c>
      <c r="F433" s="115" t="s">
        <v>33</v>
      </c>
      <c r="G433" s="116">
        <v>15.92</v>
      </c>
      <c r="H433" s="126">
        <v>11</v>
      </c>
      <c r="I433" s="471">
        <v>18</v>
      </c>
      <c r="J433" s="117">
        <f t="shared" si="213"/>
        <v>3.1521599999999999</v>
      </c>
      <c r="K433" s="32"/>
      <c r="L433" s="468">
        <v>18</v>
      </c>
      <c r="M433" s="117">
        <f t="shared" si="214"/>
        <v>3.1521599999999999</v>
      </c>
      <c r="N433" s="119">
        <f t="shared" si="215"/>
        <v>0</v>
      </c>
      <c r="O433" s="120">
        <f t="shared" si="216"/>
        <v>0</v>
      </c>
      <c r="P433" s="111"/>
      <c r="Q433" s="111"/>
    </row>
    <row r="434" spans="1:17" ht="15.6">
      <c r="A434" s="110" t="s">
        <v>638</v>
      </c>
      <c r="B434" s="111" t="s">
        <v>505</v>
      </c>
      <c r="C434" s="112" t="s">
        <v>449</v>
      </c>
      <c r="D434" s="113" t="s">
        <v>17</v>
      </c>
      <c r="E434" s="114" t="s">
        <v>15</v>
      </c>
      <c r="F434" s="115" t="s">
        <v>33</v>
      </c>
      <c r="G434" s="116">
        <v>15.92</v>
      </c>
      <c r="H434" s="126">
        <v>6.3</v>
      </c>
      <c r="I434" s="471">
        <v>20</v>
      </c>
      <c r="J434" s="117">
        <f t="shared" si="213"/>
        <v>2.0059199999999997</v>
      </c>
      <c r="K434" s="32"/>
      <c r="L434" s="468">
        <v>20</v>
      </c>
      <c r="M434" s="117">
        <f t="shared" si="214"/>
        <v>2.0059200000000001</v>
      </c>
      <c r="N434" s="119">
        <f t="shared" si="215"/>
        <v>0</v>
      </c>
      <c r="O434" s="120">
        <f t="shared" si="216"/>
        <v>0</v>
      </c>
      <c r="P434" s="111"/>
      <c r="Q434" s="111"/>
    </row>
    <row r="435" spans="1:17" ht="15.6">
      <c r="A435" s="110" t="s">
        <v>638</v>
      </c>
      <c r="B435" s="111" t="s">
        <v>505</v>
      </c>
      <c r="C435" s="112" t="s">
        <v>449</v>
      </c>
      <c r="D435" s="113" t="s">
        <v>17</v>
      </c>
      <c r="E435" s="114" t="s">
        <v>15</v>
      </c>
      <c r="F435" s="115" t="s">
        <v>33</v>
      </c>
      <c r="G435" s="116">
        <v>15.92</v>
      </c>
      <c r="H435" s="126">
        <v>7.2</v>
      </c>
      <c r="I435" s="471">
        <v>20</v>
      </c>
      <c r="J435" s="117">
        <f t="shared" si="213"/>
        <v>2.2924799999999999</v>
      </c>
      <c r="K435" s="32"/>
      <c r="L435" s="468">
        <v>20</v>
      </c>
      <c r="M435" s="117">
        <f t="shared" si="214"/>
        <v>2.2924799999999999</v>
      </c>
      <c r="N435" s="119">
        <f t="shared" si="215"/>
        <v>0</v>
      </c>
      <c r="O435" s="120">
        <f t="shared" si="216"/>
        <v>0</v>
      </c>
      <c r="P435" s="111"/>
      <c r="Q435" s="111"/>
    </row>
    <row r="436" spans="1:17" ht="15.6">
      <c r="A436" s="110" t="s">
        <v>638</v>
      </c>
      <c r="B436" s="111" t="s">
        <v>505</v>
      </c>
      <c r="C436" s="112" t="s">
        <v>449</v>
      </c>
      <c r="D436" s="113" t="s">
        <v>17</v>
      </c>
      <c r="E436" s="114" t="s">
        <v>15</v>
      </c>
      <c r="F436" s="115" t="s">
        <v>33</v>
      </c>
      <c r="G436" s="116">
        <v>15.92</v>
      </c>
      <c r="H436" s="126">
        <v>11.9</v>
      </c>
      <c r="I436" s="471">
        <v>18</v>
      </c>
      <c r="J436" s="117">
        <f t="shared" si="213"/>
        <v>3.4100640000000002</v>
      </c>
      <c r="K436" s="32"/>
      <c r="L436" s="468">
        <v>18</v>
      </c>
      <c r="M436" s="117">
        <f t="shared" si="214"/>
        <v>3.4100640000000002</v>
      </c>
      <c r="N436" s="119">
        <f t="shared" si="215"/>
        <v>0</v>
      </c>
      <c r="O436" s="120">
        <f t="shared" si="216"/>
        <v>0</v>
      </c>
      <c r="P436" s="111"/>
      <c r="Q436" s="111"/>
    </row>
    <row r="437" spans="1:17" ht="15.6">
      <c r="A437" s="110" t="s">
        <v>638</v>
      </c>
      <c r="B437" s="111" t="s">
        <v>505</v>
      </c>
      <c r="C437" s="112" t="s">
        <v>449</v>
      </c>
      <c r="D437" s="113" t="s">
        <v>17</v>
      </c>
      <c r="E437" s="114" t="s">
        <v>15</v>
      </c>
      <c r="F437" s="115" t="s">
        <v>33</v>
      </c>
      <c r="G437" s="116">
        <v>15.92</v>
      </c>
      <c r="H437" s="126">
        <v>7.6</v>
      </c>
      <c r="I437" s="471">
        <v>24</v>
      </c>
      <c r="J437" s="117">
        <f t="shared" si="213"/>
        <v>2.9038080000000002</v>
      </c>
      <c r="K437" s="32"/>
      <c r="L437" s="468">
        <v>24</v>
      </c>
      <c r="M437" s="117">
        <f t="shared" si="214"/>
        <v>2.9038079999999997</v>
      </c>
      <c r="N437" s="119">
        <f t="shared" si="215"/>
        <v>0</v>
      </c>
      <c r="O437" s="120">
        <f t="shared" si="216"/>
        <v>0</v>
      </c>
      <c r="P437" s="111"/>
      <c r="Q437" s="111"/>
    </row>
    <row r="438" spans="1:17" ht="15.6">
      <c r="A438" s="110" t="s">
        <v>638</v>
      </c>
      <c r="B438" s="111" t="s">
        <v>505</v>
      </c>
      <c r="C438" s="112" t="s">
        <v>449</v>
      </c>
      <c r="D438" s="113" t="s">
        <v>17</v>
      </c>
      <c r="E438" s="114" t="s">
        <v>15</v>
      </c>
      <c r="F438" s="115" t="s">
        <v>33</v>
      </c>
      <c r="G438" s="116">
        <v>15.92</v>
      </c>
      <c r="H438" s="126">
        <v>11</v>
      </c>
      <c r="I438" s="471">
        <v>8</v>
      </c>
      <c r="J438" s="117">
        <f t="shared" si="213"/>
        <v>1.40096</v>
      </c>
      <c r="K438" s="32"/>
      <c r="L438" s="468">
        <v>8</v>
      </c>
      <c r="M438" s="117">
        <f t="shared" si="214"/>
        <v>1.40096</v>
      </c>
      <c r="N438" s="119">
        <f t="shared" si="215"/>
        <v>0</v>
      </c>
      <c r="O438" s="120">
        <f t="shared" si="216"/>
        <v>0</v>
      </c>
      <c r="P438" s="111"/>
      <c r="Q438" s="111"/>
    </row>
    <row r="439" spans="1:17" ht="15.6">
      <c r="A439" s="110" t="s">
        <v>638</v>
      </c>
      <c r="B439" s="111" t="s">
        <v>505</v>
      </c>
      <c r="C439" s="112" t="s">
        <v>449</v>
      </c>
      <c r="D439" s="113" t="s">
        <v>17</v>
      </c>
      <c r="E439" s="114" t="s">
        <v>15</v>
      </c>
      <c r="F439" s="115" t="s">
        <v>33</v>
      </c>
      <c r="G439" s="116">
        <v>15.92</v>
      </c>
      <c r="H439" s="126">
        <v>7.2</v>
      </c>
      <c r="I439" s="471">
        <v>16</v>
      </c>
      <c r="J439" s="117">
        <f t="shared" si="213"/>
        <v>1.8339839999999998</v>
      </c>
      <c r="K439" s="32"/>
      <c r="L439" s="468">
        <v>16</v>
      </c>
      <c r="M439" s="117">
        <f t="shared" si="214"/>
        <v>1.8339839999999998</v>
      </c>
      <c r="N439" s="119">
        <f t="shared" si="215"/>
        <v>0</v>
      </c>
      <c r="O439" s="120">
        <f t="shared" si="216"/>
        <v>0</v>
      </c>
      <c r="P439" s="111"/>
      <c r="Q439" s="111"/>
    </row>
    <row r="440" spans="1:17" ht="15.6">
      <c r="A440" s="110" t="s">
        <v>638</v>
      </c>
      <c r="B440" s="111" t="s">
        <v>505</v>
      </c>
      <c r="C440" s="112" t="s">
        <v>449</v>
      </c>
      <c r="D440" s="113" t="s">
        <v>17</v>
      </c>
      <c r="E440" s="114" t="s">
        <v>15</v>
      </c>
      <c r="F440" s="115" t="s">
        <v>33</v>
      </c>
      <c r="G440" s="116">
        <v>15.92</v>
      </c>
      <c r="H440" s="126">
        <v>6.6</v>
      </c>
      <c r="I440" s="471">
        <v>13</v>
      </c>
      <c r="J440" s="117">
        <f t="shared" si="213"/>
        <v>1.3659359999999998</v>
      </c>
      <c r="K440" s="32"/>
      <c r="L440" s="468">
        <v>13</v>
      </c>
      <c r="M440" s="117">
        <f t="shared" si="214"/>
        <v>1.3659359999999998</v>
      </c>
      <c r="N440" s="119">
        <f t="shared" si="215"/>
        <v>0</v>
      </c>
      <c r="O440" s="120">
        <f t="shared" si="216"/>
        <v>0</v>
      </c>
      <c r="P440" s="111"/>
      <c r="Q440" s="111"/>
    </row>
    <row r="441" spans="1:17" ht="15.6">
      <c r="A441" s="110" t="s">
        <v>638</v>
      </c>
      <c r="B441" s="111" t="s">
        <v>505</v>
      </c>
      <c r="C441" s="112" t="s">
        <v>449</v>
      </c>
      <c r="D441" s="113" t="s">
        <v>17</v>
      </c>
      <c r="E441" s="114" t="s">
        <v>15</v>
      </c>
      <c r="F441" s="115" t="s">
        <v>33</v>
      </c>
      <c r="G441" s="116">
        <v>15.92</v>
      </c>
      <c r="H441" s="126">
        <v>6.3</v>
      </c>
      <c r="I441" s="471">
        <v>16</v>
      </c>
      <c r="J441" s="117">
        <f t="shared" si="213"/>
        <v>1.6047359999999999</v>
      </c>
      <c r="K441" s="32"/>
      <c r="L441" s="468">
        <v>16</v>
      </c>
      <c r="M441" s="117">
        <f t="shared" si="214"/>
        <v>1.6047359999999999</v>
      </c>
      <c r="N441" s="119">
        <f t="shared" si="215"/>
        <v>0</v>
      </c>
      <c r="O441" s="120">
        <f t="shared" si="216"/>
        <v>0</v>
      </c>
      <c r="P441" s="111"/>
      <c r="Q441" s="111"/>
    </row>
    <row r="442" spans="1:17" ht="15.6">
      <c r="A442" s="110" t="s">
        <v>638</v>
      </c>
      <c r="B442" s="111" t="s">
        <v>505</v>
      </c>
      <c r="C442" s="112" t="s">
        <v>449</v>
      </c>
      <c r="D442" s="113" t="s">
        <v>17</v>
      </c>
      <c r="E442" s="114" t="s">
        <v>15</v>
      </c>
      <c r="F442" s="115" t="s">
        <v>33</v>
      </c>
      <c r="G442" s="116">
        <v>15.92</v>
      </c>
      <c r="H442" s="126">
        <v>11.9</v>
      </c>
      <c r="I442" s="471">
        <v>11</v>
      </c>
      <c r="J442" s="117">
        <f t="shared" si="213"/>
        <v>2.0839279999999998</v>
      </c>
      <c r="K442" s="32"/>
      <c r="L442" s="468">
        <v>11</v>
      </c>
      <c r="M442" s="117">
        <f t="shared" si="214"/>
        <v>2.0839279999999998</v>
      </c>
      <c r="N442" s="119">
        <f t="shared" si="215"/>
        <v>0</v>
      </c>
      <c r="O442" s="120">
        <f t="shared" si="216"/>
        <v>0</v>
      </c>
      <c r="P442" s="111"/>
      <c r="Q442" s="111"/>
    </row>
    <row r="443" spans="1:17" ht="15.6">
      <c r="A443" s="110" t="s">
        <v>638</v>
      </c>
      <c r="B443" s="111" t="s">
        <v>505</v>
      </c>
      <c r="C443" s="112" t="s">
        <v>449</v>
      </c>
      <c r="D443" s="113" t="s">
        <v>17</v>
      </c>
      <c r="E443" s="114" t="s">
        <v>15</v>
      </c>
      <c r="F443" s="115" t="s">
        <v>33</v>
      </c>
      <c r="G443" s="116">
        <v>15.92</v>
      </c>
      <c r="H443" s="126">
        <v>10.5</v>
      </c>
      <c r="I443" s="471">
        <v>1</v>
      </c>
      <c r="J443" s="117">
        <f t="shared" ref="J443:J444" si="217">H443*G443*I443/1000</f>
        <v>0.16716</v>
      </c>
      <c r="K443" s="32"/>
      <c r="L443" s="468"/>
      <c r="M443" s="117">
        <f t="shared" ref="M443:M444" si="218">H443*L443*G443/1000</f>
        <v>0</v>
      </c>
      <c r="N443" s="119">
        <f t="shared" ref="N443:N444" si="219">I443-L443</f>
        <v>1</v>
      </c>
      <c r="O443" s="120">
        <f t="shared" ref="O443:O444" si="220">H443*N443*G443/1000</f>
        <v>0.16716</v>
      </c>
      <c r="P443" s="111"/>
      <c r="Q443" s="111"/>
    </row>
    <row r="444" spans="1:17" ht="15.6">
      <c r="A444" s="110" t="s">
        <v>638</v>
      </c>
      <c r="B444" s="111" t="s">
        <v>505</v>
      </c>
      <c r="C444" s="112" t="s">
        <v>449</v>
      </c>
      <c r="D444" s="113" t="s">
        <v>17</v>
      </c>
      <c r="E444" s="114" t="s">
        <v>15</v>
      </c>
      <c r="F444" s="115" t="s">
        <v>33</v>
      </c>
      <c r="G444" s="116">
        <v>15.92</v>
      </c>
      <c r="H444" s="126">
        <v>11.9</v>
      </c>
      <c r="I444" s="471">
        <v>1</v>
      </c>
      <c r="J444" s="117">
        <f t="shared" si="217"/>
        <v>0.18944800000000001</v>
      </c>
      <c r="K444" s="32"/>
      <c r="L444" s="468"/>
      <c r="M444" s="117">
        <f t="shared" si="218"/>
        <v>0</v>
      </c>
      <c r="N444" s="119">
        <f t="shared" si="219"/>
        <v>1</v>
      </c>
      <c r="O444" s="120">
        <f t="shared" si="220"/>
        <v>0.18944800000000001</v>
      </c>
      <c r="P444" s="111"/>
      <c r="Q444" s="111"/>
    </row>
    <row r="445" spans="1:17">
      <c r="I445" s="215">
        <f>SUM(I411:I444)</f>
        <v>336</v>
      </c>
      <c r="J445" s="214">
        <f>SUM(J411:J444)</f>
        <v>44.024372</v>
      </c>
      <c r="L445" s="215">
        <f>SUM(L411:L444)</f>
        <v>332</v>
      </c>
      <c r="M445" s="214">
        <f>SUM(M411:M444)</f>
        <v>43.478316</v>
      </c>
      <c r="N445" s="215">
        <f>SUM(N411:N444)</f>
        <v>4</v>
      </c>
      <c r="O445" s="214">
        <f>SUM(O411:O444)</f>
        <v>0.5460560000000001</v>
      </c>
    </row>
    <row r="447" spans="1:17" ht="15.6">
      <c r="A447" s="110" t="s">
        <v>638</v>
      </c>
      <c r="B447" s="111" t="s">
        <v>505</v>
      </c>
      <c r="C447" s="112" t="s">
        <v>449</v>
      </c>
      <c r="D447" s="113" t="s">
        <v>17</v>
      </c>
      <c r="E447" s="114" t="s">
        <v>15</v>
      </c>
      <c r="F447" s="115" t="s">
        <v>49</v>
      </c>
      <c r="G447" s="116">
        <v>17.82</v>
      </c>
      <c r="H447" s="126">
        <v>11.8</v>
      </c>
      <c r="I447" s="471">
        <v>8</v>
      </c>
      <c r="J447" s="117">
        <f t="shared" ref="J447:J451" si="221">H447*G447*I447/1000</f>
        <v>1.6822080000000001</v>
      </c>
      <c r="K447" s="32"/>
      <c r="L447" s="468">
        <v>8</v>
      </c>
      <c r="M447" s="117">
        <f t="shared" ref="M447:M451" si="222">H447*L447*G447/1000</f>
        <v>1.6822080000000001</v>
      </c>
      <c r="N447" s="119">
        <f t="shared" ref="N447:N451" si="223">I447-L447</f>
        <v>0</v>
      </c>
      <c r="O447" s="120">
        <f t="shared" ref="O447:O451" si="224">H447*N447*G447/1000</f>
        <v>0</v>
      </c>
      <c r="P447" s="111"/>
      <c r="Q447" s="111"/>
    </row>
    <row r="448" spans="1:17" ht="15.6">
      <c r="A448" s="110" t="s">
        <v>638</v>
      </c>
      <c r="B448" s="111" t="s">
        <v>505</v>
      </c>
      <c r="C448" s="112" t="s">
        <v>449</v>
      </c>
      <c r="D448" s="113" t="s">
        <v>17</v>
      </c>
      <c r="E448" s="114" t="s">
        <v>15</v>
      </c>
      <c r="F448" s="115" t="s">
        <v>49</v>
      </c>
      <c r="G448" s="116">
        <v>17.82</v>
      </c>
      <c r="H448" s="126">
        <v>12</v>
      </c>
      <c r="I448" s="471">
        <v>14</v>
      </c>
      <c r="J448" s="117">
        <f t="shared" si="221"/>
        <v>2.9937600000000004</v>
      </c>
      <c r="K448" s="32"/>
      <c r="L448" s="468">
        <v>14</v>
      </c>
      <c r="M448" s="117">
        <f t="shared" si="222"/>
        <v>2.9937600000000004</v>
      </c>
      <c r="N448" s="119">
        <f t="shared" si="223"/>
        <v>0</v>
      </c>
      <c r="O448" s="120">
        <f t="shared" si="224"/>
        <v>0</v>
      </c>
      <c r="P448" s="111"/>
      <c r="Q448" s="111"/>
    </row>
    <row r="449" spans="1:17" ht="15.6">
      <c r="A449" s="110" t="s">
        <v>638</v>
      </c>
      <c r="B449" s="111" t="s">
        <v>505</v>
      </c>
      <c r="C449" s="112" t="s">
        <v>449</v>
      </c>
      <c r="D449" s="113" t="s">
        <v>17</v>
      </c>
      <c r="E449" s="114" t="s">
        <v>15</v>
      </c>
      <c r="F449" s="115" t="s">
        <v>49</v>
      </c>
      <c r="G449" s="116">
        <v>17.82</v>
      </c>
      <c r="H449" s="126">
        <v>12</v>
      </c>
      <c r="I449" s="471">
        <v>4</v>
      </c>
      <c r="J449" s="117">
        <f t="shared" si="221"/>
        <v>0.85536000000000001</v>
      </c>
      <c r="K449" s="32"/>
      <c r="L449" s="468">
        <v>4</v>
      </c>
      <c r="M449" s="117">
        <f t="shared" si="222"/>
        <v>0.85536000000000001</v>
      </c>
      <c r="N449" s="119">
        <f t="shared" si="223"/>
        <v>0</v>
      </c>
      <c r="O449" s="120">
        <f t="shared" si="224"/>
        <v>0</v>
      </c>
      <c r="P449" s="111"/>
      <c r="Q449" s="111"/>
    </row>
    <row r="450" spans="1:17" ht="15.6">
      <c r="A450" s="110" t="s">
        <v>638</v>
      </c>
      <c r="B450" s="111" t="s">
        <v>505</v>
      </c>
      <c r="C450" s="112" t="s">
        <v>449</v>
      </c>
      <c r="D450" s="113" t="s">
        <v>17</v>
      </c>
      <c r="E450" s="114" t="s">
        <v>15</v>
      </c>
      <c r="F450" s="115" t="s">
        <v>49</v>
      </c>
      <c r="G450" s="116">
        <v>17.82</v>
      </c>
      <c r="H450" s="126">
        <v>10</v>
      </c>
      <c r="I450" s="471">
        <v>1</v>
      </c>
      <c r="J450" s="117">
        <f t="shared" si="221"/>
        <v>0.1782</v>
      </c>
      <c r="K450" s="32"/>
      <c r="L450" s="468">
        <v>1</v>
      </c>
      <c r="M450" s="117">
        <f t="shared" si="222"/>
        <v>0.1782</v>
      </c>
      <c r="N450" s="119">
        <f t="shared" si="223"/>
        <v>0</v>
      </c>
      <c r="O450" s="120">
        <f t="shared" si="224"/>
        <v>0</v>
      </c>
      <c r="P450" s="111">
        <v>9.4</v>
      </c>
      <c r="Q450" s="111">
        <v>1</v>
      </c>
    </row>
    <row r="451" spans="1:17" ht="15.6">
      <c r="A451" s="110" t="s">
        <v>638</v>
      </c>
      <c r="B451" s="111" t="s">
        <v>505</v>
      </c>
      <c r="C451" s="112" t="s">
        <v>449</v>
      </c>
      <c r="D451" s="113" t="s">
        <v>17</v>
      </c>
      <c r="E451" s="114" t="s">
        <v>15</v>
      </c>
      <c r="F451" s="115" t="s">
        <v>49</v>
      </c>
      <c r="G451" s="116">
        <v>17.82</v>
      </c>
      <c r="H451" s="126">
        <v>11</v>
      </c>
      <c r="I451" s="471">
        <v>2</v>
      </c>
      <c r="J451" s="117">
        <f t="shared" si="221"/>
        <v>0.39204</v>
      </c>
      <c r="K451" s="32"/>
      <c r="L451" s="468"/>
      <c r="M451" s="117">
        <f t="shared" si="222"/>
        <v>0</v>
      </c>
      <c r="N451" s="119">
        <f t="shared" si="223"/>
        <v>2</v>
      </c>
      <c r="O451" s="120">
        <f t="shared" si="224"/>
        <v>0.39204</v>
      </c>
      <c r="P451" s="111"/>
      <c r="Q451" s="111"/>
    </row>
    <row r="452" spans="1:17" ht="15.6">
      <c r="A452" s="110" t="s">
        <v>638</v>
      </c>
      <c r="B452" s="111" t="s">
        <v>505</v>
      </c>
      <c r="C452" s="112" t="s">
        <v>449</v>
      </c>
      <c r="D452" s="113" t="s">
        <v>17</v>
      </c>
      <c r="E452" s="114" t="s">
        <v>15</v>
      </c>
      <c r="F452" s="115" t="s">
        <v>49</v>
      </c>
      <c r="G452" s="116">
        <v>17.82</v>
      </c>
      <c r="H452" s="126">
        <v>12</v>
      </c>
      <c r="I452" s="471">
        <v>3</v>
      </c>
      <c r="J452" s="117">
        <f t="shared" ref="J452:J453" si="225">H452*G452*I452/1000</f>
        <v>0.64151999999999998</v>
      </c>
      <c r="K452" s="32"/>
      <c r="L452" s="468"/>
      <c r="M452" s="117">
        <f t="shared" ref="M452:M453" si="226">H452*L452*G452/1000</f>
        <v>0</v>
      </c>
      <c r="N452" s="119">
        <f t="shared" ref="N452:N453" si="227">I452-L452</f>
        <v>3</v>
      </c>
      <c r="O452" s="120">
        <f t="shared" ref="O452:O453" si="228">H452*N452*G452/1000</f>
        <v>0.64151999999999998</v>
      </c>
      <c r="P452" s="111"/>
      <c r="Q452" s="111"/>
    </row>
    <row r="453" spans="1:17" ht="15.6">
      <c r="A453" s="110" t="s">
        <v>638</v>
      </c>
      <c r="B453" s="111" t="s">
        <v>505</v>
      </c>
      <c r="C453" s="112" t="s">
        <v>449</v>
      </c>
      <c r="D453" s="113" t="s">
        <v>17</v>
      </c>
      <c r="E453" s="114" t="s">
        <v>15</v>
      </c>
      <c r="F453" s="115" t="s">
        <v>49</v>
      </c>
      <c r="G453" s="116">
        <v>17.82</v>
      </c>
      <c r="H453" s="126">
        <v>9.4</v>
      </c>
      <c r="I453" s="471">
        <v>9</v>
      </c>
      <c r="J453" s="117">
        <f t="shared" si="225"/>
        <v>1.5075720000000001</v>
      </c>
      <c r="K453" s="32"/>
      <c r="L453" s="468">
        <v>9</v>
      </c>
      <c r="M453" s="117">
        <f t="shared" si="226"/>
        <v>1.5075720000000001</v>
      </c>
      <c r="N453" s="119">
        <f t="shared" si="227"/>
        <v>0</v>
      </c>
      <c r="O453" s="120">
        <f t="shared" si="228"/>
        <v>0</v>
      </c>
      <c r="P453" s="111"/>
      <c r="Q453" s="111"/>
    </row>
    <row r="454" spans="1:17" ht="15.6">
      <c r="A454" s="110" t="s">
        <v>638</v>
      </c>
      <c r="B454" s="111" t="s">
        <v>505</v>
      </c>
      <c r="C454" s="112" t="s">
        <v>449</v>
      </c>
      <c r="D454" s="113" t="s">
        <v>17</v>
      </c>
      <c r="E454" s="114" t="s">
        <v>15</v>
      </c>
      <c r="F454" s="115" t="s">
        <v>49</v>
      </c>
      <c r="G454" s="116">
        <v>17.82</v>
      </c>
      <c r="H454" s="126">
        <v>12</v>
      </c>
      <c r="I454" s="471">
        <v>18</v>
      </c>
      <c r="J454" s="117">
        <f t="shared" ref="J454:J458" si="229">H454*G454*I454/1000</f>
        <v>3.8491200000000001</v>
      </c>
      <c r="K454" s="32"/>
      <c r="L454" s="471">
        <v>18</v>
      </c>
      <c r="M454" s="117">
        <f t="shared" ref="M454:M458" si="230">H454*L454*G454/1000</f>
        <v>3.8491200000000001</v>
      </c>
      <c r="N454" s="119">
        <f t="shared" ref="N454:N458" si="231">I454-L454</f>
        <v>0</v>
      </c>
      <c r="O454" s="120">
        <f t="shared" ref="O454:O458" si="232">H454*N454*G454/1000</f>
        <v>0</v>
      </c>
      <c r="P454" s="111"/>
      <c r="Q454" s="111"/>
    </row>
    <row r="455" spans="1:17" ht="15.6">
      <c r="A455" s="110" t="s">
        <v>638</v>
      </c>
      <c r="B455" s="111" t="s">
        <v>505</v>
      </c>
      <c r="C455" s="112" t="s">
        <v>449</v>
      </c>
      <c r="D455" s="113" t="s">
        <v>17</v>
      </c>
      <c r="E455" s="114" t="s">
        <v>15</v>
      </c>
      <c r="F455" s="115" t="s">
        <v>49</v>
      </c>
      <c r="G455" s="116">
        <v>17.82</v>
      </c>
      <c r="H455" s="126">
        <v>12</v>
      </c>
      <c r="I455" s="471">
        <v>18</v>
      </c>
      <c r="J455" s="117">
        <f t="shared" si="229"/>
        <v>3.8491200000000001</v>
      </c>
      <c r="K455" s="32"/>
      <c r="L455" s="471">
        <v>18</v>
      </c>
      <c r="M455" s="117">
        <f t="shared" si="230"/>
        <v>3.8491200000000001</v>
      </c>
      <c r="N455" s="119">
        <f t="shared" si="231"/>
        <v>0</v>
      </c>
      <c r="O455" s="120">
        <f t="shared" si="232"/>
        <v>0</v>
      </c>
      <c r="P455" s="111"/>
      <c r="Q455" s="111"/>
    </row>
    <row r="456" spans="1:17" ht="15.6">
      <c r="A456" s="110" t="s">
        <v>638</v>
      </c>
      <c r="B456" s="111" t="s">
        <v>505</v>
      </c>
      <c r="C456" s="112" t="s">
        <v>449</v>
      </c>
      <c r="D456" s="113" t="s">
        <v>17</v>
      </c>
      <c r="E456" s="114" t="s">
        <v>15</v>
      </c>
      <c r="F456" s="115" t="s">
        <v>49</v>
      </c>
      <c r="G456" s="116">
        <v>17.82</v>
      </c>
      <c r="H456" s="126">
        <v>12</v>
      </c>
      <c r="I456" s="471">
        <v>15</v>
      </c>
      <c r="J456" s="117">
        <f t="shared" si="229"/>
        <v>3.2075999999999998</v>
      </c>
      <c r="K456" s="32"/>
      <c r="L456" s="471">
        <v>15</v>
      </c>
      <c r="M456" s="117">
        <f t="shared" si="230"/>
        <v>3.2075999999999998</v>
      </c>
      <c r="N456" s="119">
        <f t="shared" si="231"/>
        <v>0</v>
      </c>
      <c r="O456" s="120">
        <f t="shared" si="232"/>
        <v>0</v>
      </c>
      <c r="P456" s="111"/>
      <c r="Q456" s="111"/>
    </row>
    <row r="457" spans="1:17" ht="15.6">
      <c r="A457" s="110" t="s">
        <v>638</v>
      </c>
      <c r="B457" s="111" t="s">
        <v>505</v>
      </c>
      <c r="C457" s="112" t="s">
        <v>449</v>
      </c>
      <c r="D457" s="113" t="s">
        <v>17</v>
      </c>
      <c r="E457" s="114" t="s">
        <v>15</v>
      </c>
      <c r="F457" s="115" t="s">
        <v>49</v>
      </c>
      <c r="G457" s="116">
        <v>17.82</v>
      </c>
      <c r="H457" s="126">
        <v>12</v>
      </c>
      <c r="I457" s="471">
        <v>15</v>
      </c>
      <c r="J457" s="117">
        <f t="shared" si="229"/>
        <v>3.2075999999999998</v>
      </c>
      <c r="K457" s="32"/>
      <c r="L457" s="471">
        <v>15</v>
      </c>
      <c r="M457" s="117">
        <f t="shared" si="230"/>
        <v>3.2075999999999998</v>
      </c>
      <c r="N457" s="119">
        <f t="shared" si="231"/>
        <v>0</v>
      </c>
      <c r="O457" s="120">
        <f t="shared" si="232"/>
        <v>0</v>
      </c>
      <c r="P457" s="111"/>
      <c r="Q457" s="111"/>
    </row>
    <row r="458" spans="1:17" ht="15.6">
      <c r="A458" s="110" t="s">
        <v>638</v>
      </c>
      <c r="B458" s="111" t="s">
        <v>505</v>
      </c>
      <c r="C458" s="112" t="s">
        <v>449</v>
      </c>
      <c r="D458" s="113" t="s">
        <v>17</v>
      </c>
      <c r="E458" s="114" t="s">
        <v>15</v>
      </c>
      <c r="F458" s="115" t="s">
        <v>49</v>
      </c>
      <c r="G458" s="116">
        <v>17.82</v>
      </c>
      <c r="H458" s="126">
        <v>10</v>
      </c>
      <c r="I458" s="471">
        <v>16</v>
      </c>
      <c r="J458" s="117">
        <f t="shared" si="229"/>
        <v>2.8512</v>
      </c>
      <c r="K458" s="32"/>
      <c r="L458" s="468">
        <v>16</v>
      </c>
      <c r="M458" s="117">
        <f t="shared" si="230"/>
        <v>2.8512</v>
      </c>
      <c r="N458" s="119">
        <f t="shared" si="231"/>
        <v>0</v>
      </c>
      <c r="O458" s="120">
        <f t="shared" si="232"/>
        <v>0</v>
      </c>
      <c r="P458" s="111"/>
      <c r="Q458" s="111"/>
    </row>
    <row r="459" spans="1:17">
      <c r="I459" s="215">
        <f>SUM(I447:I458)</f>
        <v>123</v>
      </c>
      <c r="J459" s="214">
        <f>SUM(J447:J458)</f>
        <v>25.215299999999999</v>
      </c>
      <c r="L459" s="215">
        <f>SUM(L447:L458)</f>
        <v>118</v>
      </c>
      <c r="M459" s="214">
        <f>SUM(M447:M458)</f>
        <v>24.181739999999998</v>
      </c>
      <c r="N459" s="215">
        <f>SUM(N447:N458)</f>
        <v>5</v>
      </c>
      <c r="O459" s="214">
        <f>SUM(O447:O458)</f>
        <v>1.03356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S128"/>
  <sheetViews>
    <sheetView topLeftCell="A97" workbookViewId="0">
      <selection activeCell="S111" sqref="S111"/>
    </sheetView>
  </sheetViews>
  <sheetFormatPr defaultColWidth="9.109375" defaultRowHeight="14.4"/>
  <cols>
    <col min="1" max="2" width="9.109375" style="213"/>
    <col min="3" max="3" width="11.33203125" style="213" bestFit="1" customWidth="1"/>
    <col min="4" max="4" width="15" style="213" customWidth="1"/>
    <col min="5" max="5" width="4.109375" style="213" bestFit="1" customWidth="1"/>
    <col min="6" max="6" width="7.88671875" style="213" bestFit="1" customWidth="1"/>
    <col min="7" max="7" width="8.6640625" style="213" bestFit="1" customWidth="1"/>
    <col min="8" max="8" width="9.109375" style="213"/>
    <col min="9" max="9" width="5" style="213" bestFit="1" customWidth="1"/>
    <col min="10" max="10" width="7.5546875" style="213" bestFit="1" customWidth="1"/>
    <col min="11" max="11" width="8.6640625" style="213" bestFit="1" customWidth="1"/>
    <col min="12" max="12" width="5" style="213" bestFit="1" customWidth="1"/>
    <col min="13" max="13" width="6.5546875" style="213" bestFit="1" customWidth="1"/>
    <col min="14" max="14" width="5" style="213" bestFit="1" customWidth="1"/>
    <col min="15" max="15" width="6.33203125" style="213" bestFit="1" customWidth="1"/>
    <col min="16" max="16" width="12.88671875" style="213" bestFit="1" customWidth="1"/>
    <col min="17" max="19" width="9.109375" style="213"/>
    <col min="20" max="20" width="13.109375" style="213" customWidth="1"/>
    <col min="21" max="16384" width="9.109375" style="213"/>
  </cols>
  <sheetData>
    <row r="2" spans="1:19" ht="26.4">
      <c r="A2" s="121" t="s">
        <v>229</v>
      </c>
      <c r="B2" s="122" t="s">
        <v>230</v>
      </c>
      <c r="C2" s="122" t="s">
        <v>0</v>
      </c>
      <c r="D2" s="122" t="s">
        <v>1</v>
      </c>
      <c r="E2" s="122" t="s">
        <v>2</v>
      </c>
      <c r="F2" s="122" t="s">
        <v>3</v>
      </c>
      <c r="G2" s="122" t="s">
        <v>10</v>
      </c>
      <c r="H2" s="122" t="s">
        <v>4</v>
      </c>
      <c r="I2" s="122" t="s">
        <v>5</v>
      </c>
      <c r="J2" s="122" t="s">
        <v>6</v>
      </c>
      <c r="K2" s="122" t="s">
        <v>7</v>
      </c>
      <c r="L2" s="122" t="s">
        <v>5</v>
      </c>
      <c r="M2" s="122" t="s">
        <v>6</v>
      </c>
      <c r="N2" s="122" t="s">
        <v>5</v>
      </c>
      <c r="O2" s="122" t="s">
        <v>6</v>
      </c>
      <c r="P2" s="122" t="s">
        <v>8</v>
      </c>
      <c r="Q2" s="32"/>
    </row>
    <row r="3" spans="1:19">
      <c r="A3" s="110" t="s">
        <v>744</v>
      </c>
      <c r="B3" s="488" t="s">
        <v>239</v>
      </c>
      <c r="C3" s="112" t="s">
        <v>228</v>
      </c>
      <c r="D3" s="113" t="s">
        <v>745</v>
      </c>
      <c r="E3" s="489" t="s">
        <v>15</v>
      </c>
      <c r="F3" s="489" t="s">
        <v>149</v>
      </c>
      <c r="G3" s="490">
        <v>6.38</v>
      </c>
      <c r="H3" s="491">
        <v>10</v>
      </c>
      <c r="I3" s="492">
        <f>44+34+46</f>
        <v>124</v>
      </c>
      <c r="J3" s="117">
        <f>H3*G3*I3/1000</f>
        <v>7.9112</v>
      </c>
      <c r="K3" s="118"/>
      <c r="L3" s="488">
        <v>124</v>
      </c>
      <c r="M3" s="117">
        <f t="shared" ref="M3" si="0">H3*L3*G3/1000</f>
        <v>7.9112</v>
      </c>
      <c r="N3" s="119">
        <f t="shared" ref="N3" si="1">I3-L3</f>
        <v>0</v>
      </c>
      <c r="O3" s="120">
        <f t="shared" ref="O3" si="2">H3*N3*G3/1000</f>
        <v>0</v>
      </c>
      <c r="P3" s="488"/>
      <c r="Q3" s="493"/>
    </row>
    <row r="4" spans="1:19">
      <c r="A4" s="110" t="s">
        <v>744</v>
      </c>
      <c r="B4" s="488" t="s">
        <v>239</v>
      </c>
      <c r="C4" s="112" t="s">
        <v>228</v>
      </c>
      <c r="D4" s="113" t="s">
        <v>745</v>
      </c>
      <c r="E4" s="489" t="s">
        <v>15</v>
      </c>
      <c r="F4" s="489" t="s">
        <v>149</v>
      </c>
      <c r="G4" s="490">
        <v>6.38</v>
      </c>
      <c r="H4" s="491">
        <v>10.5</v>
      </c>
      <c r="I4" s="492">
        <f>42+24+42+39+45+45+1</f>
        <v>238</v>
      </c>
      <c r="J4" s="117">
        <f t="shared" ref="J4:J19" si="3">H4*G4*I4/1000</f>
        <v>15.943619999999999</v>
      </c>
      <c r="K4" s="118"/>
      <c r="L4" s="488">
        <v>238</v>
      </c>
      <c r="M4" s="117">
        <f t="shared" ref="M4:M19" si="4">H4*L4*G4/1000</f>
        <v>15.943619999999999</v>
      </c>
      <c r="N4" s="119">
        <f t="shared" ref="N4:N19" si="5">I4-L4</f>
        <v>0</v>
      </c>
      <c r="O4" s="120">
        <f t="shared" ref="O4:O17" si="6">H4*N4*G4/1000</f>
        <v>0</v>
      </c>
      <c r="P4" s="488"/>
      <c r="Q4" s="493"/>
    </row>
    <row r="5" spans="1:19">
      <c r="A5" s="110" t="s">
        <v>744</v>
      </c>
      <c r="B5" s="488" t="s">
        <v>239</v>
      </c>
      <c r="C5" s="112" t="s">
        <v>228</v>
      </c>
      <c r="D5" s="113" t="s">
        <v>745</v>
      </c>
      <c r="E5" s="489" t="s">
        <v>15</v>
      </c>
      <c r="F5" s="489" t="s">
        <v>149</v>
      </c>
      <c r="G5" s="490">
        <v>6.38</v>
      </c>
      <c r="H5" s="491">
        <v>11</v>
      </c>
      <c r="I5" s="492">
        <f>42+42+42+23+45+45+45+13</f>
        <v>297</v>
      </c>
      <c r="J5" s="117">
        <f t="shared" si="3"/>
        <v>20.84346</v>
      </c>
      <c r="K5" s="118"/>
      <c r="L5" s="488">
        <f>259+38</f>
        <v>297</v>
      </c>
      <c r="M5" s="117">
        <f t="shared" si="4"/>
        <v>20.84346</v>
      </c>
      <c r="N5" s="119">
        <f t="shared" si="5"/>
        <v>0</v>
      </c>
      <c r="O5" s="120">
        <f t="shared" si="6"/>
        <v>0</v>
      </c>
      <c r="P5" s="488"/>
      <c r="Q5" s="493"/>
    </row>
    <row r="6" spans="1:19">
      <c r="A6" s="110" t="s">
        <v>744</v>
      </c>
      <c r="B6" s="488" t="s">
        <v>239</v>
      </c>
      <c r="C6" s="112" t="s">
        <v>228</v>
      </c>
      <c r="D6" s="113" t="s">
        <v>745</v>
      </c>
      <c r="E6" s="489" t="s">
        <v>15</v>
      </c>
      <c r="F6" s="489" t="s">
        <v>149</v>
      </c>
      <c r="G6" s="490">
        <v>6.38</v>
      </c>
      <c r="H6" s="491">
        <v>11.5</v>
      </c>
      <c r="I6" s="492">
        <f>29+2+14</f>
        <v>45</v>
      </c>
      <c r="J6" s="117">
        <f t="shared" si="3"/>
        <v>3.30165</v>
      </c>
      <c r="K6" s="118"/>
      <c r="L6" s="488">
        <v>45</v>
      </c>
      <c r="M6" s="117">
        <f t="shared" si="4"/>
        <v>3.30165</v>
      </c>
      <c r="N6" s="119">
        <f t="shared" si="5"/>
        <v>0</v>
      </c>
      <c r="O6" s="120">
        <f t="shared" si="6"/>
        <v>0</v>
      </c>
      <c r="P6" s="488"/>
      <c r="Q6" s="493"/>
    </row>
    <row r="7" spans="1:19">
      <c r="A7" s="110" t="s">
        <v>744</v>
      </c>
      <c r="B7" s="488" t="s">
        <v>239</v>
      </c>
      <c r="C7" s="112" t="s">
        <v>228</v>
      </c>
      <c r="D7" s="113" t="s">
        <v>745</v>
      </c>
      <c r="E7" s="489" t="s">
        <v>15</v>
      </c>
      <c r="F7" s="489" t="s">
        <v>149</v>
      </c>
      <c r="G7" s="490">
        <v>6.38</v>
      </c>
      <c r="H7" s="491">
        <v>12</v>
      </c>
      <c r="I7" s="492">
        <f>39+40+40+40+20+26+45+45+45+45</f>
        <v>385</v>
      </c>
      <c r="J7" s="117">
        <f t="shared" si="3"/>
        <v>29.475600000000004</v>
      </c>
      <c r="K7" s="118"/>
      <c r="L7" s="488">
        <f>364+21</f>
        <v>385</v>
      </c>
      <c r="M7" s="117">
        <f t="shared" si="4"/>
        <v>29.4756</v>
      </c>
      <c r="N7" s="119">
        <f t="shared" si="5"/>
        <v>0</v>
      </c>
      <c r="O7" s="120">
        <f t="shared" si="6"/>
        <v>0</v>
      </c>
      <c r="P7" s="488"/>
      <c r="Q7" s="493"/>
    </row>
    <row r="8" spans="1:19">
      <c r="A8" s="110" t="s">
        <v>744</v>
      </c>
      <c r="B8" s="488" t="s">
        <v>239</v>
      </c>
      <c r="C8" s="112" t="s">
        <v>228</v>
      </c>
      <c r="D8" s="113" t="s">
        <v>745</v>
      </c>
      <c r="E8" s="489" t="s">
        <v>15</v>
      </c>
      <c r="F8" s="489" t="s">
        <v>149</v>
      </c>
      <c r="G8" s="490">
        <v>6.38</v>
      </c>
      <c r="H8" s="491">
        <v>9.5</v>
      </c>
      <c r="I8" s="492">
        <v>1</v>
      </c>
      <c r="J8" s="117">
        <f t="shared" si="3"/>
        <v>6.0609999999999997E-2</v>
      </c>
      <c r="K8" s="118"/>
      <c r="L8" s="488"/>
      <c r="M8" s="117">
        <f t="shared" si="4"/>
        <v>0</v>
      </c>
      <c r="N8" s="119">
        <f t="shared" si="5"/>
        <v>1</v>
      </c>
      <c r="O8" s="120">
        <f t="shared" si="6"/>
        <v>6.0609999999999997E-2</v>
      </c>
      <c r="P8" s="488"/>
      <c r="Q8" s="493"/>
    </row>
    <row r="9" spans="1:19">
      <c r="A9" s="110" t="s">
        <v>744</v>
      </c>
      <c r="B9" s="488" t="s">
        <v>239</v>
      </c>
      <c r="C9" s="112" t="s">
        <v>228</v>
      </c>
      <c r="D9" s="113" t="s">
        <v>745</v>
      </c>
      <c r="E9" s="489" t="s">
        <v>15</v>
      </c>
      <c r="F9" s="489" t="s">
        <v>149</v>
      </c>
      <c r="G9" s="490">
        <v>6.38</v>
      </c>
      <c r="H9" s="491">
        <v>9.75</v>
      </c>
      <c r="I9" s="492">
        <v>1</v>
      </c>
      <c r="J9" s="117">
        <f t="shared" si="3"/>
        <v>6.2204999999999996E-2</v>
      </c>
      <c r="K9" s="118"/>
      <c r="L9" s="488"/>
      <c r="M9" s="117">
        <f t="shared" si="4"/>
        <v>0</v>
      </c>
      <c r="N9" s="119">
        <f t="shared" si="5"/>
        <v>1</v>
      </c>
      <c r="O9" s="120">
        <f t="shared" si="6"/>
        <v>6.2204999999999996E-2</v>
      </c>
      <c r="P9" s="488"/>
      <c r="Q9" s="493"/>
    </row>
    <row r="10" spans="1:19">
      <c r="A10" s="110" t="s">
        <v>744</v>
      </c>
      <c r="B10" s="488" t="s">
        <v>239</v>
      </c>
      <c r="C10" s="112" t="s">
        <v>228</v>
      </c>
      <c r="D10" s="113" t="s">
        <v>745</v>
      </c>
      <c r="E10" s="489" t="s">
        <v>15</v>
      </c>
      <c r="F10" s="489" t="s">
        <v>149</v>
      </c>
      <c r="G10" s="490">
        <v>6.38</v>
      </c>
      <c r="H10" s="491">
        <v>9.8000000000000007</v>
      </c>
      <c r="I10" s="492">
        <v>7</v>
      </c>
      <c r="J10" s="117">
        <f t="shared" si="3"/>
        <v>0.437668</v>
      </c>
      <c r="K10" s="118"/>
      <c r="L10" s="488"/>
      <c r="M10" s="117">
        <f t="shared" si="4"/>
        <v>0</v>
      </c>
      <c r="N10" s="119">
        <f t="shared" si="5"/>
        <v>7</v>
      </c>
      <c r="O10" s="120">
        <f t="shared" si="6"/>
        <v>0.43766800000000006</v>
      </c>
      <c r="P10" s="488"/>
      <c r="Q10" s="493"/>
    </row>
    <row r="11" spans="1:19">
      <c r="A11" s="110" t="s">
        <v>744</v>
      </c>
      <c r="B11" s="488" t="s">
        <v>239</v>
      </c>
      <c r="C11" s="112" t="s">
        <v>228</v>
      </c>
      <c r="D11" s="113" t="s">
        <v>745</v>
      </c>
      <c r="E11" s="489" t="s">
        <v>15</v>
      </c>
      <c r="F11" s="489" t="s">
        <v>149</v>
      </c>
      <c r="G11" s="490">
        <v>6.38</v>
      </c>
      <c r="H11" s="491">
        <v>12</v>
      </c>
      <c r="I11" s="492">
        <f>15+15</f>
        <v>30</v>
      </c>
      <c r="J11" s="117">
        <f t="shared" si="3"/>
        <v>2.2968000000000002</v>
      </c>
      <c r="K11" s="118"/>
      <c r="L11" s="488">
        <v>30</v>
      </c>
      <c r="M11" s="117">
        <f t="shared" si="4"/>
        <v>2.2968000000000002</v>
      </c>
      <c r="N11" s="119">
        <f t="shared" si="5"/>
        <v>0</v>
      </c>
      <c r="O11" s="120">
        <f t="shared" si="6"/>
        <v>0</v>
      </c>
      <c r="P11" s="488"/>
      <c r="Q11" s="493"/>
      <c r="S11" s="29"/>
    </row>
    <row r="12" spans="1:19">
      <c r="A12" s="110" t="s">
        <v>744</v>
      </c>
      <c r="B12" s="488" t="s">
        <v>239</v>
      </c>
      <c r="C12" s="112" t="s">
        <v>228</v>
      </c>
      <c r="D12" s="113" t="s">
        <v>745</v>
      </c>
      <c r="E12" s="489" t="s">
        <v>15</v>
      </c>
      <c r="F12" s="489" t="s">
        <v>149</v>
      </c>
      <c r="G12" s="490">
        <v>6.38</v>
      </c>
      <c r="H12" s="491">
        <v>12</v>
      </c>
      <c r="I12" s="492">
        <v>15</v>
      </c>
      <c r="J12" s="117">
        <f t="shared" si="3"/>
        <v>1.1484000000000001</v>
      </c>
      <c r="K12" s="118"/>
      <c r="L12" s="488">
        <v>15</v>
      </c>
      <c r="M12" s="117">
        <f t="shared" si="4"/>
        <v>1.1484000000000001</v>
      </c>
      <c r="N12" s="119">
        <f t="shared" si="5"/>
        <v>0</v>
      </c>
      <c r="O12" s="120">
        <f t="shared" si="6"/>
        <v>0</v>
      </c>
      <c r="P12" s="488"/>
      <c r="Q12" s="493"/>
      <c r="S12" s="29"/>
    </row>
    <row r="13" spans="1:19">
      <c r="A13" s="110" t="s">
        <v>744</v>
      </c>
      <c r="B13" s="488" t="s">
        <v>239</v>
      </c>
      <c r="C13" s="112" t="s">
        <v>228</v>
      </c>
      <c r="D13" s="113" t="s">
        <v>745</v>
      </c>
      <c r="E13" s="489" t="s">
        <v>15</v>
      </c>
      <c r="F13" s="489" t="s">
        <v>149</v>
      </c>
      <c r="G13" s="490">
        <v>6.38</v>
      </c>
      <c r="H13" s="491">
        <v>10</v>
      </c>
      <c r="I13" s="492">
        <v>15</v>
      </c>
      <c r="J13" s="117">
        <f t="shared" si="3"/>
        <v>0.95699999999999996</v>
      </c>
      <c r="K13" s="118"/>
      <c r="L13" s="488">
        <v>15</v>
      </c>
      <c r="M13" s="117">
        <f t="shared" si="4"/>
        <v>0.95699999999999996</v>
      </c>
      <c r="N13" s="119">
        <f t="shared" si="5"/>
        <v>0</v>
      </c>
      <c r="O13" s="120">
        <f t="shared" si="6"/>
        <v>0</v>
      </c>
      <c r="P13" s="488"/>
      <c r="Q13" s="493"/>
      <c r="S13" s="29"/>
    </row>
    <row r="14" spans="1:19">
      <c r="A14" s="110" t="s">
        <v>744</v>
      </c>
      <c r="B14" s="488" t="s">
        <v>239</v>
      </c>
      <c r="C14" s="112" t="s">
        <v>228</v>
      </c>
      <c r="D14" s="113" t="s">
        <v>745</v>
      </c>
      <c r="E14" s="489" t="s">
        <v>15</v>
      </c>
      <c r="F14" s="489" t="s">
        <v>149</v>
      </c>
      <c r="G14" s="490">
        <v>6.38</v>
      </c>
      <c r="H14" s="491">
        <v>12</v>
      </c>
      <c r="I14" s="492">
        <v>15</v>
      </c>
      <c r="J14" s="117">
        <f t="shared" si="3"/>
        <v>1.1484000000000001</v>
      </c>
      <c r="K14" s="118"/>
      <c r="L14" s="488">
        <v>15</v>
      </c>
      <c r="M14" s="117">
        <f t="shared" si="4"/>
        <v>1.1484000000000001</v>
      </c>
      <c r="N14" s="119">
        <f t="shared" si="5"/>
        <v>0</v>
      </c>
      <c r="O14" s="120">
        <f t="shared" si="6"/>
        <v>0</v>
      </c>
      <c r="P14" s="488"/>
      <c r="Q14" s="493"/>
      <c r="S14" s="29"/>
    </row>
    <row r="15" spans="1:19">
      <c r="A15" s="110" t="s">
        <v>744</v>
      </c>
      <c r="B15" s="488" t="s">
        <v>239</v>
      </c>
      <c r="C15" s="112" t="s">
        <v>228</v>
      </c>
      <c r="D15" s="113" t="s">
        <v>745</v>
      </c>
      <c r="E15" s="489" t="s">
        <v>15</v>
      </c>
      <c r="F15" s="489" t="s">
        <v>149</v>
      </c>
      <c r="G15" s="490">
        <v>6.38</v>
      </c>
      <c r="H15" s="491">
        <v>11</v>
      </c>
      <c r="I15" s="492">
        <v>2</v>
      </c>
      <c r="J15" s="117">
        <f t="shared" si="3"/>
        <v>0.14035999999999998</v>
      </c>
      <c r="K15" s="118"/>
      <c r="L15" s="488">
        <v>2</v>
      </c>
      <c r="M15" s="117">
        <f t="shared" si="4"/>
        <v>0.14035999999999998</v>
      </c>
      <c r="N15" s="119">
        <f t="shared" si="5"/>
        <v>0</v>
      </c>
      <c r="O15" s="120">
        <f t="shared" si="6"/>
        <v>0</v>
      </c>
      <c r="P15" s="488"/>
      <c r="Q15" s="493"/>
      <c r="S15" s="29"/>
    </row>
    <row r="16" spans="1:19">
      <c r="A16" s="110" t="s">
        <v>744</v>
      </c>
      <c r="B16" s="488" t="s">
        <v>239</v>
      </c>
      <c r="C16" s="112" t="s">
        <v>228</v>
      </c>
      <c r="D16" s="113" t="s">
        <v>745</v>
      </c>
      <c r="E16" s="489" t="s">
        <v>15</v>
      </c>
      <c r="F16" s="489" t="s">
        <v>149</v>
      </c>
      <c r="G16" s="490">
        <v>6.38</v>
      </c>
      <c r="H16" s="491">
        <v>11.5</v>
      </c>
      <c r="I16" s="492">
        <v>1</v>
      </c>
      <c r="J16" s="117">
        <f t="shared" si="3"/>
        <v>7.3370000000000005E-2</v>
      </c>
      <c r="K16" s="118"/>
      <c r="L16" s="488">
        <v>1</v>
      </c>
      <c r="M16" s="117">
        <f t="shared" si="4"/>
        <v>7.3370000000000005E-2</v>
      </c>
      <c r="N16" s="119">
        <f t="shared" si="5"/>
        <v>0</v>
      </c>
      <c r="O16" s="120">
        <f t="shared" si="6"/>
        <v>0</v>
      </c>
      <c r="P16" s="488"/>
      <c r="Q16" s="493"/>
      <c r="S16" s="29"/>
    </row>
    <row r="17" spans="1:19">
      <c r="A17" s="110" t="s">
        <v>744</v>
      </c>
      <c r="B17" s="488" t="s">
        <v>239</v>
      </c>
      <c r="C17" s="112" t="s">
        <v>228</v>
      </c>
      <c r="D17" s="113" t="s">
        <v>745</v>
      </c>
      <c r="E17" s="489" t="s">
        <v>15</v>
      </c>
      <c r="F17" s="489" t="s">
        <v>149</v>
      </c>
      <c r="G17" s="490">
        <v>6.38</v>
      </c>
      <c r="H17" s="491">
        <v>12</v>
      </c>
      <c r="I17" s="492">
        <v>14</v>
      </c>
      <c r="J17" s="117">
        <f t="shared" si="3"/>
        <v>1.0718400000000001</v>
      </c>
      <c r="K17" s="118"/>
      <c r="L17" s="488">
        <v>14</v>
      </c>
      <c r="M17" s="117">
        <f t="shared" si="4"/>
        <v>1.0718399999999999</v>
      </c>
      <c r="N17" s="119">
        <f t="shared" si="5"/>
        <v>0</v>
      </c>
      <c r="O17" s="120">
        <f t="shared" si="6"/>
        <v>0</v>
      </c>
      <c r="P17" s="488"/>
      <c r="Q17" s="493"/>
      <c r="S17" s="29"/>
    </row>
    <row r="18" spans="1:19">
      <c r="A18" s="110" t="s">
        <v>744</v>
      </c>
      <c r="B18" s="488" t="s">
        <v>239</v>
      </c>
      <c r="C18" s="112" t="s">
        <v>228</v>
      </c>
      <c r="D18" s="113" t="s">
        <v>745</v>
      </c>
      <c r="E18" s="489" t="s">
        <v>15</v>
      </c>
      <c r="F18" s="489" t="s">
        <v>149</v>
      </c>
      <c r="G18" s="490">
        <v>6.38</v>
      </c>
      <c r="H18" s="491">
        <v>9.5</v>
      </c>
      <c r="I18" s="492">
        <v>4</v>
      </c>
      <c r="J18" s="117">
        <f t="shared" si="3"/>
        <v>0.24243999999999999</v>
      </c>
      <c r="K18" s="118"/>
      <c r="L18" s="488">
        <v>4</v>
      </c>
      <c r="M18" s="117">
        <f t="shared" si="4"/>
        <v>0.24243999999999999</v>
      </c>
      <c r="N18" s="119">
        <f t="shared" si="5"/>
        <v>0</v>
      </c>
      <c r="O18" s="120">
        <f>H18*N18*G18/1000</f>
        <v>0</v>
      </c>
      <c r="P18" s="488"/>
      <c r="Q18" s="493"/>
    </row>
    <row r="19" spans="1:19">
      <c r="A19" s="110" t="s">
        <v>744</v>
      </c>
      <c r="B19" s="488" t="s">
        <v>239</v>
      </c>
      <c r="C19" s="112" t="s">
        <v>228</v>
      </c>
      <c r="D19" s="113" t="s">
        <v>745</v>
      </c>
      <c r="E19" s="489" t="s">
        <v>15</v>
      </c>
      <c r="F19" s="489" t="s">
        <v>149</v>
      </c>
      <c r="G19" s="490">
        <v>6.38</v>
      </c>
      <c r="H19" s="491">
        <v>10.4</v>
      </c>
      <c r="I19" s="492">
        <v>1</v>
      </c>
      <c r="J19" s="117">
        <f t="shared" si="3"/>
        <v>6.6352000000000008E-2</v>
      </c>
      <c r="K19" s="118"/>
      <c r="L19" s="488">
        <v>1</v>
      </c>
      <c r="M19" s="117">
        <f t="shared" si="4"/>
        <v>6.6352000000000008E-2</v>
      </c>
      <c r="N19" s="119">
        <f t="shared" si="5"/>
        <v>0</v>
      </c>
      <c r="O19" s="120">
        <f>H19*N19*G19/1000</f>
        <v>0</v>
      </c>
      <c r="P19" s="488"/>
      <c r="Q19" s="493"/>
    </row>
    <row r="20" spans="1:19">
      <c r="A20" s="110" t="s">
        <v>744</v>
      </c>
      <c r="B20" s="32"/>
      <c r="C20" s="32"/>
      <c r="D20" s="113" t="s">
        <v>745</v>
      </c>
      <c r="E20" s="489" t="s">
        <v>15</v>
      </c>
      <c r="F20" s="489" t="s">
        <v>149</v>
      </c>
      <c r="G20" s="32"/>
      <c r="H20" s="32"/>
      <c r="I20" s="129">
        <f>SUM(I3:I19)</f>
        <v>1195</v>
      </c>
      <c r="J20" s="124">
        <f>SUM(J3:J19)</f>
        <v>85.180974999999989</v>
      </c>
      <c r="K20" s="32"/>
      <c r="L20" s="129">
        <f>SUM(L3:L19)</f>
        <v>1186</v>
      </c>
      <c r="M20" s="124">
        <f>SUM(M3:M19)</f>
        <v>84.62049199999997</v>
      </c>
      <c r="N20" s="131">
        <f>SUM(N3:N19)</f>
        <v>9</v>
      </c>
      <c r="O20" s="124">
        <f>SUM(O3:O19)</f>
        <v>0.56048300000000006</v>
      </c>
      <c r="P20" s="32"/>
      <c r="Q20" s="131"/>
    </row>
    <row r="21" spans="1:19">
      <c r="A21" s="110" t="s">
        <v>744</v>
      </c>
      <c r="B21" s="488" t="s">
        <v>747</v>
      </c>
      <c r="C21" s="112" t="s">
        <v>228</v>
      </c>
      <c r="D21" s="113" t="s">
        <v>746</v>
      </c>
      <c r="E21" s="489" t="s">
        <v>15</v>
      </c>
      <c r="F21" s="489" t="s">
        <v>149</v>
      </c>
      <c r="G21" s="490">
        <v>6.38</v>
      </c>
      <c r="H21" s="491">
        <v>10</v>
      </c>
      <c r="I21" s="492">
        <v>3</v>
      </c>
      <c r="J21" s="117">
        <f t="shared" ref="J21" si="7">H21*G21*I21/1000</f>
        <v>0.19139999999999999</v>
      </c>
      <c r="K21" s="118"/>
      <c r="L21" s="488">
        <v>3</v>
      </c>
      <c r="M21" s="117">
        <f t="shared" ref="M21" si="8">H21*L21*G21/1000</f>
        <v>0.19140000000000001</v>
      </c>
      <c r="N21" s="119">
        <f t="shared" ref="N21" si="9">I21-L21</f>
        <v>0</v>
      </c>
      <c r="O21" s="120">
        <f t="shared" ref="O21" si="10">H21*N21*G21/1000</f>
        <v>0</v>
      </c>
      <c r="P21" s="488"/>
      <c r="Q21" s="493"/>
    </row>
    <row r="22" spans="1:19">
      <c r="A22" s="494" t="s">
        <v>744</v>
      </c>
      <c r="B22" s="495" t="s">
        <v>747</v>
      </c>
      <c r="C22" s="496" t="s">
        <v>228</v>
      </c>
      <c r="D22" s="497" t="s">
        <v>746</v>
      </c>
      <c r="E22" s="498" t="s">
        <v>15</v>
      </c>
      <c r="F22" s="498" t="s">
        <v>149</v>
      </c>
      <c r="G22" s="499">
        <v>6.38</v>
      </c>
      <c r="H22" s="500">
        <v>10</v>
      </c>
      <c r="I22" s="501">
        <v>9</v>
      </c>
      <c r="J22" s="502">
        <f t="shared" ref="J22" si="11">H22*G22*I22/1000</f>
        <v>0.57419999999999993</v>
      </c>
      <c r="K22" s="199"/>
      <c r="L22" s="495">
        <f>8+1</f>
        <v>9</v>
      </c>
      <c r="M22" s="502">
        <f t="shared" ref="M22" si="12">H22*L22*G22/1000</f>
        <v>0.57420000000000004</v>
      </c>
      <c r="N22" s="503">
        <f t="shared" ref="N22" si="13">I22-L22</f>
        <v>0</v>
      </c>
      <c r="O22" s="504">
        <f t="shared" ref="O22" si="14">H22*N22*G22/1000</f>
        <v>0</v>
      </c>
      <c r="P22" s="495" t="s">
        <v>246</v>
      </c>
      <c r="Q22" s="493"/>
    </row>
    <row r="23" spans="1:19">
      <c r="A23" s="110" t="s">
        <v>744</v>
      </c>
      <c r="B23" s="488" t="s">
        <v>747</v>
      </c>
      <c r="C23" s="112" t="s">
        <v>228</v>
      </c>
      <c r="D23" s="113" t="s">
        <v>746</v>
      </c>
      <c r="E23" s="489" t="s">
        <v>15</v>
      </c>
      <c r="F23" s="489" t="s">
        <v>149</v>
      </c>
      <c r="G23" s="490">
        <v>6.38</v>
      </c>
      <c r="H23" s="491">
        <v>12</v>
      </c>
      <c r="I23" s="492">
        <v>9</v>
      </c>
      <c r="J23" s="117">
        <f t="shared" ref="J23:J33" si="15">H23*G23*I23/1000</f>
        <v>0.68903999999999999</v>
      </c>
      <c r="K23" s="118"/>
      <c r="L23" s="488">
        <v>9</v>
      </c>
      <c r="M23" s="117">
        <f t="shared" ref="M23:M33" si="16">H23*L23*G23/1000</f>
        <v>0.68903999999999999</v>
      </c>
      <c r="N23" s="119">
        <f t="shared" ref="N23:N33" si="17">I23-L23</f>
        <v>0</v>
      </c>
      <c r="O23" s="120">
        <f t="shared" ref="O23:O33" si="18">H23*N23*G23/1000</f>
        <v>0</v>
      </c>
      <c r="P23" s="488"/>
      <c r="Q23" s="493"/>
    </row>
    <row r="24" spans="1:19">
      <c r="A24" s="110" t="s">
        <v>744</v>
      </c>
      <c r="B24" s="488" t="s">
        <v>747</v>
      </c>
      <c r="C24" s="112" t="s">
        <v>228</v>
      </c>
      <c r="D24" s="113" t="s">
        <v>746</v>
      </c>
      <c r="E24" s="489" t="s">
        <v>15</v>
      </c>
      <c r="F24" s="489" t="s">
        <v>149</v>
      </c>
      <c r="G24" s="490">
        <v>6.38</v>
      </c>
      <c r="H24" s="491">
        <v>6.15</v>
      </c>
      <c r="I24" s="492">
        <f>7+14</f>
        <v>21</v>
      </c>
      <c r="J24" s="117">
        <f t="shared" si="15"/>
        <v>0.82397700000000007</v>
      </c>
      <c r="K24" s="118"/>
      <c r="L24" s="488">
        <v>20</v>
      </c>
      <c r="M24" s="117">
        <f t="shared" si="16"/>
        <v>0.78473999999999999</v>
      </c>
      <c r="N24" s="119">
        <f t="shared" si="17"/>
        <v>1</v>
      </c>
      <c r="O24" s="120">
        <f t="shared" si="18"/>
        <v>3.9237000000000001E-2</v>
      </c>
      <c r="P24" s="488"/>
      <c r="Q24" s="493"/>
    </row>
    <row r="25" spans="1:19">
      <c r="A25" s="110" t="s">
        <v>744</v>
      </c>
      <c r="B25" s="488" t="s">
        <v>747</v>
      </c>
      <c r="C25" s="112" t="s">
        <v>228</v>
      </c>
      <c r="D25" s="113" t="s">
        <v>746</v>
      </c>
      <c r="E25" s="489" t="s">
        <v>15</v>
      </c>
      <c r="F25" s="489" t="s">
        <v>149</v>
      </c>
      <c r="G25" s="490">
        <v>6.38</v>
      </c>
      <c r="H25" s="491">
        <v>8.6</v>
      </c>
      <c r="I25" s="492">
        <f>11+17</f>
        <v>28</v>
      </c>
      <c r="J25" s="117">
        <f t="shared" si="15"/>
        <v>1.5363039999999999</v>
      </c>
      <c r="K25" s="118"/>
      <c r="L25" s="488">
        <v>28</v>
      </c>
      <c r="M25" s="117">
        <f t="shared" si="16"/>
        <v>1.5363039999999999</v>
      </c>
      <c r="N25" s="119">
        <f t="shared" si="17"/>
        <v>0</v>
      </c>
      <c r="O25" s="120">
        <f t="shared" si="18"/>
        <v>0</v>
      </c>
      <c r="P25" s="488"/>
      <c r="Q25" s="493"/>
    </row>
    <row r="26" spans="1:19">
      <c r="A26" s="110" t="s">
        <v>744</v>
      </c>
      <c r="B26" s="488" t="s">
        <v>747</v>
      </c>
      <c r="C26" s="112" t="s">
        <v>228</v>
      </c>
      <c r="D26" s="113" t="s">
        <v>746</v>
      </c>
      <c r="E26" s="489" t="s">
        <v>15</v>
      </c>
      <c r="F26" s="489" t="s">
        <v>149</v>
      </c>
      <c r="G26" s="490">
        <v>6.38</v>
      </c>
      <c r="H26" s="491">
        <v>11</v>
      </c>
      <c r="I26" s="492">
        <f>1+10</f>
        <v>11</v>
      </c>
      <c r="J26" s="117">
        <f t="shared" si="15"/>
        <v>0.77197999999999989</v>
      </c>
      <c r="K26" s="118"/>
      <c r="L26" s="488">
        <v>10</v>
      </c>
      <c r="M26" s="117">
        <f t="shared" si="16"/>
        <v>0.70179999999999998</v>
      </c>
      <c r="N26" s="119">
        <f t="shared" si="17"/>
        <v>1</v>
      </c>
      <c r="O26" s="120">
        <f t="shared" si="18"/>
        <v>7.0179999999999992E-2</v>
      </c>
      <c r="P26" s="488"/>
      <c r="Q26" s="493"/>
    </row>
    <row r="27" spans="1:19">
      <c r="A27" s="110" t="s">
        <v>744</v>
      </c>
      <c r="B27" s="488" t="s">
        <v>747</v>
      </c>
      <c r="C27" s="112" t="s">
        <v>228</v>
      </c>
      <c r="D27" s="113" t="s">
        <v>746</v>
      </c>
      <c r="E27" s="489" t="s">
        <v>15</v>
      </c>
      <c r="F27" s="489" t="s">
        <v>149</v>
      </c>
      <c r="G27" s="490">
        <v>6.38</v>
      </c>
      <c r="H27" s="491">
        <v>12</v>
      </c>
      <c r="I27" s="492">
        <f>8+26</f>
        <v>34</v>
      </c>
      <c r="J27" s="117">
        <f t="shared" si="15"/>
        <v>2.60304</v>
      </c>
      <c r="K27" s="118"/>
      <c r="L27" s="488">
        <v>28</v>
      </c>
      <c r="M27" s="117">
        <f t="shared" si="16"/>
        <v>2.1436799999999998</v>
      </c>
      <c r="N27" s="119">
        <f t="shared" si="17"/>
        <v>6</v>
      </c>
      <c r="O27" s="120">
        <f t="shared" si="18"/>
        <v>0.45935999999999999</v>
      </c>
      <c r="P27" s="488"/>
      <c r="Q27" s="493"/>
    </row>
    <row r="28" spans="1:19">
      <c r="A28" s="110" t="s">
        <v>744</v>
      </c>
      <c r="B28" s="488" t="s">
        <v>747</v>
      </c>
      <c r="C28" s="112" t="s">
        <v>228</v>
      </c>
      <c r="D28" s="113" t="s">
        <v>746</v>
      </c>
      <c r="E28" s="489" t="s">
        <v>15</v>
      </c>
      <c r="F28" s="489" t="s">
        <v>149</v>
      </c>
      <c r="G28" s="490">
        <v>6.38</v>
      </c>
      <c r="H28" s="491">
        <v>8.3000000000000007</v>
      </c>
      <c r="I28" s="492">
        <v>1</v>
      </c>
      <c r="J28" s="117">
        <f t="shared" si="15"/>
        <v>5.2954000000000001E-2</v>
      </c>
      <c r="K28" s="118"/>
      <c r="L28" s="488"/>
      <c r="M28" s="117">
        <f t="shared" si="16"/>
        <v>0</v>
      </c>
      <c r="N28" s="119">
        <f t="shared" si="17"/>
        <v>1</v>
      </c>
      <c r="O28" s="120">
        <f t="shared" si="18"/>
        <v>5.2954000000000001E-2</v>
      </c>
      <c r="P28" s="488"/>
      <c r="Q28" s="493"/>
    </row>
    <row r="29" spans="1:19">
      <c r="A29" s="110" t="s">
        <v>744</v>
      </c>
      <c r="B29" s="488" t="s">
        <v>747</v>
      </c>
      <c r="C29" s="112" t="s">
        <v>228</v>
      </c>
      <c r="D29" s="113" t="s">
        <v>746</v>
      </c>
      <c r="E29" s="489" t="s">
        <v>15</v>
      </c>
      <c r="F29" s="489" t="s">
        <v>149</v>
      </c>
      <c r="G29" s="490">
        <v>6.38</v>
      </c>
      <c r="H29" s="491">
        <v>12</v>
      </c>
      <c r="I29" s="492">
        <v>12</v>
      </c>
      <c r="J29" s="117">
        <f t="shared" si="15"/>
        <v>0.91871999999999998</v>
      </c>
      <c r="K29" s="118"/>
      <c r="L29" s="488">
        <v>12</v>
      </c>
      <c r="M29" s="117">
        <f t="shared" si="16"/>
        <v>0.91871999999999998</v>
      </c>
      <c r="N29" s="119">
        <f t="shared" si="17"/>
        <v>0</v>
      </c>
      <c r="O29" s="120">
        <f t="shared" si="18"/>
        <v>0</v>
      </c>
      <c r="P29" s="488"/>
      <c r="Q29" s="493"/>
    </row>
    <row r="30" spans="1:19">
      <c r="A30" s="110" t="s">
        <v>744</v>
      </c>
      <c r="B30" s="488" t="s">
        <v>747</v>
      </c>
      <c r="C30" s="112" t="s">
        <v>228</v>
      </c>
      <c r="D30" s="113" t="s">
        <v>746</v>
      </c>
      <c r="E30" s="489" t="s">
        <v>15</v>
      </c>
      <c r="F30" s="489" t="s">
        <v>149</v>
      </c>
      <c r="G30" s="490">
        <v>6.38</v>
      </c>
      <c r="H30" s="491">
        <v>9.1</v>
      </c>
      <c r="I30" s="492">
        <v>8</v>
      </c>
      <c r="J30" s="117">
        <f t="shared" si="15"/>
        <v>0.46446399999999999</v>
      </c>
      <c r="K30" s="118"/>
      <c r="L30" s="488">
        <v>8</v>
      </c>
      <c r="M30" s="117">
        <f t="shared" si="16"/>
        <v>0.46446399999999999</v>
      </c>
      <c r="N30" s="119">
        <f t="shared" si="17"/>
        <v>0</v>
      </c>
      <c r="O30" s="120">
        <f t="shared" si="18"/>
        <v>0</v>
      </c>
      <c r="P30" s="488"/>
      <c r="Q30" s="493"/>
    </row>
    <row r="31" spans="1:19">
      <c r="A31" s="110" t="s">
        <v>744</v>
      </c>
      <c r="B31" s="488" t="s">
        <v>747</v>
      </c>
      <c r="C31" s="112" t="s">
        <v>228</v>
      </c>
      <c r="D31" s="113" t="s">
        <v>746</v>
      </c>
      <c r="E31" s="489" t="s">
        <v>15</v>
      </c>
      <c r="F31" s="489" t="s">
        <v>149</v>
      </c>
      <c r="G31" s="490">
        <v>6.38</v>
      </c>
      <c r="H31" s="491">
        <v>10</v>
      </c>
      <c r="I31" s="492">
        <v>1</v>
      </c>
      <c r="J31" s="117">
        <f t="shared" si="15"/>
        <v>6.3799999999999996E-2</v>
      </c>
      <c r="K31" s="118"/>
      <c r="L31" s="488">
        <v>1</v>
      </c>
      <c r="M31" s="117">
        <f t="shared" si="16"/>
        <v>6.3799999999999996E-2</v>
      </c>
      <c r="N31" s="119">
        <f t="shared" si="17"/>
        <v>0</v>
      </c>
      <c r="O31" s="120">
        <f t="shared" si="18"/>
        <v>0</v>
      </c>
      <c r="P31" s="488"/>
      <c r="Q31" s="493"/>
    </row>
    <row r="32" spans="1:19">
      <c r="A32" s="110" t="s">
        <v>744</v>
      </c>
      <c r="B32" s="488" t="s">
        <v>747</v>
      </c>
      <c r="C32" s="112" t="s">
        <v>228</v>
      </c>
      <c r="D32" s="113" t="s">
        <v>746</v>
      </c>
      <c r="E32" s="489" t="s">
        <v>15</v>
      </c>
      <c r="F32" s="489" t="s">
        <v>149</v>
      </c>
      <c r="G32" s="490">
        <v>6.38</v>
      </c>
      <c r="H32" s="491">
        <v>8.1999999999999993</v>
      </c>
      <c r="I32" s="492">
        <v>1</v>
      </c>
      <c r="J32" s="117">
        <f t="shared" si="15"/>
        <v>5.2315999999999994E-2</v>
      </c>
      <c r="K32" s="118"/>
      <c r="L32" s="488"/>
      <c r="M32" s="117">
        <f t="shared" si="16"/>
        <v>0</v>
      </c>
      <c r="N32" s="119">
        <f t="shared" si="17"/>
        <v>1</v>
      </c>
      <c r="O32" s="120">
        <f t="shared" si="18"/>
        <v>5.2315999999999994E-2</v>
      </c>
      <c r="P32" s="488"/>
      <c r="Q32" s="493"/>
    </row>
    <row r="33" spans="1:17">
      <c r="A33" s="110" t="s">
        <v>744</v>
      </c>
      <c r="B33" s="488" t="s">
        <v>747</v>
      </c>
      <c r="C33" s="112" t="s">
        <v>228</v>
      </c>
      <c r="D33" s="113" t="s">
        <v>746</v>
      </c>
      <c r="E33" s="489" t="s">
        <v>15</v>
      </c>
      <c r="F33" s="489" t="s">
        <v>149</v>
      </c>
      <c r="G33" s="490">
        <v>6.38</v>
      </c>
      <c r="H33" s="491">
        <v>8.4</v>
      </c>
      <c r="I33" s="492">
        <v>1</v>
      </c>
      <c r="J33" s="117">
        <f t="shared" si="15"/>
        <v>5.3592000000000001E-2</v>
      </c>
      <c r="K33" s="118"/>
      <c r="L33" s="488"/>
      <c r="M33" s="117">
        <f t="shared" si="16"/>
        <v>0</v>
      </c>
      <c r="N33" s="119">
        <f t="shared" si="17"/>
        <v>1</v>
      </c>
      <c r="O33" s="120">
        <f t="shared" si="18"/>
        <v>5.3592000000000001E-2</v>
      </c>
      <c r="P33" s="488"/>
      <c r="Q33" s="493"/>
    </row>
    <row r="34" spans="1:17">
      <c r="A34" s="110" t="s">
        <v>744</v>
      </c>
      <c r="B34" s="488" t="s">
        <v>747</v>
      </c>
      <c r="D34" s="113" t="s">
        <v>746</v>
      </c>
      <c r="E34" s="489" t="s">
        <v>15</v>
      </c>
      <c r="F34" s="489" t="s">
        <v>149</v>
      </c>
      <c r="I34" s="517">
        <f>SUM(I21:I33)</f>
        <v>139</v>
      </c>
      <c r="J34" s="518">
        <f>SUM(J21:J33)</f>
        <v>8.7957869999999989</v>
      </c>
      <c r="L34" s="215">
        <f>SUM(L21:L33)</f>
        <v>128</v>
      </c>
      <c r="M34" s="214">
        <f>SUM(M21:M33)</f>
        <v>8.068147999999999</v>
      </c>
      <c r="N34" s="78">
        <f>SUM(N21:N33)</f>
        <v>11</v>
      </c>
      <c r="O34" s="214">
        <f>SUM(O21:O33)</f>
        <v>0.72763900000000004</v>
      </c>
    </row>
    <row r="35" spans="1:17">
      <c r="A35" s="110" t="s">
        <v>744</v>
      </c>
      <c r="B35" s="488" t="s">
        <v>227</v>
      </c>
      <c r="C35" s="112" t="s">
        <v>430</v>
      </c>
      <c r="D35" s="113" t="s">
        <v>152</v>
      </c>
      <c r="E35" s="489" t="s">
        <v>15</v>
      </c>
      <c r="F35" s="489" t="s">
        <v>144</v>
      </c>
      <c r="G35" s="490">
        <v>5.38</v>
      </c>
      <c r="H35" s="491">
        <v>6.6</v>
      </c>
      <c r="I35" s="492">
        <v>6</v>
      </c>
      <c r="J35" s="117">
        <f t="shared" ref="J35:J61" si="19">H35*G35*I35/1000</f>
        <v>0.21304799999999996</v>
      </c>
      <c r="K35" s="118"/>
      <c r="L35" s="488">
        <v>6</v>
      </c>
      <c r="M35" s="117">
        <f t="shared" ref="M35:M61" si="20">H35*L35*G35/1000</f>
        <v>0.21304799999999996</v>
      </c>
      <c r="N35" s="119">
        <f t="shared" ref="N35:N61" si="21">I35-L35</f>
        <v>0</v>
      </c>
      <c r="O35" s="120">
        <f t="shared" ref="O35:O61" si="22">H35*N35*G35/1000</f>
        <v>0</v>
      </c>
      <c r="P35" s="488"/>
      <c r="Q35" s="493"/>
    </row>
    <row r="36" spans="1:17">
      <c r="A36" s="110" t="s">
        <v>744</v>
      </c>
      <c r="B36" s="488" t="s">
        <v>227</v>
      </c>
      <c r="C36" s="112" t="s">
        <v>430</v>
      </c>
      <c r="D36" s="113" t="s">
        <v>152</v>
      </c>
      <c r="E36" s="489" t="s">
        <v>15</v>
      </c>
      <c r="F36" s="489" t="s">
        <v>144</v>
      </c>
      <c r="G36" s="490">
        <v>5.38</v>
      </c>
      <c r="H36" s="491">
        <v>6.6</v>
      </c>
      <c r="I36" s="492">
        <v>1</v>
      </c>
      <c r="J36" s="117">
        <f t="shared" si="19"/>
        <v>3.5507999999999998E-2</v>
      </c>
      <c r="K36" s="118"/>
      <c r="L36" s="488">
        <v>1</v>
      </c>
      <c r="M36" s="117">
        <f t="shared" si="20"/>
        <v>3.5507999999999998E-2</v>
      </c>
      <c r="N36" s="119">
        <f t="shared" si="21"/>
        <v>0</v>
      </c>
      <c r="O36" s="120">
        <f t="shared" si="22"/>
        <v>0</v>
      </c>
      <c r="P36" s="488"/>
      <c r="Q36" s="493"/>
    </row>
    <row r="37" spans="1:17">
      <c r="A37" s="110" t="s">
        <v>744</v>
      </c>
      <c r="B37" s="488" t="s">
        <v>227</v>
      </c>
      <c r="C37" s="112" t="s">
        <v>430</v>
      </c>
      <c r="D37" s="113" t="s">
        <v>152</v>
      </c>
      <c r="E37" s="489" t="s">
        <v>15</v>
      </c>
      <c r="F37" s="489" t="s">
        <v>144</v>
      </c>
      <c r="G37" s="490">
        <v>5.38</v>
      </c>
      <c r="H37" s="491">
        <v>8</v>
      </c>
      <c r="I37" s="492">
        <v>11</v>
      </c>
      <c r="J37" s="117">
        <f t="shared" si="19"/>
        <v>0.47343999999999997</v>
      </c>
      <c r="K37" s="118"/>
      <c r="L37" s="488">
        <v>11</v>
      </c>
      <c r="M37" s="117">
        <f t="shared" si="20"/>
        <v>0.47343999999999997</v>
      </c>
      <c r="N37" s="119">
        <f t="shared" si="21"/>
        <v>0</v>
      </c>
      <c r="O37" s="120">
        <f t="shared" si="22"/>
        <v>0</v>
      </c>
      <c r="P37" s="488"/>
      <c r="Q37" s="493"/>
    </row>
    <row r="38" spans="1:17">
      <c r="A38" s="110" t="s">
        <v>744</v>
      </c>
      <c r="B38" s="488" t="s">
        <v>227</v>
      </c>
      <c r="C38" s="112" t="s">
        <v>430</v>
      </c>
      <c r="D38" s="113" t="s">
        <v>152</v>
      </c>
      <c r="E38" s="489" t="s">
        <v>15</v>
      </c>
      <c r="F38" s="489" t="s">
        <v>144</v>
      </c>
      <c r="G38" s="490">
        <v>5.38</v>
      </c>
      <c r="H38" s="491">
        <v>8</v>
      </c>
      <c r="I38" s="492">
        <v>15</v>
      </c>
      <c r="J38" s="117">
        <f t="shared" si="19"/>
        <v>0.64560000000000006</v>
      </c>
      <c r="K38" s="118"/>
      <c r="L38" s="488">
        <v>15</v>
      </c>
      <c r="M38" s="117">
        <f t="shared" si="20"/>
        <v>0.64560000000000006</v>
      </c>
      <c r="N38" s="119">
        <f t="shared" si="21"/>
        <v>0</v>
      </c>
      <c r="O38" s="120">
        <f t="shared" si="22"/>
        <v>0</v>
      </c>
      <c r="P38" s="488"/>
      <c r="Q38" s="493"/>
    </row>
    <row r="39" spans="1:17">
      <c r="A39" s="110" t="s">
        <v>744</v>
      </c>
      <c r="B39" s="488" t="s">
        <v>227</v>
      </c>
      <c r="C39" s="112" t="s">
        <v>430</v>
      </c>
      <c r="D39" s="113" t="s">
        <v>152</v>
      </c>
      <c r="E39" s="489" t="s">
        <v>15</v>
      </c>
      <c r="F39" s="489" t="s">
        <v>144</v>
      </c>
      <c r="G39" s="490">
        <v>5.38</v>
      </c>
      <c r="H39" s="491">
        <v>9.5</v>
      </c>
      <c r="I39" s="492">
        <v>6</v>
      </c>
      <c r="J39" s="117">
        <f t="shared" si="19"/>
        <v>0.30665999999999999</v>
      </c>
      <c r="K39" s="118"/>
      <c r="L39" s="488">
        <v>6</v>
      </c>
      <c r="M39" s="117">
        <f t="shared" si="20"/>
        <v>0.30665999999999999</v>
      </c>
      <c r="N39" s="119">
        <f t="shared" si="21"/>
        <v>0</v>
      </c>
      <c r="O39" s="120">
        <f t="shared" si="22"/>
        <v>0</v>
      </c>
      <c r="P39" s="488"/>
      <c r="Q39" s="493"/>
    </row>
    <row r="40" spans="1:17">
      <c r="A40" s="110" t="s">
        <v>744</v>
      </c>
      <c r="B40" s="488" t="s">
        <v>227</v>
      </c>
      <c r="C40" s="112" t="s">
        <v>430</v>
      </c>
      <c r="D40" s="113" t="s">
        <v>152</v>
      </c>
      <c r="E40" s="489" t="s">
        <v>15</v>
      </c>
      <c r="F40" s="489" t="s">
        <v>144</v>
      </c>
      <c r="G40" s="490">
        <v>5.38</v>
      </c>
      <c r="H40" s="491">
        <v>9.5</v>
      </c>
      <c r="I40" s="492">
        <v>6</v>
      </c>
      <c r="J40" s="117">
        <f t="shared" si="19"/>
        <v>0.30665999999999999</v>
      </c>
      <c r="K40" s="118"/>
      <c r="L40" s="488">
        <v>6</v>
      </c>
      <c r="M40" s="117">
        <f t="shared" si="20"/>
        <v>0.30665999999999999</v>
      </c>
      <c r="N40" s="119">
        <f t="shared" si="21"/>
        <v>0</v>
      </c>
      <c r="O40" s="120">
        <f t="shared" si="22"/>
        <v>0</v>
      </c>
      <c r="P40" s="488"/>
      <c r="Q40" s="493"/>
    </row>
    <row r="41" spans="1:17">
      <c r="A41" s="110" t="s">
        <v>744</v>
      </c>
      <c r="B41" s="488" t="s">
        <v>227</v>
      </c>
      <c r="C41" s="112" t="s">
        <v>430</v>
      </c>
      <c r="D41" s="113" t="s">
        <v>152</v>
      </c>
      <c r="E41" s="489" t="s">
        <v>15</v>
      </c>
      <c r="F41" s="489" t="s">
        <v>144</v>
      </c>
      <c r="G41" s="490">
        <v>5.38</v>
      </c>
      <c r="H41" s="491">
        <v>9.5</v>
      </c>
      <c r="I41" s="509">
        <v>1</v>
      </c>
      <c r="J41" s="117">
        <f t="shared" si="19"/>
        <v>5.1110000000000003E-2</v>
      </c>
      <c r="K41" s="118"/>
      <c r="L41" s="488">
        <v>1</v>
      </c>
      <c r="M41" s="117">
        <f t="shared" si="20"/>
        <v>5.1110000000000003E-2</v>
      </c>
      <c r="N41" s="119">
        <f t="shared" si="21"/>
        <v>0</v>
      </c>
      <c r="O41" s="120">
        <f t="shared" si="22"/>
        <v>0</v>
      </c>
      <c r="P41" s="488">
        <v>6</v>
      </c>
      <c r="Q41" s="493">
        <v>1</v>
      </c>
    </row>
    <row r="42" spans="1:17">
      <c r="A42" s="110" t="s">
        <v>744</v>
      </c>
      <c r="B42" s="488" t="s">
        <v>227</v>
      </c>
      <c r="C42" s="112" t="s">
        <v>430</v>
      </c>
      <c r="D42" s="113" t="s">
        <v>152</v>
      </c>
      <c r="E42" s="489" t="s">
        <v>15</v>
      </c>
      <c r="F42" s="489" t="s">
        <v>144</v>
      </c>
      <c r="G42" s="490">
        <v>5.38</v>
      </c>
      <c r="H42" s="491">
        <v>10</v>
      </c>
      <c r="I42" s="492">
        <v>29</v>
      </c>
      <c r="J42" s="117">
        <f t="shared" si="19"/>
        <v>1.5601999999999998</v>
      </c>
      <c r="K42" s="118"/>
      <c r="L42" s="488">
        <v>29</v>
      </c>
      <c r="M42" s="117">
        <f t="shared" si="20"/>
        <v>1.5602</v>
      </c>
      <c r="N42" s="119">
        <f t="shared" si="21"/>
        <v>0</v>
      </c>
      <c r="O42" s="120">
        <f t="shared" si="22"/>
        <v>0</v>
      </c>
      <c r="P42" s="488"/>
      <c r="Q42" s="493"/>
    </row>
    <row r="43" spans="1:17">
      <c r="A43" s="110" t="s">
        <v>744</v>
      </c>
      <c r="B43" s="488" t="s">
        <v>227</v>
      </c>
      <c r="C43" s="112" t="s">
        <v>430</v>
      </c>
      <c r="D43" s="113" t="s">
        <v>152</v>
      </c>
      <c r="E43" s="489" t="s">
        <v>15</v>
      </c>
      <c r="F43" s="489" t="s">
        <v>144</v>
      </c>
      <c r="G43" s="490">
        <v>5.38</v>
      </c>
      <c r="H43" s="491">
        <v>10</v>
      </c>
      <c r="I43" s="509">
        <v>1</v>
      </c>
      <c r="J43" s="117">
        <f t="shared" si="19"/>
        <v>5.3800000000000001E-2</v>
      </c>
      <c r="K43" s="118"/>
      <c r="L43" s="488">
        <v>1</v>
      </c>
      <c r="M43" s="117">
        <f t="shared" si="20"/>
        <v>5.3800000000000001E-2</v>
      </c>
      <c r="N43" s="119">
        <f t="shared" si="21"/>
        <v>0</v>
      </c>
      <c r="O43" s="120">
        <f t="shared" si="22"/>
        <v>0</v>
      </c>
      <c r="P43" s="488"/>
      <c r="Q43" s="493"/>
    </row>
    <row r="44" spans="1:17">
      <c r="A44" s="110" t="s">
        <v>744</v>
      </c>
      <c r="B44" s="488" t="s">
        <v>227</v>
      </c>
      <c r="C44" s="112" t="s">
        <v>430</v>
      </c>
      <c r="D44" s="113" t="s">
        <v>152</v>
      </c>
      <c r="E44" s="489" t="s">
        <v>15</v>
      </c>
      <c r="F44" s="489" t="s">
        <v>144</v>
      </c>
      <c r="G44" s="490">
        <v>5.38</v>
      </c>
      <c r="H44" s="491">
        <v>10</v>
      </c>
      <c r="I44" s="492">
        <v>5</v>
      </c>
      <c r="J44" s="117">
        <f t="shared" si="19"/>
        <v>0.26900000000000002</v>
      </c>
      <c r="K44" s="118"/>
      <c r="L44" s="488">
        <v>5</v>
      </c>
      <c r="M44" s="117">
        <f t="shared" si="20"/>
        <v>0.26900000000000002</v>
      </c>
      <c r="N44" s="119">
        <f t="shared" si="21"/>
        <v>0</v>
      </c>
      <c r="O44" s="120">
        <f t="shared" si="22"/>
        <v>0</v>
      </c>
      <c r="P44" s="488"/>
      <c r="Q44" s="493"/>
    </row>
    <row r="45" spans="1:17">
      <c r="A45" s="110" t="s">
        <v>744</v>
      </c>
      <c r="B45" s="488" t="s">
        <v>227</v>
      </c>
      <c r="C45" s="112" t="s">
        <v>430</v>
      </c>
      <c r="D45" s="113" t="s">
        <v>152</v>
      </c>
      <c r="E45" s="489" t="s">
        <v>15</v>
      </c>
      <c r="F45" s="489" t="s">
        <v>144</v>
      </c>
      <c r="G45" s="490">
        <v>5.38</v>
      </c>
      <c r="H45" s="491">
        <v>10</v>
      </c>
      <c r="I45" s="492">
        <v>8</v>
      </c>
      <c r="J45" s="117">
        <f t="shared" si="19"/>
        <v>0.4304</v>
      </c>
      <c r="K45" s="118"/>
      <c r="L45" s="488">
        <v>8</v>
      </c>
      <c r="M45" s="117">
        <f t="shared" si="20"/>
        <v>0.4304</v>
      </c>
      <c r="N45" s="119">
        <f t="shared" si="21"/>
        <v>0</v>
      </c>
      <c r="O45" s="120">
        <f t="shared" si="22"/>
        <v>0</v>
      </c>
      <c r="P45" s="488"/>
      <c r="Q45" s="493"/>
    </row>
    <row r="46" spans="1:17">
      <c r="A46" s="110" t="s">
        <v>744</v>
      </c>
      <c r="B46" s="488" t="s">
        <v>227</v>
      </c>
      <c r="C46" s="112" t="s">
        <v>430</v>
      </c>
      <c r="D46" s="113" t="s">
        <v>152</v>
      </c>
      <c r="E46" s="489" t="s">
        <v>15</v>
      </c>
      <c r="F46" s="489" t="s">
        <v>144</v>
      </c>
      <c r="G46" s="490">
        <v>5.38</v>
      </c>
      <c r="H46" s="491">
        <v>10</v>
      </c>
      <c r="I46" s="492">
        <v>4</v>
      </c>
      <c r="J46" s="117">
        <f t="shared" si="19"/>
        <v>0.2152</v>
      </c>
      <c r="K46" s="118"/>
      <c r="L46" s="488">
        <v>4</v>
      </c>
      <c r="M46" s="117">
        <f t="shared" si="20"/>
        <v>0.2152</v>
      </c>
      <c r="N46" s="119">
        <f t="shared" si="21"/>
        <v>0</v>
      </c>
      <c r="O46" s="120">
        <f t="shared" si="22"/>
        <v>0</v>
      </c>
      <c r="P46" s="488"/>
      <c r="Q46" s="493"/>
    </row>
    <row r="47" spans="1:17">
      <c r="A47" s="110" t="s">
        <v>744</v>
      </c>
      <c r="B47" s="488" t="s">
        <v>227</v>
      </c>
      <c r="C47" s="112" t="s">
        <v>430</v>
      </c>
      <c r="D47" s="113" t="s">
        <v>152</v>
      </c>
      <c r="E47" s="489" t="s">
        <v>15</v>
      </c>
      <c r="F47" s="489" t="s">
        <v>144</v>
      </c>
      <c r="G47" s="490">
        <v>5.38</v>
      </c>
      <c r="H47" s="491">
        <v>10.5</v>
      </c>
      <c r="I47" s="492">
        <v>7</v>
      </c>
      <c r="J47" s="117">
        <f t="shared" si="19"/>
        <v>0.39543</v>
      </c>
      <c r="K47" s="118"/>
      <c r="L47" s="488">
        <v>7</v>
      </c>
      <c r="M47" s="117">
        <f t="shared" si="20"/>
        <v>0.39543</v>
      </c>
      <c r="N47" s="119">
        <f t="shared" si="21"/>
        <v>0</v>
      </c>
      <c r="O47" s="120">
        <f t="shared" si="22"/>
        <v>0</v>
      </c>
      <c r="P47" s="488"/>
      <c r="Q47" s="493"/>
    </row>
    <row r="48" spans="1:17">
      <c r="A48" s="110" t="s">
        <v>744</v>
      </c>
      <c r="B48" s="488" t="s">
        <v>227</v>
      </c>
      <c r="C48" s="112" t="s">
        <v>430</v>
      </c>
      <c r="D48" s="113" t="s">
        <v>152</v>
      </c>
      <c r="E48" s="489" t="s">
        <v>15</v>
      </c>
      <c r="F48" s="489" t="s">
        <v>144</v>
      </c>
      <c r="G48" s="490">
        <v>5.38</v>
      </c>
      <c r="H48" s="491">
        <v>10.5</v>
      </c>
      <c r="I48" s="492">
        <v>1</v>
      </c>
      <c r="J48" s="117">
        <f t="shared" si="19"/>
        <v>5.6489999999999999E-2</v>
      </c>
      <c r="K48" s="118"/>
      <c r="L48" s="488">
        <v>1</v>
      </c>
      <c r="M48" s="117">
        <f t="shared" si="20"/>
        <v>5.6489999999999999E-2</v>
      </c>
      <c r="N48" s="119">
        <f t="shared" si="21"/>
        <v>0</v>
      </c>
      <c r="O48" s="120">
        <f t="shared" si="22"/>
        <v>0</v>
      </c>
      <c r="P48" s="488">
        <v>6.6</v>
      </c>
      <c r="Q48" s="493">
        <v>1</v>
      </c>
    </row>
    <row r="49" spans="1:17">
      <c r="A49" s="110" t="s">
        <v>744</v>
      </c>
      <c r="B49" s="488" t="s">
        <v>227</v>
      </c>
      <c r="C49" s="112" t="s">
        <v>430</v>
      </c>
      <c r="D49" s="113" t="s">
        <v>152</v>
      </c>
      <c r="E49" s="489" t="s">
        <v>15</v>
      </c>
      <c r="F49" s="489" t="s">
        <v>144</v>
      </c>
      <c r="G49" s="490">
        <v>5.38</v>
      </c>
      <c r="H49" s="491">
        <v>11</v>
      </c>
      <c r="I49" s="492">
        <v>3</v>
      </c>
      <c r="J49" s="117">
        <f t="shared" si="19"/>
        <v>0.17754</v>
      </c>
      <c r="K49" s="118"/>
      <c r="L49" s="488">
        <v>3</v>
      </c>
      <c r="M49" s="117">
        <f t="shared" si="20"/>
        <v>0.17754</v>
      </c>
      <c r="N49" s="119">
        <f t="shared" si="21"/>
        <v>0</v>
      </c>
      <c r="O49" s="120">
        <f t="shared" si="22"/>
        <v>0</v>
      </c>
      <c r="P49" s="488"/>
      <c r="Q49" s="493"/>
    </row>
    <row r="50" spans="1:17">
      <c r="A50" s="110" t="s">
        <v>744</v>
      </c>
      <c r="B50" s="488" t="s">
        <v>227</v>
      </c>
      <c r="C50" s="112" t="s">
        <v>430</v>
      </c>
      <c r="D50" s="113" t="s">
        <v>152</v>
      </c>
      <c r="E50" s="489" t="s">
        <v>15</v>
      </c>
      <c r="F50" s="489" t="s">
        <v>144</v>
      </c>
      <c r="G50" s="490">
        <v>5.38</v>
      </c>
      <c r="H50" s="491">
        <v>11</v>
      </c>
      <c r="I50" s="492">
        <v>10</v>
      </c>
      <c r="J50" s="117">
        <f t="shared" si="19"/>
        <v>0.59179999999999999</v>
      </c>
      <c r="K50" s="118"/>
      <c r="L50" s="488">
        <v>10</v>
      </c>
      <c r="M50" s="117">
        <f t="shared" si="20"/>
        <v>0.59179999999999999</v>
      </c>
      <c r="N50" s="119">
        <f t="shared" si="21"/>
        <v>0</v>
      </c>
      <c r="O50" s="120">
        <f t="shared" si="22"/>
        <v>0</v>
      </c>
      <c r="P50" s="488"/>
      <c r="Q50" s="493"/>
    </row>
    <row r="51" spans="1:17">
      <c r="A51" s="110" t="s">
        <v>744</v>
      </c>
      <c r="B51" s="488" t="s">
        <v>227</v>
      </c>
      <c r="C51" s="112" t="s">
        <v>430</v>
      </c>
      <c r="D51" s="113" t="s">
        <v>152</v>
      </c>
      <c r="E51" s="489" t="s">
        <v>15</v>
      </c>
      <c r="F51" s="489" t="s">
        <v>144</v>
      </c>
      <c r="G51" s="490">
        <v>5.38</v>
      </c>
      <c r="H51" s="491">
        <v>11</v>
      </c>
      <c r="I51" s="492">
        <v>2</v>
      </c>
      <c r="J51" s="117">
        <f t="shared" si="19"/>
        <v>0.11835999999999999</v>
      </c>
      <c r="K51" s="118"/>
      <c r="L51" s="488">
        <v>2</v>
      </c>
      <c r="M51" s="117">
        <f t="shared" si="20"/>
        <v>0.11835999999999999</v>
      </c>
      <c r="N51" s="119">
        <f t="shared" si="21"/>
        <v>0</v>
      </c>
      <c r="O51" s="120">
        <f t="shared" si="22"/>
        <v>0</v>
      </c>
      <c r="P51" s="488"/>
      <c r="Q51" s="493"/>
    </row>
    <row r="52" spans="1:17">
      <c r="A52" s="110" t="s">
        <v>744</v>
      </c>
      <c r="B52" s="488" t="s">
        <v>227</v>
      </c>
      <c r="C52" s="112" t="s">
        <v>430</v>
      </c>
      <c r="D52" s="113" t="s">
        <v>152</v>
      </c>
      <c r="E52" s="489" t="s">
        <v>15</v>
      </c>
      <c r="F52" s="489" t="s">
        <v>144</v>
      </c>
      <c r="G52" s="490">
        <v>5.38</v>
      </c>
      <c r="H52" s="491">
        <v>11.25</v>
      </c>
      <c r="I52" s="492">
        <v>2</v>
      </c>
      <c r="J52" s="117">
        <f t="shared" si="19"/>
        <v>0.12104999999999999</v>
      </c>
      <c r="K52" s="118"/>
      <c r="L52" s="488">
        <v>2</v>
      </c>
      <c r="M52" s="117">
        <f t="shared" si="20"/>
        <v>0.12104999999999999</v>
      </c>
      <c r="N52" s="119">
        <f t="shared" si="21"/>
        <v>0</v>
      </c>
      <c r="O52" s="120">
        <f t="shared" si="22"/>
        <v>0</v>
      </c>
      <c r="P52" s="488"/>
      <c r="Q52" s="493"/>
    </row>
    <row r="53" spans="1:17">
      <c r="A53" s="110" t="s">
        <v>744</v>
      </c>
      <c r="B53" s="488" t="s">
        <v>227</v>
      </c>
      <c r="C53" s="112" t="s">
        <v>430</v>
      </c>
      <c r="D53" s="113" t="s">
        <v>152</v>
      </c>
      <c r="E53" s="489" t="s">
        <v>15</v>
      </c>
      <c r="F53" s="489" t="s">
        <v>144</v>
      </c>
      <c r="G53" s="490">
        <v>5.38</v>
      </c>
      <c r="H53" s="491">
        <v>11.5</v>
      </c>
      <c r="I53" s="505">
        <v>16</v>
      </c>
      <c r="J53" s="117">
        <f t="shared" si="19"/>
        <v>0.98991999999999991</v>
      </c>
      <c r="K53" s="118"/>
      <c r="L53" s="488">
        <v>16</v>
      </c>
      <c r="M53" s="117">
        <f t="shared" si="20"/>
        <v>0.98991999999999991</v>
      </c>
      <c r="N53" s="119">
        <f t="shared" si="21"/>
        <v>0</v>
      </c>
      <c r="O53" s="120">
        <f t="shared" si="22"/>
        <v>0</v>
      </c>
      <c r="P53" s="488"/>
      <c r="Q53" s="493"/>
    </row>
    <row r="54" spans="1:17">
      <c r="A54" s="110" t="s">
        <v>744</v>
      </c>
      <c r="B54" s="488" t="s">
        <v>227</v>
      </c>
      <c r="C54" s="112" t="s">
        <v>430</v>
      </c>
      <c r="D54" s="113" t="s">
        <v>152</v>
      </c>
      <c r="E54" s="489" t="s">
        <v>15</v>
      </c>
      <c r="F54" s="489" t="s">
        <v>144</v>
      </c>
      <c r="G54" s="490">
        <v>5.38</v>
      </c>
      <c r="H54" s="491">
        <v>11.5</v>
      </c>
      <c r="I54" s="505">
        <v>32</v>
      </c>
      <c r="J54" s="117">
        <f t="shared" si="19"/>
        <v>1.9798399999999998</v>
      </c>
      <c r="K54" s="118"/>
      <c r="L54" s="488">
        <v>32</v>
      </c>
      <c r="M54" s="117">
        <f t="shared" si="20"/>
        <v>1.9798399999999998</v>
      </c>
      <c r="N54" s="119">
        <f t="shared" si="21"/>
        <v>0</v>
      </c>
      <c r="O54" s="120">
        <f t="shared" si="22"/>
        <v>0</v>
      </c>
      <c r="P54" s="488"/>
      <c r="Q54" s="493"/>
    </row>
    <row r="55" spans="1:17">
      <c r="A55" s="110" t="s">
        <v>744</v>
      </c>
      <c r="B55" s="488" t="s">
        <v>227</v>
      </c>
      <c r="C55" s="112" t="s">
        <v>430</v>
      </c>
      <c r="D55" s="113" t="s">
        <v>152</v>
      </c>
      <c r="E55" s="489" t="s">
        <v>15</v>
      </c>
      <c r="F55" s="489" t="s">
        <v>144</v>
      </c>
      <c r="G55" s="490">
        <v>5.38</v>
      </c>
      <c r="H55" s="491">
        <v>11.5</v>
      </c>
      <c r="I55" s="492">
        <v>6</v>
      </c>
      <c r="J55" s="117">
        <f t="shared" si="19"/>
        <v>0.37121999999999999</v>
      </c>
      <c r="K55" s="118"/>
      <c r="L55" s="488">
        <v>6</v>
      </c>
      <c r="M55" s="117">
        <f t="shared" si="20"/>
        <v>0.37121999999999999</v>
      </c>
      <c r="N55" s="119">
        <f t="shared" si="21"/>
        <v>0</v>
      </c>
      <c r="O55" s="120">
        <f t="shared" si="22"/>
        <v>0</v>
      </c>
      <c r="P55" s="488"/>
      <c r="Q55" s="493"/>
    </row>
    <row r="56" spans="1:17">
      <c r="A56" s="110" t="s">
        <v>744</v>
      </c>
      <c r="B56" s="488" t="s">
        <v>227</v>
      </c>
      <c r="C56" s="112" t="s">
        <v>430</v>
      </c>
      <c r="D56" s="113" t="s">
        <v>152</v>
      </c>
      <c r="E56" s="489" t="s">
        <v>15</v>
      </c>
      <c r="F56" s="489" t="s">
        <v>144</v>
      </c>
      <c r="G56" s="490">
        <v>5.38</v>
      </c>
      <c r="H56" s="491">
        <v>11.5</v>
      </c>
      <c r="I56" s="505">
        <v>10</v>
      </c>
      <c r="J56" s="117">
        <f t="shared" si="19"/>
        <v>0.61869999999999992</v>
      </c>
      <c r="K56" s="118"/>
      <c r="L56" s="488">
        <v>10</v>
      </c>
      <c r="M56" s="117">
        <f t="shared" si="20"/>
        <v>0.61869999999999992</v>
      </c>
      <c r="N56" s="119">
        <f t="shared" si="21"/>
        <v>0</v>
      </c>
      <c r="O56" s="120">
        <f t="shared" si="22"/>
        <v>0</v>
      </c>
      <c r="P56" s="488"/>
      <c r="Q56" s="493"/>
    </row>
    <row r="57" spans="1:17">
      <c r="A57" s="110" t="s">
        <v>744</v>
      </c>
      <c r="B57" s="488" t="s">
        <v>227</v>
      </c>
      <c r="C57" s="112" t="s">
        <v>430</v>
      </c>
      <c r="D57" s="113" t="s">
        <v>152</v>
      </c>
      <c r="E57" s="489" t="s">
        <v>15</v>
      </c>
      <c r="F57" s="489" t="s">
        <v>144</v>
      </c>
      <c r="G57" s="490">
        <v>5.38</v>
      </c>
      <c r="H57" s="491">
        <v>12</v>
      </c>
      <c r="I57" s="492">
        <v>30</v>
      </c>
      <c r="J57" s="117">
        <f t="shared" si="19"/>
        <v>1.9368000000000001</v>
      </c>
      <c r="K57" s="118"/>
      <c r="L57" s="488">
        <v>30</v>
      </c>
      <c r="M57" s="117">
        <f t="shared" si="20"/>
        <v>1.9367999999999999</v>
      </c>
      <c r="N57" s="119">
        <f t="shared" si="21"/>
        <v>0</v>
      </c>
      <c r="O57" s="120">
        <f t="shared" si="22"/>
        <v>0</v>
      </c>
      <c r="P57" s="488"/>
      <c r="Q57" s="493"/>
    </row>
    <row r="58" spans="1:17">
      <c r="A58" s="110" t="s">
        <v>744</v>
      </c>
      <c r="B58" s="488" t="s">
        <v>227</v>
      </c>
      <c r="C58" s="112" t="s">
        <v>430</v>
      </c>
      <c r="D58" s="113" t="s">
        <v>152</v>
      </c>
      <c r="E58" s="489" t="s">
        <v>15</v>
      </c>
      <c r="F58" s="489" t="s">
        <v>144</v>
      </c>
      <c r="G58" s="490">
        <v>5.38</v>
      </c>
      <c r="H58" s="491">
        <v>12</v>
      </c>
      <c r="I58" s="492">
        <v>2</v>
      </c>
      <c r="J58" s="117">
        <f t="shared" si="19"/>
        <v>0.12912000000000001</v>
      </c>
      <c r="K58" s="118"/>
      <c r="L58" s="488">
        <v>2</v>
      </c>
      <c r="M58" s="117">
        <f t="shared" si="20"/>
        <v>0.12912000000000001</v>
      </c>
      <c r="N58" s="119">
        <f t="shared" si="21"/>
        <v>0</v>
      </c>
      <c r="O58" s="120">
        <f t="shared" si="22"/>
        <v>0</v>
      </c>
      <c r="P58" s="488"/>
      <c r="Q58" s="493"/>
    </row>
    <row r="59" spans="1:17">
      <c r="A59" s="110" t="s">
        <v>744</v>
      </c>
      <c r="B59" s="488" t="s">
        <v>227</v>
      </c>
      <c r="C59" s="112" t="s">
        <v>430</v>
      </c>
      <c r="D59" s="113" t="s">
        <v>152</v>
      </c>
      <c r="E59" s="489" t="s">
        <v>15</v>
      </c>
      <c r="F59" s="489" t="s">
        <v>144</v>
      </c>
      <c r="G59" s="490">
        <v>5.38</v>
      </c>
      <c r="H59" s="491">
        <v>12</v>
      </c>
      <c r="I59" s="492">
        <v>20</v>
      </c>
      <c r="J59" s="117">
        <f t="shared" si="19"/>
        <v>1.2912000000000001</v>
      </c>
      <c r="K59" s="118"/>
      <c r="L59" s="488">
        <v>20</v>
      </c>
      <c r="M59" s="117">
        <f t="shared" si="20"/>
        <v>1.2912000000000001</v>
      </c>
      <c r="N59" s="119">
        <f t="shared" si="21"/>
        <v>0</v>
      </c>
      <c r="O59" s="120">
        <f t="shared" si="22"/>
        <v>0</v>
      </c>
      <c r="P59" s="488"/>
      <c r="Q59" s="493"/>
    </row>
    <row r="60" spans="1:17">
      <c r="A60" s="110" t="s">
        <v>744</v>
      </c>
      <c r="B60" s="488" t="s">
        <v>227</v>
      </c>
      <c r="C60" s="112" t="s">
        <v>430</v>
      </c>
      <c r="D60" s="113" t="s">
        <v>152</v>
      </c>
      <c r="E60" s="489" t="s">
        <v>15</v>
      </c>
      <c r="F60" s="489" t="s">
        <v>144</v>
      </c>
      <c r="G60" s="490">
        <v>5.38</v>
      </c>
      <c r="H60" s="491">
        <v>12</v>
      </c>
      <c r="I60" s="492">
        <v>4</v>
      </c>
      <c r="J60" s="117">
        <f t="shared" si="19"/>
        <v>0.25824000000000003</v>
      </c>
      <c r="K60" s="118"/>
      <c r="L60" s="488">
        <f>3+1</f>
        <v>4</v>
      </c>
      <c r="M60" s="117">
        <f t="shared" si="20"/>
        <v>0.25824000000000003</v>
      </c>
      <c r="N60" s="119">
        <f t="shared" si="21"/>
        <v>0</v>
      </c>
      <c r="O60" s="120">
        <f t="shared" si="22"/>
        <v>0</v>
      </c>
      <c r="P60" s="488" t="s">
        <v>748</v>
      </c>
      <c r="Q60" s="493">
        <v>4</v>
      </c>
    </row>
    <row r="61" spans="1:17">
      <c r="A61" s="110" t="s">
        <v>744</v>
      </c>
      <c r="B61" s="488" t="s">
        <v>227</v>
      </c>
      <c r="C61" s="112" t="s">
        <v>430</v>
      </c>
      <c r="D61" s="113" t="s">
        <v>152</v>
      </c>
      <c r="E61" s="489" t="s">
        <v>15</v>
      </c>
      <c r="F61" s="489" t="s">
        <v>144</v>
      </c>
      <c r="G61" s="490">
        <v>5.38</v>
      </c>
      <c r="H61" s="491">
        <v>12</v>
      </c>
      <c r="I61" s="492">
        <v>11</v>
      </c>
      <c r="J61" s="117">
        <f t="shared" si="19"/>
        <v>0.71016000000000012</v>
      </c>
      <c r="K61" s="118"/>
      <c r="L61" s="488">
        <f>5+6</f>
        <v>11</v>
      </c>
      <c r="M61" s="117">
        <f t="shared" si="20"/>
        <v>0.71016000000000001</v>
      </c>
      <c r="N61" s="119">
        <f t="shared" si="21"/>
        <v>0</v>
      </c>
      <c r="O61" s="120">
        <f t="shared" si="22"/>
        <v>0</v>
      </c>
      <c r="P61" s="488">
        <v>11.5</v>
      </c>
      <c r="Q61" s="493">
        <v>6</v>
      </c>
    </row>
    <row r="62" spans="1:17">
      <c r="A62" s="110" t="s">
        <v>744</v>
      </c>
      <c r="B62" s="488" t="s">
        <v>227</v>
      </c>
      <c r="C62" s="32"/>
      <c r="D62" s="113" t="s">
        <v>152</v>
      </c>
      <c r="E62" s="489" t="s">
        <v>15</v>
      </c>
      <c r="F62" s="489" t="s">
        <v>144</v>
      </c>
      <c r="G62" s="32"/>
      <c r="H62" s="32"/>
      <c r="I62" s="129">
        <f>SUM(I35:I61)</f>
        <v>249</v>
      </c>
      <c r="J62" s="132">
        <f>SUM(J35:J61)</f>
        <v>14.306495999999999</v>
      </c>
      <c r="K62" s="32"/>
      <c r="L62" s="129">
        <f>SUM(L35:L61)</f>
        <v>249</v>
      </c>
      <c r="M62" s="124">
        <f>SUM(M35:M61)</f>
        <v>14.306496000000001</v>
      </c>
      <c r="N62" s="131">
        <f>SUM(N35:N61)</f>
        <v>0</v>
      </c>
      <c r="O62" s="132">
        <f>SUM(O35:O61)</f>
        <v>0</v>
      </c>
      <c r="P62" s="32"/>
      <c r="Q62" s="32"/>
    </row>
    <row r="63" spans="1:17">
      <c r="A63" s="110" t="s">
        <v>744</v>
      </c>
      <c r="B63" s="488" t="s">
        <v>239</v>
      </c>
      <c r="C63" s="112" t="s">
        <v>228</v>
      </c>
      <c r="D63" s="113" t="s">
        <v>745</v>
      </c>
      <c r="E63" s="489" t="s">
        <v>15</v>
      </c>
      <c r="F63" s="489" t="s">
        <v>144</v>
      </c>
      <c r="G63" s="490">
        <v>5.38</v>
      </c>
      <c r="H63" s="491">
        <v>11</v>
      </c>
      <c r="I63" s="492">
        <v>16</v>
      </c>
      <c r="J63" s="117">
        <f t="shared" ref="J63" si="23">H63*G63*I63/1000</f>
        <v>0.94687999999999994</v>
      </c>
      <c r="K63" s="118"/>
      <c r="L63" s="488">
        <v>16</v>
      </c>
      <c r="M63" s="117">
        <f t="shared" ref="M63" si="24">H63*L63*G63/1000</f>
        <v>0.94687999999999994</v>
      </c>
      <c r="N63" s="119">
        <f t="shared" ref="N63" si="25">I63-L63</f>
        <v>0</v>
      </c>
      <c r="O63" s="120">
        <f t="shared" ref="O63" si="26">H63*N63*G63/1000</f>
        <v>0</v>
      </c>
      <c r="P63" s="488"/>
      <c r="Q63" s="493"/>
    </row>
    <row r="64" spans="1:17">
      <c r="A64" s="110" t="s">
        <v>744</v>
      </c>
      <c r="B64" s="488" t="s">
        <v>239</v>
      </c>
      <c r="C64" s="112" t="s">
        <v>228</v>
      </c>
      <c r="D64" s="113" t="s">
        <v>745</v>
      </c>
      <c r="E64" s="489" t="s">
        <v>15</v>
      </c>
      <c r="F64" s="489" t="s">
        <v>144</v>
      </c>
      <c r="G64" s="490">
        <v>5.38</v>
      </c>
      <c r="H64" s="491">
        <v>11.5</v>
      </c>
      <c r="I64" s="492">
        <v>11</v>
      </c>
      <c r="J64" s="117">
        <f t="shared" ref="J64:J65" si="27">H64*G64*I64/1000</f>
        <v>0.6805699999999999</v>
      </c>
      <c r="K64" s="118"/>
      <c r="L64" s="488">
        <v>11</v>
      </c>
      <c r="M64" s="117">
        <f t="shared" ref="M64:M65" si="28">H64*L64*G64/1000</f>
        <v>0.6805699999999999</v>
      </c>
      <c r="N64" s="119">
        <f t="shared" ref="N64:N65" si="29">I64-L64</f>
        <v>0</v>
      </c>
      <c r="O64" s="120">
        <f t="shared" ref="O64:O65" si="30">H64*N64*G64/1000</f>
        <v>0</v>
      </c>
      <c r="P64" s="488"/>
      <c r="Q64" s="493"/>
    </row>
    <row r="65" spans="1:17">
      <c r="A65" s="110" t="s">
        <v>744</v>
      </c>
      <c r="B65" s="488" t="s">
        <v>239</v>
      </c>
      <c r="C65" s="112" t="s">
        <v>228</v>
      </c>
      <c r="D65" s="113" t="s">
        <v>745</v>
      </c>
      <c r="E65" s="489" t="s">
        <v>15</v>
      </c>
      <c r="F65" s="489" t="s">
        <v>144</v>
      </c>
      <c r="G65" s="490">
        <v>5.38</v>
      </c>
      <c r="H65" s="491">
        <v>11.5</v>
      </c>
      <c r="I65" s="492">
        <v>9</v>
      </c>
      <c r="J65" s="117">
        <f t="shared" si="27"/>
        <v>0.55682999999999994</v>
      </c>
      <c r="K65" s="118"/>
      <c r="L65" s="488">
        <v>7</v>
      </c>
      <c r="M65" s="117">
        <f t="shared" si="28"/>
        <v>0.43308999999999997</v>
      </c>
      <c r="N65" s="119">
        <f t="shared" si="29"/>
        <v>2</v>
      </c>
      <c r="O65" s="120">
        <f t="shared" si="30"/>
        <v>0.12373999999999999</v>
      </c>
      <c r="P65" s="488"/>
      <c r="Q65" s="493"/>
    </row>
    <row r="66" spans="1:17">
      <c r="A66" s="110" t="s">
        <v>744</v>
      </c>
      <c r="B66" s="488" t="s">
        <v>239</v>
      </c>
      <c r="C66" s="112" t="s">
        <v>430</v>
      </c>
      <c r="D66" s="113" t="s">
        <v>745</v>
      </c>
      <c r="E66" s="519" t="s">
        <v>15</v>
      </c>
      <c r="F66" s="519" t="s">
        <v>144</v>
      </c>
      <c r="G66" s="520">
        <v>5.38</v>
      </c>
      <c r="H66" s="491">
        <v>11</v>
      </c>
      <c r="I66" s="492">
        <v>2</v>
      </c>
      <c r="J66" s="117">
        <f t="shared" ref="J66:J67" si="31">H66*G66*I66/1000</f>
        <v>0.11835999999999999</v>
      </c>
      <c r="K66" s="118"/>
      <c r="L66" s="488">
        <v>2</v>
      </c>
      <c r="M66" s="117">
        <f t="shared" ref="M66:M67" si="32">H66*L66*G66/1000</f>
        <v>0.11835999999999999</v>
      </c>
      <c r="N66" s="119">
        <f t="shared" ref="N66:N67" si="33">I66-L66</f>
        <v>0</v>
      </c>
      <c r="O66" s="120">
        <f t="shared" ref="O66:O67" si="34">H66*N66*G66/1000</f>
        <v>0</v>
      </c>
      <c r="P66" s="488"/>
      <c r="Q66" s="488"/>
    </row>
    <row r="67" spans="1:17">
      <c r="A67" s="110" t="s">
        <v>744</v>
      </c>
      <c r="B67" s="488" t="s">
        <v>239</v>
      </c>
      <c r="C67" s="112" t="s">
        <v>430</v>
      </c>
      <c r="D67" s="113" t="s">
        <v>745</v>
      </c>
      <c r="E67" s="519" t="s">
        <v>15</v>
      </c>
      <c r="F67" s="519" t="s">
        <v>144</v>
      </c>
      <c r="G67" s="520">
        <v>5.38</v>
      </c>
      <c r="H67" s="491">
        <v>11.5</v>
      </c>
      <c r="I67" s="492">
        <v>4</v>
      </c>
      <c r="J67" s="117">
        <f t="shared" si="31"/>
        <v>0.24747999999999998</v>
      </c>
      <c r="K67" s="118"/>
      <c r="L67" s="488"/>
      <c r="M67" s="117">
        <f t="shared" si="32"/>
        <v>0</v>
      </c>
      <c r="N67" s="119">
        <f t="shared" si="33"/>
        <v>4</v>
      </c>
      <c r="O67" s="120">
        <f t="shared" si="34"/>
        <v>0.24747999999999998</v>
      </c>
      <c r="P67" s="488"/>
      <c r="Q67" s="488"/>
    </row>
    <row r="68" spans="1:17">
      <c r="A68" s="110" t="s">
        <v>744</v>
      </c>
      <c r="B68" s="488" t="s">
        <v>239</v>
      </c>
      <c r="C68" s="32"/>
      <c r="D68" s="113" t="s">
        <v>745</v>
      </c>
      <c r="E68" s="519" t="s">
        <v>15</v>
      </c>
      <c r="F68" s="519" t="s">
        <v>144</v>
      </c>
      <c r="G68" s="32"/>
      <c r="H68" s="32"/>
      <c r="I68" s="507">
        <f>SUM(I63:I67)</f>
        <v>42</v>
      </c>
      <c r="J68" s="508">
        <f>SUM(J63:J67)</f>
        <v>2.5501199999999997</v>
      </c>
      <c r="K68" s="32"/>
      <c r="L68" s="129">
        <f>SUM(L63:L67)</f>
        <v>36</v>
      </c>
      <c r="M68" s="124">
        <f>SUM(M63:M67)</f>
        <v>2.1788999999999996</v>
      </c>
      <c r="N68" s="131">
        <f>SUM(N63:N67)</f>
        <v>6</v>
      </c>
      <c r="O68" s="132">
        <f>SUM(O63:O67)</f>
        <v>0.37121999999999999</v>
      </c>
      <c r="P68" s="32"/>
      <c r="Q68" s="32"/>
    </row>
    <row r="69" spans="1:17">
      <c r="A69" s="110" t="s">
        <v>744</v>
      </c>
      <c r="B69" s="488" t="s">
        <v>227</v>
      </c>
      <c r="C69" s="112" t="s">
        <v>430</v>
      </c>
      <c r="D69" s="113" t="s">
        <v>17</v>
      </c>
      <c r="E69" s="489" t="s">
        <v>15</v>
      </c>
      <c r="F69" s="489" t="s">
        <v>144</v>
      </c>
      <c r="G69" s="490">
        <v>5.38</v>
      </c>
      <c r="H69" s="491">
        <v>12</v>
      </c>
      <c r="I69" s="492">
        <v>39</v>
      </c>
      <c r="J69" s="117">
        <f t="shared" ref="J69:J81" si="35">H69*G69*I69/1000</f>
        <v>2.5178400000000001</v>
      </c>
      <c r="K69" s="118"/>
      <c r="L69" s="488">
        <v>39</v>
      </c>
      <c r="M69" s="117">
        <f t="shared" ref="M69:M77" si="36">H69*L69*G69/1000</f>
        <v>2.5178400000000001</v>
      </c>
      <c r="N69" s="119">
        <f t="shared" ref="N69:N77" si="37">I69-L69</f>
        <v>0</v>
      </c>
      <c r="O69" s="120">
        <f t="shared" ref="O69:O77" si="38">H69*N69*G69/1000</f>
        <v>0</v>
      </c>
      <c r="P69" s="488"/>
      <c r="Q69" s="493"/>
    </row>
    <row r="70" spans="1:17">
      <c r="A70" s="110" t="s">
        <v>744</v>
      </c>
      <c r="B70" s="488" t="s">
        <v>227</v>
      </c>
      <c r="C70" s="112" t="s">
        <v>430</v>
      </c>
      <c r="D70" s="113" t="s">
        <v>17</v>
      </c>
      <c r="E70" s="489" t="s">
        <v>15</v>
      </c>
      <c r="F70" s="489" t="s">
        <v>144</v>
      </c>
      <c r="G70" s="490">
        <v>5.38</v>
      </c>
      <c r="H70" s="491">
        <v>10.5</v>
      </c>
      <c r="I70" s="492">
        <v>39</v>
      </c>
      <c r="J70" s="117">
        <f t="shared" si="35"/>
        <v>2.2031100000000001</v>
      </c>
      <c r="K70" s="118"/>
      <c r="L70" s="488">
        <f>37+2</f>
        <v>39</v>
      </c>
      <c r="M70" s="117">
        <f t="shared" si="36"/>
        <v>2.2031100000000001</v>
      </c>
      <c r="N70" s="119">
        <f t="shared" si="37"/>
        <v>0</v>
      </c>
      <c r="O70" s="120">
        <f t="shared" si="38"/>
        <v>0</v>
      </c>
      <c r="P70" s="488"/>
      <c r="Q70" s="493"/>
    </row>
    <row r="71" spans="1:17">
      <c r="A71" s="110" t="s">
        <v>744</v>
      </c>
      <c r="B71" s="488" t="s">
        <v>227</v>
      </c>
      <c r="C71" s="112" t="s">
        <v>430</v>
      </c>
      <c r="D71" s="113" t="s">
        <v>17</v>
      </c>
      <c r="E71" s="489" t="s">
        <v>15</v>
      </c>
      <c r="F71" s="489" t="s">
        <v>144</v>
      </c>
      <c r="G71" s="490">
        <v>5.38</v>
      </c>
      <c r="H71" s="491">
        <v>10.5</v>
      </c>
      <c r="I71" s="492">
        <v>39</v>
      </c>
      <c r="J71" s="117">
        <f t="shared" si="35"/>
        <v>2.2031100000000001</v>
      </c>
      <c r="K71" s="118"/>
      <c r="L71" s="488">
        <v>39</v>
      </c>
      <c r="M71" s="117">
        <f t="shared" si="36"/>
        <v>2.2031100000000001</v>
      </c>
      <c r="N71" s="119">
        <f t="shared" si="37"/>
        <v>0</v>
      </c>
      <c r="O71" s="120">
        <f t="shared" si="38"/>
        <v>0</v>
      </c>
      <c r="P71" s="488"/>
      <c r="Q71" s="493"/>
    </row>
    <row r="72" spans="1:17">
      <c r="A72" s="110" t="s">
        <v>744</v>
      </c>
      <c r="B72" s="488" t="s">
        <v>227</v>
      </c>
      <c r="C72" s="112" t="s">
        <v>430</v>
      </c>
      <c r="D72" s="113" t="s">
        <v>17</v>
      </c>
      <c r="E72" s="489" t="s">
        <v>15</v>
      </c>
      <c r="F72" s="489" t="s">
        <v>144</v>
      </c>
      <c r="G72" s="490">
        <v>5.38</v>
      </c>
      <c r="H72" s="491">
        <v>10.5</v>
      </c>
      <c r="I72" s="492">
        <v>27</v>
      </c>
      <c r="J72" s="117">
        <f t="shared" si="35"/>
        <v>1.5252300000000001</v>
      </c>
      <c r="K72" s="118"/>
      <c r="L72" s="488">
        <v>27</v>
      </c>
      <c r="M72" s="117">
        <f t="shared" si="36"/>
        <v>1.5252300000000001</v>
      </c>
      <c r="N72" s="119">
        <f t="shared" si="37"/>
        <v>0</v>
      </c>
      <c r="O72" s="120">
        <f t="shared" si="38"/>
        <v>0</v>
      </c>
      <c r="P72" s="488"/>
      <c r="Q72" s="493"/>
    </row>
    <row r="73" spans="1:17">
      <c r="A73" s="110" t="s">
        <v>744</v>
      </c>
      <c r="B73" s="488" t="s">
        <v>227</v>
      </c>
      <c r="C73" s="112" t="s">
        <v>430</v>
      </c>
      <c r="D73" s="113" t="s">
        <v>17</v>
      </c>
      <c r="E73" s="489" t="s">
        <v>15</v>
      </c>
      <c r="F73" s="489" t="s">
        <v>144</v>
      </c>
      <c r="G73" s="490">
        <v>5.38</v>
      </c>
      <c r="H73" s="491">
        <v>11</v>
      </c>
      <c r="I73" s="492">
        <v>32</v>
      </c>
      <c r="J73" s="117">
        <f t="shared" si="35"/>
        <v>1.8937599999999999</v>
      </c>
      <c r="K73" s="118"/>
      <c r="L73" s="488">
        <f>12+20</f>
        <v>32</v>
      </c>
      <c r="M73" s="117">
        <f t="shared" si="36"/>
        <v>1.8937599999999999</v>
      </c>
      <c r="N73" s="119">
        <f t="shared" si="37"/>
        <v>0</v>
      </c>
      <c r="O73" s="120">
        <f t="shared" si="38"/>
        <v>0</v>
      </c>
      <c r="P73" s="488"/>
      <c r="Q73" s="493"/>
    </row>
    <row r="74" spans="1:17">
      <c r="A74" s="110" t="s">
        <v>744</v>
      </c>
      <c r="B74" s="488" t="s">
        <v>227</v>
      </c>
      <c r="C74" s="112" t="s">
        <v>430</v>
      </c>
      <c r="D74" s="113" t="s">
        <v>17</v>
      </c>
      <c r="E74" s="489" t="s">
        <v>15</v>
      </c>
      <c r="F74" s="489" t="s">
        <v>144</v>
      </c>
      <c r="G74" s="490">
        <v>5.38</v>
      </c>
      <c r="H74" s="491">
        <v>11</v>
      </c>
      <c r="I74" s="492">
        <v>29</v>
      </c>
      <c r="J74" s="117">
        <f t="shared" si="35"/>
        <v>1.7162200000000001</v>
      </c>
      <c r="K74" s="118"/>
      <c r="L74" s="488">
        <v>29</v>
      </c>
      <c r="M74" s="117">
        <f t="shared" si="36"/>
        <v>1.7162200000000001</v>
      </c>
      <c r="N74" s="119">
        <f t="shared" si="37"/>
        <v>0</v>
      </c>
      <c r="O74" s="120">
        <f t="shared" si="38"/>
        <v>0</v>
      </c>
      <c r="P74" s="488"/>
      <c r="Q74" s="493"/>
    </row>
    <row r="75" spans="1:17">
      <c r="A75" s="110" t="s">
        <v>744</v>
      </c>
      <c r="B75" s="488" t="s">
        <v>227</v>
      </c>
      <c r="C75" s="112" t="s">
        <v>430</v>
      </c>
      <c r="D75" s="113" t="s">
        <v>17</v>
      </c>
      <c r="E75" s="489" t="s">
        <v>15</v>
      </c>
      <c r="F75" s="489" t="s">
        <v>144</v>
      </c>
      <c r="G75" s="490">
        <v>5.38</v>
      </c>
      <c r="H75" s="491">
        <v>12</v>
      </c>
      <c r="I75" s="492">
        <v>18</v>
      </c>
      <c r="J75" s="117">
        <f t="shared" si="35"/>
        <v>1.16208</v>
      </c>
      <c r="K75" s="118"/>
      <c r="L75" s="488">
        <v>18</v>
      </c>
      <c r="M75" s="117">
        <f t="shared" si="36"/>
        <v>1.16208</v>
      </c>
      <c r="N75" s="119">
        <f t="shared" si="37"/>
        <v>0</v>
      </c>
      <c r="O75" s="120">
        <f t="shared" si="38"/>
        <v>0</v>
      </c>
      <c r="P75" s="488"/>
      <c r="Q75" s="493"/>
    </row>
    <row r="76" spans="1:17">
      <c r="A76" s="110" t="s">
        <v>744</v>
      </c>
      <c r="B76" s="488" t="s">
        <v>227</v>
      </c>
      <c r="C76" s="112" t="s">
        <v>430</v>
      </c>
      <c r="D76" s="113" t="s">
        <v>17</v>
      </c>
      <c r="E76" s="489" t="s">
        <v>15</v>
      </c>
      <c r="F76" s="489" t="s">
        <v>144</v>
      </c>
      <c r="G76" s="490">
        <v>5.38</v>
      </c>
      <c r="H76" s="491">
        <v>7.8</v>
      </c>
      <c r="I76" s="492">
        <v>1</v>
      </c>
      <c r="J76" s="117">
        <f t="shared" si="35"/>
        <v>4.1964000000000001E-2</v>
      </c>
      <c r="K76" s="118"/>
      <c r="L76" s="488"/>
      <c r="M76" s="117">
        <f t="shared" si="36"/>
        <v>0</v>
      </c>
      <c r="N76" s="119">
        <f t="shared" si="37"/>
        <v>1</v>
      </c>
      <c r="O76" s="120">
        <f t="shared" si="38"/>
        <v>4.1964000000000001E-2</v>
      </c>
      <c r="P76" s="488"/>
      <c r="Q76" s="493"/>
    </row>
    <row r="77" spans="1:17">
      <c r="A77" s="110" t="s">
        <v>744</v>
      </c>
      <c r="B77" s="488" t="s">
        <v>227</v>
      </c>
      <c r="C77" s="112" t="s">
        <v>430</v>
      </c>
      <c r="D77" s="113" t="s">
        <v>17</v>
      </c>
      <c r="E77" s="489" t="s">
        <v>15</v>
      </c>
      <c r="F77" s="489" t="s">
        <v>144</v>
      </c>
      <c r="G77" s="490">
        <v>5.38</v>
      </c>
      <c r="H77" s="491">
        <v>8.75</v>
      </c>
      <c r="I77" s="492">
        <v>1</v>
      </c>
      <c r="J77" s="117">
        <f t="shared" si="35"/>
        <v>4.7074999999999999E-2</v>
      </c>
      <c r="K77" s="118"/>
      <c r="L77" s="488"/>
      <c r="M77" s="117">
        <f t="shared" si="36"/>
        <v>0</v>
      </c>
      <c r="N77" s="119">
        <f t="shared" si="37"/>
        <v>1</v>
      </c>
      <c r="O77" s="120">
        <f t="shared" si="38"/>
        <v>4.7074999999999999E-2</v>
      </c>
      <c r="P77" s="488"/>
      <c r="Q77" s="493"/>
    </row>
    <row r="78" spans="1:17">
      <c r="A78" s="110" t="s">
        <v>744</v>
      </c>
      <c r="B78" s="488" t="s">
        <v>227</v>
      </c>
      <c r="C78" s="112" t="s">
        <v>430</v>
      </c>
      <c r="D78" s="113" t="s">
        <v>17</v>
      </c>
      <c r="E78" s="489" t="s">
        <v>15</v>
      </c>
      <c r="F78" s="489" t="s">
        <v>144</v>
      </c>
      <c r="G78" s="490">
        <v>5.38</v>
      </c>
      <c r="H78" s="491">
        <v>9</v>
      </c>
      <c r="I78" s="492">
        <v>4</v>
      </c>
      <c r="J78" s="117">
        <f t="shared" si="35"/>
        <v>0.19368000000000002</v>
      </c>
      <c r="K78" s="118"/>
      <c r="L78" s="488"/>
      <c r="M78" s="117">
        <f t="shared" ref="M78:M81" si="39">H78*L78*G78/1000</f>
        <v>0</v>
      </c>
      <c r="N78" s="119">
        <f t="shared" ref="N78:N81" si="40">I78-L78</f>
        <v>4</v>
      </c>
      <c r="O78" s="120">
        <f t="shared" ref="O78:O79" si="41">H78*N78*G78/1000</f>
        <v>0.19368000000000002</v>
      </c>
      <c r="P78" s="488"/>
      <c r="Q78" s="493"/>
    </row>
    <row r="79" spans="1:17">
      <c r="A79" s="110" t="s">
        <v>744</v>
      </c>
      <c r="B79" s="488" t="s">
        <v>227</v>
      </c>
      <c r="C79" s="112" t="s">
        <v>430</v>
      </c>
      <c r="D79" s="113" t="s">
        <v>17</v>
      </c>
      <c r="E79" s="489" t="s">
        <v>15</v>
      </c>
      <c r="F79" s="489" t="s">
        <v>144</v>
      </c>
      <c r="G79" s="490">
        <v>5.38</v>
      </c>
      <c r="H79" s="491">
        <v>9.5</v>
      </c>
      <c r="I79" s="492">
        <v>2</v>
      </c>
      <c r="J79" s="117">
        <f t="shared" si="35"/>
        <v>0.10222000000000001</v>
      </c>
      <c r="K79" s="118"/>
      <c r="L79" s="488"/>
      <c r="M79" s="117">
        <f t="shared" si="39"/>
        <v>0</v>
      </c>
      <c r="N79" s="119">
        <f t="shared" si="40"/>
        <v>2</v>
      </c>
      <c r="O79" s="120">
        <f t="shared" si="41"/>
        <v>0.10222000000000001</v>
      </c>
      <c r="P79" s="488"/>
      <c r="Q79" s="493"/>
    </row>
    <row r="80" spans="1:17">
      <c r="A80" s="110" t="s">
        <v>744</v>
      </c>
      <c r="B80" s="488" t="s">
        <v>227</v>
      </c>
      <c r="C80" s="112" t="s">
        <v>430</v>
      </c>
      <c r="D80" s="113" t="s">
        <v>17</v>
      </c>
      <c r="E80" s="489" t="s">
        <v>15</v>
      </c>
      <c r="F80" s="489" t="s">
        <v>144</v>
      </c>
      <c r="G80" s="490">
        <v>5.38</v>
      </c>
      <c r="H80" s="491">
        <v>9.6999999999999993</v>
      </c>
      <c r="I80" s="492">
        <v>2</v>
      </c>
      <c r="J80" s="117">
        <f t="shared" si="35"/>
        <v>0.10437199999999999</v>
      </c>
      <c r="K80" s="118"/>
      <c r="L80" s="488"/>
      <c r="M80" s="117">
        <f t="shared" si="39"/>
        <v>0</v>
      </c>
      <c r="N80" s="119">
        <f t="shared" si="40"/>
        <v>2</v>
      </c>
      <c r="O80" s="120">
        <f>H80*N80*G80/1000</f>
        <v>0.10437199999999999</v>
      </c>
      <c r="P80" s="488"/>
      <c r="Q80" s="493"/>
    </row>
    <row r="81" spans="1:17">
      <c r="A81" s="110" t="s">
        <v>744</v>
      </c>
      <c r="B81" s="488" t="s">
        <v>227</v>
      </c>
      <c r="C81" s="112" t="s">
        <v>430</v>
      </c>
      <c r="D81" s="113" t="s">
        <v>17</v>
      </c>
      <c r="E81" s="489" t="s">
        <v>15</v>
      </c>
      <c r="F81" s="489" t="s">
        <v>144</v>
      </c>
      <c r="G81" s="490">
        <v>5.38</v>
      </c>
      <c r="H81" s="491">
        <v>10</v>
      </c>
      <c r="I81" s="492">
        <v>7</v>
      </c>
      <c r="J81" s="117">
        <f t="shared" si="35"/>
        <v>0.37659999999999999</v>
      </c>
      <c r="K81" s="118"/>
      <c r="L81" s="488"/>
      <c r="M81" s="117">
        <f t="shared" si="39"/>
        <v>0</v>
      </c>
      <c r="N81" s="119">
        <f t="shared" si="40"/>
        <v>7</v>
      </c>
      <c r="O81" s="120">
        <f>H81*N81*G81/1000</f>
        <v>0.37659999999999999</v>
      </c>
      <c r="P81" s="488"/>
      <c r="Q81" s="493"/>
    </row>
    <row r="82" spans="1:17">
      <c r="A82" s="110" t="s">
        <v>744</v>
      </c>
      <c r="B82" s="488" t="s">
        <v>227</v>
      </c>
      <c r="C82" s="112" t="s">
        <v>430</v>
      </c>
      <c r="D82" s="113" t="s">
        <v>17</v>
      </c>
      <c r="E82" s="489" t="s">
        <v>15</v>
      </c>
      <c r="F82" s="489" t="s">
        <v>144</v>
      </c>
      <c r="G82" s="490">
        <v>5.38</v>
      </c>
      <c r="H82" s="491">
        <v>12</v>
      </c>
      <c r="I82" s="492">
        <v>35</v>
      </c>
      <c r="J82" s="117">
        <f t="shared" ref="J82:J93" si="42">H82*G82*I82/1000</f>
        <v>2.2595999999999998</v>
      </c>
      <c r="K82" s="118"/>
      <c r="L82" s="488">
        <v>35</v>
      </c>
      <c r="M82" s="117">
        <f t="shared" ref="M82:M93" si="43">H82*L82*G82/1000</f>
        <v>2.2595999999999998</v>
      </c>
      <c r="N82" s="119">
        <f t="shared" ref="N82:N93" si="44">I82-L82</f>
        <v>0</v>
      </c>
      <c r="O82" s="120">
        <f t="shared" ref="O82:O93" si="45">H82*N82*G82/1000</f>
        <v>0</v>
      </c>
      <c r="P82" s="488"/>
      <c r="Q82" s="493"/>
    </row>
    <row r="83" spans="1:17">
      <c r="A83" s="110" t="s">
        <v>744</v>
      </c>
      <c r="B83" s="488" t="s">
        <v>227</v>
      </c>
      <c r="C83" s="112" t="s">
        <v>430</v>
      </c>
      <c r="D83" s="113" t="s">
        <v>17</v>
      </c>
      <c r="E83" s="489" t="s">
        <v>15</v>
      </c>
      <c r="F83" s="489" t="s">
        <v>144</v>
      </c>
      <c r="G83" s="490">
        <v>5.38</v>
      </c>
      <c r="H83" s="491">
        <v>10.5</v>
      </c>
      <c r="I83" s="492">
        <v>36</v>
      </c>
      <c r="J83" s="117">
        <f t="shared" si="42"/>
        <v>2.0336400000000001</v>
      </c>
      <c r="K83" s="118"/>
      <c r="L83" s="488">
        <v>36</v>
      </c>
      <c r="M83" s="117">
        <f t="shared" si="43"/>
        <v>2.0336399999999997</v>
      </c>
      <c r="N83" s="119">
        <f t="shared" si="44"/>
        <v>0</v>
      </c>
      <c r="O83" s="120">
        <f t="shared" si="45"/>
        <v>0</v>
      </c>
      <c r="P83" s="488"/>
      <c r="Q83" s="493"/>
    </row>
    <row r="84" spans="1:17">
      <c r="A84" s="110" t="s">
        <v>744</v>
      </c>
      <c r="B84" s="488" t="s">
        <v>227</v>
      </c>
      <c r="C84" s="112" t="s">
        <v>430</v>
      </c>
      <c r="D84" s="113" t="s">
        <v>17</v>
      </c>
      <c r="E84" s="489" t="s">
        <v>15</v>
      </c>
      <c r="F84" s="489" t="s">
        <v>144</v>
      </c>
      <c r="G84" s="490">
        <v>5.38</v>
      </c>
      <c r="H84" s="491">
        <v>10.5</v>
      </c>
      <c r="I84" s="492">
        <v>39</v>
      </c>
      <c r="J84" s="117">
        <f t="shared" si="42"/>
        <v>2.2031100000000001</v>
      </c>
      <c r="K84" s="118"/>
      <c r="L84" s="488">
        <f>39+18</f>
        <v>57</v>
      </c>
      <c r="M84" s="117">
        <f t="shared" si="43"/>
        <v>3.2199299999999997</v>
      </c>
      <c r="N84" s="180">
        <f t="shared" si="44"/>
        <v>-18</v>
      </c>
      <c r="O84" s="181">
        <f t="shared" si="45"/>
        <v>-1.0168199999999998</v>
      </c>
      <c r="P84" s="488" t="s">
        <v>225</v>
      </c>
      <c r="Q84" s="493"/>
    </row>
    <row r="85" spans="1:17">
      <c r="A85" s="110" t="s">
        <v>744</v>
      </c>
      <c r="B85" s="488" t="s">
        <v>227</v>
      </c>
      <c r="C85" s="112" t="s">
        <v>430</v>
      </c>
      <c r="D85" s="113" t="s">
        <v>17</v>
      </c>
      <c r="E85" s="489" t="s">
        <v>15</v>
      </c>
      <c r="F85" s="489" t="s">
        <v>144</v>
      </c>
      <c r="G85" s="490">
        <v>5.38</v>
      </c>
      <c r="H85" s="491">
        <v>11</v>
      </c>
      <c r="I85" s="492">
        <v>35</v>
      </c>
      <c r="J85" s="117">
        <f t="shared" si="42"/>
        <v>2.0713000000000004</v>
      </c>
      <c r="K85" s="118"/>
      <c r="L85" s="488">
        <v>35</v>
      </c>
      <c r="M85" s="117">
        <f t="shared" si="43"/>
        <v>2.0713000000000004</v>
      </c>
      <c r="N85" s="119">
        <f t="shared" si="44"/>
        <v>0</v>
      </c>
      <c r="O85" s="120">
        <f t="shared" si="45"/>
        <v>0</v>
      </c>
      <c r="P85" s="488"/>
      <c r="Q85" s="493"/>
    </row>
    <row r="86" spans="1:17">
      <c r="A86" s="110" t="s">
        <v>744</v>
      </c>
      <c r="B86" s="488" t="s">
        <v>227</v>
      </c>
      <c r="C86" s="112" t="s">
        <v>430</v>
      </c>
      <c r="D86" s="113" t="s">
        <v>17</v>
      </c>
      <c r="E86" s="489" t="s">
        <v>15</v>
      </c>
      <c r="F86" s="489" t="s">
        <v>144</v>
      </c>
      <c r="G86" s="490">
        <v>5.38</v>
      </c>
      <c r="H86" s="491">
        <v>11</v>
      </c>
      <c r="I86" s="492">
        <v>7</v>
      </c>
      <c r="J86" s="117">
        <f t="shared" si="42"/>
        <v>0.41426000000000002</v>
      </c>
      <c r="K86" s="118"/>
      <c r="L86" s="488">
        <f>6+1</f>
        <v>7</v>
      </c>
      <c r="M86" s="117">
        <f t="shared" si="43"/>
        <v>0.41426000000000002</v>
      </c>
      <c r="N86" s="119">
        <f t="shared" si="44"/>
        <v>0</v>
      </c>
      <c r="O86" s="120">
        <f t="shared" si="45"/>
        <v>0</v>
      </c>
      <c r="P86" s="506">
        <v>10.5</v>
      </c>
      <c r="Q86" s="493">
        <v>1</v>
      </c>
    </row>
    <row r="87" spans="1:17">
      <c r="A87" s="110" t="s">
        <v>744</v>
      </c>
      <c r="B87" s="488" t="s">
        <v>227</v>
      </c>
      <c r="C87" s="112" t="s">
        <v>430</v>
      </c>
      <c r="D87" s="113" t="s">
        <v>17</v>
      </c>
      <c r="E87" s="489" t="s">
        <v>15</v>
      </c>
      <c r="F87" s="489" t="s">
        <v>144</v>
      </c>
      <c r="G87" s="490">
        <v>5.38</v>
      </c>
      <c r="H87" s="491">
        <v>10.5</v>
      </c>
      <c r="I87" s="492">
        <v>32</v>
      </c>
      <c r="J87" s="117">
        <f t="shared" si="42"/>
        <v>1.80768</v>
      </c>
      <c r="K87" s="118"/>
      <c r="L87" s="488">
        <v>32</v>
      </c>
      <c r="M87" s="117">
        <f t="shared" si="43"/>
        <v>1.80768</v>
      </c>
      <c r="N87" s="119">
        <f t="shared" si="44"/>
        <v>0</v>
      </c>
      <c r="O87" s="120">
        <f t="shared" si="45"/>
        <v>0</v>
      </c>
      <c r="P87" s="506"/>
      <c r="Q87" s="493"/>
    </row>
    <row r="88" spans="1:17">
      <c r="A88" s="110" t="s">
        <v>744</v>
      </c>
      <c r="B88" s="488" t="s">
        <v>227</v>
      </c>
      <c r="C88" s="112" t="s">
        <v>430</v>
      </c>
      <c r="D88" s="113" t="s">
        <v>17</v>
      </c>
      <c r="E88" s="489" t="s">
        <v>15</v>
      </c>
      <c r="F88" s="489" t="s">
        <v>144</v>
      </c>
      <c r="G88" s="490">
        <v>5.38</v>
      </c>
      <c r="H88" s="491">
        <v>12</v>
      </c>
      <c r="I88" s="492">
        <v>25</v>
      </c>
      <c r="J88" s="117">
        <f t="shared" si="42"/>
        <v>1.6140000000000001</v>
      </c>
      <c r="K88" s="118"/>
      <c r="L88" s="488">
        <f>19+6</f>
        <v>25</v>
      </c>
      <c r="M88" s="117">
        <f t="shared" si="43"/>
        <v>1.6140000000000001</v>
      </c>
      <c r="N88" s="119">
        <f t="shared" si="44"/>
        <v>0</v>
      </c>
      <c r="O88" s="120">
        <f t="shared" si="45"/>
        <v>0</v>
      </c>
      <c r="P88" s="506">
        <v>10.5</v>
      </c>
      <c r="Q88" s="493">
        <v>6</v>
      </c>
    </row>
    <row r="89" spans="1:17">
      <c r="A89" s="110" t="s">
        <v>744</v>
      </c>
      <c r="B89" s="488" t="s">
        <v>227</v>
      </c>
      <c r="C89" s="112" t="s">
        <v>430</v>
      </c>
      <c r="D89" s="113" t="s">
        <v>17</v>
      </c>
      <c r="E89" s="489" t="s">
        <v>15</v>
      </c>
      <c r="F89" s="489" t="s">
        <v>144</v>
      </c>
      <c r="G89" s="490">
        <v>5.38</v>
      </c>
      <c r="H89" s="491">
        <v>7.5</v>
      </c>
      <c r="I89" s="492">
        <v>1</v>
      </c>
      <c r="J89" s="117">
        <f t="shared" si="42"/>
        <v>4.0350000000000004E-2</v>
      </c>
      <c r="K89" s="118"/>
      <c r="L89" s="488"/>
      <c r="M89" s="117">
        <f t="shared" si="43"/>
        <v>0</v>
      </c>
      <c r="N89" s="119">
        <f t="shared" si="44"/>
        <v>1</v>
      </c>
      <c r="O89" s="120">
        <f t="shared" si="45"/>
        <v>4.0350000000000004E-2</v>
      </c>
      <c r="P89" s="488"/>
      <c r="Q89" s="493"/>
    </row>
    <row r="90" spans="1:17">
      <c r="A90" s="110" t="s">
        <v>744</v>
      </c>
      <c r="B90" s="488" t="s">
        <v>227</v>
      </c>
      <c r="C90" s="112" t="s">
        <v>430</v>
      </c>
      <c r="D90" s="113" t="s">
        <v>17</v>
      </c>
      <c r="E90" s="489" t="s">
        <v>15</v>
      </c>
      <c r="F90" s="489" t="s">
        <v>144</v>
      </c>
      <c r="G90" s="490">
        <v>5.38</v>
      </c>
      <c r="H90" s="491">
        <v>8.6</v>
      </c>
      <c r="I90" s="492">
        <v>1</v>
      </c>
      <c r="J90" s="117">
        <f t="shared" si="42"/>
        <v>4.6268000000000004E-2</v>
      </c>
      <c r="K90" s="118"/>
      <c r="L90" s="488"/>
      <c r="M90" s="117">
        <f t="shared" si="43"/>
        <v>0</v>
      </c>
      <c r="N90" s="119">
        <f t="shared" si="44"/>
        <v>1</v>
      </c>
      <c r="O90" s="120">
        <f t="shared" si="45"/>
        <v>4.6268000000000004E-2</v>
      </c>
      <c r="P90" s="488"/>
      <c r="Q90" s="493"/>
    </row>
    <row r="91" spans="1:17">
      <c r="A91" s="110" t="s">
        <v>744</v>
      </c>
      <c r="B91" s="488" t="s">
        <v>227</v>
      </c>
      <c r="C91" s="112" t="s">
        <v>430</v>
      </c>
      <c r="D91" s="113" t="s">
        <v>17</v>
      </c>
      <c r="E91" s="489" t="s">
        <v>15</v>
      </c>
      <c r="F91" s="489" t="s">
        <v>144</v>
      </c>
      <c r="G91" s="490">
        <v>5.38</v>
      </c>
      <c r="H91" s="491">
        <v>8.8000000000000007</v>
      </c>
      <c r="I91" s="492">
        <v>3</v>
      </c>
      <c r="J91" s="117">
        <f t="shared" si="42"/>
        <v>0.14203200000000002</v>
      </c>
      <c r="K91" s="118"/>
      <c r="L91" s="488"/>
      <c r="M91" s="117">
        <f t="shared" si="43"/>
        <v>0</v>
      </c>
      <c r="N91" s="119">
        <f t="shared" si="44"/>
        <v>3</v>
      </c>
      <c r="O91" s="120">
        <f t="shared" si="45"/>
        <v>0.14203200000000002</v>
      </c>
      <c r="P91" s="488"/>
      <c r="Q91" s="493"/>
    </row>
    <row r="92" spans="1:17">
      <c r="A92" s="110" t="s">
        <v>744</v>
      </c>
      <c r="B92" s="488" t="s">
        <v>227</v>
      </c>
      <c r="C92" s="112" t="s">
        <v>430</v>
      </c>
      <c r="D92" s="113" t="s">
        <v>17</v>
      </c>
      <c r="E92" s="489" t="s">
        <v>15</v>
      </c>
      <c r="F92" s="489" t="s">
        <v>144</v>
      </c>
      <c r="G92" s="490">
        <v>5.38</v>
      </c>
      <c r="H92" s="491">
        <v>9.25</v>
      </c>
      <c r="I92" s="492">
        <v>1</v>
      </c>
      <c r="J92" s="117">
        <f t="shared" si="42"/>
        <v>4.9765000000000004E-2</v>
      </c>
      <c r="K92" s="118"/>
      <c r="L92" s="488"/>
      <c r="M92" s="117">
        <f t="shared" si="43"/>
        <v>0</v>
      </c>
      <c r="N92" s="119">
        <f t="shared" si="44"/>
        <v>1</v>
      </c>
      <c r="O92" s="120">
        <f t="shared" si="45"/>
        <v>4.9765000000000004E-2</v>
      </c>
      <c r="P92" s="488"/>
      <c r="Q92" s="493"/>
    </row>
    <row r="93" spans="1:17">
      <c r="A93" s="110" t="s">
        <v>744</v>
      </c>
      <c r="B93" s="488" t="s">
        <v>227</v>
      </c>
      <c r="C93" s="112" t="s">
        <v>430</v>
      </c>
      <c r="D93" s="113" t="s">
        <v>17</v>
      </c>
      <c r="E93" s="489" t="s">
        <v>15</v>
      </c>
      <c r="F93" s="489" t="s">
        <v>144</v>
      </c>
      <c r="G93" s="490">
        <v>5.38</v>
      </c>
      <c r="H93" s="491">
        <v>9.4</v>
      </c>
      <c r="I93" s="492">
        <v>1</v>
      </c>
      <c r="J93" s="117">
        <f t="shared" si="42"/>
        <v>5.0572000000000006E-2</v>
      </c>
      <c r="K93" s="118"/>
      <c r="L93" s="488"/>
      <c r="M93" s="117">
        <f t="shared" si="43"/>
        <v>0</v>
      </c>
      <c r="N93" s="119">
        <f t="shared" si="44"/>
        <v>1</v>
      </c>
      <c r="O93" s="120">
        <f t="shared" si="45"/>
        <v>5.0572000000000006E-2</v>
      </c>
      <c r="P93" s="488"/>
      <c r="Q93" s="493"/>
    </row>
    <row r="94" spans="1:17">
      <c r="A94" s="110" t="s">
        <v>744</v>
      </c>
      <c r="B94" s="488" t="s">
        <v>227</v>
      </c>
      <c r="C94" s="112" t="s">
        <v>430</v>
      </c>
      <c r="D94" s="113" t="s">
        <v>17</v>
      </c>
      <c r="E94" s="489" t="s">
        <v>15</v>
      </c>
      <c r="F94" s="489" t="s">
        <v>144</v>
      </c>
      <c r="G94" s="490">
        <v>5.38</v>
      </c>
      <c r="H94" s="491">
        <v>9.8000000000000007</v>
      </c>
      <c r="I94" s="492">
        <v>2</v>
      </c>
      <c r="J94" s="117">
        <f t="shared" ref="J94:J95" si="46">H94*G94*I94/1000</f>
        <v>0.10544800000000001</v>
      </c>
      <c r="K94" s="118"/>
      <c r="L94" s="488"/>
      <c r="M94" s="117">
        <f t="shared" ref="M94:M95" si="47">H94*L94*G94/1000</f>
        <v>0</v>
      </c>
      <c r="N94" s="119">
        <f t="shared" ref="N94:N95" si="48">I94-L94</f>
        <v>2</v>
      </c>
      <c r="O94" s="120">
        <f>H94*N94*G94/1000</f>
        <v>0.10544800000000001</v>
      </c>
      <c r="P94" s="488"/>
      <c r="Q94" s="493"/>
    </row>
    <row r="95" spans="1:17">
      <c r="A95" s="110" t="s">
        <v>744</v>
      </c>
      <c r="B95" s="488" t="s">
        <v>227</v>
      </c>
      <c r="C95" s="112" t="s">
        <v>430</v>
      </c>
      <c r="D95" s="113" t="s">
        <v>17</v>
      </c>
      <c r="E95" s="489" t="s">
        <v>15</v>
      </c>
      <c r="F95" s="489" t="s">
        <v>144</v>
      </c>
      <c r="G95" s="490">
        <v>5.38</v>
      </c>
      <c r="H95" s="491">
        <v>10</v>
      </c>
      <c r="I95" s="492">
        <v>4</v>
      </c>
      <c r="J95" s="117">
        <f t="shared" si="46"/>
        <v>0.2152</v>
      </c>
      <c r="K95" s="118"/>
      <c r="L95" s="488"/>
      <c r="M95" s="117">
        <f t="shared" si="47"/>
        <v>0</v>
      </c>
      <c r="N95" s="119">
        <f t="shared" si="48"/>
        <v>4</v>
      </c>
      <c r="O95" s="120">
        <f>H95*N95*G95/1000</f>
        <v>0.2152</v>
      </c>
      <c r="P95" s="488"/>
      <c r="Q95" s="493"/>
    </row>
    <row r="96" spans="1:17">
      <c r="A96" s="110" t="s">
        <v>744</v>
      </c>
      <c r="B96" s="488" t="s">
        <v>227</v>
      </c>
      <c r="C96" s="32"/>
      <c r="D96" s="113" t="s">
        <v>17</v>
      </c>
      <c r="E96" s="489" t="s">
        <v>15</v>
      </c>
      <c r="F96" s="489" t="s">
        <v>144</v>
      </c>
      <c r="G96" s="32"/>
      <c r="H96" s="32"/>
      <c r="I96" s="129">
        <f>SUM(I69:I95)</f>
        <v>462</v>
      </c>
      <c r="J96" s="124">
        <f>SUM(J69:J95)</f>
        <v>27.140486000000003</v>
      </c>
      <c r="K96" s="32"/>
      <c r="L96" s="129">
        <f>SUM(L69:L95)</f>
        <v>450</v>
      </c>
      <c r="M96" s="124">
        <f>SUM(M69:M95)</f>
        <v>26.641759999999998</v>
      </c>
      <c r="N96" s="131">
        <f>SUM(N69:N95)</f>
        <v>12</v>
      </c>
      <c r="O96" s="132">
        <f>SUM(O69:O95)</f>
        <v>0.49872600000000028</v>
      </c>
      <c r="P96" s="32"/>
      <c r="Q96" s="32"/>
    </row>
    <row r="97" spans="1:18">
      <c r="A97" s="110" t="s">
        <v>744</v>
      </c>
      <c r="B97" s="488" t="s">
        <v>227</v>
      </c>
      <c r="C97" s="112" t="s">
        <v>430</v>
      </c>
      <c r="D97" s="113" t="s">
        <v>19</v>
      </c>
      <c r="E97" s="489" t="s">
        <v>14</v>
      </c>
      <c r="F97" s="489" t="s">
        <v>144</v>
      </c>
      <c r="G97" s="490">
        <v>5.38</v>
      </c>
      <c r="H97" s="491">
        <v>10</v>
      </c>
      <c r="I97" s="492">
        <v>12</v>
      </c>
      <c r="J97" s="117">
        <f t="shared" ref="J97" si="49">H97*G97*I97/1000</f>
        <v>0.64559999999999995</v>
      </c>
      <c r="K97" s="118"/>
      <c r="L97" s="488">
        <v>12</v>
      </c>
      <c r="M97" s="117">
        <f t="shared" ref="M97" si="50">H97*L97*G97/1000</f>
        <v>0.64560000000000006</v>
      </c>
      <c r="N97" s="119">
        <f t="shared" ref="N97" si="51">I97-L97</f>
        <v>0</v>
      </c>
      <c r="O97" s="120">
        <f t="shared" ref="O97" si="52">H97*N97*G97/1000</f>
        <v>0</v>
      </c>
      <c r="P97" s="488"/>
      <c r="Q97" s="493"/>
    </row>
    <row r="98" spans="1:18">
      <c r="A98" s="110" t="s">
        <v>744</v>
      </c>
      <c r="B98" s="488" t="s">
        <v>227</v>
      </c>
      <c r="C98" s="112" t="s">
        <v>430</v>
      </c>
      <c r="D98" s="113" t="s">
        <v>19</v>
      </c>
      <c r="E98" s="489" t="s">
        <v>14</v>
      </c>
      <c r="F98" s="489" t="s">
        <v>144</v>
      </c>
      <c r="G98" s="490">
        <v>5.38</v>
      </c>
      <c r="H98" s="491">
        <v>10.5</v>
      </c>
      <c r="I98" s="492">
        <v>10</v>
      </c>
      <c r="J98" s="117">
        <f t="shared" ref="J98:J113" si="53">H98*G98*I98/1000</f>
        <v>0.56489999999999996</v>
      </c>
      <c r="K98" s="118"/>
      <c r="L98" s="488">
        <v>10</v>
      </c>
      <c r="M98" s="117">
        <f t="shared" ref="M98:M113" si="54">H98*L98*G98/1000</f>
        <v>0.56489999999999996</v>
      </c>
      <c r="N98" s="119">
        <f t="shared" ref="N98:N113" si="55">I98-L98</f>
        <v>0</v>
      </c>
      <c r="O98" s="120">
        <f t="shared" ref="O98:O112" si="56">H98*N98*G98/1000</f>
        <v>0</v>
      </c>
      <c r="P98" s="488"/>
      <c r="Q98" s="493"/>
    </row>
    <row r="99" spans="1:18">
      <c r="A99" s="110" t="s">
        <v>744</v>
      </c>
      <c r="B99" s="488" t="s">
        <v>227</v>
      </c>
      <c r="C99" s="112" t="s">
        <v>430</v>
      </c>
      <c r="D99" s="113" t="s">
        <v>19</v>
      </c>
      <c r="E99" s="489" t="s">
        <v>14</v>
      </c>
      <c r="F99" s="489" t="s">
        <v>144</v>
      </c>
      <c r="G99" s="490">
        <v>5.38</v>
      </c>
      <c r="H99" s="491">
        <v>11</v>
      </c>
      <c r="I99" s="492">
        <v>7</v>
      </c>
      <c r="J99" s="117">
        <f t="shared" si="53"/>
        <v>0.41426000000000002</v>
      </c>
      <c r="K99" s="118"/>
      <c r="L99" s="488">
        <v>7</v>
      </c>
      <c r="M99" s="117">
        <f t="shared" si="54"/>
        <v>0.41426000000000002</v>
      </c>
      <c r="N99" s="119">
        <f t="shared" si="55"/>
        <v>0</v>
      </c>
      <c r="O99" s="120">
        <f t="shared" si="56"/>
        <v>0</v>
      </c>
      <c r="P99" s="488"/>
      <c r="Q99" s="493"/>
    </row>
    <row r="100" spans="1:18">
      <c r="A100" s="110" t="s">
        <v>744</v>
      </c>
      <c r="B100" s="488" t="s">
        <v>227</v>
      </c>
      <c r="C100" s="112" t="s">
        <v>430</v>
      </c>
      <c r="D100" s="113" t="s">
        <v>19</v>
      </c>
      <c r="E100" s="489" t="s">
        <v>14</v>
      </c>
      <c r="F100" s="489" t="s">
        <v>144</v>
      </c>
      <c r="G100" s="490">
        <v>5.38</v>
      </c>
      <c r="H100" s="491">
        <v>11.5</v>
      </c>
      <c r="I100" s="492">
        <v>11</v>
      </c>
      <c r="J100" s="117">
        <f t="shared" si="53"/>
        <v>0.6805699999999999</v>
      </c>
      <c r="K100" s="118"/>
      <c r="L100" s="488">
        <v>11</v>
      </c>
      <c r="M100" s="117">
        <f t="shared" si="54"/>
        <v>0.6805699999999999</v>
      </c>
      <c r="N100" s="119">
        <f t="shared" si="55"/>
        <v>0</v>
      </c>
      <c r="O100" s="120">
        <f t="shared" si="56"/>
        <v>0</v>
      </c>
      <c r="P100" s="488"/>
      <c r="Q100" s="493"/>
    </row>
    <row r="101" spans="1:18">
      <c r="A101" s="110" t="s">
        <v>744</v>
      </c>
      <c r="B101" s="488" t="s">
        <v>227</v>
      </c>
      <c r="C101" s="112" t="s">
        <v>430</v>
      </c>
      <c r="D101" s="113" t="s">
        <v>19</v>
      </c>
      <c r="E101" s="489" t="s">
        <v>14</v>
      </c>
      <c r="F101" s="489" t="s">
        <v>144</v>
      </c>
      <c r="G101" s="490">
        <v>5.38</v>
      </c>
      <c r="H101" s="491">
        <v>11.5</v>
      </c>
      <c r="I101" s="492">
        <v>11</v>
      </c>
      <c r="J101" s="117">
        <f t="shared" si="53"/>
        <v>0.6805699999999999</v>
      </c>
      <c r="K101" s="118"/>
      <c r="L101" s="488">
        <v>11</v>
      </c>
      <c r="M101" s="117">
        <f t="shared" si="54"/>
        <v>0.6805699999999999</v>
      </c>
      <c r="N101" s="119">
        <f t="shared" si="55"/>
        <v>0</v>
      </c>
      <c r="O101" s="120">
        <f t="shared" si="56"/>
        <v>0</v>
      </c>
      <c r="P101" s="488"/>
      <c r="Q101" s="493"/>
    </row>
    <row r="102" spans="1:18">
      <c r="A102" s="110" t="s">
        <v>744</v>
      </c>
      <c r="B102" s="488" t="s">
        <v>227</v>
      </c>
      <c r="C102" s="112" t="s">
        <v>430</v>
      </c>
      <c r="D102" s="113" t="s">
        <v>19</v>
      </c>
      <c r="E102" s="489" t="s">
        <v>14</v>
      </c>
      <c r="F102" s="489" t="s">
        <v>144</v>
      </c>
      <c r="G102" s="490">
        <v>5.38</v>
      </c>
      <c r="H102" s="491">
        <v>12</v>
      </c>
      <c r="I102" s="492">
        <v>13</v>
      </c>
      <c r="J102" s="117">
        <f t="shared" si="53"/>
        <v>0.83928000000000003</v>
      </c>
      <c r="K102" s="118"/>
      <c r="L102" s="488">
        <v>13</v>
      </c>
      <c r="M102" s="117">
        <f t="shared" si="54"/>
        <v>0.83928000000000003</v>
      </c>
      <c r="N102" s="119">
        <f t="shared" si="55"/>
        <v>0</v>
      </c>
      <c r="O102" s="120">
        <f t="shared" si="56"/>
        <v>0</v>
      </c>
      <c r="P102" s="488"/>
      <c r="Q102" s="493"/>
    </row>
    <row r="103" spans="1:18">
      <c r="A103" s="110" t="s">
        <v>744</v>
      </c>
      <c r="B103" s="488" t="s">
        <v>227</v>
      </c>
      <c r="C103" s="112" t="s">
        <v>430</v>
      </c>
      <c r="D103" s="113" t="s">
        <v>19</v>
      </c>
      <c r="E103" s="489" t="s">
        <v>14</v>
      </c>
      <c r="F103" s="489" t="s">
        <v>144</v>
      </c>
      <c r="G103" s="490">
        <v>5.38</v>
      </c>
      <c r="H103" s="491">
        <v>9.0500000000000007</v>
      </c>
      <c r="I103" s="492">
        <v>6</v>
      </c>
      <c r="J103" s="117">
        <f t="shared" si="53"/>
        <v>0.292134</v>
      </c>
      <c r="K103" s="118"/>
      <c r="L103" s="488">
        <v>6</v>
      </c>
      <c r="M103" s="117">
        <f t="shared" si="54"/>
        <v>0.292134</v>
      </c>
      <c r="N103" s="119">
        <f t="shared" si="55"/>
        <v>0</v>
      </c>
      <c r="O103" s="120">
        <f t="shared" si="56"/>
        <v>0</v>
      </c>
      <c r="P103" s="488"/>
      <c r="Q103" s="493"/>
    </row>
    <row r="104" spans="1:18">
      <c r="A104" s="110" t="s">
        <v>744</v>
      </c>
      <c r="B104" s="488" t="s">
        <v>227</v>
      </c>
      <c r="C104" s="112" t="s">
        <v>430</v>
      </c>
      <c r="D104" s="113" t="s">
        <v>19</v>
      </c>
      <c r="E104" s="489" t="s">
        <v>14</v>
      </c>
      <c r="F104" s="489" t="s">
        <v>144</v>
      </c>
      <c r="G104" s="490">
        <v>5.38</v>
      </c>
      <c r="H104" s="491">
        <v>10</v>
      </c>
      <c r="I104" s="492">
        <v>7</v>
      </c>
      <c r="J104" s="117">
        <f t="shared" si="53"/>
        <v>0.37659999999999999</v>
      </c>
      <c r="K104" s="118"/>
      <c r="L104" s="488">
        <v>7</v>
      </c>
      <c r="M104" s="117">
        <f t="shared" si="54"/>
        <v>0.37659999999999999</v>
      </c>
      <c r="N104" s="119">
        <f t="shared" si="55"/>
        <v>0</v>
      </c>
      <c r="O104" s="120">
        <f t="shared" si="56"/>
        <v>0</v>
      </c>
      <c r="P104" s="488"/>
      <c r="Q104" s="493"/>
    </row>
    <row r="105" spans="1:18">
      <c r="A105" s="110" t="s">
        <v>744</v>
      </c>
      <c r="B105" s="488" t="s">
        <v>227</v>
      </c>
      <c r="C105" s="112" t="s">
        <v>430</v>
      </c>
      <c r="D105" s="113" t="s">
        <v>19</v>
      </c>
      <c r="E105" s="489" t="s">
        <v>14</v>
      </c>
      <c r="F105" s="489" t="s">
        <v>144</v>
      </c>
      <c r="G105" s="490">
        <v>5.38</v>
      </c>
      <c r="H105" s="491">
        <v>11.5</v>
      </c>
      <c r="I105" s="492">
        <v>3</v>
      </c>
      <c r="J105" s="117">
        <f t="shared" si="53"/>
        <v>0.18561</v>
      </c>
      <c r="K105" s="118"/>
      <c r="L105" s="488">
        <v>3</v>
      </c>
      <c r="M105" s="117">
        <f t="shared" si="54"/>
        <v>0.18561</v>
      </c>
      <c r="N105" s="119">
        <f t="shared" si="55"/>
        <v>0</v>
      </c>
      <c r="O105" s="120">
        <f t="shared" si="56"/>
        <v>0</v>
      </c>
      <c r="P105" s="488"/>
      <c r="Q105" s="493"/>
    </row>
    <row r="106" spans="1:18">
      <c r="A106" s="110" t="s">
        <v>744</v>
      </c>
      <c r="B106" s="488" t="s">
        <v>227</v>
      </c>
      <c r="C106" s="112" t="s">
        <v>430</v>
      </c>
      <c r="D106" s="113" t="s">
        <v>19</v>
      </c>
      <c r="E106" s="489" t="s">
        <v>14</v>
      </c>
      <c r="F106" s="489" t="s">
        <v>144</v>
      </c>
      <c r="G106" s="490">
        <v>5.38</v>
      </c>
      <c r="H106" s="491">
        <v>9.5</v>
      </c>
      <c r="I106" s="492">
        <v>1</v>
      </c>
      <c r="J106" s="117">
        <f t="shared" si="53"/>
        <v>5.1110000000000003E-2</v>
      </c>
      <c r="K106" s="118"/>
      <c r="L106" s="488"/>
      <c r="M106" s="117">
        <f t="shared" si="54"/>
        <v>0</v>
      </c>
      <c r="N106" s="119">
        <f t="shared" si="55"/>
        <v>1</v>
      </c>
      <c r="O106" s="120">
        <f t="shared" si="56"/>
        <v>5.1110000000000003E-2</v>
      </c>
      <c r="P106" s="488"/>
      <c r="Q106" s="493"/>
    </row>
    <row r="107" spans="1:18">
      <c r="A107" s="110" t="s">
        <v>744</v>
      </c>
      <c r="B107" s="488" t="s">
        <v>227</v>
      </c>
      <c r="C107" s="112" t="s">
        <v>430</v>
      </c>
      <c r="D107" s="113" t="s">
        <v>19</v>
      </c>
      <c r="E107" s="489" t="s">
        <v>14</v>
      </c>
      <c r="F107" s="489" t="s">
        <v>144</v>
      </c>
      <c r="G107" s="490">
        <v>5.38</v>
      </c>
      <c r="H107" s="491">
        <v>12</v>
      </c>
      <c r="I107" s="492">
        <v>5</v>
      </c>
      <c r="J107" s="117">
        <f t="shared" si="53"/>
        <v>0.32280000000000003</v>
      </c>
      <c r="K107" s="118"/>
      <c r="L107" s="488">
        <v>4</v>
      </c>
      <c r="M107" s="117">
        <f t="shared" si="54"/>
        <v>0.25824000000000003</v>
      </c>
      <c r="N107" s="119">
        <f t="shared" si="55"/>
        <v>1</v>
      </c>
      <c r="O107" s="120">
        <f t="shared" si="56"/>
        <v>6.4560000000000006E-2</v>
      </c>
      <c r="P107" s="488">
        <v>12</v>
      </c>
      <c r="Q107" s="493">
        <v>4</v>
      </c>
      <c r="R107" s="213" t="s">
        <v>802</v>
      </c>
    </row>
    <row r="108" spans="1:18">
      <c r="A108" s="110" t="s">
        <v>744</v>
      </c>
      <c r="B108" s="488" t="s">
        <v>227</v>
      </c>
      <c r="C108" s="112" t="s">
        <v>430</v>
      </c>
      <c r="D108" s="113" t="s">
        <v>19</v>
      </c>
      <c r="E108" s="489" t="s">
        <v>14</v>
      </c>
      <c r="F108" s="489" t="s">
        <v>144</v>
      </c>
      <c r="G108" s="490">
        <v>5.38</v>
      </c>
      <c r="H108" s="491">
        <v>10</v>
      </c>
      <c r="I108" s="492">
        <v>4</v>
      </c>
      <c r="J108" s="117">
        <f t="shared" si="53"/>
        <v>0.2152</v>
      </c>
      <c r="K108" s="118"/>
      <c r="L108" s="488">
        <v>4</v>
      </c>
      <c r="M108" s="117">
        <f t="shared" si="54"/>
        <v>0.2152</v>
      </c>
      <c r="N108" s="119">
        <f t="shared" si="55"/>
        <v>0</v>
      </c>
      <c r="O108" s="120">
        <f t="shared" si="56"/>
        <v>0</v>
      </c>
      <c r="P108" s="488"/>
      <c r="Q108" s="493"/>
    </row>
    <row r="109" spans="1:18">
      <c r="A109" s="110" t="s">
        <v>744</v>
      </c>
      <c r="B109" s="488" t="s">
        <v>227</v>
      </c>
      <c r="C109" s="112" t="s">
        <v>430</v>
      </c>
      <c r="D109" s="113" t="s">
        <v>19</v>
      </c>
      <c r="E109" s="489" t="s">
        <v>14</v>
      </c>
      <c r="F109" s="489" t="s">
        <v>144</v>
      </c>
      <c r="G109" s="490">
        <v>5.38</v>
      </c>
      <c r="H109" s="491">
        <v>10.5</v>
      </c>
      <c r="I109" s="492">
        <v>2</v>
      </c>
      <c r="J109" s="117">
        <f t="shared" si="53"/>
        <v>0.11298</v>
      </c>
      <c r="K109" s="118"/>
      <c r="L109" s="488">
        <v>2</v>
      </c>
      <c r="M109" s="117">
        <f t="shared" si="54"/>
        <v>0.11298</v>
      </c>
      <c r="N109" s="119">
        <f t="shared" si="55"/>
        <v>0</v>
      </c>
      <c r="O109" s="120">
        <f t="shared" si="56"/>
        <v>0</v>
      </c>
      <c r="P109" s="488"/>
      <c r="Q109" s="493"/>
    </row>
    <row r="110" spans="1:18">
      <c r="A110" s="110" t="s">
        <v>744</v>
      </c>
      <c r="B110" s="488" t="s">
        <v>227</v>
      </c>
      <c r="C110" s="112" t="s">
        <v>430</v>
      </c>
      <c r="D110" s="113" t="s">
        <v>19</v>
      </c>
      <c r="E110" s="489" t="s">
        <v>14</v>
      </c>
      <c r="F110" s="489" t="s">
        <v>144</v>
      </c>
      <c r="G110" s="490">
        <v>5.38</v>
      </c>
      <c r="H110" s="491">
        <v>11</v>
      </c>
      <c r="I110" s="492">
        <v>3</v>
      </c>
      <c r="J110" s="117">
        <f t="shared" si="53"/>
        <v>0.17754</v>
      </c>
      <c r="K110" s="118"/>
      <c r="L110" s="488">
        <v>3</v>
      </c>
      <c r="M110" s="117">
        <f t="shared" si="54"/>
        <v>0.17754</v>
      </c>
      <c r="N110" s="119">
        <f t="shared" si="55"/>
        <v>0</v>
      </c>
      <c r="O110" s="120">
        <f t="shared" si="56"/>
        <v>0</v>
      </c>
      <c r="P110" s="488"/>
      <c r="Q110" s="493"/>
    </row>
    <row r="111" spans="1:18">
      <c r="A111" s="110" t="s">
        <v>744</v>
      </c>
      <c r="B111" s="488" t="s">
        <v>227</v>
      </c>
      <c r="C111" s="112" t="s">
        <v>430</v>
      </c>
      <c r="D111" s="113" t="s">
        <v>19</v>
      </c>
      <c r="E111" s="489" t="s">
        <v>14</v>
      </c>
      <c r="F111" s="489" t="s">
        <v>144</v>
      </c>
      <c r="G111" s="490">
        <v>5.38</v>
      </c>
      <c r="H111" s="491">
        <v>11.5</v>
      </c>
      <c r="I111" s="492">
        <v>20</v>
      </c>
      <c r="J111" s="117">
        <f t="shared" si="53"/>
        <v>1.2373999999999998</v>
      </c>
      <c r="K111" s="118"/>
      <c r="L111" s="488">
        <v>20</v>
      </c>
      <c r="M111" s="117">
        <f t="shared" si="54"/>
        <v>1.2373999999999998</v>
      </c>
      <c r="N111" s="119">
        <f t="shared" si="55"/>
        <v>0</v>
      </c>
      <c r="O111" s="120">
        <f t="shared" si="56"/>
        <v>0</v>
      </c>
      <c r="P111" s="488"/>
      <c r="Q111" s="493"/>
    </row>
    <row r="112" spans="1:18">
      <c r="A112" s="110" t="s">
        <v>744</v>
      </c>
      <c r="B112" s="488" t="s">
        <v>227</v>
      </c>
      <c r="C112" s="112" t="s">
        <v>430</v>
      </c>
      <c r="D112" s="113" t="s">
        <v>19</v>
      </c>
      <c r="E112" s="489" t="s">
        <v>14</v>
      </c>
      <c r="F112" s="489" t="s">
        <v>144</v>
      </c>
      <c r="G112" s="490">
        <v>5.38</v>
      </c>
      <c r="H112" s="491">
        <v>12</v>
      </c>
      <c r="I112" s="492">
        <v>10</v>
      </c>
      <c r="J112" s="117">
        <f t="shared" si="53"/>
        <v>0.64560000000000006</v>
      </c>
      <c r="K112" s="118"/>
      <c r="L112" s="488">
        <v>10</v>
      </c>
      <c r="M112" s="117">
        <f t="shared" si="54"/>
        <v>0.64560000000000006</v>
      </c>
      <c r="N112" s="119">
        <f t="shared" si="55"/>
        <v>0</v>
      </c>
      <c r="O112" s="120">
        <f t="shared" si="56"/>
        <v>0</v>
      </c>
      <c r="P112" s="488"/>
      <c r="Q112" s="493"/>
    </row>
    <row r="113" spans="1:17">
      <c r="A113" s="110" t="s">
        <v>744</v>
      </c>
      <c r="B113" s="488" t="s">
        <v>227</v>
      </c>
      <c r="C113" s="112" t="s">
        <v>430</v>
      </c>
      <c r="D113" s="113" t="s">
        <v>19</v>
      </c>
      <c r="E113" s="489" t="s">
        <v>14</v>
      </c>
      <c r="F113" s="489" t="s">
        <v>144</v>
      </c>
      <c r="G113" s="490">
        <v>5.38</v>
      </c>
      <c r="H113" s="491">
        <v>9.0500000000000007</v>
      </c>
      <c r="I113" s="492">
        <v>3</v>
      </c>
      <c r="J113" s="117">
        <f t="shared" si="53"/>
        <v>0.146067</v>
      </c>
      <c r="K113" s="118"/>
      <c r="L113" s="488">
        <v>2</v>
      </c>
      <c r="M113" s="117">
        <f t="shared" si="54"/>
        <v>9.7378000000000006E-2</v>
      </c>
      <c r="N113" s="119">
        <f t="shared" si="55"/>
        <v>1</v>
      </c>
      <c r="O113" s="120">
        <f>H113*N113*G113/1000</f>
        <v>4.8689000000000003E-2</v>
      </c>
      <c r="P113" s="488"/>
      <c r="Q113" s="493"/>
    </row>
    <row r="114" spans="1:17">
      <c r="A114" s="110" t="s">
        <v>744</v>
      </c>
      <c r="B114" s="488" t="s">
        <v>227</v>
      </c>
      <c r="C114" s="112" t="s">
        <v>430</v>
      </c>
      <c r="D114" s="113" t="s">
        <v>19</v>
      </c>
      <c r="E114" s="489" t="s">
        <v>14</v>
      </c>
      <c r="F114" s="489" t="s">
        <v>144</v>
      </c>
      <c r="G114" s="490">
        <v>5.38</v>
      </c>
      <c r="H114" s="515">
        <v>6</v>
      </c>
      <c r="I114" s="516">
        <v>1</v>
      </c>
      <c r="J114" s="117">
        <f t="shared" ref="J114" si="57">H114*G114*I114/1000</f>
        <v>3.2280000000000003E-2</v>
      </c>
      <c r="K114" s="118"/>
      <c r="L114" s="488">
        <v>1</v>
      </c>
      <c r="M114" s="117">
        <f t="shared" ref="M114" si="58">H114*L114*G114/1000</f>
        <v>3.2280000000000003E-2</v>
      </c>
      <c r="N114" s="119">
        <f t="shared" ref="N114" si="59">I114-L114</f>
        <v>0</v>
      </c>
      <c r="O114" s="120">
        <f>H114*N114*G114/1000</f>
        <v>0</v>
      </c>
      <c r="P114" s="488"/>
      <c r="Q114" s="493"/>
    </row>
    <row r="115" spans="1:17">
      <c r="A115" s="110" t="s">
        <v>744</v>
      </c>
      <c r="B115" s="488" t="s">
        <v>227</v>
      </c>
      <c r="D115" s="113" t="s">
        <v>19</v>
      </c>
      <c r="E115" s="489" t="s">
        <v>14</v>
      </c>
      <c r="F115" s="489" t="s">
        <v>144</v>
      </c>
      <c r="I115" s="215">
        <f>SUM(I97:I114)</f>
        <v>129</v>
      </c>
      <c r="J115" s="214">
        <f>SUM(J97:J114)</f>
        <v>7.620501</v>
      </c>
      <c r="L115" s="215">
        <f>SUM(L97:L114)</f>
        <v>126</v>
      </c>
      <c r="M115" s="214">
        <f>SUM(M97:M114)</f>
        <v>7.4561419999999998</v>
      </c>
      <c r="N115" s="215">
        <f>SUM(N97:N114)</f>
        <v>3</v>
      </c>
      <c r="O115" s="214">
        <f>SUM(O97:O114)</f>
        <v>0.16435900000000001</v>
      </c>
    </row>
    <row r="116" spans="1:17">
      <c r="A116" s="110" t="s">
        <v>744</v>
      </c>
      <c r="B116" s="488" t="s">
        <v>227</v>
      </c>
      <c r="C116" s="112" t="s">
        <v>430</v>
      </c>
      <c r="D116" s="113" t="s">
        <v>24</v>
      </c>
      <c r="E116" s="489" t="s">
        <v>14</v>
      </c>
      <c r="F116" s="489" t="s">
        <v>144</v>
      </c>
      <c r="G116" s="490">
        <v>5.38</v>
      </c>
      <c r="H116" s="491">
        <v>10.5</v>
      </c>
      <c r="I116" s="492">
        <v>4</v>
      </c>
      <c r="J116" s="117">
        <f t="shared" ref="J116:J120" si="60">H116*G116*I116/1000</f>
        <v>0.22595999999999999</v>
      </c>
      <c r="K116" s="118"/>
      <c r="L116" s="488">
        <v>4</v>
      </c>
      <c r="M116" s="117">
        <f t="shared" ref="M116:M120" si="61">H116*L116*G116/1000</f>
        <v>0.22595999999999999</v>
      </c>
      <c r="N116" s="119">
        <f t="shared" ref="N116:N120" si="62">I116-L116</f>
        <v>0</v>
      </c>
      <c r="O116" s="120">
        <f t="shared" ref="O116:O120" si="63">H116*N116*G116/1000</f>
        <v>0</v>
      </c>
      <c r="P116" s="488"/>
      <c r="Q116" s="493"/>
    </row>
    <row r="117" spans="1:17">
      <c r="A117" s="110" t="s">
        <v>744</v>
      </c>
      <c r="B117" s="488" t="s">
        <v>227</v>
      </c>
      <c r="C117" s="112" t="s">
        <v>430</v>
      </c>
      <c r="D117" s="113" t="s">
        <v>24</v>
      </c>
      <c r="E117" s="489" t="s">
        <v>14</v>
      </c>
      <c r="F117" s="489" t="s">
        <v>144</v>
      </c>
      <c r="G117" s="490">
        <v>5.38</v>
      </c>
      <c r="H117" s="491">
        <v>11.5</v>
      </c>
      <c r="I117" s="492">
        <v>15</v>
      </c>
      <c r="J117" s="117">
        <f t="shared" si="60"/>
        <v>0.92804999999999993</v>
      </c>
      <c r="K117" s="118"/>
      <c r="L117" s="488">
        <f>15+7</f>
        <v>22</v>
      </c>
      <c r="M117" s="117">
        <f t="shared" si="61"/>
        <v>1.3611399999999998</v>
      </c>
      <c r="N117" s="141">
        <f t="shared" si="62"/>
        <v>-7</v>
      </c>
      <c r="O117" s="142">
        <f t="shared" si="63"/>
        <v>-0.43308999999999997</v>
      </c>
      <c r="P117" s="488"/>
      <c r="Q117" s="493"/>
    </row>
    <row r="118" spans="1:17">
      <c r="A118" s="110" t="s">
        <v>744</v>
      </c>
      <c r="B118" s="488" t="s">
        <v>227</v>
      </c>
      <c r="C118" s="112" t="s">
        <v>430</v>
      </c>
      <c r="D118" s="113" t="s">
        <v>24</v>
      </c>
      <c r="E118" s="489" t="s">
        <v>14</v>
      </c>
      <c r="F118" s="489" t="s">
        <v>144</v>
      </c>
      <c r="G118" s="490">
        <v>5.38</v>
      </c>
      <c r="H118" s="491">
        <v>12</v>
      </c>
      <c r="I118" s="492">
        <v>5</v>
      </c>
      <c r="J118" s="117">
        <f t="shared" si="60"/>
        <v>0.32280000000000003</v>
      </c>
      <c r="K118" s="118"/>
      <c r="L118" s="488">
        <v>5</v>
      </c>
      <c r="M118" s="117">
        <f t="shared" si="61"/>
        <v>0.32280000000000003</v>
      </c>
      <c r="N118" s="119">
        <f t="shared" si="62"/>
        <v>0</v>
      </c>
      <c r="O118" s="120">
        <f t="shared" si="63"/>
        <v>0</v>
      </c>
      <c r="P118" s="488"/>
      <c r="Q118" s="493"/>
    </row>
    <row r="119" spans="1:17">
      <c r="A119" s="110" t="s">
        <v>744</v>
      </c>
      <c r="B119" s="488" t="s">
        <v>227</v>
      </c>
      <c r="C119" s="112" t="s">
        <v>430</v>
      </c>
      <c r="D119" s="113" t="s">
        <v>24</v>
      </c>
      <c r="E119" s="489" t="s">
        <v>14</v>
      </c>
      <c r="F119" s="489" t="s">
        <v>144</v>
      </c>
      <c r="G119" s="490">
        <v>5.38</v>
      </c>
      <c r="H119" s="491">
        <v>8</v>
      </c>
      <c r="I119" s="492">
        <v>1</v>
      </c>
      <c r="J119" s="117">
        <f t="shared" si="60"/>
        <v>4.3040000000000002E-2</v>
      </c>
      <c r="K119" s="118"/>
      <c r="L119" s="488"/>
      <c r="M119" s="117">
        <f t="shared" si="61"/>
        <v>0</v>
      </c>
      <c r="N119" s="119">
        <f t="shared" si="62"/>
        <v>1</v>
      </c>
      <c r="O119" s="120">
        <f t="shared" si="63"/>
        <v>4.3040000000000002E-2</v>
      </c>
      <c r="P119" s="488"/>
      <c r="Q119" s="493"/>
    </row>
    <row r="120" spans="1:17">
      <c r="A120" s="110" t="s">
        <v>744</v>
      </c>
      <c r="B120" s="488" t="s">
        <v>227</v>
      </c>
      <c r="C120" s="112" t="s">
        <v>430</v>
      </c>
      <c r="D120" s="113" t="s">
        <v>24</v>
      </c>
      <c r="E120" s="489" t="s">
        <v>14</v>
      </c>
      <c r="F120" s="489" t="s">
        <v>144</v>
      </c>
      <c r="G120" s="490">
        <v>5.38</v>
      </c>
      <c r="H120" s="491">
        <v>9.5</v>
      </c>
      <c r="I120" s="492">
        <v>2</v>
      </c>
      <c r="J120" s="117">
        <f t="shared" si="60"/>
        <v>0.10222000000000001</v>
      </c>
      <c r="K120" s="118"/>
      <c r="L120" s="488"/>
      <c r="M120" s="117">
        <f t="shared" si="61"/>
        <v>0</v>
      </c>
      <c r="N120" s="119">
        <f t="shared" si="62"/>
        <v>2</v>
      </c>
      <c r="O120" s="120">
        <f t="shared" si="63"/>
        <v>0.10222000000000001</v>
      </c>
      <c r="P120" s="488"/>
      <c r="Q120" s="493"/>
    </row>
    <row r="121" spans="1:17">
      <c r="A121" s="110" t="s">
        <v>744</v>
      </c>
      <c r="B121" s="488" t="s">
        <v>227</v>
      </c>
      <c r="C121" s="112" t="s">
        <v>430</v>
      </c>
      <c r="D121" s="113" t="s">
        <v>24</v>
      </c>
      <c r="E121" s="489" t="s">
        <v>14</v>
      </c>
      <c r="F121" s="489" t="s">
        <v>144</v>
      </c>
      <c r="G121" s="490">
        <v>5.38</v>
      </c>
      <c r="H121" s="491">
        <v>10</v>
      </c>
      <c r="I121" s="492">
        <v>1</v>
      </c>
      <c r="J121" s="117">
        <f t="shared" ref="J121:J123" si="64">H121*G121*I121/1000</f>
        <v>5.3800000000000001E-2</v>
      </c>
      <c r="K121" s="118"/>
      <c r="L121" s="488"/>
      <c r="M121" s="117">
        <f t="shared" ref="M121:M123" si="65">H121*L121*G121/1000</f>
        <v>0</v>
      </c>
      <c r="N121" s="119">
        <f t="shared" ref="N121:N123" si="66">I121-L121</f>
        <v>1</v>
      </c>
      <c r="O121" s="120">
        <f t="shared" ref="O121:O123" si="67">H121*N121*G121/1000</f>
        <v>5.3800000000000001E-2</v>
      </c>
      <c r="P121" s="488"/>
      <c r="Q121" s="493"/>
    </row>
    <row r="122" spans="1:17">
      <c r="A122" s="110" t="s">
        <v>744</v>
      </c>
      <c r="B122" s="488" t="s">
        <v>227</v>
      </c>
      <c r="C122" s="112" t="s">
        <v>430</v>
      </c>
      <c r="D122" s="113" t="s">
        <v>24</v>
      </c>
      <c r="E122" s="489" t="s">
        <v>14</v>
      </c>
      <c r="F122" s="489" t="s">
        <v>144</v>
      </c>
      <c r="G122" s="490">
        <v>5.38</v>
      </c>
      <c r="H122" s="491">
        <v>10.5</v>
      </c>
      <c r="I122" s="492">
        <v>2</v>
      </c>
      <c r="J122" s="117">
        <f t="shared" si="64"/>
        <v>0.11298</v>
      </c>
      <c r="K122" s="118"/>
      <c r="L122" s="488"/>
      <c r="M122" s="117">
        <f t="shared" si="65"/>
        <v>0</v>
      </c>
      <c r="N122" s="119">
        <f t="shared" si="66"/>
        <v>2</v>
      </c>
      <c r="O122" s="120">
        <f t="shared" si="67"/>
        <v>0.11298</v>
      </c>
      <c r="P122" s="488"/>
      <c r="Q122" s="493"/>
    </row>
    <row r="123" spans="1:17">
      <c r="A123" s="110" t="s">
        <v>744</v>
      </c>
      <c r="B123" s="488" t="s">
        <v>227</v>
      </c>
      <c r="C123" s="112" t="s">
        <v>430</v>
      </c>
      <c r="D123" s="113" t="s">
        <v>24</v>
      </c>
      <c r="E123" s="489" t="s">
        <v>14</v>
      </c>
      <c r="F123" s="489" t="s">
        <v>144</v>
      </c>
      <c r="G123" s="490">
        <v>5.38</v>
      </c>
      <c r="H123" s="491">
        <v>11</v>
      </c>
      <c r="I123" s="492">
        <v>2</v>
      </c>
      <c r="J123" s="117">
        <f t="shared" si="64"/>
        <v>0.11835999999999999</v>
      </c>
      <c r="K123" s="118"/>
      <c r="L123" s="488"/>
      <c r="M123" s="117">
        <f t="shared" si="65"/>
        <v>0</v>
      </c>
      <c r="N123" s="119">
        <f t="shared" si="66"/>
        <v>2</v>
      </c>
      <c r="O123" s="120">
        <f t="shared" si="67"/>
        <v>0.11835999999999999</v>
      </c>
      <c r="P123" s="488"/>
      <c r="Q123" s="493"/>
    </row>
    <row r="124" spans="1:17">
      <c r="A124" s="110" t="s">
        <v>744</v>
      </c>
      <c r="B124" s="488" t="s">
        <v>227</v>
      </c>
      <c r="C124" s="112" t="s">
        <v>430</v>
      </c>
      <c r="D124" s="113" t="s">
        <v>24</v>
      </c>
      <c r="E124" s="489" t="s">
        <v>14</v>
      </c>
      <c r="F124" s="489" t="s">
        <v>144</v>
      </c>
      <c r="G124" s="490">
        <v>5.38</v>
      </c>
      <c r="H124" s="491">
        <v>11.5</v>
      </c>
      <c r="I124" s="492">
        <v>30</v>
      </c>
      <c r="J124" s="117">
        <f t="shared" ref="J124:J127" si="68">H124*G124*I124/1000</f>
        <v>1.8560999999999999</v>
      </c>
      <c r="K124" s="118"/>
      <c r="L124" s="488">
        <v>30</v>
      </c>
      <c r="M124" s="117">
        <f t="shared" ref="M124:M127" si="69">H124*L124*G124/1000</f>
        <v>1.8560999999999999</v>
      </c>
      <c r="N124" s="119">
        <f t="shared" ref="N124:N127" si="70">I124-L124</f>
        <v>0</v>
      </c>
      <c r="O124" s="120">
        <f t="shared" ref="O124:O125" si="71">H124*N124*G124/1000</f>
        <v>0</v>
      </c>
      <c r="P124" s="488"/>
      <c r="Q124" s="493"/>
    </row>
    <row r="125" spans="1:17">
      <c r="A125" s="110" t="s">
        <v>744</v>
      </c>
      <c r="B125" s="488" t="s">
        <v>227</v>
      </c>
      <c r="C125" s="112" t="s">
        <v>430</v>
      </c>
      <c r="D125" s="113" t="s">
        <v>24</v>
      </c>
      <c r="E125" s="489" t="s">
        <v>14</v>
      </c>
      <c r="F125" s="489" t="s">
        <v>144</v>
      </c>
      <c r="G125" s="490">
        <v>5.38</v>
      </c>
      <c r="H125" s="491">
        <v>11.5</v>
      </c>
      <c r="I125" s="492">
        <v>28</v>
      </c>
      <c r="J125" s="117">
        <f t="shared" si="68"/>
        <v>1.7323599999999999</v>
      </c>
      <c r="K125" s="118"/>
      <c r="L125" s="488">
        <v>28</v>
      </c>
      <c r="M125" s="117">
        <f t="shared" si="69"/>
        <v>1.7323599999999999</v>
      </c>
      <c r="N125" s="119">
        <f t="shared" si="70"/>
        <v>0</v>
      </c>
      <c r="O125" s="120">
        <f t="shared" si="71"/>
        <v>0</v>
      </c>
      <c r="P125" s="488"/>
      <c r="Q125" s="493"/>
    </row>
    <row r="126" spans="1:17">
      <c r="A126" s="110" t="s">
        <v>744</v>
      </c>
      <c r="B126" s="488" t="s">
        <v>227</v>
      </c>
      <c r="C126" s="112" t="s">
        <v>430</v>
      </c>
      <c r="D126" s="113" t="s">
        <v>24</v>
      </c>
      <c r="E126" s="489" t="s">
        <v>14</v>
      </c>
      <c r="F126" s="489" t="s">
        <v>144</v>
      </c>
      <c r="G126" s="490">
        <v>5.38</v>
      </c>
      <c r="H126" s="491">
        <v>10.5</v>
      </c>
      <c r="I126" s="492">
        <v>17</v>
      </c>
      <c r="J126" s="117">
        <f t="shared" si="68"/>
        <v>0.96033000000000002</v>
      </c>
      <c r="K126" s="118"/>
      <c r="L126" s="488">
        <v>17</v>
      </c>
      <c r="M126" s="117">
        <f t="shared" si="69"/>
        <v>0.96032999999999991</v>
      </c>
      <c r="N126" s="119">
        <f t="shared" si="70"/>
        <v>0</v>
      </c>
      <c r="O126" s="120">
        <f>H126*N126*G126/1000</f>
        <v>0</v>
      </c>
      <c r="P126" s="488"/>
      <c r="Q126" s="493"/>
    </row>
    <row r="127" spans="1:17">
      <c r="A127" s="110" t="s">
        <v>744</v>
      </c>
      <c r="B127" s="488" t="s">
        <v>227</v>
      </c>
      <c r="C127" s="112" t="s">
        <v>430</v>
      </c>
      <c r="D127" s="113" t="s">
        <v>24</v>
      </c>
      <c r="E127" s="489" t="s">
        <v>14</v>
      </c>
      <c r="F127" s="489" t="s">
        <v>144</v>
      </c>
      <c r="G127" s="490">
        <v>5.38</v>
      </c>
      <c r="H127" s="491">
        <v>12</v>
      </c>
      <c r="I127" s="492">
        <v>15</v>
      </c>
      <c r="J127" s="117">
        <f t="shared" si="68"/>
        <v>0.96840000000000004</v>
      </c>
      <c r="K127" s="118"/>
      <c r="L127" s="488">
        <v>15</v>
      </c>
      <c r="M127" s="117">
        <f t="shared" si="69"/>
        <v>0.96839999999999993</v>
      </c>
      <c r="N127" s="119">
        <f t="shared" si="70"/>
        <v>0</v>
      </c>
      <c r="O127" s="120">
        <f>H127*N127*G127/1000</f>
        <v>0</v>
      </c>
      <c r="P127" s="488"/>
      <c r="Q127" s="493"/>
    </row>
    <row r="128" spans="1:17">
      <c r="A128" s="110" t="s">
        <v>744</v>
      </c>
      <c r="B128" s="488" t="s">
        <v>227</v>
      </c>
      <c r="C128" s="32"/>
      <c r="D128" s="113" t="s">
        <v>24</v>
      </c>
      <c r="E128" s="489" t="s">
        <v>14</v>
      </c>
      <c r="F128" s="489" t="s">
        <v>144</v>
      </c>
      <c r="G128" s="32"/>
      <c r="H128" s="32"/>
      <c r="I128" s="129">
        <f>SUM(I116:I127)</f>
        <v>122</v>
      </c>
      <c r="J128" s="132">
        <f>SUM(J116:J127)</f>
        <v>7.4243999999999994</v>
      </c>
      <c r="K128" s="32"/>
      <c r="L128" s="129">
        <f>SUM(L116:L127)</f>
        <v>121</v>
      </c>
      <c r="M128" s="132">
        <f>SUM(M116:M127)</f>
        <v>7.4270899999999997</v>
      </c>
      <c r="N128" s="129">
        <f>SUM(N116:N127)</f>
        <v>1</v>
      </c>
      <c r="O128" s="132">
        <f>SUM(O116:O127)</f>
        <v>-2.6899999999999147E-3</v>
      </c>
      <c r="P128" s="32"/>
      <c r="Q128" s="32"/>
    </row>
  </sheetData>
  <sortState ref="A56:Q82">
    <sortCondition ref="H56:H82"/>
  </sortState>
  <pageMargins left="0.24" right="0.16" top="0.75" bottom="0.75" header="0.3" footer="0.3"/>
  <pageSetup paperSize="9" scale="8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U289"/>
  <sheetViews>
    <sheetView topLeftCell="A280" workbookViewId="0">
      <selection activeCell="N69" sqref="N69"/>
    </sheetView>
  </sheetViews>
  <sheetFormatPr defaultColWidth="9.109375" defaultRowHeight="14.4"/>
  <cols>
    <col min="1" max="2" width="9.109375" style="213"/>
    <col min="3" max="3" width="11.33203125" style="213" bestFit="1" customWidth="1"/>
    <col min="4" max="4" width="14.109375" style="213" bestFit="1" customWidth="1"/>
    <col min="5" max="5" width="4.109375" style="213" bestFit="1" customWidth="1"/>
    <col min="6" max="6" width="9.88671875" style="213" bestFit="1" customWidth="1"/>
    <col min="7" max="7" width="8.6640625" style="213" bestFit="1" customWidth="1"/>
    <col min="8" max="8" width="9.109375" style="213"/>
    <col min="9" max="10" width="7.5546875" style="213" bestFit="1" customWidth="1"/>
    <col min="11" max="11" width="13.5546875" style="213" customWidth="1"/>
    <col min="12" max="12" width="5" style="213" bestFit="1" customWidth="1"/>
    <col min="13" max="13" width="7.5546875" style="213" bestFit="1" customWidth="1"/>
    <col min="14" max="14" width="5" style="213" bestFit="1" customWidth="1"/>
    <col min="15" max="15" width="7.5546875" style="213" bestFit="1" customWidth="1"/>
    <col min="16" max="16" width="12.88671875" style="213" bestFit="1" customWidth="1"/>
    <col min="17" max="19" width="9.109375" style="213"/>
    <col min="20" max="20" width="13.109375" style="213" customWidth="1"/>
    <col min="21" max="16384" width="9.109375" style="213"/>
  </cols>
  <sheetData>
    <row r="2" spans="1:20" ht="26.4">
      <c r="A2" s="121" t="s">
        <v>229</v>
      </c>
      <c r="B2" s="122" t="s">
        <v>230</v>
      </c>
      <c r="C2" s="122" t="s">
        <v>0</v>
      </c>
      <c r="D2" s="122" t="s">
        <v>1</v>
      </c>
      <c r="E2" s="122" t="s">
        <v>2</v>
      </c>
      <c r="F2" s="122" t="s">
        <v>3</v>
      </c>
      <c r="G2" s="122" t="s">
        <v>10</v>
      </c>
      <c r="H2" s="122" t="s">
        <v>4</v>
      </c>
      <c r="I2" s="122" t="s">
        <v>5</v>
      </c>
      <c r="J2" s="122" t="s">
        <v>6</v>
      </c>
      <c r="K2" s="122" t="s">
        <v>7</v>
      </c>
      <c r="L2" s="122" t="s">
        <v>5</v>
      </c>
      <c r="M2" s="122" t="s">
        <v>6</v>
      </c>
      <c r="N2" s="122" t="s">
        <v>5</v>
      </c>
      <c r="O2" s="122" t="s">
        <v>6</v>
      </c>
      <c r="P2" s="122" t="s">
        <v>8</v>
      </c>
      <c r="Q2" s="32"/>
    </row>
    <row r="3" spans="1:20" ht="15.6">
      <c r="A3" s="110" t="s">
        <v>366</v>
      </c>
      <c r="B3" s="111" t="s">
        <v>232</v>
      </c>
      <c r="C3" s="112" t="s">
        <v>228</v>
      </c>
      <c r="D3" s="113" t="s">
        <v>19</v>
      </c>
      <c r="E3" s="114" t="s">
        <v>14</v>
      </c>
      <c r="F3" s="115" t="s">
        <v>27</v>
      </c>
      <c r="G3" s="116">
        <v>6.17</v>
      </c>
      <c r="H3" s="125">
        <v>7.4</v>
      </c>
      <c r="I3" s="326">
        <f>62+62</f>
        <v>124</v>
      </c>
      <c r="J3" s="117">
        <f>H3*G3*I3/1000</f>
        <v>5.6615920000000006</v>
      </c>
      <c r="K3" s="118"/>
      <c r="L3" s="111">
        <v>124</v>
      </c>
      <c r="M3" s="117">
        <f t="shared" ref="M3" si="0">H3*L3*G3/1000</f>
        <v>5.6615919999999997</v>
      </c>
      <c r="N3" s="119">
        <f t="shared" ref="N3" si="1">I3-L3</f>
        <v>0</v>
      </c>
      <c r="O3" s="120">
        <f t="shared" ref="O3" si="2">H3*N3*G3/1000</f>
        <v>0</v>
      </c>
      <c r="P3" s="111"/>
      <c r="Q3" s="32"/>
    </row>
    <row r="4" spans="1:20" ht="15.6">
      <c r="A4" s="110" t="s">
        <v>366</v>
      </c>
      <c r="B4" s="111" t="s">
        <v>232</v>
      </c>
      <c r="C4" s="112" t="s">
        <v>228</v>
      </c>
      <c r="D4" s="113" t="s">
        <v>19</v>
      </c>
      <c r="E4" s="114" t="s">
        <v>14</v>
      </c>
      <c r="F4" s="115" t="s">
        <v>27</v>
      </c>
      <c r="G4" s="116">
        <v>6.17</v>
      </c>
      <c r="H4" s="125">
        <v>8.4</v>
      </c>
      <c r="I4" s="326">
        <f>8+16</f>
        <v>24</v>
      </c>
      <c r="J4" s="117">
        <f t="shared" ref="J4:J19" si="3">H4*G4*I4/1000</f>
        <v>1.2438720000000001</v>
      </c>
      <c r="K4" s="118"/>
      <c r="L4" s="111">
        <v>24</v>
      </c>
      <c r="M4" s="117">
        <f t="shared" ref="M4:M19" si="4">H4*L4*G4/1000</f>
        <v>1.2438720000000001</v>
      </c>
      <c r="N4" s="119">
        <f t="shared" ref="N4:N19" si="5">I4-L4</f>
        <v>0</v>
      </c>
      <c r="O4" s="120">
        <f t="shared" ref="O4:O19" si="6">H4*N4*G4/1000</f>
        <v>0</v>
      </c>
      <c r="P4" s="111"/>
      <c r="Q4" s="32"/>
    </row>
    <row r="5" spans="1:20" ht="15.6">
      <c r="A5" s="110" t="s">
        <v>366</v>
      </c>
      <c r="B5" s="111" t="s">
        <v>232</v>
      </c>
      <c r="C5" s="112" t="s">
        <v>228</v>
      </c>
      <c r="D5" s="113" t="s">
        <v>19</v>
      </c>
      <c r="E5" s="114" t="s">
        <v>14</v>
      </c>
      <c r="F5" s="115" t="s">
        <v>27</v>
      </c>
      <c r="G5" s="116">
        <v>6.17</v>
      </c>
      <c r="H5" s="125">
        <v>11.55</v>
      </c>
      <c r="I5" s="326">
        <f>47+40+25</f>
        <v>112</v>
      </c>
      <c r="J5" s="117">
        <f t="shared" ref="J5" si="7">H5*G5*I5/1000</f>
        <v>7.9815120000000004</v>
      </c>
      <c r="K5" s="118"/>
      <c r="L5" s="111">
        <v>112</v>
      </c>
      <c r="M5" s="117">
        <f t="shared" ref="M5" si="8">H5*L5*G5/1000</f>
        <v>7.9815120000000004</v>
      </c>
      <c r="N5" s="119">
        <f t="shared" ref="N5" si="9">I5-L5</f>
        <v>0</v>
      </c>
      <c r="O5" s="120">
        <f t="shared" ref="O5" si="10">H5*N5*G5/1000</f>
        <v>0</v>
      </c>
      <c r="P5" s="111"/>
      <c r="Q5" s="32"/>
    </row>
    <row r="6" spans="1:20" ht="15.6">
      <c r="A6" s="110" t="s">
        <v>366</v>
      </c>
      <c r="B6" s="111" t="s">
        <v>232</v>
      </c>
      <c r="C6" s="112" t="s">
        <v>228</v>
      </c>
      <c r="D6" s="113" t="s">
        <v>19</v>
      </c>
      <c r="E6" s="114" t="s">
        <v>14</v>
      </c>
      <c r="F6" s="115" t="s">
        <v>27</v>
      </c>
      <c r="G6" s="116">
        <v>6.17</v>
      </c>
      <c r="H6" s="125">
        <v>11</v>
      </c>
      <c r="I6" s="326">
        <v>2</v>
      </c>
      <c r="J6" s="117">
        <f t="shared" si="3"/>
        <v>0.13574</v>
      </c>
      <c r="K6" s="118"/>
      <c r="L6" s="111">
        <v>2</v>
      </c>
      <c r="M6" s="117">
        <f t="shared" si="4"/>
        <v>0.13574</v>
      </c>
      <c r="N6" s="119">
        <f t="shared" si="5"/>
        <v>0</v>
      </c>
      <c r="O6" s="120">
        <f t="shared" si="6"/>
        <v>0</v>
      </c>
      <c r="P6" s="111">
        <v>10.5</v>
      </c>
      <c r="Q6" s="32">
        <v>2</v>
      </c>
      <c r="R6" s="213" t="s">
        <v>421</v>
      </c>
    </row>
    <row r="7" spans="1:20" ht="15.6">
      <c r="A7" s="110" t="s">
        <v>366</v>
      </c>
      <c r="B7" s="111" t="s">
        <v>232</v>
      </c>
      <c r="C7" s="112" t="s">
        <v>228</v>
      </c>
      <c r="D7" s="113" t="s">
        <v>19</v>
      </c>
      <c r="E7" s="114" t="s">
        <v>14</v>
      </c>
      <c r="F7" s="115" t="s">
        <v>27</v>
      </c>
      <c r="G7" s="116">
        <v>6.17</v>
      </c>
      <c r="H7" s="125">
        <v>11.5</v>
      </c>
      <c r="I7" s="326">
        <v>1</v>
      </c>
      <c r="J7" s="117">
        <f t="shared" si="3"/>
        <v>7.0955000000000004E-2</v>
      </c>
      <c r="K7" s="118"/>
      <c r="L7" s="111">
        <v>1</v>
      </c>
      <c r="M7" s="117">
        <f t="shared" si="4"/>
        <v>7.0955000000000004E-2</v>
      </c>
      <c r="N7" s="119">
        <f t="shared" si="5"/>
        <v>0</v>
      </c>
      <c r="O7" s="120">
        <f t="shared" si="6"/>
        <v>0</v>
      </c>
      <c r="P7" s="111">
        <v>11.5</v>
      </c>
      <c r="Q7" s="32">
        <v>1</v>
      </c>
      <c r="R7" s="213" t="s">
        <v>421</v>
      </c>
    </row>
    <row r="8" spans="1:20" ht="15.6">
      <c r="A8" s="110" t="s">
        <v>366</v>
      </c>
      <c r="B8" s="111" t="s">
        <v>232</v>
      </c>
      <c r="C8" s="112" t="s">
        <v>228</v>
      </c>
      <c r="D8" s="113" t="s">
        <v>19</v>
      </c>
      <c r="E8" s="114" t="s">
        <v>14</v>
      </c>
      <c r="F8" s="115" t="s">
        <v>27</v>
      </c>
      <c r="G8" s="116">
        <v>6.17</v>
      </c>
      <c r="H8" s="125">
        <v>6.2</v>
      </c>
      <c r="I8" s="326">
        <v>1</v>
      </c>
      <c r="J8" s="117">
        <f t="shared" si="3"/>
        <v>3.8253999999999996E-2</v>
      </c>
      <c r="K8" s="118"/>
      <c r="L8" s="111"/>
      <c r="M8" s="117">
        <f t="shared" si="4"/>
        <v>0</v>
      </c>
      <c r="N8" s="119">
        <f t="shared" si="5"/>
        <v>1</v>
      </c>
      <c r="O8" s="120">
        <f t="shared" si="6"/>
        <v>3.8253999999999996E-2</v>
      </c>
      <c r="P8" s="111"/>
      <c r="Q8" s="32"/>
    </row>
    <row r="9" spans="1:20" ht="15.6">
      <c r="A9" s="110" t="s">
        <v>366</v>
      </c>
      <c r="B9" s="111" t="s">
        <v>232</v>
      </c>
      <c r="C9" s="112" t="s">
        <v>228</v>
      </c>
      <c r="D9" s="113" t="s">
        <v>19</v>
      </c>
      <c r="E9" s="114" t="s">
        <v>14</v>
      </c>
      <c r="F9" s="115" t="s">
        <v>27</v>
      </c>
      <c r="G9" s="116">
        <v>6.17</v>
      </c>
      <c r="H9" s="125">
        <v>6.4</v>
      </c>
      <c r="I9" s="326">
        <v>1</v>
      </c>
      <c r="J9" s="117">
        <f t="shared" si="3"/>
        <v>3.9488000000000002E-2</v>
      </c>
      <c r="K9" s="118"/>
      <c r="L9" s="111"/>
      <c r="M9" s="117">
        <f t="shared" si="4"/>
        <v>0</v>
      </c>
      <c r="N9" s="119">
        <f t="shared" si="5"/>
        <v>1</v>
      </c>
      <c r="O9" s="120">
        <f t="shared" si="6"/>
        <v>3.9488000000000002E-2</v>
      </c>
      <c r="P9" s="111"/>
      <c r="Q9" s="32"/>
    </row>
    <row r="10" spans="1:20" ht="15.6">
      <c r="A10" s="110" t="s">
        <v>366</v>
      </c>
      <c r="B10" s="111" t="s">
        <v>232</v>
      </c>
      <c r="C10" s="112" t="s">
        <v>228</v>
      </c>
      <c r="D10" s="113" t="s">
        <v>19</v>
      </c>
      <c r="E10" s="114" t="s">
        <v>14</v>
      </c>
      <c r="F10" s="115" t="s">
        <v>27</v>
      </c>
      <c r="G10" s="116">
        <v>6.17</v>
      </c>
      <c r="H10" s="125">
        <v>6.9</v>
      </c>
      <c r="I10" s="326">
        <v>1</v>
      </c>
      <c r="J10" s="117">
        <f t="shared" si="3"/>
        <v>4.2573E-2</v>
      </c>
      <c r="K10" s="118"/>
      <c r="L10" s="111"/>
      <c r="M10" s="117">
        <f t="shared" si="4"/>
        <v>0</v>
      </c>
      <c r="N10" s="119">
        <f t="shared" si="5"/>
        <v>1</v>
      </c>
      <c r="O10" s="120">
        <f t="shared" si="6"/>
        <v>4.2573E-2</v>
      </c>
      <c r="P10" s="111"/>
      <c r="Q10" s="32"/>
    </row>
    <row r="11" spans="1:20" ht="15.6">
      <c r="A11" s="110" t="s">
        <v>366</v>
      </c>
      <c r="B11" s="111" t="s">
        <v>232</v>
      </c>
      <c r="C11" s="112" t="s">
        <v>228</v>
      </c>
      <c r="D11" s="113" t="s">
        <v>19</v>
      </c>
      <c r="E11" s="114" t="s">
        <v>14</v>
      </c>
      <c r="F11" s="115" t="s">
        <v>27</v>
      </c>
      <c r="G11" s="116">
        <v>6.17</v>
      </c>
      <c r="H11" s="125">
        <v>7.1</v>
      </c>
      <c r="I11" s="326">
        <v>1</v>
      </c>
      <c r="J11" s="117">
        <f t="shared" si="3"/>
        <v>4.3806999999999992E-2</v>
      </c>
      <c r="K11" s="118"/>
      <c r="L11" s="111">
        <v>1</v>
      </c>
      <c r="M11" s="117">
        <f t="shared" si="4"/>
        <v>4.3806999999999992E-2</v>
      </c>
      <c r="N11" s="119">
        <f t="shared" si="5"/>
        <v>0</v>
      </c>
      <c r="O11" s="120">
        <f t="shared" si="6"/>
        <v>0</v>
      </c>
      <c r="P11" s="111"/>
      <c r="Q11" s="32"/>
      <c r="R11" s="213">
        <v>7.15</v>
      </c>
      <c r="S11" s="354">
        <v>1</v>
      </c>
      <c r="T11" s="213" t="s">
        <v>706</v>
      </c>
    </row>
    <row r="12" spans="1:20" ht="15.6">
      <c r="A12" s="110" t="s">
        <v>366</v>
      </c>
      <c r="B12" s="111" t="s">
        <v>232</v>
      </c>
      <c r="C12" s="112" t="s">
        <v>228</v>
      </c>
      <c r="D12" s="113" t="s">
        <v>19</v>
      </c>
      <c r="E12" s="114" t="s">
        <v>14</v>
      </c>
      <c r="F12" s="115" t="s">
        <v>27</v>
      </c>
      <c r="G12" s="116">
        <v>6.17</v>
      </c>
      <c r="H12" s="125">
        <v>7.2</v>
      </c>
      <c r="I12" s="326">
        <v>1</v>
      </c>
      <c r="J12" s="117">
        <f t="shared" si="3"/>
        <v>4.4423999999999998E-2</v>
      </c>
      <c r="K12" s="118"/>
      <c r="L12" s="111">
        <v>1</v>
      </c>
      <c r="M12" s="117">
        <f t="shared" si="4"/>
        <v>4.4423999999999998E-2</v>
      </c>
      <c r="N12" s="119">
        <f t="shared" si="5"/>
        <v>0</v>
      </c>
      <c r="O12" s="120">
        <f t="shared" si="6"/>
        <v>0</v>
      </c>
      <c r="P12" s="111"/>
      <c r="Q12" s="32"/>
      <c r="R12" s="213">
        <v>7.15</v>
      </c>
      <c r="S12" s="354">
        <v>1</v>
      </c>
      <c r="T12" s="213" t="s">
        <v>706</v>
      </c>
    </row>
    <row r="13" spans="1:20" ht="15.6">
      <c r="A13" s="110" t="s">
        <v>366</v>
      </c>
      <c r="B13" s="111" t="s">
        <v>232</v>
      </c>
      <c r="C13" s="112" t="s">
        <v>228</v>
      </c>
      <c r="D13" s="113" t="s">
        <v>19</v>
      </c>
      <c r="E13" s="114" t="s">
        <v>14</v>
      </c>
      <c r="F13" s="115" t="s">
        <v>27</v>
      </c>
      <c r="G13" s="116">
        <v>6.17</v>
      </c>
      <c r="H13" s="125">
        <v>7.4</v>
      </c>
      <c r="I13" s="326">
        <f>60+60+59+60+60+60+39</f>
        <v>398</v>
      </c>
      <c r="J13" s="117">
        <f t="shared" si="3"/>
        <v>18.171884000000002</v>
      </c>
      <c r="K13" s="118"/>
      <c r="L13" s="111">
        <f>36+362+26</f>
        <v>424</v>
      </c>
      <c r="M13" s="117">
        <f t="shared" si="4"/>
        <v>19.358992000000001</v>
      </c>
      <c r="N13" s="228">
        <f t="shared" si="5"/>
        <v>-26</v>
      </c>
      <c r="O13" s="229">
        <f t="shared" si="6"/>
        <v>-1.1871080000000001</v>
      </c>
      <c r="P13" s="44" t="s">
        <v>481</v>
      </c>
      <c r="Q13" s="32"/>
    </row>
    <row r="14" spans="1:20" ht="15.6">
      <c r="A14" s="110" t="s">
        <v>366</v>
      </c>
      <c r="B14" s="111" t="s">
        <v>232</v>
      </c>
      <c r="C14" s="112" t="s">
        <v>228</v>
      </c>
      <c r="D14" s="113" t="s">
        <v>19</v>
      </c>
      <c r="E14" s="114" t="s">
        <v>14</v>
      </c>
      <c r="F14" s="115" t="s">
        <v>27</v>
      </c>
      <c r="G14" s="116">
        <v>6.17</v>
      </c>
      <c r="H14" s="125">
        <v>5.7</v>
      </c>
      <c r="I14" s="326">
        <v>1</v>
      </c>
      <c r="J14" s="117">
        <f t="shared" si="3"/>
        <v>3.5169000000000006E-2</v>
      </c>
      <c r="K14" s="118"/>
      <c r="L14" s="111"/>
      <c r="M14" s="117">
        <f t="shared" si="4"/>
        <v>0</v>
      </c>
      <c r="N14" s="119">
        <f t="shared" si="5"/>
        <v>1</v>
      </c>
      <c r="O14" s="120">
        <f t="shared" si="6"/>
        <v>3.5169000000000006E-2</v>
      </c>
      <c r="P14" s="111"/>
      <c r="Q14" s="32"/>
    </row>
    <row r="15" spans="1:20" ht="15.6">
      <c r="A15" s="110" t="s">
        <v>366</v>
      </c>
      <c r="B15" s="111" t="s">
        <v>232</v>
      </c>
      <c r="C15" s="112" t="s">
        <v>228</v>
      </c>
      <c r="D15" s="113" t="s">
        <v>19</v>
      </c>
      <c r="E15" s="114" t="s">
        <v>14</v>
      </c>
      <c r="F15" s="115" t="s">
        <v>27</v>
      </c>
      <c r="G15" s="116">
        <v>6.17</v>
      </c>
      <c r="H15" s="125">
        <v>6</v>
      </c>
      <c r="I15" s="326">
        <v>1</v>
      </c>
      <c r="J15" s="117">
        <f t="shared" si="3"/>
        <v>3.7019999999999997E-2</v>
      </c>
      <c r="K15" s="118"/>
      <c r="L15" s="111"/>
      <c r="M15" s="117">
        <f t="shared" si="4"/>
        <v>0</v>
      </c>
      <c r="N15" s="119">
        <f t="shared" si="5"/>
        <v>1</v>
      </c>
      <c r="O15" s="120">
        <f t="shared" si="6"/>
        <v>3.7019999999999997E-2</v>
      </c>
      <c r="P15" s="111"/>
      <c r="Q15" s="32"/>
    </row>
    <row r="16" spans="1:20" ht="15.6">
      <c r="A16" s="110" t="s">
        <v>366</v>
      </c>
      <c r="B16" s="111" t="s">
        <v>232</v>
      </c>
      <c r="C16" s="112" t="s">
        <v>228</v>
      </c>
      <c r="D16" s="113" t="s">
        <v>19</v>
      </c>
      <c r="E16" s="114" t="s">
        <v>14</v>
      </c>
      <c r="F16" s="115" t="s">
        <v>27</v>
      </c>
      <c r="G16" s="116">
        <v>6.17</v>
      </c>
      <c r="H16" s="125">
        <v>6.5</v>
      </c>
      <c r="I16" s="326">
        <v>3</v>
      </c>
      <c r="J16" s="117">
        <f t="shared" si="3"/>
        <v>0.12031499999999999</v>
      </c>
      <c r="K16" s="118"/>
      <c r="L16" s="111"/>
      <c r="M16" s="117">
        <f t="shared" si="4"/>
        <v>0</v>
      </c>
      <c r="N16" s="119">
        <f t="shared" si="5"/>
        <v>3</v>
      </c>
      <c r="O16" s="120">
        <f t="shared" si="6"/>
        <v>0.12031499999999999</v>
      </c>
      <c r="P16" s="111"/>
      <c r="Q16" s="32"/>
    </row>
    <row r="17" spans="1:20" ht="15.6">
      <c r="A17" s="110" t="s">
        <v>366</v>
      </c>
      <c r="B17" s="111" t="s">
        <v>232</v>
      </c>
      <c r="C17" s="112" t="s">
        <v>228</v>
      </c>
      <c r="D17" s="113" t="s">
        <v>19</v>
      </c>
      <c r="E17" s="114" t="s">
        <v>14</v>
      </c>
      <c r="F17" s="115" t="s">
        <v>27</v>
      </c>
      <c r="G17" s="116">
        <v>6.17</v>
      </c>
      <c r="H17" s="125">
        <v>7.2</v>
      </c>
      <c r="I17" s="326">
        <v>4</v>
      </c>
      <c r="J17" s="117">
        <f t="shared" si="3"/>
        <v>0.17769599999999999</v>
      </c>
      <c r="K17" s="118"/>
      <c r="L17" s="111">
        <v>4</v>
      </c>
      <c r="M17" s="117">
        <f t="shared" si="4"/>
        <v>0.17769599999999999</v>
      </c>
      <c r="N17" s="119">
        <f t="shared" si="5"/>
        <v>0</v>
      </c>
      <c r="O17" s="120">
        <f t="shared" si="6"/>
        <v>0</v>
      </c>
      <c r="P17" s="111"/>
      <c r="Q17" s="32"/>
      <c r="R17" s="213">
        <v>7.15</v>
      </c>
      <c r="S17" s="354">
        <v>4</v>
      </c>
      <c r="T17" s="213" t="s">
        <v>706</v>
      </c>
    </row>
    <row r="18" spans="1:20" ht="15.6">
      <c r="A18" s="110" t="s">
        <v>366</v>
      </c>
      <c r="B18" s="111" t="s">
        <v>232</v>
      </c>
      <c r="C18" s="112" t="s">
        <v>228</v>
      </c>
      <c r="D18" s="113" t="s">
        <v>19</v>
      </c>
      <c r="E18" s="114" t="s">
        <v>14</v>
      </c>
      <c r="F18" s="115" t="s">
        <v>27</v>
      </c>
      <c r="G18" s="116">
        <v>6.17</v>
      </c>
      <c r="H18" s="125">
        <v>10.9</v>
      </c>
      <c r="I18" s="326">
        <v>3</v>
      </c>
      <c r="J18" s="117">
        <f t="shared" si="3"/>
        <v>0.20175900000000002</v>
      </c>
      <c r="K18" s="118"/>
      <c r="L18" s="111">
        <v>3</v>
      </c>
      <c r="M18" s="117">
        <f t="shared" si="4"/>
        <v>0.20175900000000002</v>
      </c>
      <c r="N18" s="119">
        <f t="shared" si="5"/>
        <v>0</v>
      </c>
      <c r="O18" s="120">
        <f t="shared" si="6"/>
        <v>0</v>
      </c>
      <c r="P18" s="159">
        <v>10.5</v>
      </c>
      <c r="Q18" s="32">
        <v>3</v>
      </c>
      <c r="R18" s="213" t="s">
        <v>421</v>
      </c>
    </row>
    <row r="19" spans="1:20" ht="15.6">
      <c r="A19" s="110" t="s">
        <v>366</v>
      </c>
      <c r="B19" s="111" t="s">
        <v>232</v>
      </c>
      <c r="C19" s="112" t="s">
        <v>228</v>
      </c>
      <c r="D19" s="113" t="s">
        <v>19</v>
      </c>
      <c r="E19" s="114" t="s">
        <v>14</v>
      </c>
      <c r="F19" s="115" t="s">
        <v>27</v>
      </c>
      <c r="G19" s="116">
        <v>6.17</v>
      </c>
      <c r="H19" s="125">
        <v>11.2</v>
      </c>
      <c r="I19" s="326">
        <v>1</v>
      </c>
      <c r="J19" s="117">
        <f t="shared" si="3"/>
        <v>6.9103999999999999E-2</v>
      </c>
      <c r="K19" s="118"/>
      <c r="L19" s="111">
        <v>1</v>
      </c>
      <c r="M19" s="117">
        <f t="shared" si="4"/>
        <v>6.9103999999999999E-2</v>
      </c>
      <c r="N19" s="119">
        <f t="shared" si="5"/>
        <v>0</v>
      </c>
      <c r="O19" s="120">
        <f t="shared" si="6"/>
        <v>0</v>
      </c>
      <c r="P19" s="159">
        <v>10.5</v>
      </c>
      <c r="Q19" s="32">
        <v>1</v>
      </c>
      <c r="R19" s="213" t="s">
        <v>421</v>
      </c>
    </row>
    <row r="20" spans="1:20" ht="15.6">
      <c r="A20" s="110" t="s">
        <v>366</v>
      </c>
      <c r="B20" s="111" t="s">
        <v>232</v>
      </c>
      <c r="C20" s="112" t="s">
        <v>228</v>
      </c>
      <c r="D20" s="113" t="s">
        <v>19</v>
      </c>
      <c r="E20" s="114" t="s">
        <v>14</v>
      </c>
      <c r="F20" s="115" t="s">
        <v>27</v>
      </c>
      <c r="G20" s="116">
        <v>6.17</v>
      </c>
      <c r="H20" s="125">
        <v>11.5</v>
      </c>
      <c r="I20" s="327">
        <v>1</v>
      </c>
      <c r="J20" s="117">
        <f t="shared" ref="J20:J21" si="11">H20*G20*I20/1000</f>
        <v>7.0955000000000004E-2</v>
      </c>
      <c r="K20" s="118"/>
      <c r="L20" s="123">
        <v>1</v>
      </c>
      <c r="M20" s="117">
        <f t="shared" ref="M20:M21" si="12">H20*L20*G20/1000</f>
        <v>7.0955000000000004E-2</v>
      </c>
      <c r="N20" s="119">
        <f t="shared" ref="N20:N21" si="13">I20-L20</f>
        <v>0</v>
      </c>
      <c r="O20" s="120">
        <f>H20*N20*G20/1000</f>
        <v>0</v>
      </c>
      <c r="P20" s="159">
        <v>11.5</v>
      </c>
      <c r="Q20" s="32">
        <v>1</v>
      </c>
      <c r="R20" s="213" t="s">
        <v>421</v>
      </c>
    </row>
    <row r="21" spans="1:20" ht="15.6">
      <c r="A21" s="110" t="s">
        <v>366</v>
      </c>
      <c r="B21" s="111" t="s">
        <v>232</v>
      </c>
      <c r="C21" s="112" t="s">
        <v>228</v>
      </c>
      <c r="D21" s="113" t="s">
        <v>19</v>
      </c>
      <c r="E21" s="114" t="s">
        <v>14</v>
      </c>
      <c r="F21" s="115" t="s">
        <v>27</v>
      </c>
      <c r="G21" s="116">
        <v>6.17</v>
      </c>
      <c r="H21" s="125">
        <v>11.55</v>
      </c>
      <c r="I21" s="328">
        <v>3</v>
      </c>
      <c r="J21" s="117">
        <f t="shared" si="11"/>
        <v>0.21379050000000002</v>
      </c>
      <c r="K21" s="118"/>
      <c r="L21" s="321">
        <v>3</v>
      </c>
      <c r="M21" s="117">
        <f t="shared" si="12"/>
        <v>0.21379050000000005</v>
      </c>
      <c r="N21" s="119">
        <f t="shared" si="13"/>
        <v>0</v>
      </c>
      <c r="O21" s="120">
        <f>H21*N21*G21/1000</f>
        <v>0</v>
      </c>
      <c r="P21" s="159">
        <v>11.5</v>
      </c>
      <c r="Q21" s="32">
        <v>3</v>
      </c>
      <c r="R21" s="213" t="s">
        <v>421</v>
      </c>
    </row>
    <row r="22" spans="1:20">
      <c r="A22" s="32"/>
      <c r="B22" s="32"/>
      <c r="C22" s="32"/>
      <c r="D22" s="32"/>
      <c r="E22" s="32"/>
      <c r="F22" s="32"/>
      <c r="G22" s="32"/>
      <c r="H22" s="32"/>
      <c r="I22" s="129">
        <f>SUM(I3:I21)</f>
        <v>683</v>
      </c>
      <c r="J22" s="124">
        <f>SUM(J3:J21)</f>
        <v>34.399909500000007</v>
      </c>
      <c r="K22" s="32"/>
      <c r="L22" s="129">
        <f>SUM(L3:L21)</f>
        <v>701</v>
      </c>
      <c r="M22" s="124">
        <f>SUM(M3:M21)</f>
        <v>35.274198500000004</v>
      </c>
      <c r="N22" s="131">
        <f>SUM(N3:N21)</f>
        <v>-18</v>
      </c>
      <c r="O22" s="124">
        <f>SUM(O3:O21)</f>
        <v>-0.87428900000000009</v>
      </c>
      <c r="P22" s="32"/>
      <c r="Q22" s="131">
        <f>SUM(Q3:Q21)</f>
        <v>11</v>
      </c>
    </row>
    <row r="24" spans="1:20" ht="15.6">
      <c r="A24" s="110" t="s">
        <v>366</v>
      </c>
      <c r="B24" s="111" t="s">
        <v>232</v>
      </c>
      <c r="C24" s="112" t="s">
        <v>228</v>
      </c>
      <c r="D24" s="113" t="s">
        <v>19</v>
      </c>
      <c r="E24" s="114" t="s">
        <v>14</v>
      </c>
      <c r="F24" s="115" t="s">
        <v>25</v>
      </c>
      <c r="G24" s="116">
        <v>7.34</v>
      </c>
      <c r="H24" s="125">
        <v>7.55</v>
      </c>
      <c r="I24" s="111">
        <f>36+40+40+40+10+46+47+47+47+29+47+44</f>
        <v>473</v>
      </c>
      <c r="J24" s="117">
        <f t="shared" ref="J24:J26" si="14">H24*G24*I24/1000</f>
        <v>26.212240999999999</v>
      </c>
      <c r="K24" s="118"/>
      <c r="L24" s="111">
        <f>164+309</f>
        <v>473</v>
      </c>
      <c r="M24" s="117">
        <f t="shared" ref="M24:M26" si="15">H24*L24*G24/1000</f>
        <v>26.212241000000002</v>
      </c>
      <c r="N24" s="119">
        <f t="shared" ref="N24:N26" si="16">I24-L24</f>
        <v>0</v>
      </c>
      <c r="O24" s="120">
        <f t="shared" ref="O24:O26" si="17">H24*N24*G24/1000</f>
        <v>0</v>
      </c>
      <c r="P24" s="111"/>
      <c r="Q24" s="32"/>
    </row>
    <row r="25" spans="1:20" ht="15.6">
      <c r="A25" s="110" t="s">
        <v>366</v>
      </c>
      <c r="B25" s="111" t="s">
        <v>232</v>
      </c>
      <c r="C25" s="112" t="s">
        <v>228</v>
      </c>
      <c r="D25" s="113" t="s">
        <v>19</v>
      </c>
      <c r="E25" s="114" t="s">
        <v>14</v>
      </c>
      <c r="F25" s="115" t="s">
        <v>25</v>
      </c>
      <c r="G25" s="116">
        <v>7.34</v>
      </c>
      <c r="H25" s="125">
        <v>10.15</v>
      </c>
      <c r="I25" s="111">
        <f>35+45+11+16+39</f>
        <v>146</v>
      </c>
      <c r="J25" s="117">
        <f t="shared" si="14"/>
        <v>10.877146</v>
      </c>
      <c r="K25" s="118"/>
      <c r="L25" s="111">
        <f>80+66</f>
        <v>146</v>
      </c>
      <c r="M25" s="117">
        <f t="shared" si="15"/>
        <v>10.877146</v>
      </c>
      <c r="N25" s="119">
        <f t="shared" si="16"/>
        <v>0</v>
      </c>
      <c r="O25" s="120">
        <f t="shared" si="17"/>
        <v>0</v>
      </c>
      <c r="P25" s="111"/>
      <c r="Q25" s="32"/>
    </row>
    <row r="26" spans="1:20" ht="15.6">
      <c r="A26" s="110" t="s">
        <v>366</v>
      </c>
      <c r="B26" s="111" t="s">
        <v>232</v>
      </c>
      <c r="C26" s="112" t="s">
        <v>228</v>
      </c>
      <c r="D26" s="113" t="s">
        <v>19</v>
      </c>
      <c r="E26" s="114" t="s">
        <v>14</v>
      </c>
      <c r="F26" s="115" t="s">
        <v>25</v>
      </c>
      <c r="G26" s="116">
        <v>7.34</v>
      </c>
      <c r="H26" s="125">
        <v>12</v>
      </c>
      <c r="I26" s="111">
        <v>13</v>
      </c>
      <c r="J26" s="117">
        <f t="shared" si="14"/>
        <v>1.1450400000000001</v>
      </c>
      <c r="K26" s="118"/>
      <c r="L26" s="111">
        <v>13</v>
      </c>
      <c r="M26" s="117">
        <f t="shared" si="15"/>
        <v>1.1450400000000001</v>
      </c>
      <c r="N26" s="119">
        <f t="shared" si="16"/>
        <v>0</v>
      </c>
      <c r="O26" s="120">
        <f t="shared" si="17"/>
        <v>0</v>
      </c>
      <c r="P26" s="111"/>
      <c r="Q26" s="32"/>
    </row>
    <row r="27" spans="1:20" ht="15.6">
      <c r="A27" s="110" t="s">
        <v>366</v>
      </c>
      <c r="B27" s="111" t="s">
        <v>232</v>
      </c>
      <c r="C27" s="112" t="s">
        <v>228</v>
      </c>
      <c r="D27" s="113" t="s">
        <v>19</v>
      </c>
      <c r="E27" s="114" t="s">
        <v>14</v>
      </c>
      <c r="F27" s="115" t="s">
        <v>25</v>
      </c>
      <c r="G27" s="116">
        <v>7.34</v>
      </c>
      <c r="H27" s="125">
        <v>12</v>
      </c>
      <c r="I27" s="111">
        <v>2</v>
      </c>
      <c r="J27" s="117">
        <f t="shared" ref="J27:J38" si="18">H27*G27*I27/1000</f>
        <v>0.17615999999999998</v>
      </c>
      <c r="K27" s="118"/>
      <c r="L27" s="111">
        <v>2</v>
      </c>
      <c r="M27" s="117">
        <f t="shared" ref="M27:M38" si="19">H27*L27*G27/1000</f>
        <v>0.17615999999999998</v>
      </c>
      <c r="N27" s="119">
        <f t="shared" ref="N27:N38" si="20">I27-L27</f>
        <v>0</v>
      </c>
      <c r="O27" s="120">
        <f t="shared" ref="O27:O38" si="21">H27*N27*G27/1000</f>
        <v>0</v>
      </c>
      <c r="P27" s="111"/>
      <c r="Q27" s="32"/>
    </row>
    <row r="28" spans="1:20" ht="15.6">
      <c r="A28" s="110" t="s">
        <v>366</v>
      </c>
      <c r="B28" s="111" t="s">
        <v>232</v>
      </c>
      <c r="C28" s="112" t="s">
        <v>228</v>
      </c>
      <c r="D28" s="113" t="s">
        <v>19</v>
      </c>
      <c r="E28" s="114" t="s">
        <v>14</v>
      </c>
      <c r="F28" s="115" t="s">
        <v>25</v>
      </c>
      <c r="G28" s="116">
        <v>7.34</v>
      </c>
      <c r="H28" s="125">
        <v>7.1</v>
      </c>
      <c r="I28" s="111">
        <v>2</v>
      </c>
      <c r="J28" s="117">
        <f t="shared" si="18"/>
        <v>0.104228</v>
      </c>
      <c r="K28" s="118"/>
      <c r="L28" s="111">
        <v>2</v>
      </c>
      <c r="M28" s="117">
        <f t="shared" si="19"/>
        <v>0.104228</v>
      </c>
      <c r="N28" s="119">
        <f t="shared" si="20"/>
        <v>0</v>
      </c>
      <c r="O28" s="120">
        <f t="shared" si="21"/>
        <v>0</v>
      </c>
      <c r="P28" s="213">
        <v>7.1</v>
      </c>
      <c r="Q28" s="354">
        <v>2</v>
      </c>
      <c r="R28" s="213" t="s">
        <v>405</v>
      </c>
    </row>
    <row r="29" spans="1:20" ht="15.6">
      <c r="A29" s="110" t="s">
        <v>366</v>
      </c>
      <c r="B29" s="111" t="s">
        <v>232</v>
      </c>
      <c r="C29" s="112" t="s">
        <v>228</v>
      </c>
      <c r="D29" s="113" t="s">
        <v>19</v>
      </c>
      <c r="E29" s="114" t="s">
        <v>14</v>
      </c>
      <c r="F29" s="115" t="s">
        <v>25</v>
      </c>
      <c r="G29" s="116">
        <v>7.34</v>
      </c>
      <c r="H29" s="125">
        <v>7.2</v>
      </c>
      <c r="I29" s="111">
        <v>1</v>
      </c>
      <c r="J29" s="117">
        <f t="shared" si="18"/>
        <v>5.2847999999999999E-2</v>
      </c>
      <c r="K29" s="118"/>
      <c r="L29" s="111">
        <v>1</v>
      </c>
      <c r="M29" s="117">
        <f t="shared" si="19"/>
        <v>5.2847999999999999E-2</v>
      </c>
      <c r="N29" s="119">
        <f t="shared" si="20"/>
        <v>0</v>
      </c>
      <c r="O29" s="120">
        <f t="shared" si="21"/>
        <v>0</v>
      </c>
      <c r="P29" s="213">
        <v>7.1</v>
      </c>
      <c r="Q29" s="354">
        <v>1</v>
      </c>
      <c r="R29" s="213" t="s">
        <v>405</v>
      </c>
    </row>
    <row r="30" spans="1:20" ht="15.6">
      <c r="A30" s="110" t="s">
        <v>366</v>
      </c>
      <c r="B30" s="111" t="s">
        <v>232</v>
      </c>
      <c r="C30" s="112" t="s">
        <v>228</v>
      </c>
      <c r="D30" s="113" t="s">
        <v>19</v>
      </c>
      <c r="E30" s="114" t="s">
        <v>14</v>
      </c>
      <c r="F30" s="115" t="s">
        <v>25</v>
      </c>
      <c r="G30" s="116">
        <v>7.34</v>
      </c>
      <c r="H30" s="125">
        <v>7.6</v>
      </c>
      <c r="I30" s="111">
        <v>1</v>
      </c>
      <c r="J30" s="117">
        <f t="shared" si="18"/>
        <v>5.5784E-2</v>
      </c>
      <c r="K30" s="118"/>
      <c r="L30" s="111">
        <v>1</v>
      </c>
      <c r="M30" s="117">
        <f t="shared" si="19"/>
        <v>5.5784E-2</v>
      </c>
      <c r="N30" s="119">
        <f t="shared" si="20"/>
        <v>0</v>
      </c>
      <c r="O30" s="120">
        <f t="shared" si="21"/>
        <v>0</v>
      </c>
      <c r="P30" s="111">
        <v>7.55</v>
      </c>
      <c r="Q30" s="32">
        <v>1</v>
      </c>
    </row>
    <row r="31" spans="1:20" ht="15.6">
      <c r="A31" s="110" t="s">
        <v>366</v>
      </c>
      <c r="B31" s="111" t="s">
        <v>232</v>
      </c>
      <c r="C31" s="112" t="s">
        <v>228</v>
      </c>
      <c r="D31" s="113" t="s">
        <v>19</v>
      </c>
      <c r="E31" s="114" t="s">
        <v>14</v>
      </c>
      <c r="F31" s="115" t="s">
        <v>25</v>
      </c>
      <c r="G31" s="116">
        <v>7.34</v>
      </c>
      <c r="H31" s="125">
        <v>8.1</v>
      </c>
      <c r="I31" s="111">
        <v>1</v>
      </c>
      <c r="J31" s="117">
        <f t="shared" si="18"/>
        <v>5.9453999999999993E-2</v>
      </c>
      <c r="K31" s="118"/>
      <c r="L31" s="111">
        <v>1</v>
      </c>
      <c r="M31" s="117">
        <f t="shared" si="19"/>
        <v>5.9453999999999993E-2</v>
      </c>
      <c r="N31" s="119">
        <f t="shared" si="20"/>
        <v>0</v>
      </c>
      <c r="O31" s="120">
        <f t="shared" si="21"/>
        <v>0</v>
      </c>
      <c r="P31" s="111">
        <v>7.55</v>
      </c>
      <c r="Q31" s="32">
        <v>1</v>
      </c>
    </row>
    <row r="32" spans="1:20" ht="15.6">
      <c r="A32" s="110" t="s">
        <v>366</v>
      </c>
      <c r="B32" s="111" t="s">
        <v>232</v>
      </c>
      <c r="C32" s="112" t="s">
        <v>228</v>
      </c>
      <c r="D32" s="113" t="s">
        <v>19</v>
      </c>
      <c r="E32" s="114" t="s">
        <v>14</v>
      </c>
      <c r="F32" s="115" t="s">
        <v>25</v>
      </c>
      <c r="G32" s="116">
        <v>7.34</v>
      </c>
      <c r="H32" s="125">
        <v>9.4</v>
      </c>
      <c r="I32" s="111">
        <v>2</v>
      </c>
      <c r="J32" s="117">
        <f t="shared" si="18"/>
        <v>0.137992</v>
      </c>
      <c r="K32" s="118"/>
      <c r="L32" s="111">
        <v>2</v>
      </c>
      <c r="M32" s="117">
        <f t="shared" si="19"/>
        <v>0.137992</v>
      </c>
      <c r="N32" s="119">
        <f t="shared" si="20"/>
        <v>0</v>
      </c>
      <c r="O32" s="120">
        <f t="shared" si="21"/>
        <v>0</v>
      </c>
      <c r="P32" s="111">
        <v>7.55</v>
      </c>
      <c r="Q32" s="32">
        <v>2</v>
      </c>
    </row>
    <row r="33" spans="1:21" ht="15.6">
      <c r="A33" s="110" t="s">
        <v>366</v>
      </c>
      <c r="B33" s="111" t="s">
        <v>232</v>
      </c>
      <c r="C33" s="112" t="s">
        <v>228</v>
      </c>
      <c r="D33" s="113" t="s">
        <v>19</v>
      </c>
      <c r="E33" s="114" t="s">
        <v>14</v>
      </c>
      <c r="F33" s="115" t="s">
        <v>25</v>
      </c>
      <c r="G33" s="116">
        <v>7.34</v>
      </c>
      <c r="H33" s="125">
        <v>9.5</v>
      </c>
      <c r="I33" s="111">
        <v>1</v>
      </c>
      <c r="J33" s="117">
        <f t="shared" si="18"/>
        <v>6.973E-2</v>
      </c>
      <c r="K33" s="118"/>
      <c r="L33" s="111">
        <v>1</v>
      </c>
      <c r="M33" s="117">
        <f t="shared" si="19"/>
        <v>6.973E-2</v>
      </c>
      <c r="N33" s="119">
        <f t="shared" si="20"/>
        <v>0</v>
      </c>
      <c r="O33" s="120">
        <f t="shared" si="21"/>
        <v>0</v>
      </c>
      <c r="P33" s="111">
        <v>7.55</v>
      </c>
      <c r="Q33" s="32">
        <v>1</v>
      </c>
    </row>
    <row r="34" spans="1:21" ht="15.6">
      <c r="A34" s="110" t="s">
        <v>366</v>
      </c>
      <c r="B34" s="111" t="s">
        <v>232</v>
      </c>
      <c r="C34" s="112" t="s">
        <v>228</v>
      </c>
      <c r="D34" s="113" t="s">
        <v>19</v>
      </c>
      <c r="E34" s="114" t="s">
        <v>14</v>
      </c>
      <c r="F34" s="115" t="s">
        <v>25</v>
      </c>
      <c r="G34" s="116">
        <v>7.34</v>
      </c>
      <c r="H34" s="125">
        <v>9.8000000000000007</v>
      </c>
      <c r="I34" s="111">
        <v>1</v>
      </c>
      <c r="J34" s="117">
        <f t="shared" si="18"/>
        <v>7.1931999999999996E-2</v>
      </c>
      <c r="K34" s="118"/>
      <c r="L34" s="111">
        <v>1</v>
      </c>
      <c r="M34" s="117">
        <f t="shared" si="19"/>
        <v>7.1931999999999996E-2</v>
      </c>
      <c r="N34" s="119">
        <f t="shared" si="20"/>
        <v>0</v>
      </c>
      <c r="O34" s="120">
        <f t="shared" si="21"/>
        <v>0</v>
      </c>
      <c r="P34" s="111">
        <v>7.55</v>
      </c>
      <c r="Q34" s="32">
        <v>1</v>
      </c>
    </row>
    <row r="35" spans="1:21" ht="15.6">
      <c r="A35" s="110" t="s">
        <v>366</v>
      </c>
      <c r="B35" s="111" t="s">
        <v>232</v>
      </c>
      <c r="C35" s="112" t="s">
        <v>228</v>
      </c>
      <c r="D35" s="113" t="s">
        <v>19</v>
      </c>
      <c r="E35" s="114" t="s">
        <v>14</v>
      </c>
      <c r="F35" s="115" t="s">
        <v>25</v>
      </c>
      <c r="G35" s="116">
        <v>7.34</v>
      </c>
      <c r="H35" s="125">
        <v>7.55</v>
      </c>
      <c r="I35" s="111">
        <v>40</v>
      </c>
      <c r="J35" s="117">
        <f t="shared" si="18"/>
        <v>2.2166799999999998</v>
      </c>
      <c r="K35" s="118"/>
      <c r="L35" s="111">
        <v>40</v>
      </c>
      <c r="M35" s="117">
        <f t="shared" si="19"/>
        <v>2.2166799999999998</v>
      </c>
      <c r="N35" s="119">
        <f t="shared" si="20"/>
        <v>0</v>
      </c>
      <c r="O35" s="120">
        <f t="shared" si="21"/>
        <v>0</v>
      </c>
      <c r="P35" s="111"/>
      <c r="Q35" s="32"/>
    </row>
    <row r="36" spans="1:21" ht="15.6">
      <c r="A36" s="110" t="s">
        <v>366</v>
      </c>
      <c r="B36" s="111" t="s">
        <v>232</v>
      </c>
      <c r="C36" s="112" t="s">
        <v>228</v>
      </c>
      <c r="D36" s="113" t="s">
        <v>19</v>
      </c>
      <c r="E36" s="114" t="s">
        <v>14</v>
      </c>
      <c r="F36" s="115" t="s">
        <v>25</v>
      </c>
      <c r="G36" s="116">
        <v>7.34</v>
      </c>
      <c r="H36" s="125">
        <v>10.15</v>
      </c>
      <c r="I36" s="111">
        <f>40+40+41</f>
        <v>121</v>
      </c>
      <c r="J36" s="117">
        <f t="shared" si="18"/>
        <v>9.0146210000000018</v>
      </c>
      <c r="K36" s="118"/>
      <c r="L36" s="111">
        <v>121</v>
      </c>
      <c r="M36" s="117">
        <f t="shared" si="19"/>
        <v>9.0146210000000018</v>
      </c>
      <c r="N36" s="119">
        <f t="shared" si="20"/>
        <v>0</v>
      </c>
      <c r="O36" s="120">
        <f t="shared" si="21"/>
        <v>0</v>
      </c>
      <c r="P36" s="111"/>
      <c r="Q36" s="32"/>
      <c r="R36" s="125"/>
      <c r="S36" s="29"/>
      <c r="T36" s="29"/>
      <c r="U36" s="29"/>
    </row>
    <row r="37" spans="1:21" ht="15.6">
      <c r="A37" s="110" t="s">
        <v>366</v>
      </c>
      <c r="B37" s="111" t="s">
        <v>232</v>
      </c>
      <c r="C37" s="112" t="s">
        <v>228</v>
      </c>
      <c r="D37" s="113" t="s">
        <v>19</v>
      </c>
      <c r="E37" s="114" t="s">
        <v>14</v>
      </c>
      <c r="F37" s="115" t="s">
        <v>25</v>
      </c>
      <c r="G37" s="116">
        <v>7.34</v>
      </c>
      <c r="H37" s="125">
        <v>7.55</v>
      </c>
      <c r="I37" s="111">
        <v>1</v>
      </c>
      <c r="J37" s="117">
        <f t="shared" si="18"/>
        <v>5.5416999999999994E-2</v>
      </c>
      <c r="K37" s="118"/>
      <c r="L37" s="111">
        <v>1</v>
      </c>
      <c r="M37" s="117">
        <f t="shared" si="19"/>
        <v>5.5416999999999994E-2</v>
      </c>
      <c r="N37" s="119">
        <f t="shared" si="20"/>
        <v>0</v>
      </c>
      <c r="O37" s="120">
        <f t="shared" si="21"/>
        <v>0</v>
      </c>
      <c r="P37" s="111"/>
      <c r="Q37" s="32"/>
      <c r="R37" s="125"/>
      <c r="S37" s="29"/>
      <c r="T37" s="29"/>
      <c r="U37" s="29"/>
    </row>
    <row r="38" spans="1:21" ht="15.6">
      <c r="A38" s="110" t="s">
        <v>366</v>
      </c>
      <c r="B38" s="111" t="s">
        <v>232</v>
      </c>
      <c r="C38" s="112" t="s">
        <v>228</v>
      </c>
      <c r="D38" s="113" t="s">
        <v>19</v>
      </c>
      <c r="E38" s="114" t="s">
        <v>14</v>
      </c>
      <c r="F38" s="115" t="s">
        <v>25</v>
      </c>
      <c r="G38" s="116">
        <v>7.34</v>
      </c>
      <c r="H38" s="125">
        <v>9.6</v>
      </c>
      <c r="I38" s="111">
        <v>1</v>
      </c>
      <c r="J38" s="117">
        <f t="shared" si="18"/>
        <v>7.0463999999999999E-2</v>
      </c>
      <c r="K38" s="118"/>
      <c r="L38" s="111">
        <v>1</v>
      </c>
      <c r="M38" s="117">
        <f t="shared" si="19"/>
        <v>7.0463999999999999E-2</v>
      </c>
      <c r="N38" s="119">
        <f t="shared" si="20"/>
        <v>0</v>
      </c>
      <c r="O38" s="120">
        <f t="shared" si="21"/>
        <v>0</v>
      </c>
      <c r="P38" s="111">
        <v>7.55</v>
      </c>
      <c r="Q38" s="32">
        <v>1</v>
      </c>
      <c r="R38" s="29"/>
      <c r="S38" s="29"/>
      <c r="T38" s="29"/>
      <c r="U38" s="29"/>
    </row>
    <row r="39" spans="1:21" ht="15.6">
      <c r="A39" s="110" t="s">
        <v>366</v>
      </c>
      <c r="B39" s="111" t="s">
        <v>232</v>
      </c>
      <c r="C39" s="112" t="s">
        <v>228</v>
      </c>
      <c r="D39" s="113" t="s">
        <v>19</v>
      </c>
      <c r="E39" s="114" t="s">
        <v>14</v>
      </c>
      <c r="F39" s="115" t="s">
        <v>25</v>
      </c>
      <c r="G39" s="116">
        <v>7.34</v>
      </c>
      <c r="H39" s="125">
        <v>10.5</v>
      </c>
      <c r="I39" s="111">
        <v>1</v>
      </c>
      <c r="J39" s="117">
        <f t="shared" ref="J39:J43" si="22">H39*G39*I39/1000</f>
        <v>7.707E-2</v>
      </c>
      <c r="K39" s="118"/>
      <c r="L39" s="111">
        <v>1</v>
      </c>
      <c r="M39" s="117">
        <f t="shared" ref="M39:M43" si="23">H39*L39*G39/1000</f>
        <v>7.707E-2</v>
      </c>
      <c r="N39" s="119">
        <f t="shared" ref="N39:N43" si="24">I39-L39</f>
        <v>0</v>
      </c>
      <c r="O39" s="120">
        <f t="shared" ref="O39:O43" si="25">H39*N39*G39/1000</f>
        <v>0</v>
      </c>
      <c r="P39" s="111">
        <v>7.55</v>
      </c>
      <c r="Q39" s="32">
        <v>1</v>
      </c>
    </row>
    <row r="40" spans="1:21" ht="15.6">
      <c r="A40" s="110" t="s">
        <v>366</v>
      </c>
      <c r="B40" s="111" t="s">
        <v>232</v>
      </c>
      <c r="C40" s="112" t="s">
        <v>228</v>
      </c>
      <c r="D40" s="113" t="s">
        <v>19</v>
      </c>
      <c r="E40" s="114" t="s">
        <v>14</v>
      </c>
      <c r="F40" s="115" t="s">
        <v>25</v>
      </c>
      <c r="G40" s="116">
        <v>7.34</v>
      </c>
      <c r="H40" s="125">
        <v>9</v>
      </c>
      <c r="I40" s="111">
        <v>1</v>
      </c>
      <c r="J40" s="117">
        <f t="shared" si="22"/>
        <v>6.6060000000000008E-2</v>
      </c>
      <c r="K40" s="118"/>
      <c r="L40" s="111">
        <v>1</v>
      </c>
      <c r="M40" s="117">
        <f t="shared" si="23"/>
        <v>6.6060000000000008E-2</v>
      </c>
      <c r="N40" s="119">
        <f t="shared" si="24"/>
        <v>0</v>
      </c>
      <c r="O40" s="120">
        <f t="shared" si="25"/>
        <v>0</v>
      </c>
      <c r="P40" s="111">
        <v>7.55</v>
      </c>
      <c r="Q40" s="32">
        <v>2</v>
      </c>
    </row>
    <row r="41" spans="1:21" ht="15.6">
      <c r="A41" s="110" t="s">
        <v>366</v>
      </c>
      <c r="B41" s="111" t="s">
        <v>232</v>
      </c>
      <c r="C41" s="112" t="s">
        <v>228</v>
      </c>
      <c r="D41" s="113" t="s">
        <v>19</v>
      </c>
      <c r="E41" s="114" t="s">
        <v>14</v>
      </c>
      <c r="F41" s="115" t="s">
        <v>25</v>
      </c>
      <c r="G41" s="116">
        <v>7.34</v>
      </c>
      <c r="H41" s="125">
        <v>8.1</v>
      </c>
      <c r="I41" s="111">
        <v>1</v>
      </c>
      <c r="J41" s="117">
        <f t="shared" si="22"/>
        <v>5.9453999999999993E-2</v>
      </c>
      <c r="K41" s="118"/>
      <c r="L41" s="111">
        <v>1</v>
      </c>
      <c r="M41" s="117">
        <f t="shared" si="23"/>
        <v>5.9453999999999993E-2</v>
      </c>
      <c r="N41" s="119">
        <f t="shared" si="24"/>
        <v>0</v>
      </c>
      <c r="O41" s="120">
        <f t="shared" si="25"/>
        <v>0</v>
      </c>
      <c r="P41" s="111">
        <v>7.55</v>
      </c>
      <c r="Q41" s="32">
        <v>1</v>
      </c>
    </row>
    <row r="42" spans="1:21" ht="15.6">
      <c r="A42" s="110" t="s">
        <v>366</v>
      </c>
      <c r="B42" s="111" t="s">
        <v>232</v>
      </c>
      <c r="C42" s="112" t="s">
        <v>228</v>
      </c>
      <c r="D42" s="113" t="s">
        <v>19</v>
      </c>
      <c r="E42" s="114" t="s">
        <v>14</v>
      </c>
      <c r="F42" s="115" t="s">
        <v>25</v>
      </c>
      <c r="G42" s="116">
        <v>7.34</v>
      </c>
      <c r="H42" s="125">
        <v>7</v>
      </c>
      <c r="I42" s="111">
        <v>1</v>
      </c>
      <c r="J42" s="117">
        <f t="shared" si="22"/>
        <v>5.1379999999999995E-2</v>
      </c>
      <c r="K42" s="118"/>
      <c r="L42" s="111">
        <v>1</v>
      </c>
      <c r="M42" s="117">
        <f t="shared" si="23"/>
        <v>5.1379999999999995E-2</v>
      </c>
      <c r="N42" s="119">
        <f t="shared" si="24"/>
        <v>0</v>
      </c>
      <c r="O42" s="120">
        <f t="shared" si="25"/>
        <v>0</v>
      </c>
      <c r="P42" s="111"/>
      <c r="Q42" s="32"/>
      <c r="S42" s="213">
        <v>7</v>
      </c>
      <c r="T42" s="354">
        <v>1</v>
      </c>
      <c r="U42" s="213" t="s">
        <v>708</v>
      </c>
    </row>
    <row r="43" spans="1:21" ht="15.6">
      <c r="A43" s="110" t="s">
        <v>366</v>
      </c>
      <c r="B43" s="111" t="s">
        <v>232</v>
      </c>
      <c r="C43" s="112" t="s">
        <v>228</v>
      </c>
      <c r="D43" s="113" t="s">
        <v>19</v>
      </c>
      <c r="E43" s="114" t="s">
        <v>14</v>
      </c>
      <c r="F43" s="115" t="s">
        <v>25</v>
      </c>
      <c r="G43" s="116">
        <v>7.34</v>
      </c>
      <c r="H43" s="125">
        <v>7.1</v>
      </c>
      <c r="I43" s="111">
        <v>4</v>
      </c>
      <c r="J43" s="117">
        <f t="shared" si="22"/>
        <v>0.208456</v>
      </c>
      <c r="K43" s="118"/>
      <c r="L43" s="111">
        <v>4</v>
      </c>
      <c r="M43" s="117">
        <f t="shared" si="23"/>
        <v>0.208456</v>
      </c>
      <c r="N43" s="119">
        <f t="shared" si="24"/>
        <v>0</v>
      </c>
      <c r="O43" s="120">
        <f t="shared" si="25"/>
        <v>0</v>
      </c>
      <c r="P43" s="111">
        <v>7.1</v>
      </c>
      <c r="Q43" s="45">
        <v>4</v>
      </c>
      <c r="R43" s="213" t="s">
        <v>405</v>
      </c>
    </row>
    <row r="44" spans="1:21" ht="15.6">
      <c r="A44" s="110" t="s">
        <v>366</v>
      </c>
      <c r="B44" s="111" t="s">
        <v>232</v>
      </c>
      <c r="C44" s="112" t="s">
        <v>228</v>
      </c>
      <c r="D44" s="113" t="s">
        <v>19</v>
      </c>
      <c r="E44" s="114" t="s">
        <v>14</v>
      </c>
      <c r="F44" s="115" t="s">
        <v>25</v>
      </c>
      <c r="G44" s="116">
        <v>7.34</v>
      </c>
      <c r="H44" s="125">
        <v>9.1999999999999993</v>
      </c>
      <c r="I44" s="111">
        <v>2</v>
      </c>
      <c r="J44" s="117">
        <f t="shared" ref="J44:J45" si="26">H44*G44*I44/1000</f>
        <v>0.13505599999999998</v>
      </c>
      <c r="K44" s="118"/>
      <c r="L44" s="111">
        <v>2</v>
      </c>
      <c r="M44" s="117">
        <f t="shared" ref="M44:M45" si="27">H44*L44*G44/1000</f>
        <v>0.13505599999999998</v>
      </c>
      <c r="N44" s="119">
        <f t="shared" ref="N44:N45" si="28">I44-L44</f>
        <v>0</v>
      </c>
      <c r="O44" s="120">
        <f t="shared" ref="O44:O45" si="29">H44*N44*G44/1000</f>
        <v>0</v>
      </c>
      <c r="P44" s="111">
        <v>7.55</v>
      </c>
      <c r="Q44" s="32">
        <v>2</v>
      </c>
    </row>
    <row r="45" spans="1:21" ht="15.6">
      <c r="A45" s="110" t="s">
        <v>366</v>
      </c>
      <c r="B45" s="111" t="s">
        <v>232</v>
      </c>
      <c r="C45" s="112" t="s">
        <v>228</v>
      </c>
      <c r="D45" s="113" t="s">
        <v>19</v>
      </c>
      <c r="E45" s="114" t="s">
        <v>14</v>
      </c>
      <c r="F45" s="115" t="s">
        <v>25</v>
      </c>
      <c r="G45" s="116">
        <v>7.34</v>
      </c>
      <c r="H45" s="125">
        <v>11.7</v>
      </c>
      <c r="I45" s="111">
        <v>4</v>
      </c>
      <c r="J45" s="117">
        <f t="shared" si="26"/>
        <v>0.34351199999999998</v>
      </c>
      <c r="K45" s="118"/>
      <c r="L45" s="111">
        <f>1+3</f>
        <v>4</v>
      </c>
      <c r="M45" s="117">
        <f t="shared" si="27"/>
        <v>0.34351199999999998</v>
      </c>
      <c r="N45" s="119">
        <f t="shared" si="28"/>
        <v>0</v>
      </c>
      <c r="O45" s="120">
        <f t="shared" si="29"/>
        <v>0</v>
      </c>
      <c r="P45" s="321">
        <v>7.1</v>
      </c>
      <c r="Q45" s="45">
        <v>1</v>
      </c>
      <c r="R45" s="213" t="s">
        <v>405</v>
      </c>
      <c r="S45" s="213">
        <v>11.7</v>
      </c>
      <c r="T45" s="354">
        <v>3</v>
      </c>
      <c r="U45" s="213" t="s">
        <v>708</v>
      </c>
    </row>
    <row r="46" spans="1:21" ht="15.6">
      <c r="A46" s="110" t="s">
        <v>366</v>
      </c>
      <c r="B46" s="111" t="s">
        <v>232</v>
      </c>
      <c r="C46" s="112" t="s">
        <v>228</v>
      </c>
      <c r="D46" s="113" t="s">
        <v>19</v>
      </c>
      <c r="E46" s="114" t="s">
        <v>14</v>
      </c>
      <c r="F46" s="115" t="s">
        <v>25</v>
      </c>
      <c r="G46" s="116">
        <v>7.34</v>
      </c>
      <c r="H46" s="125">
        <v>11.5</v>
      </c>
      <c r="I46" s="111">
        <v>2</v>
      </c>
      <c r="J46" s="117">
        <f t="shared" ref="J46:J49" si="30">H46*G46*I46/1000</f>
        <v>0.16882</v>
      </c>
      <c r="K46" s="118"/>
      <c r="L46" s="111">
        <v>2</v>
      </c>
      <c r="M46" s="117">
        <f t="shared" ref="M46:M49" si="31">H46*L46*G46/1000</f>
        <v>0.16882</v>
      </c>
      <c r="N46" s="119">
        <f t="shared" ref="N46:N49" si="32">I46-L46</f>
        <v>0</v>
      </c>
      <c r="O46" s="120">
        <f t="shared" ref="O46:O49" si="33">H46*N46*G46/1000</f>
        <v>0</v>
      </c>
      <c r="P46" s="213" t="s">
        <v>423</v>
      </c>
      <c r="Q46" s="45">
        <v>2</v>
      </c>
      <c r="R46" s="213" t="s">
        <v>424</v>
      </c>
    </row>
    <row r="47" spans="1:21" ht="15.6">
      <c r="A47" s="110" t="s">
        <v>366</v>
      </c>
      <c r="B47" s="111" t="s">
        <v>232</v>
      </c>
      <c r="C47" s="112" t="s">
        <v>228</v>
      </c>
      <c r="D47" s="113" t="s">
        <v>19</v>
      </c>
      <c r="E47" s="114" t="s">
        <v>14</v>
      </c>
      <c r="F47" s="115" t="s">
        <v>25</v>
      </c>
      <c r="G47" s="116">
        <v>7.34</v>
      </c>
      <c r="H47" s="125">
        <v>10.5</v>
      </c>
      <c r="I47" s="111">
        <v>1</v>
      </c>
      <c r="J47" s="117">
        <f t="shared" si="30"/>
        <v>7.707E-2</v>
      </c>
      <c r="K47" s="118"/>
      <c r="L47" s="111">
        <v>1</v>
      </c>
      <c r="M47" s="117">
        <f t="shared" si="31"/>
        <v>7.707E-2</v>
      </c>
      <c r="N47" s="119">
        <f t="shared" si="32"/>
        <v>0</v>
      </c>
      <c r="O47" s="120">
        <f t="shared" si="33"/>
        <v>0</v>
      </c>
      <c r="P47" s="213">
        <v>10.5</v>
      </c>
      <c r="Q47" s="45">
        <v>1</v>
      </c>
      <c r="R47" s="213" t="s">
        <v>422</v>
      </c>
    </row>
    <row r="48" spans="1:21" ht="15.6">
      <c r="A48" s="110" t="s">
        <v>366</v>
      </c>
      <c r="B48" s="111" t="s">
        <v>232</v>
      </c>
      <c r="C48" s="112" t="s">
        <v>228</v>
      </c>
      <c r="D48" s="113" t="s">
        <v>19</v>
      </c>
      <c r="E48" s="114" t="s">
        <v>14</v>
      </c>
      <c r="F48" s="115" t="s">
        <v>25</v>
      </c>
      <c r="G48" s="116">
        <v>7.34</v>
      </c>
      <c r="H48" s="125">
        <v>9.8000000000000007</v>
      </c>
      <c r="I48" s="111">
        <v>3</v>
      </c>
      <c r="J48" s="117">
        <f t="shared" si="30"/>
        <v>0.21579599999999999</v>
      </c>
      <c r="K48" s="118"/>
      <c r="L48" s="111">
        <v>3</v>
      </c>
      <c r="M48" s="117">
        <f t="shared" si="31"/>
        <v>0.21579600000000002</v>
      </c>
      <c r="N48" s="119">
        <f t="shared" si="32"/>
        <v>0</v>
      </c>
      <c r="O48" s="120">
        <f t="shared" si="33"/>
        <v>0</v>
      </c>
      <c r="P48" s="111">
        <v>7.55</v>
      </c>
      <c r="Q48" s="32">
        <v>3</v>
      </c>
    </row>
    <row r="49" spans="1:18" ht="15.6">
      <c r="A49" s="110" t="s">
        <v>366</v>
      </c>
      <c r="B49" s="111" t="s">
        <v>232</v>
      </c>
      <c r="C49" s="112" t="s">
        <v>228</v>
      </c>
      <c r="D49" s="113" t="s">
        <v>19</v>
      </c>
      <c r="E49" s="114" t="s">
        <v>14</v>
      </c>
      <c r="F49" s="115" t="s">
        <v>25</v>
      </c>
      <c r="G49" s="116">
        <v>7.34</v>
      </c>
      <c r="H49" s="125">
        <v>9.6999999999999993</v>
      </c>
      <c r="I49" s="111">
        <v>2</v>
      </c>
      <c r="J49" s="117">
        <f t="shared" si="30"/>
        <v>0.14239599999999999</v>
      </c>
      <c r="K49" s="118"/>
      <c r="L49" s="111">
        <v>2</v>
      </c>
      <c r="M49" s="117">
        <f t="shared" si="31"/>
        <v>0.14239599999999999</v>
      </c>
      <c r="N49" s="119">
        <f t="shared" si="32"/>
        <v>0</v>
      </c>
      <c r="O49" s="120">
        <f t="shared" si="33"/>
        <v>0</v>
      </c>
      <c r="P49" s="111">
        <v>7.55</v>
      </c>
      <c r="Q49" s="32">
        <v>2</v>
      </c>
    </row>
    <row r="50" spans="1:18">
      <c r="A50" s="32"/>
      <c r="B50" s="32"/>
      <c r="C50" s="32"/>
      <c r="D50" s="32"/>
      <c r="E50" s="32"/>
      <c r="F50" s="32"/>
      <c r="G50" s="32"/>
      <c r="H50" s="32"/>
      <c r="I50" s="129">
        <f>SUM(I24:I49)</f>
        <v>828</v>
      </c>
      <c r="J50" s="124">
        <f>SUM(J24:J49)</f>
        <v>51.864806999999985</v>
      </c>
      <c r="K50" s="32"/>
      <c r="L50" s="129">
        <f>SUM(L24:L49)</f>
        <v>828</v>
      </c>
      <c r="M50" s="124">
        <f>SUM(M24:M49)</f>
        <v>51.864806999999985</v>
      </c>
      <c r="N50" s="129">
        <f>SUM(N24:N49)</f>
        <v>0</v>
      </c>
      <c r="O50" s="124">
        <f>SUM(O24:O49)</f>
        <v>0</v>
      </c>
      <c r="P50" s="32"/>
      <c r="Q50" s="32"/>
    </row>
    <row r="52" spans="1:18" ht="15.6">
      <c r="A52" s="110" t="s">
        <v>366</v>
      </c>
      <c r="B52" s="111" t="s">
        <v>232</v>
      </c>
      <c r="C52" s="112" t="s">
        <v>364</v>
      </c>
      <c r="D52" s="113" t="s">
        <v>24</v>
      </c>
      <c r="E52" s="114" t="s">
        <v>14</v>
      </c>
      <c r="F52" s="115" t="s">
        <v>25</v>
      </c>
      <c r="G52" s="116">
        <v>7.34</v>
      </c>
      <c r="H52" s="125">
        <v>8</v>
      </c>
      <c r="I52" s="111">
        <v>6</v>
      </c>
      <c r="J52" s="117">
        <f t="shared" ref="J52" si="34">H52*G52*I52/1000</f>
        <v>0.35231999999999997</v>
      </c>
      <c r="K52" s="118"/>
      <c r="L52" s="111">
        <v>6</v>
      </c>
      <c r="M52" s="117">
        <f t="shared" ref="M52" si="35">H52*L52*G52/1000</f>
        <v>0.35231999999999997</v>
      </c>
      <c r="N52" s="119">
        <f t="shared" ref="N52" si="36">I52-L52</f>
        <v>0</v>
      </c>
      <c r="O52" s="120">
        <f t="shared" ref="O52" si="37">H52*N52*G52/1000</f>
        <v>0</v>
      </c>
      <c r="P52" s="111"/>
      <c r="Q52" s="32"/>
    </row>
    <row r="53" spans="1:18" ht="15.6">
      <c r="A53" s="110" t="s">
        <v>366</v>
      </c>
      <c r="B53" s="111" t="s">
        <v>232</v>
      </c>
      <c r="C53" s="112" t="s">
        <v>364</v>
      </c>
      <c r="D53" s="113" t="s">
        <v>24</v>
      </c>
      <c r="E53" s="114" t="s">
        <v>14</v>
      </c>
      <c r="F53" s="115" t="s">
        <v>25</v>
      </c>
      <c r="G53" s="116">
        <v>7.34</v>
      </c>
      <c r="H53" s="125">
        <v>9</v>
      </c>
      <c r="I53" s="111">
        <v>16</v>
      </c>
      <c r="J53" s="117">
        <f t="shared" ref="J53:J67" si="38">H53*G53*I53/1000</f>
        <v>1.0569600000000001</v>
      </c>
      <c r="K53" s="118"/>
      <c r="L53" s="111">
        <v>16</v>
      </c>
      <c r="M53" s="117">
        <f t="shared" ref="M53:M67" si="39">H53*L53*G53/1000</f>
        <v>1.0569600000000001</v>
      </c>
      <c r="N53" s="119">
        <f t="shared" ref="N53:N67" si="40">I53-L53</f>
        <v>0</v>
      </c>
      <c r="O53" s="120">
        <f t="shared" ref="O53:O67" si="41">H53*N53*G53/1000</f>
        <v>0</v>
      </c>
      <c r="P53" s="111"/>
      <c r="Q53" s="32"/>
    </row>
    <row r="54" spans="1:18" ht="15.6">
      <c r="A54" s="110" t="s">
        <v>366</v>
      </c>
      <c r="B54" s="111" t="s">
        <v>232</v>
      </c>
      <c r="C54" s="112" t="s">
        <v>364</v>
      </c>
      <c r="D54" s="113" t="s">
        <v>24</v>
      </c>
      <c r="E54" s="114" t="s">
        <v>14</v>
      </c>
      <c r="F54" s="115" t="s">
        <v>25</v>
      </c>
      <c r="G54" s="116">
        <v>7.34</v>
      </c>
      <c r="H54" s="125">
        <v>8</v>
      </c>
      <c r="I54" s="111">
        <v>6</v>
      </c>
      <c r="J54" s="117">
        <f t="shared" si="38"/>
        <v>0.35231999999999997</v>
      </c>
      <c r="K54" s="118"/>
      <c r="L54" s="111">
        <v>6</v>
      </c>
      <c r="M54" s="117">
        <f t="shared" si="39"/>
        <v>0.35231999999999997</v>
      </c>
      <c r="N54" s="119">
        <f t="shared" si="40"/>
        <v>0</v>
      </c>
      <c r="O54" s="120">
        <f t="shared" si="41"/>
        <v>0</v>
      </c>
      <c r="P54" s="111"/>
      <c r="Q54" s="32"/>
    </row>
    <row r="55" spans="1:18" ht="15.6">
      <c r="A55" s="110" t="s">
        <v>366</v>
      </c>
      <c r="B55" s="111" t="s">
        <v>232</v>
      </c>
      <c r="C55" s="112" t="s">
        <v>364</v>
      </c>
      <c r="D55" s="113" t="s">
        <v>24</v>
      </c>
      <c r="E55" s="114" t="s">
        <v>14</v>
      </c>
      <c r="F55" s="115" t="s">
        <v>25</v>
      </c>
      <c r="G55" s="116">
        <v>7.34</v>
      </c>
      <c r="H55" s="125">
        <v>12</v>
      </c>
      <c r="I55" s="111">
        <v>6</v>
      </c>
      <c r="J55" s="117">
        <f t="shared" si="38"/>
        <v>0.52848000000000006</v>
      </c>
      <c r="K55" s="118"/>
      <c r="L55" s="111">
        <v>6</v>
      </c>
      <c r="M55" s="117">
        <f t="shared" si="39"/>
        <v>0.52848000000000006</v>
      </c>
      <c r="N55" s="119">
        <f t="shared" si="40"/>
        <v>0</v>
      </c>
      <c r="O55" s="120">
        <f t="shared" si="41"/>
        <v>0</v>
      </c>
      <c r="P55" s="111"/>
      <c r="Q55" s="32"/>
    </row>
    <row r="56" spans="1:18" ht="15.6">
      <c r="A56" s="110" t="s">
        <v>366</v>
      </c>
      <c r="B56" s="111" t="s">
        <v>232</v>
      </c>
      <c r="C56" s="112" t="s">
        <v>364</v>
      </c>
      <c r="D56" s="113" t="s">
        <v>24</v>
      </c>
      <c r="E56" s="114" t="s">
        <v>14</v>
      </c>
      <c r="F56" s="115" t="s">
        <v>25</v>
      </c>
      <c r="G56" s="116">
        <v>7.34</v>
      </c>
      <c r="H56" s="125">
        <v>9</v>
      </c>
      <c r="I56" s="111">
        <v>4</v>
      </c>
      <c r="J56" s="117">
        <f t="shared" si="38"/>
        <v>0.26424000000000003</v>
      </c>
      <c r="K56" s="118"/>
      <c r="L56" s="111">
        <v>4</v>
      </c>
      <c r="M56" s="117">
        <f t="shared" si="39"/>
        <v>0.26424000000000003</v>
      </c>
      <c r="N56" s="119">
        <f t="shared" si="40"/>
        <v>0</v>
      </c>
      <c r="O56" s="120">
        <f t="shared" si="41"/>
        <v>0</v>
      </c>
      <c r="P56" s="111"/>
      <c r="Q56" s="32"/>
    </row>
    <row r="57" spans="1:18" ht="15.6">
      <c r="A57" s="110" t="s">
        <v>366</v>
      </c>
      <c r="B57" s="111" t="s">
        <v>232</v>
      </c>
      <c r="C57" s="112" t="s">
        <v>364</v>
      </c>
      <c r="D57" s="113" t="s">
        <v>24</v>
      </c>
      <c r="E57" s="114" t="s">
        <v>14</v>
      </c>
      <c r="F57" s="115" t="s">
        <v>25</v>
      </c>
      <c r="G57" s="116">
        <v>7.34</v>
      </c>
      <c r="H57" s="125">
        <v>10</v>
      </c>
      <c r="I57" s="111">
        <v>13</v>
      </c>
      <c r="J57" s="117">
        <f t="shared" si="38"/>
        <v>0.95420000000000005</v>
      </c>
      <c r="K57" s="118"/>
      <c r="L57" s="111">
        <v>13</v>
      </c>
      <c r="M57" s="117">
        <f t="shared" si="39"/>
        <v>0.95419999999999994</v>
      </c>
      <c r="N57" s="119">
        <f t="shared" si="40"/>
        <v>0</v>
      </c>
      <c r="O57" s="120">
        <f t="shared" si="41"/>
        <v>0</v>
      </c>
      <c r="P57" s="111"/>
      <c r="Q57" s="32"/>
    </row>
    <row r="58" spans="1:18" ht="15.6">
      <c r="A58" s="110" t="s">
        <v>366</v>
      </c>
      <c r="B58" s="111" t="s">
        <v>232</v>
      </c>
      <c r="C58" s="112" t="s">
        <v>364</v>
      </c>
      <c r="D58" s="113" t="s">
        <v>24</v>
      </c>
      <c r="E58" s="114" t="s">
        <v>14</v>
      </c>
      <c r="F58" s="115" t="s">
        <v>25</v>
      </c>
      <c r="G58" s="116">
        <v>7.34</v>
      </c>
      <c r="H58" s="125">
        <v>11.4</v>
      </c>
      <c r="I58" s="111">
        <v>1</v>
      </c>
      <c r="J58" s="117">
        <f t="shared" si="38"/>
        <v>8.3676E-2</v>
      </c>
      <c r="K58" s="118"/>
      <c r="L58" s="111">
        <v>1</v>
      </c>
      <c r="M58" s="117">
        <f t="shared" si="39"/>
        <v>8.3676E-2</v>
      </c>
      <c r="N58" s="119">
        <f t="shared" si="40"/>
        <v>0</v>
      </c>
      <c r="O58" s="120">
        <f t="shared" si="41"/>
        <v>0</v>
      </c>
      <c r="P58" s="45">
        <v>10.5</v>
      </c>
      <c r="Q58" s="45">
        <v>1</v>
      </c>
      <c r="R58" s="354" t="s">
        <v>614</v>
      </c>
    </row>
    <row r="59" spans="1:18" ht="15.6">
      <c r="A59" s="110" t="s">
        <v>366</v>
      </c>
      <c r="B59" s="111" t="s">
        <v>232</v>
      </c>
      <c r="C59" s="112" t="s">
        <v>364</v>
      </c>
      <c r="D59" s="113" t="s">
        <v>24</v>
      </c>
      <c r="E59" s="114" t="s">
        <v>14</v>
      </c>
      <c r="F59" s="115" t="s">
        <v>25</v>
      </c>
      <c r="G59" s="116">
        <v>7.34</v>
      </c>
      <c r="H59" s="125">
        <v>6.2</v>
      </c>
      <c r="I59" s="111">
        <v>1</v>
      </c>
      <c r="J59" s="117">
        <f t="shared" si="38"/>
        <v>4.5508E-2</v>
      </c>
      <c r="K59" s="118"/>
      <c r="L59" s="111"/>
      <c r="M59" s="117">
        <f t="shared" si="39"/>
        <v>0</v>
      </c>
      <c r="N59" s="119">
        <f t="shared" si="40"/>
        <v>1</v>
      </c>
      <c r="O59" s="120">
        <f t="shared" si="41"/>
        <v>4.5508E-2</v>
      </c>
      <c r="P59" s="111"/>
      <c r="Q59" s="32"/>
    </row>
    <row r="60" spans="1:18" ht="15.6">
      <c r="A60" s="110" t="s">
        <v>366</v>
      </c>
      <c r="B60" s="111" t="s">
        <v>232</v>
      </c>
      <c r="C60" s="112" t="s">
        <v>364</v>
      </c>
      <c r="D60" s="113" t="s">
        <v>24</v>
      </c>
      <c r="E60" s="114" t="s">
        <v>14</v>
      </c>
      <c r="F60" s="115" t="s">
        <v>25</v>
      </c>
      <c r="G60" s="116">
        <v>7.34</v>
      </c>
      <c r="H60" s="125">
        <v>7.5</v>
      </c>
      <c r="I60" s="111">
        <v>3</v>
      </c>
      <c r="J60" s="117">
        <f t="shared" si="38"/>
        <v>0.16514999999999996</v>
      </c>
      <c r="K60" s="118"/>
      <c r="L60" s="111">
        <v>3</v>
      </c>
      <c r="M60" s="117">
        <f t="shared" si="39"/>
        <v>0.16515000000000002</v>
      </c>
      <c r="N60" s="119">
        <f t="shared" si="40"/>
        <v>0</v>
      </c>
      <c r="O60" s="120">
        <f t="shared" si="41"/>
        <v>0</v>
      </c>
      <c r="P60" s="159">
        <v>7.5</v>
      </c>
      <c r="Q60" s="45">
        <v>3</v>
      </c>
      <c r="R60" s="213" t="s">
        <v>537</v>
      </c>
    </row>
    <row r="61" spans="1:18" ht="15.6">
      <c r="A61" s="110" t="s">
        <v>366</v>
      </c>
      <c r="B61" s="111" t="s">
        <v>232</v>
      </c>
      <c r="C61" s="112" t="s">
        <v>364</v>
      </c>
      <c r="D61" s="113" t="s">
        <v>24</v>
      </c>
      <c r="E61" s="114" t="s">
        <v>14</v>
      </c>
      <c r="F61" s="115" t="s">
        <v>25</v>
      </c>
      <c r="G61" s="116">
        <v>7.34</v>
      </c>
      <c r="H61" s="125">
        <v>7.6</v>
      </c>
      <c r="I61" s="111">
        <v>1</v>
      </c>
      <c r="J61" s="117">
        <f t="shared" si="38"/>
        <v>5.5784E-2</v>
      </c>
      <c r="K61" s="118"/>
      <c r="L61" s="111">
        <v>1</v>
      </c>
      <c r="M61" s="117">
        <f t="shared" si="39"/>
        <v>5.5784E-2</v>
      </c>
      <c r="N61" s="119">
        <f t="shared" si="40"/>
        <v>0</v>
      </c>
      <c r="O61" s="120">
        <f t="shared" si="41"/>
        <v>0</v>
      </c>
      <c r="P61" s="159">
        <v>7.6</v>
      </c>
      <c r="Q61" s="45">
        <v>1</v>
      </c>
      <c r="R61" s="213" t="s">
        <v>537</v>
      </c>
    </row>
    <row r="62" spans="1:18" ht="15.6">
      <c r="A62" s="110" t="s">
        <v>366</v>
      </c>
      <c r="B62" s="111" t="s">
        <v>232</v>
      </c>
      <c r="C62" s="112" t="s">
        <v>364</v>
      </c>
      <c r="D62" s="113" t="s">
        <v>24</v>
      </c>
      <c r="E62" s="114" t="s">
        <v>14</v>
      </c>
      <c r="F62" s="115" t="s">
        <v>25</v>
      </c>
      <c r="G62" s="116">
        <v>7.34</v>
      </c>
      <c r="H62" s="125">
        <v>8.1</v>
      </c>
      <c r="I62" s="111">
        <v>1</v>
      </c>
      <c r="J62" s="117">
        <f t="shared" si="38"/>
        <v>5.9453999999999993E-2</v>
      </c>
      <c r="K62" s="118"/>
      <c r="L62" s="111">
        <v>1</v>
      </c>
      <c r="M62" s="117">
        <f t="shared" si="39"/>
        <v>5.9453999999999993E-2</v>
      </c>
      <c r="N62" s="119">
        <f t="shared" si="40"/>
        <v>0</v>
      </c>
      <c r="O62" s="120">
        <f t="shared" si="41"/>
        <v>0</v>
      </c>
      <c r="P62" s="111">
        <v>8</v>
      </c>
      <c r="Q62" s="32">
        <v>1</v>
      </c>
    </row>
    <row r="63" spans="1:18" ht="15.6">
      <c r="A63" s="110" t="s">
        <v>366</v>
      </c>
      <c r="B63" s="111" t="s">
        <v>232</v>
      </c>
      <c r="C63" s="112" t="s">
        <v>364</v>
      </c>
      <c r="D63" s="113" t="s">
        <v>24</v>
      </c>
      <c r="E63" s="114" t="s">
        <v>14</v>
      </c>
      <c r="F63" s="115" t="s">
        <v>25</v>
      </c>
      <c r="G63" s="116">
        <v>7.34</v>
      </c>
      <c r="H63" s="125">
        <v>8.3000000000000007</v>
      </c>
      <c r="I63" s="111">
        <v>1</v>
      </c>
      <c r="J63" s="117">
        <f t="shared" si="38"/>
        <v>6.0922000000000004E-2</v>
      </c>
      <c r="K63" s="118"/>
      <c r="L63" s="111"/>
      <c r="M63" s="117">
        <f t="shared" si="39"/>
        <v>0</v>
      </c>
      <c r="N63" s="119">
        <f t="shared" si="40"/>
        <v>1</v>
      </c>
      <c r="O63" s="120">
        <f t="shared" si="41"/>
        <v>6.0922000000000004E-2</v>
      </c>
      <c r="P63" s="111"/>
      <c r="Q63" s="32"/>
    </row>
    <row r="64" spans="1:18" ht="15.6">
      <c r="A64" s="110" t="s">
        <v>366</v>
      </c>
      <c r="B64" s="111" t="s">
        <v>232</v>
      </c>
      <c r="C64" s="112" t="s">
        <v>364</v>
      </c>
      <c r="D64" s="113" t="s">
        <v>24</v>
      </c>
      <c r="E64" s="114" t="s">
        <v>14</v>
      </c>
      <c r="F64" s="115" t="s">
        <v>25</v>
      </c>
      <c r="G64" s="116">
        <v>7.34</v>
      </c>
      <c r="H64" s="125">
        <v>6.25</v>
      </c>
      <c r="I64" s="111">
        <v>8</v>
      </c>
      <c r="J64" s="117">
        <f t="shared" si="38"/>
        <v>0.36699999999999999</v>
      </c>
      <c r="K64" s="118"/>
      <c r="L64" s="111">
        <v>8</v>
      </c>
      <c r="M64" s="117">
        <f t="shared" si="39"/>
        <v>0.36699999999999999</v>
      </c>
      <c r="N64" s="119">
        <f t="shared" si="40"/>
        <v>0</v>
      </c>
      <c r="O64" s="120">
        <f t="shared" si="41"/>
        <v>0</v>
      </c>
      <c r="P64" s="111"/>
      <c r="Q64" s="32"/>
    </row>
    <row r="65" spans="1:19" ht="15.6">
      <c r="A65" s="110" t="s">
        <v>366</v>
      </c>
      <c r="B65" s="111" t="s">
        <v>232</v>
      </c>
      <c r="C65" s="112" t="s">
        <v>364</v>
      </c>
      <c r="D65" s="113" t="s">
        <v>24</v>
      </c>
      <c r="E65" s="114" t="s">
        <v>14</v>
      </c>
      <c r="F65" s="115" t="s">
        <v>25</v>
      </c>
      <c r="G65" s="116">
        <v>7.34</v>
      </c>
      <c r="H65" s="125">
        <v>8</v>
      </c>
      <c r="I65" s="111">
        <v>1</v>
      </c>
      <c r="J65" s="117">
        <f t="shared" si="38"/>
        <v>5.8720000000000001E-2</v>
      </c>
      <c r="K65" s="118"/>
      <c r="L65" s="111">
        <v>1</v>
      </c>
      <c r="M65" s="117">
        <f t="shared" si="39"/>
        <v>5.8720000000000001E-2</v>
      </c>
      <c r="N65" s="119">
        <f t="shared" si="40"/>
        <v>0</v>
      </c>
      <c r="O65" s="120">
        <f t="shared" si="41"/>
        <v>0</v>
      </c>
      <c r="P65" s="111"/>
      <c r="Q65" s="32"/>
    </row>
    <row r="66" spans="1:19" ht="15.6">
      <c r="A66" s="110" t="s">
        <v>366</v>
      </c>
      <c r="B66" s="111" t="s">
        <v>232</v>
      </c>
      <c r="C66" s="112" t="s">
        <v>364</v>
      </c>
      <c r="D66" s="113" t="s">
        <v>24</v>
      </c>
      <c r="E66" s="114" t="s">
        <v>14</v>
      </c>
      <c r="F66" s="115" t="s">
        <v>25</v>
      </c>
      <c r="G66" s="116">
        <v>7.34</v>
      </c>
      <c r="H66" s="125">
        <v>12</v>
      </c>
      <c r="I66" s="111">
        <v>6</v>
      </c>
      <c r="J66" s="117">
        <f t="shared" si="38"/>
        <v>0.52848000000000006</v>
      </c>
      <c r="K66" s="118"/>
      <c r="L66" s="111">
        <v>6</v>
      </c>
      <c r="M66" s="117">
        <f t="shared" si="39"/>
        <v>0.52848000000000006</v>
      </c>
      <c r="N66" s="119">
        <f t="shared" si="40"/>
        <v>0</v>
      </c>
      <c r="O66" s="120">
        <f t="shared" si="41"/>
        <v>0</v>
      </c>
      <c r="P66" s="111"/>
      <c r="Q66" s="32"/>
    </row>
    <row r="67" spans="1:19" ht="15.6">
      <c r="A67" s="110" t="s">
        <v>366</v>
      </c>
      <c r="B67" s="111" t="s">
        <v>232</v>
      </c>
      <c r="C67" s="112" t="s">
        <v>364</v>
      </c>
      <c r="D67" s="113" t="s">
        <v>24</v>
      </c>
      <c r="E67" s="114" t="s">
        <v>14</v>
      </c>
      <c r="F67" s="115" t="s">
        <v>25</v>
      </c>
      <c r="G67" s="116">
        <v>7.34</v>
      </c>
      <c r="H67" s="125">
        <v>9</v>
      </c>
      <c r="I67" s="111">
        <v>4</v>
      </c>
      <c r="J67" s="117">
        <f t="shared" si="38"/>
        <v>0.26424000000000003</v>
      </c>
      <c r="K67" s="118"/>
      <c r="L67" s="111">
        <v>4</v>
      </c>
      <c r="M67" s="117">
        <f t="shared" si="39"/>
        <v>0.26424000000000003</v>
      </c>
      <c r="N67" s="119">
        <f t="shared" si="40"/>
        <v>0</v>
      </c>
      <c r="O67" s="120">
        <f t="shared" si="41"/>
        <v>0</v>
      </c>
      <c r="P67" s="111"/>
      <c r="Q67" s="32"/>
    </row>
    <row r="68" spans="1:19" ht="15.6">
      <c r="A68" s="110" t="s">
        <v>366</v>
      </c>
      <c r="B68" s="111" t="s">
        <v>232</v>
      </c>
      <c r="C68" s="112" t="s">
        <v>364</v>
      </c>
      <c r="D68" s="113" t="s">
        <v>24</v>
      </c>
      <c r="E68" s="114" t="s">
        <v>14</v>
      </c>
      <c r="F68" s="115" t="s">
        <v>25</v>
      </c>
      <c r="G68" s="116">
        <v>7.34</v>
      </c>
      <c r="H68" s="125">
        <v>10</v>
      </c>
      <c r="I68" s="111">
        <v>1</v>
      </c>
      <c r="J68" s="117">
        <f t="shared" ref="J68:J73" si="42">H68*G68*I68/1000</f>
        <v>7.3400000000000007E-2</v>
      </c>
      <c r="K68" s="118"/>
      <c r="L68" s="111">
        <v>1</v>
      </c>
      <c r="M68" s="117">
        <f t="shared" ref="M68:M73" si="43">H68*L68*G68/1000</f>
        <v>7.3400000000000007E-2</v>
      </c>
      <c r="N68" s="119">
        <f t="shared" ref="N68:N73" si="44">I68-L68</f>
        <v>0</v>
      </c>
      <c r="O68" s="120">
        <f t="shared" ref="O68:O73" si="45">H68*N68*G68/1000</f>
        <v>0</v>
      </c>
      <c r="P68" s="111"/>
      <c r="Q68" s="32"/>
    </row>
    <row r="69" spans="1:19" ht="15.6">
      <c r="A69" s="110" t="s">
        <v>366</v>
      </c>
      <c r="B69" s="111" t="s">
        <v>232</v>
      </c>
      <c r="C69" s="112" t="s">
        <v>364</v>
      </c>
      <c r="D69" s="113" t="s">
        <v>24</v>
      </c>
      <c r="E69" s="114" t="s">
        <v>14</v>
      </c>
      <c r="F69" s="115" t="s">
        <v>25</v>
      </c>
      <c r="G69" s="116">
        <v>7.34</v>
      </c>
      <c r="H69" s="125">
        <v>11.5</v>
      </c>
      <c r="I69" s="111">
        <v>18</v>
      </c>
      <c r="J69" s="117">
        <f t="shared" si="42"/>
        <v>1.51938</v>
      </c>
      <c r="K69" s="118"/>
      <c r="L69" s="111">
        <v>18</v>
      </c>
      <c r="M69" s="117">
        <f t="shared" si="43"/>
        <v>1.51938</v>
      </c>
      <c r="N69" s="119">
        <f t="shared" si="44"/>
        <v>0</v>
      </c>
      <c r="O69" s="120">
        <f t="shared" si="45"/>
        <v>0</v>
      </c>
      <c r="P69" s="111"/>
      <c r="Q69" s="32"/>
    </row>
    <row r="70" spans="1:19" ht="15.6">
      <c r="A70" s="110" t="s">
        <v>366</v>
      </c>
      <c r="B70" s="111" t="s">
        <v>232</v>
      </c>
      <c r="C70" s="112" t="s">
        <v>364</v>
      </c>
      <c r="D70" s="113" t="s">
        <v>24</v>
      </c>
      <c r="E70" s="114" t="s">
        <v>14</v>
      </c>
      <c r="F70" s="115" t="s">
        <v>25</v>
      </c>
      <c r="G70" s="116">
        <v>7.34</v>
      </c>
      <c r="H70" s="125">
        <v>12</v>
      </c>
      <c r="I70" s="111">
        <v>18</v>
      </c>
      <c r="J70" s="117">
        <f t="shared" si="42"/>
        <v>1.58544</v>
      </c>
      <c r="K70" s="118"/>
      <c r="L70" s="111">
        <v>18</v>
      </c>
      <c r="M70" s="117">
        <f t="shared" si="43"/>
        <v>1.58544</v>
      </c>
      <c r="N70" s="119">
        <f t="shared" si="44"/>
        <v>0</v>
      </c>
      <c r="O70" s="120">
        <f t="shared" si="45"/>
        <v>0</v>
      </c>
      <c r="P70" s="111"/>
      <c r="Q70" s="32"/>
    </row>
    <row r="71" spans="1:19" ht="15.6">
      <c r="A71" s="110" t="s">
        <v>366</v>
      </c>
      <c r="B71" s="111" t="s">
        <v>232</v>
      </c>
      <c r="C71" s="112" t="s">
        <v>364</v>
      </c>
      <c r="D71" s="113" t="s">
        <v>24</v>
      </c>
      <c r="E71" s="114" t="s">
        <v>14</v>
      </c>
      <c r="F71" s="115" t="s">
        <v>25</v>
      </c>
      <c r="G71" s="116">
        <v>7.34</v>
      </c>
      <c r="H71" s="125">
        <v>10</v>
      </c>
      <c r="I71" s="111">
        <v>2</v>
      </c>
      <c r="J71" s="117">
        <f t="shared" si="42"/>
        <v>0.14680000000000001</v>
      </c>
      <c r="K71" s="118"/>
      <c r="L71" s="111">
        <v>2</v>
      </c>
      <c r="M71" s="117">
        <f t="shared" si="43"/>
        <v>0.14680000000000001</v>
      </c>
      <c r="N71" s="119">
        <f t="shared" si="44"/>
        <v>0</v>
      </c>
      <c r="O71" s="120">
        <f t="shared" si="45"/>
        <v>0</v>
      </c>
      <c r="P71" s="111"/>
      <c r="Q71" s="32"/>
    </row>
    <row r="72" spans="1:19" ht="15.6">
      <c r="A72" s="110" t="s">
        <v>366</v>
      </c>
      <c r="B72" s="111" t="s">
        <v>232</v>
      </c>
      <c r="C72" s="112" t="s">
        <v>364</v>
      </c>
      <c r="D72" s="113" t="s">
        <v>24</v>
      </c>
      <c r="E72" s="114" t="s">
        <v>14</v>
      </c>
      <c r="F72" s="115" t="s">
        <v>25</v>
      </c>
      <c r="G72" s="116">
        <v>7.34</v>
      </c>
      <c r="H72" s="125">
        <v>10.65</v>
      </c>
      <c r="I72" s="111">
        <v>1</v>
      </c>
      <c r="J72" s="117">
        <f t="shared" si="42"/>
        <v>7.8171000000000004E-2</v>
      </c>
      <c r="K72" s="118"/>
      <c r="L72" s="111">
        <v>1</v>
      </c>
      <c r="M72" s="117">
        <f t="shared" si="43"/>
        <v>7.8171000000000004E-2</v>
      </c>
      <c r="N72" s="119">
        <f t="shared" si="44"/>
        <v>0</v>
      </c>
      <c r="O72" s="120">
        <f t="shared" si="45"/>
        <v>0</v>
      </c>
      <c r="P72" s="111"/>
      <c r="Q72" s="32"/>
    </row>
    <row r="73" spans="1:19" ht="15.6">
      <c r="A73" s="110" t="s">
        <v>366</v>
      </c>
      <c r="B73" s="111" t="s">
        <v>232</v>
      </c>
      <c r="C73" s="112" t="s">
        <v>364</v>
      </c>
      <c r="D73" s="113" t="s">
        <v>24</v>
      </c>
      <c r="E73" s="114" t="s">
        <v>14</v>
      </c>
      <c r="F73" s="115" t="s">
        <v>25</v>
      </c>
      <c r="G73" s="116">
        <v>7.34</v>
      </c>
      <c r="H73" s="125">
        <v>12</v>
      </c>
      <c r="I73" s="111">
        <v>7</v>
      </c>
      <c r="J73" s="117">
        <f t="shared" si="42"/>
        <v>0.61656</v>
      </c>
      <c r="K73" s="118"/>
      <c r="L73" s="111">
        <v>7</v>
      </c>
      <c r="M73" s="117">
        <f t="shared" si="43"/>
        <v>0.61656</v>
      </c>
      <c r="N73" s="119">
        <f t="shared" si="44"/>
        <v>0</v>
      </c>
      <c r="O73" s="120">
        <f t="shared" si="45"/>
        <v>0</v>
      </c>
      <c r="P73" s="111"/>
      <c r="Q73" s="32"/>
    </row>
    <row r="74" spans="1:19">
      <c r="A74" s="32"/>
      <c r="B74" s="32"/>
      <c r="C74" s="32"/>
      <c r="D74" s="32"/>
      <c r="E74" s="32"/>
      <c r="F74" s="32"/>
      <c r="G74" s="32"/>
      <c r="H74" s="32"/>
      <c r="I74" s="129">
        <f>SUM(I52:I73)</f>
        <v>125</v>
      </c>
      <c r="J74" s="124">
        <f>SUM(J52:J73)</f>
        <v>9.2172049999999999</v>
      </c>
      <c r="K74" s="32"/>
      <c r="L74" s="129">
        <f>SUM(L52:L73)</f>
        <v>123</v>
      </c>
      <c r="M74" s="124">
        <f>SUM(M52:M73)</f>
        <v>9.1107750000000003</v>
      </c>
      <c r="N74" s="129">
        <f>SUM(N52:N73)</f>
        <v>2</v>
      </c>
      <c r="O74" s="124">
        <f>SUM(O52:O73)</f>
        <v>0.10643</v>
      </c>
      <c r="P74" s="32"/>
      <c r="Q74" s="32"/>
    </row>
    <row r="76" spans="1:19" ht="15.6">
      <c r="A76" s="110" t="s">
        <v>377</v>
      </c>
      <c r="B76" s="111" t="s">
        <v>232</v>
      </c>
      <c r="C76" s="112" t="s">
        <v>228</v>
      </c>
      <c r="D76" s="113" t="s">
        <v>20</v>
      </c>
      <c r="E76" s="114" t="s">
        <v>15</v>
      </c>
      <c r="F76" s="115" t="s">
        <v>25</v>
      </c>
      <c r="G76" s="116">
        <v>7.34</v>
      </c>
      <c r="H76" s="125">
        <v>8.25</v>
      </c>
      <c r="I76" s="111">
        <f>42+35+48+44</f>
        <v>169</v>
      </c>
      <c r="J76" s="117">
        <f t="shared" ref="J76" si="46">H76*G76*I76/1000</f>
        <v>10.233795000000001</v>
      </c>
      <c r="K76" s="118"/>
      <c r="L76" s="111">
        <f>160+9</f>
        <v>169</v>
      </c>
      <c r="M76" s="117">
        <f t="shared" ref="M76" si="47">H76*L76*G76/1000</f>
        <v>10.233795000000001</v>
      </c>
      <c r="N76" s="119">
        <f t="shared" ref="N76" si="48">I76-L76</f>
        <v>0</v>
      </c>
      <c r="O76" s="120">
        <f t="shared" ref="O76" si="49">H76*N76*G76/1000</f>
        <v>0</v>
      </c>
      <c r="P76" s="111"/>
      <c r="Q76" s="32"/>
      <c r="R76" s="111">
        <v>8.25</v>
      </c>
      <c r="S76" s="45">
        <v>9</v>
      </c>
    </row>
    <row r="77" spans="1:19" ht="15.6">
      <c r="A77" s="110" t="s">
        <v>377</v>
      </c>
      <c r="B77" s="111" t="s">
        <v>232</v>
      </c>
      <c r="C77" s="112" t="s">
        <v>228</v>
      </c>
      <c r="D77" s="113" t="s">
        <v>20</v>
      </c>
      <c r="E77" s="114" t="s">
        <v>15</v>
      </c>
      <c r="F77" s="115" t="s">
        <v>25</v>
      </c>
      <c r="G77" s="116">
        <v>7.34</v>
      </c>
      <c r="H77" s="125">
        <v>10</v>
      </c>
      <c r="I77" s="111">
        <f>38+9+34</f>
        <v>81</v>
      </c>
      <c r="J77" s="117">
        <f t="shared" ref="J77:J88" si="50">H77*G77*I77/1000</f>
        <v>5.9454000000000002</v>
      </c>
      <c r="K77" s="118"/>
      <c r="L77" s="111">
        <v>81</v>
      </c>
      <c r="M77" s="117">
        <f t="shared" ref="M77:M88" si="51">H77*L77*G77/1000</f>
        <v>5.9453999999999994</v>
      </c>
      <c r="N77" s="119">
        <f t="shared" ref="N77:N88" si="52">I77-L77</f>
        <v>0</v>
      </c>
      <c r="O77" s="120">
        <f t="shared" ref="O77:O88" si="53">H77*N77*G77/1000</f>
        <v>0</v>
      </c>
      <c r="P77" s="111"/>
      <c r="Q77" s="32"/>
      <c r="R77" s="32"/>
    </row>
    <row r="78" spans="1:19" ht="15.6">
      <c r="A78" s="110" t="s">
        <v>377</v>
      </c>
      <c r="B78" s="111" t="s">
        <v>232</v>
      </c>
      <c r="C78" s="112" t="s">
        <v>228</v>
      </c>
      <c r="D78" s="113" t="s">
        <v>20</v>
      </c>
      <c r="E78" s="114" t="s">
        <v>15</v>
      </c>
      <c r="F78" s="115" t="s">
        <v>25</v>
      </c>
      <c r="G78" s="116">
        <v>7.34</v>
      </c>
      <c r="H78" s="125">
        <v>8.25</v>
      </c>
      <c r="I78" s="111">
        <v>21</v>
      </c>
      <c r="J78" s="117">
        <f t="shared" si="50"/>
        <v>1.271655</v>
      </c>
      <c r="K78" s="118"/>
      <c r="L78" s="111">
        <f>17+4</f>
        <v>21</v>
      </c>
      <c r="M78" s="117">
        <f t="shared" si="51"/>
        <v>1.271655</v>
      </c>
      <c r="N78" s="119">
        <f t="shared" si="52"/>
        <v>0</v>
      </c>
      <c r="O78" s="120">
        <f t="shared" si="53"/>
        <v>0</v>
      </c>
      <c r="P78" s="111">
        <v>8</v>
      </c>
      <c r="Q78" s="32">
        <v>17</v>
      </c>
      <c r="R78" s="32">
        <v>8.25</v>
      </c>
      <c r="S78" s="354">
        <v>4</v>
      </c>
    </row>
    <row r="79" spans="1:19" ht="15.6">
      <c r="A79" s="110" t="s">
        <v>377</v>
      </c>
      <c r="B79" s="111" t="s">
        <v>232</v>
      </c>
      <c r="C79" s="112" t="s">
        <v>228</v>
      </c>
      <c r="D79" s="113" t="s">
        <v>20</v>
      </c>
      <c r="E79" s="114" t="s">
        <v>15</v>
      </c>
      <c r="F79" s="115" t="s">
        <v>25</v>
      </c>
      <c r="G79" s="116">
        <v>7.34</v>
      </c>
      <c r="H79" s="125">
        <v>10</v>
      </c>
      <c r="I79" s="111">
        <v>2</v>
      </c>
      <c r="J79" s="117">
        <f t="shared" si="50"/>
        <v>0.14680000000000001</v>
      </c>
      <c r="K79" s="118"/>
      <c r="L79" s="111">
        <v>2</v>
      </c>
      <c r="M79" s="117">
        <f t="shared" si="51"/>
        <v>0.14680000000000001</v>
      </c>
      <c r="N79" s="119">
        <f t="shared" si="52"/>
        <v>0</v>
      </c>
      <c r="O79" s="120">
        <f t="shared" si="53"/>
        <v>0</v>
      </c>
      <c r="P79" s="111">
        <v>9.5</v>
      </c>
      <c r="Q79" s="32">
        <v>2</v>
      </c>
      <c r="R79" s="32"/>
    </row>
    <row r="80" spans="1:19" ht="15.6">
      <c r="A80" s="110" t="s">
        <v>377</v>
      </c>
      <c r="B80" s="111" t="s">
        <v>232</v>
      </c>
      <c r="C80" s="112" t="s">
        <v>228</v>
      </c>
      <c r="D80" s="113" t="s">
        <v>20</v>
      </c>
      <c r="E80" s="114" t="s">
        <v>15</v>
      </c>
      <c r="F80" s="115" t="s">
        <v>25</v>
      </c>
      <c r="G80" s="116">
        <v>7.34</v>
      </c>
      <c r="H80" s="125">
        <v>8</v>
      </c>
      <c r="I80" s="111">
        <f>49+45+33+4+4</f>
        <v>135</v>
      </c>
      <c r="J80" s="117">
        <f t="shared" si="50"/>
        <v>7.9272</v>
      </c>
      <c r="K80" s="118"/>
      <c r="L80" s="111">
        <v>135</v>
      </c>
      <c r="M80" s="117">
        <f t="shared" si="51"/>
        <v>7.9272</v>
      </c>
      <c r="N80" s="119">
        <f t="shared" si="52"/>
        <v>0</v>
      </c>
      <c r="O80" s="120">
        <f t="shared" si="53"/>
        <v>0</v>
      </c>
      <c r="P80" s="111"/>
      <c r="Q80" s="32"/>
      <c r="R80" s="32"/>
    </row>
    <row r="81" spans="1:20" ht="15.6">
      <c r="A81" s="110" t="s">
        <v>377</v>
      </c>
      <c r="B81" s="111" t="s">
        <v>232</v>
      </c>
      <c r="C81" s="112" t="s">
        <v>228</v>
      </c>
      <c r="D81" s="113" t="s">
        <v>20</v>
      </c>
      <c r="E81" s="114" t="s">
        <v>15</v>
      </c>
      <c r="F81" s="115" t="s">
        <v>25</v>
      </c>
      <c r="G81" s="116">
        <v>7.34</v>
      </c>
      <c r="H81" s="125">
        <v>9.5</v>
      </c>
      <c r="I81" s="111">
        <f>6+10+3</f>
        <v>19</v>
      </c>
      <c r="J81" s="117">
        <f t="shared" si="50"/>
        <v>1.3248700000000002</v>
      </c>
      <c r="K81" s="118"/>
      <c r="L81" s="111">
        <v>19</v>
      </c>
      <c r="M81" s="117">
        <f t="shared" si="51"/>
        <v>1.32487</v>
      </c>
      <c r="N81" s="119">
        <f t="shared" si="52"/>
        <v>0</v>
      </c>
      <c r="O81" s="120">
        <f t="shared" si="53"/>
        <v>0</v>
      </c>
      <c r="P81" s="111"/>
      <c r="Q81" s="32"/>
      <c r="R81" s="32"/>
    </row>
    <row r="82" spans="1:20" ht="15.6">
      <c r="A82" s="110" t="s">
        <v>377</v>
      </c>
      <c r="B82" s="111" t="s">
        <v>232</v>
      </c>
      <c r="C82" s="112" t="s">
        <v>228</v>
      </c>
      <c r="D82" s="113" t="s">
        <v>20</v>
      </c>
      <c r="E82" s="114" t="s">
        <v>15</v>
      </c>
      <c r="F82" s="115" t="s">
        <v>25</v>
      </c>
      <c r="G82" s="116">
        <v>7.34</v>
      </c>
      <c r="H82" s="125">
        <v>11.5</v>
      </c>
      <c r="I82" s="111">
        <f>33+35+38+30+30+16</f>
        <v>182</v>
      </c>
      <c r="J82" s="117">
        <f t="shared" si="50"/>
        <v>15.36262</v>
      </c>
      <c r="K82" s="118"/>
      <c r="L82" s="111">
        <f>104+78</f>
        <v>182</v>
      </c>
      <c r="M82" s="117">
        <f t="shared" si="51"/>
        <v>15.36262</v>
      </c>
      <c r="N82" s="119">
        <f t="shared" si="52"/>
        <v>0</v>
      </c>
      <c r="O82" s="120">
        <f t="shared" si="53"/>
        <v>0</v>
      </c>
      <c r="P82" s="111"/>
      <c r="Q82" s="32"/>
      <c r="R82" s="32"/>
    </row>
    <row r="83" spans="1:20" ht="15.6">
      <c r="A83" s="110" t="s">
        <v>377</v>
      </c>
      <c r="B83" s="111" t="s">
        <v>232</v>
      </c>
      <c r="C83" s="112" t="s">
        <v>228</v>
      </c>
      <c r="D83" s="113" t="s">
        <v>20</v>
      </c>
      <c r="E83" s="114" t="s">
        <v>15</v>
      </c>
      <c r="F83" s="115" t="s">
        <v>25</v>
      </c>
      <c r="G83" s="116">
        <v>7.34</v>
      </c>
      <c r="H83" s="125">
        <v>12</v>
      </c>
      <c r="I83" s="111">
        <f>35+20+26+30+13+17</f>
        <v>141</v>
      </c>
      <c r="J83" s="117">
        <f t="shared" si="50"/>
        <v>12.419280000000001</v>
      </c>
      <c r="K83" s="118"/>
      <c r="L83" s="111">
        <f>55+86</f>
        <v>141</v>
      </c>
      <c r="M83" s="117">
        <f t="shared" si="51"/>
        <v>12.419280000000001</v>
      </c>
      <c r="N83" s="119">
        <f t="shared" si="52"/>
        <v>0</v>
      </c>
      <c r="O83" s="120">
        <f t="shared" si="53"/>
        <v>0</v>
      </c>
      <c r="P83" s="111">
        <v>11.5</v>
      </c>
      <c r="Q83" s="32">
        <v>6</v>
      </c>
      <c r="R83" s="32"/>
    </row>
    <row r="84" spans="1:20" ht="15.6">
      <c r="A84" s="110" t="s">
        <v>377</v>
      </c>
      <c r="B84" s="111" t="s">
        <v>232</v>
      </c>
      <c r="C84" s="112" t="s">
        <v>228</v>
      </c>
      <c r="D84" s="113" t="s">
        <v>20</v>
      </c>
      <c r="E84" s="114" t="s">
        <v>15</v>
      </c>
      <c r="F84" s="115" t="s">
        <v>25</v>
      </c>
      <c r="G84" s="116">
        <v>7.34</v>
      </c>
      <c r="H84" s="125">
        <v>5.6</v>
      </c>
      <c r="I84" s="111">
        <v>1</v>
      </c>
      <c r="J84" s="117">
        <f t="shared" si="50"/>
        <v>4.1104000000000002E-2</v>
      </c>
      <c r="K84" s="118"/>
      <c r="L84" s="111"/>
      <c r="M84" s="117">
        <f t="shared" si="51"/>
        <v>0</v>
      </c>
      <c r="N84" s="119">
        <f t="shared" si="52"/>
        <v>1</v>
      </c>
      <c r="O84" s="120">
        <f t="shared" si="53"/>
        <v>4.1104000000000002E-2</v>
      </c>
      <c r="P84" s="111"/>
      <c r="Q84" s="32"/>
      <c r="R84" s="32"/>
    </row>
    <row r="85" spans="1:20" ht="15.6">
      <c r="A85" s="110" t="s">
        <v>377</v>
      </c>
      <c r="B85" s="111" t="s">
        <v>232</v>
      </c>
      <c r="C85" s="112" t="s">
        <v>228</v>
      </c>
      <c r="D85" s="113" t="s">
        <v>20</v>
      </c>
      <c r="E85" s="114" t="s">
        <v>15</v>
      </c>
      <c r="F85" s="115" t="s">
        <v>25</v>
      </c>
      <c r="G85" s="116">
        <v>7.34</v>
      </c>
      <c r="H85" s="125">
        <v>6.7</v>
      </c>
      <c r="I85" s="111">
        <v>1</v>
      </c>
      <c r="J85" s="117">
        <f t="shared" si="50"/>
        <v>4.9177999999999999E-2</v>
      </c>
      <c r="K85" s="118"/>
      <c r="L85" s="111">
        <v>1</v>
      </c>
      <c r="M85" s="117">
        <f t="shared" si="51"/>
        <v>4.9177999999999999E-2</v>
      </c>
      <c r="N85" s="119">
        <f t="shared" si="52"/>
        <v>0</v>
      </c>
      <c r="O85" s="120">
        <f t="shared" si="53"/>
        <v>0</v>
      </c>
      <c r="P85" s="111"/>
      <c r="Q85" s="32"/>
      <c r="R85" s="32">
        <v>6</v>
      </c>
      <c r="S85" s="354">
        <v>1</v>
      </c>
      <c r="T85" s="213" t="s">
        <v>630</v>
      </c>
    </row>
    <row r="86" spans="1:20" ht="15.6">
      <c r="A86" s="110" t="s">
        <v>377</v>
      </c>
      <c r="B86" s="111" t="s">
        <v>232</v>
      </c>
      <c r="C86" s="112" t="s">
        <v>228</v>
      </c>
      <c r="D86" s="113" t="s">
        <v>20</v>
      </c>
      <c r="E86" s="114" t="s">
        <v>15</v>
      </c>
      <c r="F86" s="115" t="s">
        <v>25</v>
      </c>
      <c r="G86" s="116">
        <v>7.34</v>
      </c>
      <c r="H86" s="125">
        <v>7.5</v>
      </c>
      <c r="I86" s="111">
        <v>2</v>
      </c>
      <c r="J86" s="117">
        <f t="shared" si="50"/>
        <v>0.11009999999999999</v>
      </c>
      <c r="K86" s="118"/>
      <c r="L86" s="111">
        <v>2</v>
      </c>
      <c r="M86" s="117">
        <f t="shared" si="51"/>
        <v>0.11009999999999999</v>
      </c>
      <c r="N86" s="119">
        <f t="shared" si="52"/>
        <v>0</v>
      </c>
      <c r="O86" s="120">
        <f t="shared" si="53"/>
        <v>0</v>
      </c>
      <c r="P86" s="111"/>
      <c r="Q86" s="32"/>
      <c r="R86" s="32">
        <v>7.4</v>
      </c>
      <c r="S86" s="354">
        <v>2</v>
      </c>
      <c r="T86" s="213" t="s">
        <v>703</v>
      </c>
    </row>
    <row r="87" spans="1:20" ht="15.6">
      <c r="A87" s="110" t="s">
        <v>377</v>
      </c>
      <c r="B87" s="111" t="s">
        <v>232</v>
      </c>
      <c r="C87" s="112" t="s">
        <v>228</v>
      </c>
      <c r="D87" s="113" t="s">
        <v>20</v>
      </c>
      <c r="E87" s="114" t="s">
        <v>15</v>
      </c>
      <c r="F87" s="115" t="s">
        <v>25</v>
      </c>
      <c r="G87" s="116">
        <v>7.34</v>
      </c>
      <c r="H87" s="125">
        <v>11</v>
      </c>
      <c r="I87" s="111">
        <v>1</v>
      </c>
      <c r="J87" s="117">
        <f t="shared" si="50"/>
        <v>8.0739999999999992E-2</v>
      </c>
      <c r="K87" s="118"/>
      <c r="L87" s="111">
        <v>1</v>
      </c>
      <c r="M87" s="117">
        <f t="shared" si="51"/>
        <v>8.0739999999999992E-2</v>
      </c>
      <c r="N87" s="119">
        <f t="shared" si="52"/>
        <v>0</v>
      </c>
      <c r="O87" s="120">
        <f t="shared" si="53"/>
        <v>0</v>
      </c>
      <c r="P87" s="111">
        <v>9.5</v>
      </c>
      <c r="Q87" s="32">
        <v>1</v>
      </c>
      <c r="R87" s="32"/>
    </row>
    <row r="88" spans="1:20" ht="15.6">
      <c r="A88" s="110" t="s">
        <v>377</v>
      </c>
      <c r="B88" s="111" t="s">
        <v>232</v>
      </c>
      <c r="C88" s="112" t="s">
        <v>228</v>
      </c>
      <c r="D88" s="113" t="s">
        <v>20</v>
      </c>
      <c r="E88" s="114" t="s">
        <v>15</v>
      </c>
      <c r="F88" s="115" t="s">
        <v>25</v>
      </c>
      <c r="G88" s="116">
        <v>7.34</v>
      </c>
      <c r="H88" s="125">
        <v>11.4</v>
      </c>
      <c r="I88" s="111">
        <v>1</v>
      </c>
      <c r="J88" s="117">
        <f t="shared" si="50"/>
        <v>8.3676E-2</v>
      </c>
      <c r="K88" s="118"/>
      <c r="L88" s="111">
        <v>1</v>
      </c>
      <c r="M88" s="117">
        <f t="shared" si="51"/>
        <v>8.3676E-2</v>
      </c>
      <c r="N88" s="119">
        <f t="shared" si="52"/>
        <v>0</v>
      </c>
      <c r="O88" s="120">
        <f t="shared" si="53"/>
        <v>0</v>
      </c>
      <c r="P88" s="111">
        <v>9.5</v>
      </c>
      <c r="Q88" s="32">
        <v>1</v>
      </c>
      <c r="R88" s="32"/>
    </row>
    <row r="89" spans="1:20" ht="15.6">
      <c r="A89" s="110" t="s">
        <v>377</v>
      </c>
      <c r="B89" s="111" t="s">
        <v>232</v>
      </c>
      <c r="C89" s="112" t="s">
        <v>228</v>
      </c>
      <c r="D89" s="113" t="s">
        <v>20</v>
      </c>
      <c r="E89" s="114" t="s">
        <v>15</v>
      </c>
      <c r="F89" s="115" t="s">
        <v>25</v>
      </c>
      <c r="G89" s="116">
        <v>7.34</v>
      </c>
      <c r="H89" s="125">
        <v>7.5</v>
      </c>
      <c r="I89" s="111">
        <v>1</v>
      </c>
      <c r="J89" s="117">
        <f t="shared" ref="J89" si="54">H89*G89*I89/1000</f>
        <v>5.5049999999999995E-2</v>
      </c>
      <c r="K89" s="118"/>
      <c r="L89" s="111">
        <v>1</v>
      </c>
      <c r="M89" s="117">
        <f t="shared" ref="M89" si="55">H89*L89*G89/1000</f>
        <v>5.5049999999999995E-2</v>
      </c>
      <c r="N89" s="119">
        <f t="shared" ref="N89" si="56">I89-L89</f>
        <v>0</v>
      </c>
      <c r="O89" s="120">
        <f t="shared" ref="O89" si="57">H89*N89*G89/1000</f>
        <v>0</v>
      </c>
      <c r="P89" s="111"/>
      <c r="Q89" s="32"/>
      <c r="R89" s="32">
        <v>7.4</v>
      </c>
      <c r="S89" s="354">
        <v>1</v>
      </c>
      <c r="T89" s="213" t="s">
        <v>703</v>
      </c>
    </row>
    <row r="90" spans="1:20" ht="15.6">
      <c r="A90" s="110" t="s">
        <v>377</v>
      </c>
      <c r="B90" s="111" t="s">
        <v>232</v>
      </c>
      <c r="C90" s="112" t="s">
        <v>228</v>
      </c>
      <c r="D90" s="113" t="s">
        <v>20</v>
      </c>
      <c r="E90" s="114" t="s">
        <v>15</v>
      </c>
      <c r="F90" s="115" t="s">
        <v>25</v>
      </c>
      <c r="G90" s="116">
        <v>7.34</v>
      </c>
      <c r="H90" s="125">
        <v>11.5</v>
      </c>
      <c r="I90" s="111">
        <v>37</v>
      </c>
      <c r="J90" s="117">
        <f t="shared" ref="J90:J91" si="58">H90*G90*I90/1000</f>
        <v>3.12317</v>
      </c>
      <c r="K90" s="118"/>
      <c r="L90" s="111">
        <v>37</v>
      </c>
      <c r="M90" s="117">
        <f t="shared" ref="M90:M91" si="59">H90*L90*G90/1000</f>
        <v>3.12317</v>
      </c>
      <c r="N90" s="119">
        <f t="shared" ref="N90:N91" si="60">I90-L90</f>
        <v>0</v>
      </c>
      <c r="O90" s="120">
        <f>H90*N90*G90/1000</f>
        <v>0</v>
      </c>
      <c r="P90" s="111"/>
      <c r="Q90" s="32"/>
      <c r="R90" s="32"/>
    </row>
    <row r="91" spans="1:20" ht="15.6">
      <c r="A91" s="110" t="s">
        <v>377</v>
      </c>
      <c r="B91" s="111" t="s">
        <v>232</v>
      </c>
      <c r="C91" s="112" t="s">
        <v>228</v>
      </c>
      <c r="D91" s="113" t="s">
        <v>20</v>
      </c>
      <c r="E91" s="114" t="s">
        <v>15</v>
      </c>
      <c r="F91" s="115" t="s">
        <v>25</v>
      </c>
      <c r="G91" s="116">
        <v>7.34</v>
      </c>
      <c r="H91" s="125">
        <v>12</v>
      </c>
      <c r="I91" s="111">
        <v>39</v>
      </c>
      <c r="J91" s="117">
        <f t="shared" si="58"/>
        <v>3.43512</v>
      </c>
      <c r="K91" s="118"/>
      <c r="L91" s="111">
        <v>39</v>
      </c>
      <c r="M91" s="117">
        <f t="shared" si="59"/>
        <v>3.43512</v>
      </c>
      <c r="N91" s="119">
        <f t="shared" si="60"/>
        <v>0</v>
      </c>
      <c r="O91" s="120">
        <f>H91*N91*G91/1000</f>
        <v>0</v>
      </c>
      <c r="P91" s="111">
        <v>11.5</v>
      </c>
      <c r="Q91" s="32">
        <v>39</v>
      </c>
      <c r="R91" s="32"/>
    </row>
    <row r="92" spans="1:20">
      <c r="A92" s="32"/>
      <c r="B92" s="32"/>
      <c r="C92" s="32"/>
      <c r="D92" s="32"/>
      <c r="E92" s="32"/>
      <c r="F92" s="32"/>
      <c r="G92" s="32"/>
      <c r="H92" s="32"/>
      <c r="I92" s="129">
        <f>SUM(I76:I91)</f>
        <v>833</v>
      </c>
      <c r="J92" s="124">
        <f>SUM(J76:J91)</f>
        <v>61.609757999999992</v>
      </c>
      <c r="K92" s="32"/>
      <c r="L92" s="129">
        <f>SUM(L76:L91)</f>
        <v>832</v>
      </c>
      <c r="M92" s="124">
        <f>SUM(M76:M91)</f>
        <v>61.568653999999995</v>
      </c>
      <c r="N92" s="131">
        <f>SUM(N76:N91)</f>
        <v>1</v>
      </c>
      <c r="O92" s="124">
        <f>SUM(O76:O91)</f>
        <v>4.1104000000000002E-2</v>
      </c>
      <c r="P92" s="32"/>
      <c r="Q92" s="32"/>
      <c r="R92" s="32"/>
      <c r="S92" s="131">
        <f>SUM(S76:S91)</f>
        <v>17</v>
      </c>
    </row>
    <row r="94" spans="1:20" ht="15.6">
      <c r="A94" s="110" t="s">
        <v>377</v>
      </c>
      <c r="B94" s="111" t="s">
        <v>232</v>
      </c>
      <c r="C94" s="112" t="s">
        <v>228</v>
      </c>
      <c r="D94" s="113" t="s">
        <v>20</v>
      </c>
      <c r="E94" s="114" t="s">
        <v>15</v>
      </c>
      <c r="F94" s="115" t="s">
        <v>27</v>
      </c>
      <c r="G94" s="116">
        <v>6.17</v>
      </c>
      <c r="H94" s="125">
        <v>6.5</v>
      </c>
      <c r="I94" s="111">
        <f>41+39+50+10</f>
        <v>140</v>
      </c>
      <c r="J94" s="117">
        <f t="shared" ref="J94:J109" si="61">H94*G94*I94/1000</f>
        <v>5.6147</v>
      </c>
      <c r="K94" s="118"/>
      <c r="L94" s="111">
        <v>140</v>
      </c>
      <c r="M94" s="117">
        <f t="shared" ref="M94:M109" si="62">H94*L94*G94/1000</f>
        <v>5.6147</v>
      </c>
      <c r="N94" s="119">
        <f t="shared" ref="N94:N109" si="63">I94-L94</f>
        <v>0</v>
      </c>
      <c r="O94" s="120">
        <f t="shared" ref="O94:O109" si="64">H94*N94*G94/1000</f>
        <v>0</v>
      </c>
      <c r="P94" s="111"/>
      <c r="Q94" s="32"/>
      <c r="R94" s="32"/>
    </row>
    <row r="95" spans="1:20" ht="15.6">
      <c r="A95" s="110" t="s">
        <v>377</v>
      </c>
      <c r="B95" s="111" t="s">
        <v>232</v>
      </c>
      <c r="C95" s="112" t="s">
        <v>228</v>
      </c>
      <c r="D95" s="113" t="s">
        <v>20</v>
      </c>
      <c r="E95" s="114" t="s">
        <v>15</v>
      </c>
      <c r="F95" s="115" t="s">
        <v>27</v>
      </c>
      <c r="G95" s="116">
        <v>6.17</v>
      </c>
      <c r="H95" s="125">
        <v>7.75</v>
      </c>
      <c r="I95" s="111">
        <f>30+32+42+29</f>
        <v>133</v>
      </c>
      <c r="J95" s="117">
        <f t="shared" si="61"/>
        <v>6.3597275</v>
      </c>
      <c r="K95" s="118"/>
      <c r="L95" s="111">
        <v>133</v>
      </c>
      <c r="M95" s="117">
        <f t="shared" si="62"/>
        <v>6.3597275</v>
      </c>
      <c r="N95" s="119">
        <f t="shared" si="63"/>
        <v>0</v>
      </c>
      <c r="O95" s="120">
        <f t="shared" si="64"/>
        <v>0</v>
      </c>
      <c r="P95" s="111"/>
      <c r="Q95" s="32"/>
      <c r="R95" s="32"/>
    </row>
    <row r="96" spans="1:20" ht="15.6">
      <c r="A96" s="110" t="s">
        <v>377</v>
      </c>
      <c r="B96" s="111" t="s">
        <v>232</v>
      </c>
      <c r="C96" s="112" t="s">
        <v>228</v>
      </c>
      <c r="D96" s="113" t="s">
        <v>20</v>
      </c>
      <c r="E96" s="114" t="s">
        <v>15</v>
      </c>
      <c r="F96" s="115" t="s">
        <v>27</v>
      </c>
      <c r="G96" s="116">
        <v>6.17</v>
      </c>
      <c r="H96" s="125">
        <v>8</v>
      </c>
      <c r="I96" s="111">
        <f>22+40+31</f>
        <v>93</v>
      </c>
      <c r="J96" s="117">
        <f t="shared" si="61"/>
        <v>4.5904799999999994</v>
      </c>
      <c r="K96" s="118"/>
      <c r="L96" s="111">
        <v>93</v>
      </c>
      <c r="M96" s="117">
        <f t="shared" si="62"/>
        <v>4.5904799999999994</v>
      </c>
      <c r="N96" s="119">
        <f t="shared" si="63"/>
        <v>0</v>
      </c>
      <c r="O96" s="120">
        <f t="shared" si="64"/>
        <v>0</v>
      </c>
      <c r="P96" s="111"/>
      <c r="Q96" s="32"/>
      <c r="R96" s="32"/>
    </row>
    <row r="97" spans="1:19" ht="15.6">
      <c r="A97" s="110" t="s">
        <v>377</v>
      </c>
      <c r="B97" s="111" t="s">
        <v>232</v>
      </c>
      <c r="C97" s="112" t="s">
        <v>228</v>
      </c>
      <c r="D97" s="113" t="s">
        <v>20</v>
      </c>
      <c r="E97" s="114" t="s">
        <v>15</v>
      </c>
      <c r="F97" s="115" t="s">
        <v>27</v>
      </c>
      <c r="G97" s="116">
        <v>6.17</v>
      </c>
      <c r="H97" s="125">
        <v>10</v>
      </c>
      <c r="I97" s="111">
        <v>6</v>
      </c>
      <c r="J97" s="117">
        <f t="shared" si="61"/>
        <v>0.37020000000000003</v>
      </c>
      <c r="K97" s="118"/>
      <c r="L97" s="111">
        <v>6</v>
      </c>
      <c r="M97" s="117">
        <f t="shared" si="62"/>
        <v>0.37019999999999997</v>
      </c>
      <c r="N97" s="119">
        <f t="shared" si="63"/>
        <v>0</v>
      </c>
      <c r="O97" s="120">
        <f t="shared" si="64"/>
        <v>0</v>
      </c>
      <c r="P97" s="111"/>
      <c r="Q97" s="32"/>
      <c r="R97" s="32"/>
    </row>
    <row r="98" spans="1:19" ht="15.6">
      <c r="A98" s="110" t="s">
        <v>377</v>
      </c>
      <c r="B98" s="111" t="s">
        <v>232</v>
      </c>
      <c r="C98" s="112" t="s">
        <v>228</v>
      </c>
      <c r="D98" s="113" t="s">
        <v>20</v>
      </c>
      <c r="E98" s="114" t="s">
        <v>15</v>
      </c>
      <c r="F98" s="115" t="s">
        <v>27</v>
      </c>
      <c r="G98" s="116">
        <v>6.17</v>
      </c>
      <c r="H98" s="125">
        <v>11</v>
      </c>
      <c r="I98" s="111">
        <f>36+26</f>
        <v>62</v>
      </c>
      <c r="J98" s="117">
        <f t="shared" si="61"/>
        <v>4.2079400000000007</v>
      </c>
      <c r="K98" s="118"/>
      <c r="L98" s="111">
        <f>45+17</f>
        <v>62</v>
      </c>
      <c r="M98" s="117">
        <f t="shared" si="62"/>
        <v>4.2079399999999998</v>
      </c>
      <c r="N98" s="119">
        <f t="shared" si="63"/>
        <v>0</v>
      </c>
      <c r="O98" s="120">
        <f t="shared" si="64"/>
        <v>0</v>
      </c>
      <c r="P98" s="111">
        <v>7.75</v>
      </c>
      <c r="Q98" s="32">
        <v>17</v>
      </c>
      <c r="R98" s="32"/>
    </row>
    <row r="99" spans="1:19" ht="15.6">
      <c r="A99" s="110" t="s">
        <v>377</v>
      </c>
      <c r="B99" s="111" t="s">
        <v>232</v>
      </c>
      <c r="C99" s="112" t="s">
        <v>228</v>
      </c>
      <c r="D99" s="113" t="s">
        <v>20</v>
      </c>
      <c r="E99" s="114" t="s">
        <v>15</v>
      </c>
      <c r="F99" s="115" t="s">
        <v>27</v>
      </c>
      <c r="G99" s="116">
        <v>6.17</v>
      </c>
      <c r="H99" s="125">
        <v>11.5</v>
      </c>
      <c r="I99" s="111">
        <f>39+33</f>
        <v>72</v>
      </c>
      <c r="J99" s="117">
        <f t="shared" si="61"/>
        <v>5.1087600000000002</v>
      </c>
      <c r="K99" s="118"/>
      <c r="L99" s="111">
        <v>72</v>
      </c>
      <c r="M99" s="117">
        <f t="shared" si="62"/>
        <v>5.1087600000000002</v>
      </c>
      <c r="N99" s="119">
        <f t="shared" si="63"/>
        <v>0</v>
      </c>
      <c r="O99" s="120">
        <f t="shared" si="64"/>
        <v>0</v>
      </c>
      <c r="P99" s="111">
        <v>8</v>
      </c>
      <c r="Q99" s="32">
        <v>2</v>
      </c>
      <c r="R99" s="32"/>
      <c r="S99" s="213" t="s">
        <v>400</v>
      </c>
    </row>
    <row r="100" spans="1:19" ht="15.6">
      <c r="A100" s="110" t="s">
        <v>377</v>
      </c>
      <c r="B100" s="111" t="s">
        <v>232</v>
      </c>
      <c r="C100" s="112" t="s">
        <v>228</v>
      </c>
      <c r="D100" s="113" t="s">
        <v>20</v>
      </c>
      <c r="E100" s="114" t="s">
        <v>15</v>
      </c>
      <c r="F100" s="115" t="s">
        <v>27</v>
      </c>
      <c r="G100" s="116">
        <v>6.17</v>
      </c>
      <c r="H100" s="125">
        <v>11.5</v>
      </c>
      <c r="I100" s="111">
        <v>9</v>
      </c>
      <c r="J100" s="117">
        <f t="shared" si="61"/>
        <v>0.63859500000000002</v>
      </c>
      <c r="K100" s="118"/>
      <c r="L100" s="111">
        <v>9</v>
      </c>
      <c r="M100" s="117">
        <f t="shared" si="62"/>
        <v>0.63859500000000002</v>
      </c>
      <c r="N100" s="119">
        <f t="shared" si="63"/>
        <v>0</v>
      </c>
      <c r="O100" s="120">
        <f t="shared" si="64"/>
        <v>0</v>
      </c>
      <c r="P100" s="111"/>
      <c r="Q100" s="32"/>
      <c r="R100" s="32"/>
      <c r="S100" s="213" t="s">
        <v>400</v>
      </c>
    </row>
    <row r="101" spans="1:19" ht="15.6">
      <c r="A101" s="110" t="s">
        <v>377</v>
      </c>
      <c r="B101" s="111" t="s">
        <v>232</v>
      </c>
      <c r="C101" s="112" t="s">
        <v>228</v>
      </c>
      <c r="D101" s="113" t="s">
        <v>20</v>
      </c>
      <c r="E101" s="114" t="s">
        <v>15</v>
      </c>
      <c r="F101" s="115" t="s">
        <v>27</v>
      </c>
      <c r="G101" s="116">
        <v>6.17</v>
      </c>
      <c r="H101" s="125">
        <v>11</v>
      </c>
      <c r="I101" s="111">
        <v>1</v>
      </c>
      <c r="J101" s="117">
        <f t="shared" si="61"/>
        <v>6.787E-2</v>
      </c>
      <c r="K101" s="118"/>
      <c r="L101" s="111"/>
      <c r="M101" s="117">
        <f t="shared" si="62"/>
        <v>0</v>
      </c>
      <c r="N101" s="119">
        <f t="shared" si="63"/>
        <v>1</v>
      </c>
      <c r="O101" s="120">
        <f t="shared" si="64"/>
        <v>6.787E-2</v>
      </c>
      <c r="P101" s="111"/>
      <c r="Q101" s="111"/>
      <c r="R101" s="32"/>
    </row>
    <row r="102" spans="1:19" ht="15.6">
      <c r="A102" s="110" t="s">
        <v>377</v>
      </c>
      <c r="B102" s="111" t="s">
        <v>232</v>
      </c>
      <c r="C102" s="112" t="s">
        <v>228</v>
      </c>
      <c r="D102" s="113" t="s">
        <v>20</v>
      </c>
      <c r="E102" s="114" t="s">
        <v>15</v>
      </c>
      <c r="F102" s="115" t="s">
        <v>27</v>
      </c>
      <c r="G102" s="116">
        <v>6.17</v>
      </c>
      <c r="H102" s="125">
        <v>10.5</v>
      </c>
      <c r="I102" s="111">
        <v>16</v>
      </c>
      <c r="J102" s="117">
        <f t="shared" si="61"/>
        <v>1.0365599999999999</v>
      </c>
      <c r="K102" s="118"/>
      <c r="L102" s="111">
        <f>14+2</f>
        <v>16</v>
      </c>
      <c r="M102" s="117">
        <f t="shared" si="62"/>
        <v>1.0365599999999999</v>
      </c>
      <c r="N102" s="119">
        <f t="shared" si="63"/>
        <v>0</v>
      </c>
      <c r="O102" s="120">
        <f t="shared" si="64"/>
        <v>0</v>
      </c>
      <c r="P102" s="111">
        <v>7.75</v>
      </c>
      <c r="Q102" s="32">
        <v>2</v>
      </c>
      <c r="R102" s="32"/>
    </row>
    <row r="103" spans="1:19" ht="15.6">
      <c r="A103" s="110" t="s">
        <v>377</v>
      </c>
      <c r="B103" s="111" t="s">
        <v>232</v>
      </c>
      <c r="C103" s="112" t="s">
        <v>228</v>
      </c>
      <c r="D103" s="113" t="s">
        <v>20</v>
      </c>
      <c r="E103" s="114" t="s">
        <v>15</v>
      </c>
      <c r="F103" s="115" t="s">
        <v>27</v>
      </c>
      <c r="G103" s="116">
        <v>6.17</v>
      </c>
      <c r="H103" s="125">
        <v>9.5</v>
      </c>
      <c r="I103" s="111">
        <v>2</v>
      </c>
      <c r="J103" s="117">
        <f t="shared" si="61"/>
        <v>0.11723</v>
      </c>
      <c r="K103" s="118"/>
      <c r="L103" s="111">
        <v>2</v>
      </c>
      <c r="M103" s="117">
        <f t="shared" si="62"/>
        <v>0.11723</v>
      </c>
      <c r="N103" s="119">
        <f t="shared" si="63"/>
        <v>0</v>
      </c>
      <c r="O103" s="120">
        <f t="shared" si="64"/>
        <v>0</v>
      </c>
      <c r="P103" s="111">
        <v>7.75</v>
      </c>
      <c r="Q103" s="32">
        <v>2</v>
      </c>
      <c r="R103" s="32"/>
    </row>
    <row r="104" spans="1:19" ht="15.6">
      <c r="A104" s="110" t="s">
        <v>377</v>
      </c>
      <c r="B104" s="111" t="s">
        <v>232</v>
      </c>
      <c r="C104" s="112" t="s">
        <v>228</v>
      </c>
      <c r="D104" s="113" t="s">
        <v>20</v>
      </c>
      <c r="E104" s="114" t="s">
        <v>15</v>
      </c>
      <c r="F104" s="115" t="s">
        <v>27</v>
      </c>
      <c r="G104" s="116">
        <v>6.17</v>
      </c>
      <c r="H104" s="125">
        <v>10</v>
      </c>
      <c r="I104" s="111">
        <f>19+29</f>
        <v>48</v>
      </c>
      <c r="J104" s="117">
        <f t="shared" si="61"/>
        <v>2.9616000000000002</v>
      </c>
      <c r="K104" s="118"/>
      <c r="L104" s="111">
        <f>46+2</f>
        <v>48</v>
      </c>
      <c r="M104" s="117">
        <f t="shared" si="62"/>
        <v>2.9615999999999998</v>
      </c>
      <c r="N104" s="119">
        <f t="shared" si="63"/>
        <v>0</v>
      </c>
      <c r="O104" s="120">
        <f t="shared" si="64"/>
        <v>0</v>
      </c>
      <c r="P104" s="111">
        <v>7.75</v>
      </c>
      <c r="Q104" s="32">
        <v>2</v>
      </c>
      <c r="R104" s="32"/>
    </row>
    <row r="105" spans="1:19" ht="15.6">
      <c r="A105" s="110" t="s">
        <v>377</v>
      </c>
      <c r="B105" s="111" t="s">
        <v>232</v>
      </c>
      <c r="C105" s="112" t="s">
        <v>228</v>
      </c>
      <c r="D105" s="113" t="s">
        <v>20</v>
      </c>
      <c r="E105" s="114" t="s">
        <v>15</v>
      </c>
      <c r="F105" s="115" t="s">
        <v>27</v>
      </c>
      <c r="G105" s="116">
        <v>6.17</v>
      </c>
      <c r="H105" s="125">
        <v>11.5</v>
      </c>
      <c r="I105" s="111">
        <f>40+29</f>
        <v>69</v>
      </c>
      <c r="J105" s="117">
        <f t="shared" si="61"/>
        <v>4.8958949999999994</v>
      </c>
      <c r="K105" s="118"/>
      <c r="L105" s="111">
        <v>69</v>
      </c>
      <c r="M105" s="117">
        <f t="shared" si="62"/>
        <v>4.8958949999999994</v>
      </c>
      <c r="N105" s="119">
        <f t="shared" si="63"/>
        <v>0</v>
      </c>
      <c r="O105" s="120">
        <f t="shared" si="64"/>
        <v>0</v>
      </c>
      <c r="P105" s="111"/>
      <c r="Q105" s="32"/>
      <c r="R105" s="32"/>
    </row>
    <row r="106" spans="1:19" ht="15.6">
      <c r="A106" s="110" t="s">
        <v>377</v>
      </c>
      <c r="B106" s="111" t="s">
        <v>232</v>
      </c>
      <c r="C106" s="112" t="s">
        <v>228</v>
      </c>
      <c r="D106" s="113" t="s">
        <v>20</v>
      </c>
      <c r="E106" s="114" t="s">
        <v>15</v>
      </c>
      <c r="F106" s="115" t="s">
        <v>27</v>
      </c>
      <c r="G106" s="116">
        <v>6.17</v>
      </c>
      <c r="H106" s="125">
        <v>12</v>
      </c>
      <c r="I106" s="111">
        <f>35+40+17</f>
        <v>92</v>
      </c>
      <c r="J106" s="117">
        <f t="shared" si="61"/>
        <v>6.8116799999999991</v>
      </c>
      <c r="K106" s="118"/>
      <c r="L106" s="111">
        <v>92</v>
      </c>
      <c r="M106" s="117">
        <f t="shared" si="62"/>
        <v>6.81168</v>
      </c>
      <c r="N106" s="119">
        <f t="shared" si="63"/>
        <v>0</v>
      </c>
      <c r="O106" s="120">
        <f t="shared" si="64"/>
        <v>0</v>
      </c>
      <c r="P106" s="111">
        <v>9.6999999999999993</v>
      </c>
      <c r="Q106" s="32">
        <v>10</v>
      </c>
      <c r="R106" s="32"/>
      <c r="S106" s="213" t="s">
        <v>400</v>
      </c>
    </row>
    <row r="107" spans="1:19" ht="15.6">
      <c r="A107" s="110" t="s">
        <v>377</v>
      </c>
      <c r="B107" s="111" t="s">
        <v>232</v>
      </c>
      <c r="C107" s="112" t="s">
        <v>228</v>
      </c>
      <c r="D107" s="113" t="s">
        <v>20</v>
      </c>
      <c r="E107" s="114" t="s">
        <v>15</v>
      </c>
      <c r="F107" s="115" t="s">
        <v>27</v>
      </c>
      <c r="G107" s="116">
        <v>6.17</v>
      </c>
      <c r="H107" s="125">
        <v>9.6999999999999993</v>
      </c>
      <c r="I107" s="111">
        <f>36+4+6</f>
        <v>46</v>
      </c>
      <c r="J107" s="117">
        <f t="shared" si="61"/>
        <v>2.7530539999999997</v>
      </c>
      <c r="K107" s="118"/>
      <c r="L107" s="111">
        <f>46+42</f>
        <v>88</v>
      </c>
      <c r="M107" s="117">
        <f t="shared" si="62"/>
        <v>5.2667119999999992</v>
      </c>
      <c r="N107" s="230">
        <f t="shared" si="63"/>
        <v>-42</v>
      </c>
      <c r="O107" s="231">
        <f t="shared" si="64"/>
        <v>-2.5136579999999999</v>
      </c>
      <c r="P107" s="44" t="s">
        <v>482</v>
      </c>
      <c r="Q107" s="32"/>
      <c r="R107" s="32"/>
    </row>
    <row r="108" spans="1:19" ht="15.6">
      <c r="A108" s="110" t="s">
        <v>377</v>
      </c>
      <c r="B108" s="111" t="s">
        <v>232</v>
      </c>
      <c r="C108" s="112" t="s">
        <v>228</v>
      </c>
      <c r="D108" s="113" t="s">
        <v>20</v>
      </c>
      <c r="E108" s="114" t="s">
        <v>15</v>
      </c>
      <c r="F108" s="115" t="s">
        <v>27</v>
      </c>
      <c r="G108" s="116">
        <v>6.17</v>
      </c>
      <c r="H108" s="125">
        <v>10.5</v>
      </c>
      <c r="I108" s="111">
        <v>27</v>
      </c>
      <c r="J108" s="117">
        <f t="shared" si="61"/>
        <v>1.7491949999999998</v>
      </c>
      <c r="K108" s="118"/>
      <c r="L108" s="111">
        <v>27</v>
      </c>
      <c r="M108" s="117">
        <f t="shared" si="62"/>
        <v>1.7491949999999998</v>
      </c>
      <c r="N108" s="119">
        <f t="shared" si="63"/>
        <v>0</v>
      </c>
      <c r="O108" s="120">
        <f t="shared" si="64"/>
        <v>0</v>
      </c>
      <c r="P108" s="111"/>
      <c r="Q108" s="32"/>
      <c r="R108" s="32"/>
    </row>
    <row r="109" spans="1:19" ht="15.6">
      <c r="A109" s="110" t="s">
        <v>377</v>
      </c>
      <c r="B109" s="111" t="s">
        <v>232</v>
      </c>
      <c r="C109" s="112" t="s">
        <v>228</v>
      </c>
      <c r="D109" s="113" t="s">
        <v>20</v>
      </c>
      <c r="E109" s="114" t="s">
        <v>15</v>
      </c>
      <c r="F109" s="115" t="s">
        <v>27</v>
      </c>
      <c r="G109" s="116">
        <v>6.17</v>
      </c>
      <c r="H109" s="125">
        <v>9.5</v>
      </c>
      <c r="I109" s="111">
        <v>2</v>
      </c>
      <c r="J109" s="117">
        <f t="shared" si="61"/>
        <v>0.11723</v>
      </c>
      <c r="K109" s="118"/>
      <c r="L109" s="111">
        <v>2</v>
      </c>
      <c r="M109" s="117">
        <f t="shared" si="62"/>
        <v>0.11723</v>
      </c>
      <c r="N109" s="119">
        <f t="shared" si="63"/>
        <v>0</v>
      </c>
      <c r="O109" s="120">
        <f t="shared" si="64"/>
        <v>0</v>
      </c>
      <c r="P109" s="111">
        <v>7.75</v>
      </c>
      <c r="Q109" s="32">
        <v>2</v>
      </c>
      <c r="R109" s="32"/>
    </row>
    <row r="110" spans="1:19" ht="15.6">
      <c r="A110" s="110" t="s">
        <v>377</v>
      </c>
      <c r="B110" s="111" t="s">
        <v>232</v>
      </c>
      <c r="C110" s="112" t="s">
        <v>228</v>
      </c>
      <c r="D110" s="113" t="s">
        <v>20</v>
      </c>
      <c r="E110" s="114" t="s">
        <v>15</v>
      </c>
      <c r="F110" s="115" t="s">
        <v>27</v>
      </c>
      <c r="G110" s="116">
        <v>6.17</v>
      </c>
      <c r="H110" s="162">
        <v>7.6</v>
      </c>
      <c r="I110" s="111">
        <v>1</v>
      </c>
      <c r="J110" s="117">
        <f t="shared" ref="J110:J115" si="65">H110*G110*I110/1000</f>
        <v>4.6891999999999996E-2</v>
      </c>
      <c r="K110" s="118"/>
      <c r="L110" s="111"/>
      <c r="M110" s="117">
        <f t="shared" ref="M110:M115" si="66">H110*L110*G110/1000</f>
        <v>0</v>
      </c>
      <c r="N110" s="119">
        <f t="shared" ref="N110:N115" si="67">I110-L110</f>
        <v>1</v>
      </c>
      <c r="O110" s="120">
        <f t="shared" ref="O110:O115" si="68">H110*N110*G110/1000</f>
        <v>4.6891999999999996E-2</v>
      </c>
      <c r="P110" s="111"/>
      <c r="Q110" s="32"/>
      <c r="R110" s="32"/>
    </row>
    <row r="111" spans="1:19" ht="15.6">
      <c r="A111" s="110" t="s">
        <v>377</v>
      </c>
      <c r="B111" s="111" t="s">
        <v>232</v>
      </c>
      <c r="C111" s="112" t="s">
        <v>228</v>
      </c>
      <c r="D111" s="113" t="s">
        <v>20</v>
      </c>
      <c r="E111" s="114" t="s">
        <v>15</v>
      </c>
      <c r="F111" s="115" t="s">
        <v>27</v>
      </c>
      <c r="G111" s="116">
        <v>6.17</v>
      </c>
      <c r="H111" s="126">
        <v>6.8</v>
      </c>
      <c r="I111" s="111">
        <v>1</v>
      </c>
      <c r="J111" s="117">
        <f t="shared" si="65"/>
        <v>4.1955999999999993E-2</v>
      </c>
      <c r="K111" s="118"/>
      <c r="L111" s="111">
        <v>1</v>
      </c>
      <c r="M111" s="117">
        <f t="shared" si="66"/>
        <v>4.1955999999999993E-2</v>
      </c>
      <c r="N111" s="119">
        <f t="shared" si="67"/>
        <v>0</v>
      </c>
      <c r="O111" s="120">
        <f t="shared" si="68"/>
        <v>0</v>
      </c>
      <c r="P111" s="111">
        <v>6.5</v>
      </c>
      <c r="Q111" s="32">
        <v>1</v>
      </c>
      <c r="R111" s="32"/>
    </row>
    <row r="112" spans="1:19" ht="15.6">
      <c r="A112" s="110" t="s">
        <v>377</v>
      </c>
      <c r="B112" s="111" t="s">
        <v>232</v>
      </c>
      <c r="C112" s="112" t="s">
        <v>228</v>
      </c>
      <c r="D112" s="113" t="s">
        <v>20</v>
      </c>
      <c r="E112" s="114" t="s">
        <v>15</v>
      </c>
      <c r="F112" s="115" t="s">
        <v>27</v>
      </c>
      <c r="G112" s="116">
        <v>6.17</v>
      </c>
      <c r="H112" s="126">
        <v>6.7</v>
      </c>
      <c r="I112" s="111">
        <v>1</v>
      </c>
      <c r="J112" s="117">
        <f t="shared" si="65"/>
        <v>4.1339000000000001E-2</v>
      </c>
      <c r="K112" s="118"/>
      <c r="L112" s="111"/>
      <c r="M112" s="117">
        <f t="shared" si="66"/>
        <v>0</v>
      </c>
      <c r="N112" s="119">
        <f t="shared" si="67"/>
        <v>1</v>
      </c>
      <c r="O112" s="120">
        <f t="shared" si="68"/>
        <v>4.1339000000000001E-2</v>
      </c>
      <c r="P112" s="111"/>
      <c r="Q112" s="32"/>
      <c r="R112" s="32"/>
    </row>
    <row r="113" spans="1:20" ht="15.6">
      <c r="A113" s="110" t="s">
        <v>377</v>
      </c>
      <c r="B113" s="111" t="s">
        <v>232</v>
      </c>
      <c r="C113" s="112" t="s">
        <v>228</v>
      </c>
      <c r="D113" s="113" t="s">
        <v>20</v>
      </c>
      <c r="E113" s="114" t="s">
        <v>15</v>
      </c>
      <c r="F113" s="115" t="s">
        <v>27</v>
      </c>
      <c r="G113" s="116">
        <v>6.17</v>
      </c>
      <c r="H113" s="126">
        <v>6.2</v>
      </c>
      <c r="I113" s="111">
        <v>1</v>
      </c>
      <c r="J113" s="117">
        <f t="shared" si="65"/>
        <v>3.8253999999999996E-2</v>
      </c>
      <c r="K113" s="118"/>
      <c r="L113" s="111"/>
      <c r="M113" s="117">
        <f t="shared" si="66"/>
        <v>0</v>
      </c>
      <c r="N113" s="119">
        <f t="shared" si="67"/>
        <v>1</v>
      </c>
      <c r="O113" s="120">
        <f t="shared" si="68"/>
        <v>3.8253999999999996E-2</v>
      </c>
      <c r="P113" s="111"/>
      <c r="Q113" s="32"/>
      <c r="R113" s="32"/>
    </row>
    <row r="114" spans="1:20" ht="15.6">
      <c r="A114" s="110" t="s">
        <v>377</v>
      </c>
      <c r="B114" s="111" t="s">
        <v>232</v>
      </c>
      <c r="C114" s="112" t="s">
        <v>228</v>
      </c>
      <c r="D114" s="113" t="s">
        <v>20</v>
      </c>
      <c r="E114" s="114" t="s">
        <v>15</v>
      </c>
      <c r="F114" s="115" t="s">
        <v>27</v>
      </c>
      <c r="G114" s="116">
        <v>6.17</v>
      </c>
      <c r="H114" s="126">
        <v>5.7</v>
      </c>
      <c r="I114" s="111">
        <v>2</v>
      </c>
      <c r="J114" s="117">
        <f t="shared" si="65"/>
        <v>7.0338000000000012E-2</v>
      </c>
      <c r="K114" s="118"/>
      <c r="L114" s="111"/>
      <c r="M114" s="117">
        <f t="shared" si="66"/>
        <v>0</v>
      </c>
      <c r="N114" s="119">
        <f t="shared" si="67"/>
        <v>2</v>
      </c>
      <c r="O114" s="120">
        <f t="shared" si="68"/>
        <v>7.0338000000000012E-2</v>
      </c>
      <c r="P114" s="111"/>
      <c r="Q114" s="32"/>
      <c r="R114" s="32"/>
    </row>
    <row r="115" spans="1:20" ht="15.6">
      <c r="A115" s="110" t="s">
        <v>377</v>
      </c>
      <c r="B115" s="111" t="s">
        <v>232</v>
      </c>
      <c r="C115" s="112" t="s">
        <v>228</v>
      </c>
      <c r="D115" s="113" t="s">
        <v>20</v>
      </c>
      <c r="E115" s="114" t="s">
        <v>15</v>
      </c>
      <c r="F115" s="115" t="s">
        <v>27</v>
      </c>
      <c r="G115" s="116">
        <v>6.17</v>
      </c>
      <c r="H115" s="126">
        <v>5.4</v>
      </c>
      <c r="I115" s="111">
        <v>2</v>
      </c>
      <c r="J115" s="117">
        <f t="shared" si="65"/>
        <v>6.6636000000000015E-2</v>
      </c>
      <c r="K115" s="118"/>
      <c r="L115" s="111"/>
      <c r="M115" s="117">
        <f t="shared" si="66"/>
        <v>0</v>
      </c>
      <c r="N115" s="119">
        <f t="shared" si="67"/>
        <v>2</v>
      </c>
      <c r="O115" s="120">
        <f t="shared" si="68"/>
        <v>6.6636000000000015E-2</v>
      </c>
      <c r="P115" s="111"/>
      <c r="Q115" s="32"/>
      <c r="R115" s="32"/>
    </row>
    <row r="116" spans="1:20">
      <c r="I116" s="215">
        <f>SUM(I94:I115)</f>
        <v>826</v>
      </c>
      <c r="J116" s="214">
        <f>SUM(J94:J115)</f>
        <v>47.706131500000005</v>
      </c>
      <c r="L116" s="215">
        <f>SUM(L94:L115)</f>
        <v>860</v>
      </c>
      <c r="M116" s="214">
        <f>SUM(M94:M115)</f>
        <v>49.888460500000001</v>
      </c>
      <c r="N116" s="215">
        <f>SUM(N94:N115)</f>
        <v>-34</v>
      </c>
      <c r="O116" s="214">
        <f>SUM(O94:O115)</f>
        <v>-2.1823290000000002</v>
      </c>
    </row>
    <row r="118" spans="1:20" ht="15.6">
      <c r="A118" s="110" t="s">
        <v>377</v>
      </c>
      <c r="B118" s="111" t="s">
        <v>232</v>
      </c>
      <c r="C118" s="112" t="s">
        <v>228</v>
      </c>
      <c r="D118" s="113" t="s">
        <v>20</v>
      </c>
      <c r="E118" s="114" t="s">
        <v>15</v>
      </c>
      <c r="F118" s="115" t="s">
        <v>110</v>
      </c>
      <c r="G118" s="116">
        <v>8.49</v>
      </c>
      <c r="H118" s="126">
        <v>10</v>
      </c>
      <c r="I118" s="111">
        <v>15</v>
      </c>
      <c r="J118" s="117">
        <f t="shared" ref="J118:J121" si="69">H118*G118*I118/1000</f>
        <v>1.2735000000000001</v>
      </c>
      <c r="K118" s="118"/>
      <c r="L118" s="111">
        <v>15</v>
      </c>
      <c r="M118" s="117">
        <f t="shared" ref="M118:M121" si="70">H118*L118*G118/1000</f>
        <v>1.2735000000000001</v>
      </c>
      <c r="N118" s="119">
        <f t="shared" ref="N118:N121" si="71">I118-L118</f>
        <v>0</v>
      </c>
      <c r="O118" s="120">
        <f t="shared" ref="O118:O121" si="72">H118*N118*G118/1000</f>
        <v>0</v>
      </c>
      <c r="P118" s="111"/>
      <c r="Q118" s="32"/>
      <c r="R118" s="32"/>
    </row>
    <row r="119" spans="1:20" ht="15.6">
      <c r="A119" s="110" t="s">
        <v>377</v>
      </c>
      <c r="B119" s="111" t="s">
        <v>232</v>
      </c>
      <c r="C119" s="112" t="s">
        <v>228</v>
      </c>
      <c r="D119" s="113" t="s">
        <v>20</v>
      </c>
      <c r="E119" s="114" t="s">
        <v>15</v>
      </c>
      <c r="F119" s="115" t="s">
        <v>110</v>
      </c>
      <c r="G119" s="116">
        <v>8.49</v>
      </c>
      <c r="H119" s="126">
        <v>10</v>
      </c>
      <c r="I119" s="111">
        <v>5</v>
      </c>
      <c r="J119" s="117">
        <f t="shared" si="69"/>
        <v>0.42449999999999999</v>
      </c>
      <c r="K119" s="118"/>
      <c r="L119" s="111">
        <v>5</v>
      </c>
      <c r="M119" s="117">
        <f t="shared" si="70"/>
        <v>0.42449999999999999</v>
      </c>
      <c r="N119" s="119">
        <f t="shared" si="71"/>
        <v>0</v>
      </c>
      <c r="O119" s="120">
        <f t="shared" si="72"/>
        <v>0</v>
      </c>
      <c r="P119" s="111"/>
      <c r="Q119" s="32"/>
      <c r="R119" s="32"/>
    </row>
    <row r="120" spans="1:20" ht="15.6">
      <c r="A120" s="110" t="s">
        <v>377</v>
      </c>
      <c r="B120" s="111" t="s">
        <v>232</v>
      </c>
      <c r="C120" s="112" t="s">
        <v>228</v>
      </c>
      <c r="D120" s="113" t="s">
        <v>20</v>
      </c>
      <c r="E120" s="114" t="s">
        <v>15</v>
      </c>
      <c r="F120" s="115" t="s">
        <v>110</v>
      </c>
      <c r="G120" s="116">
        <v>8.49</v>
      </c>
      <c r="H120" s="126">
        <v>8</v>
      </c>
      <c r="I120" s="111">
        <v>2</v>
      </c>
      <c r="J120" s="117">
        <f t="shared" si="69"/>
        <v>0.13584000000000002</v>
      </c>
      <c r="K120" s="118"/>
      <c r="L120" s="111"/>
      <c r="M120" s="117">
        <f t="shared" si="70"/>
        <v>0</v>
      </c>
      <c r="N120" s="119">
        <f t="shared" si="71"/>
        <v>2</v>
      </c>
      <c r="O120" s="120">
        <f t="shared" si="72"/>
        <v>0.13584000000000002</v>
      </c>
      <c r="P120" s="111"/>
      <c r="Q120" s="32"/>
      <c r="R120" s="32"/>
    </row>
    <row r="121" spans="1:20" ht="15.6">
      <c r="A121" s="110" t="s">
        <v>377</v>
      </c>
      <c r="B121" s="111" t="s">
        <v>232</v>
      </c>
      <c r="C121" s="112" t="s">
        <v>228</v>
      </c>
      <c r="D121" s="113" t="s">
        <v>20</v>
      </c>
      <c r="E121" s="114" t="s">
        <v>15</v>
      </c>
      <c r="F121" s="115" t="s">
        <v>110</v>
      </c>
      <c r="G121" s="116">
        <v>8.49</v>
      </c>
      <c r="H121" s="126">
        <v>9</v>
      </c>
      <c r="I121" s="111">
        <v>1</v>
      </c>
      <c r="J121" s="117">
        <f t="shared" si="69"/>
        <v>7.6409999999999992E-2</v>
      </c>
      <c r="K121" s="118"/>
      <c r="L121" s="111">
        <v>1</v>
      </c>
      <c r="M121" s="117">
        <f t="shared" si="70"/>
        <v>7.6409999999999992E-2</v>
      </c>
      <c r="N121" s="119">
        <f t="shared" si="71"/>
        <v>0</v>
      </c>
      <c r="O121" s="120">
        <f t="shared" si="72"/>
        <v>0</v>
      </c>
      <c r="P121" s="130">
        <v>9</v>
      </c>
      <c r="Q121" s="45">
        <v>1</v>
      </c>
      <c r="R121" s="32" t="s">
        <v>701</v>
      </c>
    </row>
    <row r="122" spans="1:20" ht="15.6">
      <c r="A122" s="110" t="s">
        <v>377</v>
      </c>
      <c r="B122" s="111" t="s">
        <v>232</v>
      </c>
      <c r="C122" s="112" t="s">
        <v>228</v>
      </c>
      <c r="D122" s="113" t="s">
        <v>20</v>
      </c>
      <c r="E122" s="114" t="s">
        <v>15</v>
      </c>
      <c r="F122" s="115" t="s">
        <v>110</v>
      </c>
      <c r="G122" s="116">
        <v>8.49</v>
      </c>
      <c r="H122" s="325">
        <v>9.6999999999999993</v>
      </c>
      <c r="I122" s="111">
        <v>1</v>
      </c>
      <c r="J122" s="117">
        <f t="shared" ref="J122:J125" si="73">H122*G122*I122/1000</f>
        <v>8.2352999999999996E-2</v>
      </c>
      <c r="K122" s="118"/>
      <c r="L122" s="111">
        <v>1</v>
      </c>
      <c r="M122" s="117">
        <f t="shared" ref="M122:M125" si="74">H122*L122*G122/1000</f>
        <v>8.2352999999999996E-2</v>
      </c>
      <c r="N122" s="119">
        <f t="shared" ref="N122:N125" si="75">I122-L122</f>
        <v>0</v>
      </c>
      <c r="O122" s="120">
        <f t="shared" ref="O122:O125" si="76">H122*N122*G122/1000</f>
        <v>0</v>
      </c>
      <c r="P122" s="130">
        <v>9.6999999999999993</v>
      </c>
      <c r="Q122" s="45">
        <v>1</v>
      </c>
      <c r="R122" s="32" t="s">
        <v>701</v>
      </c>
    </row>
    <row r="123" spans="1:20" ht="15.6">
      <c r="A123" s="110" t="s">
        <v>377</v>
      </c>
      <c r="B123" s="111" t="s">
        <v>232</v>
      </c>
      <c r="C123" s="112" t="s">
        <v>228</v>
      </c>
      <c r="D123" s="113" t="s">
        <v>20</v>
      </c>
      <c r="E123" s="114" t="s">
        <v>15</v>
      </c>
      <c r="F123" s="115" t="s">
        <v>110</v>
      </c>
      <c r="G123" s="116">
        <v>8.49</v>
      </c>
      <c r="H123" s="325">
        <v>10.5</v>
      </c>
      <c r="I123" s="111">
        <v>1</v>
      </c>
      <c r="J123" s="117">
        <f t="shared" si="73"/>
        <v>8.9145000000000002E-2</v>
      </c>
      <c r="K123" s="118"/>
      <c r="L123" s="111">
        <v>1</v>
      </c>
      <c r="M123" s="117">
        <f t="shared" si="74"/>
        <v>8.9145000000000002E-2</v>
      </c>
      <c r="N123" s="119">
        <f t="shared" si="75"/>
        <v>0</v>
      </c>
      <c r="O123" s="120">
        <f t="shared" si="76"/>
        <v>0</v>
      </c>
      <c r="P123" s="130"/>
      <c r="Q123" s="32"/>
      <c r="R123" s="32"/>
      <c r="S123" s="111">
        <v>10</v>
      </c>
      <c r="T123" s="32">
        <v>1</v>
      </c>
    </row>
    <row r="124" spans="1:20" ht="15.6">
      <c r="A124" s="110" t="s">
        <v>377</v>
      </c>
      <c r="B124" s="111" t="s">
        <v>232</v>
      </c>
      <c r="C124" s="112" t="s">
        <v>228</v>
      </c>
      <c r="D124" s="113" t="s">
        <v>20</v>
      </c>
      <c r="E124" s="114" t="s">
        <v>15</v>
      </c>
      <c r="F124" s="115" t="s">
        <v>110</v>
      </c>
      <c r="G124" s="116">
        <v>8.49</v>
      </c>
      <c r="H124" s="325">
        <v>11.7</v>
      </c>
      <c r="I124" s="111">
        <v>1</v>
      </c>
      <c r="J124" s="117">
        <f t="shared" si="73"/>
        <v>9.9333000000000005E-2</v>
      </c>
      <c r="K124" s="118"/>
      <c r="L124" s="111">
        <v>1</v>
      </c>
      <c r="M124" s="117">
        <f t="shared" si="74"/>
        <v>9.9333000000000005E-2</v>
      </c>
      <c r="N124" s="119">
        <f t="shared" si="75"/>
        <v>0</v>
      </c>
      <c r="O124" s="120">
        <f t="shared" si="76"/>
        <v>0</v>
      </c>
      <c r="P124" s="130">
        <v>11.7</v>
      </c>
      <c r="Q124" s="45">
        <v>1</v>
      </c>
      <c r="R124" s="32" t="s">
        <v>701</v>
      </c>
    </row>
    <row r="125" spans="1:20" ht="15.6">
      <c r="A125" s="110" t="s">
        <v>377</v>
      </c>
      <c r="B125" s="111" t="s">
        <v>232</v>
      </c>
      <c r="C125" s="112" t="s">
        <v>228</v>
      </c>
      <c r="D125" s="113" t="s">
        <v>20</v>
      </c>
      <c r="E125" s="114" t="s">
        <v>15</v>
      </c>
      <c r="F125" s="115" t="s">
        <v>110</v>
      </c>
      <c r="G125" s="116">
        <v>8.49</v>
      </c>
      <c r="H125" s="325">
        <v>12</v>
      </c>
      <c r="I125" s="111">
        <v>16</v>
      </c>
      <c r="J125" s="117">
        <f t="shared" si="73"/>
        <v>1.63008</v>
      </c>
      <c r="K125" s="118"/>
      <c r="L125" s="111">
        <v>6</v>
      </c>
      <c r="M125" s="117">
        <f t="shared" si="74"/>
        <v>0.61127999999999993</v>
      </c>
      <c r="N125" s="119">
        <f t="shared" si="75"/>
        <v>10</v>
      </c>
      <c r="O125" s="120">
        <f t="shared" si="76"/>
        <v>1.0188000000000001</v>
      </c>
      <c r="P125" s="130">
        <v>12</v>
      </c>
      <c r="Q125" s="45">
        <v>6</v>
      </c>
      <c r="R125" s="32" t="s">
        <v>701</v>
      </c>
    </row>
    <row r="126" spans="1:20">
      <c r="I126" s="215">
        <f>SUM(I118:I125)</f>
        <v>42</v>
      </c>
      <c r="J126" s="214">
        <f>SUM(J118:J125)</f>
        <v>3.8111609999999998</v>
      </c>
      <c r="L126" s="215">
        <f>SUM(L118:L125)</f>
        <v>30</v>
      </c>
      <c r="M126" s="214">
        <f>SUM(M118:M125)</f>
        <v>2.6565209999999997</v>
      </c>
      <c r="N126" s="215">
        <f>SUM(N118:N125)</f>
        <v>12</v>
      </c>
      <c r="O126" s="214">
        <f>SUM(O118:O125)</f>
        <v>1.1546400000000001</v>
      </c>
    </row>
    <row r="128" spans="1:20" ht="15.6">
      <c r="A128" s="110" t="s">
        <v>366</v>
      </c>
      <c r="B128" s="111" t="s">
        <v>232</v>
      </c>
      <c r="C128" s="112" t="s">
        <v>228</v>
      </c>
      <c r="D128" s="113" t="s">
        <v>17</v>
      </c>
      <c r="E128" s="114" t="s">
        <v>15</v>
      </c>
      <c r="F128" s="115" t="s">
        <v>27</v>
      </c>
      <c r="G128" s="116">
        <v>6.17</v>
      </c>
      <c r="H128" s="125">
        <v>8</v>
      </c>
      <c r="I128" s="111">
        <f>12+10</f>
        <v>22</v>
      </c>
      <c r="J128" s="117">
        <f t="shared" ref="J128:J135" si="77">H128*G128*I128/1000</f>
        <v>1.08592</v>
      </c>
      <c r="K128" s="118"/>
      <c r="L128" s="111">
        <v>22</v>
      </c>
      <c r="M128" s="117">
        <f t="shared" ref="M128:M135" si="78">H128*L128*G128/1000</f>
        <v>1.08592</v>
      </c>
      <c r="N128" s="119">
        <f t="shared" ref="N128:N135" si="79">I128-L128</f>
        <v>0</v>
      </c>
      <c r="O128" s="120">
        <f t="shared" ref="O128:O135" si="80">H128*N128*G128/1000</f>
        <v>0</v>
      </c>
      <c r="P128" s="111"/>
      <c r="Q128" s="32"/>
      <c r="R128" s="32"/>
    </row>
    <row r="129" spans="1:20" ht="15.6">
      <c r="A129" s="110" t="s">
        <v>366</v>
      </c>
      <c r="B129" s="111" t="s">
        <v>232</v>
      </c>
      <c r="C129" s="112" t="s">
        <v>228</v>
      </c>
      <c r="D129" s="113" t="s">
        <v>17</v>
      </c>
      <c r="E129" s="114" t="s">
        <v>15</v>
      </c>
      <c r="F129" s="115" t="s">
        <v>27</v>
      </c>
      <c r="G129" s="116">
        <v>6.17</v>
      </c>
      <c r="H129" s="125">
        <v>9.1999999999999993</v>
      </c>
      <c r="I129" s="111">
        <f>38+12+42+7</f>
        <v>99</v>
      </c>
      <c r="J129" s="117">
        <f t="shared" si="77"/>
        <v>5.6196359999999999</v>
      </c>
      <c r="K129" s="118"/>
      <c r="L129" s="111">
        <v>99</v>
      </c>
      <c r="M129" s="117">
        <f t="shared" si="78"/>
        <v>5.6196359999999999</v>
      </c>
      <c r="N129" s="119">
        <f t="shared" si="79"/>
        <v>0</v>
      </c>
      <c r="O129" s="120">
        <f t="shared" si="80"/>
        <v>0</v>
      </c>
      <c r="P129" s="111"/>
      <c r="Q129" s="32"/>
      <c r="R129" s="32"/>
    </row>
    <row r="130" spans="1:20" ht="15.6">
      <c r="A130" s="110" t="s">
        <v>366</v>
      </c>
      <c r="B130" s="111" t="s">
        <v>232</v>
      </c>
      <c r="C130" s="112" t="s">
        <v>228</v>
      </c>
      <c r="D130" s="113" t="s">
        <v>17</v>
      </c>
      <c r="E130" s="114" t="s">
        <v>15</v>
      </c>
      <c r="F130" s="115" t="s">
        <v>27</v>
      </c>
      <c r="G130" s="116">
        <v>6.17</v>
      </c>
      <c r="H130" s="125">
        <v>9.6999999999999993</v>
      </c>
      <c r="I130" s="111">
        <f>22+28</f>
        <v>50</v>
      </c>
      <c r="J130" s="117">
        <f t="shared" si="77"/>
        <v>2.9924499999999998</v>
      </c>
      <c r="K130" s="118"/>
      <c r="L130" s="111">
        <v>50</v>
      </c>
      <c r="M130" s="117">
        <f t="shared" si="78"/>
        <v>2.9924499999999998</v>
      </c>
      <c r="N130" s="119">
        <f t="shared" si="79"/>
        <v>0</v>
      </c>
      <c r="O130" s="120">
        <f t="shared" si="80"/>
        <v>0</v>
      </c>
      <c r="P130" s="111"/>
      <c r="Q130" s="32"/>
      <c r="R130" s="32"/>
    </row>
    <row r="131" spans="1:20" ht="15.6">
      <c r="A131" s="110" t="s">
        <v>366</v>
      </c>
      <c r="B131" s="111" t="s">
        <v>232</v>
      </c>
      <c r="C131" s="112" t="s">
        <v>228</v>
      </c>
      <c r="D131" s="113" t="s">
        <v>17</v>
      </c>
      <c r="E131" s="114" t="s">
        <v>15</v>
      </c>
      <c r="F131" s="115" t="s">
        <v>27</v>
      </c>
      <c r="G131" s="116">
        <v>6.17</v>
      </c>
      <c r="H131" s="125">
        <v>10.199999999999999</v>
      </c>
      <c r="I131" s="111">
        <f>30+9+17</f>
        <v>56</v>
      </c>
      <c r="J131" s="117">
        <f t="shared" si="77"/>
        <v>3.5243039999999999</v>
      </c>
      <c r="K131" s="118"/>
      <c r="L131" s="111">
        <v>56</v>
      </c>
      <c r="M131" s="117">
        <f t="shared" si="78"/>
        <v>3.5243039999999994</v>
      </c>
      <c r="N131" s="119">
        <f t="shared" si="79"/>
        <v>0</v>
      </c>
      <c r="O131" s="120">
        <f t="shared" si="80"/>
        <v>0</v>
      </c>
      <c r="P131" s="111"/>
      <c r="Q131" s="32"/>
      <c r="R131" s="32"/>
    </row>
    <row r="132" spans="1:20" ht="15.6">
      <c r="A132" s="110" t="s">
        <v>366</v>
      </c>
      <c r="B132" s="111" t="s">
        <v>232</v>
      </c>
      <c r="C132" s="112" t="s">
        <v>228</v>
      </c>
      <c r="D132" s="113" t="s">
        <v>17</v>
      </c>
      <c r="E132" s="114" t="s">
        <v>15</v>
      </c>
      <c r="F132" s="115" t="s">
        <v>27</v>
      </c>
      <c r="G132" s="116">
        <v>6.17</v>
      </c>
      <c r="H132" s="125">
        <v>10.5</v>
      </c>
      <c r="I132" s="111">
        <f>25+24</f>
        <v>49</v>
      </c>
      <c r="J132" s="117">
        <f t="shared" si="77"/>
        <v>3.1744649999999996</v>
      </c>
      <c r="K132" s="118"/>
      <c r="L132" s="111">
        <f>48+1</f>
        <v>49</v>
      </c>
      <c r="M132" s="117">
        <f>H132*L132*G132/1000</f>
        <v>3.1744650000000001</v>
      </c>
      <c r="N132" s="119">
        <f t="shared" si="79"/>
        <v>0</v>
      </c>
      <c r="O132" s="120">
        <f t="shared" si="80"/>
        <v>0</v>
      </c>
      <c r="P132" s="111">
        <v>9.1999999999999993</v>
      </c>
      <c r="Q132" s="32">
        <v>1</v>
      </c>
      <c r="R132" s="32"/>
    </row>
    <row r="133" spans="1:20" ht="15.6">
      <c r="A133" s="110" t="s">
        <v>366</v>
      </c>
      <c r="B133" s="111" t="s">
        <v>232</v>
      </c>
      <c r="C133" s="112" t="s">
        <v>228</v>
      </c>
      <c r="D133" s="113" t="s">
        <v>17</v>
      </c>
      <c r="E133" s="114" t="s">
        <v>15</v>
      </c>
      <c r="F133" s="115" t="s">
        <v>27</v>
      </c>
      <c r="G133" s="116">
        <v>6.17</v>
      </c>
      <c r="H133" s="125">
        <v>10.6</v>
      </c>
      <c r="I133" s="111">
        <f>29+30</f>
        <v>59</v>
      </c>
      <c r="J133" s="117">
        <f t="shared" si="77"/>
        <v>3.8587179999999996</v>
      </c>
      <c r="K133" s="118"/>
      <c r="L133" s="111">
        <f>56+3</f>
        <v>59</v>
      </c>
      <c r="M133" s="117">
        <f t="shared" si="78"/>
        <v>3.8587179999999996</v>
      </c>
      <c r="N133" s="119">
        <f t="shared" si="79"/>
        <v>0</v>
      </c>
      <c r="O133" s="120">
        <f t="shared" si="80"/>
        <v>0</v>
      </c>
      <c r="P133" s="111">
        <v>9.1999999999999993</v>
      </c>
      <c r="Q133" s="32">
        <v>3</v>
      </c>
      <c r="R133" s="32"/>
    </row>
    <row r="134" spans="1:20" ht="15.6">
      <c r="A134" s="110" t="s">
        <v>366</v>
      </c>
      <c r="B134" s="111" t="s">
        <v>232</v>
      </c>
      <c r="C134" s="112" t="s">
        <v>228</v>
      </c>
      <c r="D134" s="113" t="s">
        <v>17</v>
      </c>
      <c r="E134" s="114" t="s">
        <v>15</v>
      </c>
      <c r="F134" s="115" t="s">
        <v>27</v>
      </c>
      <c r="G134" s="116">
        <v>6.17</v>
      </c>
      <c r="H134" s="125">
        <v>10.8</v>
      </c>
      <c r="I134" s="111">
        <f>15+15</f>
        <v>30</v>
      </c>
      <c r="J134" s="117">
        <f t="shared" si="77"/>
        <v>1.9990800000000004</v>
      </c>
      <c r="K134" s="118"/>
      <c r="L134" s="111">
        <v>30</v>
      </c>
      <c r="M134" s="117">
        <f t="shared" si="78"/>
        <v>1.99908</v>
      </c>
      <c r="N134" s="119">
        <f t="shared" si="79"/>
        <v>0</v>
      </c>
      <c r="O134" s="120">
        <f t="shared" si="80"/>
        <v>0</v>
      </c>
      <c r="P134" s="111"/>
      <c r="Q134" s="32"/>
      <c r="R134" s="32"/>
    </row>
    <row r="135" spans="1:20" ht="15.6">
      <c r="A135" s="110" t="s">
        <v>366</v>
      </c>
      <c r="B135" s="111" t="s">
        <v>232</v>
      </c>
      <c r="C135" s="112" t="s">
        <v>228</v>
      </c>
      <c r="D135" s="113" t="s">
        <v>17</v>
      </c>
      <c r="E135" s="114" t="s">
        <v>15</v>
      </c>
      <c r="F135" s="115" t="s">
        <v>27</v>
      </c>
      <c r="G135" s="116">
        <v>6.17</v>
      </c>
      <c r="H135" s="125">
        <v>11</v>
      </c>
      <c r="I135" s="111">
        <f>8+21</f>
        <v>29</v>
      </c>
      <c r="J135" s="117">
        <f t="shared" si="77"/>
        <v>1.9682299999999999</v>
      </c>
      <c r="K135" s="118"/>
      <c r="L135" s="111">
        <f>17+12</f>
        <v>29</v>
      </c>
      <c r="M135" s="117">
        <f t="shared" si="78"/>
        <v>1.9682299999999999</v>
      </c>
      <c r="N135" s="119">
        <f t="shared" si="79"/>
        <v>0</v>
      </c>
      <c r="O135" s="120">
        <f t="shared" si="80"/>
        <v>0</v>
      </c>
      <c r="P135" s="111">
        <v>9.6999999999999993</v>
      </c>
      <c r="Q135" s="32">
        <v>12</v>
      </c>
      <c r="R135" s="32"/>
    </row>
    <row r="136" spans="1:20" ht="15.6">
      <c r="A136" s="110" t="s">
        <v>366</v>
      </c>
      <c r="B136" s="111" t="s">
        <v>232</v>
      </c>
      <c r="C136" s="112" t="s">
        <v>228</v>
      </c>
      <c r="D136" s="113" t="s">
        <v>17</v>
      </c>
      <c r="E136" s="114" t="s">
        <v>15</v>
      </c>
      <c r="F136" s="115" t="s">
        <v>27</v>
      </c>
      <c r="G136" s="116">
        <v>6.17</v>
      </c>
      <c r="H136" s="125">
        <v>11.5</v>
      </c>
      <c r="I136" s="111">
        <f>31+26+42+25</f>
        <v>124</v>
      </c>
      <c r="J136" s="117">
        <f t="shared" ref="J136:J142" si="81">H136*G136*I136/1000</f>
        <v>8.7984200000000001</v>
      </c>
      <c r="K136" s="118"/>
      <c r="L136" s="111">
        <v>124</v>
      </c>
      <c r="M136" s="117">
        <f t="shared" ref="M136:M142" si="82">H136*L136*G136/1000</f>
        <v>8.7984200000000001</v>
      </c>
      <c r="N136" s="119">
        <f t="shared" ref="N136:N142" si="83">I136-L136</f>
        <v>0</v>
      </c>
      <c r="O136" s="120">
        <f t="shared" ref="O136:O140" si="84">H136*N136*G136/1000</f>
        <v>0</v>
      </c>
      <c r="P136" s="111"/>
      <c r="Q136" s="32"/>
      <c r="R136" s="32"/>
    </row>
    <row r="137" spans="1:20" ht="15.6">
      <c r="A137" s="110" t="s">
        <v>366</v>
      </c>
      <c r="B137" s="111" t="s">
        <v>232</v>
      </c>
      <c r="C137" s="112" t="s">
        <v>228</v>
      </c>
      <c r="D137" s="113" t="s">
        <v>17</v>
      </c>
      <c r="E137" s="114" t="s">
        <v>15</v>
      </c>
      <c r="F137" s="115" t="s">
        <v>27</v>
      </c>
      <c r="G137" s="116">
        <v>6.17</v>
      </c>
      <c r="H137" s="125">
        <v>11.7</v>
      </c>
      <c r="I137" s="111">
        <f>36+12+11+36</f>
        <v>95</v>
      </c>
      <c r="J137" s="117">
        <f t="shared" si="81"/>
        <v>6.8579549999999987</v>
      </c>
      <c r="K137" s="118"/>
      <c r="L137" s="111">
        <f>93+2</f>
        <v>95</v>
      </c>
      <c r="M137" s="117">
        <f t="shared" si="82"/>
        <v>6.8579549999999996</v>
      </c>
      <c r="N137" s="119">
        <f t="shared" si="83"/>
        <v>0</v>
      </c>
      <c r="O137" s="120">
        <f t="shared" si="84"/>
        <v>0</v>
      </c>
      <c r="P137" s="111">
        <v>9.6999999999999993</v>
      </c>
      <c r="Q137" s="32">
        <v>2</v>
      </c>
      <c r="R137" s="32"/>
    </row>
    <row r="138" spans="1:20" ht="15.6">
      <c r="A138" s="110" t="s">
        <v>366</v>
      </c>
      <c r="B138" s="111" t="s">
        <v>232</v>
      </c>
      <c r="C138" s="112" t="s">
        <v>228</v>
      </c>
      <c r="D138" s="113" t="s">
        <v>17</v>
      </c>
      <c r="E138" s="114" t="s">
        <v>15</v>
      </c>
      <c r="F138" s="115" t="s">
        <v>27</v>
      </c>
      <c r="G138" s="116">
        <v>6.17</v>
      </c>
      <c r="H138" s="125">
        <v>11.8</v>
      </c>
      <c r="I138" s="111">
        <f>20+21</f>
        <v>41</v>
      </c>
      <c r="J138" s="117">
        <f t="shared" si="81"/>
        <v>2.9850459999999996</v>
      </c>
      <c r="K138" s="118"/>
      <c r="L138" s="111">
        <f>39+2</f>
        <v>41</v>
      </c>
      <c r="M138" s="117">
        <f t="shared" si="82"/>
        <v>2.9850459999999996</v>
      </c>
      <c r="N138" s="119">
        <f t="shared" si="83"/>
        <v>0</v>
      </c>
      <c r="O138" s="120">
        <f t="shared" si="84"/>
        <v>0</v>
      </c>
      <c r="P138" s="111">
        <v>9.6999999999999993</v>
      </c>
      <c r="Q138" s="32">
        <v>2</v>
      </c>
      <c r="R138" s="32"/>
    </row>
    <row r="139" spans="1:20" ht="15.6">
      <c r="A139" s="110" t="s">
        <v>366</v>
      </c>
      <c r="B139" s="111" t="s">
        <v>232</v>
      </c>
      <c r="C139" s="112" t="s">
        <v>228</v>
      </c>
      <c r="D139" s="113" t="s">
        <v>17</v>
      </c>
      <c r="E139" s="114" t="s">
        <v>15</v>
      </c>
      <c r="F139" s="115" t="s">
        <v>27</v>
      </c>
      <c r="G139" s="116">
        <v>6.17</v>
      </c>
      <c r="H139" s="125">
        <v>12</v>
      </c>
      <c r="I139" s="111">
        <f>37+39+16+40+40+19</f>
        <v>191</v>
      </c>
      <c r="J139" s="117">
        <f t="shared" si="81"/>
        <v>14.141639999999997</v>
      </c>
      <c r="K139" s="118"/>
      <c r="L139" s="111">
        <f>174+6+11</f>
        <v>191</v>
      </c>
      <c r="M139" s="117">
        <f t="shared" si="82"/>
        <v>14.141639999999999</v>
      </c>
      <c r="N139" s="119">
        <f t="shared" si="83"/>
        <v>0</v>
      </c>
      <c r="O139" s="120">
        <f t="shared" si="84"/>
        <v>0</v>
      </c>
      <c r="P139" s="111" t="s">
        <v>379</v>
      </c>
      <c r="Q139" s="32">
        <v>6</v>
      </c>
      <c r="R139" s="45">
        <v>12</v>
      </c>
      <c r="S139" s="354">
        <v>11</v>
      </c>
      <c r="T139" s="354" t="s">
        <v>437</v>
      </c>
    </row>
    <row r="140" spans="1:20" ht="15.6">
      <c r="A140" s="110" t="s">
        <v>366</v>
      </c>
      <c r="B140" s="111" t="s">
        <v>232</v>
      </c>
      <c r="C140" s="112" t="s">
        <v>228</v>
      </c>
      <c r="D140" s="113" t="s">
        <v>17</v>
      </c>
      <c r="E140" s="114" t="s">
        <v>15</v>
      </c>
      <c r="F140" s="115" t="s">
        <v>27</v>
      </c>
      <c r="G140" s="116">
        <v>6.17</v>
      </c>
      <c r="H140" s="125">
        <v>6.5</v>
      </c>
      <c r="I140" s="111">
        <v>2</v>
      </c>
      <c r="J140" s="117">
        <f t="shared" si="81"/>
        <v>8.020999999999999E-2</v>
      </c>
      <c r="K140" s="118"/>
      <c r="L140" s="111">
        <v>2</v>
      </c>
      <c r="M140" s="117">
        <f t="shared" si="82"/>
        <v>8.020999999999999E-2</v>
      </c>
      <c r="N140" s="119">
        <f t="shared" si="83"/>
        <v>0</v>
      </c>
      <c r="O140" s="120">
        <f t="shared" si="84"/>
        <v>0</v>
      </c>
      <c r="P140" s="111"/>
      <c r="Q140" s="45">
        <v>2</v>
      </c>
      <c r="R140" s="32" t="s">
        <v>664</v>
      </c>
    </row>
    <row r="141" spans="1:20" ht="15.6">
      <c r="A141" s="110" t="s">
        <v>366</v>
      </c>
      <c r="B141" s="111" t="s">
        <v>232</v>
      </c>
      <c r="C141" s="112" t="s">
        <v>228</v>
      </c>
      <c r="D141" s="113" t="s">
        <v>17</v>
      </c>
      <c r="E141" s="114" t="s">
        <v>15</v>
      </c>
      <c r="F141" s="115" t="s">
        <v>27</v>
      </c>
      <c r="G141" s="116">
        <v>6.17</v>
      </c>
      <c r="H141" s="125">
        <v>6.5</v>
      </c>
      <c r="I141" s="111">
        <v>1</v>
      </c>
      <c r="J141" s="117">
        <f t="shared" si="81"/>
        <v>4.0104999999999995E-2</v>
      </c>
      <c r="K141" s="118"/>
      <c r="L141" s="111">
        <v>1</v>
      </c>
      <c r="M141" s="117">
        <f t="shared" si="82"/>
        <v>4.0104999999999995E-2</v>
      </c>
      <c r="N141" s="119">
        <f t="shared" si="83"/>
        <v>0</v>
      </c>
      <c r="O141" s="120">
        <f>H141*N141*G141/1000</f>
        <v>0</v>
      </c>
      <c r="P141" s="111"/>
      <c r="Q141" s="45">
        <v>1</v>
      </c>
      <c r="R141" s="32" t="s">
        <v>664</v>
      </c>
    </row>
    <row r="142" spans="1:20" ht="15.6">
      <c r="A142" s="110" t="s">
        <v>366</v>
      </c>
      <c r="B142" s="111" t="s">
        <v>232</v>
      </c>
      <c r="C142" s="112" t="s">
        <v>228</v>
      </c>
      <c r="D142" s="113" t="s">
        <v>17</v>
      </c>
      <c r="E142" s="114" t="s">
        <v>15</v>
      </c>
      <c r="F142" s="115" t="s">
        <v>27</v>
      </c>
      <c r="G142" s="116">
        <v>6.17</v>
      </c>
      <c r="H142" s="125">
        <v>7.2</v>
      </c>
      <c r="I142" s="111">
        <v>2</v>
      </c>
      <c r="J142" s="117">
        <f t="shared" si="81"/>
        <v>8.8847999999999996E-2</v>
      </c>
      <c r="K142" s="118"/>
      <c r="L142" s="111">
        <v>2</v>
      </c>
      <c r="M142" s="117">
        <f t="shared" si="82"/>
        <v>8.8847999999999996E-2</v>
      </c>
      <c r="N142" s="119">
        <f t="shared" si="83"/>
        <v>0</v>
      </c>
      <c r="O142" s="120">
        <f>H142*N142*G142/1000</f>
        <v>0</v>
      </c>
      <c r="P142" s="111"/>
      <c r="Q142" s="45">
        <v>2</v>
      </c>
      <c r="R142" s="32" t="s">
        <v>664</v>
      </c>
    </row>
    <row r="143" spans="1:20">
      <c r="I143" s="215">
        <f>SUM(I128:I142)</f>
        <v>850</v>
      </c>
      <c r="J143" s="214">
        <f>SUM(J128:J142)</f>
        <v>57.215026999999978</v>
      </c>
      <c r="L143" s="215">
        <f>SUM(L128:L142)</f>
        <v>850</v>
      </c>
      <c r="M143" s="214">
        <f>SUM(M128:M142)</f>
        <v>57.215026999999985</v>
      </c>
      <c r="N143" s="78">
        <f>SUM(N128:N142)</f>
        <v>0</v>
      </c>
      <c r="O143" s="128">
        <f>SUM(O128:O142)</f>
        <v>0</v>
      </c>
    </row>
    <row r="146" spans="1:18" ht="15.6">
      <c r="A146" s="110" t="s">
        <v>377</v>
      </c>
      <c r="B146" s="111" t="s">
        <v>232</v>
      </c>
      <c r="C146" s="112" t="s">
        <v>228</v>
      </c>
      <c r="D146" s="113" t="s">
        <v>24</v>
      </c>
      <c r="E146" s="114" t="s">
        <v>14</v>
      </c>
      <c r="F146" s="115" t="s">
        <v>110</v>
      </c>
      <c r="G146" s="116">
        <v>8.49</v>
      </c>
      <c r="H146" s="125">
        <v>7.6</v>
      </c>
      <c r="I146" s="111">
        <v>8</v>
      </c>
      <c r="J146" s="117">
        <f t="shared" ref="J146:J149" si="85">H146*G146*I146/1000</f>
        <v>0.51619199999999998</v>
      </c>
      <c r="K146" s="118"/>
      <c r="L146" s="111">
        <v>8</v>
      </c>
      <c r="M146" s="117">
        <f t="shared" ref="M146:M149" si="86">H146*L146*G146/1000</f>
        <v>0.51619199999999998</v>
      </c>
      <c r="N146" s="119">
        <f t="shared" ref="N146:N149" si="87">I146-L146</f>
        <v>0</v>
      </c>
      <c r="O146" s="120">
        <f>H146*N146*G146/1000</f>
        <v>0</v>
      </c>
      <c r="P146" s="111"/>
      <c r="Q146" s="32"/>
      <c r="R146" s="32"/>
    </row>
    <row r="147" spans="1:18" ht="15.6">
      <c r="A147" s="110" t="s">
        <v>377</v>
      </c>
      <c r="B147" s="111" t="s">
        <v>232</v>
      </c>
      <c r="C147" s="112" t="s">
        <v>228</v>
      </c>
      <c r="D147" s="113" t="s">
        <v>24</v>
      </c>
      <c r="E147" s="114" t="s">
        <v>14</v>
      </c>
      <c r="F147" s="115" t="s">
        <v>110</v>
      </c>
      <c r="G147" s="116">
        <v>8.49</v>
      </c>
      <c r="H147" s="125">
        <v>12</v>
      </c>
      <c r="I147" s="111">
        <v>24</v>
      </c>
      <c r="J147" s="117">
        <f t="shared" si="85"/>
        <v>2.4451199999999997</v>
      </c>
      <c r="K147" s="118"/>
      <c r="L147" s="111"/>
      <c r="M147" s="117">
        <f t="shared" si="86"/>
        <v>0</v>
      </c>
      <c r="N147" s="119">
        <f t="shared" si="87"/>
        <v>24</v>
      </c>
      <c r="O147" s="120">
        <f>H147*N147*G147/1000</f>
        <v>2.4451199999999997</v>
      </c>
      <c r="P147" s="111"/>
      <c r="Q147" s="32"/>
      <c r="R147" s="32"/>
    </row>
    <row r="148" spans="1:18" ht="15.6">
      <c r="A148" s="110" t="s">
        <v>377</v>
      </c>
      <c r="B148" s="111" t="s">
        <v>232</v>
      </c>
      <c r="C148" s="112" t="s">
        <v>228</v>
      </c>
      <c r="D148" s="113" t="s">
        <v>24</v>
      </c>
      <c r="E148" s="114" t="s">
        <v>14</v>
      </c>
      <c r="F148" s="115" t="s">
        <v>110</v>
      </c>
      <c r="G148" s="116">
        <v>8.49</v>
      </c>
      <c r="H148" s="125">
        <v>7</v>
      </c>
      <c r="I148" s="111">
        <v>1</v>
      </c>
      <c r="J148" s="117">
        <f t="shared" si="85"/>
        <v>5.9429999999999997E-2</v>
      </c>
      <c r="K148" s="118"/>
      <c r="L148" s="111"/>
      <c r="M148" s="117">
        <f t="shared" si="86"/>
        <v>0</v>
      </c>
      <c r="N148" s="119">
        <f t="shared" si="87"/>
        <v>1</v>
      </c>
      <c r="O148" s="120">
        <f>H148*N148*G148/1000</f>
        <v>5.9429999999999997E-2</v>
      </c>
      <c r="P148" s="111"/>
      <c r="Q148" s="32"/>
      <c r="R148" s="32"/>
    </row>
    <row r="149" spans="1:18" ht="15.6">
      <c r="A149" s="110" t="s">
        <v>377</v>
      </c>
      <c r="B149" s="111" t="s">
        <v>232</v>
      </c>
      <c r="C149" s="112" t="s">
        <v>228</v>
      </c>
      <c r="D149" s="113" t="s">
        <v>24</v>
      </c>
      <c r="E149" s="114" t="s">
        <v>14</v>
      </c>
      <c r="F149" s="115" t="s">
        <v>110</v>
      </c>
      <c r="G149" s="116">
        <v>8.49</v>
      </c>
      <c r="H149" s="125">
        <v>11</v>
      </c>
      <c r="I149" s="111">
        <v>1</v>
      </c>
      <c r="J149" s="117">
        <f t="shared" si="85"/>
        <v>9.3390000000000001E-2</v>
      </c>
      <c r="K149" s="118"/>
      <c r="L149" s="111"/>
      <c r="M149" s="117">
        <f t="shared" si="86"/>
        <v>0</v>
      </c>
      <c r="N149" s="119">
        <f t="shared" si="87"/>
        <v>1</v>
      </c>
      <c r="O149" s="120">
        <f>H149*N149*G149/1000</f>
        <v>9.3390000000000001E-2</v>
      </c>
      <c r="P149" s="111"/>
      <c r="Q149" s="32"/>
      <c r="R149" s="32"/>
    </row>
    <row r="150" spans="1:18" ht="15.6">
      <c r="A150" s="110" t="s">
        <v>377</v>
      </c>
      <c r="B150" s="111" t="s">
        <v>232</v>
      </c>
      <c r="C150" s="112" t="s">
        <v>228</v>
      </c>
      <c r="D150" s="113" t="s">
        <v>24</v>
      </c>
      <c r="E150" s="114" t="s">
        <v>14</v>
      </c>
      <c r="F150" s="115" t="s">
        <v>110</v>
      </c>
      <c r="G150" s="116">
        <v>8.49</v>
      </c>
      <c r="H150" s="125">
        <v>11.7</v>
      </c>
      <c r="I150" s="111">
        <v>1</v>
      </c>
      <c r="J150" s="117">
        <f t="shared" ref="J150" si="88">H150*G150*I150/1000</f>
        <v>9.9333000000000005E-2</v>
      </c>
      <c r="K150" s="118"/>
      <c r="L150" s="111"/>
      <c r="M150" s="117">
        <f t="shared" ref="M150" si="89">H150*L150*G150/1000</f>
        <v>0</v>
      </c>
      <c r="N150" s="119">
        <f t="shared" ref="N150" si="90">I150-L150</f>
        <v>1</v>
      </c>
      <c r="O150" s="120">
        <f>H150*N150*G150/1000</f>
        <v>9.9333000000000005E-2</v>
      </c>
      <c r="P150" s="111"/>
      <c r="Q150" s="32"/>
      <c r="R150" s="32"/>
    </row>
    <row r="151" spans="1:18">
      <c r="A151" s="32"/>
      <c r="B151" s="32"/>
      <c r="C151" s="32"/>
      <c r="D151" s="32"/>
      <c r="E151" s="32"/>
      <c r="F151" s="32"/>
      <c r="G151" s="32"/>
      <c r="H151" s="32"/>
      <c r="I151" s="129">
        <f>SUM(I146:I150)</f>
        <v>35</v>
      </c>
      <c r="J151" s="124">
        <f>SUM(J146:J150)</f>
        <v>3.2134649999999993</v>
      </c>
      <c r="K151" s="32"/>
      <c r="L151" s="129">
        <f>SUM(L146:L150)</f>
        <v>8</v>
      </c>
      <c r="M151" s="124">
        <f>SUM(M146:M150)</f>
        <v>0.51619199999999998</v>
      </c>
      <c r="N151" s="129">
        <f>SUM(N146:N150)</f>
        <v>27</v>
      </c>
      <c r="O151" s="124">
        <f>SUM(O146:O150)</f>
        <v>2.6972729999999996</v>
      </c>
      <c r="P151" s="32"/>
      <c r="Q151" s="32"/>
      <c r="R151" s="32"/>
    </row>
    <row r="153" spans="1:18" ht="15.6">
      <c r="A153" s="110" t="s">
        <v>366</v>
      </c>
      <c r="B153" s="111" t="s">
        <v>232</v>
      </c>
      <c r="C153" s="112" t="s">
        <v>228</v>
      </c>
      <c r="D153" s="113" t="s">
        <v>17</v>
      </c>
      <c r="E153" s="114" t="s">
        <v>15</v>
      </c>
      <c r="F153" s="115" t="s">
        <v>25</v>
      </c>
      <c r="G153" s="116">
        <v>7.36</v>
      </c>
      <c r="H153" s="125">
        <v>8</v>
      </c>
      <c r="I153" s="111">
        <f>5+2</f>
        <v>7</v>
      </c>
      <c r="J153" s="117">
        <f t="shared" ref="J153" si="91">H153*G153*I153/1000</f>
        <v>0.41216000000000003</v>
      </c>
      <c r="K153" s="118"/>
      <c r="L153" s="111">
        <v>7</v>
      </c>
      <c r="M153" s="117">
        <f t="shared" ref="M153" si="92">H153*L153*G153/1000</f>
        <v>0.41216000000000003</v>
      </c>
      <c r="N153" s="119">
        <f t="shared" ref="N153" si="93">I153-L153</f>
        <v>0</v>
      </c>
      <c r="O153" s="120">
        <f t="shared" ref="O153" si="94">H153*N153*G153/1000</f>
        <v>0</v>
      </c>
      <c r="P153" s="111"/>
      <c r="Q153" s="32"/>
      <c r="R153" s="32"/>
    </row>
    <row r="154" spans="1:18" ht="15.6">
      <c r="A154" s="110" t="s">
        <v>366</v>
      </c>
      <c r="B154" s="111" t="s">
        <v>232</v>
      </c>
      <c r="C154" s="112" t="s">
        <v>228</v>
      </c>
      <c r="D154" s="113" t="s">
        <v>17</v>
      </c>
      <c r="E154" s="114" t="s">
        <v>15</v>
      </c>
      <c r="F154" s="115" t="s">
        <v>25</v>
      </c>
      <c r="G154" s="116">
        <v>7.36</v>
      </c>
      <c r="H154" s="125">
        <v>7</v>
      </c>
      <c r="I154" s="111">
        <v>1</v>
      </c>
      <c r="J154" s="117">
        <f t="shared" ref="J154:J160" si="95">H154*G154*I154/1000</f>
        <v>5.1520000000000003E-2</v>
      </c>
      <c r="K154" s="118"/>
      <c r="L154" s="111"/>
      <c r="M154" s="117">
        <f t="shared" ref="M154:M163" si="96">H154*L154*G154/1000</f>
        <v>0</v>
      </c>
      <c r="N154" s="119">
        <f t="shared" ref="N154:N158" si="97">I154-L154</f>
        <v>1</v>
      </c>
      <c r="O154" s="120">
        <f t="shared" ref="O154:O160" si="98">H154*N154*G154/1000</f>
        <v>5.1520000000000003E-2</v>
      </c>
      <c r="P154" s="111"/>
      <c r="Q154" s="32"/>
      <c r="R154" s="32"/>
    </row>
    <row r="155" spans="1:18" ht="15.6">
      <c r="A155" s="110" t="s">
        <v>366</v>
      </c>
      <c r="B155" s="111" t="s">
        <v>232</v>
      </c>
      <c r="C155" s="112" t="s">
        <v>228</v>
      </c>
      <c r="D155" s="113" t="s">
        <v>17</v>
      </c>
      <c r="E155" s="114" t="s">
        <v>15</v>
      </c>
      <c r="F155" s="115" t="s">
        <v>25</v>
      </c>
      <c r="G155" s="116">
        <v>7.36</v>
      </c>
      <c r="H155" s="125">
        <v>7.5</v>
      </c>
      <c r="I155" s="111">
        <v>1</v>
      </c>
      <c r="J155" s="117">
        <f t="shared" si="95"/>
        <v>5.5200000000000006E-2</v>
      </c>
      <c r="K155" s="118"/>
      <c r="L155" s="111">
        <v>1</v>
      </c>
      <c r="M155" s="117">
        <f t="shared" si="96"/>
        <v>5.5200000000000006E-2</v>
      </c>
      <c r="N155" s="119">
        <f t="shared" si="97"/>
        <v>0</v>
      </c>
      <c r="O155" s="120">
        <f t="shared" si="98"/>
        <v>0</v>
      </c>
      <c r="P155" s="111"/>
      <c r="Q155" s="32"/>
      <c r="R155" s="32"/>
    </row>
    <row r="156" spans="1:18" ht="15.6">
      <c r="A156" s="110" t="s">
        <v>366</v>
      </c>
      <c r="B156" s="111" t="s">
        <v>232</v>
      </c>
      <c r="C156" s="112" t="s">
        <v>228</v>
      </c>
      <c r="D156" s="113" t="s">
        <v>17</v>
      </c>
      <c r="E156" s="114" t="s">
        <v>15</v>
      </c>
      <c r="F156" s="115" t="s">
        <v>25</v>
      </c>
      <c r="G156" s="116">
        <v>7.36</v>
      </c>
      <c r="H156" s="125">
        <v>9.25</v>
      </c>
      <c r="I156" s="111">
        <f>10+7</f>
        <v>17</v>
      </c>
      <c r="J156" s="117">
        <f t="shared" si="95"/>
        <v>1.1573599999999999</v>
      </c>
      <c r="K156" s="118"/>
      <c r="L156" s="111">
        <v>17</v>
      </c>
      <c r="M156" s="117">
        <f t="shared" si="96"/>
        <v>1.1573600000000002</v>
      </c>
      <c r="N156" s="119">
        <f t="shared" si="97"/>
        <v>0</v>
      </c>
      <c r="O156" s="120">
        <f t="shared" si="98"/>
        <v>0</v>
      </c>
      <c r="P156" s="111"/>
      <c r="Q156" s="32"/>
      <c r="R156" s="32"/>
    </row>
    <row r="157" spans="1:18" ht="15.6">
      <c r="A157" s="110" t="s">
        <v>366</v>
      </c>
      <c r="B157" s="111" t="s">
        <v>232</v>
      </c>
      <c r="C157" s="112" t="s">
        <v>228</v>
      </c>
      <c r="D157" s="113" t="s">
        <v>17</v>
      </c>
      <c r="E157" s="114" t="s">
        <v>15</v>
      </c>
      <c r="F157" s="115" t="s">
        <v>25</v>
      </c>
      <c r="G157" s="116">
        <v>7.36</v>
      </c>
      <c r="H157" s="125">
        <v>10</v>
      </c>
      <c r="I157" s="111">
        <f>32+39</f>
        <v>71</v>
      </c>
      <c r="J157" s="117">
        <f t="shared" si="95"/>
        <v>5.2256</v>
      </c>
      <c r="K157" s="118"/>
      <c r="L157" s="111">
        <v>71</v>
      </c>
      <c r="M157" s="117">
        <f t="shared" si="96"/>
        <v>5.2256</v>
      </c>
      <c r="N157" s="119">
        <f t="shared" si="97"/>
        <v>0</v>
      </c>
      <c r="O157" s="120">
        <f t="shared" si="98"/>
        <v>0</v>
      </c>
      <c r="P157" s="111"/>
      <c r="Q157" s="32"/>
      <c r="R157" s="32"/>
    </row>
    <row r="158" spans="1:18" ht="15.6">
      <c r="A158" s="110" t="s">
        <v>366</v>
      </c>
      <c r="B158" s="111" t="s">
        <v>232</v>
      </c>
      <c r="C158" s="112" t="s">
        <v>228</v>
      </c>
      <c r="D158" s="113" t="s">
        <v>17</v>
      </c>
      <c r="E158" s="114" t="s">
        <v>15</v>
      </c>
      <c r="F158" s="115" t="s">
        <v>25</v>
      </c>
      <c r="G158" s="116">
        <v>7.36</v>
      </c>
      <c r="H158" s="125">
        <v>10.5</v>
      </c>
      <c r="I158" s="111">
        <f>32+32+16+39+39+15</f>
        <v>173</v>
      </c>
      <c r="J158" s="117">
        <f t="shared" si="95"/>
        <v>13.369440000000001</v>
      </c>
      <c r="K158" s="118"/>
      <c r="L158" s="111">
        <v>173</v>
      </c>
      <c r="M158" s="117">
        <f t="shared" si="96"/>
        <v>13.369440000000001</v>
      </c>
      <c r="N158" s="119">
        <f t="shared" si="97"/>
        <v>0</v>
      </c>
      <c r="O158" s="120">
        <f t="shared" si="98"/>
        <v>0</v>
      </c>
      <c r="P158" s="111"/>
      <c r="Q158" s="32"/>
      <c r="R158" s="32"/>
    </row>
    <row r="159" spans="1:18" ht="15.6">
      <c r="A159" s="110" t="s">
        <v>366</v>
      </c>
      <c r="B159" s="111" t="s">
        <v>232</v>
      </c>
      <c r="C159" s="112" t="s">
        <v>228</v>
      </c>
      <c r="D159" s="113" t="s">
        <v>17</v>
      </c>
      <c r="E159" s="114" t="s">
        <v>15</v>
      </c>
      <c r="F159" s="115" t="s">
        <v>25</v>
      </c>
      <c r="G159" s="116">
        <v>7.36</v>
      </c>
      <c r="H159" s="125">
        <v>11</v>
      </c>
      <c r="I159" s="111">
        <f>32+27+39+15</f>
        <v>113</v>
      </c>
      <c r="J159" s="117">
        <f t="shared" si="95"/>
        <v>9.1484800000000011</v>
      </c>
      <c r="K159" s="118"/>
      <c r="L159" s="111">
        <f>93+20</f>
        <v>113</v>
      </c>
      <c r="M159" s="117">
        <f t="shared" si="96"/>
        <v>9.1484799999999993</v>
      </c>
      <c r="N159" s="119">
        <f t="shared" ref="N159:N164" si="99">I159-L159</f>
        <v>0</v>
      </c>
      <c r="O159" s="120">
        <f t="shared" si="98"/>
        <v>0</v>
      </c>
      <c r="P159" s="111" t="s">
        <v>380</v>
      </c>
      <c r="Q159" s="32">
        <v>20</v>
      </c>
      <c r="R159" s="32"/>
    </row>
    <row r="160" spans="1:18" ht="15.6">
      <c r="A160" s="110" t="s">
        <v>366</v>
      </c>
      <c r="B160" s="111" t="s">
        <v>232</v>
      </c>
      <c r="C160" s="112" t="s">
        <v>228</v>
      </c>
      <c r="D160" s="113" t="s">
        <v>17</v>
      </c>
      <c r="E160" s="114" t="s">
        <v>15</v>
      </c>
      <c r="F160" s="115" t="s">
        <v>25</v>
      </c>
      <c r="G160" s="116">
        <v>7.36</v>
      </c>
      <c r="H160" s="125">
        <v>11.5</v>
      </c>
      <c r="I160" s="111">
        <f>21+18</f>
        <v>39</v>
      </c>
      <c r="J160" s="117">
        <f t="shared" si="95"/>
        <v>3.3009599999999999</v>
      </c>
      <c r="K160" s="118"/>
      <c r="L160" s="111">
        <f>29+10</f>
        <v>39</v>
      </c>
      <c r="M160" s="117">
        <f t="shared" si="96"/>
        <v>3.3009599999999999</v>
      </c>
      <c r="N160" s="119">
        <f t="shared" si="99"/>
        <v>0</v>
      </c>
      <c r="O160" s="120">
        <f t="shared" si="98"/>
        <v>0</v>
      </c>
      <c r="P160" s="111">
        <v>10</v>
      </c>
      <c r="Q160" s="32">
        <v>10</v>
      </c>
      <c r="R160" s="32"/>
    </row>
    <row r="161" spans="1:20" ht="15.6">
      <c r="A161" s="110" t="s">
        <v>366</v>
      </c>
      <c r="B161" s="111" t="s">
        <v>232</v>
      </c>
      <c r="C161" s="112" t="s">
        <v>228</v>
      </c>
      <c r="D161" s="113" t="s">
        <v>17</v>
      </c>
      <c r="E161" s="114" t="s">
        <v>15</v>
      </c>
      <c r="F161" s="115" t="s">
        <v>25</v>
      </c>
      <c r="G161" s="116">
        <v>7.36</v>
      </c>
      <c r="H161" s="125">
        <v>12</v>
      </c>
      <c r="I161" s="111">
        <f>32+36+21+20</f>
        <v>109</v>
      </c>
      <c r="J161" s="117">
        <f>H161*G161*I161/1000</f>
        <v>9.6268800000000017</v>
      </c>
      <c r="K161" s="118"/>
      <c r="L161" s="111">
        <f>98+11</f>
        <v>109</v>
      </c>
      <c r="M161" s="117">
        <f t="shared" si="96"/>
        <v>9.6268800000000017</v>
      </c>
      <c r="N161" s="119">
        <f t="shared" si="99"/>
        <v>0</v>
      </c>
      <c r="O161" s="120">
        <f>H161*N161*G161/1000</f>
        <v>0</v>
      </c>
      <c r="P161" s="111">
        <v>10.5</v>
      </c>
      <c r="Q161" s="32">
        <v>11</v>
      </c>
      <c r="R161" s="32"/>
    </row>
    <row r="162" spans="1:20" ht="15.6">
      <c r="A162" s="110" t="s">
        <v>366</v>
      </c>
      <c r="B162" s="111" t="s">
        <v>232</v>
      </c>
      <c r="C162" s="112" t="s">
        <v>228</v>
      </c>
      <c r="D162" s="113" t="s">
        <v>17</v>
      </c>
      <c r="E162" s="114" t="s">
        <v>15</v>
      </c>
      <c r="F162" s="115" t="s">
        <v>25</v>
      </c>
      <c r="G162" s="116">
        <v>7.36</v>
      </c>
      <c r="H162" s="125">
        <v>6.3</v>
      </c>
      <c r="I162" s="111">
        <f>8+10</f>
        <v>18</v>
      </c>
      <c r="J162" s="117">
        <f>H162*G162*I162/1000</f>
        <v>0.83462400000000003</v>
      </c>
      <c r="K162" s="118"/>
      <c r="L162" s="111">
        <v>12</v>
      </c>
      <c r="M162" s="117">
        <f t="shared" si="96"/>
        <v>0.55641599999999991</v>
      </c>
      <c r="N162" s="119">
        <f t="shared" si="99"/>
        <v>6</v>
      </c>
      <c r="O162" s="120">
        <f>H162*N162*G162/1000</f>
        <v>0.27820799999999996</v>
      </c>
      <c r="P162" s="111"/>
      <c r="Q162" s="32"/>
      <c r="R162" s="32"/>
    </row>
    <row r="163" spans="1:20" ht="15.6">
      <c r="A163" s="110" t="s">
        <v>366</v>
      </c>
      <c r="B163" s="111" t="s">
        <v>232</v>
      </c>
      <c r="C163" s="112" t="s">
        <v>228</v>
      </c>
      <c r="D163" s="113" t="s">
        <v>17</v>
      </c>
      <c r="E163" s="114" t="s">
        <v>15</v>
      </c>
      <c r="F163" s="115" t="s">
        <v>25</v>
      </c>
      <c r="G163" s="116">
        <v>7.36</v>
      </c>
      <c r="H163" s="125">
        <v>7.5</v>
      </c>
      <c r="I163" s="111">
        <v>6</v>
      </c>
      <c r="J163" s="117">
        <f>H163*G163*I163/1000</f>
        <v>0.33120000000000005</v>
      </c>
      <c r="K163" s="118"/>
      <c r="L163" s="111">
        <f>5+1</f>
        <v>6</v>
      </c>
      <c r="M163" s="117">
        <f t="shared" si="96"/>
        <v>0.33119999999999999</v>
      </c>
      <c r="N163" s="119">
        <f t="shared" si="99"/>
        <v>0</v>
      </c>
      <c r="O163" s="120">
        <f>H163*N163*G163/1000</f>
        <v>0</v>
      </c>
      <c r="P163" s="111"/>
      <c r="Q163" s="32"/>
      <c r="R163" s="32"/>
    </row>
    <row r="164" spans="1:20" ht="15.6">
      <c r="A164" s="110" t="s">
        <v>366</v>
      </c>
      <c r="B164" s="111" t="s">
        <v>232</v>
      </c>
      <c r="C164" s="112" t="s">
        <v>228</v>
      </c>
      <c r="D164" s="113" t="s">
        <v>17</v>
      </c>
      <c r="E164" s="114" t="s">
        <v>15</v>
      </c>
      <c r="F164" s="115" t="s">
        <v>25</v>
      </c>
      <c r="G164" s="116">
        <v>7.36</v>
      </c>
      <c r="H164" s="125">
        <v>10</v>
      </c>
      <c r="I164" s="111">
        <v>12</v>
      </c>
      <c r="J164" s="117">
        <f>H164*G164*I164/1000</f>
        <v>0.8832000000000001</v>
      </c>
      <c r="K164" s="118"/>
      <c r="L164" s="111">
        <f>8+2+2</f>
        <v>12</v>
      </c>
      <c r="M164" s="117">
        <f>H164*L164*G164/1000</f>
        <v>0.8832000000000001</v>
      </c>
      <c r="N164" s="119">
        <f t="shared" si="99"/>
        <v>0</v>
      </c>
      <c r="O164" s="120">
        <f>H164*N164*G164/1000</f>
        <v>0</v>
      </c>
      <c r="P164" s="111"/>
      <c r="Q164" s="32"/>
      <c r="R164" s="32"/>
    </row>
    <row r="165" spans="1:20">
      <c r="I165" s="215">
        <f>SUM(I153:I164)</f>
        <v>567</v>
      </c>
      <c r="J165" s="214">
        <f>SUM(J153:J164)</f>
        <v>44.396624000000003</v>
      </c>
      <c r="L165" s="215">
        <f>SUM(L153:L164)</f>
        <v>560</v>
      </c>
      <c r="M165" s="214">
        <f>SUM(M153:M164)</f>
        <v>44.066896000000007</v>
      </c>
      <c r="N165" s="78">
        <f>SUM(N153:N164)</f>
        <v>7</v>
      </c>
      <c r="O165" s="214">
        <f>SUM(O153:O164)</f>
        <v>0.32972799999999997</v>
      </c>
    </row>
    <row r="167" spans="1:20" ht="15.6">
      <c r="A167" s="110" t="s">
        <v>377</v>
      </c>
      <c r="B167" s="111" t="s">
        <v>232</v>
      </c>
      <c r="C167" s="112" t="s">
        <v>228</v>
      </c>
      <c r="D167" s="113" t="s">
        <v>24</v>
      </c>
      <c r="E167" s="114" t="s">
        <v>14</v>
      </c>
      <c r="F167" s="115" t="s">
        <v>27</v>
      </c>
      <c r="G167" s="116">
        <v>6.17</v>
      </c>
      <c r="H167" s="125">
        <v>7</v>
      </c>
      <c r="I167" s="111">
        <v>2</v>
      </c>
      <c r="J167" s="117">
        <f t="shared" ref="J167:J168" si="100">H167*G167*I167/1000</f>
        <v>8.6379999999999998E-2</v>
      </c>
      <c r="K167" s="118"/>
      <c r="L167" s="111">
        <v>2</v>
      </c>
      <c r="M167" s="117">
        <f t="shared" ref="M167:M168" si="101">H167*L167*G167/1000</f>
        <v>8.6379999999999998E-2</v>
      </c>
      <c r="N167" s="119">
        <f t="shared" ref="N167:N168" si="102">I167-L167</f>
        <v>0</v>
      </c>
      <c r="O167" s="120">
        <f>H167*N167*G167/1000</f>
        <v>0</v>
      </c>
      <c r="P167" s="111"/>
      <c r="Q167" s="32"/>
      <c r="R167" s="32"/>
    </row>
    <row r="168" spans="1:20" ht="15.6">
      <c r="A168" s="110" t="s">
        <v>377</v>
      </c>
      <c r="B168" s="111" t="s">
        <v>232</v>
      </c>
      <c r="C168" s="112" t="s">
        <v>228</v>
      </c>
      <c r="D168" s="113" t="s">
        <v>24</v>
      </c>
      <c r="E168" s="114" t="s">
        <v>14</v>
      </c>
      <c r="F168" s="115" t="s">
        <v>27</v>
      </c>
      <c r="G168" s="116">
        <v>6.17</v>
      </c>
      <c r="H168" s="125">
        <v>10.25</v>
      </c>
      <c r="I168" s="111">
        <v>2</v>
      </c>
      <c r="J168" s="117">
        <f t="shared" si="100"/>
        <v>0.12648499999999999</v>
      </c>
      <c r="K168" s="118"/>
      <c r="L168" s="111">
        <v>2</v>
      </c>
      <c r="M168" s="117">
        <f t="shared" si="101"/>
        <v>0.12648499999999999</v>
      </c>
      <c r="N168" s="119">
        <f t="shared" si="102"/>
        <v>0</v>
      </c>
      <c r="O168" s="120">
        <f>H168*N168*G168/1000</f>
        <v>0</v>
      </c>
      <c r="P168" s="111"/>
      <c r="Q168" s="32"/>
      <c r="R168" s="32"/>
    </row>
    <row r="169" spans="1:20" ht="15.6">
      <c r="A169" s="110" t="s">
        <v>377</v>
      </c>
      <c r="B169" s="111" t="s">
        <v>232</v>
      </c>
      <c r="C169" s="112" t="s">
        <v>228</v>
      </c>
      <c r="D169" s="113" t="s">
        <v>24</v>
      </c>
      <c r="E169" s="114" t="s">
        <v>14</v>
      </c>
      <c r="F169" s="115" t="s">
        <v>27</v>
      </c>
      <c r="G169" s="116">
        <v>6.17</v>
      </c>
      <c r="H169" s="125">
        <v>10.5</v>
      </c>
      <c r="I169" s="111">
        <v>4</v>
      </c>
      <c r="J169" s="117">
        <f t="shared" ref="J169:J176" si="103">H169*G169*I169/1000</f>
        <v>0.25913999999999998</v>
      </c>
      <c r="K169" s="118"/>
      <c r="L169" s="111">
        <v>4</v>
      </c>
      <c r="M169" s="117">
        <f t="shared" ref="M169:M175" si="104">H169*L169*G169/1000</f>
        <v>0.25913999999999998</v>
      </c>
      <c r="N169" s="119">
        <f t="shared" ref="N169:N176" si="105">I169-L169</f>
        <v>0</v>
      </c>
      <c r="O169" s="120">
        <f t="shared" ref="O169:O174" si="106">H169*N169*G169/1000</f>
        <v>0</v>
      </c>
      <c r="P169" s="111"/>
      <c r="Q169" s="32"/>
      <c r="R169" s="32"/>
    </row>
    <row r="170" spans="1:20" ht="15.6">
      <c r="A170" s="110" t="s">
        <v>377</v>
      </c>
      <c r="B170" s="111" t="s">
        <v>232</v>
      </c>
      <c r="C170" s="112" t="s">
        <v>228</v>
      </c>
      <c r="D170" s="113" t="s">
        <v>24</v>
      </c>
      <c r="E170" s="114" t="s">
        <v>14</v>
      </c>
      <c r="F170" s="115" t="s">
        <v>27</v>
      </c>
      <c r="G170" s="116">
        <v>6.17</v>
      </c>
      <c r="H170" s="125">
        <v>12</v>
      </c>
      <c r="I170" s="111">
        <v>24</v>
      </c>
      <c r="J170" s="117">
        <f t="shared" si="103"/>
        <v>1.7769599999999999</v>
      </c>
      <c r="K170" s="118"/>
      <c r="L170" s="111">
        <v>24</v>
      </c>
      <c r="M170" s="117">
        <f t="shared" si="104"/>
        <v>1.7769600000000001</v>
      </c>
      <c r="N170" s="119">
        <f t="shared" si="105"/>
        <v>0</v>
      </c>
      <c r="O170" s="120">
        <f t="shared" si="106"/>
        <v>0</v>
      </c>
      <c r="P170" s="111"/>
      <c r="Q170" s="32"/>
      <c r="R170" s="45">
        <v>12</v>
      </c>
      <c r="S170" s="354">
        <v>24</v>
      </c>
      <c r="T170" s="354" t="s">
        <v>438</v>
      </c>
    </row>
    <row r="171" spans="1:20" ht="15.6">
      <c r="A171" s="110" t="s">
        <v>377</v>
      </c>
      <c r="B171" s="111" t="s">
        <v>232</v>
      </c>
      <c r="C171" s="112" t="s">
        <v>228</v>
      </c>
      <c r="D171" s="113" t="s">
        <v>24</v>
      </c>
      <c r="E171" s="114" t="s">
        <v>14</v>
      </c>
      <c r="F171" s="115" t="s">
        <v>27</v>
      </c>
      <c r="G171" s="116">
        <v>6.17</v>
      </c>
      <c r="H171" s="125">
        <v>9.5</v>
      </c>
      <c r="I171" s="111">
        <v>1</v>
      </c>
      <c r="J171" s="117">
        <f t="shared" si="103"/>
        <v>5.8615E-2</v>
      </c>
      <c r="K171" s="118"/>
      <c r="L171" s="111"/>
      <c r="M171" s="117">
        <f t="shared" si="104"/>
        <v>0</v>
      </c>
      <c r="N171" s="119">
        <f t="shared" si="105"/>
        <v>1</v>
      </c>
      <c r="O171" s="120">
        <f t="shared" si="106"/>
        <v>5.8615E-2</v>
      </c>
      <c r="P171" s="111"/>
      <c r="Q171" s="32"/>
      <c r="R171" s="32"/>
    </row>
    <row r="172" spans="1:20" ht="15.6">
      <c r="A172" s="110" t="s">
        <v>377</v>
      </c>
      <c r="B172" s="111" t="s">
        <v>232</v>
      </c>
      <c r="C172" s="112" t="s">
        <v>228</v>
      </c>
      <c r="D172" s="113" t="s">
        <v>24</v>
      </c>
      <c r="E172" s="114" t="s">
        <v>14</v>
      </c>
      <c r="F172" s="115" t="s">
        <v>27</v>
      </c>
      <c r="G172" s="116">
        <v>6.17</v>
      </c>
      <c r="H172" s="125">
        <v>7</v>
      </c>
      <c r="I172" s="111">
        <v>2</v>
      </c>
      <c r="J172" s="117">
        <f t="shared" si="103"/>
        <v>8.6379999999999998E-2</v>
      </c>
      <c r="K172" s="118"/>
      <c r="L172" s="111">
        <v>2</v>
      </c>
      <c r="M172" s="117">
        <f t="shared" si="104"/>
        <v>8.6379999999999998E-2</v>
      </c>
      <c r="N172" s="119">
        <f t="shared" si="105"/>
        <v>0</v>
      </c>
      <c r="O172" s="120">
        <f t="shared" si="106"/>
        <v>0</v>
      </c>
      <c r="P172" s="111"/>
      <c r="Q172" s="32"/>
      <c r="R172" s="32"/>
    </row>
    <row r="173" spans="1:20" ht="15.6">
      <c r="A173" s="110" t="s">
        <v>377</v>
      </c>
      <c r="B173" s="111" t="s">
        <v>232</v>
      </c>
      <c r="C173" s="112" t="s">
        <v>228</v>
      </c>
      <c r="D173" s="113" t="s">
        <v>24</v>
      </c>
      <c r="E173" s="114" t="s">
        <v>14</v>
      </c>
      <c r="F173" s="115" t="s">
        <v>27</v>
      </c>
      <c r="G173" s="116">
        <v>6.17</v>
      </c>
      <c r="H173" s="125">
        <v>10.25</v>
      </c>
      <c r="I173" s="111">
        <v>6</v>
      </c>
      <c r="J173" s="117">
        <f t="shared" si="103"/>
        <v>0.37945499999999999</v>
      </c>
      <c r="K173" s="118"/>
      <c r="L173" s="111">
        <v>6</v>
      </c>
      <c r="M173" s="117">
        <f t="shared" si="104"/>
        <v>0.37945499999999999</v>
      </c>
      <c r="N173" s="119">
        <f t="shared" si="105"/>
        <v>0</v>
      </c>
      <c r="O173" s="120">
        <f t="shared" si="106"/>
        <v>0</v>
      </c>
      <c r="P173" s="111"/>
      <c r="Q173" s="32"/>
      <c r="R173" s="32"/>
    </row>
    <row r="174" spans="1:20" ht="15.6">
      <c r="A174" s="110" t="s">
        <v>377</v>
      </c>
      <c r="B174" s="111" t="s">
        <v>232</v>
      </c>
      <c r="C174" s="112" t="s">
        <v>228</v>
      </c>
      <c r="D174" s="113" t="s">
        <v>24</v>
      </c>
      <c r="E174" s="114" t="s">
        <v>14</v>
      </c>
      <c r="F174" s="115" t="s">
        <v>27</v>
      </c>
      <c r="G174" s="116">
        <v>6.17</v>
      </c>
      <c r="H174" s="125">
        <v>10.5</v>
      </c>
      <c r="I174" s="111">
        <v>1</v>
      </c>
      <c r="J174" s="117">
        <f t="shared" si="103"/>
        <v>6.4784999999999995E-2</v>
      </c>
      <c r="K174" s="118"/>
      <c r="L174" s="111">
        <v>1</v>
      </c>
      <c r="M174" s="117">
        <f t="shared" si="104"/>
        <v>6.4784999999999995E-2</v>
      </c>
      <c r="N174" s="119">
        <f t="shared" si="105"/>
        <v>0</v>
      </c>
      <c r="O174" s="120">
        <f t="shared" si="106"/>
        <v>0</v>
      </c>
      <c r="P174" s="111">
        <v>10.25</v>
      </c>
      <c r="Q174" s="32">
        <v>1</v>
      </c>
      <c r="R174" s="32"/>
    </row>
    <row r="175" spans="1:20" ht="15.6">
      <c r="A175" s="110" t="s">
        <v>377</v>
      </c>
      <c r="B175" s="111" t="s">
        <v>232</v>
      </c>
      <c r="C175" s="112" t="s">
        <v>228</v>
      </c>
      <c r="D175" s="113" t="s">
        <v>24</v>
      </c>
      <c r="E175" s="114" t="s">
        <v>14</v>
      </c>
      <c r="F175" s="115" t="s">
        <v>27</v>
      </c>
      <c r="G175" s="116">
        <v>6.17</v>
      </c>
      <c r="H175" s="125">
        <v>12</v>
      </c>
      <c r="I175" s="111">
        <v>7</v>
      </c>
      <c r="J175" s="117">
        <f t="shared" si="103"/>
        <v>0.51827999999999996</v>
      </c>
      <c r="K175" s="118"/>
      <c r="L175" s="111">
        <f>1+6</f>
        <v>7</v>
      </c>
      <c r="M175" s="117">
        <f t="shared" si="104"/>
        <v>0.51827999999999996</v>
      </c>
      <c r="N175" s="119">
        <f>I175-L175</f>
        <v>0</v>
      </c>
      <c r="O175" s="120">
        <f>H175*N175*G175/1000</f>
        <v>0</v>
      </c>
      <c r="P175" s="111">
        <v>10.25</v>
      </c>
      <c r="Q175" s="32">
        <v>2</v>
      </c>
      <c r="R175" s="32">
        <v>12</v>
      </c>
      <c r="S175" s="213">
        <v>6</v>
      </c>
      <c r="T175" s="354" t="s">
        <v>438</v>
      </c>
    </row>
    <row r="176" spans="1:20" ht="15.6">
      <c r="A176" s="110" t="s">
        <v>377</v>
      </c>
      <c r="B176" s="111" t="s">
        <v>232</v>
      </c>
      <c r="C176" s="112" t="s">
        <v>228</v>
      </c>
      <c r="D176" s="113" t="s">
        <v>24</v>
      </c>
      <c r="E176" s="114" t="s">
        <v>14</v>
      </c>
      <c r="F176" s="115" t="s">
        <v>27</v>
      </c>
      <c r="G176" s="116">
        <v>6.17</v>
      </c>
      <c r="H176" s="125">
        <v>5.4</v>
      </c>
      <c r="I176" s="111">
        <v>1</v>
      </c>
      <c r="J176" s="117">
        <f t="shared" si="103"/>
        <v>3.3318000000000007E-2</v>
      </c>
      <c r="K176" s="118"/>
      <c r="L176" s="111"/>
      <c r="M176" s="117">
        <f>H176*L176*G176/1000</f>
        <v>0</v>
      </c>
      <c r="N176" s="119">
        <f t="shared" si="105"/>
        <v>1</v>
      </c>
      <c r="O176" s="120">
        <f>H176*N176*G176/1000</f>
        <v>3.3318000000000007E-2</v>
      </c>
      <c r="P176" s="111"/>
      <c r="Q176" s="32"/>
      <c r="R176" s="32"/>
    </row>
    <row r="177" spans="1:20">
      <c r="A177" s="32"/>
      <c r="B177" s="32"/>
      <c r="C177" s="32"/>
      <c r="D177" s="32"/>
      <c r="E177" s="32"/>
      <c r="F177" s="32"/>
      <c r="G177" s="32"/>
      <c r="H177" s="32"/>
      <c r="I177" s="129">
        <f>SUM(I167:I176)</f>
        <v>50</v>
      </c>
      <c r="J177" s="124">
        <f>SUM(J167:J176)</f>
        <v>3.3897979999999999</v>
      </c>
      <c r="K177" s="32"/>
      <c r="L177" s="129">
        <f>SUM(L167:L176)</f>
        <v>48</v>
      </c>
      <c r="M177" s="124">
        <f>SUM(M167:M176)</f>
        <v>3.2978650000000003</v>
      </c>
      <c r="N177" s="131">
        <f>SUM(N167:N176)</f>
        <v>2</v>
      </c>
      <c r="O177" s="132">
        <f>SUM(O167:O176)</f>
        <v>9.1933000000000015E-2</v>
      </c>
      <c r="P177" s="32"/>
      <c r="Q177" s="32"/>
      <c r="R177" s="32"/>
    </row>
    <row r="179" spans="1:20" ht="15.6">
      <c r="A179" s="110" t="s">
        <v>475</v>
      </c>
      <c r="B179" s="111" t="s">
        <v>227</v>
      </c>
      <c r="C179" s="112" t="s">
        <v>228</v>
      </c>
      <c r="D179" s="113" t="s">
        <v>20</v>
      </c>
      <c r="E179" s="114" t="s">
        <v>15</v>
      </c>
      <c r="F179" s="115" t="s">
        <v>25</v>
      </c>
      <c r="G179" s="116">
        <v>7.36</v>
      </c>
      <c r="H179" s="125">
        <v>8.25</v>
      </c>
      <c r="I179" s="111">
        <f>38+37+40+17+36+36+39+38+38+23+35</f>
        <v>377</v>
      </c>
      <c r="J179" s="117">
        <f t="shared" ref="J179" si="107">H179*G179*I179/1000</f>
        <v>22.891440000000003</v>
      </c>
      <c r="K179" s="118"/>
      <c r="L179" s="111">
        <f>375+2</f>
        <v>377</v>
      </c>
      <c r="M179" s="117">
        <f t="shared" ref="M179" si="108">H179*L179*G179/1000</f>
        <v>22.891440000000003</v>
      </c>
      <c r="N179" s="119">
        <f t="shared" ref="N179" si="109">I179-L179</f>
        <v>0</v>
      </c>
      <c r="O179" s="120">
        <f t="shared" ref="O179" si="110">H179*N179*G179/1000</f>
        <v>0</v>
      </c>
      <c r="P179" s="111"/>
      <c r="Q179" s="32"/>
      <c r="R179" s="32">
        <v>7.4</v>
      </c>
      <c r="S179" s="354">
        <v>2</v>
      </c>
      <c r="T179" s="213" t="s">
        <v>703</v>
      </c>
    </row>
    <row r="180" spans="1:20" ht="15.6">
      <c r="A180" s="110" t="s">
        <v>475</v>
      </c>
      <c r="B180" s="111" t="s">
        <v>227</v>
      </c>
      <c r="C180" s="112" t="s">
        <v>228</v>
      </c>
      <c r="D180" s="113" t="s">
        <v>20</v>
      </c>
      <c r="E180" s="114" t="s">
        <v>15</v>
      </c>
      <c r="F180" s="115" t="s">
        <v>25</v>
      </c>
      <c r="G180" s="116">
        <v>7.36</v>
      </c>
      <c r="H180" s="125">
        <v>10</v>
      </c>
      <c r="I180" s="111">
        <f>32+22+36+23+38</f>
        <v>151</v>
      </c>
      <c r="J180" s="117">
        <f t="shared" ref="J180:J191" si="111">H180*G180*I180/1000</f>
        <v>11.113600000000002</v>
      </c>
      <c r="K180" s="118"/>
      <c r="L180" s="111">
        <f>151</f>
        <v>151</v>
      </c>
      <c r="M180" s="117">
        <f t="shared" ref="M180:M191" si="112">H180*L180*G180/1000</f>
        <v>11.1136</v>
      </c>
      <c r="N180" s="119">
        <f t="shared" ref="N180:N191" si="113">I180-L180</f>
        <v>0</v>
      </c>
      <c r="O180" s="120">
        <f t="shared" ref="O180:O191" si="114">H180*N180*G180/1000</f>
        <v>0</v>
      </c>
      <c r="P180" s="111"/>
      <c r="Q180" s="32"/>
      <c r="R180" s="32"/>
    </row>
    <row r="181" spans="1:20" ht="15.6">
      <c r="A181" s="110" t="s">
        <v>475</v>
      </c>
      <c r="B181" s="111" t="s">
        <v>227</v>
      </c>
      <c r="C181" s="112" t="s">
        <v>228</v>
      </c>
      <c r="D181" s="113" t="s">
        <v>20</v>
      </c>
      <c r="E181" s="114" t="s">
        <v>15</v>
      </c>
      <c r="F181" s="115" t="s">
        <v>25</v>
      </c>
      <c r="G181" s="116">
        <v>7.36</v>
      </c>
      <c r="H181" s="125">
        <v>11</v>
      </c>
      <c r="I181" s="111">
        <f>35+40+35+29+35+36+36+36+33+34</f>
        <v>349</v>
      </c>
      <c r="J181" s="117">
        <f t="shared" si="111"/>
        <v>28.255040000000005</v>
      </c>
      <c r="K181" s="118"/>
      <c r="L181" s="111">
        <f>342+7</f>
        <v>349</v>
      </c>
      <c r="M181" s="117">
        <f t="shared" si="112"/>
        <v>28.255040000000001</v>
      </c>
      <c r="N181" s="119">
        <f t="shared" si="113"/>
        <v>0</v>
      </c>
      <c r="O181" s="120">
        <f t="shared" si="114"/>
        <v>0</v>
      </c>
      <c r="P181" s="111">
        <v>10</v>
      </c>
      <c r="Q181" s="32">
        <v>7</v>
      </c>
      <c r="R181" s="32"/>
    </row>
    <row r="182" spans="1:20" ht="15.6">
      <c r="A182" s="110" t="s">
        <v>475</v>
      </c>
      <c r="B182" s="111" t="s">
        <v>227</v>
      </c>
      <c r="C182" s="112" t="s">
        <v>228</v>
      </c>
      <c r="D182" s="113" t="s">
        <v>20</v>
      </c>
      <c r="E182" s="114" t="s">
        <v>15</v>
      </c>
      <c r="F182" s="115" t="s">
        <v>25</v>
      </c>
      <c r="G182" s="116">
        <v>7.36</v>
      </c>
      <c r="H182" s="125">
        <v>11.5</v>
      </c>
      <c r="I182" s="111">
        <f>35+35+35+35+31+23+35+35+35+35+35+32+35+35+38+35+36+13+35</f>
        <v>628</v>
      </c>
      <c r="J182" s="117">
        <f t="shared" si="111"/>
        <v>53.153919999999999</v>
      </c>
      <c r="K182" s="118"/>
      <c r="L182" s="111">
        <f>628</f>
        <v>628</v>
      </c>
      <c r="M182" s="117">
        <f t="shared" si="112"/>
        <v>53.153920000000006</v>
      </c>
      <c r="N182" s="119">
        <f t="shared" si="113"/>
        <v>0</v>
      </c>
      <c r="O182" s="120">
        <f t="shared" si="114"/>
        <v>0</v>
      </c>
      <c r="P182" s="111"/>
      <c r="Q182" s="32"/>
      <c r="R182" s="32"/>
    </row>
    <row r="183" spans="1:20" ht="15.6">
      <c r="A183" s="110" t="s">
        <v>475</v>
      </c>
      <c r="B183" s="111" t="s">
        <v>227</v>
      </c>
      <c r="C183" s="112" t="s">
        <v>228</v>
      </c>
      <c r="D183" s="113" t="s">
        <v>20</v>
      </c>
      <c r="E183" s="114" t="s">
        <v>15</v>
      </c>
      <c r="F183" s="115" t="s">
        <v>25</v>
      </c>
      <c r="G183" s="116">
        <v>7.36</v>
      </c>
      <c r="H183" s="125">
        <v>12</v>
      </c>
      <c r="I183" s="111">
        <f>35+35+35+35+19+35+35+35+35+28</f>
        <v>327</v>
      </c>
      <c r="J183" s="117">
        <f t="shared" si="111"/>
        <v>28.880640000000003</v>
      </c>
      <c r="K183" s="118"/>
      <c r="L183" s="111">
        <f>320+7</f>
        <v>327</v>
      </c>
      <c r="M183" s="117">
        <f t="shared" si="112"/>
        <v>28.880640000000003</v>
      </c>
      <c r="N183" s="119">
        <f t="shared" si="113"/>
        <v>0</v>
      </c>
      <c r="O183" s="120">
        <f t="shared" si="114"/>
        <v>0</v>
      </c>
      <c r="P183" s="111">
        <v>11.5</v>
      </c>
      <c r="Q183" s="32">
        <v>7</v>
      </c>
      <c r="R183" s="32"/>
    </row>
    <row r="184" spans="1:20" ht="15.6">
      <c r="A184" s="110" t="s">
        <v>475</v>
      </c>
      <c r="B184" s="111" t="s">
        <v>227</v>
      </c>
      <c r="C184" s="112" t="s">
        <v>228</v>
      </c>
      <c r="D184" s="113" t="s">
        <v>20</v>
      </c>
      <c r="E184" s="114" t="s">
        <v>15</v>
      </c>
      <c r="F184" s="115" t="s">
        <v>25</v>
      </c>
      <c r="G184" s="116">
        <v>7.36</v>
      </c>
      <c r="H184" s="125">
        <v>10.6</v>
      </c>
      <c r="I184" s="111">
        <v>1</v>
      </c>
      <c r="J184" s="117">
        <f t="shared" si="111"/>
        <v>7.8016000000000002E-2</v>
      </c>
      <c r="K184" s="118"/>
      <c r="L184" s="111">
        <v>1</v>
      </c>
      <c r="M184" s="117">
        <f t="shared" si="112"/>
        <v>7.8016000000000002E-2</v>
      </c>
      <c r="N184" s="119">
        <f t="shared" si="113"/>
        <v>0</v>
      </c>
      <c r="O184" s="120">
        <f t="shared" si="114"/>
        <v>0</v>
      </c>
      <c r="P184" s="111">
        <v>10</v>
      </c>
      <c r="Q184" s="32">
        <v>1</v>
      </c>
      <c r="R184" s="32"/>
    </row>
    <row r="185" spans="1:20" ht="15.6">
      <c r="A185" s="110" t="s">
        <v>475</v>
      </c>
      <c r="B185" s="111" t="s">
        <v>227</v>
      </c>
      <c r="C185" s="112" t="s">
        <v>228</v>
      </c>
      <c r="D185" s="113" t="s">
        <v>20</v>
      </c>
      <c r="E185" s="114" t="s">
        <v>15</v>
      </c>
      <c r="F185" s="115" t="s">
        <v>25</v>
      </c>
      <c r="G185" s="116">
        <v>7.36</v>
      </c>
      <c r="H185" s="125">
        <v>9.5</v>
      </c>
      <c r="I185" s="111">
        <v>6</v>
      </c>
      <c r="J185" s="117">
        <f t="shared" si="111"/>
        <v>0.41952</v>
      </c>
      <c r="K185" s="118"/>
      <c r="L185" s="111">
        <v>6</v>
      </c>
      <c r="M185" s="117">
        <f t="shared" si="112"/>
        <v>0.41952000000000006</v>
      </c>
      <c r="N185" s="119">
        <f t="shared" si="113"/>
        <v>0</v>
      </c>
      <c r="O185" s="120">
        <f t="shared" si="114"/>
        <v>0</v>
      </c>
      <c r="P185" s="111"/>
      <c r="Q185" s="32"/>
      <c r="R185" s="32">
        <v>7.4</v>
      </c>
      <c r="S185" s="354">
        <v>6</v>
      </c>
      <c r="T185" s="213" t="s">
        <v>703</v>
      </c>
    </row>
    <row r="186" spans="1:20" ht="15.6">
      <c r="A186" s="110" t="s">
        <v>475</v>
      </c>
      <c r="B186" s="111" t="s">
        <v>227</v>
      </c>
      <c r="C186" s="112" t="s">
        <v>228</v>
      </c>
      <c r="D186" s="113" t="s">
        <v>20</v>
      </c>
      <c r="E186" s="114" t="s">
        <v>15</v>
      </c>
      <c r="F186" s="115" t="s">
        <v>25</v>
      </c>
      <c r="G186" s="116">
        <v>7.36</v>
      </c>
      <c r="H186" s="125">
        <v>9.4</v>
      </c>
      <c r="I186" s="111">
        <v>1</v>
      </c>
      <c r="J186" s="117">
        <f t="shared" si="111"/>
        <v>6.9184000000000009E-2</v>
      </c>
      <c r="K186" s="118"/>
      <c r="L186" s="111">
        <v>1</v>
      </c>
      <c r="M186" s="117">
        <f t="shared" si="112"/>
        <v>6.9184000000000009E-2</v>
      </c>
      <c r="N186" s="119">
        <f t="shared" si="113"/>
        <v>0</v>
      </c>
      <c r="O186" s="120">
        <f t="shared" si="114"/>
        <v>0</v>
      </c>
      <c r="P186" s="111"/>
      <c r="Q186" s="32"/>
      <c r="R186" s="32">
        <v>7.4</v>
      </c>
      <c r="S186" s="354">
        <v>1</v>
      </c>
      <c r="T186" s="213" t="s">
        <v>703</v>
      </c>
    </row>
    <row r="187" spans="1:20" ht="15.6">
      <c r="A187" s="110" t="s">
        <v>475</v>
      </c>
      <c r="B187" s="111" t="s">
        <v>227</v>
      </c>
      <c r="C187" s="112" t="s">
        <v>228</v>
      </c>
      <c r="D187" s="113" t="s">
        <v>20</v>
      </c>
      <c r="E187" s="114" t="s">
        <v>15</v>
      </c>
      <c r="F187" s="115" t="s">
        <v>25</v>
      </c>
      <c r="G187" s="116">
        <v>7.36</v>
      </c>
      <c r="H187" s="125">
        <v>12</v>
      </c>
      <c r="I187" s="111">
        <v>1</v>
      </c>
      <c r="J187" s="117">
        <f t="shared" si="111"/>
        <v>8.832000000000001E-2</v>
      </c>
      <c r="K187" s="118"/>
      <c r="L187" s="111">
        <v>1</v>
      </c>
      <c r="M187" s="117">
        <f t="shared" si="112"/>
        <v>8.832000000000001E-2</v>
      </c>
      <c r="N187" s="119">
        <f t="shared" si="113"/>
        <v>0</v>
      </c>
      <c r="O187" s="120">
        <f t="shared" si="114"/>
        <v>0</v>
      </c>
      <c r="P187" s="111">
        <v>11.5</v>
      </c>
      <c r="Q187" s="32">
        <v>1</v>
      </c>
      <c r="R187" s="32"/>
    </row>
    <row r="188" spans="1:20" ht="15.6">
      <c r="A188" s="110" t="s">
        <v>475</v>
      </c>
      <c r="B188" s="111" t="s">
        <v>227</v>
      </c>
      <c r="C188" s="112" t="s">
        <v>228</v>
      </c>
      <c r="D188" s="113" t="s">
        <v>20</v>
      </c>
      <c r="E188" s="114" t="s">
        <v>15</v>
      </c>
      <c r="F188" s="115" t="s">
        <v>25</v>
      </c>
      <c r="G188" s="116">
        <v>7.36</v>
      </c>
      <c r="H188" s="125">
        <v>11.5</v>
      </c>
      <c r="I188" s="111">
        <v>3</v>
      </c>
      <c r="J188" s="117">
        <f t="shared" si="111"/>
        <v>0.25392000000000003</v>
      </c>
      <c r="K188" s="118"/>
      <c r="L188" s="111">
        <v>3</v>
      </c>
      <c r="M188" s="117">
        <f t="shared" si="112"/>
        <v>0.25392000000000003</v>
      </c>
      <c r="N188" s="119">
        <f t="shared" si="113"/>
        <v>0</v>
      </c>
      <c r="O188" s="120">
        <f t="shared" si="114"/>
        <v>0</v>
      </c>
      <c r="P188" s="111"/>
      <c r="Q188" s="32"/>
      <c r="R188" s="32"/>
    </row>
    <row r="189" spans="1:20" ht="15.6">
      <c r="A189" s="110" t="s">
        <v>475</v>
      </c>
      <c r="B189" s="111" t="s">
        <v>227</v>
      </c>
      <c r="C189" s="112" t="s">
        <v>228</v>
      </c>
      <c r="D189" s="113" t="s">
        <v>20</v>
      </c>
      <c r="E189" s="114" t="s">
        <v>15</v>
      </c>
      <c r="F189" s="115" t="s">
        <v>25</v>
      </c>
      <c r="G189" s="116">
        <v>7.36</v>
      </c>
      <c r="H189" s="125">
        <v>7.4</v>
      </c>
      <c r="I189" s="111">
        <v>1</v>
      </c>
      <c r="J189" s="117">
        <f t="shared" si="111"/>
        <v>5.4464000000000005E-2</v>
      </c>
      <c r="K189" s="118"/>
      <c r="L189" s="111">
        <v>1</v>
      </c>
      <c r="M189" s="117">
        <f t="shared" si="112"/>
        <v>5.4464000000000005E-2</v>
      </c>
      <c r="N189" s="119">
        <f t="shared" si="113"/>
        <v>0</v>
      </c>
      <c r="O189" s="120">
        <f t="shared" si="114"/>
        <v>0</v>
      </c>
      <c r="P189" s="111"/>
      <c r="Q189" s="32"/>
      <c r="R189" s="32">
        <v>7.4</v>
      </c>
      <c r="S189" s="354">
        <v>1</v>
      </c>
      <c r="T189" s="213" t="s">
        <v>703</v>
      </c>
    </row>
    <row r="190" spans="1:20" ht="15.6">
      <c r="A190" s="110" t="s">
        <v>475</v>
      </c>
      <c r="B190" s="111" t="s">
        <v>227</v>
      </c>
      <c r="C190" s="112" t="s">
        <v>228</v>
      </c>
      <c r="D190" s="113" t="s">
        <v>20</v>
      </c>
      <c r="E190" s="114" t="s">
        <v>15</v>
      </c>
      <c r="F190" s="115" t="s">
        <v>25</v>
      </c>
      <c r="G190" s="116">
        <v>7.36</v>
      </c>
      <c r="H190" s="125">
        <v>8.4</v>
      </c>
      <c r="I190" s="111">
        <v>1</v>
      </c>
      <c r="J190" s="117">
        <f t="shared" si="111"/>
        <v>6.1824000000000004E-2</v>
      </c>
      <c r="K190" s="118"/>
      <c r="L190" s="111">
        <v>1</v>
      </c>
      <c r="M190" s="117">
        <f t="shared" si="112"/>
        <v>6.1824000000000004E-2</v>
      </c>
      <c r="N190" s="119">
        <f t="shared" si="113"/>
        <v>0</v>
      </c>
      <c r="O190" s="120">
        <f t="shared" si="114"/>
        <v>0</v>
      </c>
      <c r="P190" s="111"/>
      <c r="Q190" s="32"/>
      <c r="R190" s="32">
        <v>7.4</v>
      </c>
      <c r="S190" s="354">
        <v>1</v>
      </c>
      <c r="T190" s="213" t="s">
        <v>703</v>
      </c>
    </row>
    <row r="191" spans="1:20" ht="15.6">
      <c r="A191" s="110" t="s">
        <v>475</v>
      </c>
      <c r="B191" s="111" t="s">
        <v>227</v>
      </c>
      <c r="C191" s="112" t="s">
        <v>228</v>
      </c>
      <c r="D191" s="113" t="s">
        <v>20</v>
      </c>
      <c r="E191" s="114" t="s">
        <v>15</v>
      </c>
      <c r="F191" s="115" t="s">
        <v>25</v>
      </c>
      <c r="G191" s="116">
        <v>7.36</v>
      </c>
      <c r="H191" s="125">
        <v>9.5</v>
      </c>
      <c r="I191" s="111">
        <v>2</v>
      </c>
      <c r="J191" s="117">
        <f t="shared" si="111"/>
        <v>0.13983999999999999</v>
      </c>
      <c r="K191" s="118"/>
      <c r="L191" s="111">
        <v>2</v>
      </c>
      <c r="M191" s="117">
        <f t="shared" si="112"/>
        <v>0.13983999999999999</v>
      </c>
      <c r="N191" s="119">
        <f t="shared" si="113"/>
        <v>0</v>
      </c>
      <c r="O191" s="120">
        <f t="shared" si="114"/>
        <v>0</v>
      </c>
      <c r="P191" s="111"/>
      <c r="Q191" s="32"/>
      <c r="R191" s="32">
        <v>7.4</v>
      </c>
      <c r="S191" s="354">
        <v>2</v>
      </c>
      <c r="T191" s="213" t="s">
        <v>703</v>
      </c>
    </row>
    <row r="192" spans="1:20">
      <c r="A192" s="32"/>
      <c r="B192" s="32"/>
      <c r="C192" s="32"/>
      <c r="D192" s="32"/>
      <c r="E192" s="32"/>
      <c r="F192" s="32"/>
      <c r="G192" s="32"/>
      <c r="H192" s="32"/>
      <c r="I192" s="129">
        <f>SUM(I179:I191)</f>
        <v>1848</v>
      </c>
      <c r="J192" s="124">
        <f>SUM(J179:J191)</f>
        <v>145.45972800000001</v>
      </c>
      <c r="K192" s="32"/>
      <c r="L192" s="129">
        <f>SUM(L179:L191)</f>
        <v>1848</v>
      </c>
      <c r="M192" s="124">
        <f>SUM(M179:M191)</f>
        <v>145.45972800000001</v>
      </c>
      <c r="N192" s="129">
        <f>SUM(N179:N191)</f>
        <v>0</v>
      </c>
      <c r="O192" s="124">
        <f>SUM(O179:O191)</f>
        <v>0</v>
      </c>
      <c r="P192" s="32"/>
      <c r="Q192" s="32"/>
      <c r="R192" s="32"/>
      <c r="S192" s="129">
        <f>SUM(S179:S191)</f>
        <v>13</v>
      </c>
    </row>
    <row r="194" spans="1:21" ht="15.6">
      <c r="A194" s="110" t="s">
        <v>490</v>
      </c>
      <c r="B194" s="111" t="s">
        <v>227</v>
      </c>
      <c r="C194" s="112" t="s">
        <v>228</v>
      </c>
      <c r="D194" s="113" t="s">
        <v>17</v>
      </c>
      <c r="E194" s="114" t="s">
        <v>15</v>
      </c>
      <c r="F194" s="115" t="s">
        <v>25</v>
      </c>
      <c r="G194" s="116">
        <v>7.36</v>
      </c>
      <c r="H194" s="125">
        <v>10</v>
      </c>
      <c r="I194" s="111">
        <f>17+5</f>
        <v>22</v>
      </c>
      <c r="J194" s="117">
        <f t="shared" ref="J194:J198" si="115">H194*G194*I194/1000</f>
        <v>1.6192000000000002</v>
      </c>
      <c r="K194" s="118"/>
      <c r="L194" s="111">
        <v>22</v>
      </c>
      <c r="M194" s="117">
        <f t="shared" ref="M194:M198" si="116">H194*L194*G194/1000</f>
        <v>1.6192</v>
      </c>
      <c r="N194" s="119">
        <f t="shared" ref="N194:N198" si="117">I194-L194</f>
        <v>0</v>
      </c>
      <c r="O194" s="120">
        <f t="shared" ref="O194:O198" si="118">H194*N194*G194/1000</f>
        <v>0</v>
      </c>
      <c r="P194" s="111"/>
      <c r="Q194" s="32"/>
      <c r="R194" s="32"/>
    </row>
    <row r="195" spans="1:21" ht="15.6">
      <c r="A195" s="110" t="s">
        <v>490</v>
      </c>
      <c r="B195" s="111" t="s">
        <v>227</v>
      </c>
      <c r="C195" s="112" t="s">
        <v>228</v>
      </c>
      <c r="D195" s="113" t="s">
        <v>17</v>
      </c>
      <c r="E195" s="114" t="s">
        <v>15</v>
      </c>
      <c r="F195" s="115" t="s">
        <v>25</v>
      </c>
      <c r="G195" s="116">
        <v>7.36</v>
      </c>
      <c r="H195" s="125">
        <v>11.1</v>
      </c>
      <c r="I195" s="111">
        <f>4+4</f>
        <v>8</v>
      </c>
      <c r="J195" s="117">
        <f t="shared" si="115"/>
        <v>0.65356800000000004</v>
      </c>
      <c r="K195" s="118"/>
      <c r="L195" s="111">
        <f>4+4</f>
        <v>8</v>
      </c>
      <c r="M195" s="117">
        <f t="shared" si="116"/>
        <v>0.65356800000000004</v>
      </c>
      <c r="N195" s="119">
        <f t="shared" si="117"/>
        <v>0</v>
      </c>
      <c r="O195" s="120">
        <f t="shared" si="118"/>
        <v>0</v>
      </c>
      <c r="P195" s="111">
        <v>10</v>
      </c>
      <c r="Q195" s="32">
        <v>4</v>
      </c>
      <c r="R195" s="32"/>
    </row>
    <row r="196" spans="1:21" ht="15.6">
      <c r="A196" s="110" t="s">
        <v>490</v>
      </c>
      <c r="B196" s="111" t="s">
        <v>227</v>
      </c>
      <c r="C196" s="112" t="s">
        <v>228</v>
      </c>
      <c r="D196" s="113" t="s">
        <v>17</v>
      </c>
      <c r="E196" s="114" t="s">
        <v>15</v>
      </c>
      <c r="F196" s="115" t="s">
        <v>25</v>
      </c>
      <c r="G196" s="116">
        <v>7.36</v>
      </c>
      <c r="H196" s="125">
        <v>11.9</v>
      </c>
      <c r="I196" s="111">
        <f>8+7</f>
        <v>15</v>
      </c>
      <c r="J196" s="117">
        <f t="shared" si="115"/>
        <v>1.31376</v>
      </c>
      <c r="K196" s="118"/>
      <c r="L196" s="111">
        <v>15</v>
      </c>
      <c r="M196" s="117">
        <f t="shared" si="116"/>
        <v>1.31376</v>
      </c>
      <c r="N196" s="119">
        <f t="shared" si="117"/>
        <v>0</v>
      </c>
      <c r="O196" s="120">
        <f t="shared" si="118"/>
        <v>0</v>
      </c>
      <c r="P196" s="111"/>
      <c r="Q196" s="32"/>
      <c r="R196" s="32"/>
    </row>
    <row r="197" spans="1:21" ht="15.6">
      <c r="A197" s="110" t="s">
        <v>490</v>
      </c>
      <c r="B197" s="111" t="s">
        <v>227</v>
      </c>
      <c r="C197" s="112" t="s">
        <v>228</v>
      </c>
      <c r="D197" s="113" t="s">
        <v>17</v>
      </c>
      <c r="E197" s="114" t="s">
        <v>15</v>
      </c>
      <c r="F197" s="115" t="s">
        <v>25</v>
      </c>
      <c r="G197" s="116">
        <v>7.36</v>
      </c>
      <c r="H197" s="125">
        <v>12</v>
      </c>
      <c r="I197" s="111">
        <v>10</v>
      </c>
      <c r="J197" s="117">
        <f t="shared" si="115"/>
        <v>0.8832000000000001</v>
      </c>
      <c r="K197" s="118"/>
      <c r="L197" s="111">
        <v>10</v>
      </c>
      <c r="M197" s="117">
        <f t="shared" si="116"/>
        <v>0.8832000000000001</v>
      </c>
      <c r="N197" s="119">
        <f t="shared" si="117"/>
        <v>0</v>
      </c>
      <c r="O197" s="120">
        <f t="shared" si="118"/>
        <v>0</v>
      </c>
      <c r="P197" s="111"/>
      <c r="Q197" s="32"/>
      <c r="R197" s="32"/>
    </row>
    <row r="198" spans="1:21" ht="15.6">
      <c r="A198" s="110" t="s">
        <v>490</v>
      </c>
      <c r="B198" s="111" t="s">
        <v>227</v>
      </c>
      <c r="C198" s="112" t="s">
        <v>228</v>
      </c>
      <c r="D198" s="113" t="s">
        <v>17</v>
      </c>
      <c r="E198" s="114" t="s">
        <v>15</v>
      </c>
      <c r="F198" s="115" t="s">
        <v>25</v>
      </c>
      <c r="G198" s="116">
        <v>7.36</v>
      </c>
      <c r="H198" s="125">
        <v>7.5</v>
      </c>
      <c r="I198" s="111">
        <f>32+34</f>
        <v>66</v>
      </c>
      <c r="J198" s="117">
        <f t="shared" si="115"/>
        <v>3.6432000000000002</v>
      </c>
      <c r="K198" s="118"/>
      <c r="L198" s="111">
        <f>64+2</f>
        <v>66</v>
      </c>
      <c r="M198" s="117">
        <f t="shared" si="116"/>
        <v>3.6432000000000002</v>
      </c>
      <c r="N198" s="119">
        <f t="shared" si="117"/>
        <v>0</v>
      </c>
      <c r="O198" s="120">
        <f t="shared" si="118"/>
        <v>0</v>
      </c>
      <c r="P198" s="111"/>
      <c r="Q198" s="32"/>
      <c r="R198" s="32"/>
      <c r="S198" s="213">
        <v>7.4</v>
      </c>
      <c r="T198" s="354">
        <v>2</v>
      </c>
      <c r="U198" s="213" t="s">
        <v>703</v>
      </c>
    </row>
    <row r="199" spans="1:21" ht="15.6">
      <c r="A199" s="110" t="s">
        <v>490</v>
      </c>
      <c r="B199" s="111" t="s">
        <v>227</v>
      </c>
      <c r="C199" s="112" t="s">
        <v>228</v>
      </c>
      <c r="D199" s="113" t="s">
        <v>17</v>
      </c>
      <c r="E199" s="114" t="s">
        <v>15</v>
      </c>
      <c r="F199" s="115" t="s">
        <v>25</v>
      </c>
      <c r="G199" s="116">
        <v>7.36</v>
      </c>
      <c r="H199" s="125">
        <v>9.25</v>
      </c>
      <c r="I199" s="111">
        <f>33+36+39+35+35+14</f>
        <v>192</v>
      </c>
      <c r="J199" s="117">
        <f t="shared" ref="J199:J211" si="119">H199*G199*I199/1000</f>
        <v>13.07136</v>
      </c>
      <c r="K199" s="118"/>
      <c r="L199" s="111">
        <f>188+4</f>
        <v>192</v>
      </c>
      <c r="M199" s="117">
        <f t="shared" ref="M199:M211" si="120">H199*L199*G199/1000</f>
        <v>13.07136</v>
      </c>
      <c r="N199" s="119">
        <f t="shared" ref="N199:N211" si="121">I199-L199</f>
        <v>0</v>
      </c>
      <c r="O199" s="120">
        <f t="shared" ref="O199:O210" si="122">H199*N199*G199/1000</f>
        <v>0</v>
      </c>
      <c r="P199" s="111"/>
      <c r="Q199" s="32"/>
      <c r="R199" s="32"/>
      <c r="S199" s="213">
        <v>7.4</v>
      </c>
      <c r="T199" s="354">
        <v>4</v>
      </c>
      <c r="U199" s="213" t="s">
        <v>703</v>
      </c>
    </row>
    <row r="200" spans="1:21" ht="15.6">
      <c r="A200" s="110" t="s">
        <v>490</v>
      </c>
      <c r="B200" s="111" t="s">
        <v>227</v>
      </c>
      <c r="C200" s="112" t="s">
        <v>228</v>
      </c>
      <c r="D200" s="113" t="s">
        <v>17</v>
      </c>
      <c r="E200" s="114" t="s">
        <v>15</v>
      </c>
      <c r="F200" s="115" t="s">
        <v>25</v>
      </c>
      <c r="G200" s="116">
        <v>7.36</v>
      </c>
      <c r="H200" s="125">
        <v>10.3</v>
      </c>
      <c r="I200" s="111">
        <f>32+30+30+32+30+32+35+35+35+35+51</f>
        <v>377</v>
      </c>
      <c r="J200" s="117">
        <f t="shared" si="119"/>
        <v>28.579616000000001</v>
      </c>
      <c r="K200" s="118"/>
      <c r="L200" s="111">
        <f>376+1+26+4</f>
        <v>407</v>
      </c>
      <c r="M200" s="117">
        <f t="shared" si="120"/>
        <v>30.853856000000004</v>
      </c>
      <c r="N200" s="141">
        <f t="shared" si="121"/>
        <v>-30</v>
      </c>
      <c r="O200" s="142">
        <f t="shared" si="122"/>
        <v>-2.2742400000000003</v>
      </c>
      <c r="P200" s="111" t="s">
        <v>253</v>
      </c>
      <c r="Q200" s="111">
        <v>10</v>
      </c>
      <c r="R200" s="32">
        <v>1</v>
      </c>
      <c r="S200" s="32"/>
    </row>
    <row r="201" spans="1:21" ht="15.6">
      <c r="A201" s="110" t="s">
        <v>490</v>
      </c>
      <c r="B201" s="111" t="s">
        <v>227</v>
      </c>
      <c r="C201" s="112" t="s">
        <v>228</v>
      </c>
      <c r="D201" s="113" t="s">
        <v>17</v>
      </c>
      <c r="E201" s="114" t="s">
        <v>15</v>
      </c>
      <c r="F201" s="115" t="s">
        <v>25</v>
      </c>
      <c r="G201" s="116">
        <v>7.36</v>
      </c>
      <c r="H201" s="125">
        <v>12</v>
      </c>
      <c r="I201" s="111">
        <f>31+15+35</f>
        <v>81</v>
      </c>
      <c r="J201" s="117">
        <f t="shared" si="119"/>
        <v>7.1539200000000012</v>
      </c>
      <c r="K201" s="118"/>
      <c r="L201" s="111">
        <f>64+15+2</f>
        <v>81</v>
      </c>
      <c r="M201" s="117">
        <f t="shared" si="120"/>
        <v>7.1539200000000003</v>
      </c>
      <c r="N201" s="119">
        <f t="shared" si="121"/>
        <v>0</v>
      </c>
      <c r="O201" s="120">
        <f t="shared" si="122"/>
        <v>0</v>
      </c>
      <c r="P201" s="111">
        <v>10</v>
      </c>
      <c r="Q201" s="32">
        <v>2</v>
      </c>
      <c r="R201" s="32" t="s">
        <v>320</v>
      </c>
    </row>
    <row r="202" spans="1:21" ht="15.6">
      <c r="A202" s="110" t="s">
        <v>490</v>
      </c>
      <c r="B202" s="111" t="s">
        <v>227</v>
      </c>
      <c r="C202" s="112" t="s">
        <v>228</v>
      </c>
      <c r="D202" s="113" t="s">
        <v>17</v>
      </c>
      <c r="E202" s="114" t="s">
        <v>15</v>
      </c>
      <c r="F202" s="115" t="s">
        <v>25</v>
      </c>
      <c r="G202" s="116">
        <v>7.36</v>
      </c>
      <c r="H202" s="125">
        <v>11.5</v>
      </c>
      <c r="I202" s="111">
        <v>3</v>
      </c>
      <c r="J202" s="117">
        <f t="shared" si="119"/>
        <v>0.25392000000000003</v>
      </c>
      <c r="K202" s="118"/>
      <c r="L202" s="111">
        <v>3</v>
      </c>
      <c r="M202" s="117">
        <f t="shared" si="120"/>
        <v>0.25392000000000003</v>
      </c>
      <c r="N202" s="119">
        <f t="shared" si="121"/>
        <v>0</v>
      </c>
      <c r="O202" s="120">
        <f t="shared" si="122"/>
        <v>0</v>
      </c>
      <c r="P202" s="111">
        <v>10</v>
      </c>
      <c r="Q202" s="32">
        <v>3</v>
      </c>
      <c r="R202" s="32"/>
    </row>
    <row r="203" spans="1:21" ht="15.6">
      <c r="A203" s="110" t="s">
        <v>490</v>
      </c>
      <c r="B203" s="111" t="s">
        <v>227</v>
      </c>
      <c r="C203" s="112" t="s">
        <v>228</v>
      </c>
      <c r="D203" s="113" t="s">
        <v>17</v>
      </c>
      <c r="E203" s="114" t="s">
        <v>15</v>
      </c>
      <c r="F203" s="115" t="s">
        <v>25</v>
      </c>
      <c r="G203" s="116">
        <v>7.36</v>
      </c>
      <c r="H203" s="125">
        <v>9.1999999999999993</v>
      </c>
      <c r="I203" s="111">
        <v>1</v>
      </c>
      <c r="J203" s="117">
        <f t="shared" si="119"/>
        <v>6.7712000000000008E-2</v>
      </c>
      <c r="K203" s="118"/>
      <c r="L203" s="111">
        <v>1</v>
      </c>
      <c r="M203" s="117">
        <f t="shared" si="120"/>
        <v>6.7712000000000008E-2</v>
      </c>
      <c r="N203" s="119">
        <f t="shared" si="121"/>
        <v>0</v>
      </c>
      <c r="O203" s="120">
        <f t="shared" si="122"/>
        <v>0</v>
      </c>
      <c r="P203" s="111"/>
      <c r="Q203" s="32"/>
      <c r="R203" s="32"/>
      <c r="S203" s="213">
        <v>7.4</v>
      </c>
      <c r="T203" s="354">
        <v>1</v>
      </c>
      <c r="U203" s="213" t="s">
        <v>703</v>
      </c>
    </row>
    <row r="204" spans="1:21" ht="15.6">
      <c r="A204" s="110" t="s">
        <v>490</v>
      </c>
      <c r="B204" s="111" t="s">
        <v>227</v>
      </c>
      <c r="C204" s="112" t="s">
        <v>228</v>
      </c>
      <c r="D204" s="113" t="s">
        <v>17</v>
      </c>
      <c r="E204" s="114" t="s">
        <v>15</v>
      </c>
      <c r="F204" s="115" t="s">
        <v>25</v>
      </c>
      <c r="G204" s="116">
        <v>7.36</v>
      </c>
      <c r="H204" s="125">
        <v>9</v>
      </c>
      <c r="I204" s="111">
        <v>1</v>
      </c>
      <c r="J204" s="117">
        <f t="shared" si="119"/>
        <v>6.6240000000000007E-2</v>
      </c>
      <c r="K204" s="118"/>
      <c r="L204" s="111">
        <v>1</v>
      </c>
      <c r="M204" s="117">
        <f t="shared" si="120"/>
        <v>6.6240000000000007E-2</v>
      </c>
      <c r="N204" s="119">
        <f t="shared" si="121"/>
        <v>0</v>
      </c>
      <c r="O204" s="120">
        <f t="shared" si="122"/>
        <v>0</v>
      </c>
      <c r="P204" s="111"/>
      <c r="Q204" s="32"/>
      <c r="R204" s="32"/>
      <c r="S204" s="213">
        <v>7.4</v>
      </c>
      <c r="T204" s="354">
        <v>1</v>
      </c>
      <c r="U204" s="213" t="s">
        <v>703</v>
      </c>
    </row>
    <row r="205" spans="1:21" ht="15.6">
      <c r="A205" s="110" t="s">
        <v>490</v>
      </c>
      <c r="B205" s="111" t="s">
        <v>227</v>
      </c>
      <c r="C205" s="112" t="s">
        <v>228</v>
      </c>
      <c r="D205" s="113" t="s">
        <v>17</v>
      </c>
      <c r="E205" s="114" t="s">
        <v>15</v>
      </c>
      <c r="F205" s="115" t="s">
        <v>25</v>
      </c>
      <c r="G205" s="116">
        <v>7.36</v>
      </c>
      <c r="H205" s="125">
        <v>8.6999999999999993</v>
      </c>
      <c r="I205" s="111">
        <v>1</v>
      </c>
      <c r="J205" s="117">
        <f t="shared" si="119"/>
        <v>6.4031999999999992E-2</v>
      </c>
      <c r="K205" s="118"/>
      <c r="L205" s="111">
        <v>1</v>
      </c>
      <c r="M205" s="117">
        <f t="shared" si="120"/>
        <v>6.4031999999999992E-2</v>
      </c>
      <c r="N205" s="119">
        <f t="shared" si="121"/>
        <v>0</v>
      </c>
      <c r="O205" s="120">
        <f t="shared" si="122"/>
        <v>0</v>
      </c>
      <c r="P205" s="111"/>
      <c r="Q205" s="32"/>
      <c r="R205" s="32"/>
      <c r="S205" s="213">
        <v>7.4</v>
      </c>
      <c r="T205" s="354">
        <v>1</v>
      </c>
      <c r="U205" s="213" t="s">
        <v>703</v>
      </c>
    </row>
    <row r="206" spans="1:21" ht="15.6">
      <c r="A206" s="110" t="s">
        <v>490</v>
      </c>
      <c r="B206" s="111" t="s">
        <v>227</v>
      </c>
      <c r="C206" s="112" t="s">
        <v>228</v>
      </c>
      <c r="D206" s="113" t="s">
        <v>17</v>
      </c>
      <c r="E206" s="114" t="s">
        <v>15</v>
      </c>
      <c r="F206" s="115" t="s">
        <v>25</v>
      </c>
      <c r="G206" s="116">
        <v>7.36</v>
      </c>
      <c r="H206" s="125">
        <v>8.5</v>
      </c>
      <c r="I206" s="111">
        <v>2</v>
      </c>
      <c r="J206" s="117">
        <f t="shared" si="119"/>
        <v>0.12512000000000001</v>
      </c>
      <c r="K206" s="118"/>
      <c r="L206" s="111">
        <v>2</v>
      </c>
      <c r="M206" s="117">
        <f t="shared" si="120"/>
        <v>0.12512000000000001</v>
      </c>
      <c r="N206" s="119">
        <f t="shared" si="121"/>
        <v>0</v>
      </c>
      <c r="O206" s="120">
        <f t="shared" si="122"/>
        <v>0</v>
      </c>
      <c r="P206" s="111"/>
      <c r="Q206" s="32"/>
      <c r="R206" s="32"/>
      <c r="S206" s="213">
        <v>7.4</v>
      </c>
      <c r="T206" s="354">
        <v>2</v>
      </c>
      <c r="U206" s="213" t="s">
        <v>703</v>
      </c>
    </row>
    <row r="207" spans="1:21" ht="15.6">
      <c r="A207" s="110" t="s">
        <v>490</v>
      </c>
      <c r="B207" s="111" t="s">
        <v>227</v>
      </c>
      <c r="C207" s="112" t="s">
        <v>228</v>
      </c>
      <c r="D207" s="113" t="s">
        <v>17</v>
      </c>
      <c r="E207" s="114" t="s">
        <v>15</v>
      </c>
      <c r="F207" s="115" t="s">
        <v>25</v>
      </c>
      <c r="G207" s="116">
        <v>7.36</v>
      </c>
      <c r="H207" s="125">
        <v>7.2</v>
      </c>
      <c r="I207" s="111">
        <v>2</v>
      </c>
      <c r="J207" s="117">
        <f t="shared" si="119"/>
        <v>0.10598400000000001</v>
      </c>
      <c r="K207" s="118"/>
      <c r="L207" s="111"/>
      <c r="M207" s="117">
        <f t="shared" si="120"/>
        <v>0</v>
      </c>
      <c r="N207" s="119">
        <f t="shared" si="121"/>
        <v>2</v>
      </c>
      <c r="O207" s="120">
        <f t="shared" si="122"/>
        <v>0.10598400000000001</v>
      </c>
      <c r="P207" s="111"/>
      <c r="Q207" s="32"/>
      <c r="R207" s="32"/>
      <c r="S207" s="213">
        <v>6.9</v>
      </c>
      <c r="T207" s="354">
        <v>2</v>
      </c>
      <c r="U207" s="213" t="s">
        <v>704</v>
      </c>
    </row>
    <row r="208" spans="1:21" ht="15.6">
      <c r="A208" s="110" t="s">
        <v>490</v>
      </c>
      <c r="B208" s="111" t="s">
        <v>227</v>
      </c>
      <c r="C208" s="112" t="s">
        <v>228</v>
      </c>
      <c r="D208" s="113" t="s">
        <v>17</v>
      </c>
      <c r="E208" s="114" t="s">
        <v>15</v>
      </c>
      <c r="F208" s="115" t="s">
        <v>25</v>
      </c>
      <c r="G208" s="116">
        <v>7.36</v>
      </c>
      <c r="H208" s="125">
        <v>7</v>
      </c>
      <c r="I208" s="111">
        <v>1</v>
      </c>
      <c r="J208" s="117">
        <f t="shared" si="119"/>
        <v>5.1520000000000003E-2</v>
      </c>
      <c r="K208" s="118"/>
      <c r="L208" s="111"/>
      <c r="M208" s="117">
        <f t="shared" si="120"/>
        <v>0</v>
      </c>
      <c r="N208" s="119">
        <f t="shared" si="121"/>
        <v>1</v>
      </c>
      <c r="O208" s="120">
        <f t="shared" si="122"/>
        <v>5.1520000000000003E-2</v>
      </c>
      <c r="P208" s="111"/>
      <c r="Q208" s="32"/>
      <c r="R208" s="32"/>
      <c r="S208" s="213">
        <v>6.9</v>
      </c>
      <c r="T208" s="354">
        <v>1</v>
      </c>
      <c r="U208" s="213" t="s">
        <v>704</v>
      </c>
    </row>
    <row r="209" spans="1:21" ht="15.6">
      <c r="A209" s="110" t="s">
        <v>490</v>
      </c>
      <c r="B209" s="111" t="s">
        <v>227</v>
      </c>
      <c r="C209" s="112" t="s">
        <v>228</v>
      </c>
      <c r="D209" s="113" t="s">
        <v>17</v>
      </c>
      <c r="E209" s="114" t="s">
        <v>15</v>
      </c>
      <c r="F209" s="115" t="s">
        <v>25</v>
      </c>
      <c r="G209" s="116">
        <v>7.36</v>
      </c>
      <c r="H209" s="125">
        <v>6.7</v>
      </c>
      <c r="I209" s="111">
        <v>1</v>
      </c>
      <c r="J209" s="117">
        <f t="shared" si="119"/>
        <v>4.9312000000000002E-2</v>
      </c>
      <c r="K209" s="118"/>
      <c r="L209" s="111"/>
      <c r="M209" s="117">
        <f t="shared" si="120"/>
        <v>0</v>
      </c>
      <c r="N209" s="119">
        <f t="shared" si="121"/>
        <v>1</v>
      </c>
      <c r="O209" s="120">
        <f t="shared" si="122"/>
        <v>4.9312000000000002E-2</v>
      </c>
      <c r="P209" s="111"/>
      <c r="Q209" s="32"/>
      <c r="R209" s="32"/>
      <c r="S209" s="213">
        <v>6.9</v>
      </c>
      <c r="T209" s="354">
        <v>1</v>
      </c>
      <c r="U209" s="213" t="s">
        <v>704</v>
      </c>
    </row>
    <row r="210" spans="1:21" ht="15.6">
      <c r="A210" s="110" t="s">
        <v>490</v>
      </c>
      <c r="B210" s="111" t="s">
        <v>227</v>
      </c>
      <c r="C210" s="112" t="s">
        <v>228</v>
      </c>
      <c r="D210" s="113" t="s">
        <v>17</v>
      </c>
      <c r="E210" s="114" t="s">
        <v>15</v>
      </c>
      <c r="F210" s="115" t="s">
        <v>25</v>
      </c>
      <c r="G210" s="116">
        <v>7.36</v>
      </c>
      <c r="H210" s="125">
        <v>11.1</v>
      </c>
      <c r="I210" s="111">
        <v>1</v>
      </c>
      <c r="J210" s="117">
        <f t="shared" si="119"/>
        <v>8.1696000000000005E-2</v>
      </c>
      <c r="K210" s="118"/>
      <c r="L210" s="111">
        <v>1</v>
      </c>
      <c r="M210" s="117">
        <f t="shared" si="120"/>
        <v>8.1696000000000005E-2</v>
      </c>
      <c r="N210" s="119">
        <f t="shared" si="121"/>
        <v>0</v>
      </c>
      <c r="O210" s="120">
        <f t="shared" si="122"/>
        <v>0</v>
      </c>
      <c r="P210" s="111">
        <v>10</v>
      </c>
      <c r="Q210" s="32">
        <v>1</v>
      </c>
      <c r="R210" s="32" t="s">
        <v>320</v>
      </c>
    </row>
    <row r="211" spans="1:21" ht="15.6">
      <c r="A211" s="110" t="s">
        <v>490</v>
      </c>
      <c r="B211" s="111" t="s">
        <v>227</v>
      </c>
      <c r="C211" s="112" t="s">
        <v>228</v>
      </c>
      <c r="D211" s="113" t="s">
        <v>17</v>
      </c>
      <c r="E211" s="114" t="s">
        <v>15</v>
      </c>
      <c r="F211" s="115" t="s">
        <v>25</v>
      </c>
      <c r="G211" s="116">
        <v>7.36</v>
      </c>
      <c r="H211" s="125">
        <v>11.5</v>
      </c>
      <c r="I211" s="111">
        <v>7</v>
      </c>
      <c r="J211" s="117">
        <f t="shared" si="119"/>
        <v>0.59248000000000001</v>
      </c>
      <c r="K211" s="118"/>
      <c r="L211" s="111">
        <f>1+6</f>
        <v>7</v>
      </c>
      <c r="M211" s="117">
        <f t="shared" si="120"/>
        <v>0.59248000000000001</v>
      </c>
      <c r="N211" s="119">
        <f t="shared" si="121"/>
        <v>0</v>
      </c>
      <c r="O211" s="120">
        <f>H211*N211*G211/1000</f>
        <v>0</v>
      </c>
      <c r="P211" s="111" t="s">
        <v>497</v>
      </c>
      <c r="Q211" s="32">
        <f>1+6</f>
        <v>7</v>
      </c>
      <c r="R211" s="32" t="s">
        <v>320</v>
      </c>
    </row>
    <row r="212" spans="1:21">
      <c r="A212" s="32"/>
      <c r="B212" s="32"/>
      <c r="C212" s="32"/>
      <c r="D212" s="32"/>
      <c r="E212" s="32"/>
      <c r="F212" s="32"/>
      <c r="G212" s="32"/>
      <c r="H212" s="32"/>
      <c r="I212" s="129">
        <f>SUM(I194:I211)</f>
        <v>791</v>
      </c>
      <c r="J212" s="124">
        <f>SUM(J194:J211)</f>
        <v>58.375840000000004</v>
      </c>
      <c r="K212" s="32"/>
      <c r="L212" s="129">
        <f>SUM(L194:L211)</f>
        <v>817</v>
      </c>
      <c r="M212" s="124">
        <f>SUM(M194:M211)</f>
        <v>60.443264000000006</v>
      </c>
      <c r="N212" s="131">
        <f>SUM(N194:N211)</f>
        <v>-26</v>
      </c>
      <c r="O212" s="132">
        <f>SUM(O194:O211)</f>
        <v>-2.0674240000000004</v>
      </c>
      <c r="P212" s="32"/>
      <c r="Q212" s="32"/>
      <c r="R212" s="32"/>
      <c r="T212" s="131">
        <f>SUM(T194:T211)</f>
        <v>15</v>
      </c>
    </row>
    <row r="215" spans="1:21" ht="15.6">
      <c r="A215" s="110" t="s">
        <v>475</v>
      </c>
      <c r="B215" s="111" t="s">
        <v>239</v>
      </c>
      <c r="C215" s="112" t="s">
        <v>228</v>
      </c>
      <c r="D215" s="113" t="s">
        <v>492</v>
      </c>
      <c r="E215" s="114" t="s">
        <v>15</v>
      </c>
      <c r="F215" s="115" t="s">
        <v>25</v>
      </c>
      <c r="G215" s="116">
        <v>7.36</v>
      </c>
      <c r="H215" s="125">
        <v>12</v>
      </c>
      <c r="I215" s="111">
        <v>26</v>
      </c>
      <c r="J215" s="117">
        <f t="shared" ref="J215" si="123">H215*G215*I215/1000</f>
        <v>2.2963200000000001</v>
      </c>
      <c r="K215" s="118"/>
      <c r="L215" s="111">
        <v>26</v>
      </c>
      <c r="M215" s="117">
        <f t="shared" ref="M215" si="124">H215*L215*G215/1000</f>
        <v>2.2963200000000001</v>
      </c>
      <c r="N215" s="119">
        <f t="shared" ref="N215" si="125">I215-L215</f>
        <v>0</v>
      </c>
      <c r="O215" s="120">
        <f t="shared" ref="O215" si="126">H215*N215*G215/1000</f>
        <v>0</v>
      </c>
      <c r="P215" s="111"/>
      <c r="Q215" s="32"/>
      <c r="R215" s="32"/>
    </row>
    <row r="216" spans="1:21" ht="15.6">
      <c r="A216" s="110" t="s">
        <v>475</v>
      </c>
      <c r="B216" s="111" t="s">
        <v>239</v>
      </c>
      <c r="C216" s="112" t="s">
        <v>228</v>
      </c>
      <c r="D216" s="113" t="s">
        <v>492</v>
      </c>
      <c r="E216" s="114" t="s">
        <v>15</v>
      </c>
      <c r="F216" s="115" t="s">
        <v>25</v>
      </c>
      <c r="G216" s="116">
        <v>7.36</v>
      </c>
      <c r="H216" s="125">
        <v>11.5</v>
      </c>
      <c r="I216" s="111">
        <v>7</v>
      </c>
      <c r="J216" s="117">
        <f t="shared" ref="J216:J217" si="127">H216*G216*I216/1000</f>
        <v>0.59248000000000001</v>
      </c>
      <c r="K216" s="118"/>
      <c r="L216" s="111">
        <f>3+4</f>
        <v>7</v>
      </c>
      <c r="M216" s="117">
        <f t="shared" ref="M216:M217" si="128">H216*L216*G216/1000</f>
        <v>0.59248000000000001</v>
      </c>
      <c r="N216" s="119">
        <f t="shared" ref="N216:N217" si="129">I216-L216</f>
        <v>0</v>
      </c>
      <c r="O216" s="120">
        <f t="shared" ref="O216:O217" si="130">H216*N216*G216/1000</f>
        <v>0</v>
      </c>
      <c r="P216" s="159">
        <v>11</v>
      </c>
      <c r="Q216" s="45">
        <v>4</v>
      </c>
      <c r="R216" s="32" t="s">
        <v>692</v>
      </c>
    </row>
    <row r="217" spans="1:21" ht="15.6">
      <c r="A217" s="110" t="s">
        <v>475</v>
      </c>
      <c r="B217" s="111" t="s">
        <v>239</v>
      </c>
      <c r="C217" s="112" t="s">
        <v>228</v>
      </c>
      <c r="D217" s="113" t="s">
        <v>492</v>
      </c>
      <c r="E217" s="114" t="s">
        <v>15</v>
      </c>
      <c r="F217" s="115" t="s">
        <v>25</v>
      </c>
      <c r="G217" s="116">
        <v>7.36</v>
      </c>
      <c r="H217" s="125">
        <v>12</v>
      </c>
      <c r="I217" s="111">
        <v>33</v>
      </c>
      <c r="J217" s="117">
        <f t="shared" si="127"/>
        <v>2.9145600000000003</v>
      </c>
      <c r="K217" s="118"/>
      <c r="L217" s="111">
        <v>33</v>
      </c>
      <c r="M217" s="117">
        <f t="shared" si="128"/>
        <v>2.9145599999999998</v>
      </c>
      <c r="N217" s="119">
        <f t="shared" si="129"/>
        <v>0</v>
      </c>
      <c r="O217" s="120">
        <f t="shared" si="130"/>
        <v>0</v>
      </c>
      <c r="P217" s="111"/>
      <c r="Q217" s="32"/>
      <c r="R217" s="32"/>
    </row>
    <row r="218" spans="1:21">
      <c r="I218" s="215">
        <f>SUM(I215:I217)</f>
        <v>66</v>
      </c>
      <c r="J218" s="214">
        <f>SUM(J215:J217)</f>
        <v>5.8033600000000005</v>
      </c>
      <c r="L218" s="215">
        <f>SUM(L215:L217)</f>
        <v>66</v>
      </c>
      <c r="M218" s="214">
        <f>SUM(M215:M217)</f>
        <v>5.8033599999999996</v>
      </c>
      <c r="N218" s="215">
        <f>SUM(N215:N217)</f>
        <v>0</v>
      </c>
      <c r="O218" s="214">
        <f>SUM(O215:O217)</f>
        <v>0</v>
      </c>
    </row>
    <row r="220" spans="1:21" ht="15.6">
      <c r="A220" s="110" t="s">
        <v>475</v>
      </c>
      <c r="B220" s="111" t="s">
        <v>239</v>
      </c>
      <c r="C220" s="112" t="s">
        <v>228</v>
      </c>
      <c r="D220" s="113" t="s">
        <v>492</v>
      </c>
      <c r="E220" s="114" t="s">
        <v>15</v>
      </c>
      <c r="F220" s="115" t="s">
        <v>27</v>
      </c>
      <c r="G220" s="116">
        <v>6.17</v>
      </c>
      <c r="H220" s="125">
        <v>12</v>
      </c>
      <c r="I220" s="111">
        <v>5</v>
      </c>
      <c r="J220" s="117">
        <f t="shared" ref="J220:J221" si="131">H220*G220*I220/1000</f>
        <v>0.37019999999999992</v>
      </c>
      <c r="K220" s="118"/>
      <c r="L220" s="111">
        <v>5</v>
      </c>
      <c r="M220" s="117">
        <f t="shared" ref="M220:M221" si="132">H220*L220*G220/1000</f>
        <v>0.37019999999999997</v>
      </c>
      <c r="N220" s="119">
        <f t="shared" ref="N220:N221" si="133">I220-L220</f>
        <v>0</v>
      </c>
      <c r="O220" s="120">
        <f t="shared" ref="O220:O221" si="134">H220*N220*G220/1000</f>
        <v>0</v>
      </c>
      <c r="P220" s="111"/>
      <c r="Q220" s="32"/>
      <c r="R220" s="32"/>
    </row>
    <row r="221" spans="1:21" ht="15.6">
      <c r="A221" s="110" t="s">
        <v>475</v>
      </c>
      <c r="B221" s="111" t="s">
        <v>239</v>
      </c>
      <c r="C221" s="112" t="s">
        <v>228</v>
      </c>
      <c r="D221" s="113" t="s">
        <v>492</v>
      </c>
      <c r="E221" s="114" t="s">
        <v>15</v>
      </c>
      <c r="F221" s="115" t="s">
        <v>27</v>
      </c>
      <c r="G221" s="116">
        <v>6.17</v>
      </c>
      <c r="H221" s="125">
        <v>12</v>
      </c>
      <c r="I221" s="111">
        <v>8</v>
      </c>
      <c r="J221" s="117">
        <f t="shared" si="131"/>
        <v>0.59231999999999996</v>
      </c>
      <c r="K221" s="118"/>
      <c r="L221" s="111">
        <v>8</v>
      </c>
      <c r="M221" s="117">
        <f t="shared" si="132"/>
        <v>0.59231999999999996</v>
      </c>
      <c r="N221" s="119">
        <f t="shared" si="133"/>
        <v>0</v>
      </c>
      <c r="O221" s="120">
        <f t="shared" si="134"/>
        <v>0</v>
      </c>
      <c r="P221" s="111"/>
      <c r="Q221" s="32"/>
      <c r="R221" s="32"/>
    </row>
    <row r="222" spans="1:21" ht="15.6">
      <c r="A222" s="110" t="s">
        <v>475</v>
      </c>
      <c r="B222" s="111" t="s">
        <v>239</v>
      </c>
      <c r="C222" s="112" t="s">
        <v>228</v>
      </c>
      <c r="D222" s="113" t="s">
        <v>492</v>
      </c>
      <c r="E222" s="114" t="s">
        <v>15</v>
      </c>
      <c r="F222" s="115" t="s">
        <v>27</v>
      </c>
      <c r="G222" s="116">
        <v>6.17</v>
      </c>
      <c r="H222" s="125">
        <v>9.9</v>
      </c>
      <c r="I222" s="111">
        <v>1</v>
      </c>
      <c r="J222" s="117">
        <f t="shared" ref="J222:J224" si="135">H222*G222*I222/1000</f>
        <v>6.1082999999999998E-2</v>
      </c>
      <c r="K222" s="118"/>
      <c r="L222" s="111"/>
      <c r="M222" s="117">
        <f t="shared" ref="M222:M224" si="136">H222*L222*G222/1000</f>
        <v>0</v>
      </c>
      <c r="N222" s="119">
        <f t="shared" ref="N222:N224" si="137">I222-L222</f>
        <v>1</v>
      </c>
      <c r="O222" s="120">
        <f t="shared" ref="O222:O224" si="138">H222*N222*G222/1000</f>
        <v>6.1082999999999998E-2</v>
      </c>
      <c r="P222" s="111"/>
      <c r="Q222" s="32"/>
      <c r="R222" s="32"/>
    </row>
    <row r="223" spans="1:21" ht="15.6">
      <c r="A223" s="110" t="s">
        <v>475</v>
      </c>
      <c r="B223" s="111" t="s">
        <v>239</v>
      </c>
      <c r="C223" s="112" t="s">
        <v>228</v>
      </c>
      <c r="D223" s="113" t="s">
        <v>492</v>
      </c>
      <c r="E223" s="114" t="s">
        <v>15</v>
      </c>
      <c r="F223" s="115" t="s">
        <v>27</v>
      </c>
      <c r="G223" s="116">
        <v>6.17</v>
      </c>
      <c r="H223" s="125">
        <v>11</v>
      </c>
      <c r="I223" s="111">
        <v>1</v>
      </c>
      <c r="J223" s="117">
        <f t="shared" si="135"/>
        <v>6.787E-2</v>
      </c>
      <c r="K223" s="118"/>
      <c r="L223" s="111"/>
      <c r="M223" s="117">
        <f t="shared" si="136"/>
        <v>0</v>
      </c>
      <c r="N223" s="119">
        <f t="shared" si="137"/>
        <v>1</v>
      </c>
      <c r="O223" s="120">
        <f t="shared" si="138"/>
        <v>6.787E-2</v>
      </c>
      <c r="P223" s="111"/>
      <c r="Q223" s="32"/>
      <c r="R223" s="32"/>
    </row>
    <row r="224" spans="1:21" ht="15.6">
      <c r="A224" s="110" t="s">
        <v>475</v>
      </c>
      <c r="B224" s="111" t="s">
        <v>239</v>
      </c>
      <c r="C224" s="112" t="s">
        <v>228</v>
      </c>
      <c r="D224" s="113" t="s">
        <v>492</v>
      </c>
      <c r="E224" s="114" t="s">
        <v>15</v>
      </c>
      <c r="F224" s="115" t="s">
        <v>27</v>
      </c>
      <c r="G224" s="116">
        <v>6.17</v>
      </c>
      <c r="H224" s="125">
        <v>12</v>
      </c>
      <c r="I224" s="111">
        <v>1</v>
      </c>
      <c r="J224" s="117">
        <f t="shared" si="135"/>
        <v>7.4039999999999995E-2</v>
      </c>
      <c r="K224" s="118"/>
      <c r="L224" s="111"/>
      <c r="M224" s="117">
        <f t="shared" si="136"/>
        <v>0</v>
      </c>
      <c r="N224" s="119">
        <f t="shared" si="137"/>
        <v>1</v>
      </c>
      <c r="O224" s="120">
        <f t="shared" si="138"/>
        <v>7.4039999999999995E-2</v>
      </c>
      <c r="P224" s="111"/>
      <c r="Q224" s="32"/>
      <c r="R224" s="32"/>
    </row>
    <row r="225" spans="1:18">
      <c r="I225" s="215">
        <f>SUM(I220:I224)</f>
        <v>16</v>
      </c>
      <c r="J225" s="214">
        <f>SUM(J220:J224)</f>
        <v>1.1655129999999998</v>
      </c>
      <c r="L225" s="215">
        <f>SUM(L220:L224)</f>
        <v>13</v>
      </c>
      <c r="M225" s="214">
        <f>SUM(M220:M224)</f>
        <v>0.96251999999999993</v>
      </c>
      <c r="N225" s="215">
        <f>SUM(N220:N224)</f>
        <v>3</v>
      </c>
      <c r="O225" s="214">
        <f>SUM(O220:O224)</f>
        <v>0.20299299999999998</v>
      </c>
    </row>
    <row r="228" spans="1:18" ht="15.6">
      <c r="A228" s="110" t="s">
        <v>493</v>
      </c>
      <c r="B228" s="111" t="s">
        <v>227</v>
      </c>
      <c r="C228" s="112" t="s">
        <v>228</v>
      </c>
      <c r="D228" s="113" t="s">
        <v>20</v>
      </c>
      <c r="E228" s="114" t="s">
        <v>15</v>
      </c>
      <c r="F228" s="115" t="s">
        <v>27</v>
      </c>
      <c r="G228" s="116">
        <v>6.17</v>
      </c>
      <c r="H228" s="125">
        <v>12</v>
      </c>
      <c r="I228" s="111">
        <v>4</v>
      </c>
      <c r="J228" s="117">
        <f t="shared" ref="J228" si="139">H228*G228*I228/1000</f>
        <v>0.29615999999999998</v>
      </c>
      <c r="K228" s="118"/>
      <c r="L228" s="111">
        <v>4</v>
      </c>
      <c r="M228" s="117">
        <f t="shared" ref="M228" si="140">H228*L228*G228/1000</f>
        <v>0.29615999999999998</v>
      </c>
      <c r="N228" s="119">
        <f t="shared" ref="N228" si="141">I228-L228</f>
        <v>0</v>
      </c>
      <c r="O228" s="120">
        <f t="shared" ref="O228" si="142">H228*N228*G228/1000</f>
        <v>0</v>
      </c>
      <c r="P228" s="111"/>
      <c r="Q228" s="32"/>
      <c r="R228" s="32"/>
    </row>
    <row r="229" spans="1:18" ht="15.6">
      <c r="A229" s="110" t="s">
        <v>493</v>
      </c>
      <c r="B229" s="111" t="s">
        <v>227</v>
      </c>
      <c r="C229" s="112" t="s">
        <v>228</v>
      </c>
      <c r="D229" s="113" t="s">
        <v>20</v>
      </c>
      <c r="E229" s="114" t="s">
        <v>15</v>
      </c>
      <c r="F229" s="115" t="s">
        <v>27</v>
      </c>
      <c r="G229" s="116">
        <v>6.17</v>
      </c>
      <c r="H229" s="125">
        <v>9.6999999999999993</v>
      </c>
      <c r="I229" s="111">
        <f>30+21</f>
        <v>51</v>
      </c>
      <c r="J229" s="117">
        <f t="shared" ref="J229:J242" si="143">H229*G229*I229/1000</f>
        <v>3.0522990000000001</v>
      </c>
      <c r="K229" s="118"/>
      <c r="L229" s="111">
        <v>51</v>
      </c>
      <c r="M229" s="117">
        <f t="shared" ref="M229:M242" si="144">H229*L229*G229/1000</f>
        <v>3.0522990000000001</v>
      </c>
      <c r="N229" s="119">
        <f t="shared" ref="N229:N242" si="145">I229-L229</f>
        <v>0</v>
      </c>
      <c r="O229" s="120">
        <f t="shared" ref="O229:O242" si="146">H229*N229*G229/1000</f>
        <v>0</v>
      </c>
      <c r="P229" s="111"/>
      <c r="Q229" s="32"/>
      <c r="R229" s="32"/>
    </row>
    <row r="230" spans="1:18" ht="15.6">
      <c r="A230" s="110" t="s">
        <v>493</v>
      </c>
      <c r="B230" s="111" t="s">
        <v>227</v>
      </c>
      <c r="C230" s="112" t="s">
        <v>228</v>
      </c>
      <c r="D230" s="113" t="s">
        <v>20</v>
      </c>
      <c r="E230" s="114" t="s">
        <v>15</v>
      </c>
      <c r="F230" s="115" t="s">
        <v>27</v>
      </c>
      <c r="G230" s="116">
        <v>6.17</v>
      </c>
      <c r="H230" s="125">
        <v>9</v>
      </c>
      <c r="I230" s="111">
        <f>40+20+45</f>
        <v>105</v>
      </c>
      <c r="J230" s="117">
        <f t="shared" si="143"/>
        <v>5.8306500000000003</v>
      </c>
      <c r="K230" s="118"/>
      <c r="L230" s="111">
        <v>105</v>
      </c>
      <c r="M230" s="117">
        <f t="shared" si="144"/>
        <v>5.8306499999999994</v>
      </c>
      <c r="N230" s="119">
        <f t="shared" si="145"/>
        <v>0</v>
      </c>
      <c r="O230" s="120">
        <f t="shared" si="146"/>
        <v>0</v>
      </c>
      <c r="P230" s="111"/>
      <c r="Q230" s="32"/>
      <c r="R230" s="32"/>
    </row>
    <row r="231" spans="1:18" ht="15.6">
      <c r="A231" s="110" t="s">
        <v>493</v>
      </c>
      <c r="B231" s="111" t="s">
        <v>227</v>
      </c>
      <c r="C231" s="112" t="s">
        <v>228</v>
      </c>
      <c r="D231" s="113" t="s">
        <v>20</v>
      </c>
      <c r="E231" s="114" t="s">
        <v>15</v>
      </c>
      <c r="F231" s="115" t="s">
        <v>27</v>
      </c>
      <c r="G231" s="116">
        <v>6.17</v>
      </c>
      <c r="H231" s="125">
        <v>10.5</v>
      </c>
      <c r="I231" s="111">
        <f>40+31+41+35</f>
        <v>147</v>
      </c>
      <c r="J231" s="117">
        <f t="shared" si="143"/>
        <v>9.5233949999999989</v>
      </c>
      <c r="K231" s="118"/>
      <c r="L231" s="111">
        <f>145+2</f>
        <v>147</v>
      </c>
      <c r="M231" s="117">
        <f t="shared" si="144"/>
        <v>9.5233950000000007</v>
      </c>
      <c r="N231" s="119">
        <f t="shared" si="145"/>
        <v>0</v>
      </c>
      <c r="O231" s="120">
        <f t="shared" si="146"/>
        <v>0</v>
      </c>
      <c r="P231" s="111">
        <v>9</v>
      </c>
      <c r="Q231" s="32">
        <v>2</v>
      </c>
      <c r="R231" s="32"/>
    </row>
    <row r="232" spans="1:18" ht="15.6">
      <c r="A232" s="110" t="s">
        <v>493</v>
      </c>
      <c r="B232" s="111" t="s">
        <v>227</v>
      </c>
      <c r="C232" s="112" t="s">
        <v>228</v>
      </c>
      <c r="D232" s="113" t="s">
        <v>20</v>
      </c>
      <c r="E232" s="114" t="s">
        <v>15</v>
      </c>
      <c r="F232" s="115" t="s">
        <v>27</v>
      </c>
      <c r="G232" s="116">
        <v>6.17</v>
      </c>
      <c r="H232" s="125">
        <v>11.5</v>
      </c>
      <c r="I232" s="111">
        <f>34+39+38+38+39+36+37+35+35+13</f>
        <v>344</v>
      </c>
      <c r="J232" s="117">
        <f t="shared" si="143"/>
        <v>24.408519999999999</v>
      </c>
      <c r="K232" s="118"/>
      <c r="L232" s="111">
        <v>344</v>
      </c>
      <c r="M232" s="117">
        <f t="shared" si="144"/>
        <v>24.408519999999999</v>
      </c>
      <c r="N232" s="119">
        <f t="shared" si="145"/>
        <v>0</v>
      </c>
      <c r="O232" s="120">
        <f t="shared" si="146"/>
        <v>0</v>
      </c>
      <c r="P232" s="111"/>
      <c r="Q232" s="32"/>
      <c r="R232" s="32"/>
    </row>
    <row r="233" spans="1:18" ht="15.6">
      <c r="A233" s="110" t="s">
        <v>493</v>
      </c>
      <c r="B233" s="111" t="s">
        <v>227</v>
      </c>
      <c r="C233" s="112" t="s">
        <v>228</v>
      </c>
      <c r="D233" s="113" t="s">
        <v>20</v>
      </c>
      <c r="E233" s="114" t="s">
        <v>15</v>
      </c>
      <c r="F233" s="115" t="s">
        <v>27</v>
      </c>
      <c r="G233" s="116">
        <v>6.17</v>
      </c>
      <c r="H233" s="125">
        <v>12</v>
      </c>
      <c r="I233" s="111">
        <f>37+35+38+38+22+35+33+37+35+31</f>
        <v>341</v>
      </c>
      <c r="J233" s="117">
        <f t="shared" si="143"/>
        <v>25.247639999999997</v>
      </c>
      <c r="K233" s="118"/>
      <c r="L233" s="111">
        <f>304+4+33</f>
        <v>341</v>
      </c>
      <c r="M233" s="117">
        <f t="shared" si="144"/>
        <v>25.247640000000001</v>
      </c>
      <c r="N233" s="119">
        <f t="shared" si="145"/>
        <v>0</v>
      </c>
      <c r="O233" s="120">
        <f t="shared" si="146"/>
        <v>0</v>
      </c>
      <c r="P233" s="111" t="s">
        <v>494</v>
      </c>
      <c r="Q233" s="32">
        <f>4+33</f>
        <v>37</v>
      </c>
      <c r="R233" s="32"/>
    </row>
    <row r="234" spans="1:18" ht="15.6">
      <c r="A234" s="110" t="s">
        <v>493</v>
      </c>
      <c r="B234" s="111" t="s">
        <v>227</v>
      </c>
      <c r="C234" s="112" t="s">
        <v>228</v>
      </c>
      <c r="D234" s="113" t="s">
        <v>20</v>
      </c>
      <c r="E234" s="114" t="s">
        <v>15</v>
      </c>
      <c r="F234" s="115" t="s">
        <v>27</v>
      </c>
      <c r="G234" s="116">
        <v>6.17</v>
      </c>
      <c r="H234" s="125">
        <v>8.8000000000000007</v>
      </c>
      <c r="I234" s="111">
        <v>1</v>
      </c>
      <c r="J234" s="117">
        <f t="shared" si="143"/>
        <v>5.4296000000000004E-2</v>
      </c>
      <c r="K234" s="118"/>
      <c r="L234" s="111">
        <v>1</v>
      </c>
      <c r="M234" s="117">
        <f t="shared" si="144"/>
        <v>5.4296000000000004E-2</v>
      </c>
      <c r="N234" s="119">
        <f t="shared" si="145"/>
        <v>0</v>
      </c>
      <c r="O234" s="120">
        <f t="shared" si="146"/>
        <v>0</v>
      </c>
      <c r="P234" s="159"/>
      <c r="Q234" s="45">
        <v>1</v>
      </c>
      <c r="R234" s="2" t="s">
        <v>700</v>
      </c>
    </row>
    <row r="235" spans="1:18" ht="15.6">
      <c r="A235" s="110" t="s">
        <v>493</v>
      </c>
      <c r="B235" s="111" t="s">
        <v>227</v>
      </c>
      <c r="C235" s="112" t="s">
        <v>228</v>
      </c>
      <c r="D235" s="113" t="s">
        <v>20</v>
      </c>
      <c r="E235" s="114" t="s">
        <v>15</v>
      </c>
      <c r="F235" s="115" t="s">
        <v>27</v>
      </c>
      <c r="G235" s="116">
        <v>6.17</v>
      </c>
      <c r="H235" s="125">
        <v>8.3000000000000007</v>
      </c>
      <c r="I235" s="111">
        <v>1</v>
      </c>
      <c r="J235" s="117">
        <f t="shared" si="143"/>
        <v>5.1211000000000007E-2</v>
      </c>
      <c r="K235" s="118"/>
      <c r="L235" s="111">
        <v>1</v>
      </c>
      <c r="M235" s="117">
        <f t="shared" si="144"/>
        <v>5.1211000000000007E-2</v>
      </c>
      <c r="N235" s="145">
        <f t="shared" si="145"/>
        <v>0</v>
      </c>
      <c r="O235" s="120">
        <f t="shared" si="146"/>
        <v>0</v>
      </c>
      <c r="P235" s="159"/>
      <c r="Q235" s="45">
        <v>1</v>
      </c>
      <c r="R235" s="2" t="s">
        <v>700</v>
      </c>
    </row>
    <row r="236" spans="1:18" ht="15.6">
      <c r="A236" s="110" t="s">
        <v>493</v>
      </c>
      <c r="B236" s="111" t="s">
        <v>227</v>
      </c>
      <c r="C236" s="112" t="s">
        <v>228</v>
      </c>
      <c r="D236" s="113" t="s">
        <v>20</v>
      </c>
      <c r="E236" s="114" t="s">
        <v>15</v>
      </c>
      <c r="F236" s="115" t="s">
        <v>27</v>
      </c>
      <c r="G236" s="116">
        <v>6.17</v>
      </c>
      <c r="H236" s="125">
        <v>7.55</v>
      </c>
      <c r="I236" s="111">
        <v>2</v>
      </c>
      <c r="J236" s="117">
        <f t="shared" si="143"/>
        <v>9.3167E-2</v>
      </c>
      <c r="K236" s="118"/>
      <c r="L236" s="111">
        <v>2</v>
      </c>
      <c r="M236" s="117">
        <f t="shared" si="144"/>
        <v>9.3167E-2</v>
      </c>
      <c r="N236" s="145">
        <f t="shared" si="145"/>
        <v>0</v>
      </c>
      <c r="O236" s="120">
        <f t="shared" si="146"/>
        <v>0</v>
      </c>
      <c r="P236" s="159"/>
      <c r="Q236" s="45">
        <v>2</v>
      </c>
      <c r="R236" s="2" t="s">
        <v>700</v>
      </c>
    </row>
    <row r="237" spans="1:18" ht="15.6">
      <c r="A237" s="110" t="s">
        <v>493</v>
      </c>
      <c r="B237" s="111" t="s">
        <v>227</v>
      </c>
      <c r="C237" s="112" t="s">
        <v>228</v>
      </c>
      <c r="D237" s="113" t="s">
        <v>20</v>
      </c>
      <c r="E237" s="114" t="s">
        <v>15</v>
      </c>
      <c r="F237" s="115" t="s">
        <v>27</v>
      </c>
      <c r="G237" s="116">
        <v>6.17</v>
      </c>
      <c r="H237" s="125">
        <v>8.5</v>
      </c>
      <c r="I237" s="111">
        <v>4</v>
      </c>
      <c r="J237" s="117">
        <f t="shared" si="143"/>
        <v>0.20977999999999999</v>
      </c>
      <c r="K237" s="118"/>
      <c r="L237" s="111">
        <v>4</v>
      </c>
      <c r="M237" s="117">
        <f t="shared" si="144"/>
        <v>0.20977999999999999</v>
      </c>
      <c r="N237" s="119">
        <f t="shared" si="145"/>
        <v>0</v>
      </c>
      <c r="O237" s="120">
        <f t="shared" si="146"/>
        <v>0</v>
      </c>
      <c r="P237" s="159">
        <v>8.5</v>
      </c>
      <c r="Q237" s="45">
        <v>4</v>
      </c>
      <c r="R237" s="2" t="s">
        <v>700</v>
      </c>
    </row>
    <row r="238" spans="1:18" ht="15.6">
      <c r="A238" s="110" t="s">
        <v>493</v>
      </c>
      <c r="B238" s="111" t="s">
        <v>227</v>
      </c>
      <c r="C238" s="112" t="s">
        <v>228</v>
      </c>
      <c r="D238" s="113" t="s">
        <v>20</v>
      </c>
      <c r="E238" s="114" t="s">
        <v>15</v>
      </c>
      <c r="F238" s="115" t="s">
        <v>27</v>
      </c>
      <c r="G238" s="116">
        <v>6.17</v>
      </c>
      <c r="H238" s="125">
        <v>7.9</v>
      </c>
      <c r="I238" s="111">
        <v>1</v>
      </c>
      <c r="J238" s="117">
        <f t="shared" si="143"/>
        <v>4.8743000000000002E-2</v>
      </c>
      <c r="K238" s="118"/>
      <c r="L238" s="111">
        <v>1</v>
      </c>
      <c r="M238" s="117">
        <f t="shared" si="144"/>
        <v>4.8743000000000002E-2</v>
      </c>
      <c r="N238" s="145">
        <f t="shared" si="145"/>
        <v>0</v>
      </c>
      <c r="O238" s="120">
        <f t="shared" si="146"/>
        <v>0</v>
      </c>
      <c r="P238" s="111"/>
      <c r="Q238" s="45">
        <v>1</v>
      </c>
      <c r="R238" s="2" t="s">
        <v>700</v>
      </c>
    </row>
    <row r="239" spans="1:18" ht="15.6">
      <c r="A239" s="110" t="s">
        <v>493</v>
      </c>
      <c r="B239" s="111" t="s">
        <v>227</v>
      </c>
      <c r="C239" s="112" t="s">
        <v>228</v>
      </c>
      <c r="D239" s="113" t="s">
        <v>20</v>
      </c>
      <c r="E239" s="114" t="s">
        <v>15</v>
      </c>
      <c r="F239" s="115" t="s">
        <v>27</v>
      </c>
      <c r="G239" s="116">
        <v>6.17</v>
      </c>
      <c r="H239" s="125">
        <v>7.6</v>
      </c>
      <c r="I239" s="111">
        <v>1</v>
      </c>
      <c r="J239" s="117">
        <f t="shared" si="143"/>
        <v>4.6891999999999996E-2</v>
      </c>
      <c r="K239" s="118"/>
      <c r="L239" s="111">
        <v>1</v>
      </c>
      <c r="M239" s="117">
        <f t="shared" si="144"/>
        <v>4.6891999999999996E-2</v>
      </c>
      <c r="N239" s="145">
        <f t="shared" si="145"/>
        <v>0</v>
      </c>
      <c r="O239" s="120">
        <f t="shared" si="146"/>
        <v>0</v>
      </c>
      <c r="P239" s="111"/>
      <c r="Q239" s="45">
        <v>1</v>
      </c>
      <c r="R239" s="2" t="s">
        <v>700</v>
      </c>
    </row>
    <row r="240" spans="1:18" ht="15.6">
      <c r="A240" s="110" t="s">
        <v>493</v>
      </c>
      <c r="B240" s="111" t="s">
        <v>227</v>
      </c>
      <c r="C240" s="112" t="s">
        <v>228</v>
      </c>
      <c r="D240" s="113" t="s">
        <v>20</v>
      </c>
      <c r="E240" s="114" t="s">
        <v>15</v>
      </c>
      <c r="F240" s="115" t="s">
        <v>27</v>
      </c>
      <c r="G240" s="116">
        <v>6.17</v>
      </c>
      <c r="H240" s="125">
        <v>7.5</v>
      </c>
      <c r="I240" s="111">
        <v>1</v>
      </c>
      <c r="J240" s="117">
        <f t="shared" si="143"/>
        <v>4.6274999999999997E-2</v>
      </c>
      <c r="K240" s="118"/>
      <c r="L240" s="111">
        <v>1</v>
      </c>
      <c r="M240" s="117">
        <f t="shared" si="144"/>
        <v>4.6274999999999997E-2</v>
      </c>
      <c r="N240" s="145">
        <f t="shared" si="145"/>
        <v>0</v>
      </c>
      <c r="O240" s="120">
        <f t="shared" si="146"/>
        <v>0</v>
      </c>
      <c r="P240" s="111"/>
      <c r="Q240" s="45">
        <v>1</v>
      </c>
      <c r="R240" s="2" t="s">
        <v>700</v>
      </c>
    </row>
    <row r="241" spans="1:18" ht="15.6">
      <c r="A241" s="110" t="s">
        <v>493</v>
      </c>
      <c r="B241" s="111" t="s">
        <v>227</v>
      </c>
      <c r="C241" s="112" t="s">
        <v>228</v>
      </c>
      <c r="D241" s="113" t="s">
        <v>20</v>
      </c>
      <c r="E241" s="114" t="s">
        <v>15</v>
      </c>
      <c r="F241" s="115" t="s">
        <v>27</v>
      </c>
      <c r="G241" s="116">
        <v>6.17</v>
      </c>
      <c r="H241" s="125">
        <v>10.5</v>
      </c>
      <c r="I241" s="111">
        <v>8</v>
      </c>
      <c r="J241" s="117">
        <f t="shared" si="143"/>
        <v>0.51827999999999996</v>
      </c>
      <c r="K241" s="118"/>
      <c r="L241" s="111">
        <v>8</v>
      </c>
      <c r="M241" s="117">
        <f t="shared" si="144"/>
        <v>0.51827999999999996</v>
      </c>
      <c r="N241" s="119">
        <f t="shared" si="145"/>
        <v>0</v>
      </c>
      <c r="O241" s="120">
        <f t="shared" si="146"/>
        <v>0</v>
      </c>
      <c r="P241" s="111"/>
      <c r="Q241" s="32"/>
      <c r="R241" s="32"/>
    </row>
    <row r="242" spans="1:18" ht="15.6">
      <c r="A242" s="110" t="s">
        <v>493</v>
      </c>
      <c r="B242" s="111" t="s">
        <v>227</v>
      </c>
      <c r="C242" s="112" t="s">
        <v>228</v>
      </c>
      <c r="D242" s="113" t="s">
        <v>20</v>
      </c>
      <c r="E242" s="114" t="s">
        <v>15</v>
      </c>
      <c r="F242" s="115" t="s">
        <v>27</v>
      </c>
      <c r="G242" s="116">
        <v>6.17</v>
      </c>
      <c r="H242" s="125">
        <v>11.5</v>
      </c>
      <c r="I242" s="111">
        <v>2</v>
      </c>
      <c r="J242" s="117">
        <f t="shared" si="143"/>
        <v>0.14191000000000001</v>
      </c>
      <c r="K242" s="118"/>
      <c r="L242" s="111">
        <v>2</v>
      </c>
      <c r="M242" s="117">
        <f t="shared" si="144"/>
        <v>0.14191000000000001</v>
      </c>
      <c r="N242" s="119">
        <f t="shared" si="145"/>
        <v>0</v>
      </c>
      <c r="O242" s="120">
        <f t="shared" si="146"/>
        <v>0</v>
      </c>
      <c r="P242" s="111"/>
      <c r="Q242" s="32"/>
      <c r="R242" s="32"/>
    </row>
    <row r="243" spans="1:18">
      <c r="I243" s="215">
        <f>SUM(I228:I242)</f>
        <v>1013</v>
      </c>
      <c r="J243" s="214">
        <f>SUM(J228:J242)</f>
        <v>69.569217999999978</v>
      </c>
      <c r="L243" s="215">
        <f>SUM(L228:L242)</f>
        <v>1013</v>
      </c>
      <c r="M243" s="214">
        <f>SUM(M228:M242)</f>
        <v>69.569217999999978</v>
      </c>
      <c r="N243" s="78">
        <f>SUM(N228:N242)</f>
        <v>0</v>
      </c>
      <c r="O243" s="128">
        <f>SUM(O228:O242)</f>
        <v>0</v>
      </c>
    </row>
    <row r="245" spans="1:18" ht="15.6">
      <c r="A245" s="110" t="s">
        <v>493</v>
      </c>
      <c r="B245" s="111" t="s">
        <v>227</v>
      </c>
      <c r="C245" s="112" t="s">
        <v>228</v>
      </c>
      <c r="D245" s="113" t="s">
        <v>17</v>
      </c>
      <c r="E245" s="114" t="s">
        <v>15</v>
      </c>
      <c r="F245" s="115" t="s">
        <v>27</v>
      </c>
      <c r="G245" s="116">
        <v>6.17</v>
      </c>
      <c r="H245" s="125">
        <v>10</v>
      </c>
      <c r="I245" s="111">
        <v>10</v>
      </c>
      <c r="J245" s="117">
        <f t="shared" ref="J245" si="147">H245*G245*I245/1000</f>
        <v>0.61699999999999999</v>
      </c>
      <c r="K245" s="118"/>
      <c r="L245" s="111">
        <v>10</v>
      </c>
      <c r="M245" s="117">
        <f t="shared" ref="M245" si="148">H245*L245*G245/1000</f>
        <v>0.61699999999999999</v>
      </c>
      <c r="N245" s="119">
        <f t="shared" ref="N245" si="149">I245-L245</f>
        <v>0</v>
      </c>
      <c r="O245" s="120">
        <f t="shared" ref="O245" si="150">H245*N245*G245/1000</f>
        <v>0</v>
      </c>
      <c r="P245" s="111"/>
      <c r="Q245" s="32"/>
      <c r="R245" s="32"/>
    </row>
    <row r="246" spans="1:18" ht="15.6">
      <c r="A246" s="110" t="s">
        <v>493</v>
      </c>
      <c r="B246" s="111" t="s">
        <v>227</v>
      </c>
      <c r="C246" s="112" t="s">
        <v>228</v>
      </c>
      <c r="D246" s="113" t="s">
        <v>17</v>
      </c>
      <c r="E246" s="114" t="s">
        <v>15</v>
      </c>
      <c r="F246" s="115" t="s">
        <v>27</v>
      </c>
      <c r="G246" s="116">
        <v>6.17</v>
      </c>
      <c r="H246" s="125">
        <v>10.5</v>
      </c>
      <c r="I246" s="111">
        <f>9+17</f>
        <v>26</v>
      </c>
      <c r="J246" s="117">
        <f t="shared" ref="J246:J260" si="151">H246*G246*I246/1000</f>
        <v>1.68441</v>
      </c>
      <c r="K246" s="118"/>
      <c r="L246" s="111">
        <v>26</v>
      </c>
      <c r="M246" s="117">
        <f t="shared" ref="M246:M260" si="152">H246*L246*G246/1000</f>
        <v>1.6844100000000002</v>
      </c>
      <c r="N246" s="119">
        <f t="shared" ref="N246:N260" si="153">I246-L246</f>
        <v>0</v>
      </c>
      <c r="O246" s="120">
        <f t="shared" ref="O246:O260" si="154">H246*N246*G246/1000</f>
        <v>0</v>
      </c>
      <c r="P246" s="111"/>
      <c r="Q246" s="32"/>
      <c r="R246" s="32"/>
    </row>
    <row r="247" spans="1:18" ht="15.6">
      <c r="A247" s="110" t="s">
        <v>493</v>
      </c>
      <c r="B247" s="111" t="s">
        <v>227</v>
      </c>
      <c r="C247" s="112" t="s">
        <v>228</v>
      </c>
      <c r="D247" s="113" t="s">
        <v>17</v>
      </c>
      <c r="E247" s="114" t="s">
        <v>15</v>
      </c>
      <c r="F247" s="115" t="s">
        <v>27</v>
      </c>
      <c r="G247" s="116">
        <v>6.17</v>
      </c>
      <c r="H247" s="125">
        <v>11</v>
      </c>
      <c r="I247" s="111">
        <f>5+8</f>
        <v>13</v>
      </c>
      <c r="J247" s="117">
        <f t="shared" si="151"/>
        <v>0.88231000000000004</v>
      </c>
      <c r="K247" s="118"/>
      <c r="L247" s="111">
        <f>12+1</f>
        <v>13</v>
      </c>
      <c r="M247" s="117">
        <f t="shared" si="152"/>
        <v>0.88230999999999993</v>
      </c>
      <c r="N247" s="119">
        <f t="shared" si="153"/>
        <v>0</v>
      </c>
      <c r="O247" s="120">
        <f t="shared" si="154"/>
        <v>0</v>
      </c>
      <c r="P247" s="111">
        <v>10.5</v>
      </c>
      <c r="Q247" s="32">
        <v>1</v>
      </c>
      <c r="R247" s="32"/>
    </row>
    <row r="248" spans="1:18" ht="15.6">
      <c r="A248" s="110" t="s">
        <v>493</v>
      </c>
      <c r="B248" s="111" t="s">
        <v>227</v>
      </c>
      <c r="C248" s="112" t="s">
        <v>228</v>
      </c>
      <c r="D248" s="113" t="s">
        <v>17</v>
      </c>
      <c r="E248" s="114" t="s">
        <v>15</v>
      </c>
      <c r="F248" s="115" t="s">
        <v>27</v>
      </c>
      <c r="G248" s="116">
        <v>6.17</v>
      </c>
      <c r="H248" s="125">
        <v>11.5</v>
      </c>
      <c r="I248" s="111">
        <f>3+3</f>
        <v>6</v>
      </c>
      <c r="J248" s="117">
        <f t="shared" si="151"/>
        <v>0.42573</v>
      </c>
      <c r="K248" s="118"/>
      <c r="L248" s="111">
        <f>3+3</f>
        <v>6</v>
      </c>
      <c r="M248" s="117">
        <f t="shared" si="152"/>
        <v>0.42573</v>
      </c>
      <c r="N248" s="119">
        <f t="shared" si="153"/>
        <v>0</v>
      </c>
      <c r="O248" s="120">
        <f t="shared" si="154"/>
        <v>0</v>
      </c>
      <c r="P248" s="111">
        <v>10.5</v>
      </c>
      <c r="Q248" s="32">
        <v>3</v>
      </c>
      <c r="R248" s="32"/>
    </row>
    <row r="249" spans="1:18" ht="15.6">
      <c r="A249" s="110" t="s">
        <v>493</v>
      </c>
      <c r="B249" s="111" t="s">
        <v>227</v>
      </c>
      <c r="C249" s="112" t="s">
        <v>228</v>
      </c>
      <c r="D249" s="113" t="s">
        <v>17</v>
      </c>
      <c r="E249" s="114" t="s">
        <v>15</v>
      </c>
      <c r="F249" s="115" t="s">
        <v>27</v>
      </c>
      <c r="G249" s="116">
        <v>6.17</v>
      </c>
      <c r="H249" s="125">
        <v>10</v>
      </c>
      <c r="I249" s="111">
        <f>30+3</f>
        <v>33</v>
      </c>
      <c r="J249" s="117">
        <f t="shared" si="151"/>
        <v>2.0361000000000002</v>
      </c>
      <c r="K249" s="118"/>
      <c r="L249" s="111">
        <v>33</v>
      </c>
      <c r="M249" s="117">
        <f t="shared" si="152"/>
        <v>2.0360999999999998</v>
      </c>
      <c r="N249" s="119">
        <f t="shared" si="153"/>
        <v>0</v>
      </c>
      <c r="O249" s="120">
        <f t="shared" si="154"/>
        <v>0</v>
      </c>
      <c r="P249" s="111"/>
      <c r="Q249" s="32"/>
      <c r="R249" s="32"/>
    </row>
    <row r="250" spans="1:18" ht="15.6">
      <c r="A250" s="110" t="s">
        <v>493</v>
      </c>
      <c r="B250" s="111" t="s">
        <v>227</v>
      </c>
      <c r="C250" s="112" t="s">
        <v>228</v>
      </c>
      <c r="D250" s="113" t="s">
        <v>17</v>
      </c>
      <c r="E250" s="114" t="s">
        <v>15</v>
      </c>
      <c r="F250" s="115" t="s">
        <v>27</v>
      </c>
      <c r="G250" s="116">
        <v>6.17</v>
      </c>
      <c r="H250" s="125">
        <v>10.5</v>
      </c>
      <c r="I250" s="111">
        <v>16</v>
      </c>
      <c r="J250" s="117">
        <f t="shared" si="151"/>
        <v>1.0365599999999999</v>
      </c>
      <c r="K250" s="118"/>
      <c r="L250" s="111">
        <v>16</v>
      </c>
      <c r="M250" s="117">
        <f t="shared" si="152"/>
        <v>1.0365599999999999</v>
      </c>
      <c r="N250" s="119">
        <f t="shared" si="153"/>
        <v>0</v>
      </c>
      <c r="O250" s="120">
        <f t="shared" si="154"/>
        <v>0</v>
      </c>
      <c r="P250" s="111"/>
      <c r="Q250" s="32"/>
      <c r="R250" s="32"/>
    </row>
    <row r="251" spans="1:18" ht="15.6">
      <c r="A251" s="110" t="s">
        <v>493</v>
      </c>
      <c r="B251" s="111" t="s">
        <v>227</v>
      </c>
      <c r="C251" s="112" t="s">
        <v>228</v>
      </c>
      <c r="D251" s="113" t="s">
        <v>17</v>
      </c>
      <c r="E251" s="114" t="s">
        <v>15</v>
      </c>
      <c r="F251" s="115" t="s">
        <v>27</v>
      </c>
      <c r="G251" s="116">
        <v>6.17</v>
      </c>
      <c r="H251" s="125">
        <v>10.75</v>
      </c>
      <c r="I251" s="111">
        <f>35+35+35+35+21+35+35+36+36+38+38+6</f>
        <v>385</v>
      </c>
      <c r="J251" s="117">
        <f t="shared" si="151"/>
        <v>25.536087500000001</v>
      </c>
      <c r="K251" s="118"/>
      <c r="L251" s="111">
        <f>384+1</f>
        <v>385</v>
      </c>
      <c r="M251" s="117">
        <f t="shared" si="152"/>
        <v>25.536087500000001</v>
      </c>
      <c r="N251" s="119">
        <f t="shared" si="153"/>
        <v>0</v>
      </c>
      <c r="O251" s="120">
        <f t="shared" si="154"/>
        <v>0</v>
      </c>
      <c r="P251" s="111">
        <v>10.5</v>
      </c>
      <c r="Q251" s="32">
        <v>1</v>
      </c>
      <c r="R251" s="32"/>
    </row>
    <row r="252" spans="1:18" ht="15.6">
      <c r="A252" s="110" t="s">
        <v>493</v>
      </c>
      <c r="B252" s="111" t="s">
        <v>227</v>
      </c>
      <c r="C252" s="112" t="s">
        <v>228</v>
      </c>
      <c r="D252" s="113" t="s">
        <v>17</v>
      </c>
      <c r="E252" s="114" t="s">
        <v>15</v>
      </c>
      <c r="F252" s="115" t="s">
        <v>27</v>
      </c>
      <c r="G252" s="116">
        <v>6.17</v>
      </c>
      <c r="H252" s="125">
        <v>12</v>
      </c>
      <c r="I252" s="111">
        <f>29+24</f>
        <v>53</v>
      </c>
      <c r="J252" s="117">
        <f t="shared" si="151"/>
        <v>3.9241199999999994</v>
      </c>
      <c r="K252" s="118"/>
      <c r="L252" s="111">
        <f>29+10+8+6</f>
        <v>53</v>
      </c>
      <c r="M252" s="117">
        <f t="shared" si="152"/>
        <v>3.9241199999999998</v>
      </c>
      <c r="N252" s="119">
        <f t="shared" si="153"/>
        <v>0</v>
      </c>
      <c r="O252" s="120">
        <f t="shared" si="154"/>
        <v>0</v>
      </c>
      <c r="P252" s="111" t="s">
        <v>495</v>
      </c>
      <c r="Q252" s="32">
        <f>8+6</f>
        <v>14</v>
      </c>
      <c r="R252" s="32"/>
    </row>
    <row r="253" spans="1:18" ht="15.6">
      <c r="A253" s="110" t="s">
        <v>493</v>
      </c>
      <c r="B253" s="111" t="s">
        <v>227</v>
      </c>
      <c r="C253" s="112" t="s">
        <v>228</v>
      </c>
      <c r="D253" s="113" t="s">
        <v>17</v>
      </c>
      <c r="E253" s="114" t="s">
        <v>15</v>
      </c>
      <c r="F253" s="115" t="s">
        <v>27</v>
      </c>
      <c r="G253" s="116">
        <v>6.17</v>
      </c>
      <c r="H253" s="125">
        <v>9.5</v>
      </c>
      <c r="I253" s="111">
        <v>1</v>
      </c>
      <c r="J253" s="117">
        <f t="shared" si="151"/>
        <v>5.8615E-2</v>
      </c>
      <c r="K253" s="118"/>
      <c r="L253" s="111">
        <v>1</v>
      </c>
      <c r="M253" s="117">
        <f t="shared" si="152"/>
        <v>5.8615E-2</v>
      </c>
      <c r="N253" s="119">
        <f t="shared" si="153"/>
        <v>0</v>
      </c>
      <c r="O253" s="120">
        <f t="shared" si="154"/>
        <v>0</v>
      </c>
      <c r="P253" s="159">
        <v>9</v>
      </c>
      <c r="Q253" s="32">
        <v>1</v>
      </c>
      <c r="R253" s="32"/>
    </row>
    <row r="254" spans="1:18" ht="15.6">
      <c r="A254" s="110" t="s">
        <v>493</v>
      </c>
      <c r="B254" s="111" t="s">
        <v>227</v>
      </c>
      <c r="C254" s="112" t="s">
        <v>228</v>
      </c>
      <c r="D254" s="113" t="s">
        <v>17</v>
      </c>
      <c r="E254" s="114" t="s">
        <v>15</v>
      </c>
      <c r="F254" s="115" t="s">
        <v>27</v>
      </c>
      <c r="G254" s="116">
        <v>6.17</v>
      </c>
      <c r="H254" s="125">
        <v>9.4</v>
      </c>
      <c r="I254" s="111">
        <v>2</v>
      </c>
      <c r="J254" s="117">
        <f t="shared" si="151"/>
        <v>0.11599600000000002</v>
      </c>
      <c r="K254" s="118"/>
      <c r="L254" s="111">
        <v>2</v>
      </c>
      <c r="M254" s="117">
        <f t="shared" si="152"/>
        <v>0.11599600000000002</v>
      </c>
      <c r="N254" s="119">
        <f t="shared" si="153"/>
        <v>0</v>
      </c>
      <c r="O254" s="120">
        <f t="shared" si="154"/>
        <v>0</v>
      </c>
      <c r="P254" s="159">
        <v>9</v>
      </c>
      <c r="Q254" s="32">
        <v>2</v>
      </c>
      <c r="R254" s="32"/>
    </row>
    <row r="255" spans="1:18" ht="15.6">
      <c r="A255" s="110" t="s">
        <v>493</v>
      </c>
      <c r="B255" s="111" t="s">
        <v>227</v>
      </c>
      <c r="C255" s="112" t="s">
        <v>228</v>
      </c>
      <c r="D255" s="113" t="s">
        <v>17</v>
      </c>
      <c r="E255" s="114" t="s">
        <v>15</v>
      </c>
      <c r="F255" s="115" t="s">
        <v>27</v>
      </c>
      <c r="G255" s="116">
        <v>6.17</v>
      </c>
      <c r="H255" s="125">
        <v>9.3000000000000007</v>
      </c>
      <c r="I255" s="111">
        <v>1</v>
      </c>
      <c r="J255" s="117">
        <f t="shared" si="151"/>
        <v>5.7381000000000001E-2</v>
      </c>
      <c r="K255" s="118"/>
      <c r="L255" s="111">
        <v>1</v>
      </c>
      <c r="M255" s="117">
        <f t="shared" si="152"/>
        <v>5.7381000000000001E-2</v>
      </c>
      <c r="N255" s="119">
        <f t="shared" si="153"/>
        <v>0</v>
      </c>
      <c r="O255" s="120">
        <f t="shared" si="154"/>
        <v>0</v>
      </c>
      <c r="P255" s="159">
        <v>9</v>
      </c>
      <c r="Q255" s="32">
        <v>1</v>
      </c>
      <c r="R255" s="32"/>
    </row>
    <row r="256" spans="1:18" ht="15.6">
      <c r="A256" s="110" t="s">
        <v>493</v>
      </c>
      <c r="B256" s="111" t="s">
        <v>227</v>
      </c>
      <c r="C256" s="112" t="s">
        <v>228</v>
      </c>
      <c r="D256" s="113" t="s">
        <v>17</v>
      </c>
      <c r="E256" s="114" t="s">
        <v>15</v>
      </c>
      <c r="F256" s="115" t="s">
        <v>27</v>
      </c>
      <c r="G256" s="116">
        <v>6.17</v>
      </c>
      <c r="H256" s="125">
        <v>6</v>
      </c>
      <c r="I256" s="111">
        <v>2</v>
      </c>
      <c r="J256" s="117">
        <f t="shared" si="151"/>
        <v>7.4039999999999995E-2</v>
      </c>
      <c r="K256" s="118"/>
      <c r="L256" s="111">
        <v>2</v>
      </c>
      <c r="M256" s="117">
        <f t="shared" si="152"/>
        <v>7.4039999999999995E-2</v>
      </c>
      <c r="N256" s="119">
        <f t="shared" si="153"/>
        <v>0</v>
      </c>
      <c r="O256" s="120">
        <f t="shared" si="154"/>
        <v>0</v>
      </c>
      <c r="P256" s="111"/>
      <c r="Q256" s="45">
        <v>2</v>
      </c>
      <c r="R256" s="32" t="s">
        <v>664</v>
      </c>
    </row>
    <row r="257" spans="1:21" ht="15.6">
      <c r="A257" s="110" t="s">
        <v>493</v>
      </c>
      <c r="B257" s="111" t="s">
        <v>227</v>
      </c>
      <c r="C257" s="112" t="s">
        <v>228</v>
      </c>
      <c r="D257" s="113" t="s">
        <v>17</v>
      </c>
      <c r="E257" s="114" t="s">
        <v>15</v>
      </c>
      <c r="F257" s="115" t="s">
        <v>27</v>
      </c>
      <c r="G257" s="116">
        <v>6.17</v>
      </c>
      <c r="H257" s="125">
        <v>9.5</v>
      </c>
      <c r="I257" s="111">
        <v>4</v>
      </c>
      <c r="J257" s="117">
        <f t="shared" si="151"/>
        <v>0.23446</v>
      </c>
      <c r="K257" s="118"/>
      <c r="L257" s="111">
        <v>4</v>
      </c>
      <c r="M257" s="117">
        <f t="shared" si="152"/>
        <v>0.23446</v>
      </c>
      <c r="N257" s="119">
        <f t="shared" si="153"/>
        <v>0</v>
      </c>
      <c r="O257" s="120">
        <f t="shared" si="154"/>
        <v>0</v>
      </c>
      <c r="P257" s="159">
        <v>9</v>
      </c>
      <c r="Q257" s="32">
        <v>4</v>
      </c>
      <c r="R257" s="32"/>
    </row>
    <row r="258" spans="1:21" ht="15.6">
      <c r="A258" s="110" t="s">
        <v>493</v>
      </c>
      <c r="B258" s="111" t="s">
        <v>227</v>
      </c>
      <c r="C258" s="112" t="s">
        <v>228</v>
      </c>
      <c r="D258" s="113" t="s">
        <v>17</v>
      </c>
      <c r="E258" s="114" t="s">
        <v>15</v>
      </c>
      <c r="F258" s="115" t="s">
        <v>27</v>
      </c>
      <c r="G258" s="116">
        <v>6.17</v>
      </c>
      <c r="H258" s="125">
        <v>9.3000000000000007</v>
      </c>
      <c r="I258" s="111">
        <v>3</v>
      </c>
      <c r="J258" s="117">
        <f t="shared" si="151"/>
        <v>0.17214299999999999</v>
      </c>
      <c r="K258" s="118"/>
      <c r="L258" s="111">
        <v>3</v>
      </c>
      <c r="M258" s="117">
        <f t="shared" si="152"/>
        <v>0.17214299999999999</v>
      </c>
      <c r="N258" s="119">
        <f t="shared" si="153"/>
        <v>0</v>
      </c>
      <c r="O258" s="120">
        <f t="shared" si="154"/>
        <v>0</v>
      </c>
      <c r="P258" s="159">
        <v>9</v>
      </c>
      <c r="Q258" s="32">
        <v>3</v>
      </c>
      <c r="R258" s="32"/>
    </row>
    <row r="259" spans="1:21" ht="15.6">
      <c r="A259" s="110" t="s">
        <v>493</v>
      </c>
      <c r="B259" s="111" t="s">
        <v>227</v>
      </c>
      <c r="C259" s="112" t="s">
        <v>228</v>
      </c>
      <c r="D259" s="113" t="s">
        <v>17</v>
      </c>
      <c r="E259" s="114" t="s">
        <v>15</v>
      </c>
      <c r="F259" s="115" t="s">
        <v>27</v>
      </c>
      <c r="G259" s="116">
        <v>6.17</v>
      </c>
      <c r="H259" s="125">
        <v>8.6999999999999993</v>
      </c>
      <c r="I259" s="111">
        <v>1</v>
      </c>
      <c r="J259" s="117">
        <f t="shared" si="151"/>
        <v>5.3678999999999998E-2</v>
      </c>
      <c r="K259" s="118"/>
      <c r="L259" s="111">
        <v>1</v>
      </c>
      <c r="M259" s="117">
        <f t="shared" si="152"/>
        <v>5.3678999999999998E-2</v>
      </c>
      <c r="N259" s="119">
        <f t="shared" si="153"/>
        <v>0</v>
      </c>
      <c r="O259" s="120">
        <f t="shared" si="154"/>
        <v>0</v>
      </c>
      <c r="P259" s="111"/>
      <c r="Q259" s="45">
        <v>1</v>
      </c>
      <c r="R259" s="32" t="s">
        <v>664</v>
      </c>
    </row>
    <row r="260" spans="1:21" ht="15.6">
      <c r="A260" s="110" t="s">
        <v>493</v>
      </c>
      <c r="B260" s="111" t="s">
        <v>227</v>
      </c>
      <c r="C260" s="112" t="s">
        <v>228</v>
      </c>
      <c r="D260" s="113" t="s">
        <v>17</v>
      </c>
      <c r="E260" s="114" t="s">
        <v>15</v>
      </c>
      <c r="F260" s="115" t="s">
        <v>27</v>
      </c>
      <c r="G260" s="116">
        <v>6.17</v>
      </c>
      <c r="H260" s="125">
        <v>7.8</v>
      </c>
      <c r="I260" s="111">
        <v>2</v>
      </c>
      <c r="J260" s="117">
        <f t="shared" si="151"/>
        <v>9.625199999999999E-2</v>
      </c>
      <c r="K260" s="118"/>
      <c r="L260" s="111">
        <v>2</v>
      </c>
      <c r="M260" s="117">
        <f t="shared" si="152"/>
        <v>9.625199999999999E-2</v>
      </c>
      <c r="N260" s="119">
        <f t="shared" si="153"/>
        <v>0</v>
      </c>
      <c r="O260" s="120">
        <f t="shared" si="154"/>
        <v>0</v>
      </c>
      <c r="P260" s="111"/>
      <c r="Q260" s="45">
        <v>2</v>
      </c>
      <c r="R260" s="32" t="s">
        <v>664</v>
      </c>
    </row>
    <row r="261" spans="1:21">
      <c r="I261" s="215">
        <f>SUM(I245:I260)</f>
        <v>558</v>
      </c>
      <c r="J261" s="214">
        <f>SUM(J245:J260)</f>
        <v>37.004883500000005</v>
      </c>
      <c r="L261" s="215">
        <f>SUM(L245:L260)</f>
        <v>558</v>
      </c>
      <c r="M261" s="214">
        <f>SUM(M245:M260)</f>
        <v>37.004883500000005</v>
      </c>
      <c r="N261" s="215">
        <f>SUM(N245:N260)</f>
        <v>0</v>
      </c>
      <c r="O261" s="214">
        <f>SUM(O245:O260)</f>
        <v>0</v>
      </c>
    </row>
    <row r="263" spans="1:21" ht="15.6">
      <c r="A263" s="110" t="s">
        <v>496</v>
      </c>
      <c r="B263" s="111" t="s">
        <v>227</v>
      </c>
      <c r="C263" s="112" t="s">
        <v>228</v>
      </c>
      <c r="D263" s="113" t="s">
        <v>24</v>
      </c>
      <c r="E263" s="114" t="s">
        <v>14</v>
      </c>
      <c r="F263" s="115" t="s">
        <v>27</v>
      </c>
      <c r="G263" s="116">
        <v>6.17</v>
      </c>
      <c r="H263" s="125">
        <v>11.5</v>
      </c>
      <c r="I263" s="111">
        <f>43+38+16</f>
        <v>97</v>
      </c>
      <c r="J263" s="117">
        <f t="shared" ref="J263" si="155">H263*G263*I263/1000</f>
        <v>6.8826350000000005</v>
      </c>
      <c r="K263" s="118"/>
      <c r="L263" s="111">
        <f>96+1</f>
        <v>97</v>
      </c>
      <c r="M263" s="117">
        <f t="shared" ref="M263" si="156">H263*L263*G263/1000</f>
        <v>6.8826350000000005</v>
      </c>
      <c r="N263" s="119">
        <f t="shared" ref="N263" si="157">I263-L263</f>
        <v>0</v>
      </c>
      <c r="O263" s="120">
        <f t="shared" ref="O263" si="158">H263*N263*G263/1000</f>
        <v>0</v>
      </c>
      <c r="P263" s="111">
        <v>11.5</v>
      </c>
      <c r="Q263" s="32">
        <v>1</v>
      </c>
      <c r="R263" s="32" t="s">
        <v>500</v>
      </c>
    </row>
    <row r="264" spans="1:21" ht="15.6">
      <c r="A264" s="110" t="s">
        <v>496</v>
      </c>
      <c r="B264" s="111" t="s">
        <v>227</v>
      </c>
      <c r="C264" s="112" t="s">
        <v>228</v>
      </c>
      <c r="D264" s="113" t="s">
        <v>24</v>
      </c>
      <c r="E264" s="114" t="s">
        <v>14</v>
      </c>
      <c r="F264" s="115" t="s">
        <v>27</v>
      </c>
      <c r="G264" s="116">
        <v>6.17</v>
      </c>
      <c r="H264" s="125">
        <v>12</v>
      </c>
      <c r="I264" s="111">
        <f>27+26</f>
        <v>53</v>
      </c>
      <c r="J264" s="117">
        <f t="shared" ref="J264:J267" si="159">H264*G264*I264/1000</f>
        <v>3.9241199999999994</v>
      </c>
      <c r="K264" s="118"/>
      <c r="L264" s="111">
        <f>48+1+1+3</f>
        <v>53</v>
      </c>
      <c r="M264" s="117">
        <f t="shared" ref="M264:M267" si="160">H264*L264*G264/1000</f>
        <v>3.9241199999999998</v>
      </c>
      <c r="N264" s="119">
        <f t="shared" ref="N264:N267" si="161">I264-L264</f>
        <v>0</v>
      </c>
      <c r="O264" s="120">
        <f t="shared" ref="O264:O267" si="162">H264*N264*G264/1000</f>
        <v>0</v>
      </c>
      <c r="P264" s="111">
        <v>11.5</v>
      </c>
      <c r="Q264" s="32">
        <v>1</v>
      </c>
      <c r="R264" s="32" t="s">
        <v>500</v>
      </c>
      <c r="S264" s="158">
        <v>11.5</v>
      </c>
      <c r="T264" s="480">
        <v>3</v>
      </c>
      <c r="U264" s="213" t="s">
        <v>634</v>
      </c>
    </row>
    <row r="265" spans="1:21" ht="15.6">
      <c r="A265" s="110" t="s">
        <v>496</v>
      </c>
      <c r="B265" s="111" t="s">
        <v>227</v>
      </c>
      <c r="C265" s="112" t="s">
        <v>228</v>
      </c>
      <c r="D265" s="113" t="s">
        <v>24</v>
      </c>
      <c r="E265" s="114" t="s">
        <v>14</v>
      </c>
      <c r="F265" s="115" t="s">
        <v>27</v>
      </c>
      <c r="G265" s="116">
        <v>6.17</v>
      </c>
      <c r="H265" s="125">
        <v>10.5</v>
      </c>
      <c r="I265" s="111">
        <v>1</v>
      </c>
      <c r="J265" s="117">
        <f t="shared" si="159"/>
        <v>6.4784999999999995E-2</v>
      </c>
      <c r="K265" s="118"/>
      <c r="L265" s="111">
        <v>1</v>
      </c>
      <c r="M265" s="117">
        <f t="shared" si="160"/>
        <v>6.4784999999999995E-2</v>
      </c>
      <c r="N265" s="119">
        <f t="shared" si="161"/>
        <v>0</v>
      </c>
      <c r="O265" s="120">
        <f t="shared" si="162"/>
        <v>0</v>
      </c>
      <c r="P265" s="111"/>
      <c r="Q265" s="32"/>
      <c r="R265" s="32"/>
      <c r="S265" s="158">
        <v>10.199999999999999</v>
      </c>
      <c r="T265" s="354">
        <v>1</v>
      </c>
      <c r="U265" s="213" t="s">
        <v>634</v>
      </c>
    </row>
    <row r="266" spans="1:21" ht="15.6">
      <c r="A266" s="110" t="s">
        <v>496</v>
      </c>
      <c r="B266" s="111" t="s">
        <v>227</v>
      </c>
      <c r="C266" s="112" t="s">
        <v>228</v>
      </c>
      <c r="D266" s="113" t="s">
        <v>24</v>
      </c>
      <c r="E266" s="114" t="s">
        <v>14</v>
      </c>
      <c r="F266" s="115" t="s">
        <v>27</v>
      </c>
      <c r="G266" s="116">
        <v>6.17</v>
      </c>
      <c r="H266" s="125">
        <v>11</v>
      </c>
      <c r="I266" s="111">
        <v>1</v>
      </c>
      <c r="J266" s="117">
        <f t="shared" si="159"/>
        <v>6.787E-2</v>
      </c>
      <c r="K266" s="118"/>
      <c r="L266" s="111">
        <v>1</v>
      </c>
      <c r="M266" s="117">
        <f t="shared" si="160"/>
        <v>6.787E-2</v>
      </c>
      <c r="N266" s="119">
        <f t="shared" si="161"/>
        <v>0</v>
      </c>
      <c r="O266" s="120">
        <f t="shared" si="162"/>
        <v>0</v>
      </c>
      <c r="P266" s="111"/>
      <c r="Q266" s="32"/>
      <c r="R266" s="32"/>
      <c r="S266" s="158">
        <v>10.199999999999999</v>
      </c>
      <c r="T266" s="354">
        <v>1</v>
      </c>
      <c r="U266" s="213" t="s">
        <v>634</v>
      </c>
    </row>
    <row r="267" spans="1:21" ht="15.6">
      <c r="A267" s="110" t="s">
        <v>496</v>
      </c>
      <c r="B267" s="111" t="s">
        <v>227</v>
      </c>
      <c r="C267" s="112" t="s">
        <v>228</v>
      </c>
      <c r="D267" s="113" t="s">
        <v>24</v>
      </c>
      <c r="E267" s="114" t="s">
        <v>14</v>
      </c>
      <c r="F267" s="115" t="s">
        <v>27</v>
      </c>
      <c r="G267" s="116">
        <v>6.17</v>
      </c>
      <c r="H267" s="125">
        <v>10.5</v>
      </c>
      <c r="I267" s="111">
        <v>2</v>
      </c>
      <c r="J267" s="117">
        <f t="shared" si="159"/>
        <v>0.12956999999999999</v>
      </c>
      <c r="K267" s="118"/>
      <c r="L267" s="111">
        <v>2</v>
      </c>
      <c r="M267" s="117">
        <f t="shared" si="160"/>
        <v>0.12956999999999999</v>
      </c>
      <c r="N267" s="119">
        <f t="shared" si="161"/>
        <v>0</v>
      </c>
      <c r="O267" s="120">
        <f t="shared" si="162"/>
        <v>0</v>
      </c>
      <c r="P267" s="111"/>
      <c r="Q267" s="32"/>
      <c r="R267" s="32"/>
      <c r="S267" s="158">
        <v>10.199999999999999</v>
      </c>
      <c r="T267" s="354">
        <v>2</v>
      </c>
      <c r="U267" s="213" t="s">
        <v>634</v>
      </c>
    </row>
    <row r="268" spans="1:21">
      <c r="I268" s="215">
        <f>SUM(I263:I267)</f>
        <v>154</v>
      </c>
      <c r="J268" s="214">
        <f>SUM(J263:J267)</f>
        <v>11.068979999999998</v>
      </c>
      <c r="L268" s="215">
        <f>SUM(L263:L267)</f>
        <v>154</v>
      </c>
      <c r="M268" s="214">
        <f>SUM(M263:M267)</f>
        <v>11.06898</v>
      </c>
      <c r="N268" s="78">
        <f>SUM(N263:N267)</f>
        <v>0</v>
      </c>
      <c r="O268" s="128">
        <f>SUM(O263:O267)</f>
        <v>0</v>
      </c>
      <c r="T268" s="481">
        <f>SUM(T263:T267)</f>
        <v>7</v>
      </c>
    </row>
    <row r="270" spans="1:21" ht="15.6">
      <c r="A270" s="110" t="s">
        <v>496</v>
      </c>
      <c r="B270" s="111" t="s">
        <v>227</v>
      </c>
      <c r="C270" s="112" t="s">
        <v>228</v>
      </c>
      <c r="D270" s="113" t="s">
        <v>86</v>
      </c>
      <c r="E270" s="114" t="s">
        <v>14</v>
      </c>
      <c r="F270" s="115" t="s">
        <v>31</v>
      </c>
      <c r="G270" s="116">
        <v>9.65</v>
      </c>
      <c r="H270" s="125">
        <v>11</v>
      </c>
      <c r="I270" s="111">
        <f>18+26+13</f>
        <v>57</v>
      </c>
      <c r="J270" s="117">
        <f t="shared" ref="J270" si="163">H270*G270*I270/1000</f>
        <v>6.0505500000000003</v>
      </c>
      <c r="K270" s="118"/>
      <c r="L270" s="111">
        <v>57</v>
      </c>
      <c r="M270" s="117">
        <f t="shared" ref="M270" si="164">H270*L270*G270/1000</f>
        <v>6.0505500000000003</v>
      </c>
      <c r="N270" s="119">
        <f t="shared" ref="N270" si="165">I270-L270</f>
        <v>0</v>
      </c>
      <c r="O270" s="120">
        <f t="shared" ref="O270" si="166">H270*N270*G270/1000</f>
        <v>0</v>
      </c>
      <c r="P270" s="111"/>
      <c r="Q270" s="32"/>
    </row>
    <row r="271" spans="1:21" ht="15.6">
      <c r="A271" s="110" t="s">
        <v>496</v>
      </c>
      <c r="B271" s="111" t="s">
        <v>227</v>
      </c>
      <c r="C271" s="112" t="s">
        <v>228</v>
      </c>
      <c r="D271" s="113" t="s">
        <v>86</v>
      </c>
      <c r="E271" s="114" t="s">
        <v>14</v>
      </c>
      <c r="F271" s="115" t="s">
        <v>31</v>
      </c>
      <c r="G271" s="116">
        <v>9.65</v>
      </c>
      <c r="H271" s="125">
        <v>12.5</v>
      </c>
      <c r="I271" s="111">
        <f>24+23+26+8</f>
        <v>81</v>
      </c>
      <c r="J271" s="117">
        <f t="shared" ref="J271:J274" si="167">H271*G271*I271/1000</f>
        <v>9.7706250000000008</v>
      </c>
      <c r="K271" s="118"/>
      <c r="L271" s="111">
        <f>68+13</f>
        <v>81</v>
      </c>
      <c r="M271" s="117">
        <f t="shared" ref="M271:M277" si="168">H271*L271*G271/1000</f>
        <v>9.7706250000000008</v>
      </c>
      <c r="N271" s="119">
        <f t="shared" ref="N271:N277" si="169">I271-L271</f>
        <v>0</v>
      </c>
      <c r="O271" s="120">
        <f t="shared" ref="O271:O276" si="170">H271*N271*G271/1000</f>
        <v>0</v>
      </c>
      <c r="P271" s="111">
        <v>12</v>
      </c>
      <c r="Q271" s="32">
        <v>13</v>
      </c>
    </row>
    <row r="272" spans="1:21" ht="15.6">
      <c r="A272" s="110" t="s">
        <v>496</v>
      </c>
      <c r="B272" s="111" t="s">
        <v>227</v>
      </c>
      <c r="C272" s="112" t="s">
        <v>228</v>
      </c>
      <c r="D272" s="113" t="s">
        <v>86</v>
      </c>
      <c r="E272" s="114" t="s">
        <v>14</v>
      </c>
      <c r="F272" s="115" t="s">
        <v>31</v>
      </c>
      <c r="G272" s="116">
        <v>9.65</v>
      </c>
      <c r="H272" s="125">
        <v>13</v>
      </c>
      <c r="I272" s="111">
        <f>23+24+5+20</f>
        <v>72</v>
      </c>
      <c r="J272" s="117">
        <f t="shared" si="167"/>
        <v>9.0323999999999991</v>
      </c>
      <c r="K272" s="118"/>
      <c r="L272" s="111">
        <f>52+13</f>
        <v>65</v>
      </c>
      <c r="M272" s="117">
        <f t="shared" si="168"/>
        <v>8.1542499999999993</v>
      </c>
      <c r="N272" s="119">
        <f t="shared" si="169"/>
        <v>7</v>
      </c>
      <c r="O272" s="120">
        <f t="shared" si="170"/>
        <v>0.87814999999999999</v>
      </c>
      <c r="P272" s="111">
        <v>12</v>
      </c>
      <c r="Q272" s="32">
        <v>13</v>
      </c>
    </row>
    <row r="273" spans="1:20" ht="15.6">
      <c r="A273" s="110" t="s">
        <v>496</v>
      </c>
      <c r="B273" s="111" t="s">
        <v>227</v>
      </c>
      <c r="C273" s="112" t="s">
        <v>228</v>
      </c>
      <c r="D273" s="113" t="s">
        <v>86</v>
      </c>
      <c r="E273" s="114" t="s">
        <v>14</v>
      </c>
      <c r="F273" s="115" t="s">
        <v>31</v>
      </c>
      <c r="G273" s="116">
        <v>9.65</v>
      </c>
      <c r="H273" s="125">
        <v>12</v>
      </c>
      <c r="I273" s="111">
        <f>9+24+1+15</f>
        <v>49</v>
      </c>
      <c r="J273" s="117">
        <f t="shared" si="167"/>
        <v>5.6742000000000008</v>
      </c>
      <c r="K273" s="118"/>
      <c r="L273" s="111">
        <v>49</v>
      </c>
      <c r="M273" s="117">
        <f t="shared" si="168"/>
        <v>5.6741999999999999</v>
      </c>
      <c r="N273" s="119">
        <f t="shared" si="169"/>
        <v>0</v>
      </c>
      <c r="O273" s="120">
        <f t="shared" si="170"/>
        <v>0</v>
      </c>
      <c r="P273" s="111"/>
      <c r="Q273" s="32"/>
    </row>
    <row r="274" spans="1:20" ht="15.6">
      <c r="A274" s="110" t="s">
        <v>496</v>
      </c>
      <c r="B274" s="111" t="s">
        <v>227</v>
      </c>
      <c r="C274" s="112" t="s">
        <v>228</v>
      </c>
      <c r="D274" s="113" t="s">
        <v>86</v>
      </c>
      <c r="E274" s="114" t="s">
        <v>14</v>
      </c>
      <c r="F274" s="115" t="s">
        <v>31</v>
      </c>
      <c r="G274" s="116">
        <v>9.65</v>
      </c>
      <c r="H274" s="125">
        <v>12.25</v>
      </c>
      <c r="I274" s="111">
        <f>16+24+16</f>
        <v>56</v>
      </c>
      <c r="J274" s="117">
        <f t="shared" si="167"/>
        <v>6.6199000000000003</v>
      </c>
      <c r="K274" s="118"/>
      <c r="L274" s="111">
        <v>56</v>
      </c>
      <c r="M274" s="117">
        <f t="shared" si="168"/>
        <v>6.6199000000000003</v>
      </c>
      <c r="N274" s="119">
        <f t="shared" si="169"/>
        <v>0</v>
      </c>
      <c r="O274" s="120">
        <f t="shared" si="170"/>
        <v>0</v>
      </c>
      <c r="P274" s="111"/>
      <c r="Q274" s="32"/>
    </row>
    <row r="275" spans="1:20" ht="15.6">
      <c r="A275" s="110" t="s">
        <v>496</v>
      </c>
      <c r="B275" s="111" t="s">
        <v>227</v>
      </c>
      <c r="C275" s="112" t="s">
        <v>228</v>
      </c>
      <c r="D275" s="113" t="s">
        <v>86</v>
      </c>
      <c r="E275" s="114" t="s">
        <v>14</v>
      </c>
      <c r="F275" s="115" t="s">
        <v>31</v>
      </c>
      <c r="G275" s="116">
        <v>9.65</v>
      </c>
      <c r="H275" s="125">
        <v>9.6999999999999993</v>
      </c>
      <c r="I275" s="111">
        <v>1</v>
      </c>
      <c r="J275" s="117">
        <f>H275*G275*I275/1000</f>
        <v>9.3604999999999994E-2</v>
      </c>
      <c r="K275" s="183" t="s">
        <v>499</v>
      </c>
      <c r="L275" s="111"/>
      <c r="M275" s="117">
        <f t="shared" si="168"/>
        <v>0</v>
      </c>
      <c r="N275" s="119">
        <f t="shared" si="169"/>
        <v>1</v>
      </c>
      <c r="O275" s="120">
        <f t="shared" si="170"/>
        <v>9.3604999999999994E-2</v>
      </c>
      <c r="P275" s="111"/>
      <c r="Q275" s="32"/>
    </row>
    <row r="276" spans="1:20" ht="15.6">
      <c r="A276" s="110" t="s">
        <v>496</v>
      </c>
      <c r="B276" s="111" t="s">
        <v>227</v>
      </c>
      <c r="C276" s="112" t="s">
        <v>228</v>
      </c>
      <c r="D276" s="113" t="s">
        <v>86</v>
      </c>
      <c r="E276" s="114" t="s">
        <v>14</v>
      </c>
      <c r="F276" s="115" t="s">
        <v>31</v>
      </c>
      <c r="G276" s="116">
        <v>9.65</v>
      </c>
      <c r="H276" s="125">
        <v>11</v>
      </c>
      <c r="I276" s="111">
        <v>1</v>
      </c>
      <c r="J276" s="117">
        <f>H276*G276*I276/1000</f>
        <v>0.10615000000000001</v>
      </c>
      <c r="K276" s="183" t="s">
        <v>499</v>
      </c>
      <c r="L276" s="111">
        <v>1</v>
      </c>
      <c r="M276" s="117">
        <f t="shared" si="168"/>
        <v>0.10615000000000001</v>
      </c>
      <c r="N276" s="119">
        <f t="shared" si="169"/>
        <v>0</v>
      </c>
      <c r="O276" s="120">
        <f t="shared" si="170"/>
        <v>0</v>
      </c>
      <c r="P276" s="111"/>
      <c r="Q276" s="32"/>
    </row>
    <row r="277" spans="1:20" ht="15.6">
      <c r="A277" s="110" t="s">
        <v>496</v>
      </c>
      <c r="B277" s="111" t="s">
        <v>227</v>
      </c>
      <c r="C277" s="112" t="s">
        <v>228</v>
      </c>
      <c r="D277" s="113" t="s">
        <v>86</v>
      </c>
      <c r="E277" s="114" t="s">
        <v>14</v>
      </c>
      <c r="F277" s="115" t="s">
        <v>31</v>
      </c>
      <c r="G277" s="116">
        <v>9.65</v>
      </c>
      <c r="H277" s="125">
        <v>12.5</v>
      </c>
      <c r="I277" s="111">
        <v>2</v>
      </c>
      <c r="J277" s="117">
        <f>H277*G277*I277/1000</f>
        <v>0.24124999999999999</v>
      </c>
      <c r="K277" s="183" t="s">
        <v>499</v>
      </c>
      <c r="L277" s="111">
        <v>2</v>
      </c>
      <c r="M277" s="117">
        <f t="shared" si="168"/>
        <v>0.24124999999999999</v>
      </c>
      <c r="N277" s="119">
        <f t="shared" si="169"/>
        <v>0</v>
      </c>
      <c r="O277" s="120">
        <f>H277*N277*G277/1000</f>
        <v>0</v>
      </c>
      <c r="P277" s="159">
        <v>11</v>
      </c>
      <c r="Q277" s="32">
        <v>2</v>
      </c>
    </row>
    <row r="278" spans="1:20">
      <c r="I278" s="76">
        <f>SUM(I270:I277)</f>
        <v>319</v>
      </c>
      <c r="J278" s="214">
        <f>SUM(J270:J277)</f>
        <v>37.588679999999997</v>
      </c>
      <c r="L278" s="76">
        <f>SUM(L270:L277)</f>
        <v>311</v>
      </c>
      <c r="M278" s="214">
        <f>SUM(M270:M277)</f>
        <v>36.616925000000002</v>
      </c>
      <c r="N278" s="78">
        <f>SUM(N270:N277)</f>
        <v>8</v>
      </c>
      <c r="O278" s="214">
        <f>SUM(O270:O277)</f>
        <v>0.97175499999999992</v>
      </c>
    </row>
    <row r="280" spans="1:20" ht="15.6">
      <c r="A280" s="110" t="s">
        <v>496</v>
      </c>
      <c r="B280" s="111" t="s">
        <v>227</v>
      </c>
      <c r="C280" s="112" t="s">
        <v>228</v>
      </c>
      <c r="D280" s="113" t="s">
        <v>390</v>
      </c>
      <c r="E280" s="114" t="s">
        <v>14</v>
      </c>
      <c r="F280" s="115" t="s">
        <v>27</v>
      </c>
      <c r="G280" s="116">
        <v>6.17</v>
      </c>
      <c r="H280" s="125">
        <v>10.5</v>
      </c>
      <c r="I280" s="111">
        <v>2</v>
      </c>
      <c r="J280" s="117">
        <f t="shared" ref="J280:J281" si="171">H280*G280*I280/1000</f>
        <v>0.12956999999999999</v>
      </c>
      <c r="K280" s="118"/>
      <c r="L280" s="111">
        <v>2</v>
      </c>
      <c r="M280" s="117">
        <f t="shared" ref="M280:M281" si="172">H280*L280*G280/1000</f>
        <v>0.12956999999999999</v>
      </c>
      <c r="N280" s="119">
        <f t="shared" ref="N280:N281" si="173">I280-L280</f>
        <v>0</v>
      </c>
      <c r="O280" s="120">
        <f t="shared" ref="O280:O281" si="174">H280*N280*G280/1000</f>
        <v>0</v>
      </c>
      <c r="P280" s="111"/>
      <c r="Q280" s="32"/>
      <c r="R280" s="32"/>
    </row>
    <row r="281" spans="1:20" ht="15.6">
      <c r="A281" s="110" t="s">
        <v>496</v>
      </c>
      <c r="B281" s="111" t="s">
        <v>227</v>
      </c>
      <c r="C281" s="112" t="s">
        <v>228</v>
      </c>
      <c r="D281" s="113" t="s">
        <v>390</v>
      </c>
      <c r="E281" s="114" t="s">
        <v>14</v>
      </c>
      <c r="F281" s="115" t="s">
        <v>27</v>
      </c>
      <c r="G281" s="116">
        <v>6.17</v>
      </c>
      <c r="H281" s="125">
        <v>11.5</v>
      </c>
      <c r="I281" s="111">
        <v>20</v>
      </c>
      <c r="J281" s="117">
        <f t="shared" si="171"/>
        <v>1.4190999999999998</v>
      </c>
      <c r="K281" s="118"/>
      <c r="L281" s="111">
        <v>20</v>
      </c>
      <c r="M281" s="117">
        <f t="shared" si="172"/>
        <v>1.4190999999999998</v>
      </c>
      <c r="N281" s="119">
        <f t="shared" si="173"/>
        <v>0</v>
      </c>
      <c r="O281" s="120">
        <f t="shared" si="174"/>
        <v>0</v>
      </c>
      <c r="P281" s="111"/>
      <c r="Q281" s="32"/>
      <c r="R281" s="32"/>
    </row>
    <row r="282" spans="1:20" ht="15.6">
      <c r="A282" s="110" t="s">
        <v>496</v>
      </c>
      <c r="B282" s="111" t="s">
        <v>227</v>
      </c>
      <c r="C282" s="112" t="s">
        <v>228</v>
      </c>
      <c r="D282" s="113" t="s">
        <v>390</v>
      </c>
      <c r="E282" s="114" t="s">
        <v>14</v>
      </c>
      <c r="F282" s="115" t="s">
        <v>27</v>
      </c>
      <c r="G282" s="116">
        <v>6.17</v>
      </c>
      <c r="H282" s="125">
        <v>11.5</v>
      </c>
      <c r="I282" s="111">
        <v>35</v>
      </c>
      <c r="J282" s="117">
        <f t="shared" ref="J282:J288" si="175">H282*G282*I282/1000</f>
        <v>2.4834249999999995</v>
      </c>
      <c r="K282" s="118"/>
      <c r="L282" s="111">
        <v>35</v>
      </c>
      <c r="M282" s="117">
        <f t="shared" ref="M282:M288" si="176">H282*L282*G282/1000</f>
        <v>2.483425</v>
      </c>
      <c r="N282" s="119">
        <f t="shared" ref="N282:N286" si="177">I282-L282</f>
        <v>0</v>
      </c>
      <c r="O282" s="120">
        <f t="shared" ref="O282:O286" si="178">H282*N282*G282/1000</f>
        <v>0</v>
      </c>
      <c r="P282" s="111"/>
      <c r="Q282" s="32"/>
      <c r="R282" s="32"/>
    </row>
    <row r="283" spans="1:20" ht="15.6">
      <c r="A283" s="110" t="s">
        <v>496</v>
      </c>
      <c r="B283" s="111" t="s">
        <v>227</v>
      </c>
      <c r="C283" s="112" t="s">
        <v>228</v>
      </c>
      <c r="D283" s="113" t="s">
        <v>390</v>
      </c>
      <c r="E283" s="114" t="s">
        <v>14</v>
      </c>
      <c r="F283" s="115" t="s">
        <v>27</v>
      </c>
      <c r="G283" s="116">
        <v>6.17</v>
      </c>
      <c r="H283" s="125">
        <v>7.4</v>
      </c>
      <c r="I283" s="111">
        <v>23</v>
      </c>
      <c r="J283" s="117">
        <f t="shared" si="175"/>
        <v>1.0501340000000001</v>
      </c>
      <c r="K283" s="118"/>
      <c r="L283" s="111">
        <v>23</v>
      </c>
      <c r="M283" s="117">
        <f t="shared" si="176"/>
        <v>1.0501340000000001</v>
      </c>
      <c r="N283" s="119">
        <f t="shared" si="177"/>
        <v>0</v>
      </c>
      <c r="O283" s="120">
        <f t="shared" si="178"/>
        <v>0</v>
      </c>
      <c r="P283" s="111"/>
      <c r="Q283" s="32"/>
      <c r="R283" s="32"/>
    </row>
    <row r="284" spans="1:20" ht="15.6">
      <c r="A284" s="110" t="s">
        <v>496</v>
      </c>
      <c r="B284" s="111" t="s">
        <v>227</v>
      </c>
      <c r="C284" s="112" t="s">
        <v>228</v>
      </c>
      <c r="D284" s="113" t="s">
        <v>390</v>
      </c>
      <c r="E284" s="114" t="s">
        <v>14</v>
      </c>
      <c r="F284" s="115" t="s">
        <v>27</v>
      </c>
      <c r="G284" s="116">
        <v>6.17</v>
      </c>
      <c r="H284" s="125">
        <v>7.2</v>
      </c>
      <c r="I284" s="111">
        <v>1</v>
      </c>
      <c r="J284" s="117">
        <f t="shared" si="175"/>
        <v>4.4423999999999998E-2</v>
      </c>
      <c r="K284" s="118"/>
      <c r="L284" s="111">
        <v>1</v>
      </c>
      <c r="M284" s="117">
        <f t="shared" si="176"/>
        <v>4.4423999999999998E-2</v>
      </c>
      <c r="N284" s="119">
        <f t="shared" si="177"/>
        <v>0</v>
      </c>
      <c r="O284" s="120">
        <f t="shared" si="178"/>
        <v>0</v>
      </c>
      <c r="P284" s="111"/>
      <c r="Q284" s="32"/>
      <c r="R284" s="32">
        <v>7.15</v>
      </c>
      <c r="S284" s="354">
        <v>1</v>
      </c>
      <c r="T284" s="213" t="s">
        <v>634</v>
      </c>
    </row>
    <row r="285" spans="1:20" ht="15.6">
      <c r="A285" s="110" t="s">
        <v>496</v>
      </c>
      <c r="B285" s="111" t="s">
        <v>227</v>
      </c>
      <c r="C285" s="112" t="s">
        <v>228</v>
      </c>
      <c r="D285" s="113" t="s">
        <v>390</v>
      </c>
      <c r="E285" s="114" t="s">
        <v>14</v>
      </c>
      <c r="F285" s="115" t="s">
        <v>27</v>
      </c>
      <c r="G285" s="116">
        <v>6.17</v>
      </c>
      <c r="H285" s="125">
        <v>9.5</v>
      </c>
      <c r="I285" s="111">
        <v>1</v>
      </c>
      <c r="J285" s="117">
        <f t="shared" si="175"/>
        <v>5.8615E-2</v>
      </c>
      <c r="K285" s="118"/>
      <c r="L285" s="111">
        <v>1</v>
      </c>
      <c r="M285" s="117">
        <f t="shared" si="176"/>
        <v>5.8615E-2</v>
      </c>
      <c r="N285" s="119">
        <f t="shared" si="177"/>
        <v>0</v>
      </c>
      <c r="O285" s="120">
        <f t="shared" si="178"/>
        <v>0</v>
      </c>
      <c r="P285" s="111">
        <v>7.4</v>
      </c>
      <c r="Q285" s="32">
        <v>1</v>
      </c>
      <c r="R285" s="32"/>
    </row>
    <row r="286" spans="1:20" ht="15.6">
      <c r="A286" s="110" t="s">
        <v>496</v>
      </c>
      <c r="B286" s="111" t="s">
        <v>227</v>
      </c>
      <c r="C286" s="112" t="s">
        <v>228</v>
      </c>
      <c r="D286" s="113" t="s">
        <v>390</v>
      </c>
      <c r="E286" s="114" t="s">
        <v>14</v>
      </c>
      <c r="F286" s="115" t="s">
        <v>27</v>
      </c>
      <c r="G286" s="116">
        <v>6.17</v>
      </c>
      <c r="H286" s="125">
        <v>10.3</v>
      </c>
      <c r="I286" s="111">
        <v>1</v>
      </c>
      <c r="J286" s="117">
        <f t="shared" si="175"/>
        <v>6.3550999999999996E-2</v>
      </c>
      <c r="K286" s="118"/>
      <c r="L286" s="111">
        <v>1</v>
      </c>
      <c r="M286" s="117">
        <f t="shared" si="176"/>
        <v>6.3550999999999996E-2</v>
      </c>
      <c r="N286" s="119">
        <f t="shared" si="177"/>
        <v>0</v>
      </c>
      <c r="O286" s="120">
        <f t="shared" si="178"/>
        <v>0</v>
      </c>
      <c r="P286" s="111">
        <v>7.4</v>
      </c>
      <c r="Q286" s="32">
        <v>1</v>
      </c>
      <c r="R286" s="32"/>
    </row>
    <row r="287" spans="1:20" ht="15.6">
      <c r="A287" s="110" t="s">
        <v>496</v>
      </c>
      <c r="B287" s="111" t="s">
        <v>227</v>
      </c>
      <c r="C287" s="112" t="s">
        <v>228</v>
      </c>
      <c r="D287" s="113" t="s">
        <v>390</v>
      </c>
      <c r="E287" s="114" t="s">
        <v>14</v>
      </c>
      <c r="F287" s="115" t="s">
        <v>27</v>
      </c>
      <c r="G287" s="116">
        <v>6.17</v>
      </c>
      <c r="H287" s="125">
        <v>10.5</v>
      </c>
      <c r="I287" s="111">
        <v>1</v>
      </c>
      <c r="J287" s="117">
        <f t="shared" si="175"/>
        <v>6.4784999999999995E-2</v>
      </c>
      <c r="K287" s="118"/>
      <c r="L287" s="111">
        <v>1</v>
      </c>
      <c r="M287" s="117">
        <f t="shared" si="176"/>
        <v>6.4784999999999995E-2</v>
      </c>
      <c r="N287" s="119">
        <f>I287-L287</f>
        <v>0</v>
      </c>
      <c r="O287" s="120">
        <f>H287*N287*G287/1000</f>
        <v>0</v>
      </c>
      <c r="P287" s="111">
        <v>7.4</v>
      </c>
      <c r="Q287" s="32">
        <v>1</v>
      </c>
      <c r="R287" s="32"/>
    </row>
    <row r="288" spans="1:20" ht="15.6">
      <c r="A288" s="110" t="s">
        <v>496</v>
      </c>
      <c r="B288" s="111" t="s">
        <v>227</v>
      </c>
      <c r="C288" s="112" t="s">
        <v>228</v>
      </c>
      <c r="D288" s="113" t="s">
        <v>390</v>
      </c>
      <c r="E288" s="114" t="s">
        <v>14</v>
      </c>
      <c r="F288" s="115" t="s">
        <v>27</v>
      </c>
      <c r="G288" s="116">
        <v>6.17</v>
      </c>
      <c r="H288" s="125">
        <v>10.8</v>
      </c>
      <c r="I288" s="111">
        <v>3</v>
      </c>
      <c r="J288" s="117">
        <f t="shared" si="175"/>
        <v>0.199908</v>
      </c>
      <c r="K288" s="118"/>
      <c r="L288" s="111">
        <v>3</v>
      </c>
      <c r="M288" s="117">
        <f t="shared" si="176"/>
        <v>0.19990800000000003</v>
      </c>
      <c r="N288" s="119">
        <f>I288-L288</f>
        <v>0</v>
      </c>
      <c r="O288" s="120">
        <f>H288*N288*G288/1000</f>
        <v>0</v>
      </c>
      <c r="P288" s="111"/>
      <c r="Q288" s="32"/>
      <c r="R288" s="32">
        <v>10.199999999999999</v>
      </c>
      <c r="S288" s="354">
        <v>3</v>
      </c>
      <c r="T288" s="213" t="s">
        <v>634</v>
      </c>
    </row>
    <row r="289" spans="1:18">
      <c r="A289" s="32"/>
      <c r="B289" s="32"/>
      <c r="C289" s="32"/>
      <c r="D289" s="32"/>
      <c r="E289" s="32"/>
      <c r="F289" s="32"/>
      <c r="G289" s="32"/>
      <c r="H289" s="32"/>
      <c r="I289" s="129">
        <f>SUM(I280:I288)</f>
        <v>87</v>
      </c>
      <c r="J289" s="124">
        <f>SUM(J280:J288)</f>
        <v>5.5135119999999986</v>
      </c>
      <c r="K289" s="32"/>
      <c r="L289" s="129">
        <f>SUM(L280:L288)</f>
        <v>87</v>
      </c>
      <c r="M289" s="124">
        <f>SUM(M280:M288)</f>
        <v>5.5135119999999995</v>
      </c>
      <c r="N289" s="131">
        <f>SUM(N280:N288)</f>
        <v>0</v>
      </c>
      <c r="O289" s="132">
        <f>SUM(O280:O288)</f>
        <v>0</v>
      </c>
      <c r="P289" s="32"/>
      <c r="Q289" s="32"/>
      <c r="R289" s="32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3:O160"/>
  <sheetViews>
    <sheetView workbookViewId="0">
      <selection activeCell="D19" sqref="D19"/>
    </sheetView>
  </sheetViews>
  <sheetFormatPr defaultRowHeight="14.4"/>
  <cols>
    <col min="1" max="1" width="18.33203125" bestFit="1" customWidth="1"/>
    <col min="4" max="4" width="20.109375" bestFit="1" customWidth="1"/>
    <col min="5" max="5" width="4.44140625" bestFit="1" customWidth="1"/>
    <col min="6" max="6" width="11.88671875" bestFit="1" customWidth="1"/>
    <col min="11" max="11" width="21.109375" bestFit="1" customWidth="1"/>
  </cols>
  <sheetData>
    <row r="3" spans="1:15">
      <c r="A3" s="3" t="s">
        <v>68</v>
      </c>
      <c r="B3" s="3">
        <v>140</v>
      </c>
      <c r="C3" s="1"/>
      <c r="D3" s="24" t="s">
        <v>20</v>
      </c>
      <c r="E3" s="60" t="s">
        <v>15</v>
      </c>
      <c r="F3" s="60" t="s">
        <v>60</v>
      </c>
      <c r="G3" s="61">
        <v>22.93</v>
      </c>
      <c r="H3" s="21">
        <v>4.7</v>
      </c>
      <c r="I3" s="22">
        <v>1</v>
      </c>
      <c r="J3" s="62">
        <v>0.10777100000000001</v>
      </c>
      <c r="K3" s="253" t="s">
        <v>69</v>
      </c>
      <c r="L3" s="22"/>
      <c r="M3" s="63">
        <v>0</v>
      </c>
      <c r="N3" s="64">
        <v>1</v>
      </c>
      <c r="O3" s="65">
        <v>0.10777100000000001</v>
      </c>
    </row>
    <row r="4" spans="1:15">
      <c r="A4" s="3" t="s">
        <v>68</v>
      </c>
      <c r="B4" s="3">
        <v>140</v>
      </c>
      <c r="C4" s="1"/>
      <c r="D4" s="24" t="s">
        <v>20</v>
      </c>
      <c r="E4" s="60" t="s">
        <v>15</v>
      </c>
      <c r="F4" s="60" t="s">
        <v>60</v>
      </c>
      <c r="G4" s="61">
        <v>22.93</v>
      </c>
      <c r="H4" s="21">
        <v>7.3</v>
      </c>
      <c r="I4" s="22">
        <v>1</v>
      </c>
      <c r="J4" s="62">
        <v>0.16738899999999998</v>
      </c>
      <c r="K4" s="253" t="s">
        <v>69</v>
      </c>
      <c r="L4" s="22"/>
      <c r="M4" s="63">
        <v>0</v>
      </c>
      <c r="N4" s="64">
        <v>1</v>
      </c>
      <c r="O4" s="65">
        <v>0.16738899999999998</v>
      </c>
    </row>
    <row r="5" spans="1:15">
      <c r="A5" s="3" t="s">
        <v>68</v>
      </c>
      <c r="B5" s="3">
        <v>239</v>
      </c>
      <c r="C5" s="1"/>
      <c r="D5" s="59" t="s">
        <v>20</v>
      </c>
      <c r="E5" s="60" t="s">
        <v>15</v>
      </c>
      <c r="F5" s="60" t="s">
        <v>35</v>
      </c>
      <c r="G5" s="61">
        <v>16.579999999999998</v>
      </c>
      <c r="H5" s="21">
        <v>11.4</v>
      </c>
      <c r="I5" s="22">
        <v>1</v>
      </c>
      <c r="J5" s="62">
        <v>0.18901200000000001</v>
      </c>
      <c r="K5" s="253" t="s">
        <v>69</v>
      </c>
      <c r="L5" s="22"/>
      <c r="M5" s="63">
        <v>0</v>
      </c>
      <c r="N5" s="64">
        <v>1</v>
      </c>
      <c r="O5" s="65">
        <v>0.18901200000000001</v>
      </c>
    </row>
    <row r="6" spans="1:15">
      <c r="A6" s="48" t="s">
        <v>169</v>
      </c>
      <c r="B6" s="32"/>
      <c r="C6" s="32"/>
      <c r="D6" s="69" t="s">
        <v>152</v>
      </c>
      <c r="E6" s="69" t="s">
        <v>15</v>
      </c>
      <c r="F6" s="69" t="s">
        <v>30</v>
      </c>
      <c r="G6" s="61">
        <v>9.26</v>
      </c>
      <c r="H6" s="63">
        <v>8.5</v>
      </c>
      <c r="I6" s="60">
        <v>2</v>
      </c>
      <c r="J6" s="62">
        <v>0.15741999999999998</v>
      </c>
      <c r="K6" s="254" t="s">
        <v>46</v>
      </c>
      <c r="L6" s="67"/>
      <c r="M6" s="63">
        <v>0</v>
      </c>
      <c r="N6" s="64">
        <v>2</v>
      </c>
      <c r="O6" s="65">
        <v>0.15741999999999998</v>
      </c>
    </row>
    <row r="7" spans="1:15">
      <c r="A7" s="48" t="s">
        <v>169</v>
      </c>
      <c r="B7" s="32"/>
      <c r="C7" s="32"/>
      <c r="D7" s="69" t="s">
        <v>152</v>
      </c>
      <c r="E7" s="69" t="s">
        <v>15</v>
      </c>
      <c r="F7" s="69" t="s">
        <v>30</v>
      </c>
      <c r="G7" s="61">
        <v>9.26</v>
      </c>
      <c r="H7" s="63">
        <v>8.6</v>
      </c>
      <c r="I7" s="60">
        <v>3</v>
      </c>
      <c r="J7" s="62">
        <v>0.23890799999999998</v>
      </c>
      <c r="K7" s="254" t="s">
        <v>46</v>
      </c>
      <c r="L7" s="67"/>
      <c r="M7" s="63">
        <v>0</v>
      </c>
      <c r="N7" s="64">
        <v>3</v>
      </c>
      <c r="O7" s="65">
        <v>0.23890799999999995</v>
      </c>
    </row>
    <row r="8" spans="1:15">
      <c r="A8" s="48" t="s">
        <v>169</v>
      </c>
      <c r="B8" s="32"/>
      <c r="C8" s="32"/>
      <c r="D8" s="48" t="s">
        <v>152</v>
      </c>
      <c r="E8" s="48" t="s">
        <v>15</v>
      </c>
      <c r="F8" s="48" t="s">
        <v>182</v>
      </c>
      <c r="G8" s="53">
        <v>7.6</v>
      </c>
      <c r="H8" s="9">
        <v>11.6</v>
      </c>
      <c r="I8" s="7">
        <v>1</v>
      </c>
      <c r="J8" s="10">
        <v>8.8160000000000002E-2</v>
      </c>
      <c r="K8" s="255" t="s">
        <v>46</v>
      </c>
      <c r="L8" s="32"/>
      <c r="M8" s="18">
        <v>0</v>
      </c>
      <c r="N8" s="19">
        <v>1</v>
      </c>
      <c r="O8" s="13">
        <v>8.8160000000000002E-2</v>
      </c>
    </row>
    <row r="9" spans="1:15">
      <c r="A9" s="48" t="s">
        <v>169</v>
      </c>
      <c r="B9" s="32"/>
      <c r="C9" s="32"/>
      <c r="D9" s="69" t="s">
        <v>19</v>
      </c>
      <c r="E9" s="69" t="s">
        <v>14</v>
      </c>
      <c r="F9" s="69" t="s">
        <v>154</v>
      </c>
      <c r="G9" s="105">
        <v>4.9800000000000004</v>
      </c>
      <c r="H9" s="99">
        <v>10</v>
      </c>
      <c r="I9" s="60">
        <v>1</v>
      </c>
      <c r="J9" s="62">
        <v>4.9800000000000004E-2</v>
      </c>
      <c r="K9" s="254" t="s">
        <v>46</v>
      </c>
      <c r="L9" s="67"/>
      <c r="M9" s="63">
        <v>0</v>
      </c>
      <c r="N9" s="64">
        <v>1</v>
      </c>
      <c r="O9" s="65">
        <v>4.9800000000000004E-2</v>
      </c>
    </row>
    <row r="10" spans="1:15">
      <c r="A10" s="48" t="s">
        <v>169</v>
      </c>
      <c r="B10" s="32"/>
      <c r="C10" s="32"/>
      <c r="D10" s="48" t="s">
        <v>152</v>
      </c>
      <c r="E10" s="48" t="s">
        <v>15</v>
      </c>
      <c r="F10" s="48" t="s">
        <v>144</v>
      </c>
      <c r="G10" s="53">
        <v>5.38</v>
      </c>
      <c r="H10" s="9">
        <v>10</v>
      </c>
      <c r="I10" s="7">
        <v>1</v>
      </c>
      <c r="J10" s="10">
        <v>5.3800000000000001E-2</v>
      </c>
      <c r="K10" s="255" t="s">
        <v>46</v>
      </c>
      <c r="L10" s="32"/>
      <c r="M10" s="18">
        <v>0</v>
      </c>
      <c r="N10" s="19">
        <v>1</v>
      </c>
      <c r="O10" s="13">
        <v>5.3800000000000001E-2</v>
      </c>
    </row>
    <row r="11" spans="1:15">
      <c r="A11" s="48" t="s">
        <v>169</v>
      </c>
      <c r="B11" s="32"/>
      <c r="C11" s="32"/>
      <c r="D11" s="69" t="s">
        <v>152</v>
      </c>
      <c r="E11" s="69" t="s">
        <v>15</v>
      </c>
      <c r="F11" s="69" t="s">
        <v>22</v>
      </c>
      <c r="G11" s="61">
        <v>10.73</v>
      </c>
      <c r="H11" s="99">
        <v>10.9</v>
      </c>
      <c r="I11" s="60">
        <v>3</v>
      </c>
      <c r="J11" s="62">
        <v>0.35087100000000004</v>
      </c>
      <c r="K11" s="254" t="s">
        <v>46</v>
      </c>
      <c r="L11" s="32"/>
      <c r="M11" s="18">
        <v>0</v>
      </c>
      <c r="N11" s="64">
        <v>3</v>
      </c>
      <c r="O11" s="65">
        <v>0.35087100000000004</v>
      </c>
    </row>
    <row r="12" spans="1:15">
      <c r="A12" s="48" t="s">
        <v>169</v>
      </c>
      <c r="B12" s="32"/>
      <c r="C12" s="32"/>
      <c r="D12" s="69" t="s">
        <v>152</v>
      </c>
      <c r="E12" s="69" t="s">
        <v>15</v>
      </c>
      <c r="F12" s="69" t="s">
        <v>58</v>
      </c>
      <c r="G12" s="61">
        <v>27.29</v>
      </c>
      <c r="H12" s="99">
        <v>6.6</v>
      </c>
      <c r="I12" s="60">
        <v>1</v>
      </c>
      <c r="J12" s="62">
        <v>0.18011399999999997</v>
      </c>
      <c r="K12" s="254" t="s">
        <v>46</v>
      </c>
      <c r="L12" s="67"/>
      <c r="M12" s="63">
        <v>0</v>
      </c>
      <c r="N12" s="64">
        <v>1</v>
      </c>
      <c r="O12" s="65">
        <v>0.18011399999999997</v>
      </c>
    </row>
    <row r="13" spans="1:15">
      <c r="A13" s="48" t="s">
        <v>169</v>
      </c>
      <c r="B13" s="32"/>
      <c r="C13" s="32"/>
      <c r="D13" s="69" t="s">
        <v>152</v>
      </c>
      <c r="E13" s="69" t="s">
        <v>15</v>
      </c>
      <c r="F13" s="69" t="s">
        <v>58</v>
      </c>
      <c r="G13" s="61">
        <v>27.29</v>
      </c>
      <c r="H13" s="99">
        <v>6.8</v>
      </c>
      <c r="I13" s="60">
        <v>1</v>
      </c>
      <c r="J13" s="62">
        <v>0.18557200000000001</v>
      </c>
      <c r="K13" s="254" t="s">
        <v>46</v>
      </c>
      <c r="L13" s="67"/>
      <c r="M13" s="63">
        <v>0</v>
      </c>
      <c r="N13" s="64">
        <v>1</v>
      </c>
      <c r="O13" s="65">
        <v>0.18557200000000001</v>
      </c>
    </row>
    <row r="14" spans="1:15">
      <c r="A14" s="48" t="s">
        <v>169</v>
      </c>
      <c r="B14" s="32"/>
      <c r="C14" s="32"/>
      <c r="D14" s="69" t="s">
        <v>152</v>
      </c>
      <c r="E14" s="69" t="s">
        <v>15</v>
      </c>
      <c r="F14" s="69" t="s">
        <v>22</v>
      </c>
      <c r="G14" s="61">
        <v>10.73</v>
      </c>
      <c r="H14" s="99">
        <v>11</v>
      </c>
      <c r="I14" s="60">
        <v>1</v>
      </c>
      <c r="J14" s="62">
        <v>0.11803</v>
      </c>
      <c r="K14" s="254" t="s">
        <v>46</v>
      </c>
      <c r="L14" s="32"/>
      <c r="M14" s="18">
        <v>0</v>
      </c>
      <c r="N14" s="64">
        <v>1</v>
      </c>
      <c r="O14" s="65">
        <v>0.11803</v>
      </c>
    </row>
    <row r="15" spans="1:15">
      <c r="A15" s="48" t="s">
        <v>169</v>
      </c>
      <c r="B15" s="32"/>
      <c r="C15" s="32"/>
      <c r="D15" s="69" t="s">
        <v>152</v>
      </c>
      <c r="E15" s="69" t="s">
        <v>15</v>
      </c>
      <c r="F15" s="69" t="s">
        <v>30</v>
      </c>
      <c r="G15" s="61">
        <v>9.26</v>
      </c>
      <c r="H15" s="63">
        <v>5.8</v>
      </c>
      <c r="I15" s="60">
        <v>1</v>
      </c>
      <c r="J15" s="62">
        <v>5.3707999999999999E-2</v>
      </c>
      <c r="K15" s="254" t="s">
        <v>46</v>
      </c>
      <c r="L15" s="67"/>
      <c r="M15" s="63">
        <v>0</v>
      </c>
      <c r="N15" s="64">
        <v>1</v>
      </c>
      <c r="O15" s="65">
        <v>5.3707999999999999E-2</v>
      </c>
    </row>
    <row r="16" spans="1:15">
      <c r="A16" s="48" t="s">
        <v>169</v>
      </c>
      <c r="B16" s="32"/>
      <c r="C16" s="32"/>
      <c r="D16" s="69" t="s">
        <v>152</v>
      </c>
      <c r="E16" s="69" t="s">
        <v>15</v>
      </c>
      <c r="F16" s="69" t="s">
        <v>30</v>
      </c>
      <c r="G16" s="61">
        <v>9.26</v>
      </c>
      <c r="H16" s="63">
        <v>6.7</v>
      </c>
      <c r="I16" s="60">
        <v>1</v>
      </c>
      <c r="J16" s="62">
        <v>6.2042E-2</v>
      </c>
      <c r="K16" s="254" t="s">
        <v>46</v>
      </c>
      <c r="L16" s="67"/>
      <c r="M16" s="63">
        <v>0</v>
      </c>
      <c r="N16" s="64">
        <v>1</v>
      </c>
      <c r="O16" s="65">
        <v>6.2042E-2</v>
      </c>
    </row>
    <row r="17" spans="1:15">
      <c r="A17" s="48" t="s">
        <v>169</v>
      </c>
      <c r="B17" s="32"/>
      <c r="C17" s="32"/>
      <c r="D17" s="69" t="s">
        <v>152</v>
      </c>
      <c r="E17" s="69" t="s">
        <v>15</v>
      </c>
      <c r="F17" s="69" t="s">
        <v>30</v>
      </c>
      <c r="G17" s="61">
        <v>9.26</v>
      </c>
      <c r="H17" s="63">
        <v>7.5</v>
      </c>
      <c r="I17" s="60">
        <v>1</v>
      </c>
      <c r="J17" s="62">
        <v>6.9449999999999998E-2</v>
      </c>
      <c r="K17" s="254" t="s">
        <v>46</v>
      </c>
      <c r="L17" s="67"/>
      <c r="M17" s="63">
        <v>0</v>
      </c>
      <c r="N17" s="64">
        <v>1</v>
      </c>
      <c r="O17" s="13">
        <v>6.9449999999999998E-2</v>
      </c>
    </row>
    <row r="18" spans="1:15">
      <c r="A18" s="48" t="s">
        <v>169</v>
      </c>
      <c r="B18" s="32"/>
      <c r="C18" s="32"/>
      <c r="D18" s="69" t="s">
        <v>152</v>
      </c>
      <c r="E18" s="69" t="s">
        <v>15</v>
      </c>
      <c r="F18" s="69" t="s">
        <v>30</v>
      </c>
      <c r="G18" s="61">
        <v>9.26</v>
      </c>
      <c r="H18" s="161">
        <v>12</v>
      </c>
      <c r="I18" s="60">
        <v>1</v>
      </c>
      <c r="J18" s="62">
        <v>0.11112000000000001</v>
      </c>
      <c r="K18" s="254" t="s">
        <v>46</v>
      </c>
      <c r="L18" s="67"/>
      <c r="M18" s="63">
        <v>0</v>
      </c>
      <c r="N18" s="64">
        <v>1</v>
      </c>
      <c r="O18" s="65">
        <v>0.11112000000000001</v>
      </c>
    </row>
    <row r="19" spans="1:15">
      <c r="A19" s="48" t="s">
        <v>169</v>
      </c>
      <c r="B19" s="32"/>
      <c r="C19" s="32"/>
      <c r="D19" s="48" t="s">
        <v>152</v>
      </c>
      <c r="E19" s="48" t="s">
        <v>15</v>
      </c>
      <c r="F19" s="48" t="s">
        <v>183</v>
      </c>
      <c r="G19" s="53">
        <v>4.03</v>
      </c>
      <c r="H19" s="52">
        <v>6.8</v>
      </c>
      <c r="I19" s="7">
        <v>1</v>
      </c>
      <c r="J19" s="10">
        <v>2.7404000000000001E-2</v>
      </c>
      <c r="K19" s="255" t="s">
        <v>46</v>
      </c>
      <c r="L19" s="32"/>
      <c r="M19" s="18">
        <v>0</v>
      </c>
      <c r="N19" s="19">
        <v>1</v>
      </c>
      <c r="O19" s="13">
        <v>2.7404000000000001E-2</v>
      </c>
    </row>
    <row r="20" spans="1:15">
      <c r="A20" s="48" t="s">
        <v>169</v>
      </c>
      <c r="B20" s="32"/>
      <c r="C20" s="32"/>
      <c r="D20" s="48" t="s">
        <v>152</v>
      </c>
      <c r="E20" s="48" t="s">
        <v>15</v>
      </c>
      <c r="F20" s="48" t="s">
        <v>101</v>
      </c>
      <c r="G20" s="53">
        <v>12.2</v>
      </c>
      <c r="H20" s="52">
        <v>8</v>
      </c>
      <c r="I20" s="7">
        <v>1</v>
      </c>
      <c r="J20" s="10">
        <v>9.7599999999999992E-2</v>
      </c>
      <c r="K20" s="255" t="s">
        <v>46</v>
      </c>
      <c r="L20" s="32"/>
      <c r="M20" s="18">
        <v>0</v>
      </c>
      <c r="N20" s="19">
        <v>1</v>
      </c>
      <c r="O20" s="13">
        <v>9.7599999999999992E-2</v>
      </c>
    </row>
    <row r="21" spans="1:15">
      <c r="A21" s="48" t="s">
        <v>169</v>
      </c>
      <c r="B21" s="32"/>
      <c r="C21" s="32"/>
      <c r="D21" s="48" t="s">
        <v>152</v>
      </c>
      <c r="E21" s="48" t="s">
        <v>15</v>
      </c>
      <c r="F21" s="48" t="s">
        <v>101</v>
      </c>
      <c r="G21" s="53">
        <v>12.2</v>
      </c>
      <c r="H21" s="52">
        <v>4.8499999999999996</v>
      </c>
      <c r="I21" s="7">
        <v>1</v>
      </c>
      <c r="J21" s="10">
        <v>5.9169999999999993E-2</v>
      </c>
      <c r="K21" s="255" t="s">
        <v>46</v>
      </c>
      <c r="L21" s="32"/>
      <c r="M21" s="18">
        <v>0</v>
      </c>
      <c r="N21" s="19">
        <v>1</v>
      </c>
      <c r="O21" s="13">
        <v>5.9169999999999993E-2</v>
      </c>
    </row>
    <row r="22" spans="1:15">
      <c r="A22" s="3"/>
      <c r="B22" s="3"/>
      <c r="C22" s="1"/>
      <c r="D22" s="20" t="s">
        <v>152</v>
      </c>
      <c r="E22" s="7" t="s">
        <v>15</v>
      </c>
      <c r="F22" s="7" t="s">
        <v>31</v>
      </c>
      <c r="G22" s="11">
        <v>9.65</v>
      </c>
      <c r="H22" s="8">
        <v>8</v>
      </c>
      <c r="I22" s="26">
        <v>3</v>
      </c>
      <c r="J22" s="10">
        <v>0.23160000000000003</v>
      </c>
      <c r="K22" s="253" t="s">
        <v>188</v>
      </c>
      <c r="L22" s="17"/>
      <c r="M22" s="18">
        <v>0</v>
      </c>
      <c r="N22" s="19">
        <v>3</v>
      </c>
      <c r="O22" s="13">
        <v>0.23160000000000003</v>
      </c>
    </row>
    <row r="23" spans="1:15">
      <c r="A23" s="3"/>
      <c r="B23" s="3"/>
      <c r="C23" s="1"/>
      <c r="D23" s="24" t="s">
        <v>17</v>
      </c>
      <c r="E23" s="60" t="s">
        <v>15</v>
      </c>
      <c r="F23" s="60" t="s">
        <v>16</v>
      </c>
      <c r="G23" s="61">
        <v>5.77</v>
      </c>
      <c r="H23" s="21">
        <v>10</v>
      </c>
      <c r="I23" s="22">
        <v>1</v>
      </c>
      <c r="J23" s="62">
        <v>5.7699999999999994E-2</v>
      </c>
      <c r="K23" s="253" t="s">
        <v>135</v>
      </c>
      <c r="L23" s="17"/>
      <c r="M23" s="18">
        <v>0</v>
      </c>
      <c r="N23" s="19">
        <v>1</v>
      </c>
      <c r="O23" s="13">
        <v>5.7699999999999994E-2</v>
      </c>
    </row>
    <row r="24" spans="1:15">
      <c r="A24" s="48" t="s">
        <v>148</v>
      </c>
      <c r="B24" s="32">
        <v>66</v>
      </c>
      <c r="C24" s="32"/>
      <c r="D24" s="69" t="s">
        <v>20</v>
      </c>
      <c r="E24" s="69" t="s">
        <v>15</v>
      </c>
      <c r="F24" s="69" t="s">
        <v>34</v>
      </c>
      <c r="G24" s="61">
        <v>9.61</v>
      </c>
      <c r="H24" s="70">
        <v>11.5</v>
      </c>
      <c r="I24" s="60">
        <v>1</v>
      </c>
      <c r="J24" s="62">
        <v>0.11051499999999999</v>
      </c>
      <c r="K24" s="256" t="s">
        <v>158</v>
      </c>
      <c r="L24" s="67"/>
      <c r="M24" s="63">
        <v>0</v>
      </c>
      <c r="N24" s="64">
        <v>1</v>
      </c>
      <c r="O24" s="65">
        <v>0.11051499999999999</v>
      </c>
    </row>
    <row r="25" spans="1:15">
      <c r="A25" s="48" t="s">
        <v>148</v>
      </c>
      <c r="B25" s="32">
        <v>78</v>
      </c>
      <c r="C25" s="32"/>
      <c r="D25" s="69" t="s">
        <v>20</v>
      </c>
      <c r="E25" s="69" t="s">
        <v>15</v>
      </c>
      <c r="F25" s="69" t="s">
        <v>48</v>
      </c>
      <c r="G25" s="61">
        <v>23.6</v>
      </c>
      <c r="H25" s="70">
        <v>12</v>
      </c>
      <c r="I25" s="60">
        <v>1</v>
      </c>
      <c r="J25" s="62">
        <v>0.28320000000000006</v>
      </c>
      <c r="K25" s="256" t="s">
        <v>158</v>
      </c>
      <c r="L25" s="67"/>
      <c r="M25" s="63">
        <v>0</v>
      </c>
      <c r="N25" s="64">
        <v>1</v>
      </c>
      <c r="O25" s="65">
        <v>0.28320000000000006</v>
      </c>
    </row>
    <row r="26" spans="1:15">
      <c r="A26" s="48" t="s">
        <v>148</v>
      </c>
      <c r="B26" s="32">
        <v>95</v>
      </c>
      <c r="C26" s="32"/>
      <c r="D26" s="69" t="s">
        <v>19</v>
      </c>
      <c r="E26" s="69" t="s">
        <v>14</v>
      </c>
      <c r="F26" s="69" t="s">
        <v>32</v>
      </c>
      <c r="G26" s="61">
        <v>8.3000000000000007</v>
      </c>
      <c r="H26" s="70">
        <v>11</v>
      </c>
      <c r="I26" s="60">
        <v>2</v>
      </c>
      <c r="J26" s="62">
        <v>0.18260000000000001</v>
      </c>
      <c r="K26" s="256" t="s">
        <v>158</v>
      </c>
      <c r="L26" s="67"/>
      <c r="M26" s="63">
        <v>0</v>
      </c>
      <c r="N26" s="64">
        <v>2</v>
      </c>
      <c r="O26" s="65">
        <v>0.18260000000000001</v>
      </c>
    </row>
    <row r="27" spans="1:15">
      <c r="A27" s="48" t="s">
        <v>148</v>
      </c>
      <c r="B27" s="32">
        <v>101</v>
      </c>
      <c r="C27" s="32"/>
      <c r="D27" s="69" t="s">
        <v>152</v>
      </c>
      <c r="E27" s="69" t="s">
        <v>15</v>
      </c>
      <c r="F27" s="69" t="s">
        <v>22</v>
      </c>
      <c r="G27" s="61">
        <v>10.73</v>
      </c>
      <c r="H27" s="70">
        <v>10.5</v>
      </c>
      <c r="I27" s="60">
        <v>1</v>
      </c>
      <c r="J27" s="62">
        <v>0.112665</v>
      </c>
      <c r="K27" s="256" t="s">
        <v>158</v>
      </c>
      <c r="L27" s="67"/>
      <c r="M27" s="63">
        <v>0</v>
      </c>
      <c r="N27" s="64">
        <v>1</v>
      </c>
      <c r="O27" s="65">
        <v>0.112665</v>
      </c>
    </row>
    <row r="28" spans="1:15">
      <c r="A28" s="3"/>
      <c r="B28" s="3">
        <v>118</v>
      </c>
      <c r="C28" s="1"/>
      <c r="D28" s="59" t="s">
        <v>19</v>
      </c>
      <c r="E28" s="60" t="s">
        <v>14</v>
      </c>
      <c r="F28" s="60" t="s">
        <v>32</v>
      </c>
      <c r="G28" s="61">
        <v>8.3000000000000007</v>
      </c>
      <c r="H28" s="21">
        <v>10.5</v>
      </c>
      <c r="I28" s="22">
        <v>1</v>
      </c>
      <c r="J28" s="62">
        <v>8.7150000000000005E-2</v>
      </c>
      <c r="K28" s="253" t="s">
        <v>97</v>
      </c>
      <c r="L28" s="22"/>
      <c r="M28" s="63">
        <v>0</v>
      </c>
      <c r="N28" s="64">
        <v>1</v>
      </c>
      <c r="O28" s="65">
        <v>8.7150000000000005E-2</v>
      </c>
    </row>
    <row r="29" spans="1:15">
      <c r="A29" s="3"/>
      <c r="B29" s="3">
        <v>118</v>
      </c>
      <c r="C29" s="1"/>
      <c r="D29" s="59" t="s">
        <v>19</v>
      </c>
      <c r="E29" s="60" t="s">
        <v>14</v>
      </c>
      <c r="F29" s="60" t="s">
        <v>32</v>
      </c>
      <c r="G29" s="61">
        <v>8.3000000000000007</v>
      </c>
      <c r="H29" s="21">
        <v>11</v>
      </c>
      <c r="I29" s="22">
        <v>1</v>
      </c>
      <c r="J29" s="62">
        <v>9.1300000000000006E-2</v>
      </c>
      <c r="K29" s="253" t="s">
        <v>97</v>
      </c>
      <c r="L29" s="22"/>
      <c r="M29" s="63">
        <v>0</v>
      </c>
      <c r="N29" s="64">
        <v>1</v>
      </c>
      <c r="O29" s="65">
        <v>9.1300000000000006E-2</v>
      </c>
    </row>
    <row r="30" spans="1:15">
      <c r="A30" s="3"/>
      <c r="B30" s="3">
        <v>147</v>
      </c>
      <c r="C30" s="1"/>
      <c r="D30" s="59" t="s">
        <v>20</v>
      </c>
      <c r="E30" s="60" t="s">
        <v>15</v>
      </c>
      <c r="F30" s="60" t="s">
        <v>39</v>
      </c>
      <c r="G30" s="61">
        <v>14.66</v>
      </c>
      <c r="H30" s="21">
        <v>12.45</v>
      </c>
      <c r="I30" s="22">
        <v>1</v>
      </c>
      <c r="J30" s="62">
        <v>0.18251699999999998</v>
      </c>
      <c r="K30" s="253" t="s">
        <v>46</v>
      </c>
      <c r="L30" s="22"/>
      <c r="M30" s="63">
        <v>0</v>
      </c>
      <c r="N30" s="64">
        <v>1</v>
      </c>
      <c r="O30" s="65">
        <v>0.18251699999999998</v>
      </c>
    </row>
    <row r="31" spans="1:15">
      <c r="A31" s="3"/>
      <c r="B31" s="3">
        <v>156</v>
      </c>
      <c r="C31" s="1"/>
      <c r="D31" s="59" t="s">
        <v>19</v>
      </c>
      <c r="E31" s="60" t="s">
        <v>14</v>
      </c>
      <c r="F31" s="60" t="s">
        <v>30</v>
      </c>
      <c r="G31" s="61">
        <v>9.26</v>
      </c>
      <c r="H31" s="21">
        <v>6.5</v>
      </c>
      <c r="I31" s="22">
        <v>1</v>
      </c>
      <c r="J31" s="62">
        <v>6.019E-2</v>
      </c>
      <c r="K31" s="253" t="s">
        <v>97</v>
      </c>
      <c r="L31" s="22"/>
      <c r="M31" s="63">
        <v>0</v>
      </c>
      <c r="N31" s="64">
        <v>1</v>
      </c>
      <c r="O31" s="65">
        <v>6.019E-2</v>
      </c>
    </row>
    <row r="32" spans="1:15">
      <c r="A32" s="3"/>
      <c r="B32" s="3">
        <v>156</v>
      </c>
      <c r="C32" s="1"/>
      <c r="D32" s="59" t="s">
        <v>19</v>
      </c>
      <c r="E32" s="60" t="s">
        <v>14</v>
      </c>
      <c r="F32" s="60" t="s">
        <v>30</v>
      </c>
      <c r="G32" s="61">
        <v>9.26</v>
      </c>
      <c r="H32" s="21">
        <v>7</v>
      </c>
      <c r="I32" s="22">
        <v>1</v>
      </c>
      <c r="J32" s="62">
        <v>6.4819999999999989E-2</v>
      </c>
      <c r="K32" s="253" t="s">
        <v>97</v>
      </c>
      <c r="L32" s="22"/>
      <c r="M32" s="63">
        <v>0</v>
      </c>
      <c r="N32" s="64">
        <v>1</v>
      </c>
      <c r="O32" s="13">
        <v>6.4819999999999989E-2</v>
      </c>
    </row>
    <row r="33" spans="1:15">
      <c r="A33" s="3"/>
      <c r="B33" s="3">
        <v>168</v>
      </c>
      <c r="C33" s="1" t="s">
        <v>98</v>
      </c>
      <c r="D33" s="12" t="s">
        <v>20</v>
      </c>
      <c r="E33" s="7" t="s">
        <v>15</v>
      </c>
      <c r="F33" s="7" t="s">
        <v>36</v>
      </c>
      <c r="G33" s="11">
        <v>10.199999999999999</v>
      </c>
      <c r="H33" s="8">
        <v>10.4</v>
      </c>
      <c r="I33" s="26">
        <v>1</v>
      </c>
      <c r="J33" s="10">
        <v>0.10607999999999999</v>
      </c>
      <c r="K33" s="257" t="s">
        <v>135</v>
      </c>
      <c r="L33" s="17"/>
      <c r="M33" s="18">
        <v>0</v>
      </c>
      <c r="N33" s="19">
        <v>1</v>
      </c>
      <c r="O33" s="13">
        <v>0.10607999999999999</v>
      </c>
    </row>
    <row r="34" spans="1:15">
      <c r="A34" s="3"/>
      <c r="B34" s="3">
        <v>200</v>
      </c>
      <c r="C34" s="1"/>
      <c r="D34" s="30" t="s">
        <v>20</v>
      </c>
      <c r="E34" s="7" t="s">
        <v>15</v>
      </c>
      <c r="F34" s="7" t="s">
        <v>50</v>
      </c>
      <c r="G34" s="11">
        <v>21.7</v>
      </c>
      <c r="H34" s="8">
        <v>6.9</v>
      </c>
      <c r="I34" s="17">
        <v>1</v>
      </c>
      <c r="J34" s="10">
        <v>0.14973</v>
      </c>
      <c r="K34" s="257" t="s">
        <v>97</v>
      </c>
      <c r="L34" s="17"/>
      <c r="M34" s="18">
        <v>0</v>
      </c>
      <c r="N34" s="19">
        <v>1</v>
      </c>
      <c r="O34" s="13">
        <v>0.14973</v>
      </c>
    </row>
    <row r="35" spans="1:15">
      <c r="A35" s="3"/>
      <c r="B35" s="3">
        <v>200</v>
      </c>
      <c r="C35" s="1"/>
      <c r="D35" s="30" t="s">
        <v>20</v>
      </c>
      <c r="E35" s="7" t="s">
        <v>15</v>
      </c>
      <c r="F35" s="7" t="s">
        <v>50</v>
      </c>
      <c r="G35" s="11">
        <v>21.7</v>
      </c>
      <c r="H35" s="8">
        <v>7</v>
      </c>
      <c r="I35" s="17">
        <v>1</v>
      </c>
      <c r="J35" s="10">
        <v>0.15190000000000001</v>
      </c>
      <c r="K35" s="257" t="s">
        <v>97</v>
      </c>
      <c r="L35" s="17"/>
      <c r="M35" s="18">
        <v>0</v>
      </c>
      <c r="N35" s="19">
        <v>1</v>
      </c>
      <c r="O35" s="13">
        <v>0.15190000000000001</v>
      </c>
    </row>
    <row r="36" spans="1:15">
      <c r="A36" s="3"/>
      <c r="B36" s="3">
        <v>204</v>
      </c>
      <c r="C36" s="1"/>
      <c r="D36" s="66" t="s">
        <v>20</v>
      </c>
      <c r="E36" s="60" t="s">
        <v>15</v>
      </c>
      <c r="F36" s="60" t="s">
        <v>35</v>
      </c>
      <c r="G36" s="61">
        <v>16.579999999999998</v>
      </c>
      <c r="H36" s="67">
        <v>11.4</v>
      </c>
      <c r="I36" s="22">
        <v>2</v>
      </c>
      <c r="J36" s="62">
        <v>0.37802400000000003</v>
      </c>
      <c r="K36" s="256" t="s">
        <v>97</v>
      </c>
      <c r="L36" s="67"/>
      <c r="M36" s="63">
        <v>0</v>
      </c>
      <c r="N36" s="64">
        <v>2</v>
      </c>
      <c r="O36" s="65">
        <v>0.37802400000000003</v>
      </c>
    </row>
    <row r="37" spans="1:15">
      <c r="A37" s="3"/>
      <c r="B37" s="3">
        <v>204</v>
      </c>
      <c r="C37" s="1"/>
      <c r="D37" s="66" t="s">
        <v>20</v>
      </c>
      <c r="E37" s="60" t="s">
        <v>15</v>
      </c>
      <c r="F37" s="60" t="s">
        <v>35</v>
      </c>
      <c r="G37" s="61">
        <v>16.579999999999998</v>
      </c>
      <c r="H37" s="68">
        <v>11.9</v>
      </c>
      <c r="I37" s="22">
        <v>1</v>
      </c>
      <c r="J37" s="62">
        <v>0.19730200000000001</v>
      </c>
      <c r="K37" s="256" t="s">
        <v>97</v>
      </c>
      <c r="L37" s="67"/>
      <c r="M37" s="63">
        <v>0</v>
      </c>
      <c r="N37" s="64">
        <v>1</v>
      </c>
      <c r="O37" s="65">
        <v>0.19730200000000001</v>
      </c>
    </row>
    <row r="38" spans="1:15">
      <c r="A38" s="3"/>
      <c r="B38" s="3">
        <v>209</v>
      </c>
      <c r="C38" s="1"/>
      <c r="D38" s="30" t="s">
        <v>20</v>
      </c>
      <c r="E38" s="7" t="s">
        <v>15</v>
      </c>
      <c r="F38" s="7" t="s">
        <v>41</v>
      </c>
      <c r="G38" s="11">
        <v>11.8</v>
      </c>
      <c r="H38" s="33">
        <v>12</v>
      </c>
      <c r="I38" s="32">
        <v>1</v>
      </c>
      <c r="J38" s="10">
        <v>0.14160000000000003</v>
      </c>
      <c r="K38" s="256" t="s">
        <v>288</v>
      </c>
      <c r="L38" s="32"/>
      <c r="M38" s="18">
        <v>0</v>
      </c>
      <c r="N38" s="19">
        <v>1</v>
      </c>
      <c r="O38" s="13">
        <v>0.14160000000000003</v>
      </c>
    </row>
    <row r="39" spans="1:15">
      <c r="A39" s="48" t="s">
        <v>148</v>
      </c>
      <c r="B39" s="32">
        <v>280</v>
      </c>
      <c r="C39" s="32"/>
      <c r="D39" s="69" t="s">
        <v>20</v>
      </c>
      <c r="E39" s="69" t="s">
        <v>160</v>
      </c>
      <c r="F39" s="69" t="s">
        <v>49</v>
      </c>
      <c r="G39" s="61">
        <v>17.82</v>
      </c>
      <c r="H39" s="70">
        <v>6.4</v>
      </c>
      <c r="I39" s="60">
        <v>1</v>
      </c>
      <c r="J39" s="62">
        <v>0.114048</v>
      </c>
      <c r="K39" s="256" t="s">
        <v>46</v>
      </c>
      <c r="L39" s="67"/>
      <c r="M39" s="63">
        <v>0</v>
      </c>
      <c r="N39" s="64">
        <v>1</v>
      </c>
      <c r="O39" s="65">
        <v>0.114048</v>
      </c>
    </row>
    <row r="40" spans="1:15">
      <c r="A40" s="48" t="s">
        <v>148</v>
      </c>
      <c r="B40" s="32">
        <v>280</v>
      </c>
      <c r="C40" s="32"/>
      <c r="D40" s="69" t="s">
        <v>20</v>
      </c>
      <c r="E40" s="69" t="s">
        <v>160</v>
      </c>
      <c r="F40" s="69" t="s">
        <v>44</v>
      </c>
      <c r="G40" s="61">
        <v>13.4</v>
      </c>
      <c r="H40" s="70">
        <v>7.8</v>
      </c>
      <c r="I40" s="60">
        <v>1</v>
      </c>
      <c r="J40" s="62">
        <v>0.10452</v>
      </c>
      <c r="K40" s="256" t="s">
        <v>46</v>
      </c>
      <c r="L40" s="67"/>
      <c r="M40" s="63">
        <v>0</v>
      </c>
      <c r="N40" s="64">
        <v>1</v>
      </c>
      <c r="O40" s="65">
        <v>0.10452</v>
      </c>
    </row>
    <row r="41" spans="1:15">
      <c r="A41" s="48" t="s">
        <v>148</v>
      </c>
      <c r="B41" s="32">
        <v>280</v>
      </c>
      <c r="C41" s="32"/>
      <c r="D41" s="69" t="s">
        <v>20</v>
      </c>
      <c r="E41" s="69" t="s">
        <v>160</v>
      </c>
      <c r="F41" s="69" t="s">
        <v>44</v>
      </c>
      <c r="G41" s="61">
        <v>13.4</v>
      </c>
      <c r="H41" s="70">
        <v>10.9</v>
      </c>
      <c r="I41" s="60">
        <v>1</v>
      </c>
      <c r="J41" s="62">
        <v>0.14606</v>
      </c>
      <c r="K41" s="256" t="s">
        <v>46</v>
      </c>
      <c r="L41" s="67"/>
      <c r="M41" s="63">
        <v>0</v>
      </c>
      <c r="N41" s="64">
        <v>1</v>
      </c>
      <c r="O41" s="65">
        <v>0.14606</v>
      </c>
    </row>
    <row r="42" spans="1:15">
      <c r="A42" s="48" t="s">
        <v>148</v>
      </c>
      <c r="B42" s="32">
        <v>282</v>
      </c>
      <c r="C42" s="32"/>
      <c r="D42" s="69" t="s">
        <v>19</v>
      </c>
      <c r="E42" s="69" t="s">
        <v>14</v>
      </c>
      <c r="F42" s="69" t="s">
        <v>30</v>
      </c>
      <c r="G42" s="61">
        <v>9.26</v>
      </c>
      <c r="H42" s="21">
        <v>12</v>
      </c>
      <c r="I42" s="60">
        <v>1</v>
      </c>
      <c r="J42" s="62">
        <v>0.11112000000000001</v>
      </c>
      <c r="K42" s="256" t="s">
        <v>46</v>
      </c>
      <c r="L42" s="32"/>
      <c r="M42" s="18">
        <v>0</v>
      </c>
      <c r="N42" s="19">
        <v>1</v>
      </c>
      <c r="O42" s="13">
        <v>0.11112000000000001</v>
      </c>
    </row>
    <row r="43" spans="1:15">
      <c r="A43" s="48" t="s">
        <v>148</v>
      </c>
      <c r="B43" s="32">
        <v>284</v>
      </c>
      <c r="C43" s="32"/>
      <c r="D43" s="69" t="s">
        <v>19</v>
      </c>
      <c r="E43" s="69" t="s">
        <v>14</v>
      </c>
      <c r="F43" s="69" t="s">
        <v>16</v>
      </c>
      <c r="G43" s="61">
        <v>5.77</v>
      </c>
      <c r="H43" s="109">
        <v>12</v>
      </c>
      <c r="I43" s="60">
        <v>1</v>
      </c>
      <c r="J43" s="62">
        <v>6.9239999999999996E-2</v>
      </c>
      <c r="K43" s="256" t="s">
        <v>166</v>
      </c>
      <c r="L43" s="67"/>
      <c r="M43" s="63">
        <v>0</v>
      </c>
      <c r="N43" s="64">
        <v>1</v>
      </c>
      <c r="O43" s="65">
        <v>6.9239999999999996E-2</v>
      </c>
    </row>
    <row r="44" spans="1:15">
      <c r="A44" s="48" t="s">
        <v>148</v>
      </c>
      <c r="B44" s="32">
        <v>288</v>
      </c>
      <c r="C44" s="32"/>
      <c r="D44" s="48" t="s">
        <v>19</v>
      </c>
      <c r="E44" s="48" t="s">
        <v>14</v>
      </c>
      <c r="F44" s="48" t="s">
        <v>39</v>
      </c>
      <c r="G44" s="11">
        <v>14.66</v>
      </c>
      <c r="H44" s="52">
        <v>9.4</v>
      </c>
      <c r="I44" s="7">
        <v>1</v>
      </c>
      <c r="J44" s="10">
        <v>0.13780400000000001</v>
      </c>
      <c r="K44" s="258" t="s">
        <v>46</v>
      </c>
      <c r="L44" s="32"/>
      <c r="M44" s="18">
        <v>0</v>
      </c>
      <c r="N44" s="19">
        <v>1</v>
      </c>
      <c r="O44" s="13">
        <v>0.13780400000000001</v>
      </c>
    </row>
    <row r="45" spans="1:15">
      <c r="A45" s="48" t="s">
        <v>148</v>
      </c>
      <c r="B45" s="32">
        <v>289</v>
      </c>
      <c r="C45" s="32"/>
      <c r="D45" s="69" t="s">
        <v>20</v>
      </c>
      <c r="E45" s="69" t="s">
        <v>160</v>
      </c>
      <c r="F45" s="69" t="s">
        <v>35</v>
      </c>
      <c r="G45" s="61">
        <v>16.579999999999998</v>
      </c>
      <c r="H45" s="70">
        <v>11.4</v>
      </c>
      <c r="I45" s="60">
        <v>1</v>
      </c>
      <c r="J45" s="62">
        <v>0.18901200000000001</v>
      </c>
      <c r="K45" s="256" t="s">
        <v>46</v>
      </c>
      <c r="L45" s="67"/>
      <c r="M45" s="63">
        <v>0</v>
      </c>
      <c r="N45" s="64">
        <v>1</v>
      </c>
      <c r="O45" s="65">
        <v>0.18901200000000001</v>
      </c>
    </row>
    <row r="46" spans="1:15">
      <c r="A46" s="32" t="s">
        <v>137</v>
      </c>
      <c r="B46" s="3">
        <v>4</v>
      </c>
      <c r="C46" s="32"/>
      <c r="D46" s="24" t="s">
        <v>139</v>
      </c>
      <c r="E46" s="60" t="s">
        <v>15</v>
      </c>
      <c r="F46" s="60" t="s">
        <v>49</v>
      </c>
      <c r="G46" s="61">
        <v>17.82</v>
      </c>
      <c r="H46" s="71">
        <v>7.2</v>
      </c>
      <c r="I46" s="67">
        <v>1</v>
      </c>
      <c r="J46" s="62">
        <v>0.128304</v>
      </c>
      <c r="K46" s="253" t="s">
        <v>135</v>
      </c>
      <c r="L46" s="22"/>
      <c r="M46" s="63">
        <v>0</v>
      </c>
      <c r="N46" s="64">
        <v>1</v>
      </c>
      <c r="O46" s="65">
        <v>0.128304</v>
      </c>
    </row>
    <row r="47" spans="1:15">
      <c r="A47" s="48" t="s">
        <v>171</v>
      </c>
      <c r="B47" s="32">
        <v>113</v>
      </c>
      <c r="C47" s="32"/>
      <c r="D47" s="69" t="s">
        <v>173</v>
      </c>
      <c r="E47" s="69" t="s">
        <v>15</v>
      </c>
      <c r="F47" s="69" t="s">
        <v>34</v>
      </c>
      <c r="G47" s="61">
        <v>9.61</v>
      </c>
      <c r="H47" s="70">
        <v>9.1999999999999993</v>
      </c>
      <c r="I47" s="60">
        <v>1</v>
      </c>
      <c r="J47" s="62">
        <v>8.8411999999999991E-2</v>
      </c>
      <c r="K47" s="256" t="s">
        <v>135</v>
      </c>
      <c r="L47" s="67"/>
      <c r="M47" s="63">
        <v>0</v>
      </c>
      <c r="N47" s="64">
        <v>1</v>
      </c>
      <c r="O47" s="65">
        <v>8.8411999999999991E-2</v>
      </c>
    </row>
    <row r="48" spans="1:15">
      <c r="A48" s="48" t="s">
        <v>171</v>
      </c>
      <c r="B48" s="32">
        <v>113</v>
      </c>
      <c r="C48" s="32"/>
      <c r="D48" s="69" t="s">
        <v>173</v>
      </c>
      <c r="E48" s="69" t="s">
        <v>15</v>
      </c>
      <c r="F48" s="69" t="s">
        <v>34</v>
      </c>
      <c r="G48" s="61">
        <v>9.61</v>
      </c>
      <c r="H48" s="70">
        <v>5.5</v>
      </c>
      <c r="I48" s="60">
        <v>1</v>
      </c>
      <c r="J48" s="62">
        <v>5.2854999999999999E-2</v>
      </c>
      <c r="K48" s="256" t="s">
        <v>135</v>
      </c>
      <c r="L48" s="67"/>
      <c r="M48" s="63">
        <v>0</v>
      </c>
      <c r="N48" s="64">
        <v>1</v>
      </c>
      <c r="O48" s="65">
        <v>5.2854999999999999E-2</v>
      </c>
    </row>
    <row r="49" spans="1:15">
      <c r="I49" s="76">
        <f t="shared" ref="I49" si="0">SUM(I3:I48)</f>
        <v>55</v>
      </c>
      <c r="J49" s="214">
        <f>SUM(J3:J48)</f>
        <v>6.0976089999999994</v>
      </c>
      <c r="L49" s="76">
        <f t="shared" ref="L49" si="1">SUM(L3:L48)</f>
        <v>0</v>
      </c>
      <c r="M49" s="214">
        <f>SUM(M3:M48)</f>
        <v>0</v>
      </c>
      <c r="N49" s="76">
        <f t="shared" ref="N49" si="2">SUM(N3:N48)</f>
        <v>55</v>
      </c>
      <c r="O49" s="214">
        <f>SUM(O3:O48)</f>
        <v>6.0976089999999994</v>
      </c>
    </row>
    <row r="53" spans="1:15">
      <c r="A53" s="259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</row>
    <row r="54" spans="1:15">
      <c r="A54" s="260"/>
      <c r="B54" s="261"/>
      <c r="C54" s="261"/>
      <c r="D54" s="260"/>
      <c r="E54" s="260"/>
      <c r="F54" s="260"/>
      <c r="G54" s="262"/>
      <c r="H54" s="263"/>
      <c r="I54" s="264"/>
      <c r="J54" s="265"/>
      <c r="K54" s="266"/>
      <c r="L54" s="261"/>
      <c r="M54" s="267"/>
      <c r="N54" s="268"/>
      <c r="O54" s="269"/>
    </row>
    <row r="55" spans="1:15">
      <c r="A55" s="270"/>
      <c r="B55" s="259"/>
      <c r="C55" s="259"/>
      <c r="D55" s="260"/>
      <c r="E55" s="260"/>
      <c r="F55" s="260"/>
      <c r="G55" s="271"/>
      <c r="H55" s="267"/>
      <c r="I55" s="264"/>
      <c r="J55" s="265"/>
      <c r="K55" s="266"/>
      <c r="L55" s="261"/>
      <c r="M55" s="267"/>
      <c r="N55" s="268"/>
      <c r="O55" s="269"/>
    </row>
    <row r="56" spans="1:15">
      <c r="A56" s="270"/>
      <c r="B56" s="259"/>
      <c r="C56" s="259"/>
      <c r="D56" s="260"/>
      <c r="E56" s="260"/>
      <c r="F56" s="260"/>
      <c r="G56" s="271"/>
      <c r="H56" s="267"/>
      <c r="I56" s="264"/>
      <c r="J56" s="265"/>
      <c r="K56" s="266"/>
      <c r="L56" s="261"/>
      <c r="M56" s="267"/>
      <c r="N56" s="268"/>
      <c r="O56" s="269"/>
    </row>
    <row r="57" spans="1:15">
      <c r="A57" s="270"/>
      <c r="B57" s="259"/>
      <c r="C57" s="259"/>
      <c r="D57" s="260"/>
      <c r="E57" s="260"/>
      <c r="F57" s="260"/>
      <c r="G57" s="271"/>
      <c r="H57" s="267"/>
      <c r="I57" s="264"/>
      <c r="J57" s="265"/>
      <c r="K57" s="266"/>
      <c r="L57" s="261"/>
      <c r="M57" s="267"/>
      <c r="N57" s="268"/>
      <c r="O57" s="269"/>
    </row>
    <row r="58" spans="1:15">
      <c r="A58" s="270"/>
      <c r="B58" s="259"/>
      <c r="C58" s="259"/>
      <c r="D58" s="260"/>
      <c r="E58" s="260"/>
      <c r="F58" s="260"/>
      <c r="G58" s="271"/>
      <c r="H58" s="267"/>
      <c r="I58" s="264"/>
      <c r="J58" s="265"/>
      <c r="K58" s="266"/>
      <c r="L58" s="261"/>
      <c r="M58" s="267"/>
      <c r="N58" s="268"/>
      <c r="O58" s="269"/>
    </row>
    <row r="59" spans="1:15">
      <c r="A59" s="270"/>
      <c r="B59" s="259"/>
      <c r="C59" s="259"/>
      <c r="D59" s="260"/>
      <c r="E59" s="260"/>
      <c r="F59" s="260"/>
      <c r="G59" s="271"/>
      <c r="H59" s="267"/>
      <c r="I59" s="264"/>
      <c r="J59" s="265"/>
      <c r="K59" s="266"/>
      <c r="L59" s="261"/>
      <c r="M59" s="267"/>
      <c r="N59" s="268"/>
      <c r="O59" s="272"/>
    </row>
    <row r="60" spans="1:15">
      <c r="A60" s="270"/>
      <c r="B60" s="259"/>
      <c r="C60" s="259"/>
      <c r="D60" s="260"/>
      <c r="E60" s="260"/>
      <c r="F60" s="260"/>
      <c r="G60" s="271"/>
      <c r="H60" s="273"/>
      <c r="I60" s="264"/>
      <c r="J60" s="265"/>
      <c r="K60" s="266"/>
      <c r="L60" s="261"/>
      <c r="M60" s="267"/>
      <c r="N60" s="268"/>
      <c r="O60" s="269"/>
    </row>
    <row r="61" spans="1:15">
      <c r="A61" s="274"/>
      <c r="B61" s="274"/>
      <c r="C61" s="275"/>
      <c r="D61" s="276"/>
      <c r="E61" s="264"/>
      <c r="F61" s="264"/>
      <c r="G61" s="271"/>
      <c r="H61" s="277"/>
      <c r="I61" s="278"/>
      <c r="J61" s="265"/>
      <c r="K61" s="279"/>
      <c r="L61" s="278"/>
      <c r="M61" s="267"/>
      <c r="N61" s="268"/>
      <c r="O61" s="269"/>
    </row>
    <row r="62" spans="1:15">
      <c r="A62" s="274"/>
      <c r="B62" s="274"/>
      <c r="C62" s="275"/>
      <c r="D62" s="276"/>
      <c r="E62" s="264"/>
      <c r="F62" s="264"/>
      <c r="G62" s="271"/>
      <c r="H62" s="277"/>
      <c r="I62" s="278"/>
      <c r="J62" s="265"/>
      <c r="K62" s="279"/>
      <c r="L62" s="278"/>
      <c r="M62" s="267"/>
      <c r="N62" s="268"/>
      <c r="O62" s="272"/>
    </row>
    <row r="63" spans="1:15">
      <c r="A63" s="270"/>
      <c r="B63" s="259"/>
      <c r="C63" s="259"/>
      <c r="D63" s="260"/>
      <c r="E63" s="260"/>
      <c r="F63" s="260"/>
      <c r="G63" s="271"/>
      <c r="H63" s="277"/>
      <c r="I63" s="264"/>
      <c r="J63" s="265"/>
      <c r="K63" s="280"/>
      <c r="L63" s="259"/>
      <c r="M63" s="281"/>
      <c r="N63" s="282"/>
      <c r="O63" s="272"/>
    </row>
    <row r="64" spans="1:15" s="213" customFormat="1">
      <c r="A64" s="270"/>
      <c r="B64" s="259"/>
      <c r="C64" s="259"/>
      <c r="D64" s="260"/>
      <c r="E64" s="260"/>
      <c r="F64" s="260"/>
      <c r="G64" s="271"/>
      <c r="H64" s="277"/>
      <c r="I64" s="264"/>
      <c r="J64" s="265"/>
      <c r="K64" s="280"/>
      <c r="L64" s="259"/>
      <c r="M64" s="281"/>
      <c r="N64" s="282"/>
      <c r="O64" s="272"/>
    </row>
    <row r="65" spans="1:15">
      <c r="A65" s="270"/>
      <c r="B65" s="259"/>
      <c r="C65" s="259"/>
      <c r="D65" s="260"/>
      <c r="E65" s="260"/>
      <c r="F65" s="260"/>
      <c r="G65" s="271"/>
      <c r="H65" s="263"/>
      <c r="I65" s="264"/>
      <c r="J65" s="265"/>
      <c r="K65" s="266"/>
      <c r="L65" s="259"/>
      <c r="M65" s="281"/>
      <c r="N65" s="268"/>
      <c r="O65" s="269"/>
    </row>
    <row r="66" spans="1:15">
      <c r="A66" s="270"/>
      <c r="B66" s="259"/>
      <c r="C66" s="259"/>
      <c r="D66" s="260"/>
      <c r="E66" s="260"/>
      <c r="F66" s="260"/>
      <c r="G66" s="271"/>
      <c r="H66" s="263"/>
      <c r="I66" s="264"/>
      <c r="J66" s="265"/>
      <c r="K66" s="266"/>
      <c r="L66" s="259"/>
      <c r="M66" s="281"/>
      <c r="N66" s="268"/>
      <c r="O66" s="269"/>
    </row>
    <row r="67" spans="1:15">
      <c r="A67" s="270"/>
      <c r="B67" s="259"/>
      <c r="C67" s="259"/>
      <c r="D67" s="260"/>
      <c r="E67" s="260"/>
      <c r="F67" s="260"/>
      <c r="G67" s="271"/>
      <c r="H67" s="283"/>
      <c r="I67" s="264"/>
      <c r="J67" s="265"/>
      <c r="K67" s="280"/>
      <c r="L67" s="261"/>
      <c r="M67" s="267"/>
      <c r="N67" s="268"/>
      <c r="O67" s="269"/>
    </row>
    <row r="68" spans="1:15" s="213" customFormat="1">
      <c r="A68" s="270"/>
      <c r="B68" s="259"/>
      <c r="C68" s="259"/>
      <c r="D68" s="260"/>
      <c r="E68" s="260"/>
      <c r="F68" s="260"/>
      <c r="G68" s="271"/>
      <c r="H68" s="283"/>
      <c r="I68" s="264"/>
      <c r="J68" s="265"/>
      <c r="K68" s="280"/>
      <c r="L68" s="261"/>
      <c r="M68" s="267"/>
      <c r="N68" s="268"/>
      <c r="O68" s="269"/>
    </row>
    <row r="69" spans="1:15">
      <c r="A69" s="274"/>
      <c r="B69" s="274"/>
      <c r="C69" s="275"/>
      <c r="D69" s="276"/>
      <c r="E69" s="264"/>
      <c r="F69" s="264"/>
      <c r="G69" s="271"/>
      <c r="H69" s="277"/>
      <c r="I69" s="278"/>
      <c r="J69" s="265"/>
      <c r="K69" s="279"/>
      <c r="L69" s="278"/>
      <c r="M69" s="267"/>
      <c r="N69" s="268"/>
      <c r="O69" s="269"/>
    </row>
    <row r="70" spans="1:15">
      <c r="A70" s="274"/>
      <c r="B70" s="274"/>
      <c r="C70" s="275"/>
      <c r="D70" s="284"/>
      <c r="E70" s="264"/>
      <c r="F70" s="264"/>
      <c r="G70" s="271"/>
      <c r="H70" s="261"/>
      <c r="I70" s="278"/>
      <c r="J70" s="265"/>
      <c r="K70" s="280"/>
      <c r="L70" s="261"/>
      <c r="M70" s="267"/>
      <c r="N70" s="268"/>
      <c r="O70" s="269"/>
    </row>
    <row r="71" spans="1:15">
      <c r="A71" s="274"/>
      <c r="B71" s="274"/>
      <c r="C71" s="275"/>
      <c r="D71" s="284"/>
      <c r="E71" s="264"/>
      <c r="F71" s="264"/>
      <c r="G71" s="271"/>
      <c r="H71" s="285"/>
      <c r="I71" s="278"/>
      <c r="J71" s="265"/>
      <c r="K71" s="280"/>
      <c r="L71" s="261"/>
      <c r="M71" s="267"/>
      <c r="N71" s="268"/>
      <c r="O71" s="269"/>
    </row>
    <row r="72" spans="1:15">
      <c r="A72" s="270"/>
      <c r="B72" s="259"/>
      <c r="C72" s="259"/>
      <c r="D72" s="260"/>
      <c r="E72" s="260"/>
      <c r="F72" s="260"/>
      <c r="G72" s="271"/>
      <c r="H72" s="283"/>
      <c r="I72" s="264"/>
      <c r="J72" s="265"/>
      <c r="K72" s="280"/>
      <c r="L72" s="261"/>
      <c r="M72" s="267"/>
      <c r="N72" s="268"/>
      <c r="O72" s="269"/>
    </row>
    <row r="73" spans="1:15" s="213" customFormat="1">
      <c r="A73" s="270"/>
      <c r="B73" s="259"/>
      <c r="C73" s="259"/>
      <c r="D73" s="260"/>
      <c r="E73" s="260"/>
      <c r="F73" s="260"/>
      <c r="G73" s="271"/>
      <c r="H73" s="283"/>
      <c r="I73" s="264"/>
      <c r="J73" s="265"/>
      <c r="K73" s="280"/>
      <c r="L73" s="261"/>
      <c r="M73" s="267"/>
      <c r="N73" s="268"/>
      <c r="O73" s="269"/>
    </row>
    <row r="74" spans="1:15">
      <c r="A74" s="274"/>
      <c r="B74" s="274"/>
      <c r="C74" s="275"/>
      <c r="D74" s="286"/>
      <c r="E74" s="287"/>
      <c r="F74" s="287"/>
      <c r="G74" s="288"/>
      <c r="H74" s="289"/>
      <c r="I74" s="290"/>
      <c r="J74" s="291"/>
      <c r="K74" s="292"/>
      <c r="L74" s="293"/>
      <c r="M74" s="281"/>
      <c r="N74" s="282"/>
      <c r="O74" s="272"/>
    </row>
    <row r="75" spans="1:15" s="213" customFormat="1">
      <c r="A75" s="274"/>
      <c r="B75" s="274"/>
      <c r="C75" s="275"/>
      <c r="D75" s="286"/>
      <c r="E75" s="287"/>
      <c r="F75" s="287"/>
      <c r="G75" s="288"/>
      <c r="H75" s="289"/>
      <c r="I75" s="290"/>
      <c r="J75" s="291"/>
      <c r="K75" s="292"/>
      <c r="L75" s="293"/>
      <c r="M75" s="281"/>
      <c r="N75" s="282"/>
      <c r="O75" s="272"/>
    </row>
    <row r="76" spans="1:15">
      <c r="A76" s="274"/>
      <c r="B76" s="274"/>
      <c r="C76" s="275"/>
      <c r="D76" s="294"/>
      <c r="E76" s="287"/>
      <c r="F76" s="287"/>
      <c r="G76" s="288"/>
      <c r="H76" s="295"/>
      <c r="I76" s="259"/>
      <c r="J76" s="291"/>
      <c r="K76" s="280"/>
      <c r="L76" s="259"/>
      <c r="M76" s="281"/>
      <c r="N76" s="282"/>
      <c r="O76" s="272"/>
    </row>
    <row r="77" spans="1:15" s="213" customFormat="1">
      <c r="A77" s="274"/>
      <c r="B77" s="274"/>
      <c r="C77" s="275"/>
      <c r="D77" s="294"/>
      <c r="E77" s="287"/>
      <c r="F77" s="287"/>
      <c r="G77" s="288"/>
      <c r="H77" s="295"/>
      <c r="I77" s="259"/>
      <c r="J77" s="291"/>
      <c r="K77" s="280"/>
      <c r="L77" s="259"/>
      <c r="M77" s="281"/>
      <c r="N77" s="282"/>
      <c r="O77" s="272"/>
    </row>
    <row r="78" spans="1:15">
      <c r="A78" s="270"/>
      <c r="B78" s="259"/>
      <c r="C78" s="259"/>
      <c r="D78" s="260"/>
      <c r="E78" s="260"/>
      <c r="F78" s="260"/>
      <c r="G78" s="271"/>
      <c r="H78" s="283"/>
      <c r="I78" s="264"/>
      <c r="J78" s="265"/>
      <c r="K78" s="280"/>
      <c r="L78" s="261"/>
      <c r="M78" s="267"/>
      <c r="N78" s="268"/>
      <c r="O78" s="269"/>
    </row>
    <row r="79" spans="1:15">
      <c r="A79" s="270"/>
      <c r="B79" s="259"/>
      <c r="C79" s="259"/>
      <c r="D79" s="260"/>
      <c r="E79" s="260"/>
      <c r="F79" s="260"/>
      <c r="G79" s="271"/>
      <c r="H79" s="283"/>
      <c r="I79" s="264"/>
      <c r="J79" s="265"/>
      <c r="K79" s="280"/>
      <c r="L79" s="261"/>
      <c r="M79" s="267"/>
      <c r="N79" s="268"/>
      <c r="O79" s="269"/>
    </row>
    <row r="80" spans="1:15">
      <c r="A80" s="274"/>
      <c r="B80" s="274"/>
      <c r="C80" s="275"/>
      <c r="D80" s="276"/>
      <c r="E80" s="264"/>
      <c r="F80" s="264"/>
      <c r="G80" s="271"/>
      <c r="H80" s="277"/>
      <c r="I80" s="278"/>
      <c r="J80" s="265"/>
      <c r="K80" s="279"/>
      <c r="L80" s="278"/>
      <c r="M80" s="267"/>
      <c r="N80" s="268"/>
      <c r="O80" s="269"/>
    </row>
    <row r="81" spans="1:15">
      <c r="A81" s="270"/>
      <c r="B81" s="259"/>
      <c r="C81" s="259"/>
      <c r="D81" s="270"/>
      <c r="E81" s="270"/>
      <c r="F81" s="270"/>
      <c r="G81" s="288"/>
      <c r="H81" s="296"/>
      <c r="I81" s="287"/>
      <c r="J81" s="291"/>
      <c r="K81" s="297"/>
      <c r="L81" s="259"/>
      <c r="M81" s="281"/>
      <c r="N81" s="282"/>
      <c r="O81" s="272"/>
    </row>
    <row r="82" spans="1:15">
      <c r="A82" s="274"/>
      <c r="B82" s="274"/>
      <c r="C82" s="275"/>
      <c r="D82" s="294"/>
      <c r="E82" s="287"/>
      <c r="F82" s="287"/>
      <c r="G82" s="288"/>
      <c r="H82" s="289"/>
      <c r="I82" s="293"/>
      <c r="J82" s="291"/>
      <c r="K82" s="292"/>
      <c r="L82" s="293"/>
      <c r="M82" s="281"/>
      <c r="N82" s="282"/>
      <c r="O82" s="272"/>
    </row>
    <row r="83" spans="1:15">
      <c r="A83" s="274"/>
      <c r="B83" s="274"/>
      <c r="C83" s="275"/>
      <c r="D83" s="294"/>
      <c r="E83" s="287"/>
      <c r="F83" s="287"/>
      <c r="G83" s="288"/>
      <c r="H83" s="289"/>
      <c r="I83" s="293"/>
      <c r="J83" s="291"/>
      <c r="K83" s="292"/>
      <c r="L83" s="293"/>
      <c r="M83" s="281"/>
      <c r="N83" s="282"/>
      <c r="O83" s="272"/>
    </row>
    <row r="84" spans="1:15">
      <c r="A84" s="270"/>
      <c r="B84" s="259"/>
      <c r="C84" s="259"/>
      <c r="D84" s="260"/>
      <c r="E84" s="260"/>
      <c r="F84" s="260"/>
      <c r="G84" s="271"/>
      <c r="H84" s="283"/>
      <c r="I84" s="264"/>
      <c r="J84" s="265"/>
      <c r="K84" s="280"/>
      <c r="L84" s="261"/>
      <c r="M84" s="267"/>
      <c r="N84" s="268"/>
      <c r="O84" s="269"/>
    </row>
    <row r="85" spans="1:15">
      <c r="A85" s="270"/>
      <c r="B85" s="259"/>
      <c r="C85" s="259"/>
      <c r="D85" s="260"/>
      <c r="E85" s="260"/>
      <c r="F85" s="260"/>
      <c r="G85" s="271"/>
      <c r="H85" s="283"/>
      <c r="I85" s="264"/>
      <c r="J85" s="265"/>
      <c r="K85" s="280"/>
      <c r="L85" s="261"/>
      <c r="M85" s="267"/>
      <c r="N85" s="268"/>
      <c r="O85" s="269"/>
    </row>
    <row r="86" spans="1:15">
      <c r="A86" s="259"/>
      <c r="B86" s="274"/>
      <c r="C86" s="259"/>
      <c r="D86" s="298"/>
      <c r="E86" s="264"/>
      <c r="F86" s="264"/>
      <c r="G86" s="271"/>
      <c r="H86" s="299"/>
      <c r="I86" s="261"/>
      <c r="J86" s="265"/>
      <c r="K86" s="279"/>
      <c r="L86" s="278"/>
      <c r="M86" s="267"/>
      <c r="N86" s="268"/>
      <c r="O86" s="269"/>
    </row>
    <row r="87" spans="1:15">
      <c r="A87" s="274"/>
      <c r="B87" s="274"/>
      <c r="C87" s="275"/>
      <c r="D87" s="298"/>
      <c r="E87" s="264"/>
      <c r="F87" s="264"/>
      <c r="G87" s="271"/>
      <c r="H87" s="277"/>
      <c r="I87" s="278"/>
      <c r="J87" s="265"/>
      <c r="K87" s="279"/>
      <c r="L87" s="278"/>
      <c r="M87" s="267"/>
      <c r="N87" s="268"/>
      <c r="O87" s="269"/>
    </row>
    <row r="88" spans="1:15">
      <c r="A88" s="274"/>
      <c r="B88" s="274"/>
      <c r="C88" s="275"/>
      <c r="D88" s="298"/>
      <c r="E88" s="264"/>
      <c r="F88" s="264"/>
      <c r="G88" s="271"/>
      <c r="H88" s="277"/>
      <c r="I88" s="278"/>
      <c r="J88" s="265"/>
      <c r="K88" s="279"/>
      <c r="L88" s="278"/>
      <c r="M88" s="267"/>
      <c r="N88" s="268"/>
      <c r="O88" s="269"/>
    </row>
    <row r="89" spans="1:15">
      <c r="A89" s="270"/>
      <c r="B89" s="259"/>
      <c r="C89" s="259"/>
      <c r="D89" s="260"/>
      <c r="E89" s="260"/>
      <c r="F89" s="260"/>
      <c r="G89" s="271"/>
      <c r="H89" s="263"/>
      <c r="I89" s="264"/>
      <c r="J89" s="265"/>
      <c r="K89" s="266"/>
      <c r="L89" s="261"/>
      <c r="M89" s="267"/>
      <c r="N89" s="268"/>
      <c r="O89" s="269"/>
    </row>
    <row r="90" spans="1:15">
      <c r="A90" s="270"/>
      <c r="B90" s="259"/>
      <c r="C90" s="259"/>
      <c r="D90" s="260"/>
      <c r="E90" s="260"/>
      <c r="F90" s="260"/>
      <c r="G90" s="271"/>
      <c r="H90" s="263"/>
      <c r="I90" s="264"/>
      <c r="J90" s="265"/>
      <c r="K90" s="266"/>
      <c r="L90" s="261"/>
      <c r="M90" s="267"/>
      <c r="N90" s="268"/>
      <c r="O90" s="269"/>
    </row>
    <row r="91" spans="1:15">
      <c r="A91" s="270"/>
      <c r="B91" s="259"/>
      <c r="C91" s="259"/>
      <c r="D91" s="270"/>
      <c r="E91" s="270"/>
      <c r="F91" s="270"/>
      <c r="G91" s="300"/>
      <c r="H91" s="296"/>
      <c r="I91" s="287"/>
      <c r="J91" s="291"/>
      <c r="K91" s="301"/>
      <c r="L91" s="259"/>
      <c r="M91" s="281"/>
      <c r="N91" s="282"/>
      <c r="O91" s="272"/>
    </row>
    <row r="92" spans="1:15">
      <c r="A92" s="270"/>
      <c r="B92" s="259"/>
      <c r="C92" s="259"/>
      <c r="D92" s="260"/>
      <c r="E92" s="260"/>
      <c r="F92" s="260"/>
      <c r="G92" s="262"/>
      <c r="H92" s="263"/>
      <c r="I92" s="264"/>
      <c r="J92" s="265"/>
      <c r="K92" s="266"/>
      <c r="L92" s="261"/>
      <c r="M92" s="267"/>
      <c r="N92" s="268"/>
      <c r="O92" s="269"/>
    </row>
    <row r="93" spans="1:15">
      <c r="A93" s="270"/>
      <c r="B93" s="259"/>
      <c r="C93" s="259"/>
      <c r="D93" s="270"/>
      <c r="E93" s="270"/>
      <c r="F93" s="270"/>
      <c r="G93" s="300"/>
      <c r="H93" s="302"/>
      <c r="I93" s="287"/>
      <c r="J93" s="291"/>
      <c r="K93" s="301"/>
      <c r="L93" s="259"/>
      <c r="M93" s="281"/>
      <c r="N93" s="282"/>
      <c r="O93" s="272"/>
    </row>
    <row r="94" spans="1:15">
      <c r="A94" s="274"/>
      <c r="B94" s="274"/>
      <c r="C94" s="275"/>
      <c r="D94" s="298"/>
      <c r="E94" s="264"/>
      <c r="F94" s="264"/>
      <c r="G94" s="271"/>
      <c r="H94" s="277"/>
      <c r="I94" s="278"/>
      <c r="J94" s="265"/>
      <c r="K94" s="279"/>
      <c r="L94" s="293"/>
      <c r="M94" s="281"/>
      <c r="N94" s="282"/>
      <c r="O94" s="272"/>
    </row>
    <row r="95" spans="1:15">
      <c r="A95" s="270"/>
      <c r="B95" s="259"/>
      <c r="C95" s="259"/>
      <c r="D95" s="260"/>
      <c r="E95" s="260"/>
      <c r="F95" s="260"/>
      <c r="G95" s="271"/>
      <c r="H95" s="303"/>
      <c r="I95" s="264"/>
      <c r="J95" s="265"/>
      <c r="K95" s="280"/>
      <c r="L95" s="261"/>
      <c r="M95" s="267"/>
      <c r="N95" s="268"/>
      <c r="O95" s="269"/>
    </row>
    <row r="96" spans="1:15">
      <c r="A96" s="274"/>
      <c r="B96" s="274"/>
      <c r="C96" s="275"/>
      <c r="D96" s="304"/>
      <c r="E96" s="287"/>
      <c r="F96" s="287"/>
      <c r="G96" s="288"/>
      <c r="H96" s="289"/>
      <c r="I96" s="290"/>
      <c r="J96" s="291"/>
      <c r="K96" s="279"/>
      <c r="L96" s="293"/>
      <c r="M96" s="281"/>
      <c r="N96" s="282"/>
      <c r="O96" s="272"/>
    </row>
    <row r="97" spans="1:15">
      <c r="A97" s="270"/>
      <c r="B97" s="259"/>
      <c r="C97" s="259"/>
      <c r="D97" s="260"/>
      <c r="E97" s="260"/>
      <c r="F97" s="260"/>
      <c r="G97" s="271"/>
      <c r="H97" s="283"/>
      <c r="I97" s="264"/>
      <c r="J97" s="265"/>
      <c r="K97" s="280"/>
      <c r="L97" s="261"/>
      <c r="M97" s="267"/>
      <c r="N97" s="268"/>
      <c r="O97" s="269"/>
    </row>
    <row r="98" spans="1:15">
      <c r="A98" s="274"/>
      <c r="B98" s="274"/>
      <c r="C98" s="275"/>
      <c r="D98" s="276"/>
      <c r="E98" s="264"/>
      <c r="F98" s="264"/>
      <c r="G98" s="271"/>
      <c r="H98" s="277"/>
      <c r="I98" s="278"/>
      <c r="J98" s="265"/>
      <c r="K98" s="279"/>
      <c r="L98" s="278"/>
      <c r="M98" s="267"/>
      <c r="N98" s="268"/>
      <c r="O98" s="269"/>
    </row>
    <row r="99" spans="1:15">
      <c r="A99" s="274"/>
      <c r="B99" s="274"/>
      <c r="C99" s="275"/>
      <c r="D99" s="276"/>
      <c r="E99" s="264"/>
      <c r="F99" s="264"/>
      <c r="G99" s="271"/>
      <c r="H99" s="277"/>
      <c r="I99" s="278"/>
      <c r="J99" s="265"/>
      <c r="K99" s="279"/>
      <c r="L99" s="278"/>
      <c r="M99" s="267"/>
      <c r="N99" s="268"/>
      <c r="O99" s="269"/>
    </row>
    <row r="100" spans="1:15">
      <c r="A100" s="270"/>
      <c r="B100" s="259"/>
      <c r="C100" s="259"/>
      <c r="D100" s="260"/>
      <c r="E100" s="260"/>
      <c r="F100" s="260"/>
      <c r="G100" s="271"/>
      <c r="H100" s="283"/>
      <c r="I100" s="264"/>
      <c r="J100" s="265"/>
      <c r="K100" s="280"/>
      <c r="L100" s="261"/>
      <c r="M100" s="267"/>
      <c r="N100" s="268"/>
      <c r="O100" s="269"/>
    </row>
    <row r="101" spans="1:15">
      <c r="A101" s="270"/>
      <c r="B101" s="259"/>
      <c r="C101" s="259"/>
      <c r="D101" s="260"/>
      <c r="E101" s="260"/>
      <c r="F101" s="260"/>
      <c r="G101" s="271"/>
      <c r="H101" s="283"/>
      <c r="I101" s="264"/>
      <c r="J101" s="265"/>
      <c r="K101" s="280"/>
      <c r="L101" s="261"/>
      <c r="M101" s="267"/>
      <c r="N101" s="268"/>
      <c r="O101" s="269"/>
    </row>
    <row r="102" spans="1:15">
      <c r="A102" s="270"/>
      <c r="B102" s="259"/>
      <c r="C102" s="259"/>
      <c r="D102" s="260"/>
      <c r="E102" s="260"/>
      <c r="F102" s="260"/>
      <c r="G102" s="271"/>
      <c r="H102" s="283"/>
      <c r="I102" s="264"/>
      <c r="J102" s="265"/>
      <c r="K102" s="280"/>
      <c r="L102" s="261"/>
      <c r="M102" s="267"/>
      <c r="N102" s="268"/>
      <c r="O102" s="269"/>
    </row>
    <row r="103" spans="1:15">
      <c r="A103" s="270"/>
      <c r="B103" s="259"/>
      <c r="C103" s="259"/>
      <c r="D103" s="270"/>
      <c r="E103" s="270"/>
      <c r="F103" s="270"/>
      <c r="G103" s="300"/>
      <c r="H103" s="296"/>
      <c r="I103" s="287"/>
      <c r="J103" s="291"/>
      <c r="K103" s="301"/>
      <c r="L103" s="259"/>
      <c r="M103" s="281"/>
      <c r="N103" s="282"/>
      <c r="O103" s="272"/>
    </row>
    <row r="104" spans="1:15">
      <c r="A104" s="270"/>
      <c r="B104" s="259"/>
      <c r="C104" s="259"/>
      <c r="D104" s="270"/>
      <c r="E104" s="270"/>
      <c r="F104" s="270"/>
      <c r="G104" s="300"/>
      <c r="H104" s="296"/>
      <c r="I104" s="287"/>
      <c r="J104" s="291"/>
      <c r="K104" s="301"/>
      <c r="L104" s="259"/>
      <c r="M104" s="281"/>
      <c r="N104" s="282"/>
      <c r="O104" s="272"/>
    </row>
    <row r="105" spans="1:15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</row>
    <row r="106" spans="1:15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</row>
    <row r="107" spans="1:15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</row>
    <row r="108" spans="1:15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</row>
    <row r="109" spans="1:15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</row>
    <row r="110" spans="1:15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</row>
    <row r="111" spans="1:15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</row>
    <row r="112" spans="1:15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</row>
    <row r="113" spans="1:15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</row>
    <row r="114" spans="1:15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</row>
    <row r="115" spans="1:15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</row>
    <row r="116" spans="1:15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</row>
    <row r="117" spans="1:15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</row>
    <row r="118" spans="1:15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</row>
    <row r="119" spans="1:15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</row>
    <row r="120" spans="1:15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</row>
    <row r="121" spans="1:15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</row>
    <row r="122" spans="1:15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</row>
    <row r="123" spans="1:15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</row>
    <row r="124" spans="1:15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</row>
    <row r="125" spans="1:15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</row>
    <row r="126" spans="1:15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</row>
    <row r="127" spans="1:15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</row>
    <row r="128" spans="1:15">
      <c r="A128" s="259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</row>
    <row r="129" spans="1:15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</row>
    <row r="130" spans="1:15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</row>
    <row r="131" spans="1:15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</row>
    <row r="132" spans="1:15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</row>
    <row r="133" spans="1:15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</row>
    <row r="134" spans="1:15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</row>
    <row r="135" spans="1:15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</row>
    <row r="136" spans="1:15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</row>
    <row r="137" spans="1:15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</row>
    <row r="138" spans="1:15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</row>
    <row r="139" spans="1:15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</row>
    <row r="140" spans="1:15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</row>
    <row r="141" spans="1:15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</row>
    <row r="142" spans="1:15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</row>
    <row r="143" spans="1:15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</row>
    <row r="144" spans="1:15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</row>
    <row r="145" spans="1:15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</row>
    <row r="146" spans="1:15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</row>
    <row r="147" spans="1:15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</row>
    <row r="148" spans="1:15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</row>
    <row r="149" spans="1:15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</row>
    <row r="150" spans="1:15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</row>
    <row r="151" spans="1:15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</row>
    <row r="152" spans="1:15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</row>
    <row r="153" spans="1:15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</row>
    <row r="154" spans="1:15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</row>
    <row r="155" spans="1:15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</row>
    <row r="156" spans="1:15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</row>
    <row r="157" spans="1:15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</row>
    <row r="158" spans="1:15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</row>
    <row r="159" spans="1:15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</row>
    <row r="160" spans="1:15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</row>
  </sheetData>
  <sortState ref="A54:O100">
    <sortCondition ref="F54:F100"/>
  </sortState>
  <pageMargins left="0.24" right="0.2" top="0.2" bottom="0.2" header="0.3" footer="0.3"/>
  <pageSetup paperSize="9" scale="81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3:F25"/>
  <sheetViews>
    <sheetView workbookViewId="0">
      <selection activeCell="H15" sqref="H15"/>
    </sheetView>
  </sheetViews>
  <sheetFormatPr defaultRowHeight="14.4"/>
  <cols>
    <col min="1" max="1" width="13.109375" bestFit="1" customWidth="1"/>
    <col min="2" max="2" width="12.6640625" bestFit="1" customWidth="1"/>
    <col min="5" max="5" width="11.33203125" bestFit="1" customWidth="1"/>
  </cols>
  <sheetData>
    <row r="3" spans="1:6">
      <c r="A3" s="305" t="s">
        <v>354</v>
      </c>
      <c r="B3" t="s">
        <v>356</v>
      </c>
      <c r="E3" s="123" t="s">
        <v>357</v>
      </c>
      <c r="F3" s="123" t="s">
        <v>358</v>
      </c>
    </row>
    <row r="4" spans="1:6">
      <c r="A4" s="306" t="s">
        <v>182</v>
      </c>
      <c r="B4" s="307">
        <v>8.8160000000000002E-2</v>
      </c>
      <c r="E4" s="308" t="s">
        <v>182</v>
      </c>
      <c r="F4" s="162">
        <v>8.8160000000000002E-2</v>
      </c>
    </row>
    <row r="5" spans="1:6">
      <c r="A5" s="306" t="s">
        <v>30</v>
      </c>
      <c r="B5" s="307">
        <v>0.92877799999999988</v>
      </c>
      <c r="E5" s="308" t="s">
        <v>30</v>
      </c>
      <c r="F5" s="162">
        <v>0.92877799999999988</v>
      </c>
    </row>
    <row r="6" spans="1:6">
      <c r="A6" s="306" t="s">
        <v>22</v>
      </c>
      <c r="B6" s="307">
        <v>0.58156600000000003</v>
      </c>
      <c r="E6" s="308" t="s">
        <v>22</v>
      </c>
      <c r="F6" s="162">
        <v>0.58156600000000003</v>
      </c>
    </row>
    <row r="7" spans="1:6">
      <c r="A7" s="306" t="s">
        <v>35</v>
      </c>
      <c r="B7" s="307">
        <v>0.95335000000000014</v>
      </c>
      <c r="E7" s="308" t="s">
        <v>35</v>
      </c>
      <c r="F7" s="162">
        <v>0.95335000000000014</v>
      </c>
    </row>
    <row r="8" spans="1:6">
      <c r="A8" s="306" t="s">
        <v>36</v>
      </c>
      <c r="B8" s="307">
        <v>0.10607999999999999</v>
      </c>
      <c r="E8" s="308" t="s">
        <v>36</v>
      </c>
      <c r="F8" s="162">
        <v>0.10607999999999999</v>
      </c>
    </row>
    <row r="9" spans="1:6">
      <c r="A9" s="306" t="s">
        <v>41</v>
      </c>
      <c r="B9" s="307">
        <v>0.14160000000000003</v>
      </c>
      <c r="E9" s="308" t="s">
        <v>41</v>
      </c>
      <c r="F9" s="162">
        <f>0.1416+2.5</f>
        <v>2.6415999999999999</v>
      </c>
    </row>
    <row r="10" spans="1:6">
      <c r="A10" s="306" t="s">
        <v>44</v>
      </c>
      <c r="B10" s="307">
        <v>0.25058000000000002</v>
      </c>
      <c r="E10" s="308" t="s">
        <v>44</v>
      </c>
      <c r="F10" s="162">
        <v>0.25058000000000002</v>
      </c>
    </row>
    <row r="11" spans="1:6">
      <c r="A11" s="306" t="s">
        <v>39</v>
      </c>
      <c r="B11" s="307">
        <v>0.32032099999999997</v>
      </c>
      <c r="E11" s="308" t="s">
        <v>39</v>
      </c>
      <c r="F11" s="162">
        <v>0.32032099999999997</v>
      </c>
    </row>
    <row r="12" spans="1:6">
      <c r="A12" s="306" t="s">
        <v>50</v>
      </c>
      <c r="B12" s="307">
        <v>0.30163000000000001</v>
      </c>
      <c r="E12" s="308" t="s">
        <v>50</v>
      </c>
      <c r="F12" s="162">
        <v>0.30163000000000001</v>
      </c>
    </row>
    <row r="13" spans="1:6">
      <c r="A13" s="306" t="s">
        <v>48</v>
      </c>
      <c r="B13" s="307">
        <v>0.28320000000000006</v>
      </c>
      <c r="E13" s="308" t="s">
        <v>48</v>
      </c>
      <c r="F13" s="162">
        <v>0.28320000000000006</v>
      </c>
    </row>
    <row r="14" spans="1:6">
      <c r="A14" s="306" t="s">
        <v>49</v>
      </c>
      <c r="B14" s="307">
        <v>0.24235200000000001</v>
      </c>
      <c r="E14" s="308" t="s">
        <v>49</v>
      </c>
      <c r="F14" s="162">
        <v>0.24235200000000001</v>
      </c>
    </row>
    <row r="15" spans="1:6">
      <c r="A15" s="306" t="s">
        <v>60</v>
      </c>
      <c r="B15" s="307">
        <v>0.27515999999999996</v>
      </c>
      <c r="E15" s="308" t="s">
        <v>60</v>
      </c>
      <c r="F15" s="162">
        <v>0.27515999999999996</v>
      </c>
    </row>
    <row r="16" spans="1:6">
      <c r="A16" s="306" t="s">
        <v>58</v>
      </c>
      <c r="B16" s="307">
        <v>0.36568599999999996</v>
      </c>
      <c r="E16" s="308" t="s">
        <v>58</v>
      </c>
      <c r="F16" s="162">
        <v>0.36568599999999996</v>
      </c>
    </row>
    <row r="17" spans="1:6">
      <c r="A17" s="306" t="s">
        <v>183</v>
      </c>
      <c r="B17" s="307">
        <v>2.7404000000000001E-2</v>
      </c>
      <c r="E17" s="308" t="s">
        <v>183</v>
      </c>
      <c r="F17" s="162">
        <v>2.7404000000000001E-2</v>
      </c>
    </row>
    <row r="18" spans="1:6">
      <c r="A18" s="306" t="s">
        <v>154</v>
      </c>
      <c r="B18" s="307">
        <v>4.9800000000000004E-2</v>
      </c>
      <c r="E18" s="308" t="s">
        <v>154</v>
      </c>
      <c r="F18" s="162">
        <v>4.9800000000000004E-2</v>
      </c>
    </row>
    <row r="19" spans="1:6">
      <c r="A19" s="306" t="s">
        <v>144</v>
      </c>
      <c r="B19" s="307">
        <v>5.3800000000000001E-2</v>
      </c>
      <c r="E19" s="308" t="s">
        <v>144</v>
      </c>
      <c r="F19" s="162">
        <v>5.3800000000000001E-2</v>
      </c>
    </row>
    <row r="20" spans="1:6">
      <c r="A20" s="306" t="s">
        <v>16</v>
      </c>
      <c r="B20" s="307">
        <v>0.12694</v>
      </c>
      <c r="E20" s="308" t="s">
        <v>16</v>
      </c>
      <c r="F20" s="162">
        <v>0.12694</v>
      </c>
    </row>
    <row r="21" spans="1:6">
      <c r="A21" s="306" t="s">
        <v>31</v>
      </c>
      <c r="B21" s="307">
        <v>0.23160000000000003</v>
      </c>
      <c r="E21" s="308" t="s">
        <v>31</v>
      </c>
      <c r="F21" s="162">
        <v>0.23160000000000003</v>
      </c>
    </row>
    <row r="22" spans="1:6">
      <c r="A22" s="306" t="s">
        <v>32</v>
      </c>
      <c r="B22" s="307">
        <v>0.36105000000000004</v>
      </c>
      <c r="E22" s="308" t="s">
        <v>32</v>
      </c>
      <c r="F22" s="162">
        <v>0.36105000000000004</v>
      </c>
    </row>
    <row r="23" spans="1:6">
      <c r="A23" s="306" t="s">
        <v>34</v>
      </c>
      <c r="B23" s="307">
        <v>0.25178199999999995</v>
      </c>
      <c r="E23" s="308" t="s">
        <v>34</v>
      </c>
      <c r="F23" s="162">
        <v>0.25178199999999995</v>
      </c>
    </row>
    <row r="24" spans="1:6">
      <c r="A24" s="306" t="s">
        <v>101</v>
      </c>
      <c r="B24" s="307">
        <v>0.15676999999999999</v>
      </c>
      <c r="E24" s="308" t="s">
        <v>101</v>
      </c>
      <c r="F24" s="162">
        <v>0.15676999999999999</v>
      </c>
    </row>
    <row r="25" spans="1:6">
      <c r="A25" s="306" t="s">
        <v>355</v>
      </c>
      <c r="B25" s="307">
        <v>6.0976089999999985</v>
      </c>
      <c r="E25" s="32"/>
      <c r="F25" s="132">
        <f>SUM(F4:F24)</f>
        <v>8.5976090000000003</v>
      </c>
    </row>
  </sheetData>
  <pageMargins left="0.35" right="0.7" top="0.28999999999999998" bottom="0.75" header="0.3" footer="0.3"/>
  <pageSetup paperSize="9" scale="130" orientation="portrait" verticalDpi="0"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5:S300"/>
  <sheetViews>
    <sheetView topLeftCell="A83" workbookViewId="0">
      <selection activeCell="K263" sqref="K263"/>
    </sheetView>
  </sheetViews>
  <sheetFormatPr defaultRowHeight="14.4"/>
  <cols>
    <col min="7" max="7" width="11.88671875" bestFit="1" customWidth="1"/>
  </cols>
  <sheetData>
    <row r="5" spans="1:16">
      <c r="A5" s="42" t="s">
        <v>77</v>
      </c>
      <c r="B5" s="3" t="s">
        <v>68</v>
      </c>
      <c r="C5" s="3">
        <v>253</v>
      </c>
      <c r="D5" s="1"/>
      <c r="E5" s="12" t="s">
        <v>20</v>
      </c>
      <c r="F5" s="7" t="s">
        <v>15</v>
      </c>
      <c r="G5" s="7" t="s">
        <v>52</v>
      </c>
      <c r="H5" s="11">
        <v>17.829999999999998</v>
      </c>
      <c r="I5" s="8">
        <v>11.9</v>
      </c>
      <c r="J5" s="26">
        <v>1</v>
      </c>
      <c r="K5" s="10">
        <v>0.212177</v>
      </c>
      <c r="L5" s="4"/>
      <c r="M5" s="17"/>
      <c r="N5" s="18">
        <v>0</v>
      </c>
      <c r="O5" s="87">
        <v>1</v>
      </c>
      <c r="P5" s="88">
        <v>0.212177</v>
      </c>
    </row>
    <row r="6" spans="1:16">
      <c r="A6" s="42" t="s">
        <v>78</v>
      </c>
      <c r="B6" s="3"/>
      <c r="C6" s="3">
        <v>11</v>
      </c>
      <c r="D6" s="1"/>
      <c r="E6" s="12" t="s">
        <v>20</v>
      </c>
      <c r="F6" s="7" t="s">
        <v>15</v>
      </c>
      <c r="G6" s="7" t="s">
        <v>52</v>
      </c>
      <c r="H6" s="11">
        <v>17.829999999999998</v>
      </c>
      <c r="I6" s="8">
        <v>6</v>
      </c>
      <c r="J6" s="26">
        <v>1</v>
      </c>
      <c r="K6" s="10">
        <v>0.10697999999999999</v>
      </c>
      <c r="L6" s="4"/>
      <c r="M6" s="17"/>
      <c r="N6" s="18">
        <v>0</v>
      </c>
      <c r="O6" s="87">
        <v>1</v>
      </c>
      <c r="P6" s="88">
        <v>0.10697999999999999</v>
      </c>
    </row>
    <row r="7" spans="1:16">
      <c r="A7" s="42" t="s">
        <v>90</v>
      </c>
      <c r="B7" s="3"/>
      <c r="C7" s="3">
        <v>162</v>
      </c>
      <c r="D7" s="1"/>
      <c r="E7" s="12" t="s">
        <v>114</v>
      </c>
      <c r="F7" s="7" t="s">
        <v>15</v>
      </c>
      <c r="G7" s="7" t="s">
        <v>52</v>
      </c>
      <c r="H7" s="11">
        <v>17.829999999999998</v>
      </c>
      <c r="I7" s="8">
        <v>9.6999999999999993</v>
      </c>
      <c r="J7" s="26">
        <v>1</v>
      </c>
      <c r="K7" s="10">
        <v>0.17295099999999997</v>
      </c>
      <c r="L7" s="4" t="s">
        <v>26</v>
      </c>
      <c r="M7" s="22"/>
      <c r="N7" s="18">
        <v>0</v>
      </c>
      <c r="O7" s="87">
        <v>1</v>
      </c>
      <c r="P7" s="88">
        <v>0.17295099999999997</v>
      </c>
    </row>
    <row r="10" spans="1:16" ht="15.6">
      <c r="B10" s="110" t="s">
        <v>248</v>
      </c>
      <c r="C10" s="111" t="s">
        <v>227</v>
      </c>
      <c r="D10" s="112" t="s">
        <v>228</v>
      </c>
      <c r="E10" s="113" t="s">
        <v>94</v>
      </c>
      <c r="F10" s="216" t="s">
        <v>15</v>
      </c>
      <c r="G10" s="216" t="s">
        <v>22</v>
      </c>
      <c r="H10" s="217">
        <v>10.73</v>
      </c>
      <c r="I10" s="221">
        <v>7.2</v>
      </c>
      <c r="J10" s="219">
        <v>1</v>
      </c>
      <c r="K10" s="220">
        <f t="shared" ref="K10:K47" si="0">(H10*I10*J10/1000)</f>
        <v>7.7256000000000005E-2</v>
      </c>
      <c r="L10" s="118"/>
      <c r="M10" s="111"/>
      <c r="N10" s="117">
        <f t="shared" ref="N10:N47" si="1">I10*M10*H10/1000</f>
        <v>0</v>
      </c>
      <c r="O10" s="148">
        <f t="shared" ref="O10:O47" si="2">J10-M10</f>
        <v>1</v>
      </c>
      <c r="P10" s="149">
        <f t="shared" ref="P10:P47" si="3">I10*O10*H10/1000</f>
        <v>7.7256000000000005E-2</v>
      </c>
    </row>
    <row r="11" spans="1:16" ht="15.6">
      <c r="B11" s="110" t="s">
        <v>248</v>
      </c>
      <c r="C11" s="111" t="s">
        <v>227</v>
      </c>
      <c r="D11" s="112" t="s">
        <v>228</v>
      </c>
      <c r="E11" s="113" t="s">
        <v>94</v>
      </c>
      <c r="F11" s="216" t="s">
        <v>15</v>
      </c>
      <c r="G11" s="216" t="s">
        <v>22</v>
      </c>
      <c r="H11" s="217">
        <v>10.73</v>
      </c>
      <c r="I11" s="221">
        <v>6</v>
      </c>
      <c r="J11" s="219">
        <v>3</v>
      </c>
      <c r="K11" s="220">
        <f t="shared" si="0"/>
        <v>0.19313999999999998</v>
      </c>
      <c r="L11" s="118"/>
      <c r="M11" s="111"/>
      <c r="N11" s="117">
        <f t="shared" si="1"/>
        <v>0</v>
      </c>
      <c r="O11" s="148">
        <f t="shared" si="2"/>
        <v>3</v>
      </c>
      <c r="P11" s="149">
        <f t="shared" si="3"/>
        <v>0.19314000000000001</v>
      </c>
    </row>
    <row r="12" spans="1:16" ht="15.6">
      <c r="B12" s="110" t="s">
        <v>248</v>
      </c>
      <c r="C12" s="111" t="s">
        <v>227</v>
      </c>
      <c r="D12" s="112" t="s">
        <v>228</v>
      </c>
      <c r="E12" s="113" t="s">
        <v>94</v>
      </c>
      <c r="F12" s="216" t="s">
        <v>15</v>
      </c>
      <c r="G12" s="216" t="s">
        <v>22</v>
      </c>
      <c r="H12" s="217">
        <v>10.73</v>
      </c>
      <c r="I12" s="221">
        <v>7.5</v>
      </c>
      <c r="J12" s="219">
        <v>1</v>
      </c>
      <c r="K12" s="220">
        <f t="shared" si="0"/>
        <v>8.0475000000000005E-2</v>
      </c>
      <c r="L12" s="118"/>
      <c r="M12" s="111"/>
      <c r="N12" s="117">
        <f t="shared" si="1"/>
        <v>0</v>
      </c>
      <c r="O12" s="119">
        <f t="shared" si="2"/>
        <v>1</v>
      </c>
      <c r="P12" s="120">
        <f t="shared" si="3"/>
        <v>8.0475000000000005E-2</v>
      </c>
    </row>
    <row r="13" spans="1:16" s="213" customFormat="1" ht="15.6">
      <c r="B13" s="110"/>
      <c r="C13" s="111"/>
      <c r="D13" s="112"/>
      <c r="E13" s="113"/>
      <c r="F13" s="216"/>
      <c r="G13" s="216"/>
      <c r="H13" s="217"/>
      <c r="I13" s="221"/>
      <c r="J13" s="219"/>
      <c r="K13" s="220"/>
      <c r="L13" s="118"/>
      <c r="M13" s="111"/>
      <c r="N13" s="117"/>
      <c r="O13" s="119"/>
      <c r="P13" s="120"/>
    </row>
    <row r="14" spans="1:16" ht="15.6">
      <c r="B14" s="110" t="s">
        <v>311</v>
      </c>
      <c r="C14" s="111" t="s">
        <v>232</v>
      </c>
      <c r="D14" s="112" t="s">
        <v>228</v>
      </c>
      <c r="E14" s="113" t="s">
        <v>152</v>
      </c>
      <c r="F14" s="216" t="s">
        <v>15</v>
      </c>
      <c r="G14" s="216" t="s">
        <v>22</v>
      </c>
      <c r="H14" s="217">
        <v>10.73</v>
      </c>
      <c r="I14" s="218">
        <v>11.4</v>
      </c>
      <c r="J14" s="219">
        <v>1</v>
      </c>
      <c r="K14" s="220">
        <f t="shared" si="0"/>
        <v>0.122322</v>
      </c>
      <c r="L14" s="118"/>
      <c r="M14" s="111"/>
      <c r="N14" s="117">
        <f t="shared" si="1"/>
        <v>0</v>
      </c>
      <c r="O14" s="119">
        <f t="shared" si="2"/>
        <v>1</v>
      </c>
      <c r="P14" s="120">
        <f t="shared" si="3"/>
        <v>0.122322</v>
      </c>
    </row>
    <row r="15" spans="1:16" ht="15.6">
      <c r="B15" s="110" t="s">
        <v>311</v>
      </c>
      <c r="C15" s="111" t="s">
        <v>232</v>
      </c>
      <c r="D15" s="112" t="s">
        <v>228</v>
      </c>
      <c r="E15" s="113" t="s">
        <v>152</v>
      </c>
      <c r="F15" s="216" t="s">
        <v>15</v>
      </c>
      <c r="G15" s="216" t="s">
        <v>22</v>
      </c>
      <c r="H15" s="217">
        <v>10.73</v>
      </c>
      <c r="I15" s="218">
        <v>11.2</v>
      </c>
      <c r="J15" s="219">
        <v>1</v>
      </c>
      <c r="K15" s="220">
        <f t="shared" si="0"/>
        <v>0.12017600000000001</v>
      </c>
      <c r="L15" s="118"/>
      <c r="M15" s="111"/>
      <c r="N15" s="117">
        <f t="shared" si="1"/>
        <v>0</v>
      </c>
      <c r="O15" s="119">
        <f t="shared" si="2"/>
        <v>1</v>
      </c>
      <c r="P15" s="120">
        <f t="shared" si="3"/>
        <v>0.12017600000000001</v>
      </c>
    </row>
    <row r="16" spans="1:16" ht="15.6">
      <c r="B16" s="110" t="s">
        <v>311</v>
      </c>
      <c r="C16" s="111" t="s">
        <v>232</v>
      </c>
      <c r="D16" s="112" t="s">
        <v>228</v>
      </c>
      <c r="E16" s="113" t="s">
        <v>152</v>
      </c>
      <c r="F16" s="216" t="s">
        <v>15</v>
      </c>
      <c r="G16" s="216" t="s">
        <v>22</v>
      </c>
      <c r="H16" s="217">
        <v>10.73</v>
      </c>
      <c r="I16" s="218">
        <v>7.5</v>
      </c>
      <c r="J16" s="219">
        <v>2</v>
      </c>
      <c r="K16" s="220">
        <f t="shared" si="0"/>
        <v>0.16095000000000001</v>
      </c>
      <c r="L16" s="118"/>
      <c r="M16" s="111"/>
      <c r="N16" s="117">
        <f t="shared" si="1"/>
        <v>0</v>
      </c>
      <c r="O16" s="119">
        <f t="shared" si="2"/>
        <v>2</v>
      </c>
      <c r="P16" s="120">
        <f t="shared" si="3"/>
        <v>0.16095000000000001</v>
      </c>
    </row>
    <row r="17" spans="2:16" ht="15.6">
      <c r="B17" s="110" t="s">
        <v>311</v>
      </c>
      <c r="C17" s="111" t="s">
        <v>232</v>
      </c>
      <c r="D17" s="112" t="s">
        <v>228</v>
      </c>
      <c r="E17" s="113" t="s">
        <v>152</v>
      </c>
      <c r="F17" s="216" t="s">
        <v>15</v>
      </c>
      <c r="G17" s="216" t="s">
        <v>22</v>
      </c>
      <c r="H17" s="217">
        <v>10.73</v>
      </c>
      <c r="I17" s="218">
        <v>7.3</v>
      </c>
      <c r="J17" s="219">
        <v>3</v>
      </c>
      <c r="K17" s="220">
        <f t="shared" si="0"/>
        <v>0.23498700000000003</v>
      </c>
      <c r="L17" s="118"/>
      <c r="M17" s="111"/>
      <c r="N17" s="117">
        <f t="shared" si="1"/>
        <v>0</v>
      </c>
      <c r="O17" s="119">
        <f t="shared" si="2"/>
        <v>3</v>
      </c>
      <c r="P17" s="120">
        <f t="shared" si="3"/>
        <v>0.234987</v>
      </c>
    </row>
    <row r="18" spans="2:16" ht="15.6">
      <c r="B18" s="110" t="s">
        <v>311</v>
      </c>
      <c r="C18" s="111" t="s">
        <v>232</v>
      </c>
      <c r="D18" s="112" t="s">
        <v>228</v>
      </c>
      <c r="E18" s="113" t="s">
        <v>152</v>
      </c>
      <c r="F18" s="216" t="s">
        <v>15</v>
      </c>
      <c r="G18" s="216" t="s">
        <v>22</v>
      </c>
      <c r="H18" s="217">
        <v>10.73</v>
      </c>
      <c r="I18" s="218">
        <v>6.9</v>
      </c>
      <c r="J18" s="219">
        <v>1</v>
      </c>
      <c r="K18" s="220">
        <f t="shared" si="0"/>
        <v>7.4037000000000006E-2</v>
      </c>
      <c r="L18" s="118"/>
      <c r="M18" s="111"/>
      <c r="N18" s="117">
        <f t="shared" si="1"/>
        <v>0</v>
      </c>
      <c r="O18" s="119">
        <f t="shared" si="2"/>
        <v>1</v>
      </c>
      <c r="P18" s="120">
        <f t="shared" si="3"/>
        <v>7.4037000000000006E-2</v>
      </c>
    </row>
    <row r="19" spans="2:16" ht="15.6">
      <c r="B19" s="110" t="s">
        <v>311</v>
      </c>
      <c r="C19" s="111" t="s">
        <v>232</v>
      </c>
      <c r="D19" s="112" t="s">
        <v>228</v>
      </c>
      <c r="E19" s="113" t="s">
        <v>152</v>
      </c>
      <c r="F19" s="216" t="s">
        <v>15</v>
      </c>
      <c r="G19" s="216" t="s">
        <v>22</v>
      </c>
      <c r="H19" s="217">
        <v>10.73</v>
      </c>
      <c r="I19" s="218">
        <v>7.1</v>
      </c>
      <c r="J19" s="219">
        <v>1</v>
      </c>
      <c r="K19" s="220">
        <f t="shared" si="0"/>
        <v>7.6182999999999987E-2</v>
      </c>
      <c r="L19" s="118"/>
      <c r="M19" s="111"/>
      <c r="N19" s="117">
        <f t="shared" si="1"/>
        <v>0</v>
      </c>
      <c r="O19" s="119">
        <f t="shared" si="2"/>
        <v>1</v>
      </c>
      <c r="P19" s="120">
        <f t="shared" si="3"/>
        <v>7.6182999999999987E-2</v>
      </c>
    </row>
    <row r="20" spans="2:16" ht="15.6">
      <c r="B20" s="110" t="s">
        <v>311</v>
      </c>
      <c r="C20" s="111" t="s">
        <v>232</v>
      </c>
      <c r="D20" s="112" t="s">
        <v>228</v>
      </c>
      <c r="E20" s="113" t="s">
        <v>152</v>
      </c>
      <c r="F20" s="216" t="s">
        <v>15</v>
      </c>
      <c r="G20" s="216" t="s">
        <v>22</v>
      </c>
      <c r="H20" s="217">
        <v>10.73</v>
      </c>
      <c r="I20" s="218">
        <v>7.3</v>
      </c>
      <c r="J20" s="219">
        <v>3</v>
      </c>
      <c r="K20" s="220">
        <f t="shared" si="0"/>
        <v>0.23498700000000003</v>
      </c>
      <c r="L20" s="118"/>
      <c r="M20" s="111"/>
      <c r="N20" s="117">
        <f t="shared" si="1"/>
        <v>0</v>
      </c>
      <c r="O20" s="119">
        <f t="shared" si="2"/>
        <v>3</v>
      </c>
      <c r="P20" s="120">
        <f t="shared" si="3"/>
        <v>0.234987</v>
      </c>
    </row>
    <row r="21" spans="2:16" ht="15.6">
      <c r="B21" s="110" t="s">
        <v>311</v>
      </c>
      <c r="C21" s="111" t="s">
        <v>232</v>
      </c>
      <c r="D21" s="112" t="s">
        <v>228</v>
      </c>
      <c r="E21" s="113" t="s">
        <v>152</v>
      </c>
      <c r="F21" s="216" t="s">
        <v>15</v>
      </c>
      <c r="G21" s="216" t="s">
        <v>22</v>
      </c>
      <c r="H21" s="217">
        <v>10.73</v>
      </c>
      <c r="I21" s="218">
        <v>8.6</v>
      </c>
      <c r="J21" s="219">
        <v>3</v>
      </c>
      <c r="K21" s="220">
        <f t="shared" si="0"/>
        <v>0.27683400000000002</v>
      </c>
      <c r="L21" s="118"/>
      <c r="M21" s="111">
        <v>1</v>
      </c>
      <c r="N21" s="117">
        <f t="shared" si="1"/>
        <v>9.2277999999999999E-2</v>
      </c>
      <c r="O21" s="119">
        <f t="shared" si="2"/>
        <v>2</v>
      </c>
      <c r="P21" s="120">
        <f t="shared" si="3"/>
        <v>0.184556</v>
      </c>
    </row>
    <row r="22" spans="2:16" ht="15.6">
      <c r="B22" s="110" t="s">
        <v>311</v>
      </c>
      <c r="C22" s="111" t="s">
        <v>232</v>
      </c>
      <c r="D22" s="112" t="s">
        <v>228</v>
      </c>
      <c r="E22" s="113" t="s">
        <v>152</v>
      </c>
      <c r="F22" s="216" t="s">
        <v>15</v>
      </c>
      <c r="G22" s="216" t="s">
        <v>22</v>
      </c>
      <c r="H22" s="217">
        <v>10.73</v>
      </c>
      <c r="I22" s="221">
        <v>9</v>
      </c>
      <c r="J22" s="219">
        <v>3</v>
      </c>
      <c r="K22" s="220">
        <f t="shared" si="0"/>
        <v>0.28971000000000002</v>
      </c>
      <c r="L22" s="118"/>
      <c r="M22" s="111"/>
      <c r="N22" s="117">
        <f t="shared" si="1"/>
        <v>0</v>
      </c>
      <c r="O22" s="119">
        <f t="shared" si="2"/>
        <v>3</v>
      </c>
      <c r="P22" s="120">
        <f t="shared" si="3"/>
        <v>0.28971000000000002</v>
      </c>
    </row>
    <row r="23" spans="2:16" ht="15.6">
      <c r="B23" s="110" t="s">
        <v>311</v>
      </c>
      <c r="C23" s="111" t="s">
        <v>232</v>
      </c>
      <c r="D23" s="112" t="s">
        <v>228</v>
      </c>
      <c r="E23" s="113" t="s">
        <v>152</v>
      </c>
      <c r="F23" s="216" t="s">
        <v>15</v>
      </c>
      <c r="G23" s="216" t="s">
        <v>22</v>
      </c>
      <c r="H23" s="217">
        <v>10.73</v>
      </c>
      <c r="I23" s="221">
        <v>7.5</v>
      </c>
      <c r="J23" s="219">
        <v>14</v>
      </c>
      <c r="K23" s="220">
        <f t="shared" si="0"/>
        <v>1.1266500000000002</v>
      </c>
      <c r="L23" s="118"/>
      <c r="M23" s="111"/>
      <c r="N23" s="117">
        <f t="shared" si="1"/>
        <v>0</v>
      </c>
      <c r="O23" s="119">
        <f t="shared" si="2"/>
        <v>14</v>
      </c>
      <c r="P23" s="120">
        <f t="shared" si="3"/>
        <v>1.1266500000000002</v>
      </c>
    </row>
    <row r="24" spans="2:16" ht="15.6">
      <c r="B24" s="110" t="s">
        <v>311</v>
      </c>
      <c r="C24" s="111" t="s">
        <v>232</v>
      </c>
      <c r="D24" s="112" t="s">
        <v>228</v>
      </c>
      <c r="E24" s="113" t="s">
        <v>152</v>
      </c>
      <c r="F24" s="216" t="s">
        <v>15</v>
      </c>
      <c r="G24" s="216" t="s">
        <v>22</v>
      </c>
      <c r="H24" s="217">
        <v>10.73</v>
      </c>
      <c r="I24" s="221">
        <v>11.4</v>
      </c>
      <c r="J24" s="219">
        <v>4</v>
      </c>
      <c r="K24" s="220">
        <f t="shared" si="0"/>
        <v>0.489288</v>
      </c>
      <c r="L24" s="118"/>
      <c r="M24" s="111"/>
      <c r="N24" s="117">
        <f t="shared" si="1"/>
        <v>0</v>
      </c>
      <c r="O24" s="119">
        <f t="shared" si="2"/>
        <v>4</v>
      </c>
      <c r="P24" s="120">
        <f t="shared" si="3"/>
        <v>0.489288</v>
      </c>
    </row>
    <row r="25" spans="2:16" ht="15.6">
      <c r="B25" s="110" t="s">
        <v>311</v>
      </c>
      <c r="C25" s="111" t="s">
        <v>232</v>
      </c>
      <c r="D25" s="112" t="s">
        <v>228</v>
      </c>
      <c r="E25" s="113" t="s">
        <v>152</v>
      </c>
      <c r="F25" s="216" t="s">
        <v>15</v>
      </c>
      <c r="G25" s="216" t="s">
        <v>22</v>
      </c>
      <c r="H25" s="217">
        <v>10.73</v>
      </c>
      <c r="I25" s="221">
        <v>11.2</v>
      </c>
      <c r="J25" s="219">
        <v>1</v>
      </c>
      <c r="K25" s="220">
        <f t="shared" si="0"/>
        <v>0.12017600000000001</v>
      </c>
      <c r="L25" s="118"/>
      <c r="M25" s="111"/>
      <c r="N25" s="117">
        <f t="shared" si="1"/>
        <v>0</v>
      </c>
      <c r="O25" s="119">
        <f t="shared" si="2"/>
        <v>1</v>
      </c>
      <c r="P25" s="120">
        <f t="shared" si="3"/>
        <v>0.12017600000000001</v>
      </c>
    </row>
    <row r="26" spans="2:16" ht="15.6">
      <c r="B26" s="110" t="s">
        <v>311</v>
      </c>
      <c r="C26" s="111" t="s">
        <v>232</v>
      </c>
      <c r="D26" s="112" t="s">
        <v>228</v>
      </c>
      <c r="E26" s="113" t="s">
        <v>152</v>
      </c>
      <c r="F26" s="216" t="s">
        <v>15</v>
      </c>
      <c r="G26" s="216" t="s">
        <v>22</v>
      </c>
      <c r="H26" s="217">
        <v>10.73</v>
      </c>
      <c r="I26" s="221">
        <v>12</v>
      </c>
      <c r="J26" s="219">
        <v>1</v>
      </c>
      <c r="K26" s="220">
        <f t="shared" si="0"/>
        <v>0.12875999999999999</v>
      </c>
      <c r="L26" s="118"/>
      <c r="M26" s="111">
        <v>1</v>
      </c>
      <c r="N26" s="117">
        <f t="shared" si="1"/>
        <v>0.12875999999999999</v>
      </c>
      <c r="O26" s="119">
        <f t="shared" si="2"/>
        <v>0</v>
      </c>
      <c r="P26" s="120">
        <f t="shared" si="3"/>
        <v>0</v>
      </c>
    </row>
    <row r="27" spans="2:16" ht="15.6">
      <c r="B27" s="110" t="s">
        <v>311</v>
      </c>
      <c r="C27" s="111" t="s">
        <v>232</v>
      </c>
      <c r="D27" s="112" t="s">
        <v>228</v>
      </c>
      <c r="E27" s="113" t="s">
        <v>152</v>
      </c>
      <c r="F27" s="216" t="s">
        <v>15</v>
      </c>
      <c r="G27" s="216" t="s">
        <v>22</v>
      </c>
      <c r="H27" s="217">
        <v>10.73</v>
      </c>
      <c r="I27" s="221">
        <v>11.4</v>
      </c>
      <c r="J27" s="219">
        <v>1</v>
      </c>
      <c r="K27" s="220">
        <f t="shared" si="0"/>
        <v>0.122322</v>
      </c>
      <c r="L27" s="118"/>
      <c r="M27" s="111"/>
      <c r="N27" s="117">
        <f t="shared" si="1"/>
        <v>0</v>
      </c>
      <c r="O27" s="119">
        <f t="shared" si="2"/>
        <v>1</v>
      </c>
      <c r="P27" s="120">
        <f t="shared" si="3"/>
        <v>0.122322</v>
      </c>
    </row>
    <row r="28" spans="2:16" ht="15.6">
      <c r="B28" s="110" t="s">
        <v>311</v>
      </c>
      <c r="C28" s="111" t="s">
        <v>232</v>
      </c>
      <c r="D28" s="112" t="s">
        <v>228</v>
      </c>
      <c r="E28" s="113" t="s">
        <v>152</v>
      </c>
      <c r="F28" s="216" t="s">
        <v>15</v>
      </c>
      <c r="G28" s="216" t="s">
        <v>22</v>
      </c>
      <c r="H28" s="217">
        <v>10.73</v>
      </c>
      <c r="I28" s="221">
        <v>10.4</v>
      </c>
      <c r="J28" s="219">
        <v>2</v>
      </c>
      <c r="K28" s="220">
        <f t="shared" si="0"/>
        <v>0.22318400000000002</v>
      </c>
      <c r="L28" s="118"/>
      <c r="M28" s="111"/>
      <c r="N28" s="117">
        <f t="shared" si="1"/>
        <v>0</v>
      </c>
      <c r="O28" s="119">
        <f t="shared" si="2"/>
        <v>2</v>
      </c>
      <c r="P28" s="120">
        <f t="shared" si="3"/>
        <v>0.22318400000000002</v>
      </c>
    </row>
    <row r="29" spans="2:16" ht="15.6">
      <c r="B29" s="110" t="s">
        <v>311</v>
      </c>
      <c r="C29" s="111" t="s">
        <v>232</v>
      </c>
      <c r="D29" s="112" t="s">
        <v>228</v>
      </c>
      <c r="E29" s="113" t="s">
        <v>152</v>
      </c>
      <c r="F29" s="216" t="s">
        <v>15</v>
      </c>
      <c r="G29" s="216" t="s">
        <v>22</v>
      </c>
      <c r="H29" s="217">
        <v>10.73</v>
      </c>
      <c r="I29" s="221">
        <v>9.5</v>
      </c>
      <c r="J29" s="219">
        <v>1</v>
      </c>
      <c r="K29" s="220">
        <f t="shared" si="0"/>
        <v>0.101935</v>
      </c>
      <c r="L29" s="118"/>
      <c r="M29" s="111"/>
      <c r="N29" s="117">
        <f t="shared" si="1"/>
        <v>0</v>
      </c>
      <c r="O29" s="119">
        <f t="shared" si="2"/>
        <v>1</v>
      </c>
      <c r="P29" s="120">
        <f t="shared" si="3"/>
        <v>0.101935</v>
      </c>
    </row>
    <row r="30" spans="2:16" ht="15.6">
      <c r="B30" s="110" t="s">
        <v>311</v>
      </c>
      <c r="C30" s="111" t="s">
        <v>232</v>
      </c>
      <c r="D30" s="112" t="s">
        <v>228</v>
      </c>
      <c r="E30" s="113" t="s">
        <v>152</v>
      </c>
      <c r="F30" s="216" t="s">
        <v>15</v>
      </c>
      <c r="G30" s="216" t="s">
        <v>22</v>
      </c>
      <c r="H30" s="217">
        <v>10.73</v>
      </c>
      <c r="I30" s="221">
        <v>9.4</v>
      </c>
      <c r="J30" s="219">
        <v>3</v>
      </c>
      <c r="K30" s="220">
        <f t="shared" si="0"/>
        <v>0.30258600000000002</v>
      </c>
      <c r="L30" s="118"/>
      <c r="M30" s="111">
        <v>3</v>
      </c>
      <c r="N30" s="117">
        <f t="shared" si="1"/>
        <v>0.30258600000000008</v>
      </c>
      <c r="O30" s="119">
        <f t="shared" si="2"/>
        <v>0</v>
      </c>
      <c r="P30" s="120">
        <f t="shared" si="3"/>
        <v>0</v>
      </c>
    </row>
    <row r="31" spans="2:16" ht="15.6">
      <c r="B31" s="110" t="s">
        <v>311</v>
      </c>
      <c r="C31" s="111" t="s">
        <v>232</v>
      </c>
      <c r="D31" s="112" t="s">
        <v>228</v>
      </c>
      <c r="E31" s="113" t="s">
        <v>152</v>
      </c>
      <c r="F31" s="216" t="s">
        <v>15</v>
      </c>
      <c r="G31" s="216" t="s">
        <v>22</v>
      </c>
      <c r="H31" s="217">
        <v>10.73</v>
      </c>
      <c r="I31" s="221">
        <v>9</v>
      </c>
      <c r="J31" s="219">
        <v>1</v>
      </c>
      <c r="K31" s="220">
        <f t="shared" si="0"/>
        <v>9.6570000000000003E-2</v>
      </c>
      <c r="L31" s="118"/>
      <c r="M31" s="111"/>
      <c r="N31" s="117">
        <f t="shared" si="1"/>
        <v>0</v>
      </c>
      <c r="O31" s="119">
        <f t="shared" si="2"/>
        <v>1</v>
      </c>
      <c r="P31" s="120">
        <f t="shared" si="3"/>
        <v>9.6570000000000003E-2</v>
      </c>
    </row>
    <row r="32" spans="2:16" ht="15.6">
      <c r="B32" s="110" t="s">
        <v>311</v>
      </c>
      <c r="C32" s="111" t="s">
        <v>232</v>
      </c>
      <c r="D32" s="112" t="s">
        <v>228</v>
      </c>
      <c r="E32" s="113" t="s">
        <v>152</v>
      </c>
      <c r="F32" s="216" t="s">
        <v>15</v>
      </c>
      <c r="G32" s="216" t="s">
        <v>22</v>
      </c>
      <c r="H32" s="217">
        <v>10.73</v>
      </c>
      <c r="I32" s="221">
        <v>11.5</v>
      </c>
      <c r="J32" s="219">
        <v>1</v>
      </c>
      <c r="K32" s="220">
        <f t="shared" si="0"/>
        <v>0.123395</v>
      </c>
      <c r="L32" s="118"/>
      <c r="M32" s="111"/>
      <c r="N32" s="117">
        <f t="shared" si="1"/>
        <v>0</v>
      </c>
      <c r="O32" s="119">
        <f t="shared" si="2"/>
        <v>1</v>
      </c>
      <c r="P32" s="120">
        <f t="shared" si="3"/>
        <v>0.123395</v>
      </c>
    </row>
    <row r="33" spans="2:16" ht="15.6">
      <c r="B33" s="110" t="s">
        <v>311</v>
      </c>
      <c r="C33" s="111" t="s">
        <v>232</v>
      </c>
      <c r="D33" s="112" t="s">
        <v>228</v>
      </c>
      <c r="E33" s="113" t="s">
        <v>152</v>
      </c>
      <c r="F33" s="216" t="s">
        <v>15</v>
      </c>
      <c r="G33" s="216" t="s">
        <v>22</v>
      </c>
      <c r="H33" s="217">
        <v>10.73</v>
      </c>
      <c r="I33" s="221">
        <v>10.5</v>
      </c>
      <c r="J33" s="219">
        <v>1</v>
      </c>
      <c r="K33" s="220">
        <f t="shared" si="0"/>
        <v>0.112665</v>
      </c>
      <c r="L33" s="118"/>
      <c r="M33" s="111"/>
      <c r="N33" s="117">
        <f t="shared" si="1"/>
        <v>0</v>
      </c>
      <c r="O33" s="119">
        <f t="shared" si="2"/>
        <v>1</v>
      </c>
      <c r="P33" s="120">
        <f t="shared" si="3"/>
        <v>0.112665</v>
      </c>
    </row>
    <row r="34" spans="2:16" ht="15.6">
      <c r="B34" s="110" t="s">
        <v>311</v>
      </c>
      <c r="C34" s="111" t="s">
        <v>232</v>
      </c>
      <c r="D34" s="112" t="s">
        <v>228</v>
      </c>
      <c r="E34" s="113" t="s">
        <v>152</v>
      </c>
      <c r="F34" s="216" t="s">
        <v>15</v>
      </c>
      <c r="G34" s="216" t="s">
        <v>22</v>
      </c>
      <c r="H34" s="217">
        <v>10.73</v>
      </c>
      <c r="I34" s="221">
        <v>7.8</v>
      </c>
      <c r="J34" s="219">
        <v>2</v>
      </c>
      <c r="K34" s="220">
        <f t="shared" si="0"/>
        <v>0.16738800000000001</v>
      </c>
      <c r="L34" s="118"/>
      <c r="M34" s="111">
        <v>2</v>
      </c>
      <c r="N34" s="117">
        <f t="shared" si="1"/>
        <v>0.16738800000000001</v>
      </c>
      <c r="O34" s="119">
        <f t="shared" si="2"/>
        <v>0</v>
      </c>
      <c r="P34" s="120">
        <f t="shared" si="3"/>
        <v>0</v>
      </c>
    </row>
    <row r="35" spans="2:16" ht="15.6">
      <c r="B35" s="110" t="s">
        <v>311</v>
      </c>
      <c r="C35" s="111" t="s">
        <v>232</v>
      </c>
      <c r="D35" s="112" t="s">
        <v>228</v>
      </c>
      <c r="E35" s="113" t="s">
        <v>152</v>
      </c>
      <c r="F35" s="216" t="s">
        <v>15</v>
      </c>
      <c r="G35" s="216" t="s">
        <v>22</v>
      </c>
      <c r="H35" s="217">
        <v>10.73</v>
      </c>
      <c r="I35" s="221">
        <v>9</v>
      </c>
      <c r="J35" s="219">
        <v>1</v>
      </c>
      <c r="K35" s="220">
        <f t="shared" si="0"/>
        <v>9.6570000000000003E-2</v>
      </c>
      <c r="L35" s="118"/>
      <c r="M35" s="111"/>
      <c r="N35" s="117">
        <f t="shared" si="1"/>
        <v>0</v>
      </c>
      <c r="O35" s="119">
        <f t="shared" si="2"/>
        <v>1</v>
      </c>
      <c r="P35" s="120">
        <f t="shared" si="3"/>
        <v>9.6570000000000003E-2</v>
      </c>
    </row>
    <row r="36" spans="2:16" ht="15.6">
      <c r="B36" s="110" t="s">
        <v>311</v>
      </c>
      <c r="C36" s="111" t="s">
        <v>232</v>
      </c>
      <c r="D36" s="112" t="s">
        <v>228</v>
      </c>
      <c r="E36" s="113" t="s">
        <v>152</v>
      </c>
      <c r="F36" s="216" t="s">
        <v>15</v>
      </c>
      <c r="G36" s="216" t="s">
        <v>22</v>
      </c>
      <c r="H36" s="217">
        <v>10.73</v>
      </c>
      <c r="I36" s="221">
        <v>10.4</v>
      </c>
      <c r="J36" s="219">
        <v>1</v>
      </c>
      <c r="K36" s="220">
        <f t="shared" si="0"/>
        <v>0.11159200000000001</v>
      </c>
      <c r="L36" s="118"/>
      <c r="M36" s="111"/>
      <c r="N36" s="117">
        <f t="shared" si="1"/>
        <v>0</v>
      </c>
      <c r="O36" s="119">
        <f t="shared" si="2"/>
        <v>1</v>
      </c>
      <c r="P36" s="120">
        <f t="shared" si="3"/>
        <v>0.11159200000000001</v>
      </c>
    </row>
    <row r="37" spans="2:16" ht="15.6">
      <c r="B37" s="110" t="s">
        <v>311</v>
      </c>
      <c r="C37" s="111" t="s">
        <v>232</v>
      </c>
      <c r="D37" s="112" t="s">
        <v>228</v>
      </c>
      <c r="E37" s="113" t="s">
        <v>152</v>
      </c>
      <c r="F37" s="216" t="s">
        <v>15</v>
      </c>
      <c r="G37" s="216" t="s">
        <v>22</v>
      </c>
      <c r="H37" s="217">
        <v>10.73</v>
      </c>
      <c r="I37" s="221">
        <v>11</v>
      </c>
      <c r="J37" s="219">
        <v>1</v>
      </c>
      <c r="K37" s="220">
        <f t="shared" si="0"/>
        <v>0.11803</v>
      </c>
      <c r="L37" s="118"/>
      <c r="M37" s="111"/>
      <c r="N37" s="117">
        <f t="shared" si="1"/>
        <v>0</v>
      </c>
      <c r="O37" s="119">
        <f t="shared" si="2"/>
        <v>1</v>
      </c>
      <c r="P37" s="120">
        <f t="shared" si="3"/>
        <v>0.11803</v>
      </c>
    </row>
    <row r="38" spans="2:16" ht="15.6">
      <c r="B38" s="110" t="s">
        <v>311</v>
      </c>
      <c r="C38" s="111" t="s">
        <v>232</v>
      </c>
      <c r="D38" s="112" t="s">
        <v>228</v>
      </c>
      <c r="E38" s="113" t="s">
        <v>152</v>
      </c>
      <c r="F38" s="216" t="s">
        <v>15</v>
      </c>
      <c r="G38" s="216" t="s">
        <v>22</v>
      </c>
      <c r="H38" s="217">
        <v>10.73</v>
      </c>
      <c r="I38" s="221">
        <v>11.6</v>
      </c>
      <c r="J38" s="219">
        <v>5</v>
      </c>
      <c r="K38" s="220">
        <f t="shared" si="0"/>
        <v>0.62234</v>
      </c>
      <c r="L38" s="118"/>
      <c r="M38" s="111">
        <v>5</v>
      </c>
      <c r="N38" s="117">
        <f t="shared" si="1"/>
        <v>0.62234</v>
      </c>
      <c r="O38" s="119">
        <f t="shared" si="2"/>
        <v>0</v>
      </c>
      <c r="P38" s="120">
        <f t="shared" si="3"/>
        <v>0</v>
      </c>
    </row>
    <row r="39" spans="2:16" ht="15.6">
      <c r="B39" s="110" t="s">
        <v>311</v>
      </c>
      <c r="C39" s="111" t="s">
        <v>232</v>
      </c>
      <c r="D39" s="112" t="s">
        <v>228</v>
      </c>
      <c r="E39" s="113" t="s">
        <v>152</v>
      </c>
      <c r="F39" s="216" t="s">
        <v>15</v>
      </c>
      <c r="G39" s="216" t="s">
        <v>22</v>
      </c>
      <c r="H39" s="217">
        <v>10.73</v>
      </c>
      <c r="I39" s="221">
        <v>6.8</v>
      </c>
      <c r="J39" s="219">
        <v>1</v>
      </c>
      <c r="K39" s="220">
        <f t="shared" si="0"/>
        <v>7.2964000000000001E-2</v>
      </c>
      <c r="L39" s="118"/>
      <c r="M39" s="111"/>
      <c r="N39" s="117">
        <f t="shared" si="1"/>
        <v>0</v>
      </c>
      <c r="O39" s="119">
        <f t="shared" si="2"/>
        <v>1</v>
      </c>
      <c r="P39" s="120">
        <f t="shared" si="3"/>
        <v>7.2964000000000001E-2</v>
      </c>
    </row>
    <row r="40" spans="2:16" ht="15.6">
      <c r="B40" s="110" t="s">
        <v>311</v>
      </c>
      <c r="C40" s="111" t="s">
        <v>232</v>
      </c>
      <c r="D40" s="112" t="s">
        <v>228</v>
      </c>
      <c r="E40" s="113" t="s">
        <v>152</v>
      </c>
      <c r="F40" s="216" t="s">
        <v>15</v>
      </c>
      <c r="G40" s="216" t="s">
        <v>22</v>
      </c>
      <c r="H40" s="217">
        <v>10.73</v>
      </c>
      <c r="I40" s="221">
        <v>6.9</v>
      </c>
      <c r="J40" s="219">
        <v>1</v>
      </c>
      <c r="K40" s="220">
        <f t="shared" si="0"/>
        <v>7.4037000000000006E-2</v>
      </c>
      <c r="L40" s="118"/>
      <c r="M40" s="111"/>
      <c r="N40" s="117">
        <f t="shared" si="1"/>
        <v>0</v>
      </c>
      <c r="O40" s="119">
        <f t="shared" si="2"/>
        <v>1</v>
      </c>
      <c r="P40" s="120">
        <f t="shared" si="3"/>
        <v>7.4037000000000006E-2</v>
      </c>
    </row>
    <row r="41" spans="2:16" ht="15.6">
      <c r="B41" s="110" t="s">
        <v>311</v>
      </c>
      <c r="C41" s="111" t="s">
        <v>232</v>
      </c>
      <c r="D41" s="112" t="s">
        <v>228</v>
      </c>
      <c r="E41" s="113" t="s">
        <v>152</v>
      </c>
      <c r="F41" s="216" t="s">
        <v>15</v>
      </c>
      <c r="G41" s="216" t="s">
        <v>22</v>
      </c>
      <c r="H41" s="217">
        <v>10.73</v>
      </c>
      <c r="I41" s="221">
        <v>11</v>
      </c>
      <c r="J41" s="219">
        <v>3</v>
      </c>
      <c r="K41" s="220">
        <f t="shared" si="0"/>
        <v>0.35409000000000002</v>
      </c>
      <c r="L41" s="118"/>
      <c r="M41" s="111"/>
      <c r="N41" s="117">
        <f t="shared" si="1"/>
        <v>0</v>
      </c>
      <c r="O41" s="119">
        <f t="shared" si="2"/>
        <v>3</v>
      </c>
      <c r="P41" s="120">
        <f t="shared" si="3"/>
        <v>0.35409000000000002</v>
      </c>
    </row>
    <row r="42" spans="2:16" ht="15.6">
      <c r="B42" s="110" t="s">
        <v>311</v>
      </c>
      <c r="C42" s="111" t="s">
        <v>232</v>
      </c>
      <c r="D42" s="112" t="s">
        <v>228</v>
      </c>
      <c r="E42" s="113" t="s">
        <v>152</v>
      </c>
      <c r="F42" s="216" t="s">
        <v>15</v>
      </c>
      <c r="G42" s="216" t="s">
        <v>22</v>
      </c>
      <c r="H42" s="217">
        <v>10.73</v>
      </c>
      <c r="I42" s="221">
        <v>11.3</v>
      </c>
      <c r="J42" s="219">
        <v>1</v>
      </c>
      <c r="K42" s="220">
        <f t="shared" si="0"/>
        <v>0.12124900000000001</v>
      </c>
      <c r="L42" s="118"/>
      <c r="M42" s="111"/>
      <c r="N42" s="117">
        <f t="shared" si="1"/>
        <v>0</v>
      </c>
      <c r="O42" s="119">
        <f t="shared" si="2"/>
        <v>1</v>
      </c>
      <c r="P42" s="120">
        <f t="shared" si="3"/>
        <v>0.12124900000000001</v>
      </c>
    </row>
    <row r="43" spans="2:16" ht="15.6">
      <c r="B43" s="110" t="s">
        <v>311</v>
      </c>
      <c r="C43" s="111" t="s">
        <v>232</v>
      </c>
      <c r="D43" s="112" t="s">
        <v>228</v>
      </c>
      <c r="E43" s="113" t="s">
        <v>152</v>
      </c>
      <c r="F43" s="216" t="s">
        <v>15</v>
      </c>
      <c r="G43" s="216" t="s">
        <v>22</v>
      </c>
      <c r="H43" s="217">
        <v>10.73</v>
      </c>
      <c r="I43" s="221">
        <v>7.4</v>
      </c>
      <c r="J43" s="219">
        <v>1</v>
      </c>
      <c r="K43" s="220">
        <f t="shared" si="0"/>
        <v>7.9402E-2</v>
      </c>
      <c r="L43" s="118"/>
      <c r="M43" s="111"/>
      <c r="N43" s="117">
        <f t="shared" si="1"/>
        <v>0</v>
      </c>
      <c r="O43" s="119">
        <f t="shared" si="2"/>
        <v>1</v>
      </c>
      <c r="P43" s="120">
        <f t="shared" si="3"/>
        <v>7.9402E-2</v>
      </c>
    </row>
    <row r="44" spans="2:16" ht="15.6">
      <c r="B44" s="110" t="s">
        <v>311</v>
      </c>
      <c r="C44" s="111" t="s">
        <v>232</v>
      </c>
      <c r="D44" s="112" t="s">
        <v>228</v>
      </c>
      <c r="E44" s="113" t="s">
        <v>152</v>
      </c>
      <c r="F44" s="216" t="s">
        <v>15</v>
      </c>
      <c r="G44" s="216" t="s">
        <v>22</v>
      </c>
      <c r="H44" s="217">
        <v>10.73</v>
      </c>
      <c r="I44" s="221">
        <v>7.5</v>
      </c>
      <c r="J44" s="219">
        <v>4</v>
      </c>
      <c r="K44" s="220">
        <f t="shared" si="0"/>
        <v>0.32190000000000002</v>
      </c>
      <c r="L44" s="118"/>
      <c r="M44" s="111"/>
      <c r="N44" s="117">
        <f t="shared" si="1"/>
        <v>0</v>
      </c>
      <c r="O44" s="119">
        <f t="shared" si="2"/>
        <v>4</v>
      </c>
      <c r="P44" s="120">
        <f t="shared" si="3"/>
        <v>0.32190000000000002</v>
      </c>
    </row>
    <row r="45" spans="2:16" ht="15.6">
      <c r="B45" s="110" t="s">
        <v>311</v>
      </c>
      <c r="C45" s="111" t="s">
        <v>232</v>
      </c>
      <c r="D45" s="112" t="s">
        <v>228</v>
      </c>
      <c r="E45" s="113" t="s">
        <v>152</v>
      </c>
      <c r="F45" s="216" t="s">
        <v>15</v>
      </c>
      <c r="G45" s="216" t="s">
        <v>22</v>
      </c>
      <c r="H45" s="217">
        <v>10.73</v>
      </c>
      <c r="I45" s="221">
        <v>7.6</v>
      </c>
      <c r="J45" s="219">
        <v>14</v>
      </c>
      <c r="K45" s="220">
        <f t="shared" si="0"/>
        <v>1.141672</v>
      </c>
      <c r="L45" s="118"/>
      <c r="M45" s="111"/>
      <c r="N45" s="117">
        <f t="shared" si="1"/>
        <v>0</v>
      </c>
      <c r="O45" s="119">
        <f t="shared" si="2"/>
        <v>14</v>
      </c>
      <c r="P45" s="120">
        <f t="shared" si="3"/>
        <v>1.141672</v>
      </c>
    </row>
    <row r="46" spans="2:16" ht="15.6">
      <c r="B46" s="110" t="s">
        <v>311</v>
      </c>
      <c r="C46" s="111" t="s">
        <v>232</v>
      </c>
      <c r="D46" s="112" t="s">
        <v>228</v>
      </c>
      <c r="E46" s="113" t="s">
        <v>152</v>
      </c>
      <c r="F46" s="216" t="s">
        <v>15</v>
      </c>
      <c r="G46" s="216" t="s">
        <v>22</v>
      </c>
      <c r="H46" s="217">
        <v>10.73</v>
      </c>
      <c r="I46" s="221">
        <v>7.6</v>
      </c>
      <c r="J46" s="219">
        <v>2</v>
      </c>
      <c r="K46" s="220">
        <f t="shared" si="0"/>
        <v>0.16309599999999999</v>
      </c>
      <c r="L46" s="118"/>
      <c r="M46" s="111"/>
      <c r="N46" s="117">
        <f t="shared" si="1"/>
        <v>0</v>
      </c>
      <c r="O46" s="119">
        <f t="shared" si="2"/>
        <v>2</v>
      </c>
      <c r="P46" s="120">
        <f t="shared" si="3"/>
        <v>0.16309599999999999</v>
      </c>
    </row>
    <row r="47" spans="2:16" ht="15.6">
      <c r="B47" s="110" t="s">
        <v>311</v>
      </c>
      <c r="C47" s="111" t="s">
        <v>232</v>
      </c>
      <c r="D47" s="112" t="s">
        <v>228</v>
      </c>
      <c r="E47" s="113" t="s">
        <v>152</v>
      </c>
      <c r="F47" s="216" t="s">
        <v>15</v>
      </c>
      <c r="G47" s="216" t="s">
        <v>22</v>
      </c>
      <c r="H47" s="217">
        <v>10.73</v>
      </c>
      <c r="I47" s="221">
        <v>10.4</v>
      </c>
      <c r="J47" s="219">
        <v>3</v>
      </c>
      <c r="K47" s="220">
        <f t="shared" si="0"/>
        <v>0.33477600000000007</v>
      </c>
      <c r="L47" s="118"/>
      <c r="M47" s="111"/>
      <c r="N47" s="117">
        <f t="shared" si="1"/>
        <v>0</v>
      </c>
      <c r="O47" s="119">
        <f t="shared" si="2"/>
        <v>3</v>
      </c>
      <c r="P47" s="120">
        <f t="shared" si="3"/>
        <v>0.33477600000000007</v>
      </c>
    </row>
    <row r="48" spans="2:16">
      <c r="O48" s="78">
        <f>SUM(O10:O47)</f>
        <v>81</v>
      </c>
      <c r="P48" s="324">
        <f>SUM(P10:P47)</f>
        <v>7.354341999999999</v>
      </c>
    </row>
    <row r="51" spans="1:17">
      <c r="A51" s="42" t="s">
        <v>77</v>
      </c>
      <c r="B51" s="3" t="s">
        <v>68</v>
      </c>
      <c r="C51" s="3">
        <v>184</v>
      </c>
      <c r="D51" s="1"/>
      <c r="E51" s="12" t="s">
        <v>20</v>
      </c>
      <c r="F51" s="7" t="s">
        <v>15</v>
      </c>
      <c r="G51" s="7" t="s">
        <v>28</v>
      </c>
      <c r="H51" s="11">
        <v>12.18</v>
      </c>
      <c r="I51" s="8">
        <v>9.1</v>
      </c>
      <c r="J51" s="26">
        <v>1</v>
      </c>
      <c r="K51" s="10">
        <v>0.11083799999999999</v>
      </c>
      <c r="L51" s="4"/>
      <c r="M51" s="17"/>
      <c r="N51" s="18">
        <v>0</v>
      </c>
      <c r="O51" s="19">
        <v>1</v>
      </c>
      <c r="P51" s="13">
        <v>0.11083799999999999</v>
      </c>
      <c r="Q51" s="9"/>
    </row>
    <row r="52" spans="1:17">
      <c r="A52" s="42" t="s">
        <v>78</v>
      </c>
      <c r="B52" s="3" t="s">
        <v>79</v>
      </c>
      <c r="C52" s="3"/>
      <c r="D52" s="1"/>
      <c r="E52" s="20" t="s">
        <v>20</v>
      </c>
      <c r="F52" s="7" t="s">
        <v>15</v>
      </c>
      <c r="G52" s="7" t="s">
        <v>28</v>
      </c>
      <c r="H52" s="11">
        <v>12.18</v>
      </c>
      <c r="I52" s="8">
        <v>10</v>
      </c>
      <c r="J52" s="26">
        <v>1</v>
      </c>
      <c r="K52" s="10">
        <v>0.12179999999999999</v>
      </c>
      <c r="L52" s="4"/>
      <c r="M52" s="17"/>
      <c r="N52" s="18">
        <v>0</v>
      </c>
      <c r="O52" s="19">
        <v>1</v>
      </c>
      <c r="P52" s="13">
        <v>0.12179999999999999</v>
      </c>
      <c r="Q52" s="9"/>
    </row>
    <row r="53" spans="1:17">
      <c r="A53" s="42" t="s">
        <v>78</v>
      </c>
      <c r="B53" s="3" t="s">
        <v>79</v>
      </c>
      <c r="C53" s="3"/>
      <c r="D53" s="1"/>
      <c r="E53" s="20" t="s">
        <v>20</v>
      </c>
      <c r="F53" s="7" t="s">
        <v>15</v>
      </c>
      <c r="G53" s="7" t="s">
        <v>28</v>
      </c>
      <c r="H53" s="11">
        <v>12.18</v>
      </c>
      <c r="I53" s="8">
        <v>7.9</v>
      </c>
      <c r="J53" s="26">
        <v>1</v>
      </c>
      <c r="K53" s="10">
        <v>9.6222000000000002E-2</v>
      </c>
      <c r="L53" s="4"/>
      <c r="M53" s="17"/>
      <c r="N53" s="18">
        <v>0</v>
      </c>
      <c r="O53" s="19">
        <v>1</v>
      </c>
      <c r="P53" s="13">
        <v>9.6222000000000002E-2</v>
      </c>
      <c r="Q53" s="9"/>
    </row>
    <row r="54" spans="1:17">
      <c r="A54" s="42" t="s">
        <v>90</v>
      </c>
      <c r="B54" s="3"/>
      <c r="C54" s="3">
        <v>164</v>
      </c>
      <c r="D54" s="1"/>
      <c r="E54" s="12" t="s">
        <v>114</v>
      </c>
      <c r="F54" s="7" t="s">
        <v>15</v>
      </c>
      <c r="G54" s="7" t="s">
        <v>28</v>
      </c>
      <c r="H54" s="11">
        <v>12.18</v>
      </c>
      <c r="I54" s="8">
        <v>11.7</v>
      </c>
      <c r="J54" s="26">
        <v>2</v>
      </c>
      <c r="K54" s="10">
        <v>0.28501199999999999</v>
      </c>
      <c r="L54" s="4"/>
      <c r="M54" s="22"/>
      <c r="N54" s="18">
        <v>0</v>
      </c>
      <c r="O54" s="19">
        <v>2</v>
      </c>
      <c r="P54" s="13">
        <v>0.28501199999999999</v>
      </c>
      <c r="Q54" s="9"/>
    </row>
    <row r="55" spans="1:17">
      <c r="A55" s="42" t="s">
        <v>90</v>
      </c>
      <c r="B55" s="3"/>
      <c r="C55" s="3">
        <v>164</v>
      </c>
      <c r="D55" s="1"/>
      <c r="E55" s="12" t="s">
        <v>114</v>
      </c>
      <c r="F55" s="7" t="s">
        <v>15</v>
      </c>
      <c r="G55" s="7" t="s">
        <v>28</v>
      </c>
      <c r="H55" s="11">
        <v>12.18</v>
      </c>
      <c r="I55" s="8">
        <v>11</v>
      </c>
      <c r="J55" s="26">
        <v>1</v>
      </c>
      <c r="K55" s="10">
        <v>0.13397999999999999</v>
      </c>
      <c r="L55" s="4"/>
      <c r="M55" s="22"/>
      <c r="N55" s="18">
        <v>0</v>
      </c>
      <c r="O55" s="19">
        <v>1</v>
      </c>
      <c r="P55" s="13">
        <v>0.13397999999999999</v>
      </c>
      <c r="Q55" s="9"/>
    </row>
    <row r="56" spans="1:17">
      <c r="A56" s="42" t="s">
        <v>90</v>
      </c>
      <c r="B56" s="3"/>
      <c r="C56" s="3">
        <v>219</v>
      </c>
      <c r="D56" s="1"/>
      <c r="E56" s="20" t="s">
        <v>20</v>
      </c>
      <c r="F56" s="7" t="s">
        <v>15</v>
      </c>
      <c r="G56" s="7" t="s">
        <v>28</v>
      </c>
      <c r="H56" s="11">
        <v>12.18</v>
      </c>
      <c r="I56" s="8">
        <v>7.6</v>
      </c>
      <c r="J56" s="26">
        <v>1</v>
      </c>
      <c r="K56" s="10">
        <v>9.2567999999999998E-2</v>
      </c>
      <c r="L56" s="4"/>
      <c r="M56" s="17"/>
      <c r="N56" s="18">
        <v>0</v>
      </c>
      <c r="O56" s="19">
        <v>1</v>
      </c>
      <c r="P56" s="13">
        <v>9.2567999999999998E-2</v>
      </c>
      <c r="Q56" s="9"/>
    </row>
    <row r="57" spans="1:17">
      <c r="A57" s="42" t="s">
        <v>90</v>
      </c>
      <c r="B57" s="3"/>
      <c r="C57" s="3">
        <v>226</v>
      </c>
      <c r="D57" s="1"/>
      <c r="E57" s="20" t="s">
        <v>96</v>
      </c>
      <c r="F57" s="7" t="s">
        <v>15</v>
      </c>
      <c r="G57" s="7" t="s">
        <v>28</v>
      </c>
      <c r="H57" s="11">
        <v>12.18</v>
      </c>
      <c r="I57" s="8">
        <v>9</v>
      </c>
      <c r="J57" s="26">
        <v>1</v>
      </c>
      <c r="K57" s="10">
        <v>0.10962000000000001</v>
      </c>
      <c r="L57" s="4"/>
      <c r="M57" s="17"/>
      <c r="N57" s="18">
        <v>0</v>
      </c>
      <c r="O57" s="19">
        <v>1</v>
      </c>
      <c r="P57" s="13">
        <v>0.10962000000000001</v>
      </c>
      <c r="Q57" s="9"/>
    </row>
    <row r="58" spans="1:17">
      <c r="A58" s="42" t="s">
        <v>90</v>
      </c>
      <c r="B58" s="3"/>
      <c r="C58" s="3">
        <v>226</v>
      </c>
      <c r="D58" s="1"/>
      <c r="E58" s="20" t="s">
        <v>96</v>
      </c>
      <c r="F58" s="7" t="s">
        <v>15</v>
      </c>
      <c r="G58" s="7" t="s">
        <v>28</v>
      </c>
      <c r="H58" s="11">
        <v>12.18</v>
      </c>
      <c r="I58" s="8">
        <v>8</v>
      </c>
      <c r="J58" s="26">
        <v>1</v>
      </c>
      <c r="K58" s="10">
        <v>9.7439999999999999E-2</v>
      </c>
      <c r="L58" s="4"/>
      <c r="M58" s="17"/>
      <c r="N58" s="18">
        <v>0</v>
      </c>
      <c r="O58" s="19">
        <v>1</v>
      </c>
      <c r="P58" s="13">
        <v>9.7439999999999999E-2</v>
      </c>
      <c r="Q58" s="9"/>
    </row>
    <row r="59" spans="1:17">
      <c r="A59" s="42" t="s">
        <v>90</v>
      </c>
      <c r="B59" s="3"/>
      <c r="C59" s="3">
        <v>226</v>
      </c>
      <c r="D59" s="1"/>
      <c r="E59" s="20" t="s">
        <v>96</v>
      </c>
      <c r="F59" s="7" t="s">
        <v>15</v>
      </c>
      <c r="G59" s="7" t="s">
        <v>28</v>
      </c>
      <c r="H59" s="11">
        <v>12.18</v>
      </c>
      <c r="I59" s="8">
        <v>9.5</v>
      </c>
      <c r="J59" s="26">
        <v>1</v>
      </c>
      <c r="K59" s="10">
        <v>0.11570999999999999</v>
      </c>
      <c r="L59" s="4"/>
      <c r="M59" s="17"/>
      <c r="N59" s="18">
        <v>0</v>
      </c>
      <c r="O59" s="19">
        <v>1</v>
      </c>
      <c r="P59" s="13">
        <v>0.11570999999999999</v>
      </c>
      <c r="Q59" s="9"/>
    </row>
    <row r="60" spans="1:17">
      <c r="A60" s="44" t="s">
        <v>78</v>
      </c>
      <c r="B60" s="3" t="s">
        <v>80</v>
      </c>
      <c r="C60" s="3">
        <v>5</v>
      </c>
      <c r="D60" s="1"/>
      <c r="E60" s="20" t="s">
        <v>20</v>
      </c>
      <c r="F60" s="7" t="s">
        <v>15</v>
      </c>
      <c r="G60" s="7" t="s">
        <v>28</v>
      </c>
      <c r="H60" s="11">
        <v>12.18</v>
      </c>
      <c r="I60" s="8">
        <v>11.2</v>
      </c>
      <c r="J60" s="26">
        <v>1</v>
      </c>
      <c r="K60" s="10">
        <v>0.13641600000000001</v>
      </c>
      <c r="L60" s="4"/>
      <c r="M60" s="17"/>
      <c r="N60" s="18">
        <v>0</v>
      </c>
      <c r="O60" s="19">
        <v>1</v>
      </c>
      <c r="P60" s="13">
        <v>0.13641600000000001</v>
      </c>
      <c r="Q60" s="9"/>
    </row>
    <row r="61" spans="1:17">
      <c r="A61" s="45" t="s">
        <v>136</v>
      </c>
      <c r="B61" s="32" t="s">
        <v>137</v>
      </c>
      <c r="C61" s="3">
        <v>35</v>
      </c>
      <c r="D61" s="32"/>
      <c r="E61" s="20" t="s">
        <v>113</v>
      </c>
      <c r="F61" s="7" t="s">
        <v>15</v>
      </c>
      <c r="G61" s="7" t="s">
        <v>28</v>
      </c>
      <c r="H61" s="11">
        <v>12.18</v>
      </c>
      <c r="I61" s="33">
        <v>6</v>
      </c>
      <c r="J61" s="40">
        <v>1</v>
      </c>
      <c r="K61" s="10">
        <v>7.3079999999999992E-2</v>
      </c>
      <c r="L61" s="4"/>
      <c r="M61" s="17"/>
      <c r="N61" s="18">
        <v>0</v>
      </c>
      <c r="O61" s="19">
        <v>1</v>
      </c>
      <c r="P61" s="13">
        <v>7.3079999999999992E-2</v>
      </c>
      <c r="Q61" s="32"/>
    </row>
    <row r="62" spans="1:17">
      <c r="A62" s="45" t="s">
        <v>136</v>
      </c>
      <c r="B62" s="32" t="s">
        <v>137</v>
      </c>
      <c r="C62" s="3">
        <v>35</v>
      </c>
      <c r="D62" s="32"/>
      <c r="E62" s="20" t="s">
        <v>113</v>
      </c>
      <c r="F62" s="7" t="s">
        <v>15</v>
      </c>
      <c r="G62" s="7" t="s">
        <v>28</v>
      </c>
      <c r="H62" s="11">
        <v>12.18</v>
      </c>
      <c r="I62" s="33">
        <v>6.3</v>
      </c>
      <c r="J62" s="40">
        <v>2</v>
      </c>
      <c r="K62" s="10">
        <v>0.15346799999999999</v>
      </c>
      <c r="L62" s="4"/>
      <c r="M62" s="17"/>
      <c r="N62" s="18">
        <v>0</v>
      </c>
      <c r="O62" s="19">
        <v>2</v>
      </c>
      <c r="P62" s="13">
        <v>0.15346799999999999</v>
      </c>
      <c r="Q62" s="32"/>
    </row>
    <row r="63" spans="1:17">
      <c r="A63" s="45" t="s">
        <v>136</v>
      </c>
      <c r="B63" s="32" t="s">
        <v>137</v>
      </c>
      <c r="C63" s="3">
        <v>55</v>
      </c>
      <c r="D63" s="32"/>
      <c r="E63" s="20" t="s">
        <v>20</v>
      </c>
      <c r="F63" s="7" t="s">
        <v>15</v>
      </c>
      <c r="G63" s="7" t="s">
        <v>28</v>
      </c>
      <c r="H63" s="11">
        <v>12.18</v>
      </c>
      <c r="I63" s="33">
        <v>8.5</v>
      </c>
      <c r="J63" s="40">
        <v>1</v>
      </c>
      <c r="K63" s="10">
        <v>0.10353</v>
      </c>
      <c r="L63" s="4"/>
      <c r="M63" s="17"/>
      <c r="N63" s="18">
        <v>0</v>
      </c>
      <c r="O63" s="19">
        <v>1</v>
      </c>
      <c r="P63" s="13">
        <v>0.10353</v>
      </c>
      <c r="Q63" s="32"/>
    </row>
    <row r="64" spans="1:17">
      <c r="A64" s="45" t="s">
        <v>136</v>
      </c>
      <c r="B64" s="32" t="s">
        <v>137</v>
      </c>
      <c r="C64" s="3">
        <v>55</v>
      </c>
      <c r="D64" s="32"/>
      <c r="E64" s="20" t="s">
        <v>20</v>
      </c>
      <c r="F64" s="7" t="s">
        <v>15</v>
      </c>
      <c r="G64" s="7" t="s">
        <v>28</v>
      </c>
      <c r="H64" s="11">
        <v>12.18</v>
      </c>
      <c r="I64" s="33">
        <v>9</v>
      </c>
      <c r="J64" s="40">
        <v>1</v>
      </c>
      <c r="K64" s="10">
        <v>0.10962000000000001</v>
      </c>
      <c r="L64" s="4"/>
      <c r="M64" s="17"/>
      <c r="N64" s="18">
        <v>0</v>
      </c>
      <c r="O64" s="19">
        <v>1</v>
      </c>
      <c r="P64" s="13">
        <v>0.10962000000000001</v>
      </c>
      <c r="Q64" s="32"/>
    </row>
    <row r="65" spans="1:17">
      <c r="A65" s="45" t="s">
        <v>136</v>
      </c>
      <c r="B65" s="32" t="s">
        <v>137</v>
      </c>
      <c r="C65" s="3">
        <v>79</v>
      </c>
      <c r="D65" s="32"/>
      <c r="E65" s="20" t="s">
        <v>113</v>
      </c>
      <c r="F65" s="7" t="s">
        <v>15</v>
      </c>
      <c r="G65" s="7" t="s">
        <v>28</v>
      </c>
      <c r="H65" s="11">
        <v>12.18</v>
      </c>
      <c r="I65" s="33">
        <v>11.2</v>
      </c>
      <c r="J65" s="40">
        <v>1</v>
      </c>
      <c r="K65" s="10">
        <v>0.13641600000000001</v>
      </c>
      <c r="L65" s="4"/>
      <c r="M65" s="17"/>
      <c r="N65" s="18">
        <v>0</v>
      </c>
      <c r="O65" s="19">
        <v>1</v>
      </c>
      <c r="P65" s="13">
        <v>0.13641600000000001</v>
      </c>
      <c r="Q65" s="32"/>
    </row>
    <row r="66" spans="1:17">
      <c r="A66" s="45" t="s">
        <v>136</v>
      </c>
      <c r="B66" s="48" t="s">
        <v>171</v>
      </c>
      <c r="C66" s="32">
        <v>163</v>
      </c>
      <c r="D66" s="32"/>
      <c r="E66" s="48" t="s">
        <v>94</v>
      </c>
      <c r="F66" s="48" t="s">
        <v>15</v>
      </c>
      <c r="G66" s="48" t="s">
        <v>28</v>
      </c>
      <c r="H66" s="11">
        <v>12.18</v>
      </c>
      <c r="I66" s="52">
        <v>11.7</v>
      </c>
      <c r="J66" s="7">
        <v>1</v>
      </c>
      <c r="K66" s="10">
        <v>0.14250599999999999</v>
      </c>
      <c r="L66" s="32"/>
      <c r="M66" s="32"/>
      <c r="N66" s="18">
        <v>0</v>
      </c>
      <c r="O66" s="19">
        <v>1</v>
      </c>
      <c r="P66" s="13">
        <v>0.14250599999999999</v>
      </c>
      <c r="Q66" s="32"/>
    </row>
    <row r="67" spans="1:17">
      <c r="A67" s="45" t="s">
        <v>136</v>
      </c>
      <c r="B67" s="48" t="s">
        <v>171</v>
      </c>
      <c r="C67" s="32">
        <v>163</v>
      </c>
      <c r="D67" s="32"/>
      <c r="E67" s="48" t="s">
        <v>94</v>
      </c>
      <c r="F67" s="48" t="s">
        <v>15</v>
      </c>
      <c r="G67" s="48" t="s">
        <v>28</v>
      </c>
      <c r="H67" s="11">
        <v>12.18</v>
      </c>
      <c r="I67" s="52">
        <v>9.6</v>
      </c>
      <c r="J67" s="7">
        <v>2</v>
      </c>
      <c r="K67" s="10">
        <v>0.23385600000000001</v>
      </c>
      <c r="L67" s="32"/>
      <c r="M67" s="32"/>
      <c r="N67" s="18">
        <v>0</v>
      </c>
      <c r="O67" s="19">
        <v>2</v>
      </c>
      <c r="P67" s="13">
        <v>0.23385600000000001</v>
      </c>
      <c r="Q67" s="32"/>
    </row>
    <row r="68" spans="1:17">
      <c r="A68" s="45" t="s">
        <v>136</v>
      </c>
      <c r="B68" s="48" t="s">
        <v>171</v>
      </c>
      <c r="C68" s="32">
        <v>163</v>
      </c>
      <c r="D68" s="32"/>
      <c r="E68" s="48" t="s">
        <v>94</v>
      </c>
      <c r="F68" s="48" t="s">
        <v>15</v>
      </c>
      <c r="G68" s="48" t="s">
        <v>28</v>
      </c>
      <c r="H68" s="11">
        <v>12.18</v>
      </c>
      <c r="I68" s="52">
        <v>9</v>
      </c>
      <c r="J68" s="7">
        <v>1</v>
      </c>
      <c r="K68" s="10">
        <v>0.10962000000000001</v>
      </c>
      <c r="L68" s="32"/>
      <c r="M68" s="32"/>
      <c r="N68" s="18">
        <v>0</v>
      </c>
      <c r="O68" s="19">
        <v>1</v>
      </c>
      <c r="P68" s="13">
        <v>0.10962000000000001</v>
      </c>
      <c r="Q68" s="32"/>
    </row>
    <row r="69" spans="1:17">
      <c r="J69" s="80">
        <f t="shared" ref="J69" si="4">SUM(J51:J68)</f>
        <v>21</v>
      </c>
      <c r="K69" s="128">
        <f>SUM(K51:K68)</f>
        <v>2.3617019999999997</v>
      </c>
      <c r="O69" s="78">
        <f t="shared" ref="O69" si="5">SUM(O51:O68)</f>
        <v>21</v>
      </c>
      <c r="P69" s="128">
        <f>SUM(P51:P68)</f>
        <v>2.3617019999999997</v>
      </c>
    </row>
    <row r="71" spans="1:17" ht="15.6">
      <c r="B71" s="110" t="s">
        <v>311</v>
      </c>
      <c r="C71" s="111" t="s">
        <v>232</v>
      </c>
      <c r="D71" s="112" t="s">
        <v>228</v>
      </c>
      <c r="E71" s="113" t="s">
        <v>17</v>
      </c>
      <c r="F71" s="216" t="s">
        <v>15</v>
      </c>
      <c r="G71" s="216" t="s">
        <v>28</v>
      </c>
      <c r="H71" s="217">
        <v>12.18</v>
      </c>
      <c r="I71" s="218">
        <v>6.7</v>
      </c>
      <c r="J71" s="219">
        <v>11</v>
      </c>
      <c r="K71" s="220">
        <f t="shared" ref="K71:K92" si="6">(H71*I71*J71/1000)</f>
        <v>0.89766599999999996</v>
      </c>
      <c r="L71" s="118"/>
      <c r="M71" s="111">
        <v>11</v>
      </c>
      <c r="N71" s="117">
        <f t="shared" ref="N71:N92" si="7">I71*M71*H71/1000</f>
        <v>0.89766600000000007</v>
      </c>
      <c r="O71" s="119">
        <f t="shared" ref="O71:O92" si="8">J71-M71</f>
        <v>0</v>
      </c>
      <c r="P71" s="120">
        <f t="shared" ref="P71:P92" si="9">I71*O71*H71/1000</f>
        <v>0</v>
      </c>
    </row>
    <row r="72" spans="1:17" ht="15.6">
      <c r="B72" s="110" t="s">
        <v>311</v>
      </c>
      <c r="C72" s="111" t="s">
        <v>232</v>
      </c>
      <c r="D72" s="112" t="s">
        <v>228</v>
      </c>
      <c r="E72" s="113" t="s">
        <v>17</v>
      </c>
      <c r="F72" s="216" t="s">
        <v>15</v>
      </c>
      <c r="G72" s="216" t="s">
        <v>28</v>
      </c>
      <c r="H72" s="217">
        <v>12.18</v>
      </c>
      <c r="I72" s="218">
        <v>7</v>
      </c>
      <c r="J72" s="219">
        <v>16</v>
      </c>
      <c r="K72" s="220">
        <f t="shared" si="6"/>
        <v>1.3641599999999998</v>
      </c>
      <c r="L72" s="118"/>
      <c r="M72" s="111">
        <v>16</v>
      </c>
      <c r="N72" s="117">
        <f t="shared" si="7"/>
        <v>1.3641599999999998</v>
      </c>
      <c r="O72" s="119">
        <f t="shared" si="8"/>
        <v>0</v>
      </c>
      <c r="P72" s="120">
        <f t="shared" si="9"/>
        <v>0</v>
      </c>
    </row>
    <row r="73" spans="1:17" ht="15.6">
      <c r="B73" s="110" t="s">
        <v>311</v>
      </c>
      <c r="C73" s="111" t="s">
        <v>232</v>
      </c>
      <c r="D73" s="112" t="s">
        <v>228</v>
      </c>
      <c r="E73" s="113" t="s">
        <v>17</v>
      </c>
      <c r="F73" s="216" t="s">
        <v>15</v>
      </c>
      <c r="G73" s="216" t="s">
        <v>28</v>
      </c>
      <c r="H73" s="217">
        <v>12.18</v>
      </c>
      <c r="I73" s="218">
        <v>8.6999999999999993</v>
      </c>
      <c r="J73" s="219">
        <f>25+29</f>
        <v>54</v>
      </c>
      <c r="K73" s="220">
        <f t="shared" si="6"/>
        <v>5.7221639999999994</v>
      </c>
      <c r="L73" s="118"/>
      <c r="M73" s="111">
        <f>52+1</f>
        <v>53</v>
      </c>
      <c r="N73" s="117">
        <f t="shared" si="7"/>
        <v>5.6161979999999998</v>
      </c>
      <c r="O73" s="119">
        <f t="shared" si="8"/>
        <v>1</v>
      </c>
      <c r="P73" s="120">
        <f t="shared" si="9"/>
        <v>0.10596599999999999</v>
      </c>
    </row>
    <row r="74" spans="1:17" ht="15.6">
      <c r="B74" s="110" t="s">
        <v>311</v>
      </c>
      <c r="C74" s="111" t="s">
        <v>232</v>
      </c>
      <c r="D74" s="112" t="s">
        <v>228</v>
      </c>
      <c r="E74" s="113" t="s">
        <v>17</v>
      </c>
      <c r="F74" s="216" t="s">
        <v>15</v>
      </c>
      <c r="G74" s="216" t="s">
        <v>28</v>
      </c>
      <c r="H74" s="217">
        <v>12.18</v>
      </c>
      <c r="I74" s="218">
        <v>11.3</v>
      </c>
      <c r="J74" s="219"/>
      <c r="K74" s="220">
        <f t="shared" si="6"/>
        <v>0</v>
      </c>
      <c r="L74" s="118"/>
      <c r="M74" s="111"/>
      <c r="N74" s="117">
        <f t="shared" si="7"/>
        <v>0</v>
      </c>
      <c r="O74" s="119">
        <f t="shared" si="8"/>
        <v>0</v>
      </c>
      <c r="P74" s="120">
        <f t="shared" si="9"/>
        <v>0</v>
      </c>
    </row>
    <row r="75" spans="1:17" ht="15.6">
      <c r="B75" s="110" t="s">
        <v>311</v>
      </c>
      <c r="C75" s="111" t="s">
        <v>232</v>
      </c>
      <c r="D75" s="112" t="s">
        <v>228</v>
      </c>
      <c r="E75" s="113" t="s">
        <v>17</v>
      </c>
      <c r="F75" s="216" t="s">
        <v>15</v>
      </c>
      <c r="G75" s="216" t="s">
        <v>28</v>
      </c>
      <c r="H75" s="217">
        <v>12.18</v>
      </c>
      <c r="I75" s="218">
        <v>7</v>
      </c>
      <c r="J75" s="219">
        <f>20+2</f>
        <v>22</v>
      </c>
      <c r="K75" s="220">
        <f t="shared" si="6"/>
        <v>1.8757199999999998</v>
      </c>
      <c r="L75" s="118"/>
      <c r="M75" s="111">
        <f>12+10</f>
        <v>22</v>
      </c>
      <c r="N75" s="117">
        <f t="shared" si="7"/>
        <v>1.8757200000000001</v>
      </c>
      <c r="O75" s="119">
        <f t="shared" si="8"/>
        <v>0</v>
      </c>
      <c r="P75" s="120">
        <f t="shared" si="9"/>
        <v>0</v>
      </c>
    </row>
    <row r="76" spans="1:17" ht="15.6">
      <c r="B76" s="110" t="s">
        <v>311</v>
      </c>
      <c r="C76" s="111" t="s">
        <v>232</v>
      </c>
      <c r="D76" s="112" t="s">
        <v>228</v>
      </c>
      <c r="E76" s="113" t="s">
        <v>17</v>
      </c>
      <c r="F76" s="216" t="s">
        <v>15</v>
      </c>
      <c r="G76" s="216" t="s">
        <v>28</v>
      </c>
      <c r="H76" s="217">
        <v>12.18</v>
      </c>
      <c r="I76" s="218">
        <v>10</v>
      </c>
      <c r="J76" s="219">
        <f>7+1</f>
        <v>8</v>
      </c>
      <c r="K76" s="220">
        <f t="shared" si="6"/>
        <v>0.97439999999999993</v>
      </c>
      <c r="L76" s="118"/>
      <c r="M76" s="111">
        <f>6+2</f>
        <v>8</v>
      </c>
      <c r="N76" s="117">
        <f t="shared" si="7"/>
        <v>0.97439999999999993</v>
      </c>
      <c r="O76" s="119">
        <f t="shared" si="8"/>
        <v>0</v>
      </c>
      <c r="P76" s="120">
        <f t="shared" si="9"/>
        <v>0</v>
      </c>
    </row>
    <row r="77" spans="1:17" ht="15.6">
      <c r="B77" s="110" t="s">
        <v>311</v>
      </c>
      <c r="C77" s="111" t="s">
        <v>232</v>
      </c>
      <c r="D77" s="112" t="s">
        <v>228</v>
      </c>
      <c r="E77" s="113" t="s">
        <v>17</v>
      </c>
      <c r="F77" s="216" t="s">
        <v>15</v>
      </c>
      <c r="G77" s="216" t="s">
        <v>28</v>
      </c>
      <c r="H77" s="217">
        <v>12.18</v>
      </c>
      <c r="I77" s="218">
        <v>9</v>
      </c>
      <c r="J77" s="219">
        <v>2</v>
      </c>
      <c r="K77" s="220">
        <f t="shared" si="6"/>
        <v>0.21924000000000002</v>
      </c>
      <c r="L77" s="118"/>
      <c r="M77" s="111">
        <v>1</v>
      </c>
      <c r="N77" s="117">
        <f t="shared" si="7"/>
        <v>0.10962000000000001</v>
      </c>
      <c r="O77" s="119">
        <f t="shared" si="8"/>
        <v>1</v>
      </c>
      <c r="P77" s="120">
        <f t="shared" si="9"/>
        <v>0.10962000000000001</v>
      </c>
    </row>
    <row r="78" spans="1:17" ht="15.6">
      <c r="B78" s="110" t="s">
        <v>311</v>
      </c>
      <c r="C78" s="111" t="s">
        <v>232</v>
      </c>
      <c r="D78" s="112" t="s">
        <v>228</v>
      </c>
      <c r="E78" s="113" t="s">
        <v>17</v>
      </c>
      <c r="F78" s="216" t="s">
        <v>15</v>
      </c>
      <c r="G78" s="216" t="s">
        <v>28</v>
      </c>
      <c r="H78" s="217">
        <v>12.18</v>
      </c>
      <c r="I78" s="218">
        <v>12</v>
      </c>
      <c r="J78" s="219">
        <v>2</v>
      </c>
      <c r="K78" s="220">
        <f t="shared" si="6"/>
        <v>0.29231999999999997</v>
      </c>
      <c r="L78" s="118"/>
      <c r="M78" s="111">
        <v>2</v>
      </c>
      <c r="N78" s="117">
        <f t="shared" si="7"/>
        <v>0.29231999999999997</v>
      </c>
      <c r="O78" s="119">
        <f t="shared" si="8"/>
        <v>0</v>
      </c>
      <c r="P78" s="120">
        <f t="shared" si="9"/>
        <v>0</v>
      </c>
    </row>
    <row r="79" spans="1:17" ht="15.6">
      <c r="B79" s="110" t="s">
        <v>311</v>
      </c>
      <c r="C79" s="111" t="s">
        <v>232</v>
      </c>
      <c r="D79" s="112" t="s">
        <v>228</v>
      </c>
      <c r="E79" s="113" t="s">
        <v>17</v>
      </c>
      <c r="F79" s="216" t="s">
        <v>15</v>
      </c>
      <c r="G79" s="216" t="s">
        <v>28</v>
      </c>
      <c r="H79" s="217">
        <v>12.18</v>
      </c>
      <c r="I79" s="218">
        <v>10.5</v>
      </c>
      <c r="J79" s="219">
        <v>10</v>
      </c>
      <c r="K79" s="220">
        <f t="shared" si="6"/>
        <v>1.2789000000000001</v>
      </c>
      <c r="L79" s="118"/>
      <c r="M79" s="111">
        <v>10</v>
      </c>
      <c r="N79" s="117">
        <f t="shared" si="7"/>
        <v>1.2788999999999999</v>
      </c>
      <c r="O79" s="119">
        <f t="shared" si="8"/>
        <v>0</v>
      </c>
      <c r="P79" s="120">
        <f t="shared" si="9"/>
        <v>0</v>
      </c>
    </row>
    <row r="80" spans="1:17" ht="15.6">
      <c r="B80" s="110" t="s">
        <v>311</v>
      </c>
      <c r="C80" s="111" t="s">
        <v>232</v>
      </c>
      <c r="D80" s="112" t="s">
        <v>228</v>
      </c>
      <c r="E80" s="113" t="s">
        <v>17</v>
      </c>
      <c r="F80" s="216" t="s">
        <v>15</v>
      </c>
      <c r="G80" s="216" t="s">
        <v>28</v>
      </c>
      <c r="H80" s="217">
        <v>12.18</v>
      </c>
      <c r="I80" s="218">
        <v>11.5</v>
      </c>
      <c r="J80" s="219">
        <v>6</v>
      </c>
      <c r="K80" s="220">
        <f t="shared" si="6"/>
        <v>0.84041999999999994</v>
      </c>
      <c r="L80" s="118"/>
      <c r="M80" s="111">
        <v>6</v>
      </c>
      <c r="N80" s="117">
        <f t="shared" si="7"/>
        <v>0.84041999999999994</v>
      </c>
      <c r="O80" s="119">
        <f t="shared" si="8"/>
        <v>0</v>
      </c>
      <c r="P80" s="120">
        <f t="shared" si="9"/>
        <v>0</v>
      </c>
    </row>
    <row r="81" spans="2:16" ht="15.6">
      <c r="B81" s="110" t="s">
        <v>311</v>
      </c>
      <c r="C81" s="111" t="s">
        <v>232</v>
      </c>
      <c r="D81" s="112" t="s">
        <v>228</v>
      </c>
      <c r="E81" s="113" t="s">
        <v>17</v>
      </c>
      <c r="F81" s="216" t="s">
        <v>15</v>
      </c>
      <c r="G81" s="216" t="s">
        <v>28</v>
      </c>
      <c r="H81" s="217">
        <v>12.18</v>
      </c>
      <c r="I81" s="218">
        <v>12</v>
      </c>
      <c r="J81" s="219">
        <v>14</v>
      </c>
      <c r="K81" s="220">
        <f t="shared" si="6"/>
        <v>2.0462400000000001</v>
      </c>
      <c r="L81" s="118"/>
      <c r="M81" s="111">
        <f>12+2</f>
        <v>14</v>
      </c>
      <c r="N81" s="117">
        <f t="shared" si="7"/>
        <v>2.0462400000000001</v>
      </c>
      <c r="O81" s="119">
        <f t="shared" si="8"/>
        <v>0</v>
      </c>
      <c r="P81" s="120">
        <f t="shared" si="9"/>
        <v>0</v>
      </c>
    </row>
    <row r="82" spans="2:16" ht="15.6">
      <c r="B82" s="110" t="s">
        <v>311</v>
      </c>
      <c r="C82" s="111" t="s">
        <v>232</v>
      </c>
      <c r="D82" s="112" t="s">
        <v>228</v>
      </c>
      <c r="E82" s="113" t="s">
        <v>17</v>
      </c>
      <c r="F82" s="216" t="s">
        <v>15</v>
      </c>
      <c r="G82" s="216" t="s">
        <v>28</v>
      </c>
      <c r="H82" s="217">
        <v>12.18</v>
      </c>
      <c r="I82" s="218">
        <v>10</v>
      </c>
      <c r="J82" s="219">
        <v>1</v>
      </c>
      <c r="K82" s="220">
        <f t="shared" si="6"/>
        <v>0.12179999999999999</v>
      </c>
      <c r="L82" s="118"/>
      <c r="M82" s="111"/>
      <c r="N82" s="117">
        <f t="shared" si="7"/>
        <v>0</v>
      </c>
      <c r="O82" s="119">
        <f t="shared" si="8"/>
        <v>1</v>
      </c>
      <c r="P82" s="120">
        <f t="shared" si="9"/>
        <v>0.12179999999999999</v>
      </c>
    </row>
    <row r="83" spans="2:16" ht="15.6">
      <c r="B83" s="110" t="s">
        <v>311</v>
      </c>
      <c r="C83" s="111" t="s">
        <v>232</v>
      </c>
      <c r="D83" s="112" t="s">
        <v>228</v>
      </c>
      <c r="E83" s="113" t="s">
        <v>17</v>
      </c>
      <c r="F83" s="216" t="s">
        <v>15</v>
      </c>
      <c r="G83" s="216" t="s">
        <v>28</v>
      </c>
      <c r="H83" s="217">
        <v>12.18</v>
      </c>
      <c r="I83" s="218">
        <v>7</v>
      </c>
      <c r="J83" s="219">
        <v>16</v>
      </c>
      <c r="K83" s="220">
        <f t="shared" si="6"/>
        <v>1.3641599999999998</v>
      </c>
      <c r="L83" s="118"/>
      <c r="M83" s="111">
        <v>16</v>
      </c>
      <c r="N83" s="117">
        <f t="shared" si="7"/>
        <v>1.3641599999999998</v>
      </c>
      <c r="O83" s="119">
        <f t="shared" si="8"/>
        <v>0</v>
      </c>
      <c r="P83" s="120">
        <f t="shared" si="9"/>
        <v>0</v>
      </c>
    </row>
    <row r="84" spans="2:16" ht="15.6">
      <c r="B84" s="110" t="s">
        <v>311</v>
      </c>
      <c r="C84" s="111" t="s">
        <v>232</v>
      </c>
      <c r="D84" s="112" t="s">
        <v>228</v>
      </c>
      <c r="E84" s="113" t="s">
        <v>17</v>
      </c>
      <c r="F84" s="216" t="s">
        <v>15</v>
      </c>
      <c r="G84" s="216" t="s">
        <v>28</v>
      </c>
      <c r="H84" s="217">
        <v>12.18</v>
      </c>
      <c r="I84" s="218">
        <v>6.7</v>
      </c>
      <c r="J84" s="219">
        <v>4</v>
      </c>
      <c r="K84" s="220">
        <f t="shared" si="6"/>
        <v>0.32642399999999999</v>
      </c>
      <c r="L84" s="118"/>
      <c r="M84" s="111">
        <v>4</v>
      </c>
      <c r="N84" s="117">
        <f t="shared" si="7"/>
        <v>0.32642399999999999</v>
      </c>
      <c r="O84" s="119">
        <f t="shared" si="8"/>
        <v>0</v>
      </c>
      <c r="P84" s="120">
        <f t="shared" si="9"/>
        <v>0</v>
      </c>
    </row>
    <row r="85" spans="2:16" ht="15.6">
      <c r="B85" s="110" t="s">
        <v>311</v>
      </c>
      <c r="C85" s="111" t="s">
        <v>232</v>
      </c>
      <c r="D85" s="112" t="s">
        <v>228</v>
      </c>
      <c r="E85" s="113" t="s">
        <v>17</v>
      </c>
      <c r="F85" s="216" t="s">
        <v>15</v>
      </c>
      <c r="G85" s="216" t="s">
        <v>28</v>
      </c>
      <c r="H85" s="217">
        <v>12.18</v>
      </c>
      <c r="I85" s="218">
        <v>6.3</v>
      </c>
      <c r="J85" s="219">
        <v>1</v>
      </c>
      <c r="K85" s="220">
        <f t="shared" si="6"/>
        <v>7.6733999999999997E-2</v>
      </c>
      <c r="L85" s="118"/>
      <c r="M85" s="111"/>
      <c r="N85" s="117">
        <f t="shared" si="7"/>
        <v>0</v>
      </c>
      <c r="O85" s="119">
        <f t="shared" si="8"/>
        <v>1</v>
      </c>
      <c r="P85" s="120">
        <f t="shared" si="9"/>
        <v>7.6733999999999997E-2</v>
      </c>
    </row>
    <row r="86" spans="2:16" ht="15.6">
      <c r="B86" s="110" t="s">
        <v>311</v>
      </c>
      <c r="C86" s="111" t="s">
        <v>232</v>
      </c>
      <c r="D86" s="112" t="s">
        <v>228</v>
      </c>
      <c r="E86" s="113" t="s">
        <v>17</v>
      </c>
      <c r="F86" s="216" t="s">
        <v>15</v>
      </c>
      <c r="G86" s="216" t="s">
        <v>28</v>
      </c>
      <c r="H86" s="217">
        <v>12.18</v>
      </c>
      <c r="I86" s="221">
        <v>8.3000000000000007</v>
      </c>
      <c r="J86" s="219">
        <v>1</v>
      </c>
      <c r="K86" s="220">
        <f t="shared" si="6"/>
        <v>0.101094</v>
      </c>
      <c r="L86" s="118"/>
      <c r="M86" s="111"/>
      <c r="N86" s="117">
        <f t="shared" si="7"/>
        <v>0</v>
      </c>
      <c r="O86" s="119">
        <f t="shared" si="8"/>
        <v>1</v>
      </c>
      <c r="P86" s="120">
        <f t="shared" si="9"/>
        <v>0.101094</v>
      </c>
    </row>
    <row r="87" spans="2:16" ht="15.6">
      <c r="B87" s="110" t="s">
        <v>311</v>
      </c>
      <c r="C87" s="111" t="s">
        <v>232</v>
      </c>
      <c r="D87" s="112" t="s">
        <v>228</v>
      </c>
      <c r="E87" s="113" t="s">
        <v>17</v>
      </c>
      <c r="F87" s="216" t="s">
        <v>15</v>
      </c>
      <c r="G87" s="216" t="s">
        <v>28</v>
      </c>
      <c r="H87" s="217">
        <v>12.18</v>
      </c>
      <c r="I87" s="221">
        <v>12</v>
      </c>
      <c r="J87" s="219">
        <v>8</v>
      </c>
      <c r="K87" s="220">
        <f t="shared" si="6"/>
        <v>1.1692799999999999</v>
      </c>
      <c r="L87" s="118"/>
      <c r="M87" s="111"/>
      <c r="N87" s="117">
        <f t="shared" si="7"/>
        <v>0</v>
      </c>
      <c r="O87" s="119">
        <f t="shared" si="8"/>
        <v>8</v>
      </c>
      <c r="P87" s="120">
        <f t="shared" si="9"/>
        <v>1.1692799999999999</v>
      </c>
    </row>
    <row r="88" spans="2:16" ht="15.6">
      <c r="B88" s="110" t="s">
        <v>311</v>
      </c>
      <c r="C88" s="111" t="s">
        <v>232</v>
      </c>
      <c r="D88" s="112" t="s">
        <v>228</v>
      </c>
      <c r="E88" s="113" t="s">
        <v>17</v>
      </c>
      <c r="F88" s="216" t="s">
        <v>15</v>
      </c>
      <c r="G88" s="216" t="s">
        <v>28</v>
      </c>
      <c r="H88" s="217">
        <v>12.18</v>
      </c>
      <c r="I88" s="221">
        <v>11.8</v>
      </c>
      <c r="J88" s="219">
        <v>1</v>
      </c>
      <c r="K88" s="220">
        <f t="shared" si="6"/>
        <v>0.14372400000000002</v>
      </c>
      <c r="L88" s="118"/>
      <c r="M88" s="111">
        <v>1</v>
      </c>
      <c r="N88" s="117">
        <f t="shared" si="7"/>
        <v>0.14372400000000002</v>
      </c>
      <c r="O88" s="119">
        <f t="shared" si="8"/>
        <v>0</v>
      </c>
      <c r="P88" s="120">
        <f t="shared" si="9"/>
        <v>0</v>
      </c>
    </row>
    <row r="89" spans="2:16" ht="15.6">
      <c r="B89" s="110" t="s">
        <v>311</v>
      </c>
      <c r="C89" s="111" t="s">
        <v>232</v>
      </c>
      <c r="D89" s="112" t="s">
        <v>228</v>
      </c>
      <c r="E89" s="113" t="s">
        <v>17</v>
      </c>
      <c r="F89" s="216" t="s">
        <v>15</v>
      </c>
      <c r="G89" s="216" t="s">
        <v>28</v>
      </c>
      <c r="H89" s="217">
        <v>12.18</v>
      </c>
      <c r="I89" s="221">
        <v>11.5</v>
      </c>
      <c r="J89" s="219">
        <v>1</v>
      </c>
      <c r="K89" s="220">
        <f t="shared" si="6"/>
        <v>0.14007</v>
      </c>
      <c r="L89" s="118"/>
      <c r="M89" s="111">
        <v>1</v>
      </c>
      <c r="N89" s="117">
        <f t="shared" si="7"/>
        <v>0.14007</v>
      </c>
      <c r="O89" s="119">
        <f t="shared" si="8"/>
        <v>0</v>
      </c>
      <c r="P89" s="120">
        <f t="shared" si="9"/>
        <v>0</v>
      </c>
    </row>
    <row r="90" spans="2:16" ht="15.6">
      <c r="B90" s="110" t="s">
        <v>311</v>
      </c>
      <c r="C90" s="111" t="s">
        <v>232</v>
      </c>
      <c r="D90" s="112" t="s">
        <v>228</v>
      </c>
      <c r="E90" s="113" t="s">
        <v>17</v>
      </c>
      <c r="F90" s="216" t="s">
        <v>15</v>
      </c>
      <c r="G90" s="216" t="s">
        <v>28</v>
      </c>
      <c r="H90" s="217">
        <v>12.18</v>
      </c>
      <c r="I90" s="221">
        <v>11.3</v>
      </c>
      <c r="J90" s="219">
        <v>1</v>
      </c>
      <c r="K90" s="220">
        <f t="shared" si="6"/>
        <v>0.13763400000000001</v>
      </c>
      <c r="L90" s="118"/>
      <c r="M90" s="111">
        <v>1</v>
      </c>
      <c r="N90" s="117">
        <f t="shared" si="7"/>
        <v>0.13763400000000001</v>
      </c>
      <c r="O90" s="119">
        <f t="shared" si="8"/>
        <v>0</v>
      </c>
      <c r="P90" s="120">
        <f t="shared" si="9"/>
        <v>0</v>
      </c>
    </row>
    <row r="91" spans="2:16" ht="15.6">
      <c r="B91" s="110" t="s">
        <v>311</v>
      </c>
      <c r="C91" s="111" t="s">
        <v>232</v>
      </c>
      <c r="D91" s="112" t="s">
        <v>228</v>
      </c>
      <c r="E91" s="113" t="s">
        <v>17</v>
      </c>
      <c r="F91" s="216" t="s">
        <v>15</v>
      </c>
      <c r="G91" s="216" t="s">
        <v>28</v>
      </c>
      <c r="H91" s="217">
        <v>12.18</v>
      </c>
      <c r="I91" s="221">
        <v>10.5</v>
      </c>
      <c r="J91" s="219">
        <v>1</v>
      </c>
      <c r="K91" s="220">
        <f t="shared" si="6"/>
        <v>0.12789</v>
      </c>
      <c r="L91" s="118"/>
      <c r="M91" s="111">
        <v>1</v>
      </c>
      <c r="N91" s="117">
        <f t="shared" si="7"/>
        <v>0.12789</v>
      </c>
      <c r="O91" s="119">
        <f t="shared" si="8"/>
        <v>0</v>
      </c>
      <c r="P91" s="120">
        <f t="shared" si="9"/>
        <v>0</v>
      </c>
    </row>
    <row r="92" spans="2:16" ht="15.6">
      <c r="B92" s="110" t="s">
        <v>311</v>
      </c>
      <c r="C92" s="111" t="s">
        <v>232</v>
      </c>
      <c r="D92" s="112" t="s">
        <v>228</v>
      </c>
      <c r="E92" s="113" t="s">
        <v>17</v>
      </c>
      <c r="F92" s="216" t="s">
        <v>15</v>
      </c>
      <c r="G92" s="216" t="s">
        <v>28</v>
      </c>
      <c r="H92" s="217">
        <v>12.18</v>
      </c>
      <c r="I92" s="221">
        <v>8.6999999999999993</v>
      </c>
      <c r="J92" s="219">
        <v>1</v>
      </c>
      <c r="K92" s="220">
        <f t="shared" si="6"/>
        <v>0.10596599999999999</v>
      </c>
      <c r="L92" s="118"/>
      <c r="M92" s="111"/>
      <c r="N92" s="117">
        <f t="shared" si="7"/>
        <v>0</v>
      </c>
      <c r="O92" s="119">
        <f t="shared" si="8"/>
        <v>1</v>
      </c>
      <c r="P92" s="120">
        <f t="shared" si="9"/>
        <v>0.10596599999999999</v>
      </c>
    </row>
    <row r="93" spans="2:16">
      <c r="B93" s="213"/>
      <c r="C93" s="213"/>
      <c r="D93" s="213"/>
      <c r="E93" s="213"/>
      <c r="F93" s="213"/>
      <c r="G93" s="213"/>
      <c r="H93" s="213"/>
      <c r="I93" s="213"/>
      <c r="J93" s="215">
        <f>SUM(J71:J92)</f>
        <v>181</v>
      </c>
      <c r="K93" s="214">
        <f>SUM(K71:K92)</f>
        <v>19.326005999999992</v>
      </c>
      <c r="L93" s="213"/>
      <c r="M93" s="215">
        <f>SUM(M71:M92)</f>
        <v>167</v>
      </c>
      <c r="N93" s="214">
        <f>SUM(N71:N92)</f>
        <v>17.535545999999997</v>
      </c>
      <c r="O93" s="78">
        <f>SUM(O71:O92)</f>
        <v>14</v>
      </c>
      <c r="P93" s="128">
        <f>SUM(P71:P92)</f>
        <v>1.7904599999999999</v>
      </c>
    </row>
    <row r="97" spans="1:16">
      <c r="A97" s="42" t="s">
        <v>84</v>
      </c>
      <c r="B97" s="3" t="s">
        <v>122</v>
      </c>
      <c r="C97" s="3">
        <v>3</v>
      </c>
      <c r="D97" s="1"/>
      <c r="E97" s="20" t="s">
        <v>85</v>
      </c>
      <c r="F97" s="7" t="s">
        <v>15</v>
      </c>
      <c r="G97" s="7" t="s">
        <v>35</v>
      </c>
      <c r="H97" s="11">
        <v>16.579999999999998</v>
      </c>
      <c r="I97" s="8">
        <v>7.3</v>
      </c>
      <c r="J97" s="26">
        <v>1</v>
      </c>
      <c r="K97" s="10">
        <f t="shared" ref="K97:K105" si="10">(H97*I97*J97/1000)</f>
        <v>0.12103399999999997</v>
      </c>
      <c r="L97" s="4"/>
      <c r="M97" s="17"/>
      <c r="N97" s="18">
        <f t="shared" ref="N97:N105" si="11">I97*M97*H97/1000</f>
        <v>0</v>
      </c>
      <c r="O97" s="19">
        <f t="shared" ref="O97:O105" si="12">J97-M97</f>
        <v>1</v>
      </c>
      <c r="P97" s="13">
        <f t="shared" ref="P97:P105" si="13">I97*O97*H97/1000</f>
        <v>0.12103399999999997</v>
      </c>
    </row>
    <row r="98" spans="1:16">
      <c r="A98" s="42" t="s">
        <v>84</v>
      </c>
      <c r="B98" s="3" t="s">
        <v>122</v>
      </c>
      <c r="C98" s="3">
        <v>4</v>
      </c>
      <c r="D98" s="1"/>
      <c r="E98" s="20" t="s">
        <v>85</v>
      </c>
      <c r="F98" s="7" t="s">
        <v>15</v>
      </c>
      <c r="G98" s="7" t="s">
        <v>35</v>
      </c>
      <c r="H98" s="11">
        <v>16.579999999999998</v>
      </c>
      <c r="I98" s="8">
        <v>9.1999999999999993</v>
      </c>
      <c r="J98" s="26">
        <v>9</v>
      </c>
      <c r="K98" s="10">
        <f t="shared" si="10"/>
        <v>1.3728239999999998</v>
      </c>
      <c r="L98" s="4"/>
      <c r="M98" s="17"/>
      <c r="N98" s="18">
        <f t="shared" si="11"/>
        <v>0</v>
      </c>
      <c r="O98" s="19">
        <f t="shared" si="12"/>
        <v>9</v>
      </c>
      <c r="P98" s="13">
        <f t="shared" si="13"/>
        <v>1.3728239999999998</v>
      </c>
    </row>
    <row r="99" spans="1:16">
      <c r="A99" s="42" t="s">
        <v>84</v>
      </c>
      <c r="B99" s="3" t="s">
        <v>122</v>
      </c>
      <c r="C99" s="3">
        <v>5</v>
      </c>
      <c r="D99" s="1"/>
      <c r="E99" s="20" t="s">
        <v>85</v>
      </c>
      <c r="F99" s="7" t="s">
        <v>15</v>
      </c>
      <c r="G99" s="7" t="s">
        <v>35</v>
      </c>
      <c r="H99" s="11">
        <v>16.579999999999998</v>
      </c>
      <c r="I99" s="8">
        <v>5</v>
      </c>
      <c r="J99" s="26">
        <v>1</v>
      </c>
      <c r="K99" s="10">
        <f t="shared" si="10"/>
        <v>8.2899999999999988E-2</v>
      </c>
      <c r="L99" s="4"/>
      <c r="M99" s="17"/>
      <c r="N99" s="18">
        <f t="shared" si="11"/>
        <v>0</v>
      </c>
      <c r="O99" s="19">
        <f t="shared" si="12"/>
        <v>1</v>
      </c>
      <c r="P99" s="13">
        <f t="shared" si="13"/>
        <v>8.2899999999999988E-2</v>
      </c>
    </row>
    <row r="100" spans="1:16">
      <c r="A100" s="42" t="s">
        <v>84</v>
      </c>
      <c r="B100" s="3" t="s">
        <v>122</v>
      </c>
      <c r="C100" s="3">
        <v>5</v>
      </c>
      <c r="D100" s="1"/>
      <c r="E100" s="20" t="s">
        <v>85</v>
      </c>
      <c r="F100" s="7" t="s">
        <v>15</v>
      </c>
      <c r="G100" s="7" t="s">
        <v>35</v>
      </c>
      <c r="H100" s="11">
        <v>16.579999999999998</v>
      </c>
      <c r="I100" s="8">
        <v>6.5</v>
      </c>
      <c r="J100" s="26">
        <v>2</v>
      </c>
      <c r="K100" s="10">
        <f t="shared" si="10"/>
        <v>0.21553999999999995</v>
      </c>
      <c r="L100" s="4"/>
      <c r="M100" s="17"/>
      <c r="N100" s="18">
        <f t="shared" si="11"/>
        <v>0</v>
      </c>
      <c r="O100" s="19">
        <f t="shared" si="12"/>
        <v>2</v>
      </c>
      <c r="P100" s="13">
        <f t="shared" si="13"/>
        <v>0.21553999999999995</v>
      </c>
    </row>
    <row r="101" spans="1:16">
      <c r="A101" s="42" t="s">
        <v>84</v>
      </c>
      <c r="B101" s="3" t="s">
        <v>122</v>
      </c>
      <c r="C101" s="3">
        <v>5</v>
      </c>
      <c r="D101" s="1"/>
      <c r="E101" s="20" t="s">
        <v>85</v>
      </c>
      <c r="F101" s="7" t="s">
        <v>15</v>
      </c>
      <c r="G101" s="7" t="s">
        <v>35</v>
      </c>
      <c r="H101" s="11">
        <v>16.579999999999998</v>
      </c>
      <c r="I101" s="8">
        <v>6.6</v>
      </c>
      <c r="J101" s="26">
        <v>2</v>
      </c>
      <c r="K101" s="10">
        <f t="shared" si="10"/>
        <v>0.21885599999999997</v>
      </c>
      <c r="L101" s="4"/>
      <c r="M101" s="17"/>
      <c r="N101" s="18">
        <f t="shared" si="11"/>
        <v>0</v>
      </c>
      <c r="O101" s="19">
        <f t="shared" si="12"/>
        <v>2</v>
      </c>
      <c r="P101" s="13">
        <f t="shared" si="13"/>
        <v>0.21885599999999997</v>
      </c>
    </row>
    <row r="102" spans="1:16">
      <c r="A102" s="42" t="s">
        <v>84</v>
      </c>
      <c r="B102" s="3" t="s">
        <v>122</v>
      </c>
      <c r="C102" s="3">
        <v>5</v>
      </c>
      <c r="D102" s="1"/>
      <c r="E102" s="20" t="s">
        <v>85</v>
      </c>
      <c r="F102" s="7" t="s">
        <v>15</v>
      </c>
      <c r="G102" s="7" t="s">
        <v>35</v>
      </c>
      <c r="H102" s="11">
        <v>16.579999999999998</v>
      </c>
      <c r="I102" s="8">
        <v>6.7</v>
      </c>
      <c r="J102" s="26">
        <v>2</v>
      </c>
      <c r="K102" s="10">
        <f t="shared" si="10"/>
        <v>0.22217200000000001</v>
      </c>
      <c r="L102" s="4"/>
      <c r="M102" s="17"/>
      <c r="N102" s="18">
        <f t="shared" si="11"/>
        <v>0</v>
      </c>
      <c r="O102" s="19">
        <f t="shared" si="12"/>
        <v>2</v>
      </c>
      <c r="P102" s="13">
        <f t="shared" si="13"/>
        <v>0.22217200000000001</v>
      </c>
    </row>
    <row r="103" spans="1:16">
      <c r="A103" s="42" t="s">
        <v>84</v>
      </c>
      <c r="B103" s="3" t="s">
        <v>122</v>
      </c>
      <c r="C103" s="3">
        <v>5</v>
      </c>
      <c r="D103" s="1"/>
      <c r="E103" s="20" t="s">
        <v>85</v>
      </c>
      <c r="F103" s="7" t="s">
        <v>15</v>
      </c>
      <c r="G103" s="7" t="s">
        <v>35</v>
      </c>
      <c r="H103" s="11">
        <v>16.579999999999998</v>
      </c>
      <c r="I103" s="8">
        <v>6.8</v>
      </c>
      <c r="J103" s="26">
        <v>5</v>
      </c>
      <c r="K103" s="10">
        <f t="shared" si="10"/>
        <v>0.56371999999999989</v>
      </c>
      <c r="L103" s="4"/>
      <c r="M103" s="17"/>
      <c r="N103" s="18">
        <f t="shared" si="11"/>
        <v>0</v>
      </c>
      <c r="O103" s="19">
        <f t="shared" si="12"/>
        <v>5</v>
      </c>
      <c r="P103" s="13">
        <f t="shared" si="13"/>
        <v>0.56371999999999989</v>
      </c>
    </row>
    <row r="104" spans="1:16">
      <c r="A104" s="42" t="s">
        <v>84</v>
      </c>
      <c r="B104" s="3" t="s">
        <v>122</v>
      </c>
      <c r="C104" s="3">
        <v>5</v>
      </c>
      <c r="D104" s="1"/>
      <c r="E104" s="20" t="s">
        <v>85</v>
      </c>
      <c r="F104" s="7" t="s">
        <v>15</v>
      </c>
      <c r="G104" s="7" t="s">
        <v>35</v>
      </c>
      <c r="H104" s="11">
        <v>16.579999999999998</v>
      </c>
      <c r="I104" s="8">
        <v>7.1</v>
      </c>
      <c r="J104" s="26">
        <v>1</v>
      </c>
      <c r="K104" s="10">
        <f t="shared" si="10"/>
        <v>0.11771799999999998</v>
      </c>
      <c r="L104" s="4"/>
      <c r="M104" s="17"/>
      <c r="N104" s="18">
        <f t="shared" si="11"/>
        <v>0</v>
      </c>
      <c r="O104" s="19">
        <f t="shared" si="12"/>
        <v>1</v>
      </c>
      <c r="P104" s="13">
        <f t="shared" si="13"/>
        <v>0.11771799999999998</v>
      </c>
    </row>
    <row r="105" spans="1:16">
      <c r="A105" s="42" t="s">
        <v>84</v>
      </c>
      <c r="B105" s="3" t="s">
        <v>122</v>
      </c>
      <c r="C105" s="3">
        <v>5</v>
      </c>
      <c r="D105" s="1"/>
      <c r="E105" s="20" t="s">
        <v>85</v>
      </c>
      <c r="F105" s="7" t="s">
        <v>15</v>
      </c>
      <c r="G105" s="7" t="s">
        <v>35</v>
      </c>
      <c r="H105" s="11">
        <v>16.579999999999998</v>
      </c>
      <c r="I105" s="8">
        <v>8.1999999999999993</v>
      </c>
      <c r="J105" s="26">
        <v>4</v>
      </c>
      <c r="K105" s="10">
        <f t="shared" si="10"/>
        <v>0.54382399999999986</v>
      </c>
      <c r="L105" s="4"/>
      <c r="M105" s="17"/>
      <c r="N105" s="18">
        <f t="shared" si="11"/>
        <v>0</v>
      </c>
      <c r="O105" s="19">
        <f t="shared" si="12"/>
        <v>4</v>
      </c>
      <c r="P105" s="13">
        <f t="shared" si="13"/>
        <v>0.54382399999999986</v>
      </c>
    </row>
    <row r="108" spans="1:16">
      <c r="A108" s="44" t="s">
        <v>78</v>
      </c>
      <c r="B108" s="3" t="s">
        <v>80</v>
      </c>
      <c r="C108" s="3">
        <v>13</v>
      </c>
      <c r="D108" s="1"/>
      <c r="E108" s="20" t="s">
        <v>76</v>
      </c>
      <c r="F108" s="7" t="s">
        <v>15</v>
      </c>
      <c r="G108" s="7" t="s">
        <v>44</v>
      </c>
      <c r="H108" s="11">
        <v>13.4</v>
      </c>
      <c r="I108" s="8">
        <v>8.6999999999999993</v>
      </c>
      <c r="J108" s="26">
        <v>3</v>
      </c>
      <c r="K108" s="10">
        <v>0.34974</v>
      </c>
      <c r="L108" s="4"/>
      <c r="M108" s="17"/>
      <c r="N108" s="18">
        <v>0</v>
      </c>
      <c r="O108" s="19">
        <v>3</v>
      </c>
      <c r="P108" s="13">
        <v>0.34974</v>
      </c>
    </row>
    <row r="109" spans="1:16">
      <c r="A109" s="44" t="s">
        <v>78</v>
      </c>
      <c r="B109" s="3" t="s">
        <v>80</v>
      </c>
      <c r="C109" s="3">
        <v>13</v>
      </c>
      <c r="D109" s="1"/>
      <c r="E109" s="20" t="s">
        <v>76</v>
      </c>
      <c r="F109" s="7" t="s">
        <v>15</v>
      </c>
      <c r="G109" s="7" t="s">
        <v>44</v>
      </c>
      <c r="H109" s="11">
        <v>13.4</v>
      </c>
      <c r="I109" s="8">
        <v>8.5</v>
      </c>
      <c r="J109" s="26">
        <v>1</v>
      </c>
      <c r="K109" s="10">
        <v>0.1139</v>
      </c>
      <c r="L109" s="4"/>
      <c r="M109" s="17"/>
      <c r="N109" s="18">
        <v>0</v>
      </c>
      <c r="O109" s="19">
        <v>1</v>
      </c>
      <c r="P109" s="13">
        <v>0.1139</v>
      </c>
    </row>
    <row r="110" spans="1:16">
      <c r="A110" s="44" t="s">
        <v>78</v>
      </c>
      <c r="B110" s="3" t="s">
        <v>80</v>
      </c>
      <c r="C110" s="3">
        <v>13</v>
      </c>
      <c r="D110" s="1"/>
      <c r="E110" s="20" t="s">
        <v>76</v>
      </c>
      <c r="F110" s="7" t="s">
        <v>15</v>
      </c>
      <c r="G110" s="7" t="s">
        <v>44</v>
      </c>
      <c r="H110" s="11">
        <v>13.4</v>
      </c>
      <c r="I110" s="8">
        <v>8.3000000000000007</v>
      </c>
      <c r="J110" s="26">
        <v>2</v>
      </c>
      <c r="K110" s="10">
        <v>0.22244000000000003</v>
      </c>
      <c r="L110" s="4"/>
      <c r="M110" s="17"/>
      <c r="N110" s="18">
        <v>0</v>
      </c>
      <c r="O110" s="19">
        <v>2</v>
      </c>
      <c r="P110" s="13">
        <v>0.22244000000000003</v>
      </c>
    </row>
    <row r="111" spans="1:16">
      <c r="A111" s="44" t="s">
        <v>78</v>
      </c>
      <c r="B111" s="3" t="s">
        <v>80</v>
      </c>
      <c r="C111" s="3">
        <v>13</v>
      </c>
      <c r="D111" s="1"/>
      <c r="E111" s="20" t="s">
        <v>76</v>
      </c>
      <c r="F111" s="7" t="s">
        <v>15</v>
      </c>
      <c r="G111" s="7" t="s">
        <v>44</v>
      </c>
      <c r="H111" s="11">
        <v>13.4</v>
      </c>
      <c r="I111" s="8">
        <v>8.1</v>
      </c>
      <c r="J111" s="26">
        <v>2</v>
      </c>
      <c r="K111" s="10">
        <v>0.21708</v>
      </c>
      <c r="L111" s="4"/>
      <c r="M111" s="17"/>
      <c r="N111" s="18">
        <v>0</v>
      </c>
      <c r="O111" s="19">
        <v>2</v>
      </c>
      <c r="P111" s="13">
        <v>0.21708</v>
      </c>
    </row>
    <row r="112" spans="1:16">
      <c r="A112" s="44" t="s">
        <v>78</v>
      </c>
      <c r="B112" s="3" t="s">
        <v>80</v>
      </c>
      <c r="C112" s="3">
        <v>13</v>
      </c>
      <c r="D112" s="1"/>
      <c r="E112" s="20" t="s">
        <v>76</v>
      </c>
      <c r="F112" s="7" t="s">
        <v>15</v>
      </c>
      <c r="G112" s="7" t="s">
        <v>44</v>
      </c>
      <c r="H112" s="11">
        <v>13.4</v>
      </c>
      <c r="I112" s="8">
        <v>6.4</v>
      </c>
      <c r="J112" s="26">
        <v>1</v>
      </c>
      <c r="K112" s="10">
        <v>8.5760000000000003E-2</v>
      </c>
      <c r="L112" s="4"/>
      <c r="M112" s="17"/>
      <c r="N112" s="18">
        <v>0</v>
      </c>
      <c r="O112" s="19">
        <v>1</v>
      </c>
      <c r="P112" s="13">
        <v>8.5760000000000003E-2</v>
      </c>
    </row>
    <row r="113" spans="1:16">
      <c r="A113" s="44" t="s">
        <v>78</v>
      </c>
      <c r="B113" s="32" t="s">
        <v>109</v>
      </c>
      <c r="C113" s="3">
        <v>3</v>
      </c>
      <c r="D113" s="1"/>
      <c r="E113" s="20" t="s">
        <v>20</v>
      </c>
      <c r="F113" s="7" t="s">
        <v>15</v>
      </c>
      <c r="G113" s="7" t="s">
        <v>44</v>
      </c>
      <c r="H113" s="11">
        <v>13.4</v>
      </c>
      <c r="I113" s="55">
        <v>7.6</v>
      </c>
      <c r="J113" s="40">
        <v>2</v>
      </c>
      <c r="K113" s="10">
        <v>0.20368</v>
      </c>
      <c r="L113" s="4"/>
      <c r="M113" s="17"/>
      <c r="N113" s="18">
        <v>0</v>
      </c>
      <c r="O113" s="19">
        <v>2</v>
      </c>
      <c r="P113" s="13">
        <v>0.20368</v>
      </c>
    </row>
    <row r="114" spans="1:16">
      <c r="A114" s="44" t="s">
        <v>78</v>
      </c>
      <c r="B114" s="32" t="s">
        <v>109</v>
      </c>
      <c r="C114" s="3">
        <v>3</v>
      </c>
      <c r="D114" s="1"/>
      <c r="E114" s="20" t="s">
        <v>20</v>
      </c>
      <c r="F114" s="7" t="s">
        <v>15</v>
      </c>
      <c r="G114" s="7" t="s">
        <v>44</v>
      </c>
      <c r="H114" s="11">
        <v>13.4</v>
      </c>
      <c r="I114" s="55">
        <v>6.8</v>
      </c>
      <c r="J114" s="40">
        <v>1</v>
      </c>
      <c r="K114" s="10">
        <v>9.1120000000000007E-2</v>
      </c>
      <c r="L114" s="4"/>
      <c r="M114" s="17"/>
      <c r="N114" s="18">
        <v>0</v>
      </c>
      <c r="O114" s="19">
        <v>1</v>
      </c>
      <c r="P114" s="13">
        <v>9.1120000000000007E-2</v>
      </c>
    </row>
    <row r="115" spans="1:16">
      <c r="P115" s="323">
        <f>SUM(P108:P114)</f>
        <v>1.2837200000000002</v>
      </c>
    </row>
    <row r="117" spans="1:16">
      <c r="A117" s="45" t="s">
        <v>136</v>
      </c>
      <c r="B117" s="48" t="s">
        <v>171</v>
      </c>
      <c r="C117" s="32">
        <v>159</v>
      </c>
      <c r="D117" s="32"/>
      <c r="E117" s="48" t="s">
        <v>89</v>
      </c>
      <c r="F117" s="48" t="s">
        <v>15</v>
      </c>
      <c r="G117" s="48" t="s">
        <v>42</v>
      </c>
      <c r="H117" s="11">
        <v>19.72</v>
      </c>
      <c r="I117" s="8">
        <v>9.5</v>
      </c>
      <c r="J117" s="7">
        <v>1</v>
      </c>
      <c r="K117" s="10">
        <f t="shared" ref="K117:K119" si="14">(H117*I117*J117/1000)</f>
        <v>0.18733999999999998</v>
      </c>
      <c r="L117" s="32"/>
      <c r="M117" s="32"/>
      <c r="N117" s="18">
        <f t="shared" ref="N117:N119" si="15">I117*M117*H117/1000</f>
        <v>0</v>
      </c>
      <c r="O117" s="19">
        <f t="shared" ref="O117:O119" si="16">J117-M117</f>
        <v>1</v>
      </c>
      <c r="P117" s="13">
        <f t="shared" ref="P117:P119" si="17">I117*O117*H117/1000</f>
        <v>0.18733999999999998</v>
      </c>
    </row>
    <row r="118" spans="1:16">
      <c r="A118" s="45" t="s">
        <v>136</v>
      </c>
      <c r="B118" s="48" t="s">
        <v>171</v>
      </c>
      <c r="C118" s="32">
        <v>159</v>
      </c>
      <c r="D118" s="32"/>
      <c r="E118" s="48" t="s">
        <v>89</v>
      </c>
      <c r="F118" s="48" t="s">
        <v>15</v>
      </c>
      <c r="G118" s="48" t="s">
        <v>42</v>
      </c>
      <c r="H118" s="11">
        <v>19.72</v>
      </c>
      <c r="I118" s="8">
        <v>10.5</v>
      </c>
      <c r="J118" s="7">
        <v>1</v>
      </c>
      <c r="K118" s="10">
        <f t="shared" si="14"/>
        <v>0.20705999999999999</v>
      </c>
      <c r="L118" s="32"/>
      <c r="M118" s="32"/>
      <c r="N118" s="18">
        <f t="shared" si="15"/>
        <v>0</v>
      </c>
      <c r="O118" s="19">
        <f t="shared" si="16"/>
        <v>1</v>
      </c>
      <c r="P118" s="13">
        <f t="shared" si="17"/>
        <v>0.20705999999999999</v>
      </c>
    </row>
    <row r="119" spans="1:16">
      <c r="A119" s="45" t="s">
        <v>136</v>
      </c>
      <c r="B119" s="48" t="s">
        <v>171</v>
      </c>
      <c r="C119" s="32">
        <v>159</v>
      </c>
      <c r="D119" s="32"/>
      <c r="E119" s="48" t="s">
        <v>89</v>
      </c>
      <c r="F119" s="48" t="s">
        <v>15</v>
      </c>
      <c r="G119" s="48" t="s">
        <v>42</v>
      </c>
      <c r="H119" s="11">
        <v>19.72</v>
      </c>
      <c r="I119" s="8">
        <v>11.3</v>
      </c>
      <c r="J119" s="7">
        <v>1</v>
      </c>
      <c r="K119" s="10">
        <f t="shared" si="14"/>
        <v>0.22283600000000001</v>
      </c>
      <c r="L119" s="32"/>
      <c r="M119" s="32"/>
      <c r="N119" s="18">
        <f t="shared" si="15"/>
        <v>0</v>
      </c>
      <c r="O119" s="19">
        <f t="shared" si="16"/>
        <v>1</v>
      </c>
      <c r="P119" s="13">
        <f t="shared" si="17"/>
        <v>0.22283600000000001</v>
      </c>
    </row>
    <row r="122" spans="1:16" ht="15.6">
      <c r="B122" s="110" t="s">
        <v>262</v>
      </c>
      <c r="C122" s="111" t="s">
        <v>232</v>
      </c>
      <c r="D122" s="112" t="s">
        <v>228</v>
      </c>
      <c r="E122" s="113" t="s">
        <v>236</v>
      </c>
      <c r="F122" s="114" t="s">
        <v>15</v>
      </c>
      <c r="G122" s="115" t="s">
        <v>16</v>
      </c>
      <c r="H122" s="116">
        <v>5.77</v>
      </c>
      <c r="I122" s="125">
        <v>9.6999999999999993</v>
      </c>
      <c r="J122" s="111">
        <v>9</v>
      </c>
      <c r="K122" s="117">
        <f t="shared" ref="K122" si="18">I122*H122*J122/1000</f>
        <v>0.50372099999999997</v>
      </c>
      <c r="L122" s="118" t="s">
        <v>233</v>
      </c>
      <c r="M122" s="111"/>
      <c r="N122" s="117">
        <f t="shared" ref="N122" si="19">I122*M122*H122/1000</f>
        <v>0</v>
      </c>
      <c r="O122" s="119">
        <f t="shared" ref="O122" si="20">J122-M122</f>
        <v>9</v>
      </c>
      <c r="P122" s="120">
        <f t="shared" ref="P122" si="21">I122*O122*H122/1000</f>
        <v>0.50372099999999997</v>
      </c>
    </row>
    <row r="125" spans="1:16" ht="15.6">
      <c r="B125" s="110" t="s">
        <v>238</v>
      </c>
      <c r="C125" s="111" t="s">
        <v>232</v>
      </c>
      <c r="D125" s="112" t="s">
        <v>228</v>
      </c>
      <c r="E125" s="113" t="s">
        <v>236</v>
      </c>
      <c r="F125" s="114" t="s">
        <v>15</v>
      </c>
      <c r="G125" s="115" t="s">
        <v>18</v>
      </c>
      <c r="H125" s="116">
        <v>6.86</v>
      </c>
      <c r="I125" s="125">
        <v>11.1</v>
      </c>
      <c r="J125" s="111">
        <f>41+40+28+42+34+39+31</f>
        <v>255</v>
      </c>
      <c r="K125" s="117">
        <f t="shared" ref="K125:K161" si="22">I125*H125*J125/1000</f>
        <v>19.41723</v>
      </c>
      <c r="L125" s="118"/>
      <c r="M125" s="111">
        <v>255</v>
      </c>
      <c r="N125" s="117">
        <f t="shared" ref="N125:N161" si="23">I125*M125*H125/1000</f>
        <v>19.41723</v>
      </c>
      <c r="O125" s="119">
        <f t="shared" ref="O125:O161" si="24">J125-M125</f>
        <v>0</v>
      </c>
      <c r="P125" s="120">
        <f t="shared" ref="P125:P161" si="25">I125*O125*H125/1000</f>
        <v>0</v>
      </c>
    </row>
    <row r="126" spans="1:16" ht="15.6">
      <c r="B126" s="110" t="s">
        <v>238</v>
      </c>
      <c r="C126" s="111" t="s">
        <v>232</v>
      </c>
      <c r="D126" s="112" t="s">
        <v>228</v>
      </c>
      <c r="E126" s="113" t="s">
        <v>236</v>
      </c>
      <c r="F126" s="114" t="s">
        <v>15</v>
      </c>
      <c r="G126" s="115" t="s">
        <v>18</v>
      </c>
      <c r="H126" s="116">
        <v>6.86</v>
      </c>
      <c r="I126" s="125">
        <v>11.5</v>
      </c>
      <c r="J126" s="111">
        <f>29+42+3+35</f>
        <v>109</v>
      </c>
      <c r="K126" s="117">
        <f t="shared" si="22"/>
        <v>8.5990099999999998</v>
      </c>
      <c r="L126" s="118"/>
      <c r="M126" s="111">
        <f>99+10</f>
        <v>109</v>
      </c>
      <c r="N126" s="117">
        <f t="shared" si="23"/>
        <v>8.5990099999999998</v>
      </c>
      <c r="O126" s="119">
        <f t="shared" si="24"/>
        <v>0</v>
      </c>
      <c r="P126" s="120">
        <f t="shared" si="25"/>
        <v>0</v>
      </c>
    </row>
    <row r="127" spans="1:16" ht="15.6">
      <c r="B127" s="110" t="s">
        <v>238</v>
      </c>
      <c r="C127" s="111" t="s">
        <v>232</v>
      </c>
      <c r="D127" s="112" t="s">
        <v>228</v>
      </c>
      <c r="E127" s="113" t="s">
        <v>236</v>
      </c>
      <c r="F127" s="114" t="s">
        <v>15</v>
      </c>
      <c r="G127" s="115" t="s">
        <v>18</v>
      </c>
      <c r="H127" s="116">
        <v>6.86</v>
      </c>
      <c r="I127" s="125">
        <v>9</v>
      </c>
      <c r="J127" s="111">
        <v>6</v>
      </c>
      <c r="K127" s="117">
        <f t="shared" si="22"/>
        <v>0.37043999999999999</v>
      </c>
      <c r="L127" s="118"/>
      <c r="M127" s="111">
        <v>6</v>
      </c>
      <c r="N127" s="117">
        <f t="shared" si="23"/>
        <v>0.37043999999999999</v>
      </c>
      <c r="O127" s="119">
        <f t="shared" si="24"/>
        <v>0</v>
      </c>
      <c r="P127" s="120">
        <f t="shared" si="25"/>
        <v>0</v>
      </c>
    </row>
    <row r="128" spans="1:16" ht="15.6">
      <c r="B128" s="110" t="s">
        <v>238</v>
      </c>
      <c r="C128" s="111" t="s">
        <v>232</v>
      </c>
      <c r="D128" s="112" t="s">
        <v>228</v>
      </c>
      <c r="E128" s="113" t="s">
        <v>236</v>
      </c>
      <c r="F128" s="114" t="s">
        <v>15</v>
      </c>
      <c r="G128" s="115" t="s">
        <v>18</v>
      </c>
      <c r="H128" s="116">
        <v>6.86</v>
      </c>
      <c r="I128" s="125">
        <v>7.1</v>
      </c>
      <c r="J128" s="111">
        <f>42+31+12+38+52+24</f>
        <v>199</v>
      </c>
      <c r="K128" s="117">
        <f t="shared" si="22"/>
        <v>9.6924939999999999</v>
      </c>
      <c r="L128" s="118"/>
      <c r="M128" s="111">
        <v>191</v>
      </c>
      <c r="N128" s="117">
        <f t="shared" si="23"/>
        <v>9.3028459999999988</v>
      </c>
      <c r="O128" s="119">
        <f t="shared" si="24"/>
        <v>8</v>
      </c>
      <c r="P128" s="120">
        <f t="shared" si="25"/>
        <v>0.38964800000000005</v>
      </c>
    </row>
    <row r="129" spans="2:16" ht="15.6">
      <c r="B129" s="110" t="s">
        <v>238</v>
      </c>
      <c r="C129" s="111" t="s">
        <v>232</v>
      </c>
      <c r="D129" s="112" t="s">
        <v>228</v>
      </c>
      <c r="E129" s="113" t="s">
        <v>236</v>
      </c>
      <c r="F129" s="114" t="s">
        <v>15</v>
      </c>
      <c r="G129" s="115" t="s">
        <v>18</v>
      </c>
      <c r="H129" s="116">
        <v>6.86</v>
      </c>
      <c r="I129" s="125">
        <v>8.9499999999999993</v>
      </c>
      <c r="J129" s="111">
        <f>40+42+8+3+9+44+50</f>
        <v>196</v>
      </c>
      <c r="K129" s="117">
        <f t="shared" si="22"/>
        <v>12.033811999999999</v>
      </c>
      <c r="L129" s="118"/>
      <c r="M129" s="111">
        <v>194</v>
      </c>
      <c r="N129" s="117">
        <f t="shared" si="23"/>
        <v>11.911018</v>
      </c>
      <c r="O129" s="119">
        <f t="shared" si="24"/>
        <v>2</v>
      </c>
      <c r="P129" s="120">
        <f t="shared" si="25"/>
        <v>0.122794</v>
      </c>
    </row>
    <row r="130" spans="2:16" ht="15.6">
      <c r="B130" s="110" t="s">
        <v>238</v>
      </c>
      <c r="C130" s="111" t="s">
        <v>232</v>
      </c>
      <c r="D130" s="112" t="s">
        <v>228</v>
      </c>
      <c r="E130" s="113" t="s">
        <v>236</v>
      </c>
      <c r="F130" s="114" t="s">
        <v>15</v>
      </c>
      <c r="G130" s="115" t="s">
        <v>18</v>
      </c>
      <c r="H130" s="116">
        <v>6.86</v>
      </c>
      <c r="I130" s="125">
        <v>11.2</v>
      </c>
      <c r="J130" s="111">
        <f>40+36+27+12+15+26+40+43+15</f>
        <v>254</v>
      </c>
      <c r="K130" s="117">
        <f t="shared" si="22"/>
        <v>19.515327999999997</v>
      </c>
      <c r="L130" s="118"/>
      <c r="M130" s="111">
        <v>254</v>
      </c>
      <c r="N130" s="117">
        <f t="shared" si="23"/>
        <v>19.515327999999997</v>
      </c>
      <c r="O130" s="119">
        <f t="shared" si="24"/>
        <v>0</v>
      </c>
      <c r="P130" s="120">
        <f t="shared" si="25"/>
        <v>0</v>
      </c>
    </row>
    <row r="131" spans="2:16" ht="15.6">
      <c r="B131" s="110" t="s">
        <v>238</v>
      </c>
      <c r="C131" s="111" t="s">
        <v>232</v>
      </c>
      <c r="D131" s="112" t="s">
        <v>228</v>
      </c>
      <c r="E131" s="113" t="s">
        <v>236</v>
      </c>
      <c r="F131" s="114" t="s">
        <v>15</v>
      </c>
      <c r="G131" s="115" t="s">
        <v>18</v>
      </c>
      <c r="H131" s="116">
        <v>6.86</v>
      </c>
      <c r="I131" s="125">
        <v>10.5</v>
      </c>
      <c r="J131" s="111">
        <v>1</v>
      </c>
      <c r="K131" s="117">
        <f t="shared" si="22"/>
        <v>7.2029999999999997E-2</v>
      </c>
      <c r="L131" s="118"/>
      <c r="M131" s="111"/>
      <c r="N131" s="117">
        <f t="shared" si="23"/>
        <v>0</v>
      </c>
      <c r="O131" s="119">
        <f t="shared" si="24"/>
        <v>1</v>
      </c>
      <c r="P131" s="120">
        <f t="shared" si="25"/>
        <v>7.2029999999999997E-2</v>
      </c>
    </row>
    <row r="132" spans="2:16" ht="15.6">
      <c r="B132" s="110" t="s">
        <v>238</v>
      </c>
      <c r="C132" s="111" t="s">
        <v>232</v>
      </c>
      <c r="D132" s="112" t="s">
        <v>228</v>
      </c>
      <c r="E132" s="113" t="s">
        <v>236</v>
      </c>
      <c r="F132" s="114" t="s">
        <v>15</v>
      </c>
      <c r="G132" s="115" t="s">
        <v>18</v>
      </c>
      <c r="H132" s="116">
        <v>6.86</v>
      </c>
      <c r="I132" s="125">
        <v>11.5</v>
      </c>
      <c r="J132" s="111">
        <v>3</v>
      </c>
      <c r="K132" s="117">
        <f t="shared" si="22"/>
        <v>0.23667000000000002</v>
      </c>
      <c r="L132" s="118"/>
      <c r="M132" s="111">
        <v>3</v>
      </c>
      <c r="N132" s="117">
        <f t="shared" si="23"/>
        <v>0.23667000000000002</v>
      </c>
      <c r="O132" s="119">
        <f t="shared" si="24"/>
        <v>0</v>
      </c>
      <c r="P132" s="120">
        <f t="shared" si="25"/>
        <v>0</v>
      </c>
    </row>
    <row r="133" spans="2:16" ht="15.6">
      <c r="B133" s="110" t="s">
        <v>238</v>
      </c>
      <c r="C133" s="111" t="s">
        <v>232</v>
      </c>
      <c r="D133" s="112" t="s">
        <v>228</v>
      </c>
      <c r="E133" s="113" t="s">
        <v>236</v>
      </c>
      <c r="F133" s="114" t="s">
        <v>15</v>
      </c>
      <c r="G133" s="115" t="s">
        <v>18</v>
      </c>
      <c r="H133" s="116">
        <v>6.86</v>
      </c>
      <c r="I133" s="127">
        <v>12</v>
      </c>
      <c r="J133" s="111">
        <v>3</v>
      </c>
      <c r="K133" s="117">
        <f t="shared" si="22"/>
        <v>0.24696000000000004</v>
      </c>
      <c r="L133" s="118"/>
      <c r="M133" s="111">
        <v>3</v>
      </c>
      <c r="N133" s="117">
        <f t="shared" si="23"/>
        <v>0.24696000000000001</v>
      </c>
      <c r="O133" s="119">
        <f t="shared" si="24"/>
        <v>0</v>
      </c>
      <c r="P133" s="120">
        <f t="shared" si="25"/>
        <v>0</v>
      </c>
    </row>
    <row r="134" spans="2:16" ht="15.6">
      <c r="B134" s="110" t="s">
        <v>238</v>
      </c>
      <c r="C134" s="111" t="s">
        <v>232</v>
      </c>
      <c r="D134" s="112" t="s">
        <v>228</v>
      </c>
      <c r="E134" s="113" t="s">
        <v>236</v>
      </c>
      <c r="F134" s="114" t="s">
        <v>15</v>
      </c>
      <c r="G134" s="115" t="s">
        <v>18</v>
      </c>
      <c r="H134" s="116">
        <v>6.86</v>
      </c>
      <c r="I134" s="125">
        <v>6.5</v>
      </c>
      <c r="J134" s="111">
        <v>1</v>
      </c>
      <c r="K134" s="117">
        <f t="shared" si="22"/>
        <v>4.4590000000000005E-2</v>
      </c>
      <c r="L134" s="118"/>
      <c r="M134" s="111"/>
      <c r="N134" s="117">
        <f t="shared" si="23"/>
        <v>0</v>
      </c>
      <c r="O134" s="119">
        <f t="shared" si="24"/>
        <v>1</v>
      </c>
      <c r="P134" s="120">
        <f t="shared" si="25"/>
        <v>4.4590000000000005E-2</v>
      </c>
    </row>
    <row r="135" spans="2:16" ht="15.6">
      <c r="B135" s="110" t="s">
        <v>238</v>
      </c>
      <c r="C135" s="111" t="s">
        <v>232</v>
      </c>
      <c r="D135" s="112" t="s">
        <v>228</v>
      </c>
      <c r="E135" s="113" t="s">
        <v>236</v>
      </c>
      <c r="F135" s="114" t="s">
        <v>15</v>
      </c>
      <c r="G135" s="115" t="s">
        <v>18</v>
      </c>
      <c r="H135" s="116">
        <v>6.86</v>
      </c>
      <c r="I135" s="125">
        <v>6.8</v>
      </c>
      <c r="J135" s="111">
        <v>1</v>
      </c>
      <c r="K135" s="117">
        <f t="shared" si="22"/>
        <v>4.6648000000000002E-2</v>
      </c>
      <c r="L135" s="118"/>
      <c r="M135" s="111"/>
      <c r="N135" s="117">
        <f t="shared" si="23"/>
        <v>0</v>
      </c>
      <c r="O135" s="119">
        <f t="shared" si="24"/>
        <v>1</v>
      </c>
      <c r="P135" s="120">
        <f t="shared" si="25"/>
        <v>4.6648000000000002E-2</v>
      </c>
    </row>
    <row r="136" spans="2:16" ht="15.6">
      <c r="B136" s="110" t="s">
        <v>238</v>
      </c>
      <c r="C136" s="111" t="s">
        <v>232</v>
      </c>
      <c r="D136" s="112" t="s">
        <v>228</v>
      </c>
      <c r="E136" s="113" t="s">
        <v>236</v>
      </c>
      <c r="F136" s="114" t="s">
        <v>15</v>
      </c>
      <c r="G136" s="115" t="s">
        <v>18</v>
      </c>
      <c r="H136" s="116">
        <v>6.86</v>
      </c>
      <c r="I136" s="125">
        <v>8.3000000000000007</v>
      </c>
      <c r="J136" s="111">
        <v>1</v>
      </c>
      <c r="K136" s="117">
        <f t="shared" si="22"/>
        <v>5.6938000000000009E-2</v>
      </c>
      <c r="L136" s="118"/>
      <c r="M136" s="111"/>
      <c r="N136" s="117">
        <f t="shared" si="23"/>
        <v>0</v>
      </c>
      <c r="O136" s="119">
        <f t="shared" si="24"/>
        <v>1</v>
      </c>
      <c r="P136" s="120">
        <f t="shared" si="25"/>
        <v>5.6938000000000009E-2</v>
      </c>
    </row>
    <row r="137" spans="2:16" ht="15.6">
      <c r="B137" s="110" t="s">
        <v>238</v>
      </c>
      <c r="C137" s="111" t="s">
        <v>232</v>
      </c>
      <c r="D137" s="112" t="s">
        <v>228</v>
      </c>
      <c r="E137" s="113" t="s">
        <v>236</v>
      </c>
      <c r="F137" s="114" t="s">
        <v>15</v>
      </c>
      <c r="G137" s="115" t="s">
        <v>18</v>
      </c>
      <c r="H137" s="116">
        <v>6.86</v>
      </c>
      <c r="I137" s="125">
        <v>8.5</v>
      </c>
      <c r="J137" s="111">
        <v>6</v>
      </c>
      <c r="K137" s="117">
        <f t="shared" si="22"/>
        <v>0.34986</v>
      </c>
      <c r="L137" s="118"/>
      <c r="M137" s="111"/>
      <c r="N137" s="117">
        <f t="shared" si="23"/>
        <v>0</v>
      </c>
      <c r="O137" s="119">
        <f t="shared" si="24"/>
        <v>6</v>
      </c>
      <c r="P137" s="120">
        <f t="shared" si="25"/>
        <v>0.34986</v>
      </c>
    </row>
    <row r="138" spans="2:16" ht="15.6">
      <c r="B138" s="110" t="s">
        <v>238</v>
      </c>
      <c r="C138" s="111" t="s">
        <v>232</v>
      </c>
      <c r="D138" s="112" t="s">
        <v>228</v>
      </c>
      <c r="E138" s="113" t="s">
        <v>236</v>
      </c>
      <c r="F138" s="114" t="s">
        <v>15</v>
      </c>
      <c r="G138" s="115" t="s">
        <v>18</v>
      </c>
      <c r="H138" s="116">
        <v>6.86</v>
      </c>
      <c r="I138" s="125">
        <v>10.3</v>
      </c>
      <c r="J138" s="111">
        <v>1</v>
      </c>
      <c r="K138" s="117">
        <f t="shared" si="22"/>
        <v>7.0657999999999999E-2</v>
      </c>
      <c r="L138" s="118"/>
      <c r="M138" s="111"/>
      <c r="N138" s="117">
        <f t="shared" si="23"/>
        <v>0</v>
      </c>
      <c r="O138" s="119">
        <f t="shared" si="24"/>
        <v>1</v>
      </c>
      <c r="P138" s="120">
        <f t="shared" si="25"/>
        <v>7.0657999999999999E-2</v>
      </c>
    </row>
    <row r="139" spans="2:16" ht="15.6">
      <c r="B139" s="110" t="s">
        <v>238</v>
      </c>
      <c r="C139" s="111" t="s">
        <v>232</v>
      </c>
      <c r="D139" s="112" t="s">
        <v>228</v>
      </c>
      <c r="E139" s="113" t="s">
        <v>236</v>
      </c>
      <c r="F139" s="114" t="s">
        <v>15</v>
      </c>
      <c r="G139" s="115" t="s">
        <v>18</v>
      </c>
      <c r="H139" s="116">
        <v>6.86</v>
      </c>
      <c r="I139" s="125">
        <v>10.5</v>
      </c>
      <c r="J139" s="111">
        <v>21</v>
      </c>
      <c r="K139" s="117">
        <f t="shared" si="22"/>
        <v>1.5126300000000001</v>
      </c>
      <c r="L139" s="118"/>
      <c r="M139" s="111">
        <v>18</v>
      </c>
      <c r="N139" s="117">
        <f t="shared" si="23"/>
        <v>1.29654</v>
      </c>
      <c r="O139" s="119">
        <f t="shared" si="24"/>
        <v>3</v>
      </c>
      <c r="P139" s="120">
        <f t="shared" si="25"/>
        <v>0.21609</v>
      </c>
    </row>
    <row r="140" spans="2:16" ht="15.6">
      <c r="B140" s="110" t="s">
        <v>238</v>
      </c>
      <c r="C140" s="111" t="s">
        <v>232</v>
      </c>
      <c r="D140" s="112" t="s">
        <v>228</v>
      </c>
      <c r="E140" s="113" t="s">
        <v>236</v>
      </c>
      <c r="F140" s="114" t="s">
        <v>15</v>
      </c>
      <c r="G140" s="115" t="s">
        <v>18</v>
      </c>
      <c r="H140" s="116">
        <v>6.86</v>
      </c>
      <c r="I140" s="125">
        <v>11.5</v>
      </c>
      <c r="J140" s="111">
        <v>5</v>
      </c>
      <c r="K140" s="117">
        <f t="shared" si="22"/>
        <v>0.39444999999999997</v>
      </c>
      <c r="L140" s="118"/>
      <c r="M140" s="111">
        <v>5</v>
      </c>
      <c r="N140" s="117">
        <f t="shared" si="23"/>
        <v>0.39445000000000002</v>
      </c>
      <c r="O140" s="119">
        <f t="shared" si="24"/>
        <v>0</v>
      </c>
      <c r="P140" s="120">
        <f t="shared" si="25"/>
        <v>0</v>
      </c>
    </row>
    <row r="141" spans="2:16" ht="15.6">
      <c r="B141" s="110" t="s">
        <v>238</v>
      </c>
      <c r="C141" s="111" t="s">
        <v>232</v>
      </c>
      <c r="D141" s="112" t="s">
        <v>228</v>
      </c>
      <c r="E141" s="113" t="s">
        <v>236</v>
      </c>
      <c r="F141" s="114" t="s">
        <v>15</v>
      </c>
      <c r="G141" s="115" t="s">
        <v>18</v>
      </c>
      <c r="H141" s="116">
        <v>6.86</v>
      </c>
      <c r="I141" s="125">
        <v>12</v>
      </c>
      <c r="J141" s="111">
        <v>5</v>
      </c>
      <c r="K141" s="117">
        <f t="shared" si="22"/>
        <v>0.41160000000000002</v>
      </c>
      <c r="L141" s="118"/>
      <c r="M141" s="111">
        <v>5</v>
      </c>
      <c r="N141" s="117">
        <f t="shared" si="23"/>
        <v>0.41160000000000002</v>
      </c>
      <c r="O141" s="119">
        <f t="shared" si="24"/>
        <v>0</v>
      </c>
      <c r="P141" s="120">
        <f t="shared" si="25"/>
        <v>0</v>
      </c>
    </row>
    <row r="142" spans="2:16" ht="15.6">
      <c r="B142" s="110" t="s">
        <v>238</v>
      </c>
      <c r="C142" s="111" t="s">
        <v>232</v>
      </c>
      <c r="D142" s="112" t="s">
        <v>228</v>
      </c>
      <c r="E142" s="113" t="s">
        <v>236</v>
      </c>
      <c r="F142" s="114" t="s">
        <v>15</v>
      </c>
      <c r="G142" s="115" t="s">
        <v>18</v>
      </c>
      <c r="H142" s="116">
        <v>6.86</v>
      </c>
      <c r="I142" s="125">
        <v>12</v>
      </c>
      <c r="J142" s="111">
        <v>5</v>
      </c>
      <c r="K142" s="117">
        <f t="shared" si="22"/>
        <v>0.41160000000000002</v>
      </c>
      <c r="L142" s="118"/>
      <c r="M142" s="111">
        <v>5</v>
      </c>
      <c r="N142" s="117">
        <f t="shared" si="23"/>
        <v>0.41160000000000002</v>
      </c>
      <c r="O142" s="119">
        <f t="shared" si="24"/>
        <v>0</v>
      </c>
      <c r="P142" s="120">
        <f t="shared" si="25"/>
        <v>0</v>
      </c>
    </row>
    <row r="143" spans="2:16" ht="15.6">
      <c r="B143" s="110" t="s">
        <v>238</v>
      </c>
      <c r="C143" s="111" t="s">
        <v>232</v>
      </c>
      <c r="D143" s="112" t="s">
        <v>228</v>
      </c>
      <c r="E143" s="113" t="s">
        <v>236</v>
      </c>
      <c r="F143" s="114" t="s">
        <v>15</v>
      </c>
      <c r="G143" s="115" t="s">
        <v>18</v>
      </c>
      <c r="H143" s="116">
        <v>6.86</v>
      </c>
      <c r="I143" s="125">
        <v>11.5</v>
      </c>
      <c r="J143" s="111">
        <v>1</v>
      </c>
      <c r="K143" s="117">
        <f t="shared" si="22"/>
        <v>7.8890000000000002E-2</v>
      </c>
      <c r="L143" s="118"/>
      <c r="M143" s="111">
        <v>1</v>
      </c>
      <c r="N143" s="117">
        <f t="shared" si="23"/>
        <v>7.8890000000000002E-2</v>
      </c>
      <c r="O143" s="119">
        <f t="shared" si="24"/>
        <v>0</v>
      </c>
      <c r="P143" s="120">
        <f t="shared" si="25"/>
        <v>0</v>
      </c>
    </row>
    <row r="144" spans="2:16" ht="15.6">
      <c r="B144" s="110" t="s">
        <v>238</v>
      </c>
      <c r="C144" s="111" t="s">
        <v>232</v>
      </c>
      <c r="D144" s="112" t="s">
        <v>228</v>
      </c>
      <c r="E144" s="113" t="s">
        <v>236</v>
      </c>
      <c r="F144" s="114" t="s">
        <v>15</v>
      </c>
      <c r="G144" s="115" t="s">
        <v>18</v>
      </c>
      <c r="H144" s="116">
        <v>6.86</v>
      </c>
      <c r="I144" s="125">
        <v>11</v>
      </c>
      <c r="J144" s="111">
        <v>2</v>
      </c>
      <c r="K144" s="117">
        <f t="shared" si="22"/>
        <v>0.15092000000000003</v>
      </c>
      <c r="L144" s="118"/>
      <c r="M144" s="111"/>
      <c r="N144" s="117">
        <f t="shared" si="23"/>
        <v>0</v>
      </c>
      <c r="O144" s="119">
        <f t="shared" si="24"/>
        <v>2</v>
      </c>
      <c r="P144" s="120">
        <f t="shared" si="25"/>
        <v>0.15092000000000003</v>
      </c>
    </row>
    <row r="145" spans="2:16" ht="15.6">
      <c r="B145" s="110" t="s">
        <v>238</v>
      </c>
      <c r="C145" s="111" t="s">
        <v>232</v>
      </c>
      <c r="D145" s="112" t="s">
        <v>228</v>
      </c>
      <c r="E145" s="113" t="s">
        <v>236</v>
      </c>
      <c r="F145" s="114" t="s">
        <v>15</v>
      </c>
      <c r="G145" s="115" t="s">
        <v>18</v>
      </c>
      <c r="H145" s="116">
        <v>6.86</v>
      </c>
      <c r="I145" s="125">
        <v>10.5</v>
      </c>
      <c r="J145" s="111">
        <v>3</v>
      </c>
      <c r="K145" s="117">
        <f t="shared" si="22"/>
        <v>0.21609</v>
      </c>
      <c r="L145" s="118"/>
      <c r="M145" s="111">
        <v>3</v>
      </c>
      <c r="N145" s="117">
        <f t="shared" si="23"/>
        <v>0.21609</v>
      </c>
      <c r="O145" s="119">
        <f t="shared" si="24"/>
        <v>0</v>
      </c>
      <c r="P145" s="120">
        <f t="shared" si="25"/>
        <v>0</v>
      </c>
    </row>
    <row r="146" spans="2:16" ht="15.6">
      <c r="B146" s="110" t="s">
        <v>238</v>
      </c>
      <c r="C146" s="111" t="s">
        <v>232</v>
      </c>
      <c r="D146" s="112" t="s">
        <v>228</v>
      </c>
      <c r="E146" s="113" t="s">
        <v>236</v>
      </c>
      <c r="F146" s="114" t="s">
        <v>15</v>
      </c>
      <c r="G146" s="115" t="s">
        <v>18</v>
      </c>
      <c r="H146" s="116">
        <v>6.86</v>
      </c>
      <c r="I146" s="125">
        <v>10</v>
      </c>
      <c r="J146" s="111">
        <v>1</v>
      </c>
      <c r="K146" s="117">
        <f t="shared" si="22"/>
        <v>6.8600000000000008E-2</v>
      </c>
      <c r="L146" s="118"/>
      <c r="M146" s="111">
        <v>1</v>
      </c>
      <c r="N146" s="117">
        <f t="shared" si="23"/>
        <v>6.8600000000000008E-2</v>
      </c>
      <c r="O146" s="119">
        <f t="shared" si="24"/>
        <v>0</v>
      </c>
      <c r="P146" s="120">
        <f t="shared" si="25"/>
        <v>0</v>
      </c>
    </row>
    <row r="147" spans="2:16" ht="15.6">
      <c r="B147" s="110" t="s">
        <v>238</v>
      </c>
      <c r="C147" s="111" t="s">
        <v>232</v>
      </c>
      <c r="D147" s="112" t="s">
        <v>228</v>
      </c>
      <c r="E147" s="113" t="s">
        <v>236</v>
      </c>
      <c r="F147" s="114" t="s">
        <v>15</v>
      </c>
      <c r="G147" s="115" t="s">
        <v>18</v>
      </c>
      <c r="H147" s="116">
        <v>6.86</v>
      </c>
      <c r="I147" s="125">
        <v>8.5</v>
      </c>
      <c r="J147" s="111">
        <v>1</v>
      </c>
      <c r="K147" s="117">
        <f t="shared" si="22"/>
        <v>5.8310000000000001E-2</v>
      </c>
      <c r="L147" s="118"/>
      <c r="M147" s="111"/>
      <c r="N147" s="117">
        <f t="shared" si="23"/>
        <v>0</v>
      </c>
      <c r="O147" s="119">
        <f t="shared" si="24"/>
        <v>1</v>
      </c>
      <c r="P147" s="120">
        <f t="shared" si="25"/>
        <v>5.8310000000000001E-2</v>
      </c>
    </row>
    <row r="148" spans="2:16" ht="15.6">
      <c r="B148" s="110" t="s">
        <v>238</v>
      </c>
      <c r="C148" s="111" t="s">
        <v>232</v>
      </c>
      <c r="D148" s="112" t="s">
        <v>228</v>
      </c>
      <c r="E148" s="113" t="s">
        <v>236</v>
      </c>
      <c r="F148" s="114" t="s">
        <v>15</v>
      </c>
      <c r="G148" s="115" t="s">
        <v>18</v>
      </c>
      <c r="H148" s="116">
        <v>6.86</v>
      </c>
      <c r="I148" s="125">
        <v>8</v>
      </c>
      <c r="J148" s="111">
        <v>7</v>
      </c>
      <c r="K148" s="117">
        <f t="shared" si="22"/>
        <v>0.38416</v>
      </c>
      <c r="L148" s="118"/>
      <c r="M148" s="111"/>
      <c r="N148" s="117">
        <f t="shared" si="23"/>
        <v>0</v>
      </c>
      <c r="O148" s="119">
        <f t="shared" si="24"/>
        <v>7</v>
      </c>
      <c r="P148" s="120">
        <f t="shared" si="25"/>
        <v>0.38416</v>
      </c>
    </row>
    <row r="149" spans="2:16" ht="15.6">
      <c r="B149" s="110" t="s">
        <v>238</v>
      </c>
      <c r="C149" s="111" t="s">
        <v>232</v>
      </c>
      <c r="D149" s="112" t="s">
        <v>228</v>
      </c>
      <c r="E149" s="113" t="s">
        <v>236</v>
      </c>
      <c r="F149" s="114" t="s">
        <v>15</v>
      </c>
      <c r="G149" s="115" t="s">
        <v>18</v>
      </c>
      <c r="H149" s="116">
        <v>6.86</v>
      </c>
      <c r="I149" s="125">
        <v>10.5</v>
      </c>
      <c r="J149" s="111">
        <v>11</v>
      </c>
      <c r="K149" s="117">
        <f t="shared" si="22"/>
        <v>0.79233000000000009</v>
      </c>
      <c r="L149" s="118"/>
      <c r="M149" s="111"/>
      <c r="N149" s="117">
        <f t="shared" si="23"/>
        <v>0</v>
      </c>
      <c r="O149" s="119">
        <f t="shared" si="24"/>
        <v>11</v>
      </c>
      <c r="P149" s="120">
        <f t="shared" si="25"/>
        <v>0.79233000000000009</v>
      </c>
    </row>
    <row r="150" spans="2:16" ht="15.6">
      <c r="B150" s="110" t="s">
        <v>238</v>
      </c>
      <c r="C150" s="111" t="s">
        <v>232</v>
      </c>
      <c r="D150" s="112" t="s">
        <v>228</v>
      </c>
      <c r="E150" s="113" t="s">
        <v>236</v>
      </c>
      <c r="F150" s="114" t="s">
        <v>15</v>
      </c>
      <c r="G150" s="115" t="s">
        <v>18</v>
      </c>
      <c r="H150" s="116">
        <v>6.86</v>
      </c>
      <c r="I150" s="125">
        <v>11</v>
      </c>
      <c r="J150" s="111">
        <v>1</v>
      </c>
      <c r="K150" s="117">
        <f t="shared" si="22"/>
        <v>7.5460000000000013E-2</v>
      </c>
      <c r="L150" s="118"/>
      <c r="M150" s="111"/>
      <c r="N150" s="117">
        <f t="shared" si="23"/>
        <v>0</v>
      </c>
      <c r="O150" s="119">
        <f t="shared" si="24"/>
        <v>1</v>
      </c>
      <c r="P150" s="120">
        <f t="shared" si="25"/>
        <v>7.5460000000000013E-2</v>
      </c>
    </row>
    <row r="151" spans="2:16" ht="15.6">
      <c r="B151" s="110" t="s">
        <v>238</v>
      </c>
      <c r="C151" s="111" t="s">
        <v>232</v>
      </c>
      <c r="D151" s="112" t="s">
        <v>228</v>
      </c>
      <c r="E151" s="113" t="s">
        <v>236</v>
      </c>
      <c r="F151" s="114" t="s">
        <v>15</v>
      </c>
      <c r="G151" s="115" t="s">
        <v>18</v>
      </c>
      <c r="H151" s="116">
        <v>6.86</v>
      </c>
      <c r="I151" s="125">
        <v>10.8</v>
      </c>
      <c r="J151" s="111">
        <v>3</v>
      </c>
      <c r="K151" s="117">
        <f t="shared" si="22"/>
        <v>0.22226400000000002</v>
      </c>
      <c r="L151" s="118"/>
      <c r="M151" s="111"/>
      <c r="N151" s="117">
        <f t="shared" si="23"/>
        <v>0</v>
      </c>
      <c r="O151" s="119">
        <f t="shared" si="24"/>
        <v>3</v>
      </c>
      <c r="P151" s="120">
        <f t="shared" si="25"/>
        <v>0.22226400000000004</v>
      </c>
    </row>
    <row r="152" spans="2:16" ht="15.6">
      <c r="B152" s="110" t="s">
        <v>238</v>
      </c>
      <c r="C152" s="111" t="s">
        <v>232</v>
      </c>
      <c r="D152" s="112" t="s">
        <v>228</v>
      </c>
      <c r="E152" s="113" t="s">
        <v>236</v>
      </c>
      <c r="F152" s="114" t="s">
        <v>15</v>
      </c>
      <c r="G152" s="115" t="s">
        <v>18</v>
      </c>
      <c r="H152" s="116">
        <v>6.86</v>
      </c>
      <c r="I152" s="125">
        <v>10</v>
      </c>
      <c r="J152" s="111">
        <v>2</v>
      </c>
      <c r="K152" s="117">
        <f t="shared" si="22"/>
        <v>0.13720000000000002</v>
      </c>
      <c r="L152" s="118"/>
      <c r="M152" s="111">
        <v>2</v>
      </c>
      <c r="N152" s="117">
        <f t="shared" si="23"/>
        <v>0.13720000000000002</v>
      </c>
      <c r="O152" s="119">
        <f t="shared" si="24"/>
        <v>0</v>
      </c>
      <c r="P152" s="120">
        <f t="shared" si="25"/>
        <v>0</v>
      </c>
    </row>
    <row r="153" spans="2:16" ht="15.6">
      <c r="B153" s="110" t="s">
        <v>238</v>
      </c>
      <c r="C153" s="111" t="s">
        <v>232</v>
      </c>
      <c r="D153" s="112" t="s">
        <v>228</v>
      </c>
      <c r="E153" s="113" t="s">
        <v>236</v>
      </c>
      <c r="F153" s="114" t="s">
        <v>15</v>
      </c>
      <c r="G153" s="115" t="s">
        <v>18</v>
      </c>
      <c r="H153" s="116">
        <v>6.86</v>
      </c>
      <c r="I153" s="125">
        <v>8.6999999999999993</v>
      </c>
      <c r="J153" s="111">
        <v>3</v>
      </c>
      <c r="K153" s="117">
        <f t="shared" si="22"/>
        <v>0.17904599999999998</v>
      </c>
      <c r="L153" s="118"/>
      <c r="M153" s="111"/>
      <c r="N153" s="117">
        <f t="shared" si="23"/>
        <v>0</v>
      </c>
      <c r="O153" s="119">
        <f t="shared" si="24"/>
        <v>3</v>
      </c>
      <c r="P153" s="120">
        <f t="shared" si="25"/>
        <v>0.17904599999999998</v>
      </c>
    </row>
    <row r="154" spans="2:16" ht="15.6">
      <c r="B154" s="110" t="s">
        <v>238</v>
      </c>
      <c r="C154" s="111" t="s">
        <v>232</v>
      </c>
      <c r="D154" s="112" t="s">
        <v>228</v>
      </c>
      <c r="E154" s="113" t="s">
        <v>236</v>
      </c>
      <c r="F154" s="114" t="s">
        <v>15</v>
      </c>
      <c r="G154" s="115" t="s">
        <v>18</v>
      </c>
      <c r="H154" s="116">
        <v>6.86</v>
      </c>
      <c r="I154" s="125">
        <v>8.65</v>
      </c>
      <c r="J154" s="111">
        <v>1</v>
      </c>
      <c r="K154" s="117">
        <f t="shared" si="22"/>
        <v>5.9339000000000003E-2</v>
      </c>
      <c r="L154" s="118"/>
      <c r="M154" s="111"/>
      <c r="N154" s="117">
        <f t="shared" si="23"/>
        <v>0</v>
      </c>
      <c r="O154" s="119">
        <f t="shared" si="24"/>
        <v>1</v>
      </c>
      <c r="P154" s="120">
        <f t="shared" si="25"/>
        <v>5.9339000000000003E-2</v>
      </c>
    </row>
    <row r="155" spans="2:16" ht="15.6">
      <c r="B155" s="110" t="s">
        <v>238</v>
      </c>
      <c r="C155" s="111" t="s">
        <v>232</v>
      </c>
      <c r="D155" s="112" t="s">
        <v>228</v>
      </c>
      <c r="E155" s="113" t="s">
        <v>236</v>
      </c>
      <c r="F155" s="114" t="s">
        <v>15</v>
      </c>
      <c r="G155" s="115" t="s">
        <v>18</v>
      </c>
      <c r="H155" s="116">
        <v>6.86</v>
      </c>
      <c r="I155" s="125">
        <v>8.5</v>
      </c>
      <c r="J155" s="111">
        <v>3</v>
      </c>
      <c r="K155" s="117">
        <f t="shared" si="22"/>
        <v>0.17493</v>
      </c>
      <c r="L155" s="118"/>
      <c r="M155" s="111"/>
      <c r="N155" s="117">
        <f t="shared" si="23"/>
        <v>0</v>
      </c>
      <c r="O155" s="119">
        <f t="shared" si="24"/>
        <v>3</v>
      </c>
      <c r="P155" s="120">
        <f t="shared" si="25"/>
        <v>0.17493</v>
      </c>
    </row>
    <row r="156" spans="2:16" ht="15.6">
      <c r="B156" s="110" t="s">
        <v>238</v>
      </c>
      <c r="C156" s="111" t="s">
        <v>232</v>
      </c>
      <c r="D156" s="112" t="s">
        <v>228</v>
      </c>
      <c r="E156" s="113" t="s">
        <v>236</v>
      </c>
      <c r="F156" s="114" t="s">
        <v>15</v>
      </c>
      <c r="G156" s="115" t="s">
        <v>18</v>
      </c>
      <c r="H156" s="116">
        <v>6.86</v>
      </c>
      <c r="I156" s="125">
        <v>8</v>
      </c>
      <c r="J156" s="111">
        <v>1</v>
      </c>
      <c r="K156" s="117">
        <f t="shared" si="22"/>
        <v>5.4880000000000005E-2</v>
      </c>
      <c r="L156" s="118"/>
      <c r="M156" s="111"/>
      <c r="N156" s="117">
        <f t="shared" si="23"/>
        <v>0</v>
      </c>
      <c r="O156" s="119">
        <f t="shared" si="24"/>
        <v>1</v>
      </c>
      <c r="P156" s="120">
        <f t="shared" si="25"/>
        <v>5.4880000000000005E-2</v>
      </c>
    </row>
    <row r="157" spans="2:16" ht="15.6">
      <c r="B157" s="110" t="s">
        <v>238</v>
      </c>
      <c r="C157" s="111" t="s">
        <v>232</v>
      </c>
      <c r="D157" s="112" t="s">
        <v>228</v>
      </c>
      <c r="E157" s="113" t="s">
        <v>236</v>
      </c>
      <c r="F157" s="114" t="s">
        <v>15</v>
      </c>
      <c r="G157" s="115" t="s">
        <v>18</v>
      </c>
      <c r="H157" s="116">
        <v>6.86</v>
      </c>
      <c r="I157" s="125">
        <v>7</v>
      </c>
      <c r="J157" s="111">
        <v>1</v>
      </c>
      <c r="K157" s="117">
        <f t="shared" si="22"/>
        <v>4.802E-2</v>
      </c>
      <c r="L157" s="118"/>
      <c r="M157" s="111"/>
      <c r="N157" s="117">
        <f t="shared" si="23"/>
        <v>0</v>
      </c>
      <c r="O157" s="119">
        <f t="shared" si="24"/>
        <v>1</v>
      </c>
      <c r="P157" s="120">
        <f t="shared" si="25"/>
        <v>4.802E-2</v>
      </c>
    </row>
    <row r="158" spans="2:16" ht="15.6">
      <c r="B158" s="110" t="s">
        <v>238</v>
      </c>
      <c r="C158" s="111" t="s">
        <v>232</v>
      </c>
      <c r="D158" s="112" t="s">
        <v>228</v>
      </c>
      <c r="E158" s="113" t="s">
        <v>236</v>
      </c>
      <c r="F158" s="114" t="s">
        <v>15</v>
      </c>
      <c r="G158" s="115" t="s">
        <v>18</v>
      </c>
      <c r="H158" s="116">
        <v>6.86</v>
      </c>
      <c r="I158" s="125">
        <v>11.5</v>
      </c>
      <c r="J158" s="111">
        <v>1</v>
      </c>
      <c r="K158" s="117">
        <f t="shared" si="22"/>
        <v>7.8890000000000002E-2</v>
      </c>
      <c r="L158" s="118"/>
      <c r="M158" s="111">
        <v>1</v>
      </c>
      <c r="N158" s="117">
        <f t="shared" si="23"/>
        <v>7.8890000000000002E-2</v>
      </c>
      <c r="O158" s="119">
        <f t="shared" si="24"/>
        <v>0</v>
      </c>
      <c r="P158" s="120">
        <f t="shared" si="25"/>
        <v>0</v>
      </c>
    </row>
    <row r="159" spans="2:16" ht="15.6">
      <c r="B159" s="110" t="s">
        <v>238</v>
      </c>
      <c r="C159" s="111" t="s">
        <v>232</v>
      </c>
      <c r="D159" s="112" t="s">
        <v>228</v>
      </c>
      <c r="E159" s="113" t="s">
        <v>236</v>
      </c>
      <c r="F159" s="114" t="s">
        <v>15</v>
      </c>
      <c r="G159" s="115" t="s">
        <v>18</v>
      </c>
      <c r="H159" s="116">
        <v>6.86</v>
      </c>
      <c r="I159" s="125">
        <v>11.2</v>
      </c>
      <c r="J159" s="111">
        <v>3</v>
      </c>
      <c r="K159" s="117">
        <f t="shared" si="22"/>
        <v>0.23049599999999998</v>
      </c>
      <c r="L159" s="118"/>
      <c r="M159" s="111">
        <f>2+1</f>
        <v>3</v>
      </c>
      <c r="N159" s="117">
        <f t="shared" si="23"/>
        <v>0.23049599999999998</v>
      </c>
      <c r="O159" s="119">
        <f t="shared" si="24"/>
        <v>0</v>
      </c>
      <c r="P159" s="120">
        <f t="shared" si="25"/>
        <v>0</v>
      </c>
    </row>
    <row r="160" spans="2:16" ht="15.6">
      <c r="B160" s="110" t="s">
        <v>238</v>
      </c>
      <c r="C160" s="111" t="s">
        <v>232</v>
      </c>
      <c r="D160" s="112" t="s">
        <v>228</v>
      </c>
      <c r="E160" s="113" t="s">
        <v>236</v>
      </c>
      <c r="F160" s="114" t="s">
        <v>15</v>
      </c>
      <c r="G160" s="115" t="s">
        <v>18</v>
      </c>
      <c r="H160" s="116">
        <v>6.86</v>
      </c>
      <c r="I160" s="125">
        <v>11.1</v>
      </c>
      <c r="J160" s="111">
        <v>2</v>
      </c>
      <c r="K160" s="117">
        <f t="shared" si="22"/>
        <v>0.15229200000000001</v>
      </c>
      <c r="L160" s="118"/>
      <c r="M160" s="111">
        <v>2</v>
      </c>
      <c r="N160" s="117">
        <f t="shared" si="23"/>
        <v>0.15229200000000001</v>
      </c>
      <c r="O160" s="119">
        <f t="shared" si="24"/>
        <v>0</v>
      </c>
      <c r="P160" s="120">
        <f t="shared" si="25"/>
        <v>0</v>
      </c>
    </row>
    <row r="161" spans="1:16" ht="15.6">
      <c r="B161" s="110" t="s">
        <v>238</v>
      </c>
      <c r="C161" s="111" t="s">
        <v>232</v>
      </c>
      <c r="D161" s="112" t="s">
        <v>228</v>
      </c>
      <c r="E161" s="113" t="s">
        <v>236</v>
      </c>
      <c r="F161" s="114" t="s">
        <v>15</v>
      </c>
      <c r="G161" s="115" t="s">
        <v>18</v>
      </c>
      <c r="H161" s="116">
        <v>6.86</v>
      </c>
      <c r="I161" s="125">
        <v>11</v>
      </c>
      <c r="J161" s="111">
        <v>1</v>
      </c>
      <c r="K161" s="117">
        <f t="shared" si="22"/>
        <v>7.5460000000000013E-2</v>
      </c>
      <c r="L161" s="118"/>
      <c r="M161" s="111">
        <v>1</v>
      </c>
      <c r="N161" s="117">
        <f t="shared" si="23"/>
        <v>7.5460000000000013E-2</v>
      </c>
      <c r="O161" s="119">
        <f t="shared" si="24"/>
        <v>0</v>
      </c>
      <c r="P161" s="120">
        <f t="shared" si="25"/>
        <v>0</v>
      </c>
    </row>
    <row r="162" spans="1:16">
      <c r="B162" s="32"/>
      <c r="C162" s="32"/>
      <c r="D162" s="32"/>
      <c r="E162" s="32"/>
      <c r="F162" s="32"/>
      <c r="G162" s="32"/>
      <c r="H162" s="32"/>
      <c r="I162" s="32"/>
      <c r="J162" s="129">
        <f>SUM(J125:J161)</f>
        <v>1120</v>
      </c>
      <c r="K162" s="124">
        <f>SUM(K125:K161)</f>
        <v>76.720525000000038</v>
      </c>
      <c r="L162" s="32"/>
      <c r="M162" s="129">
        <f>SUM(M125:M161)</f>
        <v>1062</v>
      </c>
      <c r="N162" s="124">
        <f>SUM(N125:N161)</f>
        <v>73.151610000000034</v>
      </c>
      <c r="O162" s="131">
        <f>SUM(O125:O161)</f>
        <v>58</v>
      </c>
      <c r="P162" s="132">
        <f>SUM(P125:P161)</f>
        <v>3.5689150000000001</v>
      </c>
    </row>
    <row r="166" spans="1:16">
      <c r="A166" s="42" t="s">
        <v>77</v>
      </c>
      <c r="B166" s="3" t="s">
        <v>68</v>
      </c>
      <c r="C166" s="3">
        <v>50</v>
      </c>
      <c r="D166" s="1"/>
      <c r="E166" s="20" t="s">
        <v>17</v>
      </c>
      <c r="F166" s="7" t="s">
        <v>15</v>
      </c>
      <c r="G166" s="7" t="s">
        <v>32</v>
      </c>
      <c r="H166" s="11">
        <v>8.32</v>
      </c>
      <c r="I166" s="8">
        <v>6</v>
      </c>
      <c r="J166" s="26">
        <v>1</v>
      </c>
      <c r="K166" s="10">
        <v>4.9919999999999999E-2</v>
      </c>
      <c r="L166" s="4"/>
      <c r="M166" s="17"/>
      <c r="N166" s="18">
        <v>0</v>
      </c>
      <c r="O166" s="19">
        <v>1</v>
      </c>
      <c r="P166" s="13">
        <v>4.9919999999999999E-2</v>
      </c>
    </row>
    <row r="167" spans="1:16">
      <c r="A167" s="42" t="s">
        <v>77</v>
      </c>
      <c r="B167" s="3" t="s">
        <v>68</v>
      </c>
      <c r="C167" s="3">
        <v>319</v>
      </c>
      <c r="D167" s="1"/>
      <c r="E167" s="20" t="s">
        <v>17</v>
      </c>
      <c r="F167" s="7" t="s">
        <v>15</v>
      </c>
      <c r="G167" s="7" t="s">
        <v>32</v>
      </c>
      <c r="H167" s="11">
        <v>8.32</v>
      </c>
      <c r="I167" s="8">
        <v>11.6</v>
      </c>
      <c r="J167" s="26">
        <v>29</v>
      </c>
      <c r="K167" s="10">
        <v>2.798848</v>
      </c>
      <c r="L167" s="4"/>
      <c r="M167" s="17">
        <v>28</v>
      </c>
      <c r="N167" s="18">
        <v>2.7023360000000003</v>
      </c>
      <c r="O167" s="19">
        <v>1</v>
      </c>
      <c r="P167" s="13">
        <v>9.6512000000000001E-2</v>
      </c>
    </row>
    <row r="168" spans="1:16">
      <c r="A168" s="42" t="s">
        <v>77</v>
      </c>
      <c r="B168" s="3" t="s">
        <v>68</v>
      </c>
      <c r="C168" s="3">
        <v>398</v>
      </c>
      <c r="D168" s="1"/>
      <c r="E168" s="20" t="s">
        <v>17</v>
      </c>
      <c r="F168" s="7" t="s">
        <v>15</v>
      </c>
      <c r="G168" s="7" t="s">
        <v>32</v>
      </c>
      <c r="H168" s="11">
        <v>8.32</v>
      </c>
      <c r="I168" s="8">
        <v>6.4</v>
      </c>
      <c r="J168" s="26">
        <v>1</v>
      </c>
      <c r="K168" s="10">
        <v>5.3248000000000004E-2</v>
      </c>
      <c r="L168" s="4"/>
      <c r="M168" s="22"/>
      <c r="N168" s="18">
        <v>0</v>
      </c>
      <c r="O168" s="19">
        <v>1</v>
      </c>
      <c r="P168" s="13">
        <v>5.3248000000000004E-2</v>
      </c>
    </row>
    <row r="169" spans="1:16">
      <c r="A169" s="48" t="s">
        <v>168</v>
      </c>
      <c r="B169" s="48" t="s">
        <v>169</v>
      </c>
      <c r="C169" s="32">
        <v>12</v>
      </c>
      <c r="D169" s="32"/>
      <c r="E169" s="48" t="s">
        <v>20</v>
      </c>
      <c r="F169" s="48" t="s">
        <v>15</v>
      </c>
      <c r="G169" s="48" t="s">
        <v>32</v>
      </c>
      <c r="H169" s="11">
        <v>8.3000000000000007</v>
      </c>
      <c r="I169" s="52">
        <v>10</v>
      </c>
      <c r="J169" s="7">
        <v>2</v>
      </c>
      <c r="K169" s="10">
        <v>0.16600000000000001</v>
      </c>
      <c r="L169" s="32" t="s">
        <v>104</v>
      </c>
      <c r="M169" s="32"/>
      <c r="N169" s="18">
        <v>0</v>
      </c>
      <c r="O169" s="19">
        <v>2</v>
      </c>
      <c r="P169" s="13">
        <v>0.16600000000000001</v>
      </c>
    </row>
    <row r="170" spans="1:16">
      <c r="A170" s="48" t="s">
        <v>168</v>
      </c>
      <c r="B170" s="48" t="s">
        <v>169</v>
      </c>
      <c r="C170" s="32">
        <v>12</v>
      </c>
      <c r="D170" s="32"/>
      <c r="E170" s="48" t="s">
        <v>20</v>
      </c>
      <c r="F170" s="48" t="s">
        <v>15</v>
      </c>
      <c r="G170" s="48" t="s">
        <v>32</v>
      </c>
      <c r="H170" s="11">
        <v>8.3000000000000007</v>
      </c>
      <c r="I170" s="52">
        <v>10.1</v>
      </c>
      <c r="J170" s="7">
        <v>1</v>
      </c>
      <c r="K170" s="10">
        <v>8.3830000000000002E-2</v>
      </c>
      <c r="L170" s="32" t="s">
        <v>104</v>
      </c>
      <c r="M170" s="32"/>
      <c r="N170" s="18">
        <v>0</v>
      </c>
      <c r="O170" s="19">
        <v>1</v>
      </c>
      <c r="P170" s="13">
        <v>8.3830000000000002E-2</v>
      </c>
    </row>
    <row r="171" spans="1:16">
      <c r="A171" s="42" t="s">
        <v>78</v>
      </c>
      <c r="B171" s="3" t="s">
        <v>79</v>
      </c>
      <c r="C171" s="3">
        <v>6</v>
      </c>
      <c r="D171" s="1"/>
      <c r="E171" s="20" t="s">
        <v>17</v>
      </c>
      <c r="F171" s="7" t="s">
        <v>15</v>
      </c>
      <c r="G171" s="7" t="s">
        <v>32</v>
      </c>
      <c r="H171" s="11">
        <v>8.32</v>
      </c>
      <c r="I171" s="8">
        <v>6</v>
      </c>
      <c r="J171" s="26">
        <v>1</v>
      </c>
      <c r="K171" s="10">
        <v>4.9919999999999999E-2</v>
      </c>
      <c r="L171" s="4"/>
      <c r="M171" s="17"/>
      <c r="N171" s="18">
        <v>0</v>
      </c>
      <c r="O171" s="19">
        <v>1</v>
      </c>
      <c r="P171" s="13">
        <v>4.9919999999999999E-2</v>
      </c>
    </row>
    <row r="172" spans="1:16">
      <c r="A172" s="42" t="s">
        <v>78</v>
      </c>
      <c r="B172" s="3"/>
      <c r="C172" s="3">
        <v>6</v>
      </c>
      <c r="D172" s="1"/>
      <c r="E172" s="20" t="s">
        <v>82</v>
      </c>
      <c r="F172" s="7" t="s">
        <v>15</v>
      </c>
      <c r="G172" s="7" t="s">
        <v>32</v>
      </c>
      <c r="H172" s="11">
        <v>8.32</v>
      </c>
      <c r="I172" s="8">
        <v>6.5</v>
      </c>
      <c r="J172" s="26">
        <v>13</v>
      </c>
      <c r="K172" s="10">
        <v>0.70304</v>
      </c>
      <c r="L172" s="4"/>
      <c r="M172" s="17">
        <v>8</v>
      </c>
      <c r="N172" s="18">
        <v>0.43263999999999997</v>
      </c>
      <c r="O172" s="19">
        <v>5</v>
      </c>
      <c r="P172" s="13">
        <v>0.27040000000000003</v>
      </c>
    </row>
    <row r="173" spans="1:16">
      <c r="A173" s="42" t="s">
        <v>78</v>
      </c>
      <c r="B173" s="3"/>
      <c r="C173" s="3"/>
      <c r="D173" s="1"/>
      <c r="E173" s="20" t="s">
        <v>17</v>
      </c>
      <c r="F173" s="7" t="s">
        <v>15</v>
      </c>
      <c r="G173" s="7" t="s">
        <v>32</v>
      </c>
      <c r="H173" s="11">
        <v>8.32</v>
      </c>
      <c r="I173" s="8">
        <v>6</v>
      </c>
      <c r="J173" s="26">
        <v>1</v>
      </c>
      <c r="K173" s="10">
        <v>4.9919999999999999E-2</v>
      </c>
      <c r="L173" s="4"/>
      <c r="M173" s="17"/>
      <c r="N173" s="18">
        <v>0</v>
      </c>
      <c r="O173" s="19">
        <v>1</v>
      </c>
      <c r="P173" s="13">
        <v>4.9919999999999999E-2</v>
      </c>
    </row>
    <row r="174" spans="1:16">
      <c r="A174" s="42" t="s">
        <v>90</v>
      </c>
      <c r="B174" s="48" t="s">
        <v>148</v>
      </c>
      <c r="C174" s="32">
        <v>49</v>
      </c>
      <c r="D174" s="32"/>
      <c r="E174" s="48" t="s">
        <v>156</v>
      </c>
      <c r="F174" s="48" t="s">
        <v>15</v>
      </c>
      <c r="G174" s="48" t="s">
        <v>32</v>
      </c>
      <c r="H174" s="11">
        <v>8.3000000000000007</v>
      </c>
      <c r="I174" s="52">
        <v>7</v>
      </c>
      <c r="J174" s="7">
        <v>1</v>
      </c>
      <c r="K174" s="10">
        <v>5.8100000000000006E-2</v>
      </c>
      <c r="L174" s="32"/>
      <c r="M174" s="32"/>
      <c r="N174" s="18">
        <v>0</v>
      </c>
      <c r="O174" s="19">
        <v>1</v>
      </c>
      <c r="P174" s="13">
        <v>5.8100000000000006E-2</v>
      </c>
    </row>
    <row r="175" spans="1:16">
      <c r="A175" s="42" t="s">
        <v>90</v>
      </c>
      <c r="B175" s="48" t="s">
        <v>148</v>
      </c>
      <c r="C175" s="32">
        <v>49</v>
      </c>
      <c r="D175" s="32"/>
      <c r="E175" s="48" t="s">
        <v>156</v>
      </c>
      <c r="F175" s="48" t="s">
        <v>15</v>
      </c>
      <c r="G175" s="48" t="s">
        <v>32</v>
      </c>
      <c r="H175" s="11">
        <v>8.3000000000000007</v>
      </c>
      <c r="I175" s="52">
        <v>6.5</v>
      </c>
      <c r="J175" s="7">
        <v>1</v>
      </c>
      <c r="K175" s="10">
        <v>5.3950000000000005E-2</v>
      </c>
      <c r="L175" s="32"/>
      <c r="M175" s="32"/>
      <c r="N175" s="18">
        <v>0</v>
      </c>
      <c r="O175" s="19">
        <v>1</v>
      </c>
      <c r="P175" s="13">
        <v>5.3950000000000005E-2</v>
      </c>
    </row>
    <row r="176" spans="1:16">
      <c r="A176" s="42" t="s">
        <v>90</v>
      </c>
      <c r="B176" s="48" t="s">
        <v>148</v>
      </c>
      <c r="C176" s="32">
        <v>69</v>
      </c>
      <c r="D176" s="32"/>
      <c r="E176" s="48" t="s">
        <v>20</v>
      </c>
      <c r="F176" s="48" t="s">
        <v>15</v>
      </c>
      <c r="G176" s="48" t="s">
        <v>32</v>
      </c>
      <c r="H176" s="11">
        <v>8.3000000000000007</v>
      </c>
      <c r="I176" s="52">
        <v>5</v>
      </c>
      <c r="J176" s="7">
        <v>1</v>
      </c>
      <c r="K176" s="10">
        <v>4.1500000000000002E-2</v>
      </c>
      <c r="L176" s="32"/>
      <c r="M176" s="32"/>
      <c r="N176" s="18">
        <v>0</v>
      </c>
      <c r="O176" s="19">
        <v>1</v>
      </c>
      <c r="P176" s="13">
        <v>4.1500000000000002E-2</v>
      </c>
    </row>
    <row r="177" spans="1:16">
      <c r="A177" s="42" t="s">
        <v>90</v>
      </c>
      <c r="B177" s="48" t="s">
        <v>148</v>
      </c>
      <c r="C177" s="32">
        <v>72</v>
      </c>
      <c r="D177" s="32"/>
      <c r="E177" s="48" t="s">
        <v>20</v>
      </c>
      <c r="F177" s="48" t="s">
        <v>15</v>
      </c>
      <c r="G177" s="48" t="s">
        <v>32</v>
      </c>
      <c r="H177" s="11">
        <v>8.3000000000000007</v>
      </c>
      <c r="I177" s="52">
        <v>5.6</v>
      </c>
      <c r="J177" s="7">
        <v>1</v>
      </c>
      <c r="K177" s="10">
        <v>4.6480000000000007E-2</v>
      </c>
      <c r="L177" s="32"/>
      <c r="M177" s="32"/>
      <c r="N177" s="18">
        <v>0</v>
      </c>
      <c r="O177" s="19">
        <v>1</v>
      </c>
      <c r="P177" s="13">
        <v>4.6480000000000007E-2</v>
      </c>
    </row>
    <row r="178" spans="1:16">
      <c r="A178" s="42" t="s">
        <v>90</v>
      </c>
      <c r="B178" s="48" t="s">
        <v>148</v>
      </c>
      <c r="C178" s="32">
        <v>72</v>
      </c>
      <c r="D178" s="32"/>
      <c r="E178" s="48" t="s">
        <v>20</v>
      </c>
      <c r="F178" s="48" t="s">
        <v>15</v>
      </c>
      <c r="G178" s="48" t="s">
        <v>32</v>
      </c>
      <c r="H178" s="11">
        <v>8.3000000000000007</v>
      </c>
      <c r="I178" s="52">
        <v>6.5</v>
      </c>
      <c r="J178" s="7">
        <v>1</v>
      </c>
      <c r="K178" s="10">
        <v>5.3950000000000005E-2</v>
      </c>
      <c r="L178" s="32"/>
      <c r="M178" s="32"/>
      <c r="N178" s="18">
        <v>0</v>
      </c>
      <c r="O178" s="19">
        <v>1</v>
      </c>
      <c r="P178" s="13">
        <v>5.3950000000000005E-2</v>
      </c>
    </row>
    <row r="179" spans="1:16">
      <c r="A179" s="42" t="s">
        <v>90</v>
      </c>
      <c r="B179" s="3"/>
      <c r="C179" s="3">
        <v>220</v>
      </c>
      <c r="D179" s="1"/>
      <c r="E179" s="20" t="s">
        <v>17</v>
      </c>
      <c r="F179" s="7" t="s">
        <v>15</v>
      </c>
      <c r="G179" s="7" t="s">
        <v>32</v>
      </c>
      <c r="H179" s="11">
        <v>8.32</v>
      </c>
      <c r="I179" s="8">
        <v>10.199999999999999</v>
      </c>
      <c r="J179" s="26">
        <v>2</v>
      </c>
      <c r="K179" s="10">
        <v>0.16972799999999999</v>
      </c>
      <c r="L179" s="4"/>
      <c r="M179" s="17">
        <v>1</v>
      </c>
      <c r="N179" s="18">
        <v>8.4863999999999995E-2</v>
      </c>
      <c r="O179" s="19">
        <v>1</v>
      </c>
      <c r="P179" s="13">
        <v>8.4863999999999995E-2</v>
      </c>
    </row>
    <row r="180" spans="1:16">
      <c r="A180" s="44" t="s">
        <v>78</v>
      </c>
      <c r="B180" s="32" t="s">
        <v>80</v>
      </c>
      <c r="C180" s="3">
        <v>1</v>
      </c>
      <c r="D180" s="32"/>
      <c r="E180" s="20" t="s">
        <v>114</v>
      </c>
      <c r="F180" s="7" t="s">
        <v>15</v>
      </c>
      <c r="G180" s="7" t="s">
        <v>32</v>
      </c>
      <c r="H180" s="11">
        <v>8.3000000000000007</v>
      </c>
      <c r="I180" s="33">
        <v>6</v>
      </c>
      <c r="J180" s="40">
        <v>2</v>
      </c>
      <c r="K180" s="10">
        <v>9.9600000000000008E-2</v>
      </c>
      <c r="L180" s="4"/>
      <c r="M180" s="17"/>
      <c r="N180" s="18">
        <v>0</v>
      </c>
      <c r="O180" s="19">
        <v>2</v>
      </c>
      <c r="P180" s="13">
        <v>9.9600000000000008E-2</v>
      </c>
    </row>
    <row r="184" spans="1:16" ht="15.6">
      <c r="B184" s="110" t="s">
        <v>328</v>
      </c>
      <c r="C184" s="111" t="s">
        <v>232</v>
      </c>
      <c r="D184" s="112" t="s">
        <v>228</v>
      </c>
      <c r="E184" s="113" t="s">
        <v>17</v>
      </c>
      <c r="F184" s="114" t="s">
        <v>15</v>
      </c>
      <c r="G184" s="115" t="s">
        <v>32</v>
      </c>
      <c r="H184" s="116">
        <v>8.32</v>
      </c>
      <c r="I184" s="125">
        <v>9</v>
      </c>
      <c r="J184" s="111">
        <v>2</v>
      </c>
      <c r="K184" s="117">
        <f t="shared" ref="K184:K193" si="26">I184*H184*J184/1000</f>
        <v>0.14976</v>
      </c>
      <c r="L184" s="118"/>
      <c r="M184" s="111"/>
      <c r="N184" s="117">
        <f t="shared" ref="N184:N192" si="27">I184*M184*H184/1000</f>
        <v>0</v>
      </c>
      <c r="O184" s="119">
        <f t="shared" ref="O184:O192" si="28">J184-M184</f>
        <v>2</v>
      </c>
      <c r="P184" s="120">
        <f t="shared" ref="P184:P193" si="29">I184*O184*H184/1000</f>
        <v>0.14976</v>
      </c>
    </row>
    <row r="185" spans="1:16" ht="15.6">
      <c r="B185" s="110" t="s">
        <v>328</v>
      </c>
      <c r="C185" s="111" t="s">
        <v>232</v>
      </c>
      <c r="D185" s="112" t="s">
        <v>228</v>
      </c>
      <c r="E185" s="113" t="s">
        <v>17</v>
      </c>
      <c r="F185" s="114" t="s">
        <v>15</v>
      </c>
      <c r="G185" s="115" t="s">
        <v>32</v>
      </c>
      <c r="H185" s="116">
        <v>8.32</v>
      </c>
      <c r="I185" s="125">
        <v>7.5</v>
      </c>
      <c r="J185" s="111">
        <v>1</v>
      </c>
      <c r="K185" s="117">
        <f t="shared" si="26"/>
        <v>6.2400000000000004E-2</v>
      </c>
      <c r="L185" s="118"/>
      <c r="M185" s="111"/>
      <c r="N185" s="117">
        <f t="shared" si="27"/>
        <v>0</v>
      </c>
      <c r="O185" s="119">
        <f t="shared" si="28"/>
        <v>1</v>
      </c>
      <c r="P185" s="120">
        <f t="shared" si="29"/>
        <v>6.2400000000000004E-2</v>
      </c>
    </row>
    <row r="186" spans="1:16" ht="15.6">
      <c r="B186" s="110" t="s">
        <v>328</v>
      </c>
      <c r="C186" s="111" t="s">
        <v>232</v>
      </c>
      <c r="D186" s="112" t="s">
        <v>228</v>
      </c>
      <c r="E186" s="113" t="s">
        <v>17</v>
      </c>
      <c r="F186" s="114" t="s">
        <v>15</v>
      </c>
      <c r="G186" s="115" t="s">
        <v>32</v>
      </c>
      <c r="H186" s="116">
        <v>8.32</v>
      </c>
      <c r="I186" s="125">
        <v>6.3</v>
      </c>
      <c r="J186" s="111">
        <v>1</v>
      </c>
      <c r="K186" s="117">
        <f t="shared" si="26"/>
        <v>5.2415999999999997E-2</v>
      </c>
      <c r="L186" s="118"/>
      <c r="M186" s="111"/>
      <c r="N186" s="117">
        <f t="shared" si="27"/>
        <v>0</v>
      </c>
      <c r="O186" s="119">
        <f t="shared" si="28"/>
        <v>1</v>
      </c>
      <c r="P186" s="120">
        <f t="shared" si="29"/>
        <v>5.2415999999999997E-2</v>
      </c>
    </row>
    <row r="187" spans="1:16" ht="15.6">
      <c r="B187" s="110" t="s">
        <v>328</v>
      </c>
      <c r="C187" s="111" t="s">
        <v>232</v>
      </c>
      <c r="D187" s="112" t="s">
        <v>228</v>
      </c>
      <c r="E187" s="113" t="s">
        <v>17</v>
      </c>
      <c r="F187" s="114" t="s">
        <v>15</v>
      </c>
      <c r="G187" s="115" t="s">
        <v>32</v>
      </c>
      <c r="H187" s="116">
        <v>8.32</v>
      </c>
      <c r="I187" s="125">
        <v>6</v>
      </c>
      <c r="J187" s="111">
        <v>1</v>
      </c>
      <c r="K187" s="117">
        <f t="shared" si="26"/>
        <v>4.9919999999999999E-2</v>
      </c>
      <c r="L187" s="118"/>
      <c r="M187" s="111"/>
      <c r="N187" s="117">
        <f t="shared" si="27"/>
        <v>0</v>
      </c>
      <c r="O187" s="119">
        <f t="shared" si="28"/>
        <v>1</v>
      </c>
      <c r="P187" s="120">
        <f t="shared" si="29"/>
        <v>4.9919999999999999E-2</v>
      </c>
    </row>
    <row r="188" spans="1:16" ht="15.6">
      <c r="B188" s="110" t="s">
        <v>328</v>
      </c>
      <c r="C188" s="111" t="s">
        <v>232</v>
      </c>
      <c r="D188" s="112" t="s">
        <v>228</v>
      </c>
      <c r="E188" s="113" t="s">
        <v>17</v>
      </c>
      <c r="F188" s="114" t="s">
        <v>15</v>
      </c>
      <c r="G188" s="115" t="s">
        <v>32</v>
      </c>
      <c r="H188" s="116">
        <v>8.32</v>
      </c>
      <c r="I188" s="125">
        <v>7.2</v>
      </c>
      <c r="J188" s="111">
        <v>1</v>
      </c>
      <c r="K188" s="117">
        <f t="shared" si="26"/>
        <v>5.9904000000000006E-2</v>
      </c>
      <c r="L188" s="118"/>
      <c r="M188" s="111">
        <v>1</v>
      </c>
      <c r="N188" s="117">
        <f t="shared" si="27"/>
        <v>5.9904000000000006E-2</v>
      </c>
      <c r="O188" s="119">
        <f t="shared" si="28"/>
        <v>0</v>
      </c>
      <c r="P188" s="120">
        <f t="shared" si="29"/>
        <v>0</v>
      </c>
    </row>
    <row r="189" spans="1:16" ht="15.6">
      <c r="B189" s="110" t="s">
        <v>328</v>
      </c>
      <c r="C189" s="111" t="s">
        <v>232</v>
      </c>
      <c r="D189" s="112" t="s">
        <v>228</v>
      </c>
      <c r="E189" s="113" t="s">
        <v>17</v>
      </c>
      <c r="F189" s="114" t="s">
        <v>15</v>
      </c>
      <c r="G189" s="115" t="s">
        <v>32</v>
      </c>
      <c r="H189" s="116">
        <v>8.32</v>
      </c>
      <c r="I189" s="125">
        <v>6.6</v>
      </c>
      <c r="J189" s="111">
        <v>2</v>
      </c>
      <c r="K189" s="117">
        <f t="shared" si="26"/>
        <v>0.109824</v>
      </c>
      <c r="L189" s="118"/>
      <c r="M189" s="111"/>
      <c r="N189" s="117">
        <f t="shared" si="27"/>
        <v>0</v>
      </c>
      <c r="O189" s="119">
        <f t="shared" si="28"/>
        <v>2</v>
      </c>
      <c r="P189" s="120">
        <f t="shared" si="29"/>
        <v>0.109824</v>
      </c>
    </row>
    <row r="190" spans="1:16" ht="15.6">
      <c r="B190" s="110" t="s">
        <v>328</v>
      </c>
      <c r="C190" s="111" t="s">
        <v>232</v>
      </c>
      <c r="D190" s="112" t="s">
        <v>228</v>
      </c>
      <c r="E190" s="113" t="s">
        <v>17</v>
      </c>
      <c r="F190" s="114" t="s">
        <v>15</v>
      </c>
      <c r="G190" s="115" t="s">
        <v>32</v>
      </c>
      <c r="H190" s="116">
        <v>8.32</v>
      </c>
      <c r="I190" s="125">
        <v>7.9</v>
      </c>
      <c r="J190" s="111">
        <v>1</v>
      </c>
      <c r="K190" s="117">
        <f t="shared" si="26"/>
        <v>6.5728000000000009E-2</v>
      </c>
      <c r="L190" s="118"/>
      <c r="M190" s="111"/>
      <c r="N190" s="117">
        <f t="shared" si="27"/>
        <v>0</v>
      </c>
      <c r="O190" s="119">
        <f t="shared" si="28"/>
        <v>1</v>
      </c>
      <c r="P190" s="120">
        <f t="shared" si="29"/>
        <v>6.5728000000000009E-2</v>
      </c>
    </row>
    <row r="191" spans="1:16" ht="15.6">
      <c r="B191" s="110" t="s">
        <v>328</v>
      </c>
      <c r="C191" s="111" t="s">
        <v>232</v>
      </c>
      <c r="D191" s="112" t="s">
        <v>228</v>
      </c>
      <c r="E191" s="113" t="s">
        <v>17</v>
      </c>
      <c r="F191" s="114" t="s">
        <v>15</v>
      </c>
      <c r="G191" s="115" t="s">
        <v>32</v>
      </c>
      <c r="H191" s="116">
        <v>8.32</v>
      </c>
      <c r="I191" s="125">
        <v>7.6</v>
      </c>
      <c r="J191" s="111">
        <v>2</v>
      </c>
      <c r="K191" s="117">
        <f t="shared" si="26"/>
        <v>0.12646399999999999</v>
      </c>
      <c r="L191" s="118"/>
      <c r="M191" s="111"/>
      <c r="N191" s="117">
        <f t="shared" si="27"/>
        <v>0</v>
      </c>
      <c r="O191" s="119">
        <f t="shared" si="28"/>
        <v>2</v>
      </c>
      <c r="P191" s="120">
        <f t="shared" si="29"/>
        <v>0.12646399999999999</v>
      </c>
    </row>
    <row r="192" spans="1:16" ht="15.6">
      <c r="B192" s="110" t="s">
        <v>328</v>
      </c>
      <c r="C192" s="111" t="s">
        <v>232</v>
      </c>
      <c r="D192" s="112" t="s">
        <v>228</v>
      </c>
      <c r="E192" s="113" t="s">
        <v>17</v>
      </c>
      <c r="F192" s="114" t="s">
        <v>15</v>
      </c>
      <c r="G192" s="115" t="s">
        <v>32</v>
      </c>
      <c r="H192" s="116">
        <v>8.32</v>
      </c>
      <c r="I192" s="126">
        <v>11.7</v>
      </c>
      <c r="J192" s="213">
        <f>24+24+11</f>
        <v>59</v>
      </c>
      <c r="K192" s="117">
        <f t="shared" si="26"/>
        <v>5.7432959999999991</v>
      </c>
      <c r="L192" s="118"/>
      <c r="M192" s="111">
        <f>53+2</f>
        <v>55</v>
      </c>
      <c r="N192" s="117">
        <f t="shared" si="27"/>
        <v>5.3539200000000005</v>
      </c>
      <c r="O192" s="119">
        <f t="shared" si="28"/>
        <v>4</v>
      </c>
      <c r="P192" s="120">
        <f t="shared" si="29"/>
        <v>0.389376</v>
      </c>
    </row>
    <row r="193" spans="2:16" ht="15.6">
      <c r="B193" s="110" t="s">
        <v>328</v>
      </c>
      <c r="C193" s="111" t="s">
        <v>232</v>
      </c>
      <c r="D193" s="112" t="s">
        <v>228</v>
      </c>
      <c r="E193" s="113" t="s">
        <v>17</v>
      </c>
      <c r="F193" s="114" t="s">
        <v>15</v>
      </c>
      <c r="G193" s="115" t="s">
        <v>32</v>
      </c>
      <c r="H193" s="116">
        <v>8.32</v>
      </c>
      <c r="I193" s="126">
        <v>12</v>
      </c>
      <c r="J193" s="213">
        <f>33+31+32+30+30+30+30+30+30+23+12</f>
        <v>311</v>
      </c>
      <c r="K193" s="117">
        <f t="shared" si="26"/>
        <v>31.050240000000002</v>
      </c>
      <c r="L193" s="118"/>
      <c r="M193" s="111">
        <f>280+17+1</f>
        <v>298</v>
      </c>
      <c r="N193" s="117">
        <f>I193*M193*H193/1000</f>
        <v>29.752320000000001</v>
      </c>
      <c r="O193" s="119">
        <f>J193-M193</f>
        <v>13</v>
      </c>
      <c r="P193" s="120">
        <f t="shared" si="29"/>
        <v>1.29792</v>
      </c>
    </row>
    <row r="197" spans="2:16" ht="15.6">
      <c r="B197" s="110" t="s">
        <v>324</v>
      </c>
      <c r="C197" s="111" t="s">
        <v>232</v>
      </c>
      <c r="D197" s="112" t="s">
        <v>228</v>
      </c>
      <c r="E197" s="113" t="s">
        <v>326</v>
      </c>
      <c r="F197" s="216" t="s">
        <v>14</v>
      </c>
      <c r="G197" s="216" t="s">
        <v>30</v>
      </c>
      <c r="H197" s="217">
        <v>9.26</v>
      </c>
      <c r="I197" s="218">
        <v>6.2</v>
      </c>
      <c r="J197" s="219">
        <v>1</v>
      </c>
      <c r="K197" s="220">
        <f t="shared" ref="K197:K204" si="30">(H197*I197*J197/1000)</f>
        <v>5.7411999999999998E-2</v>
      </c>
      <c r="L197" s="118"/>
      <c r="M197" s="111"/>
      <c r="N197" s="117">
        <f t="shared" ref="N197:N204" si="31">I197*M197*H197/1000</f>
        <v>0</v>
      </c>
      <c r="O197" s="119">
        <f t="shared" ref="O197:O204" si="32">J197-M197</f>
        <v>1</v>
      </c>
      <c r="P197" s="120">
        <f t="shared" ref="P197:P204" si="33">I197*O197*H197/1000</f>
        <v>5.7411999999999998E-2</v>
      </c>
    </row>
    <row r="198" spans="2:16" ht="15.6">
      <c r="B198" s="110" t="s">
        <v>324</v>
      </c>
      <c r="C198" s="111" t="s">
        <v>232</v>
      </c>
      <c r="D198" s="112" t="s">
        <v>228</v>
      </c>
      <c r="E198" s="113" t="s">
        <v>326</v>
      </c>
      <c r="F198" s="216" t="s">
        <v>14</v>
      </c>
      <c r="G198" s="216" t="s">
        <v>30</v>
      </c>
      <c r="H198" s="217">
        <v>9.26</v>
      </c>
      <c r="I198" s="218">
        <v>7.4</v>
      </c>
      <c r="J198" s="219">
        <v>3</v>
      </c>
      <c r="K198" s="220">
        <f t="shared" si="30"/>
        <v>0.205572</v>
      </c>
      <c r="L198" s="118"/>
      <c r="M198" s="111">
        <v>3</v>
      </c>
      <c r="N198" s="117">
        <f t="shared" si="31"/>
        <v>0.20557200000000003</v>
      </c>
      <c r="O198" s="119">
        <f t="shared" si="32"/>
        <v>0</v>
      </c>
      <c r="P198" s="120">
        <f t="shared" si="33"/>
        <v>0</v>
      </c>
    </row>
    <row r="199" spans="2:16" ht="15.6">
      <c r="B199" s="110" t="s">
        <v>324</v>
      </c>
      <c r="C199" s="111" t="s">
        <v>232</v>
      </c>
      <c r="D199" s="112" t="s">
        <v>228</v>
      </c>
      <c r="E199" s="113" t="s">
        <v>326</v>
      </c>
      <c r="F199" s="216" t="s">
        <v>14</v>
      </c>
      <c r="G199" s="216" t="s">
        <v>30</v>
      </c>
      <c r="H199" s="217">
        <v>9.26</v>
      </c>
      <c r="I199" s="218">
        <v>7.6</v>
      </c>
      <c r="J199" s="219">
        <v>1</v>
      </c>
      <c r="K199" s="220">
        <f t="shared" si="30"/>
        <v>7.0375999999999994E-2</v>
      </c>
      <c r="L199" s="118"/>
      <c r="M199" s="111">
        <v>1</v>
      </c>
      <c r="N199" s="117">
        <f t="shared" si="31"/>
        <v>7.0375999999999994E-2</v>
      </c>
      <c r="O199" s="119">
        <f t="shared" si="32"/>
        <v>0</v>
      </c>
      <c r="P199" s="120">
        <f t="shared" si="33"/>
        <v>0</v>
      </c>
    </row>
    <row r="200" spans="2:16" ht="15.6">
      <c r="B200" s="110" t="s">
        <v>324</v>
      </c>
      <c r="C200" s="111" t="s">
        <v>232</v>
      </c>
      <c r="D200" s="112" t="s">
        <v>228</v>
      </c>
      <c r="E200" s="113" t="s">
        <v>326</v>
      </c>
      <c r="F200" s="216" t="s">
        <v>14</v>
      </c>
      <c r="G200" s="216" t="s">
        <v>30</v>
      </c>
      <c r="H200" s="217">
        <v>9.26</v>
      </c>
      <c r="I200" s="218">
        <v>8</v>
      </c>
      <c r="J200" s="219">
        <v>1</v>
      </c>
      <c r="K200" s="220">
        <f t="shared" si="30"/>
        <v>7.4079999999999993E-2</v>
      </c>
      <c r="L200" s="118"/>
      <c r="M200" s="111">
        <v>1</v>
      </c>
      <c r="N200" s="117">
        <f t="shared" si="31"/>
        <v>7.4079999999999993E-2</v>
      </c>
      <c r="O200" s="119">
        <f t="shared" si="32"/>
        <v>0</v>
      </c>
      <c r="P200" s="120">
        <f t="shared" si="33"/>
        <v>0</v>
      </c>
    </row>
    <row r="201" spans="2:16" ht="15.6">
      <c r="B201" s="110" t="s">
        <v>324</v>
      </c>
      <c r="C201" s="111" t="s">
        <v>232</v>
      </c>
      <c r="D201" s="112" t="s">
        <v>228</v>
      </c>
      <c r="E201" s="113" t="s">
        <v>326</v>
      </c>
      <c r="F201" s="216" t="s">
        <v>14</v>
      </c>
      <c r="G201" s="216" t="s">
        <v>30</v>
      </c>
      <c r="H201" s="217">
        <v>9.26</v>
      </c>
      <c r="I201" s="218">
        <v>8.5</v>
      </c>
      <c r="J201" s="219">
        <v>1</v>
      </c>
      <c r="K201" s="220">
        <f t="shared" si="30"/>
        <v>7.8709999999999988E-2</v>
      </c>
      <c r="L201" s="118"/>
      <c r="M201" s="111">
        <v>1</v>
      </c>
      <c r="N201" s="117">
        <f t="shared" si="31"/>
        <v>7.8709999999999988E-2</v>
      </c>
      <c r="O201" s="119">
        <f t="shared" si="32"/>
        <v>0</v>
      </c>
      <c r="P201" s="120">
        <f t="shared" si="33"/>
        <v>0</v>
      </c>
    </row>
    <row r="202" spans="2:16" ht="15.6">
      <c r="B202" s="110" t="s">
        <v>324</v>
      </c>
      <c r="C202" s="111" t="s">
        <v>232</v>
      </c>
      <c r="D202" s="112" t="s">
        <v>228</v>
      </c>
      <c r="E202" s="113" t="s">
        <v>326</v>
      </c>
      <c r="F202" s="216" t="s">
        <v>14</v>
      </c>
      <c r="G202" s="216" t="s">
        <v>30</v>
      </c>
      <c r="H202" s="217">
        <v>9.26</v>
      </c>
      <c r="I202" s="218">
        <v>5.9</v>
      </c>
      <c r="J202" s="219">
        <v>1</v>
      </c>
      <c r="K202" s="220">
        <f t="shared" si="30"/>
        <v>5.4634000000000002E-2</v>
      </c>
      <c r="L202" s="118"/>
      <c r="M202" s="111"/>
      <c r="N202" s="117">
        <f t="shared" si="31"/>
        <v>0</v>
      </c>
      <c r="O202" s="119">
        <f t="shared" si="32"/>
        <v>1</v>
      </c>
      <c r="P202" s="120">
        <f t="shared" si="33"/>
        <v>5.4634000000000002E-2</v>
      </c>
    </row>
    <row r="203" spans="2:16" ht="15.6">
      <c r="B203" s="110" t="s">
        <v>324</v>
      </c>
      <c r="C203" s="111" t="s">
        <v>232</v>
      </c>
      <c r="D203" s="112" t="s">
        <v>228</v>
      </c>
      <c r="E203" s="113" t="s">
        <v>326</v>
      </c>
      <c r="F203" s="216" t="s">
        <v>14</v>
      </c>
      <c r="G203" s="216" t="s">
        <v>30</v>
      </c>
      <c r="H203" s="217">
        <v>9.26</v>
      </c>
      <c r="I203" s="218">
        <v>6</v>
      </c>
      <c r="J203" s="219">
        <v>1</v>
      </c>
      <c r="K203" s="220">
        <f t="shared" si="30"/>
        <v>5.5560000000000005E-2</v>
      </c>
      <c r="L203" s="118"/>
      <c r="M203" s="111"/>
      <c r="N203" s="117">
        <f t="shared" si="31"/>
        <v>0</v>
      </c>
      <c r="O203" s="119">
        <f t="shared" si="32"/>
        <v>1</v>
      </c>
      <c r="P203" s="120">
        <f t="shared" si="33"/>
        <v>5.5560000000000005E-2</v>
      </c>
    </row>
    <row r="204" spans="2:16" ht="15.6">
      <c r="B204" s="110" t="s">
        <v>324</v>
      </c>
      <c r="C204" s="111" t="s">
        <v>232</v>
      </c>
      <c r="D204" s="112" t="s">
        <v>228</v>
      </c>
      <c r="E204" s="113" t="s">
        <v>326</v>
      </c>
      <c r="F204" s="216" t="s">
        <v>14</v>
      </c>
      <c r="G204" s="216" t="s">
        <v>30</v>
      </c>
      <c r="H204" s="217">
        <v>9.26</v>
      </c>
      <c r="I204" s="218">
        <v>6.1</v>
      </c>
      <c r="J204" s="219">
        <v>3</v>
      </c>
      <c r="K204" s="220">
        <f t="shared" si="30"/>
        <v>0.169458</v>
      </c>
      <c r="L204" s="118"/>
      <c r="M204" s="111"/>
      <c r="N204" s="117">
        <f t="shared" si="31"/>
        <v>0</v>
      </c>
      <c r="O204" s="119">
        <f t="shared" si="32"/>
        <v>3</v>
      </c>
      <c r="P204" s="120">
        <f t="shared" si="33"/>
        <v>0.16945799999999997</v>
      </c>
    </row>
    <row r="206" spans="2:16" ht="15.6">
      <c r="B206" s="110" t="s">
        <v>324</v>
      </c>
      <c r="C206" s="111" t="s">
        <v>232</v>
      </c>
      <c r="D206" s="112" t="s">
        <v>228</v>
      </c>
      <c r="E206" s="113" t="s">
        <v>24</v>
      </c>
      <c r="F206" s="216" t="s">
        <v>14</v>
      </c>
      <c r="G206" s="216" t="s">
        <v>30</v>
      </c>
      <c r="H206" s="217">
        <v>9.26</v>
      </c>
      <c r="I206" s="218">
        <v>12</v>
      </c>
      <c r="J206" s="219">
        <v>2</v>
      </c>
      <c r="K206" s="220">
        <f t="shared" ref="K206:K209" si="34">(H206*I206*J206/1000)</f>
        <v>0.22224000000000002</v>
      </c>
      <c r="L206" s="118"/>
      <c r="M206" s="111">
        <v>1</v>
      </c>
      <c r="N206" s="117">
        <f t="shared" ref="N206:N209" si="35">I206*M206*H206/1000</f>
        <v>0.11112000000000001</v>
      </c>
      <c r="O206" s="119">
        <f t="shared" ref="O206:O209" si="36">J206-M206</f>
        <v>1</v>
      </c>
      <c r="P206" s="120">
        <f t="shared" ref="P206:P209" si="37">I206*O206*H206/1000</f>
        <v>0.11112000000000001</v>
      </c>
    </row>
    <row r="207" spans="2:16" ht="15.6">
      <c r="B207" s="110" t="s">
        <v>324</v>
      </c>
      <c r="C207" s="111" t="s">
        <v>232</v>
      </c>
      <c r="D207" s="112" t="s">
        <v>228</v>
      </c>
      <c r="E207" s="113" t="s">
        <v>24</v>
      </c>
      <c r="F207" s="216" t="s">
        <v>14</v>
      </c>
      <c r="G207" s="216" t="s">
        <v>30</v>
      </c>
      <c r="H207" s="217">
        <v>9.26</v>
      </c>
      <c r="I207" s="218">
        <v>7.5</v>
      </c>
      <c r="J207" s="219">
        <v>2</v>
      </c>
      <c r="K207" s="220">
        <f t="shared" si="34"/>
        <v>0.1389</v>
      </c>
      <c r="L207" s="118"/>
      <c r="M207" s="111"/>
      <c r="N207" s="117">
        <f t="shared" si="35"/>
        <v>0</v>
      </c>
      <c r="O207" s="119">
        <f t="shared" si="36"/>
        <v>2</v>
      </c>
      <c r="P207" s="120">
        <f t="shared" si="37"/>
        <v>0.1389</v>
      </c>
    </row>
    <row r="208" spans="2:16" ht="15.6">
      <c r="B208" s="110" t="s">
        <v>324</v>
      </c>
      <c r="C208" s="111" t="s">
        <v>232</v>
      </c>
      <c r="D208" s="112" t="s">
        <v>228</v>
      </c>
      <c r="E208" s="113" t="s">
        <v>24</v>
      </c>
      <c r="F208" s="216" t="s">
        <v>14</v>
      </c>
      <c r="G208" s="216" t="s">
        <v>30</v>
      </c>
      <c r="H208" s="217">
        <v>9.26</v>
      </c>
      <c r="I208" s="218">
        <v>6.6</v>
      </c>
      <c r="J208" s="219">
        <v>1</v>
      </c>
      <c r="K208" s="220">
        <f t="shared" si="34"/>
        <v>6.111599999999999E-2</v>
      </c>
      <c r="L208" s="118"/>
      <c r="M208" s="111"/>
      <c r="N208" s="117">
        <f t="shared" si="35"/>
        <v>0</v>
      </c>
      <c r="O208" s="119">
        <f t="shared" si="36"/>
        <v>1</v>
      </c>
      <c r="P208" s="120">
        <f t="shared" si="37"/>
        <v>6.111599999999999E-2</v>
      </c>
    </row>
    <row r="209" spans="1:16" ht="15.6">
      <c r="B209" s="110" t="s">
        <v>324</v>
      </c>
      <c r="C209" s="111" t="s">
        <v>232</v>
      </c>
      <c r="D209" s="112" t="s">
        <v>228</v>
      </c>
      <c r="E209" s="113" t="s">
        <v>24</v>
      </c>
      <c r="F209" s="216" t="s">
        <v>14</v>
      </c>
      <c r="G209" s="216" t="s">
        <v>30</v>
      </c>
      <c r="H209" s="217">
        <v>9.26</v>
      </c>
      <c r="I209" s="218">
        <v>6.8</v>
      </c>
      <c r="J209" s="219">
        <v>1</v>
      </c>
      <c r="K209" s="220">
        <f t="shared" si="34"/>
        <v>6.2967999999999996E-2</v>
      </c>
      <c r="L209" s="118"/>
      <c r="M209" s="111"/>
      <c r="N209" s="117">
        <f t="shared" si="35"/>
        <v>0</v>
      </c>
      <c r="O209" s="119">
        <f t="shared" si="36"/>
        <v>1</v>
      </c>
      <c r="P209" s="120">
        <f t="shared" si="37"/>
        <v>6.2967999999999996E-2</v>
      </c>
    </row>
    <row r="213" spans="1:16">
      <c r="A213" s="42" t="s">
        <v>77</v>
      </c>
      <c r="B213" s="3" t="s">
        <v>68</v>
      </c>
      <c r="C213" s="3">
        <v>11</v>
      </c>
      <c r="D213" s="1"/>
      <c r="E213" s="20" t="s">
        <v>24</v>
      </c>
      <c r="F213" s="7" t="s">
        <v>14</v>
      </c>
      <c r="G213" s="7" t="s">
        <v>28</v>
      </c>
      <c r="H213" s="11">
        <v>12.18</v>
      </c>
      <c r="I213" s="8">
        <v>5.5</v>
      </c>
      <c r="J213" s="26">
        <v>1</v>
      </c>
      <c r="K213" s="10">
        <v>6.6989999999999994E-2</v>
      </c>
      <c r="L213" s="4"/>
      <c r="M213" s="17"/>
      <c r="N213" s="18">
        <v>0</v>
      </c>
      <c r="O213" s="19">
        <v>1</v>
      </c>
      <c r="P213" s="13">
        <v>6.6989999999999994E-2</v>
      </c>
    </row>
    <row r="214" spans="1:16">
      <c r="A214" s="42" t="s">
        <v>77</v>
      </c>
      <c r="B214" s="3" t="s">
        <v>68</v>
      </c>
      <c r="C214" s="3">
        <v>11</v>
      </c>
      <c r="D214" s="1"/>
      <c r="E214" s="20" t="s">
        <v>24</v>
      </c>
      <c r="F214" s="7" t="s">
        <v>14</v>
      </c>
      <c r="G214" s="7" t="s">
        <v>28</v>
      </c>
      <c r="H214" s="11">
        <v>12.18</v>
      </c>
      <c r="I214" s="8">
        <v>6</v>
      </c>
      <c r="J214" s="26">
        <v>1</v>
      </c>
      <c r="K214" s="10">
        <v>7.3079999999999992E-2</v>
      </c>
      <c r="L214" s="4"/>
      <c r="M214" s="17"/>
      <c r="N214" s="18">
        <v>0</v>
      </c>
      <c r="O214" s="19">
        <v>1</v>
      </c>
      <c r="P214" s="13">
        <v>7.3079999999999992E-2</v>
      </c>
    </row>
    <row r="215" spans="1:16">
      <c r="A215" s="42" t="s">
        <v>77</v>
      </c>
      <c r="B215" s="3" t="s">
        <v>68</v>
      </c>
      <c r="C215" s="3">
        <v>11</v>
      </c>
      <c r="D215" s="1"/>
      <c r="E215" s="20" t="s">
        <v>24</v>
      </c>
      <c r="F215" s="7" t="s">
        <v>14</v>
      </c>
      <c r="G215" s="7" t="s">
        <v>28</v>
      </c>
      <c r="H215" s="11">
        <v>12.18</v>
      </c>
      <c r="I215" s="8">
        <v>6.3</v>
      </c>
      <c r="J215" s="26">
        <v>2</v>
      </c>
      <c r="K215" s="10">
        <v>0.15346799999999999</v>
      </c>
      <c r="L215" s="4"/>
      <c r="M215" s="17"/>
      <c r="N215" s="18">
        <v>0</v>
      </c>
      <c r="O215" s="19">
        <v>2</v>
      </c>
      <c r="P215" s="13">
        <v>0.15346799999999999</v>
      </c>
    </row>
    <row r="216" spans="1:16">
      <c r="A216" s="42" t="s">
        <v>77</v>
      </c>
      <c r="B216" s="3" t="s">
        <v>68</v>
      </c>
      <c r="C216" s="3">
        <v>11</v>
      </c>
      <c r="D216" s="1"/>
      <c r="E216" s="20" t="s">
        <v>24</v>
      </c>
      <c r="F216" s="7" t="s">
        <v>14</v>
      </c>
      <c r="G216" s="7" t="s">
        <v>28</v>
      </c>
      <c r="H216" s="11">
        <v>12.18</v>
      </c>
      <c r="I216" s="8">
        <v>6.4</v>
      </c>
      <c r="J216" s="26">
        <v>1</v>
      </c>
      <c r="K216" s="10">
        <v>7.7951999999999994E-2</v>
      </c>
      <c r="L216" s="4"/>
      <c r="M216" s="17"/>
      <c r="N216" s="18">
        <v>0</v>
      </c>
      <c r="O216" s="19">
        <v>1</v>
      </c>
      <c r="P216" s="13">
        <v>7.7951999999999994E-2</v>
      </c>
    </row>
    <row r="217" spans="1:16">
      <c r="A217" s="42" t="s">
        <v>78</v>
      </c>
      <c r="B217" s="3" t="s">
        <v>79</v>
      </c>
      <c r="C217" s="3">
        <v>10</v>
      </c>
      <c r="D217" s="1"/>
      <c r="E217" s="20" t="s">
        <v>19</v>
      </c>
      <c r="F217" s="7" t="s">
        <v>14</v>
      </c>
      <c r="G217" s="7" t="s">
        <v>28</v>
      </c>
      <c r="H217" s="11">
        <v>12.18</v>
      </c>
      <c r="I217" s="8">
        <v>12</v>
      </c>
      <c r="J217" s="26">
        <v>2</v>
      </c>
      <c r="K217" s="10">
        <v>0.29231999999999997</v>
      </c>
      <c r="L217" s="4"/>
      <c r="M217" s="17"/>
      <c r="N217" s="18">
        <v>0</v>
      </c>
      <c r="O217" s="19">
        <v>2</v>
      </c>
      <c r="P217" s="13">
        <v>0.29231999999999997</v>
      </c>
    </row>
    <row r="218" spans="1:16">
      <c r="A218" s="42" t="s">
        <v>78</v>
      </c>
      <c r="B218" s="3"/>
      <c r="C218" s="3">
        <v>8</v>
      </c>
      <c r="D218" s="1"/>
      <c r="E218" s="20" t="s">
        <v>19</v>
      </c>
      <c r="F218" s="7" t="s">
        <v>14</v>
      </c>
      <c r="G218" s="7" t="s">
        <v>28</v>
      </c>
      <c r="H218" s="11">
        <v>12.18</v>
      </c>
      <c r="I218" s="8">
        <v>7.1</v>
      </c>
      <c r="J218" s="26">
        <v>1</v>
      </c>
      <c r="K218" s="10">
        <v>8.6477999999999999E-2</v>
      </c>
      <c r="L218" s="4"/>
      <c r="M218" s="17"/>
      <c r="N218" s="18">
        <v>0</v>
      </c>
      <c r="O218" s="19">
        <v>1</v>
      </c>
      <c r="P218" s="13">
        <v>8.6477999999999999E-2</v>
      </c>
    </row>
    <row r="219" spans="1:16">
      <c r="A219" s="42" t="s">
        <v>78</v>
      </c>
      <c r="B219" s="3"/>
      <c r="C219" s="3">
        <v>8</v>
      </c>
      <c r="D219" s="1"/>
      <c r="E219" s="20" t="s">
        <v>19</v>
      </c>
      <c r="F219" s="7" t="s">
        <v>14</v>
      </c>
      <c r="G219" s="7" t="s">
        <v>28</v>
      </c>
      <c r="H219" s="11">
        <v>12.18</v>
      </c>
      <c r="I219" s="8">
        <v>7.9</v>
      </c>
      <c r="J219" s="26">
        <v>1</v>
      </c>
      <c r="K219" s="10">
        <v>9.6222000000000002E-2</v>
      </c>
      <c r="L219" s="4"/>
      <c r="M219" s="17"/>
      <c r="N219" s="18">
        <v>0</v>
      </c>
      <c r="O219" s="19">
        <v>1</v>
      </c>
      <c r="P219" s="13">
        <v>9.6222000000000002E-2</v>
      </c>
    </row>
    <row r="220" spans="1:16">
      <c r="A220" s="42" t="s">
        <v>78</v>
      </c>
      <c r="B220" s="3"/>
      <c r="C220" s="3">
        <v>8</v>
      </c>
      <c r="D220" s="1"/>
      <c r="E220" s="20" t="s">
        <v>24</v>
      </c>
      <c r="F220" s="7" t="s">
        <v>14</v>
      </c>
      <c r="G220" s="7" t="s">
        <v>28</v>
      </c>
      <c r="H220" s="11">
        <v>12.18</v>
      </c>
      <c r="I220" s="8">
        <v>11.5</v>
      </c>
      <c r="J220" s="26">
        <v>1</v>
      </c>
      <c r="K220" s="10">
        <v>0.14007</v>
      </c>
      <c r="L220" s="4"/>
      <c r="M220" s="17"/>
      <c r="N220" s="18">
        <v>0</v>
      </c>
      <c r="O220" s="19">
        <v>1</v>
      </c>
      <c r="P220" s="13">
        <v>0.14007</v>
      </c>
    </row>
    <row r="221" spans="1:16">
      <c r="A221" s="42" t="s">
        <v>78</v>
      </c>
      <c r="B221" s="3"/>
      <c r="C221" s="3">
        <v>8</v>
      </c>
      <c r="D221" s="1"/>
      <c r="E221" s="20" t="s">
        <v>24</v>
      </c>
      <c r="F221" s="7" t="s">
        <v>14</v>
      </c>
      <c r="G221" s="7" t="s">
        <v>28</v>
      </c>
      <c r="H221" s="11">
        <v>12.18</v>
      </c>
      <c r="I221" s="8">
        <v>11</v>
      </c>
      <c r="J221" s="26">
        <v>1</v>
      </c>
      <c r="K221" s="10">
        <v>0.13397999999999999</v>
      </c>
      <c r="L221" s="4"/>
      <c r="M221" s="17"/>
      <c r="N221" s="18">
        <v>0</v>
      </c>
      <c r="O221" s="19">
        <v>1</v>
      </c>
      <c r="P221" s="13">
        <v>0.13397999999999999</v>
      </c>
    </row>
    <row r="222" spans="1:16">
      <c r="A222" s="42" t="s">
        <v>78</v>
      </c>
      <c r="B222" s="3"/>
      <c r="C222" s="3">
        <v>8</v>
      </c>
      <c r="D222" s="1"/>
      <c r="E222" s="20" t="s">
        <v>24</v>
      </c>
      <c r="F222" s="7" t="s">
        <v>14</v>
      </c>
      <c r="G222" s="7" t="s">
        <v>28</v>
      </c>
      <c r="H222" s="11">
        <v>12.18</v>
      </c>
      <c r="I222" s="8">
        <v>6.6</v>
      </c>
      <c r="J222" s="26">
        <v>6</v>
      </c>
      <c r="K222" s="10">
        <v>0.48232799999999998</v>
      </c>
      <c r="L222" s="4"/>
      <c r="M222" s="17">
        <v>6</v>
      </c>
      <c r="N222" s="18">
        <v>0.48232799999999992</v>
      </c>
      <c r="O222" s="19">
        <v>0</v>
      </c>
      <c r="P222" s="13">
        <v>0</v>
      </c>
    </row>
    <row r="225" spans="1:19">
      <c r="A225" s="42" t="s">
        <v>84</v>
      </c>
      <c r="B225" s="3" t="s">
        <v>122</v>
      </c>
      <c r="C225" s="3">
        <v>1</v>
      </c>
      <c r="D225" s="1"/>
      <c r="E225" s="20" t="s">
        <v>19</v>
      </c>
      <c r="F225" s="7" t="s">
        <v>14</v>
      </c>
      <c r="G225" s="7" t="s">
        <v>35</v>
      </c>
      <c r="H225" s="11">
        <v>16.579999999999998</v>
      </c>
      <c r="I225" s="8">
        <v>6.9</v>
      </c>
      <c r="J225" s="26">
        <v>3</v>
      </c>
      <c r="K225" s="10">
        <v>0.34320600000000001</v>
      </c>
      <c r="L225" s="4"/>
      <c r="M225" s="17"/>
      <c r="N225" s="18">
        <v>0</v>
      </c>
      <c r="O225" s="19">
        <v>3</v>
      </c>
      <c r="P225" s="13">
        <v>0.34320600000000001</v>
      </c>
    </row>
    <row r="226" spans="1:19">
      <c r="A226" s="42" t="s">
        <v>84</v>
      </c>
      <c r="B226" s="3" t="s">
        <v>124</v>
      </c>
      <c r="C226" s="3">
        <v>1</v>
      </c>
      <c r="D226" s="1"/>
      <c r="E226" s="12" t="s">
        <v>19</v>
      </c>
      <c r="F226" s="7" t="s">
        <v>14</v>
      </c>
      <c r="G226" s="7" t="s">
        <v>35</v>
      </c>
      <c r="H226" s="11">
        <v>16.579999999999998</v>
      </c>
      <c r="I226" s="8">
        <v>6.2</v>
      </c>
      <c r="J226" s="26">
        <v>1</v>
      </c>
      <c r="K226" s="10">
        <v>0.102796</v>
      </c>
      <c r="L226" s="4"/>
      <c r="M226" s="17"/>
      <c r="N226" s="18">
        <v>0</v>
      </c>
      <c r="O226" s="19">
        <v>1</v>
      </c>
      <c r="P226" s="13">
        <v>0.102796</v>
      </c>
    </row>
    <row r="227" spans="1:19">
      <c r="A227" s="42" t="s">
        <v>90</v>
      </c>
      <c r="B227" s="48" t="s">
        <v>148</v>
      </c>
      <c r="C227" s="32">
        <v>80</v>
      </c>
      <c r="D227" s="32"/>
      <c r="E227" s="48" t="s">
        <v>19</v>
      </c>
      <c r="F227" s="48" t="s">
        <v>14</v>
      </c>
      <c r="G227" s="48" t="s">
        <v>35</v>
      </c>
      <c r="H227" s="11">
        <v>16.579999999999998</v>
      </c>
      <c r="I227" s="52">
        <v>12</v>
      </c>
      <c r="J227" s="7">
        <v>3</v>
      </c>
      <c r="K227" s="10">
        <v>0.59687999999999986</v>
      </c>
      <c r="L227" s="32"/>
      <c r="M227" s="32"/>
      <c r="N227" s="18">
        <v>0</v>
      </c>
      <c r="O227" s="19">
        <v>3</v>
      </c>
      <c r="P227" s="13">
        <v>0.59687999999999986</v>
      </c>
    </row>
    <row r="228" spans="1:19">
      <c r="A228" s="45" t="s">
        <v>136</v>
      </c>
      <c r="B228" s="48" t="s">
        <v>171</v>
      </c>
      <c r="C228" s="32">
        <v>161</v>
      </c>
      <c r="D228" s="32"/>
      <c r="E228" s="48" t="s">
        <v>19</v>
      </c>
      <c r="F228" s="48" t="s">
        <v>14</v>
      </c>
      <c r="G228" s="48" t="s">
        <v>35</v>
      </c>
      <c r="H228" s="11">
        <v>16.579999999999998</v>
      </c>
      <c r="I228" s="52">
        <v>8.3000000000000007</v>
      </c>
      <c r="J228" s="7">
        <v>2</v>
      </c>
      <c r="K228" s="10">
        <f t="shared" ref="K228" si="38">(H228*I228*J228/1000)</f>
        <v>0.27522800000000003</v>
      </c>
      <c r="L228" s="32"/>
      <c r="M228" s="32"/>
      <c r="N228" s="18">
        <f t="shared" ref="N228" si="39">I228*M228*H228/1000</f>
        <v>0</v>
      </c>
      <c r="O228" s="19">
        <f t="shared" ref="O228" si="40">J228-M228</f>
        <v>2</v>
      </c>
      <c r="P228" s="13">
        <f t="shared" ref="P228" si="41">I228*O228*H228/1000</f>
        <v>0.27522800000000003</v>
      </c>
    </row>
    <row r="230" spans="1:19">
      <c r="B230" s="110" t="s">
        <v>303</v>
      </c>
      <c r="C230" s="111" t="s">
        <v>232</v>
      </c>
      <c r="D230" s="112" t="s">
        <v>228</v>
      </c>
      <c r="E230" s="113" t="s">
        <v>24</v>
      </c>
      <c r="F230" s="175" t="s">
        <v>14</v>
      </c>
      <c r="G230" s="175" t="s">
        <v>35</v>
      </c>
      <c r="H230" s="176">
        <v>16.579999999999998</v>
      </c>
      <c r="I230" s="177">
        <v>6.75</v>
      </c>
      <c r="J230" s="178">
        <v>7</v>
      </c>
      <c r="K230" s="174">
        <f t="shared" ref="K230:K235" si="42">(H230*I230*J230/1000)</f>
        <v>0.78340500000000002</v>
      </c>
      <c r="L230" s="118"/>
      <c r="M230" s="111">
        <v>5</v>
      </c>
      <c r="N230" s="117">
        <f t="shared" ref="N230:N235" si="43">I230*M230*H230/1000</f>
        <v>0.55957499999999993</v>
      </c>
      <c r="O230" s="119">
        <f t="shared" ref="O230:O235" si="44">J230-M230</f>
        <v>2</v>
      </c>
      <c r="P230" s="120">
        <f t="shared" ref="P230:P235" si="45">I230*O230*H230/1000</f>
        <v>0.22382999999999997</v>
      </c>
      <c r="Q230" s="159"/>
      <c r="R230" s="111"/>
      <c r="S230" s="111"/>
    </row>
    <row r="231" spans="1:19">
      <c r="B231" s="110" t="s">
        <v>303</v>
      </c>
      <c r="C231" s="111" t="s">
        <v>232</v>
      </c>
      <c r="D231" s="112" t="s">
        <v>228</v>
      </c>
      <c r="E231" s="113" t="s">
        <v>24</v>
      </c>
      <c r="F231" s="175" t="s">
        <v>14</v>
      </c>
      <c r="G231" s="175" t="s">
        <v>35</v>
      </c>
      <c r="H231" s="176">
        <v>16.579999999999998</v>
      </c>
      <c r="I231" s="177">
        <v>8</v>
      </c>
      <c r="J231" s="178">
        <v>5</v>
      </c>
      <c r="K231" s="174">
        <f t="shared" si="42"/>
        <v>0.6631999999999999</v>
      </c>
      <c r="L231" s="118"/>
      <c r="M231" s="111">
        <v>4</v>
      </c>
      <c r="N231" s="117">
        <f t="shared" si="43"/>
        <v>0.53055999999999992</v>
      </c>
      <c r="O231" s="119">
        <f t="shared" si="44"/>
        <v>1</v>
      </c>
      <c r="P231" s="120">
        <f t="shared" si="45"/>
        <v>0.13263999999999998</v>
      </c>
      <c r="Q231" s="159"/>
      <c r="R231" s="111"/>
      <c r="S231" s="111"/>
    </row>
    <row r="232" spans="1:19">
      <c r="B232" s="110" t="s">
        <v>303</v>
      </c>
      <c r="C232" s="111" t="s">
        <v>232</v>
      </c>
      <c r="D232" s="112" t="s">
        <v>228</v>
      </c>
      <c r="E232" s="113" t="s">
        <v>24</v>
      </c>
      <c r="F232" s="175" t="s">
        <v>14</v>
      </c>
      <c r="G232" s="175" t="s">
        <v>35</v>
      </c>
      <c r="H232" s="176">
        <v>16.579999999999998</v>
      </c>
      <c r="I232" s="177">
        <v>10</v>
      </c>
      <c r="J232" s="178">
        <v>8</v>
      </c>
      <c r="K232" s="174">
        <f t="shared" si="42"/>
        <v>1.3263999999999998</v>
      </c>
      <c r="L232" s="118"/>
      <c r="M232" s="111">
        <v>7</v>
      </c>
      <c r="N232" s="117">
        <f t="shared" si="43"/>
        <v>1.1605999999999999</v>
      </c>
      <c r="O232" s="119">
        <f t="shared" si="44"/>
        <v>1</v>
      </c>
      <c r="P232" s="120">
        <f t="shared" si="45"/>
        <v>0.16579999999999998</v>
      </c>
      <c r="Q232" s="159"/>
      <c r="R232" s="111"/>
      <c r="S232" s="111"/>
    </row>
    <row r="233" spans="1:19">
      <c r="B233" s="110" t="s">
        <v>303</v>
      </c>
      <c r="C233" s="111" t="s">
        <v>232</v>
      </c>
      <c r="D233" s="112" t="s">
        <v>228</v>
      </c>
      <c r="E233" s="113" t="s">
        <v>24</v>
      </c>
      <c r="F233" s="175" t="s">
        <v>14</v>
      </c>
      <c r="G233" s="175" t="s">
        <v>35</v>
      </c>
      <c r="H233" s="176">
        <v>16.579999999999998</v>
      </c>
      <c r="I233" s="177">
        <v>11</v>
      </c>
      <c r="J233" s="178">
        <v>3</v>
      </c>
      <c r="K233" s="174">
        <f t="shared" si="42"/>
        <v>0.54713999999999996</v>
      </c>
      <c r="L233" s="118"/>
      <c r="M233" s="111">
        <v>1</v>
      </c>
      <c r="N233" s="117">
        <f t="shared" si="43"/>
        <v>0.18237999999999999</v>
      </c>
      <c r="O233" s="119">
        <f t="shared" si="44"/>
        <v>2</v>
      </c>
      <c r="P233" s="120">
        <f t="shared" si="45"/>
        <v>0.36475999999999997</v>
      </c>
      <c r="Q233" s="159"/>
      <c r="R233" s="111"/>
      <c r="S233" s="111"/>
    </row>
    <row r="234" spans="1:19">
      <c r="B234" s="110" t="s">
        <v>303</v>
      </c>
      <c r="C234" s="111" t="s">
        <v>232</v>
      </c>
      <c r="D234" s="112" t="s">
        <v>228</v>
      </c>
      <c r="E234" s="113" t="s">
        <v>24</v>
      </c>
      <c r="F234" s="175" t="s">
        <v>14</v>
      </c>
      <c r="G234" s="175" t="s">
        <v>35</v>
      </c>
      <c r="H234" s="176">
        <v>16.579999999999998</v>
      </c>
      <c r="I234" s="177">
        <v>12</v>
      </c>
      <c r="J234" s="178">
        <v>3</v>
      </c>
      <c r="K234" s="174">
        <f t="shared" si="42"/>
        <v>0.59687999999999986</v>
      </c>
      <c r="L234" s="118"/>
      <c r="M234" s="111">
        <f>1+1</f>
        <v>2</v>
      </c>
      <c r="N234" s="117">
        <f t="shared" si="43"/>
        <v>0.39791999999999994</v>
      </c>
      <c r="O234" s="119">
        <f t="shared" si="44"/>
        <v>1</v>
      </c>
      <c r="P234" s="120">
        <f t="shared" si="45"/>
        <v>0.19895999999999997</v>
      </c>
      <c r="Q234" s="159"/>
      <c r="R234" s="111"/>
      <c r="S234" s="111"/>
    </row>
    <row r="235" spans="1:19">
      <c r="B235" s="110" t="s">
        <v>303</v>
      </c>
      <c r="C235" s="111" t="s">
        <v>232</v>
      </c>
      <c r="D235" s="112" t="s">
        <v>228</v>
      </c>
      <c r="E235" s="113" t="s">
        <v>24</v>
      </c>
      <c r="F235" s="175" t="s">
        <v>14</v>
      </c>
      <c r="G235" s="175" t="s">
        <v>35</v>
      </c>
      <c r="H235" s="176">
        <v>16.579999999999998</v>
      </c>
      <c r="I235" s="177">
        <v>12</v>
      </c>
      <c r="J235" s="178">
        <v>1</v>
      </c>
      <c r="K235" s="174">
        <f t="shared" si="42"/>
        <v>0.19895999999999997</v>
      </c>
      <c r="L235" s="118" t="s">
        <v>235</v>
      </c>
      <c r="M235" s="111"/>
      <c r="N235" s="117">
        <f t="shared" si="43"/>
        <v>0</v>
      </c>
      <c r="O235" s="119">
        <f t="shared" si="44"/>
        <v>1</v>
      </c>
      <c r="P235" s="120">
        <f t="shared" si="45"/>
        <v>0.19895999999999997</v>
      </c>
      <c r="Q235" s="159"/>
      <c r="R235" s="111"/>
      <c r="S235" s="111"/>
    </row>
    <row r="239" spans="1:19">
      <c r="A239" s="42" t="s">
        <v>78</v>
      </c>
      <c r="B239" s="3"/>
      <c r="C239" s="3">
        <v>43</v>
      </c>
      <c r="D239" s="1"/>
      <c r="E239" s="20" t="s">
        <v>24</v>
      </c>
      <c r="F239" s="7" t="s">
        <v>14</v>
      </c>
      <c r="G239" s="7" t="s">
        <v>44</v>
      </c>
      <c r="H239" s="11">
        <v>13.4</v>
      </c>
      <c r="I239" s="8">
        <v>11.2</v>
      </c>
      <c r="J239" s="26">
        <v>3</v>
      </c>
      <c r="K239" s="10">
        <v>0.45023999999999997</v>
      </c>
      <c r="L239" s="4"/>
      <c r="M239" s="17"/>
      <c r="N239" s="18">
        <v>0</v>
      </c>
      <c r="O239" s="19">
        <v>3</v>
      </c>
      <c r="P239" s="13">
        <v>0.45023999999999997</v>
      </c>
    </row>
    <row r="240" spans="1:19">
      <c r="A240" s="42" t="s">
        <v>78</v>
      </c>
      <c r="B240" s="3"/>
      <c r="C240" s="3">
        <v>43</v>
      </c>
      <c r="D240" s="1"/>
      <c r="E240" s="20" t="s">
        <v>24</v>
      </c>
      <c r="F240" s="7" t="s">
        <v>14</v>
      </c>
      <c r="G240" s="7" t="s">
        <v>44</v>
      </c>
      <c r="H240" s="11">
        <v>13.4</v>
      </c>
      <c r="I240" s="8">
        <v>11.6</v>
      </c>
      <c r="J240" s="26">
        <v>1</v>
      </c>
      <c r="K240" s="10">
        <v>0.15543999999999999</v>
      </c>
      <c r="L240" s="4"/>
      <c r="M240" s="17">
        <v>1</v>
      </c>
      <c r="N240" s="18">
        <v>0.15543999999999999</v>
      </c>
      <c r="O240" s="19">
        <v>0</v>
      </c>
      <c r="P240" s="13">
        <v>0</v>
      </c>
    </row>
    <row r="241" spans="1:16">
      <c r="A241" s="47" t="s">
        <v>147</v>
      </c>
      <c r="B241" s="48" t="s">
        <v>148</v>
      </c>
      <c r="C241" s="32">
        <v>271</v>
      </c>
      <c r="D241" s="32"/>
      <c r="E241" s="48" t="s">
        <v>19</v>
      </c>
      <c r="F241" s="48" t="s">
        <v>14</v>
      </c>
      <c r="G241" s="48" t="s">
        <v>44</v>
      </c>
      <c r="H241" s="11">
        <v>13.4</v>
      </c>
      <c r="I241" s="52">
        <v>12</v>
      </c>
      <c r="J241" s="7">
        <v>4</v>
      </c>
      <c r="K241" s="10">
        <v>0.64319999999999999</v>
      </c>
      <c r="L241" s="32"/>
      <c r="M241" s="32">
        <v>4</v>
      </c>
      <c r="N241" s="18">
        <v>0.64319999999999999</v>
      </c>
      <c r="O241" s="19">
        <v>0</v>
      </c>
      <c r="P241" s="13">
        <v>0</v>
      </c>
    </row>
    <row r="242" spans="1:16">
      <c r="A242" s="47" t="s">
        <v>147</v>
      </c>
      <c r="B242" s="48" t="s">
        <v>148</v>
      </c>
      <c r="C242" s="32">
        <v>271</v>
      </c>
      <c r="D242" s="32"/>
      <c r="E242" s="48" t="s">
        <v>19</v>
      </c>
      <c r="F242" s="48" t="s">
        <v>14</v>
      </c>
      <c r="G242" s="48" t="s">
        <v>44</v>
      </c>
      <c r="H242" s="11">
        <v>13.4</v>
      </c>
      <c r="I242" s="52">
        <v>11.5</v>
      </c>
      <c r="J242" s="7">
        <v>2</v>
      </c>
      <c r="K242" s="10">
        <v>0.30819999999999997</v>
      </c>
      <c r="L242" s="32"/>
      <c r="M242" s="32"/>
      <c r="N242" s="18">
        <v>0</v>
      </c>
      <c r="O242" s="19">
        <v>2</v>
      </c>
      <c r="P242" s="13">
        <v>0.30819999999999997</v>
      </c>
    </row>
    <row r="243" spans="1:16">
      <c r="A243" s="47" t="s">
        <v>147</v>
      </c>
      <c r="B243" s="48" t="s">
        <v>148</v>
      </c>
      <c r="C243" s="32">
        <v>271</v>
      </c>
      <c r="D243" s="32"/>
      <c r="E243" s="48" t="s">
        <v>19</v>
      </c>
      <c r="F243" s="48" t="s">
        <v>14</v>
      </c>
      <c r="G243" s="48" t="s">
        <v>44</v>
      </c>
      <c r="H243" s="11">
        <v>13.4</v>
      </c>
      <c r="I243" s="52">
        <v>11</v>
      </c>
      <c r="J243" s="7">
        <v>3</v>
      </c>
      <c r="K243" s="10">
        <v>0.44220000000000004</v>
      </c>
      <c r="L243" s="32"/>
      <c r="M243" s="32">
        <v>2</v>
      </c>
      <c r="N243" s="18">
        <v>0.29480000000000001</v>
      </c>
      <c r="O243" s="19">
        <v>1</v>
      </c>
      <c r="P243" s="13">
        <v>0.1474</v>
      </c>
    </row>
    <row r="244" spans="1:16">
      <c r="A244" s="47" t="s">
        <v>147</v>
      </c>
      <c r="B244" s="48" t="s">
        <v>148</v>
      </c>
      <c r="C244" s="32">
        <v>278</v>
      </c>
      <c r="D244" s="32"/>
      <c r="E244" s="48" t="s">
        <v>19</v>
      </c>
      <c r="F244" s="48" t="s">
        <v>14</v>
      </c>
      <c r="G244" s="48" t="s">
        <v>44</v>
      </c>
      <c r="H244" s="11">
        <v>13.4</v>
      </c>
      <c r="I244" s="52">
        <v>10.4</v>
      </c>
      <c r="J244" s="7">
        <v>2</v>
      </c>
      <c r="K244" s="10">
        <v>0.27872000000000002</v>
      </c>
      <c r="L244" s="32"/>
      <c r="M244" s="32">
        <v>2</v>
      </c>
      <c r="N244" s="18">
        <v>0.27872000000000002</v>
      </c>
      <c r="O244" s="19">
        <v>0</v>
      </c>
      <c r="P244" s="13">
        <v>0</v>
      </c>
    </row>
    <row r="245" spans="1:16">
      <c r="A245" s="47" t="s">
        <v>147</v>
      </c>
      <c r="B245" s="48" t="s">
        <v>148</v>
      </c>
      <c r="C245" s="32">
        <v>362</v>
      </c>
      <c r="D245" s="32"/>
      <c r="E245" s="48" t="s">
        <v>24</v>
      </c>
      <c r="F245" s="48" t="s">
        <v>14</v>
      </c>
      <c r="G245" s="48" t="s">
        <v>44</v>
      </c>
      <c r="H245" s="11">
        <v>13.4</v>
      </c>
      <c r="I245" s="8">
        <v>10.199999999999999</v>
      </c>
      <c r="J245" s="7">
        <v>3</v>
      </c>
      <c r="K245" s="10">
        <v>0.41004000000000002</v>
      </c>
      <c r="L245" s="32"/>
      <c r="M245" s="32"/>
      <c r="N245" s="18">
        <v>0</v>
      </c>
      <c r="O245" s="19">
        <v>3</v>
      </c>
      <c r="P245" s="13">
        <v>0.41003999999999996</v>
      </c>
    </row>
    <row r="248" spans="1:16">
      <c r="B248" s="110" t="s">
        <v>303</v>
      </c>
      <c r="C248" s="111" t="s">
        <v>232</v>
      </c>
      <c r="D248" s="112" t="s">
        <v>228</v>
      </c>
      <c r="E248" s="113" t="s">
        <v>24</v>
      </c>
      <c r="F248" s="175" t="s">
        <v>14</v>
      </c>
      <c r="G248" s="175" t="s">
        <v>44</v>
      </c>
      <c r="H248" s="176">
        <v>13.4</v>
      </c>
      <c r="I248" s="177">
        <v>6</v>
      </c>
      <c r="J248" s="178">
        <v>1</v>
      </c>
      <c r="K248" s="174">
        <f t="shared" ref="K248:K251" si="46">(H248*I248*J248/1000)</f>
        <v>8.0399999999999999E-2</v>
      </c>
      <c r="L248" s="118"/>
      <c r="M248" s="111"/>
      <c r="N248" s="117">
        <f t="shared" ref="N248:N251" si="47">I248*M248*H248/1000</f>
        <v>0</v>
      </c>
      <c r="O248" s="119">
        <f t="shared" ref="O248:O251" si="48">J248-M248</f>
        <v>1</v>
      </c>
      <c r="P248" s="120">
        <f t="shared" ref="P248:P251" si="49">I248*O248*H248/1000</f>
        <v>8.0399999999999999E-2</v>
      </c>
    </row>
    <row r="249" spans="1:16">
      <c r="B249" s="110" t="s">
        <v>303</v>
      </c>
      <c r="C249" s="111" t="s">
        <v>232</v>
      </c>
      <c r="D249" s="112" t="s">
        <v>228</v>
      </c>
      <c r="E249" s="113" t="s">
        <v>24</v>
      </c>
      <c r="F249" s="175" t="s">
        <v>14</v>
      </c>
      <c r="G249" s="175" t="s">
        <v>44</v>
      </c>
      <c r="H249" s="176">
        <v>13.4</v>
      </c>
      <c r="I249" s="177">
        <v>10.9</v>
      </c>
      <c r="J249" s="178">
        <v>1</v>
      </c>
      <c r="K249" s="174">
        <f t="shared" si="46"/>
        <v>0.14606</v>
      </c>
      <c r="L249" s="118"/>
      <c r="M249" s="111"/>
      <c r="N249" s="117">
        <f t="shared" si="47"/>
        <v>0</v>
      </c>
      <c r="O249" s="119">
        <f t="shared" si="48"/>
        <v>1</v>
      </c>
      <c r="P249" s="120">
        <f t="shared" si="49"/>
        <v>0.14606</v>
      </c>
    </row>
    <row r="250" spans="1:16">
      <c r="B250" s="110" t="s">
        <v>303</v>
      </c>
      <c r="C250" s="111" t="s">
        <v>232</v>
      </c>
      <c r="D250" s="112" t="s">
        <v>228</v>
      </c>
      <c r="E250" s="113" t="s">
        <v>24</v>
      </c>
      <c r="F250" s="175" t="s">
        <v>14</v>
      </c>
      <c r="G250" s="175" t="s">
        <v>44</v>
      </c>
      <c r="H250" s="176">
        <v>13.4</v>
      </c>
      <c r="I250" s="177">
        <v>6.8</v>
      </c>
      <c r="J250" s="178">
        <v>2</v>
      </c>
      <c r="K250" s="174">
        <f t="shared" si="46"/>
        <v>0.18224000000000001</v>
      </c>
      <c r="L250" s="118"/>
      <c r="M250" s="111"/>
      <c r="N250" s="117">
        <f t="shared" si="47"/>
        <v>0</v>
      </c>
      <c r="O250" s="119">
        <f t="shared" si="48"/>
        <v>2</v>
      </c>
      <c r="P250" s="120">
        <f t="shared" si="49"/>
        <v>0.18224000000000001</v>
      </c>
    </row>
    <row r="251" spans="1:16">
      <c r="B251" s="110" t="s">
        <v>303</v>
      </c>
      <c r="C251" s="111" t="s">
        <v>232</v>
      </c>
      <c r="D251" s="112" t="s">
        <v>228</v>
      </c>
      <c r="E251" s="113" t="s">
        <v>24</v>
      </c>
      <c r="F251" s="175" t="s">
        <v>14</v>
      </c>
      <c r="G251" s="175" t="s">
        <v>44</v>
      </c>
      <c r="H251" s="176">
        <v>13.4</v>
      </c>
      <c r="I251" s="177">
        <v>12</v>
      </c>
      <c r="J251" s="178">
        <v>4</v>
      </c>
      <c r="K251" s="174">
        <f t="shared" si="46"/>
        <v>0.64319999999999999</v>
      </c>
      <c r="L251" s="118"/>
      <c r="M251" s="111"/>
      <c r="N251" s="117">
        <f t="shared" si="47"/>
        <v>0</v>
      </c>
      <c r="O251" s="119">
        <f t="shared" si="48"/>
        <v>4</v>
      </c>
      <c r="P251" s="120">
        <f t="shared" si="49"/>
        <v>0.64319999999999999</v>
      </c>
    </row>
    <row r="254" spans="1:16" ht="15.6">
      <c r="B254" s="110" t="s">
        <v>231</v>
      </c>
      <c r="C254" s="111" t="s">
        <v>232</v>
      </c>
      <c r="D254" s="112" t="s">
        <v>228</v>
      </c>
      <c r="E254" s="113" t="s">
        <v>24</v>
      </c>
      <c r="F254" s="114" t="s">
        <v>14</v>
      </c>
      <c r="G254" s="115" t="s">
        <v>18</v>
      </c>
      <c r="H254" s="116">
        <v>6.86</v>
      </c>
      <c r="I254" s="125">
        <v>10.5</v>
      </c>
      <c r="J254" s="111">
        <f>13+7</f>
        <v>20</v>
      </c>
      <c r="K254" s="117">
        <f t="shared" ref="K254:K261" si="50">I254*H254*J254/1000</f>
        <v>1.4405999999999999</v>
      </c>
      <c r="L254" s="118"/>
      <c r="M254" s="111">
        <v>17</v>
      </c>
      <c r="N254" s="117">
        <f t="shared" ref="N254:N261" si="51">I254*M254*H254/1000</f>
        <v>1.22451</v>
      </c>
      <c r="O254" s="119">
        <f>J254-M254</f>
        <v>3</v>
      </c>
      <c r="P254" s="120">
        <f t="shared" ref="P254:P261" si="52">I254*O254*H254/1000</f>
        <v>0.21609</v>
      </c>
    </row>
    <row r="255" spans="1:16" ht="15.6">
      <c r="B255" s="110" t="s">
        <v>231</v>
      </c>
      <c r="C255" s="111" t="s">
        <v>232</v>
      </c>
      <c r="D255" s="112" t="s">
        <v>228</v>
      </c>
      <c r="E255" s="113" t="s">
        <v>24</v>
      </c>
      <c r="F255" s="114" t="s">
        <v>14</v>
      </c>
      <c r="G255" s="115" t="s">
        <v>18</v>
      </c>
      <c r="H255" s="116">
        <v>6.86</v>
      </c>
      <c r="I255" s="125">
        <v>12</v>
      </c>
      <c r="J255" s="111">
        <f>34+32+4+42</f>
        <v>112</v>
      </c>
      <c r="K255" s="117">
        <f t="shared" si="50"/>
        <v>9.2198399999999996</v>
      </c>
      <c r="L255" s="118"/>
      <c r="M255" s="111">
        <v>112</v>
      </c>
      <c r="N255" s="117">
        <f t="shared" si="51"/>
        <v>9.2198399999999996</v>
      </c>
      <c r="O255" s="119">
        <f t="shared" ref="O255:O261" si="53">J255-M255</f>
        <v>0</v>
      </c>
      <c r="P255" s="120">
        <f t="shared" si="52"/>
        <v>0</v>
      </c>
    </row>
    <row r="256" spans="1:16" ht="15.6">
      <c r="B256" s="110" t="s">
        <v>231</v>
      </c>
      <c r="C256" s="111" t="s">
        <v>232</v>
      </c>
      <c r="D256" s="112" t="s">
        <v>228</v>
      </c>
      <c r="E256" s="113" t="s">
        <v>24</v>
      </c>
      <c r="F256" s="114" t="s">
        <v>14</v>
      </c>
      <c r="G256" s="115" t="s">
        <v>18</v>
      </c>
      <c r="H256" s="116">
        <v>6.86</v>
      </c>
      <c r="I256" s="125">
        <v>11.85</v>
      </c>
      <c r="J256" s="111">
        <v>20</v>
      </c>
      <c r="K256" s="117">
        <f t="shared" si="50"/>
        <v>1.62582</v>
      </c>
      <c r="L256" s="118"/>
      <c r="M256" s="111">
        <v>20</v>
      </c>
      <c r="N256" s="117">
        <f t="shared" si="51"/>
        <v>1.6258200000000003</v>
      </c>
      <c r="O256" s="119">
        <f t="shared" si="53"/>
        <v>0</v>
      </c>
      <c r="P256" s="120">
        <f t="shared" si="52"/>
        <v>0</v>
      </c>
    </row>
    <row r="257" spans="1:16" ht="15.6">
      <c r="B257" s="110" t="s">
        <v>231</v>
      </c>
      <c r="C257" s="111" t="s">
        <v>232</v>
      </c>
      <c r="D257" s="112" t="s">
        <v>228</v>
      </c>
      <c r="E257" s="113" t="s">
        <v>24</v>
      </c>
      <c r="F257" s="114" t="s">
        <v>14</v>
      </c>
      <c r="G257" s="115" t="s">
        <v>18</v>
      </c>
      <c r="H257" s="116">
        <v>6.86</v>
      </c>
      <c r="I257" s="125">
        <v>11.81</v>
      </c>
      <c r="J257" s="111">
        <v>44</v>
      </c>
      <c r="K257" s="117">
        <f t="shared" si="50"/>
        <v>3.5647304000000002</v>
      </c>
      <c r="L257" s="118"/>
      <c r="M257" s="111">
        <v>43</v>
      </c>
      <c r="N257" s="117">
        <f t="shared" si="51"/>
        <v>3.4837138000000003</v>
      </c>
      <c r="O257" s="119">
        <f t="shared" si="53"/>
        <v>1</v>
      </c>
      <c r="P257" s="120">
        <f t="shared" si="52"/>
        <v>8.1016600000000008E-2</v>
      </c>
    </row>
    <row r="258" spans="1:16" ht="15.6">
      <c r="B258" s="110" t="s">
        <v>231</v>
      </c>
      <c r="C258" s="111" t="s">
        <v>232</v>
      </c>
      <c r="D258" s="112" t="s">
        <v>228</v>
      </c>
      <c r="E258" s="113" t="s">
        <v>24</v>
      </c>
      <c r="F258" s="114" t="s">
        <v>14</v>
      </c>
      <c r="G258" s="115" t="s">
        <v>18</v>
      </c>
      <c r="H258" s="116">
        <v>6.86</v>
      </c>
      <c r="I258" s="125">
        <v>12</v>
      </c>
      <c r="J258" s="111">
        <v>4</v>
      </c>
      <c r="K258" s="117">
        <f t="shared" si="50"/>
        <v>0.32928000000000002</v>
      </c>
      <c r="L258" s="118" t="s">
        <v>234</v>
      </c>
      <c r="M258" s="111"/>
      <c r="N258" s="117">
        <f t="shared" si="51"/>
        <v>0</v>
      </c>
      <c r="O258" s="119">
        <f t="shared" si="53"/>
        <v>4</v>
      </c>
      <c r="P258" s="120">
        <f t="shared" si="52"/>
        <v>0.32928000000000002</v>
      </c>
    </row>
    <row r="259" spans="1:16" ht="15.6">
      <c r="B259" s="110" t="s">
        <v>231</v>
      </c>
      <c r="C259" s="111" t="s">
        <v>232</v>
      </c>
      <c r="D259" s="112" t="s">
        <v>228</v>
      </c>
      <c r="E259" s="113" t="s">
        <v>24</v>
      </c>
      <c r="F259" s="114" t="s">
        <v>14</v>
      </c>
      <c r="G259" s="115" t="s">
        <v>18</v>
      </c>
      <c r="H259" s="116">
        <v>6.86</v>
      </c>
      <c r="I259" s="125">
        <v>11</v>
      </c>
      <c r="J259" s="111">
        <v>2</v>
      </c>
      <c r="K259" s="117">
        <f t="shared" si="50"/>
        <v>0.15092000000000003</v>
      </c>
      <c r="L259" s="118" t="s">
        <v>234</v>
      </c>
      <c r="M259" s="111"/>
      <c r="N259" s="117">
        <f t="shared" si="51"/>
        <v>0</v>
      </c>
      <c r="O259" s="119">
        <f t="shared" si="53"/>
        <v>2</v>
      </c>
      <c r="P259" s="120">
        <f t="shared" si="52"/>
        <v>0.15092000000000003</v>
      </c>
    </row>
    <row r="260" spans="1:16" ht="15.6">
      <c r="B260" s="110" t="s">
        <v>231</v>
      </c>
      <c r="C260" s="111" t="s">
        <v>232</v>
      </c>
      <c r="D260" s="112" t="s">
        <v>228</v>
      </c>
      <c r="E260" s="113" t="s">
        <v>24</v>
      </c>
      <c r="F260" s="114" t="s">
        <v>14</v>
      </c>
      <c r="G260" s="115" t="s">
        <v>18</v>
      </c>
      <c r="H260" s="116">
        <v>6.86</v>
      </c>
      <c r="I260" s="125">
        <v>11</v>
      </c>
      <c r="J260" s="111">
        <v>2</v>
      </c>
      <c r="K260" s="117">
        <f t="shared" si="50"/>
        <v>0.15092000000000003</v>
      </c>
      <c r="L260" s="118" t="s">
        <v>233</v>
      </c>
      <c r="M260" s="111"/>
      <c r="N260" s="117">
        <f t="shared" si="51"/>
        <v>0</v>
      </c>
      <c r="O260" s="119">
        <f t="shared" si="53"/>
        <v>2</v>
      </c>
      <c r="P260" s="120">
        <f t="shared" si="52"/>
        <v>0.15092000000000003</v>
      </c>
    </row>
    <row r="261" spans="1:16" ht="15.6">
      <c r="B261" s="110" t="s">
        <v>231</v>
      </c>
      <c r="C261" s="111" t="s">
        <v>232</v>
      </c>
      <c r="D261" s="112" t="s">
        <v>228</v>
      </c>
      <c r="E261" s="113" t="s">
        <v>24</v>
      </c>
      <c r="F261" s="114" t="s">
        <v>14</v>
      </c>
      <c r="G261" s="115" t="s">
        <v>18</v>
      </c>
      <c r="H261" s="116">
        <v>6.86</v>
      </c>
      <c r="I261" s="125">
        <v>10</v>
      </c>
      <c r="J261" s="111">
        <v>3</v>
      </c>
      <c r="K261" s="117">
        <f t="shared" si="50"/>
        <v>0.20580000000000001</v>
      </c>
      <c r="L261" s="118" t="s">
        <v>233</v>
      </c>
      <c r="M261" s="111"/>
      <c r="N261" s="117">
        <f t="shared" si="51"/>
        <v>0</v>
      </c>
      <c r="O261" s="119">
        <f t="shared" si="53"/>
        <v>3</v>
      </c>
      <c r="P261" s="120">
        <f t="shared" si="52"/>
        <v>0.20580000000000001</v>
      </c>
    </row>
    <row r="262" spans="1:16">
      <c r="B262" s="32"/>
      <c r="C262" s="32"/>
      <c r="D262" s="32"/>
      <c r="E262" s="32"/>
      <c r="F262" s="32"/>
      <c r="G262" s="32"/>
      <c r="H262" s="32"/>
      <c r="I262" s="32"/>
      <c r="J262" s="123">
        <f>SUM(J254:J261)</f>
        <v>207</v>
      </c>
      <c r="K262" s="124">
        <f>SUM(K254:K261)</f>
        <v>16.687910399999996</v>
      </c>
      <c r="L262" s="32"/>
      <c r="M262" s="123">
        <f>SUM(M254:M261)</f>
        <v>192</v>
      </c>
      <c r="N262" s="124">
        <f>SUM(N254:N261)</f>
        <v>15.553883800000001</v>
      </c>
      <c r="O262" s="131">
        <f>SUM(O254:O261)</f>
        <v>15</v>
      </c>
      <c r="P262" s="132">
        <f>SUM(P254:P261)</f>
        <v>1.1340266000000001</v>
      </c>
    </row>
    <row r="265" spans="1:16">
      <c r="A265" s="42" t="s">
        <v>77</v>
      </c>
      <c r="B265" s="3" t="s">
        <v>68</v>
      </c>
      <c r="C265" s="3">
        <v>151</v>
      </c>
      <c r="D265" s="1"/>
      <c r="E265" s="20" t="s">
        <v>24</v>
      </c>
      <c r="F265" s="7" t="s">
        <v>14</v>
      </c>
      <c r="G265" s="7" t="s">
        <v>18</v>
      </c>
      <c r="H265" s="11">
        <v>6.86</v>
      </c>
      <c r="I265" s="8">
        <v>10</v>
      </c>
      <c r="J265" s="26">
        <v>2</v>
      </c>
      <c r="K265" s="10">
        <v>0.13720000000000002</v>
      </c>
      <c r="L265" s="4"/>
      <c r="M265" s="17"/>
      <c r="N265" s="18">
        <v>0</v>
      </c>
      <c r="O265" s="19">
        <v>2</v>
      </c>
      <c r="P265" s="13">
        <v>0.13720000000000002</v>
      </c>
    </row>
    <row r="266" spans="1:16">
      <c r="A266" s="42" t="s">
        <v>77</v>
      </c>
      <c r="B266" s="3" t="s">
        <v>68</v>
      </c>
      <c r="C266" s="3">
        <v>151</v>
      </c>
      <c r="D266" s="1"/>
      <c r="E266" s="20" t="s">
        <v>24</v>
      </c>
      <c r="F266" s="7" t="s">
        <v>14</v>
      </c>
      <c r="G266" s="7" t="s">
        <v>18</v>
      </c>
      <c r="H266" s="11">
        <v>6.86</v>
      </c>
      <c r="I266" s="8">
        <v>8</v>
      </c>
      <c r="J266" s="26">
        <v>1</v>
      </c>
      <c r="K266" s="10">
        <v>5.4880000000000005E-2</v>
      </c>
      <c r="L266" s="4"/>
      <c r="M266" s="17"/>
      <c r="N266" s="18">
        <v>0</v>
      </c>
      <c r="O266" s="19">
        <v>1</v>
      </c>
      <c r="P266" s="13">
        <v>5.4880000000000005E-2</v>
      </c>
    </row>
    <row r="267" spans="1:16">
      <c r="A267" s="42" t="s">
        <v>77</v>
      </c>
      <c r="B267" s="3" t="s">
        <v>68</v>
      </c>
      <c r="C267" s="3">
        <v>154</v>
      </c>
      <c r="D267" s="1"/>
      <c r="E267" s="20" t="s">
        <v>24</v>
      </c>
      <c r="F267" s="7" t="s">
        <v>14</v>
      </c>
      <c r="G267" s="7" t="s">
        <v>18</v>
      </c>
      <c r="H267" s="11">
        <v>6.86</v>
      </c>
      <c r="I267" s="8">
        <v>7.5</v>
      </c>
      <c r="J267" s="26">
        <v>1</v>
      </c>
      <c r="K267" s="10">
        <v>5.1450000000000003E-2</v>
      </c>
      <c r="L267" s="4"/>
      <c r="M267" s="17"/>
      <c r="N267" s="18">
        <v>0</v>
      </c>
      <c r="O267" s="19">
        <v>1</v>
      </c>
      <c r="P267" s="13">
        <v>5.1450000000000003E-2</v>
      </c>
    </row>
    <row r="268" spans="1:16">
      <c r="A268" s="42" t="s">
        <v>77</v>
      </c>
      <c r="B268" s="3" t="s">
        <v>68</v>
      </c>
      <c r="C268" s="3">
        <v>154</v>
      </c>
      <c r="D268" s="1"/>
      <c r="E268" s="20" t="s">
        <v>24</v>
      </c>
      <c r="F268" s="7" t="s">
        <v>14</v>
      </c>
      <c r="G268" s="7" t="s">
        <v>18</v>
      </c>
      <c r="H268" s="11">
        <v>6.86</v>
      </c>
      <c r="I268" s="8">
        <v>8</v>
      </c>
      <c r="J268" s="26">
        <v>1</v>
      </c>
      <c r="K268" s="10">
        <v>5.4880000000000005E-2</v>
      </c>
      <c r="L268" s="4"/>
      <c r="M268" s="17"/>
      <c r="N268" s="18">
        <v>0</v>
      </c>
      <c r="O268" s="19">
        <v>1</v>
      </c>
      <c r="P268" s="13">
        <v>5.4880000000000005E-2</v>
      </c>
    </row>
    <row r="269" spans="1:16">
      <c r="A269" s="42" t="s">
        <v>77</v>
      </c>
      <c r="B269" s="3" t="s">
        <v>68</v>
      </c>
      <c r="C269" s="3">
        <v>154</v>
      </c>
      <c r="D269" s="1"/>
      <c r="E269" s="20" t="s">
        <v>24</v>
      </c>
      <c r="F269" s="7" t="s">
        <v>14</v>
      </c>
      <c r="G269" s="7" t="s">
        <v>18</v>
      </c>
      <c r="H269" s="11">
        <v>6.86</v>
      </c>
      <c r="I269" s="8">
        <v>9.3000000000000007</v>
      </c>
      <c r="J269" s="26">
        <v>1</v>
      </c>
      <c r="K269" s="10">
        <v>6.3798000000000007E-2</v>
      </c>
      <c r="L269" s="4"/>
      <c r="M269" s="17"/>
      <c r="N269" s="18">
        <v>0</v>
      </c>
      <c r="O269" s="19">
        <v>1</v>
      </c>
      <c r="P269" s="13">
        <v>6.3798000000000007E-2</v>
      </c>
    </row>
    <row r="270" spans="1:16">
      <c r="A270" s="48" t="s">
        <v>168</v>
      </c>
      <c r="B270" s="48" t="s">
        <v>169</v>
      </c>
      <c r="C270" s="32">
        <v>15</v>
      </c>
      <c r="D270" s="32"/>
      <c r="E270" s="48" t="s">
        <v>19</v>
      </c>
      <c r="F270" s="48" t="s">
        <v>14</v>
      </c>
      <c r="G270" s="48" t="s">
        <v>18</v>
      </c>
      <c r="H270" s="11">
        <v>6.86</v>
      </c>
      <c r="I270" s="52">
        <v>6.6</v>
      </c>
      <c r="J270" s="7">
        <v>1</v>
      </c>
      <c r="K270" s="10">
        <v>4.5275999999999997E-2</v>
      </c>
      <c r="L270" s="32" t="s">
        <v>104</v>
      </c>
      <c r="M270" s="32"/>
      <c r="N270" s="18">
        <v>0</v>
      </c>
      <c r="O270" s="19">
        <v>1</v>
      </c>
      <c r="P270" s="13">
        <v>4.5275999999999997E-2</v>
      </c>
    </row>
    <row r="271" spans="1:16">
      <c r="A271" s="42" t="s">
        <v>90</v>
      </c>
      <c r="B271" s="48" t="s">
        <v>148</v>
      </c>
      <c r="C271" s="32">
        <v>35</v>
      </c>
      <c r="D271" s="32"/>
      <c r="E271" s="48" t="s">
        <v>19</v>
      </c>
      <c r="F271" s="48" t="s">
        <v>14</v>
      </c>
      <c r="G271" s="48" t="s">
        <v>18</v>
      </c>
      <c r="H271" s="11">
        <v>6.86</v>
      </c>
      <c r="I271" s="52">
        <v>10</v>
      </c>
      <c r="J271" s="7">
        <v>7</v>
      </c>
      <c r="K271" s="10">
        <v>0.48020000000000007</v>
      </c>
      <c r="L271" s="32"/>
      <c r="M271" s="32">
        <v>7</v>
      </c>
      <c r="N271" s="18">
        <v>0.48020000000000007</v>
      </c>
      <c r="O271" s="19">
        <v>0</v>
      </c>
      <c r="P271" s="13">
        <v>0</v>
      </c>
    </row>
    <row r="272" spans="1:16">
      <c r="A272" s="47" t="s">
        <v>147</v>
      </c>
      <c r="B272" s="48" t="s">
        <v>148</v>
      </c>
      <c r="C272" s="32">
        <v>361</v>
      </c>
      <c r="D272" s="32"/>
      <c r="E272" s="48" t="s">
        <v>19</v>
      </c>
      <c r="F272" s="48" t="s">
        <v>14</v>
      </c>
      <c r="G272" s="48" t="s">
        <v>18</v>
      </c>
      <c r="H272" s="11">
        <v>6.86</v>
      </c>
      <c r="I272" s="52">
        <v>11.7</v>
      </c>
      <c r="J272" s="7">
        <v>1</v>
      </c>
      <c r="K272" s="10">
        <v>8.0262E-2</v>
      </c>
      <c r="L272" s="32"/>
      <c r="M272" s="32">
        <v>1</v>
      </c>
      <c r="N272" s="18">
        <v>8.0262E-2</v>
      </c>
      <c r="O272" s="19">
        <v>0</v>
      </c>
      <c r="P272" s="13">
        <v>0</v>
      </c>
    </row>
    <row r="273" spans="1:16">
      <c r="A273" s="47" t="s">
        <v>147</v>
      </c>
      <c r="B273" s="48" t="s">
        <v>148</v>
      </c>
      <c r="C273" s="32">
        <v>361</v>
      </c>
      <c r="D273" s="32"/>
      <c r="E273" s="48" t="s">
        <v>19</v>
      </c>
      <c r="F273" s="48" t="s">
        <v>14</v>
      </c>
      <c r="G273" s="48" t="s">
        <v>18</v>
      </c>
      <c r="H273" s="11">
        <v>6.86</v>
      </c>
      <c r="I273" s="52">
        <v>10.5</v>
      </c>
      <c r="J273" s="7">
        <v>1</v>
      </c>
      <c r="K273" s="10">
        <v>7.2029999999999997E-2</v>
      </c>
      <c r="L273" s="32"/>
      <c r="M273" s="32"/>
      <c r="N273" s="18">
        <v>0</v>
      </c>
      <c r="O273" s="19">
        <v>1</v>
      </c>
      <c r="P273" s="13">
        <v>7.2029999999999997E-2</v>
      </c>
    </row>
    <row r="274" spans="1:16">
      <c r="A274" s="47" t="s">
        <v>147</v>
      </c>
      <c r="B274" s="48" t="s">
        <v>148</v>
      </c>
      <c r="C274" s="32">
        <v>361</v>
      </c>
      <c r="D274" s="32"/>
      <c r="E274" s="48" t="s">
        <v>19</v>
      </c>
      <c r="F274" s="48" t="s">
        <v>14</v>
      </c>
      <c r="G274" s="48" t="s">
        <v>18</v>
      </c>
      <c r="H274" s="11">
        <v>6.86</v>
      </c>
      <c r="I274" s="52">
        <v>10</v>
      </c>
      <c r="J274" s="7">
        <v>1</v>
      </c>
      <c r="K274" s="10">
        <v>6.8600000000000008E-2</v>
      </c>
      <c r="L274" s="32"/>
      <c r="M274" s="32"/>
      <c r="N274" s="18">
        <v>0</v>
      </c>
      <c r="O274" s="19">
        <v>1</v>
      </c>
      <c r="P274" s="13">
        <v>6.8600000000000008E-2</v>
      </c>
    </row>
    <row r="275" spans="1:16">
      <c r="A275" s="45" t="s">
        <v>136</v>
      </c>
      <c r="B275" s="48" t="s">
        <v>171</v>
      </c>
      <c r="C275" s="32">
        <v>156</v>
      </c>
      <c r="D275" s="32"/>
      <c r="E275" s="48" t="s">
        <v>178</v>
      </c>
      <c r="F275" s="48" t="s">
        <v>14</v>
      </c>
      <c r="G275" s="48" t="s">
        <v>18</v>
      </c>
      <c r="H275" s="11">
        <v>6.86</v>
      </c>
      <c r="I275" s="9">
        <v>4.3</v>
      </c>
      <c r="J275" s="7">
        <v>1</v>
      </c>
      <c r="K275" s="10">
        <v>2.9498E-2</v>
      </c>
      <c r="L275" s="32"/>
      <c r="M275" s="32"/>
      <c r="N275" s="18">
        <v>0</v>
      </c>
      <c r="O275" s="19">
        <v>1</v>
      </c>
      <c r="P275" s="13">
        <v>2.9498E-2</v>
      </c>
    </row>
    <row r="276" spans="1:16">
      <c r="A276" s="45" t="s">
        <v>136</v>
      </c>
      <c r="B276" s="48" t="s">
        <v>171</v>
      </c>
      <c r="C276" s="32">
        <v>156</v>
      </c>
      <c r="D276" s="32"/>
      <c r="E276" s="48" t="s">
        <v>178</v>
      </c>
      <c r="F276" s="48" t="s">
        <v>14</v>
      </c>
      <c r="G276" s="48" t="s">
        <v>18</v>
      </c>
      <c r="H276" s="11">
        <v>6.86</v>
      </c>
      <c r="I276" s="9">
        <v>6.15</v>
      </c>
      <c r="J276" s="7">
        <v>2</v>
      </c>
      <c r="K276" s="10">
        <v>8.4378000000000009E-2</v>
      </c>
      <c r="L276" s="32"/>
      <c r="M276" s="32"/>
      <c r="N276" s="18">
        <v>0</v>
      </c>
      <c r="O276" s="19">
        <v>2</v>
      </c>
      <c r="P276" s="13">
        <v>8.4378000000000009E-2</v>
      </c>
    </row>
    <row r="277" spans="1:16">
      <c r="A277" s="45" t="s">
        <v>136</v>
      </c>
      <c r="B277" s="48" t="s">
        <v>171</v>
      </c>
      <c r="C277" s="32">
        <v>156</v>
      </c>
      <c r="D277" s="32"/>
      <c r="E277" s="48" t="s">
        <v>178</v>
      </c>
      <c r="F277" s="48" t="s">
        <v>14</v>
      </c>
      <c r="G277" s="48" t="s">
        <v>18</v>
      </c>
      <c r="H277" s="11">
        <v>6.86</v>
      </c>
      <c r="I277" s="9">
        <v>9</v>
      </c>
      <c r="J277" s="7">
        <v>2</v>
      </c>
      <c r="K277" s="10">
        <v>0.12348000000000001</v>
      </c>
      <c r="L277" s="32"/>
      <c r="M277" s="32"/>
      <c r="N277" s="18">
        <v>0</v>
      </c>
      <c r="O277" s="19">
        <v>2</v>
      </c>
      <c r="P277" s="13">
        <v>0.12348000000000001</v>
      </c>
    </row>
    <row r="278" spans="1:16">
      <c r="A278" s="45" t="s">
        <v>136</v>
      </c>
      <c r="B278" s="48" t="s">
        <v>171</v>
      </c>
      <c r="C278" s="32">
        <v>156</v>
      </c>
      <c r="D278" s="32"/>
      <c r="E278" s="48" t="s">
        <v>178</v>
      </c>
      <c r="F278" s="48" t="s">
        <v>14</v>
      </c>
      <c r="G278" s="48" t="s">
        <v>18</v>
      </c>
      <c r="H278" s="11">
        <v>6.86</v>
      </c>
      <c r="I278" s="9">
        <v>10</v>
      </c>
      <c r="J278" s="7">
        <v>2</v>
      </c>
      <c r="K278" s="10">
        <v>0.13720000000000002</v>
      </c>
      <c r="L278" s="32"/>
      <c r="M278" s="32"/>
      <c r="N278" s="18">
        <v>0</v>
      </c>
      <c r="O278" s="19">
        <v>2</v>
      </c>
      <c r="P278" s="13">
        <v>0.13720000000000002</v>
      </c>
    </row>
    <row r="279" spans="1:16">
      <c r="A279" s="45" t="s">
        <v>136</v>
      </c>
      <c r="B279" s="48" t="s">
        <v>171</v>
      </c>
      <c r="C279" s="32">
        <v>156</v>
      </c>
      <c r="D279" s="32"/>
      <c r="E279" s="48" t="s">
        <v>178</v>
      </c>
      <c r="F279" s="48" t="s">
        <v>14</v>
      </c>
      <c r="G279" s="48" t="s">
        <v>18</v>
      </c>
      <c r="H279" s="11">
        <v>6.86</v>
      </c>
      <c r="I279" s="9">
        <v>10.5</v>
      </c>
      <c r="J279" s="7">
        <v>1</v>
      </c>
      <c r="K279" s="10">
        <v>7.2029999999999997E-2</v>
      </c>
      <c r="L279" s="32"/>
      <c r="M279" s="32"/>
      <c r="N279" s="18">
        <v>0</v>
      </c>
      <c r="O279" s="19">
        <v>1</v>
      </c>
      <c r="P279" s="13">
        <v>7.2029999999999997E-2</v>
      </c>
    </row>
    <row r="280" spans="1:16">
      <c r="A280" s="45" t="s">
        <v>136</v>
      </c>
      <c r="B280" s="48" t="s">
        <v>171</v>
      </c>
      <c r="C280" s="32">
        <v>156</v>
      </c>
      <c r="D280" s="32"/>
      <c r="E280" s="48" t="s">
        <v>178</v>
      </c>
      <c r="F280" s="48" t="s">
        <v>14</v>
      </c>
      <c r="G280" s="48" t="s">
        <v>18</v>
      </c>
      <c r="H280" s="11">
        <v>6.86</v>
      </c>
      <c r="I280" s="9">
        <v>11.5</v>
      </c>
      <c r="J280" s="7">
        <v>1</v>
      </c>
      <c r="K280" s="10">
        <v>7.8890000000000002E-2</v>
      </c>
      <c r="L280" s="32"/>
      <c r="M280" s="32"/>
      <c r="N280" s="18">
        <v>0</v>
      </c>
      <c r="O280" s="19">
        <v>1</v>
      </c>
      <c r="P280" s="13">
        <v>7.8890000000000002E-2</v>
      </c>
    </row>
    <row r="283" spans="1:16">
      <c r="A283" s="47" t="s">
        <v>147</v>
      </c>
      <c r="B283" s="48" t="s">
        <v>148</v>
      </c>
      <c r="C283" s="32">
        <v>318</v>
      </c>
      <c r="D283" s="32"/>
      <c r="E283" s="48" t="s">
        <v>161</v>
      </c>
      <c r="F283" s="48" t="s">
        <v>14</v>
      </c>
      <c r="G283" s="48" t="s">
        <v>23</v>
      </c>
      <c r="H283" s="11">
        <v>9</v>
      </c>
      <c r="I283" s="52">
        <v>6.52</v>
      </c>
      <c r="J283" s="7">
        <v>28</v>
      </c>
      <c r="K283" s="10">
        <f t="shared" ref="K283" si="54">(H283*I283*J283/1000)</f>
        <v>1.6430399999999998</v>
      </c>
      <c r="L283" s="32"/>
      <c r="M283" s="32"/>
      <c r="N283" s="18">
        <f t="shared" ref="N283" si="55">I283*M283*H283/1000</f>
        <v>0</v>
      </c>
      <c r="O283" s="19">
        <f t="shared" ref="O283" si="56">J283-M283</f>
        <v>28</v>
      </c>
      <c r="P283" s="13">
        <f t="shared" ref="P283" si="57">I283*O283*H283/1000</f>
        <v>1.6430400000000001</v>
      </c>
    </row>
    <row r="286" spans="1:16" ht="15.6">
      <c r="B286" s="110" t="s">
        <v>363</v>
      </c>
      <c r="C286" s="111" t="s">
        <v>232</v>
      </c>
      <c r="D286" s="112" t="s">
        <v>364</v>
      </c>
      <c r="E286" s="113" t="s">
        <v>24</v>
      </c>
      <c r="F286" s="114" t="s">
        <v>14</v>
      </c>
      <c r="G286" s="115" t="s">
        <v>32</v>
      </c>
      <c r="H286" s="116">
        <v>8.32</v>
      </c>
      <c r="I286" s="125">
        <v>12</v>
      </c>
      <c r="J286" s="111">
        <v>36</v>
      </c>
      <c r="K286" s="117">
        <f t="shared" ref="K286:K299" si="58">I286*H286*J286/1000</f>
        <v>3.5942400000000001</v>
      </c>
      <c r="L286" s="118"/>
      <c r="M286" s="111">
        <v>36</v>
      </c>
      <c r="N286" s="117">
        <f t="shared" ref="N286:N299" si="59">I286*M286*H286/1000</f>
        <v>3.5942400000000001</v>
      </c>
      <c r="O286" s="119">
        <f t="shared" ref="O286:O299" si="60">J286-M286</f>
        <v>0</v>
      </c>
      <c r="P286" s="120">
        <f t="shared" ref="P286:P299" si="61">I286*O286*H286/1000</f>
        <v>0</v>
      </c>
    </row>
    <row r="287" spans="1:16" ht="15.6">
      <c r="B287" s="110" t="s">
        <v>363</v>
      </c>
      <c r="C287" s="111" t="s">
        <v>232</v>
      </c>
      <c r="D287" s="112" t="s">
        <v>364</v>
      </c>
      <c r="E287" s="113" t="s">
        <v>24</v>
      </c>
      <c r="F287" s="114" t="s">
        <v>14</v>
      </c>
      <c r="G287" s="115" t="s">
        <v>32</v>
      </c>
      <c r="H287" s="116">
        <v>8.32</v>
      </c>
      <c r="I287" s="125">
        <v>11</v>
      </c>
      <c r="J287" s="111">
        <v>19</v>
      </c>
      <c r="K287" s="117">
        <f t="shared" si="58"/>
        <v>1.7388800000000002</v>
      </c>
      <c r="L287" s="118"/>
      <c r="M287" s="111">
        <v>19</v>
      </c>
      <c r="N287" s="117">
        <f t="shared" si="59"/>
        <v>1.7388800000000002</v>
      </c>
      <c r="O287" s="119">
        <f t="shared" si="60"/>
        <v>0</v>
      </c>
      <c r="P287" s="120">
        <f t="shared" si="61"/>
        <v>0</v>
      </c>
    </row>
    <row r="288" spans="1:16" ht="15.6">
      <c r="B288" s="110" t="s">
        <v>363</v>
      </c>
      <c r="C288" s="111" t="s">
        <v>232</v>
      </c>
      <c r="D288" s="112" t="s">
        <v>364</v>
      </c>
      <c r="E288" s="113" t="s">
        <v>24</v>
      </c>
      <c r="F288" s="114" t="s">
        <v>14</v>
      </c>
      <c r="G288" s="115" t="s">
        <v>32</v>
      </c>
      <c r="H288" s="116">
        <v>8.32</v>
      </c>
      <c r="I288" s="125">
        <v>9</v>
      </c>
      <c r="J288" s="111">
        <v>14</v>
      </c>
      <c r="K288" s="117">
        <f t="shared" si="58"/>
        <v>1.0483199999999999</v>
      </c>
      <c r="L288" s="118"/>
      <c r="M288" s="111">
        <f>6+8</f>
        <v>14</v>
      </c>
      <c r="N288" s="117">
        <f t="shared" si="59"/>
        <v>1.0483199999999999</v>
      </c>
      <c r="O288" s="119">
        <f t="shared" si="60"/>
        <v>0</v>
      </c>
      <c r="P288" s="120">
        <f t="shared" si="61"/>
        <v>0</v>
      </c>
    </row>
    <row r="289" spans="2:16" ht="15.6">
      <c r="B289" s="110" t="s">
        <v>363</v>
      </c>
      <c r="C289" s="111" t="s">
        <v>232</v>
      </c>
      <c r="D289" s="112" t="s">
        <v>364</v>
      </c>
      <c r="E289" s="113" t="s">
        <v>24</v>
      </c>
      <c r="F289" s="114" t="s">
        <v>14</v>
      </c>
      <c r="G289" s="115" t="s">
        <v>32</v>
      </c>
      <c r="H289" s="116">
        <v>8.32</v>
      </c>
      <c r="I289" s="125">
        <v>10</v>
      </c>
      <c r="J289" s="111">
        <v>3</v>
      </c>
      <c r="K289" s="117">
        <f t="shared" si="58"/>
        <v>0.24960000000000002</v>
      </c>
      <c r="L289" s="118"/>
      <c r="M289" s="111">
        <v>3</v>
      </c>
      <c r="N289" s="117">
        <f t="shared" si="59"/>
        <v>0.24960000000000002</v>
      </c>
      <c r="O289" s="119">
        <f t="shared" si="60"/>
        <v>0</v>
      </c>
      <c r="P289" s="120">
        <f t="shared" si="61"/>
        <v>0</v>
      </c>
    </row>
    <row r="290" spans="2:16" ht="15.6">
      <c r="B290" s="110" t="s">
        <v>363</v>
      </c>
      <c r="C290" s="111" t="s">
        <v>232</v>
      </c>
      <c r="D290" s="112" t="s">
        <v>364</v>
      </c>
      <c r="E290" s="113" t="s">
        <v>24</v>
      </c>
      <c r="F290" s="114" t="s">
        <v>14</v>
      </c>
      <c r="G290" s="115" t="s">
        <v>32</v>
      </c>
      <c r="H290" s="116">
        <v>8.32</v>
      </c>
      <c r="I290" s="125">
        <v>10.5</v>
      </c>
      <c r="J290" s="111">
        <v>2</v>
      </c>
      <c r="K290" s="117">
        <f t="shared" si="58"/>
        <v>0.17471999999999999</v>
      </c>
      <c r="L290" s="118"/>
      <c r="M290" s="111"/>
      <c r="N290" s="117">
        <f t="shared" si="59"/>
        <v>0</v>
      </c>
      <c r="O290" s="119">
        <f t="shared" si="60"/>
        <v>2</v>
      </c>
      <c r="P290" s="120">
        <f t="shared" si="61"/>
        <v>0.17471999999999999</v>
      </c>
    </row>
    <row r="291" spans="2:16" ht="15.6">
      <c r="B291" s="110" t="s">
        <v>363</v>
      </c>
      <c r="C291" s="111" t="s">
        <v>232</v>
      </c>
      <c r="D291" s="112" t="s">
        <v>364</v>
      </c>
      <c r="E291" s="113" t="s">
        <v>24</v>
      </c>
      <c r="F291" s="114" t="s">
        <v>14</v>
      </c>
      <c r="G291" s="115" t="s">
        <v>32</v>
      </c>
      <c r="H291" s="116">
        <v>8.32</v>
      </c>
      <c r="I291" s="125">
        <v>12</v>
      </c>
      <c r="J291" s="111">
        <v>7</v>
      </c>
      <c r="K291" s="117">
        <f t="shared" si="58"/>
        <v>0.69887999999999995</v>
      </c>
      <c r="L291" s="118"/>
      <c r="M291" s="111">
        <v>7</v>
      </c>
      <c r="N291" s="117">
        <f t="shared" si="59"/>
        <v>0.69887999999999995</v>
      </c>
      <c r="O291" s="119">
        <f t="shared" si="60"/>
        <v>0</v>
      </c>
      <c r="P291" s="120">
        <f t="shared" si="61"/>
        <v>0</v>
      </c>
    </row>
    <row r="292" spans="2:16" ht="15.6">
      <c r="B292" s="110" t="s">
        <v>363</v>
      </c>
      <c r="C292" s="111" t="s">
        <v>232</v>
      </c>
      <c r="D292" s="112" t="s">
        <v>364</v>
      </c>
      <c r="E292" s="113" t="s">
        <v>24</v>
      </c>
      <c r="F292" s="114" t="s">
        <v>14</v>
      </c>
      <c r="G292" s="115" t="s">
        <v>32</v>
      </c>
      <c r="H292" s="116">
        <v>8.32</v>
      </c>
      <c r="I292" s="125">
        <v>9</v>
      </c>
      <c r="J292" s="111">
        <v>19</v>
      </c>
      <c r="K292" s="117">
        <f t="shared" si="58"/>
        <v>1.4227199999999998</v>
      </c>
      <c r="L292" s="118"/>
      <c r="M292" s="111">
        <v>17</v>
      </c>
      <c r="N292" s="117">
        <f t="shared" si="59"/>
        <v>1.2729600000000001</v>
      </c>
      <c r="O292" s="119">
        <f t="shared" si="60"/>
        <v>2</v>
      </c>
      <c r="P292" s="120">
        <f t="shared" si="61"/>
        <v>0.14976</v>
      </c>
    </row>
    <row r="293" spans="2:16" ht="15.6">
      <c r="B293" s="110" t="s">
        <v>363</v>
      </c>
      <c r="C293" s="111" t="s">
        <v>232</v>
      </c>
      <c r="D293" s="112" t="s">
        <v>364</v>
      </c>
      <c r="E293" s="113" t="s">
        <v>24</v>
      </c>
      <c r="F293" s="114" t="s">
        <v>14</v>
      </c>
      <c r="G293" s="115" t="s">
        <v>32</v>
      </c>
      <c r="H293" s="116">
        <v>8.32</v>
      </c>
      <c r="I293" s="125">
        <v>10</v>
      </c>
      <c r="J293" s="111">
        <v>19</v>
      </c>
      <c r="K293" s="117">
        <f t="shared" si="58"/>
        <v>1.5808</v>
      </c>
      <c r="L293" s="118"/>
      <c r="M293" s="111">
        <f>9+5+3</f>
        <v>17</v>
      </c>
      <c r="N293" s="117">
        <f t="shared" si="59"/>
        <v>1.4144000000000001</v>
      </c>
      <c r="O293" s="119">
        <f t="shared" si="60"/>
        <v>2</v>
      </c>
      <c r="P293" s="120">
        <f t="shared" si="61"/>
        <v>0.16639999999999999</v>
      </c>
    </row>
    <row r="294" spans="2:16" ht="15.6">
      <c r="B294" s="110" t="s">
        <v>363</v>
      </c>
      <c r="C294" s="111" t="s">
        <v>232</v>
      </c>
      <c r="D294" s="112" t="s">
        <v>364</v>
      </c>
      <c r="E294" s="113" t="s">
        <v>24</v>
      </c>
      <c r="F294" s="114" t="s">
        <v>14</v>
      </c>
      <c r="G294" s="115" t="s">
        <v>32</v>
      </c>
      <c r="H294" s="116">
        <v>8.32</v>
      </c>
      <c r="I294" s="125">
        <v>10.5</v>
      </c>
      <c r="J294" s="111">
        <v>18</v>
      </c>
      <c r="K294" s="117">
        <f t="shared" si="58"/>
        <v>1.5724800000000001</v>
      </c>
      <c r="L294" s="118"/>
      <c r="M294" s="111">
        <f>12+6</f>
        <v>18</v>
      </c>
      <c r="N294" s="117">
        <f t="shared" si="59"/>
        <v>1.5724800000000001</v>
      </c>
      <c r="O294" s="119">
        <f t="shared" si="60"/>
        <v>0</v>
      </c>
      <c r="P294" s="120">
        <f t="shared" si="61"/>
        <v>0</v>
      </c>
    </row>
    <row r="295" spans="2:16" ht="15.6">
      <c r="B295" s="110" t="s">
        <v>363</v>
      </c>
      <c r="C295" s="111" t="s">
        <v>232</v>
      </c>
      <c r="D295" s="112" t="s">
        <v>364</v>
      </c>
      <c r="E295" s="113" t="s">
        <v>24</v>
      </c>
      <c r="F295" s="114" t="s">
        <v>14</v>
      </c>
      <c r="G295" s="115" t="s">
        <v>32</v>
      </c>
      <c r="H295" s="116">
        <v>8.32</v>
      </c>
      <c r="I295" s="125">
        <v>11</v>
      </c>
      <c r="J295" s="111">
        <v>9</v>
      </c>
      <c r="K295" s="117">
        <f t="shared" si="58"/>
        <v>0.82368000000000008</v>
      </c>
      <c r="L295" s="118"/>
      <c r="M295" s="111">
        <v>7</v>
      </c>
      <c r="N295" s="117">
        <f t="shared" si="59"/>
        <v>0.64063999999999999</v>
      </c>
      <c r="O295" s="119">
        <f t="shared" si="60"/>
        <v>2</v>
      </c>
      <c r="P295" s="120">
        <f t="shared" si="61"/>
        <v>0.18304000000000001</v>
      </c>
    </row>
    <row r="296" spans="2:16" ht="15.6">
      <c r="B296" s="110" t="s">
        <v>363</v>
      </c>
      <c r="C296" s="111" t="s">
        <v>232</v>
      </c>
      <c r="D296" s="112" t="s">
        <v>364</v>
      </c>
      <c r="E296" s="113" t="s">
        <v>24</v>
      </c>
      <c r="F296" s="114" t="s">
        <v>14</v>
      </c>
      <c r="G296" s="115" t="s">
        <v>32</v>
      </c>
      <c r="H296" s="116">
        <v>8.32</v>
      </c>
      <c r="I296" s="125">
        <v>12</v>
      </c>
      <c r="J296" s="111">
        <v>10</v>
      </c>
      <c r="K296" s="117">
        <f t="shared" si="58"/>
        <v>0.99840000000000007</v>
      </c>
      <c r="L296" s="118"/>
      <c r="M296" s="111"/>
      <c r="N296" s="117">
        <f t="shared" si="59"/>
        <v>0</v>
      </c>
      <c r="O296" s="119">
        <f t="shared" si="60"/>
        <v>10</v>
      </c>
      <c r="P296" s="120">
        <f t="shared" si="61"/>
        <v>0.99840000000000007</v>
      </c>
    </row>
    <row r="297" spans="2:16" ht="15.6">
      <c r="B297" s="110" t="s">
        <v>363</v>
      </c>
      <c r="C297" s="111" t="s">
        <v>232</v>
      </c>
      <c r="D297" s="112" t="s">
        <v>364</v>
      </c>
      <c r="E297" s="113" t="s">
        <v>24</v>
      </c>
      <c r="F297" s="114" t="s">
        <v>14</v>
      </c>
      <c r="G297" s="115" t="s">
        <v>32</v>
      </c>
      <c r="H297" s="116">
        <v>8.32</v>
      </c>
      <c r="I297" s="125">
        <v>12</v>
      </c>
      <c r="J297" s="111">
        <v>21</v>
      </c>
      <c r="K297" s="117">
        <f t="shared" si="58"/>
        <v>2.0966399999999998</v>
      </c>
      <c r="L297" s="118"/>
      <c r="M297" s="111">
        <v>21</v>
      </c>
      <c r="N297" s="117">
        <f t="shared" si="59"/>
        <v>2.0966399999999998</v>
      </c>
      <c r="O297" s="119">
        <f t="shared" si="60"/>
        <v>0</v>
      </c>
      <c r="P297" s="120">
        <f t="shared" si="61"/>
        <v>0</v>
      </c>
    </row>
    <row r="298" spans="2:16" ht="15.6">
      <c r="B298" s="110" t="s">
        <v>363</v>
      </c>
      <c r="C298" s="111" t="s">
        <v>232</v>
      </c>
      <c r="D298" s="112" t="s">
        <v>364</v>
      </c>
      <c r="E298" s="113" t="s">
        <v>24</v>
      </c>
      <c r="F298" s="114" t="s">
        <v>14</v>
      </c>
      <c r="G298" s="115" t="s">
        <v>32</v>
      </c>
      <c r="H298" s="116">
        <v>8.32</v>
      </c>
      <c r="I298" s="125">
        <v>8.5</v>
      </c>
      <c r="J298" s="111">
        <v>1</v>
      </c>
      <c r="K298" s="117">
        <f t="shared" si="58"/>
        <v>7.0720000000000005E-2</v>
      </c>
      <c r="L298" s="118"/>
      <c r="M298" s="111">
        <v>1</v>
      </c>
      <c r="N298" s="117">
        <f t="shared" si="59"/>
        <v>7.0720000000000005E-2</v>
      </c>
      <c r="O298" s="119">
        <f t="shared" si="60"/>
        <v>0</v>
      </c>
      <c r="P298" s="120">
        <f t="shared" si="61"/>
        <v>0</v>
      </c>
    </row>
    <row r="299" spans="2:16" ht="15.6">
      <c r="B299" s="110" t="s">
        <v>363</v>
      </c>
      <c r="C299" s="111" t="s">
        <v>232</v>
      </c>
      <c r="D299" s="112" t="s">
        <v>364</v>
      </c>
      <c r="E299" s="113" t="s">
        <v>24</v>
      </c>
      <c r="F299" s="114" t="s">
        <v>14</v>
      </c>
      <c r="G299" s="115" t="s">
        <v>32</v>
      </c>
      <c r="H299" s="116">
        <v>8.32</v>
      </c>
      <c r="I299" s="125">
        <v>8.6</v>
      </c>
      <c r="J299" s="111">
        <v>2</v>
      </c>
      <c r="K299" s="117">
        <f t="shared" si="58"/>
        <v>0.14310399999999998</v>
      </c>
      <c r="L299" s="118"/>
      <c r="M299" s="111"/>
      <c r="N299" s="117">
        <f t="shared" si="59"/>
        <v>0</v>
      </c>
      <c r="O299" s="119">
        <f t="shared" si="60"/>
        <v>2</v>
      </c>
      <c r="P299" s="120">
        <f t="shared" si="61"/>
        <v>0.14310399999999998</v>
      </c>
    </row>
    <row r="300" spans="2:16">
      <c r="B300" s="213"/>
      <c r="C300" s="213"/>
      <c r="D300" s="213"/>
      <c r="E300" s="213"/>
      <c r="F300" s="213"/>
      <c r="G300" s="213"/>
      <c r="H300" s="213"/>
      <c r="I300" s="213"/>
      <c r="J300" s="215">
        <f>SUM(J286:J299)</f>
        <v>180</v>
      </c>
      <c r="K300" s="214">
        <f>SUM(K286:K299)</f>
        <v>16.213184000000002</v>
      </c>
      <c r="L300" s="213"/>
      <c r="M300" s="215">
        <f>SUM(M286:M299)</f>
        <v>160</v>
      </c>
      <c r="N300" s="128">
        <f>SUM(N286:N299)</f>
        <v>14.39776</v>
      </c>
      <c r="O300" s="78">
        <f>SUM(O286:O299)</f>
        <v>20</v>
      </c>
      <c r="P300" s="128">
        <f>SUM(P286:P299)</f>
        <v>1.8154239999999999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5:P31"/>
  <sheetViews>
    <sheetView topLeftCell="A13" workbookViewId="0">
      <selection activeCell="M37" sqref="M37"/>
    </sheetView>
  </sheetViews>
  <sheetFormatPr defaultRowHeight="14.4"/>
  <cols>
    <col min="4" max="4" width="12.44140625" bestFit="1" customWidth="1"/>
    <col min="5" max="5" width="4.33203125" bestFit="1" customWidth="1"/>
    <col min="6" max="6" width="9.88671875" bestFit="1" customWidth="1"/>
  </cols>
  <sheetData>
    <row r="5" spans="1:16" ht="26.4">
      <c r="A5" s="121" t="s">
        <v>229</v>
      </c>
      <c r="B5" s="122" t="s">
        <v>230</v>
      </c>
      <c r="C5" s="122" t="s">
        <v>0</v>
      </c>
      <c r="D5" s="122" t="s">
        <v>1</v>
      </c>
      <c r="E5" s="122" t="s">
        <v>2</v>
      </c>
      <c r="F5" s="122" t="s">
        <v>3</v>
      </c>
      <c r="G5" s="122" t="s">
        <v>10</v>
      </c>
      <c r="H5" s="122" t="s">
        <v>4</v>
      </c>
      <c r="I5" s="122" t="s">
        <v>5</v>
      </c>
      <c r="J5" s="122" t="s">
        <v>6</v>
      </c>
      <c r="K5" s="122" t="s">
        <v>7</v>
      </c>
      <c r="L5" s="122" t="s">
        <v>5</v>
      </c>
      <c r="M5" s="122" t="s">
        <v>6</v>
      </c>
      <c r="N5" s="122" t="s">
        <v>5</v>
      </c>
      <c r="O5" s="122" t="s">
        <v>6</v>
      </c>
    </row>
    <row r="6" spans="1:16" ht="15.6">
      <c r="A6" s="110" t="s">
        <v>231</v>
      </c>
      <c r="B6" s="111" t="s">
        <v>232</v>
      </c>
      <c r="C6" s="112" t="s">
        <v>228</v>
      </c>
      <c r="D6" s="113" t="s">
        <v>24</v>
      </c>
      <c r="E6" s="114" t="s">
        <v>14</v>
      </c>
      <c r="F6" s="115" t="s">
        <v>18</v>
      </c>
      <c r="G6" s="116">
        <v>6.86</v>
      </c>
      <c r="H6" s="125">
        <v>10.5</v>
      </c>
      <c r="I6" s="111">
        <f>13+7</f>
        <v>20</v>
      </c>
      <c r="J6" s="117">
        <f t="shared" ref="J6:J13" si="0">H6*G6*I6/1000</f>
        <v>1.4405999999999999</v>
      </c>
      <c r="K6" s="118"/>
      <c r="L6" s="111">
        <v>17</v>
      </c>
      <c r="M6" s="117">
        <f t="shared" ref="M6:M13" si="1">H6*L6*G6/1000</f>
        <v>1.22451</v>
      </c>
      <c r="N6" s="119">
        <f>I6-L6</f>
        <v>3</v>
      </c>
      <c r="O6" s="120">
        <f t="shared" ref="O6:O13" si="2">H6*N6*G6/1000</f>
        <v>0.21609</v>
      </c>
    </row>
    <row r="7" spans="1:16" ht="15.6">
      <c r="A7" s="110" t="s">
        <v>231</v>
      </c>
      <c r="B7" s="111" t="s">
        <v>232</v>
      </c>
      <c r="C7" s="112" t="s">
        <v>228</v>
      </c>
      <c r="D7" s="113" t="s">
        <v>24</v>
      </c>
      <c r="E7" s="114" t="s">
        <v>14</v>
      </c>
      <c r="F7" s="115" t="s">
        <v>18</v>
      </c>
      <c r="G7" s="116">
        <v>6.86</v>
      </c>
      <c r="H7" s="125">
        <v>12</v>
      </c>
      <c r="I7" s="111">
        <f>34+32+4+42</f>
        <v>112</v>
      </c>
      <c r="J7" s="117">
        <f t="shared" si="0"/>
        <v>9.2198399999999996</v>
      </c>
      <c r="K7" s="118"/>
      <c r="L7" s="111">
        <v>112</v>
      </c>
      <c r="M7" s="117">
        <f t="shared" si="1"/>
        <v>9.2198399999999996</v>
      </c>
      <c r="N7" s="119">
        <f t="shared" ref="N7:N13" si="3">I7-L7</f>
        <v>0</v>
      </c>
      <c r="O7" s="120">
        <f t="shared" si="2"/>
        <v>0</v>
      </c>
    </row>
    <row r="8" spans="1:16" ht="15.6">
      <c r="A8" s="110" t="s">
        <v>231</v>
      </c>
      <c r="B8" s="111" t="s">
        <v>232</v>
      </c>
      <c r="C8" s="112" t="s">
        <v>228</v>
      </c>
      <c r="D8" s="113" t="s">
        <v>24</v>
      </c>
      <c r="E8" s="114" t="s">
        <v>14</v>
      </c>
      <c r="F8" s="115" t="s">
        <v>18</v>
      </c>
      <c r="G8" s="116">
        <v>6.86</v>
      </c>
      <c r="H8" s="125">
        <v>11.85</v>
      </c>
      <c r="I8" s="111">
        <v>20</v>
      </c>
      <c r="J8" s="117">
        <f t="shared" si="0"/>
        <v>1.62582</v>
      </c>
      <c r="K8" s="118"/>
      <c r="L8" s="111">
        <v>20</v>
      </c>
      <c r="M8" s="117">
        <f t="shared" si="1"/>
        <v>1.6258200000000003</v>
      </c>
      <c r="N8" s="119">
        <f t="shared" si="3"/>
        <v>0</v>
      </c>
      <c r="O8" s="120">
        <f t="shared" si="2"/>
        <v>0</v>
      </c>
    </row>
    <row r="9" spans="1:16" ht="15.6">
      <c r="A9" s="110" t="s">
        <v>231</v>
      </c>
      <c r="B9" s="111" t="s">
        <v>232</v>
      </c>
      <c r="C9" s="112" t="s">
        <v>228</v>
      </c>
      <c r="D9" s="113" t="s">
        <v>24</v>
      </c>
      <c r="E9" s="114" t="s">
        <v>14</v>
      </c>
      <c r="F9" s="115" t="s">
        <v>18</v>
      </c>
      <c r="G9" s="116">
        <v>6.86</v>
      </c>
      <c r="H9" s="125">
        <v>11.81</v>
      </c>
      <c r="I9" s="111">
        <v>44</v>
      </c>
      <c r="J9" s="117">
        <f t="shared" si="0"/>
        <v>3.5647304000000002</v>
      </c>
      <c r="K9" s="118"/>
      <c r="L9" s="111">
        <v>43</v>
      </c>
      <c r="M9" s="117">
        <f t="shared" si="1"/>
        <v>3.4837138000000003</v>
      </c>
      <c r="N9" s="119">
        <f t="shared" si="3"/>
        <v>1</v>
      </c>
      <c r="O9" s="120">
        <f t="shared" si="2"/>
        <v>8.1016600000000008E-2</v>
      </c>
    </row>
    <row r="10" spans="1:16" ht="15.6">
      <c r="A10" s="110" t="s">
        <v>231</v>
      </c>
      <c r="B10" s="111" t="s">
        <v>232</v>
      </c>
      <c r="C10" s="112" t="s">
        <v>228</v>
      </c>
      <c r="D10" s="113" t="s">
        <v>24</v>
      </c>
      <c r="E10" s="114" t="s">
        <v>14</v>
      </c>
      <c r="F10" s="115" t="s">
        <v>18</v>
      </c>
      <c r="G10" s="116">
        <v>6.86</v>
      </c>
      <c r="H10" s="125">
        <v>12</v>
      </c>
      <c r="I10" s="111">
        <v>4</v>
      </c>
      <c r="J10" s="117">
        <f t="shared" si="0"/>
        <v>0.32928000000000002</v>
      </c>
      <c r="K10" s="118" t="s">
        <v>234</v>
      </c>
      <c r="L10" s="111"/>
      <c r="M10" s="117">
        <f t="shared" si="1"/>
        <v>0</v>
      </c>
      <c r="N10" s="119">
        <f t="shared" si="3"/>
        <v>4</v>
      </c>
      <c r="O10" s="120">
        <f t="shared" si="2"/>
        <v>0.32928000000000002</v>
      </c>
    </row>
    <row r="11" spans="1:16" ht="15.6">
      <c r="A11" s="110" t="s">
        <v>231</v>
      </c>
      <c r="B11" s="111" t="s">
        <v>232</v>
      </c>
      <c r="C11" s="112" t="s">
        <v>228</v>
      </c>
      <c r="D11" s="113" t="s">
        <v>24</v>
      </c>
      <c r="E11" s="114" t="s">
        <v>14</v>
      </c>
      <c r="F11" s="115" t="s">
        <v>18</v>
      </c>
      <c r="G11" s="116">
        <v>6.86</v>
      </c>
      <c r="H11" s="125">
        <v>11</v>
      </c>
      <c r="I11" s="111">
        <v>2</v>
      </c>
      <c r="J11" s="117">
        <f t="shared" si="0"/>
        <v>0.15092000000000003</v>
      </c>
      <c r="K11" s="118" t="s">
        <v>234</v>
      </c>
      <c r="L11" s="111"/>
      <c r="M11" s="117">
        <f t="shared" si="1"/>
        <v>0</v>
      </c>
      <c r="N11" s="119">
        <f t="shared" si="3"/>
        <v>2</v>
      </c>
      <c r="O11" s="120">
        <f t="shared" si="2"/>
        <v>0.15092000000000003</v>
      </c>
    </row>
    <row r="12" spans="1:16" ht="15.6">
      <c r="A12" s="110" t="s">
        <v>231</v>
      </c>
      <c r="B12" s="111" t="s">
        <v>232</v>
      </c>
      <c r="C12" s="112" t="s">
        <v>228</v>
      </c>
      <c r="D12" s="113" t="s">
        <v>24</v>
      </c>
      <c r="E12" s="114" t="s">
        <v>14</v>
      </c>
      <c r="F12" s="115" t="s">
        <v>18</v>
      </c>
      <c r="G12" s="116">
        <v>6.86</v>
      </c>
      <c r="H12" s="125">
        <v>11</v>
      </c>
      <c r="I12" s="111">
        <v>2</v>
      </c>
      <c r="J12" s="117">
        <f t="shared" si="0"/>
        <v>0.15092000000000003</v>
      </c>
      <c r="K12" s="118" t="s">
        <v>233</v>
      </c>
      <c r="L12" s="111"/>
      <c r="M12" s="117">
        <f t="shared" si="1"/>
        <v>0</v>
      </c>
      <c r="N12" s="119">
        <f t="shared" si="3"/>
        <v>2</v>
      </c>
      <c r="O12" s="120">
        <f t="shared" si="2"/>
        <v>0.15092000000000003</v>
      </c>
    </row>
    <row r="13" spans="1:16" ht="15.6">
      <c r="A13" s="110" t="s">
        <v>231</v>
      </c>
      <c r="B13" s="111" t="s">
        <v>232</v>
      </c>
      <c r="C13" s="112" t="s">
        <v>228</v>
      </c>
      <c r="D13" s="113" t="s">
        <v>24</v>
      </c>
      <c r="E13" s="114" t="s">
        <v>14</v>
      </c>
      <c r="F13" s="115" t="s">
        <v>18</v>
      </c>
      <c r="G13" s="116">
        <v>6.86</v>
      </c>
      <c r="H13" s="125">
        <v>10</v>
      </c>
      <c r="I13" s="111">
        <v>3</v>
      </c>
      <c r="J13" s="117">
        <f t="shared" si="0"/>
        <v>0.20580000000000001</v>
      </c>
      <c r="K13" s="118" t="s">
        <v>233</v>
      </c>
      <c r="L13" s="111"/>
      <c r="M13" s="117">
        <f t="shared" si="1"/>
        <v>0</v>
      </c>
      <c r="N13" s="119">
        <f t="shared" si="3"/>
        <v>3</v>
      </c>
      <c r="O13" s="120">
        <f t="shared" si="2"/>
        <v>0.20580000000000001</v>
      </c>
    </row>
    <row r="14" spans="1:16">
      <c r="A14" s="32"/>
      <c r="B14" s="32"/>
      <c r="C14" s="32"/>
      <c r="D14" s="32"/>
      <c r="E14" s="32"/>
      <c r="F14" s="32"/>
      <c r="G14" s="32"/>
      <c r="H14" s="32"/>
      <c r="I14" s="123">
        <f>SUM(I6:I13)</f>
        <v>207</v>
      </c>
      <c r="J14" s="124">
        <f>SUM(J6:J13)</f>
        <v>16.687910399999996</v>
      </c>
      <c r="K14" s="32"/>
      <c r="L14" s="123">
        <f>SUM(L6:L13)</f>
        <v>192</v>
      </c>
      <c r="M14" s="124">
        <f>SUM(M6:M13)</f>
        <v>15.553883800000001</v>
      </c>
      <c r="N14" s="131">
        <f>SUM(N6:N13)</f>
        <v>15</v>
      </c>
      <c r="O14" s="132">
        <f>SUM(O6:O13)</f>
        <v>1.1340266000000001</v>
      </c>
    </row>
    <row r="16" spans="1:16">
      <c r="A16" s="42" t="s">
        <v>77</v>
      </c>
      <c r="B16" s="3" t="s">
        <v>68</v>
      </c>
      <c r="C16" s="3">
        <v>151</v>
      </c>
      <c r="D16" s="1"/>
      <c r="E16" s="20" t="s">
        <v>24</v>
      </c>
      <c r="F16" s="7" t="s">
        <v>14</v>
      </c>
      <c r="G16" s="7" t="s">
        <v>18</v>
      </c>
      <c r="H16" s="11">
        <v>6.86</v>
      </c>
      <c r="I16" s="8">
        <v>10</v>
      </c>
      <c r="J16" s="26">
        <v>2</v>
      </c>
      <c r="K16" s="10">
        <v>0.13720000000000002</v>
      </c>
      <c r="L16" s="4"/>
      <c r="M16" s="17"/>
      <c r="N16" s="18">
        <v>0</v>
      </c>
      <c r="O16" s="310">
        <v>2</v>
      </c>
      <c r="P16" s="165">
        <v>0.13720000000000002</v>
      </c>
    </row>
    <row r="17" spans="1:16">
      <c r="A17" s="42" t="s">
        <v>77</v>
      </c>
      <c r="B17" s="3" t="s">
        <v>68</v>
      </c>
      <c r="C17" s="3">
        <v>151</v>
      </c>
      <c r="D17" s="1"/>
      <c r="E17" s="20" t="s">
        <v>24</v>
      </c>
      <c r="F17" s="7" t="s">
        <v>14</v>
      </c>
      <c r="G17" s="7" t="s">
        <v>18</v>
      </c>
      <c r="H17" s="11">
        <v>6.86</v>
      </c>
      <c r="I17" s="8">
        <v>8</v>
      </c>
      <c r="J17" s="26">
        <v>1</v>
      </c>
      <c r="K17" s="10">
        <v>5.4880000000000005E-2</v>
      </c>
      <c r="L17" s="4"/>
      <c r="M17" s="17"/>
      <c r="N17" s="18">
        <v>0</v>
      </c>
      <c r="O17" s="310">
        <v>1</v>
      </c>
      <c r="P17" s="165">
        <v>5.4880000000000005E-2</v>
      </c>
    </row>
    <row r="18" spans="1:16">
      <c r="A18" s="42" t="s">
        <v>77</v>
      </c>
      <c r="B18" s="3" t="s">
        <v>68</v>
      </c>
      <c r="C18" s="3">
        <v>154</v>
      </c>
      <c r="D18" s="1"/>
      <c r="E18" s="20" t="s">
        <v>24</v>
      </c>
      <c r="F18" s="7" t="s">
        <v>14</v>
      </c>
      <c r="G18" s="7" t="s">
        <v>18</v>
      </c>
      <c r="H18" s="11">
        <v>6.86</v>
      </c>
      <c r="I18" s="8">
        <v>7.5</v>
      </c>
      <c r="J18" s="26">
        <v>1</v>
      </c>
      <c r="K18" s="10">
        <v>5.1450000000000003E-2</v>
      </c>
      <c r="L18" s="4"/>
      <c r="M18" s="17"/>
      <c r="N18" s="18">
        <v>0</v>
      </c>
      <c r="O18" s="310">
        <v>1</v>
      </c>
      <c r="P18" s="165">
        <v>5.1450000000000003E-2</v>
      </c>
    </row>
    <row r="19" spans="1:16">
      <c r="A19" s="42" t="s">
        <v>77</v>
      </c>
      <c r="B19" s="3" t="s">
        <v>68</v>
      </c>
      <c r="C19" s="3">
        <v>154</v>
      </c>
      <c r="D19" s="1"/>
      <c r="E19" s="20" t="s">
        <v>24</v>
      </c>
      <c r="F19" s="7" t="s">
        <v>14</v>
      </c>
      <c r="G19" s="7" t="s">
        <v>18</v>
      </c>
      <c r="H19" s="11">
        <v>6.86</v>
      </c>
      <c r="I19" s="8">
        <v>8</v>
      </c>
      <c r="J19" s="26">
        <v>1</v>
      </c>
      <c r="K19" s="10">
        <v>5.4880000000000005E-2</v>
      </c>
      <c r="L19" s="4"/>
      <c r="M19" s="17"/>
      <c r="N19" s="18">
        <v>0</v>
      </c>
      <c r="O19" s="310">
        <v>1</v>
      </c>
      <c r="P19" s="165">
        <v>5.4880000000000005E-2</v>
      </c>
    </row>
    <row r="20" spans="1:16">
      <c r="A20" s="42" t="s">
        <v>77</v>
      </c>
      <c r="B20" s="3" t="s">
        <v>68</v>
      </c>
      <c r="C20" s="3">
        <v>154</v>
      </c>
      <c r="D20" s="1"/>
      <c r="E20" s="20" t="s">
        <v>24</v>
      </c>
      <c r="F20" s="7" t="s">
        <v>14</v>
      </c>
      <c r="G20" s="7" t="s">
        <v>18</v>
      </c>
      <c r="H20" s="11">
        <v>6.86</v>
      </c>
      <c r="I20" s="8">
        <v>9.3000000000000007</v>
      </c>
      <c r="J20" s="26">
        <v>1</v>
      </c>
      <c r="K20" s="10">
        <v>6.3798000000000007E-2</v>
      </c>
      <c r="L20" s="4"/>
      <c r="M20" s="17"/>
      <c r="N20" s="18">
        <v>0</v>
      </c>
      <c r="O20" s="310">
        <v>1</v>
      </c>
      <c r="P20" s="165">
        <v>6.3798000000000007E-2</v>
      </c>
    </row>
    <row r="21" spans="1:16">
      <c r="A21" s="48" t="s">
        <v>168</v>
      </c>
      <c r="B21" s="48" t="s">
        <v>169</v>
      </c>
      <c r="C21" s="32">
        <v>15</v>
      </c>
      <c r="D21" s="32"/>
      <c r="E21" s="48" t="s">
        <v>19</v>
      </c>
      <c r="F21" s="48" t="s">
        <v>14</v>
      </c>
      <c r="G21" s="48" t="s">
        <v>18</v>
      </c>
      <c r="H21" s="11">
        <v>6.86</v>
      </c>
      <c r="I21" s="52">
        <v>6.6</v>
      </c>
      <c r="J21" s="7">
        <v>1</v>
      </c>
      <c r="K21" s="10">
        <v>4.5275999999999997E-2</v>
      </c>
      <c r="L21" s="32" t="s">
        <v>104</v>
      </c>
      <c r="M21" s="32"/>
      <c r="N21" s="18">
        <v>0</v>
      </c>
      <c r="O21" s="310">
        <v>1</v>
      </c>
      <c r="P21" s="165">
        <v>4.5275999999999997E-2</v>
      </c>
    </row>
    <row r="22" spans="1:16">
      <c r="A22" s="42" t="s">
        <v>90</v>
      </c>
      <c r="B22" s="48" t="s">
        <v>148</v>
      </c>
      <c r="C22" s="32">
        <v>35</v>
      </c>
      <c r="D22" s="32"/>
      <c r="E22" s="48" t="s">
        <v>19</v>
      </c>
      <c r="F22" s="48" t="s">
        <v>14</v>
      </c>
      <c r="G22" s="48" t="s">
        <v>18</v>
      </c>
      <c r="H22" s="11">
        <v>6.86</v>
      </c>
      <c r="I22" s="52">
        <v>10</v>
      </c>
      <c r="J22" s="7">
        <v>7</v>
      </c>
      <c r="K22" s="10">
        <v>0.48020000000000007</v>
      </c>
      <c r="L22" s="32"/>
      <c r="M22" s="32">
        <v>7</v>
      </c>
      <c r="N22" s="18">
        <v>0.48020000000000007</v>
      </c>
      <c r="O22" s="310">
        <v>0</v>
      </c>
      <c r="P22" s="165">
        <v>0</v>
      </c>
    </row>
    <row r="23" spans="1:16">
      <c r="A23" s="47" t="s">
        <v>147</v>
      </c>
      <c r="B23" s="48" t="s">
        <v>148</v>
      </c>
      <c r="C23" s="32">
        <v>361</v>
      </c>
      <c r="D23" s="32"/>
      <c r="E23" s="48" t="s">
        <v>19</v>
      </c>
      <c r="F23" s="48" t="s">
        <v>14</v>
      </c>
      <c r="G23" s="48" t="s">
        <v>18</v>
      </c>
      <c r="H23" s="11">
        <v>6.86</v>
      </c>
      <c r="I23" s="52">
        <v>11.7</v>
      </c>
      <c r="J23" s="7">
        <v>1</v>
      </c>
      <c r="K23" s="10">
        <v>8.0262E-2</v>
      </c>
      <c r="L23" s="32"/>
      <c r="M23" s="32">
        <v>1</v>
      </c>
      <c r="N23" s="18">
        <v>8.0262E-2</v>
      </c>
      <c r="O23" s="310">
        <v>0</v>
      </c>
      <c r="P23" s="165">
        <v>0</v>
      </c>
    </row>
    <row r="24" spans="1:16">
      <c r="A24" s="47" t="s">
        <v>147</v>
      </c>
      <c r="B24" s="48" t="s">
        <v>148</v>
      </c>
      <c r="C24" s="32">
        <v>361</v>
      </c>
      <c r="D24" s="32"/>
      <c r="E24" s="48" t="s">
        <v>19</v>
      </c>
      <c r="F24" s="48" t="s">
        <v>14</v>
      </c>
      <c r="G24" s="48" t="s">
        <v>18</v>
      </c>
      <c r="H24" s="11">
        <v>6.86</v>
      </c>
      <c r="I24" s="52">
        <v>10.5</v>
      </c>
      <c r="J24" s="7">
        <v>1</v>
      </c>
      <c r="K24" s="10">
        <v>7.2029999999999997E-2</v>
      </c>
      <c r="L24" s="32"/>
      <c r="M24" s="32"/>
      <c r="N24" s="18">
        <v>0</v>
      </c>
      <c r="O24" s="310">
        <v>1</v>
      </c>
      <c r="P24" s="165">
        <v>7.2029999999999997E-2</v>
      </c>
    </row>
    <row r="25" spans="1:16">
      <c r="A25" s="47" t="s">
        <v>147</v>
      </c>
      <c r="B25" s="48" t="s">
        <v>148</v>
      </c>
      <c r="C25" s="32">
        <v>361</v>
      </c>
      <c r="D25" s="32"/>
      <c r="E25" s="48" t="s">
        <v>19</v>
      </c>
      <c r="F25" s="48" t="s">
        <v>14</v>
      </c>
      <c r="G25" s="48" t="s">
        <v>18</v>
      </c>
      <c r="H25" s="11">
        <v>6.86</v>
      </c>
      <c r="I25" s="52">
        <v>10</v>
      </c>
      <c r="J25" s="7">
        <v>1</v>
      </c>
      <c r="K25" s="10">
        <v>6.8600000000000008E-2</v>
      </c>
      <c r="L25" s="32"/>
      <c r="M25" s="32"/>
      <c r="N25" s="18">
        <v>0</v>
      </c>
      <c r="O25" s="310">
        <v>1</v>
      </c>
      <c r="P25" s="165">
        <v>6.8600000000000008E-2</v>
      </c>
    </row>
    <row r="26" spans="1:16">
      <c r="A26" s="45" t="s">
        <v>136</v>
      </c>
      <c r="B26" s="48" t="s">
        <v>171</v>
      </c>
      <c r="C26" s="32">
        <v>156</v>
      </c>
      <c r="D26" s="32"/>
      <c r="E26" s="48" t="s">
        <v>178</v>
      </c>
      <c r="F26" s="48" t="s">
        <v>14</v>
      </c>
      <c r="G26" s="48" t="s">
        <v>18</v>
      </c>
      <c r="H26" s="11">
        <v>6.86</v>
      </c>
      <c r="I26" s="9">
        <v>4.3</v>
      </c>
      <c r="J26" s="7">
        <v>1</v>
      </c>
      <c r="K26" s="10">
        <v>2.9498E-2</v>
      </c>
      <c r="L26" s="32"/>
      <c r="M26" s="32"/>
      <c r="N26" s="18">
        <v>0</v>
      </c>
      <c r="O26" s="310">
        <v>1</v>
      </c>
      <c r="P26" s="165">
        <v>2.9498E-2</v>
      </c>
    </row>
    <row r="27" spans="1:16">
      <c r="A27" s="45" t="s">
        <v>136</v>
      </c>
      <c r="B27" s="48" t="s">
        <v>171</v>
      </c>
      <c r="C27" s="32">
        <v>156</v>
      </c>
      <c r="D27" s="32"/>
      <c r="E27" s="48" t="s">
        <v>178</v>
      </c>
      <c r="F27" s="48" t="s">
        <v>14</v>
      </c>
      <c r="G27" s="48" t="s">
        <v>18</v>
      </c>
      <c r="H27" s="11">
        <v>6.86</v>
      </c>
      <c r="I27" s="9">
        <v>6.15</v>
      </c>
      <c r="J27" s="7">
        <v>2</v>
      </c>
      <c r="K27" s="10">
        <v>8.4378000000000009E-2</v>
      </c>
      <c r="L27" s="32"/>
      <c r="M27" s="32"/>
      <c r="N27" s="18">
        <v>0</v>
      </c>
      <c r="O27" s="310">
        <v>2</v>
      </c>
      <c r="P27" s="165">
        <v>8.4378000000000009E-2</v>
      </c>
    </row>
    <row r="28" spans="1:16">
      <c r="A28" s="45" t="s">
        <v>136</v>
      </c>
      <c r="B28" s="48" t="s">
        <v>171</v>
      </c>
      <c r="C28" s="32">
        <v>156</v>
      </c>
      <c r="D28" s="32"/>
      <c r="E28" s="48" t="s">
        <v>178</v>
      </c>
      <c r="F28" s="48" t="s">
        <v>14</v>
      </c>
      <c r="G28" s="48" t="s">
        <v>18</v>
      </c>
      <c r="H28" s="11">
        <v>6.86</v>
      </c>
      <c r="I28" s="9">
        <v>9</v>
      </c>
      <c r="J28" s="7">
        <v>2</v>
      </c>
      <c r="K28" s="10">
        <v>0.12348000000000001</v>
      </c>
      <c r="L28" s="32"/>
      <c r="M28" s="32"/>
      <c r="N28" s="18">
        <v>0</v>
      </c>
      <c r="O28" s="310">
        <v>2</v>
      </c>
      <c r="P28" s="165">
        <v>0.12348000000000001</v>
      </c>
    </row>
    <row r="29" spans="1:16">
      <c r="A29" s="45" t="s">
        <v>136</v>
      </c>
      <c r="B29" s="48" t="s">
        <v>171</v>
      </c>
      <c r="C29" s="32">
        <v>156</v>
      </c>
      <c r="D29" s="32"/>
      <c r="E29" s="48" t="s">
        <v>178</v>
      </c>
      <c r="F29" s="48" t="s">
        <v>14</v>
      </c>
      <c r="G29" s="48" t="s">
        <v>18</v>
      </c>
      <c r="H29" s="11">
        <v>6.86</v>
      </c>
      <c r="I29" s="9">
        <v>10</v>
      </c>
      <c r="J29" s="7">
        <v>2</v>
      </c>
      <c r="K29" s="10">
        <v>0.13720000000000002</v>
      </c>
      <c r="L29" s="32"/>
      <c r="M29" s="32"/>
      <c r="N29" s="18">
        <v>0</v>
      </c>
      <c r="O29" s="310">
        <v>2</v>
      </c>
      <c r="P29" s="165">
        <v>0.13720000000000002</v>
      </c>
    </row>
    <row r="30" spans="1:16">
      <c r="A30" s="45" t="s">
        <v>136</v>
      </c>
      <c r="B30" s="48" t="s">
        <v>171</v>
      </c>
      <c r="C30" s="32">
        <v>156</v>
      </c>
      <c r="D30" s="32"/>
      <c r="E30" s="48" t="s">
        <v>178</v>
      </c>
      <c r="F30" s="48" t="s">
        <v>14</v>
      </c>
      <c r="G30" s="48" t="s">
        <v>18</v>
      </c>
      <c r="H30" s="11">
        <v>6.86</v>
      </c>
      <c r="I30" s="9">
        <v>10.5</v>
      </c>
      <c r="J30" s="7">
        <v>1</v>
      </c>
      <c r="K30" s="10">
        <v>7.2029999999999997E-2</v>
      </c>
      <c r="L30" s="32"/>
      <c r="M30" s="32"/>
      <c r="N30" s="18">
        <v>0</v>
      </c>
      <c r="O30" s="310">
        <v>1</v>
      </c>
      <c r="P30" s="165">
        <v>7.2029999999999997E-2</v>
      </c>
    </row>
    <row r="31" spans="1:16">
      <c r="A31" s="45" t="s">
        <v>136</v>
      </c>
      <c r="B31" s="48" t="s">
        <v>171</v>
      </c>
      <c r="C31" s="32">
        <v>156</v>
      </c>
      <c r="D31" s="32"/>
      <c r="E31" s="48" t="s">
        <v>178</v>
      </c>
      <c r="F31" s="48" t="s">
        <v>14</v>
      </c>
      <c r="G31" s="48" t="s">
        <v>18</v>
      </c>
      <c r="H31" s="11">
        <v>6.86</v>
      </c>
      <c r="I31" s="9">
        <v>11.5</v>
      </c>
      <c r="J31" s="7">
        <v>1</v>
      </c>
      <c r="K31" s="10">
        <v>7.8890000000000002E-2</v>
      </c>
      <c r="L31" s="32"/>
      <c r="M31" s="32"/>
      <c r="N31" s="18">
        <v>0</v>
      </c>
      <c r="O31" s="310">
        <v>1</v>
      </c>
      <c r="P31" s="165">
        <v>7.8890000000000002E-2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3:B30"/>
  <sheetViews>
    <sheetView workbookViewId="0">
      <selection activeCell="I11" sqref="I11"/>
    </sheetView>
  </sheetViews>
  <sheetFormatPr defaultRowHeight="14.4"/>
  <cols>
    <col min="1" max="1" width="13.109375" bestFit="1" customWidth="1"/>
    <col min="2" max="2" width="14.6640625" bestFit="1" customWidth="1"/>
  </cols>
  <sheetData>
    <row r="3" spans="1:2">
      <c r="A3" s="305" t="s">
        <v>354</v>
      </c>
      <c r="B3" t="s">
        <v>417</v>
      </c>
    </row>
    <row r="4" spans="1:2">
      <c r="A4" s="306" t="s">
        <v>30</v>
      </c>
      <c r="B4" s="307">
        <v>0.87090299999999998</v>
      </c>
    </row>
    <row r="5" spans="1:2">
      <c r="A5" s="306" t="s">
        <v>22</v>
      </c>
      <c r="B5" s="307">
        <v>0.51074799999999998</v>
      </c>
    </row>
    <row r="6" spans="1:2">
      <c r="A6" s="306" t="s">
        <v>41</v>
      </c>
      <c r="B6" s="307">
        <v>1.7440400000000003</v>
      </c>
    </row>
    <row r="7" spans="1:2">
      <c r="A7" s="306" t="s">
        <v>44</v>
      </c>
      <c r="B7" s="307">
        <v>1.0545800000000001</v>
      </c>
    </row>
    <row r="8" spans="1:2">
      <c r="A8" s="306" t="s">
        <v>37</v>
      </c>
      <c r="B8" s="307">
        <v>1.03607</v>
      </c>
    </row>
    <row r="9" spans="1:2">
      <c r="A9" s="306" t="s">
        <v>38</v>
      </c>
      <c r="B9" s="307">
        <v>2.0020799999999999</v>
      </c>
    </row>
    <row r="10" spans="1:2">
      <c r="A10" s="306" t="s">
        <v>39</v>
      </c>
      <c r="B10" s="307">
        <v>2.7322100000000002</v>
      </c>
    </row>
    <row r="11" spans="1:2">
      <c r="A11" s="306" t="s">
        <v>40</v>
      </c>
      <c r="B11" s="307">
        <v>1.9536000000000002</v>
      </c>
    </row>
    <row r="12" spans="1:2">
      <c r="A12" s="306" t="s">
        <v>42</v>
      </c>
      <c r="B12" s="307">
        <v>2.3596200000000001</v>
      </c>
    </row>
    <row r="13" spans="1:2">
      <c r="A13" s="306" t="s">
        <v>50</v>
      </c>
      <c r="B13" s="307">
        <v>12.985280000000001</v>
      </c>
    </row>
    <row r="14" spans="1:2">
      <c r="A14" s="306" t="s">
        <v>48</v>
      </c>
      <c r="B14" s="307">
        <v>3.3205200000000006</v>
      </c>
    </row>
    <row r="15" spans="1:2">
      <c r="A15" s="306" t="s">
        <v>33</v>
      </c>
      <c r="B15" s="307">
        <v>1.5824000000000003</v>
      </c>
    </row>
    <row r="16" spans="1:2">
      <c r="A16" s="306" t="s">
        <v>49</v>
      </c>
      <c r="B16" s="307">
        <v>4.4631209999999992</v>
      </c>
    </row>
    <row r="17" spans="1:2">
      <c r="A17" s="306" t="s">
        <v>60</v>
      </c>
      <c r="B17" s="307">
        <v>1.8700740000000002</v>
      </c>
    </row>
    <row r="18" spans="1:2">
      <c r="A18" s="306" t="s">
        <v>56</v>
      </c>
      <c r="B18" s="307">
        <v>2.2251600000000002</v>
      </c>
    </row>
    <row r="19" spans="1:2">
      <c r="A19" s="306" t="s">
        <v>58</v>
      </c>
      <c r="B19" s="307">
        <v>3.0182739999999995</v>
      </c>
    </row>
    <row r="20" spans="1:2">
      <c r="A20" s="306" t="s">
        <v>66</v>
      </c>
      <c r="B20" s="307">
        <v>1.4514</v>
      </c>
    </row>
    <row r="21" spans="1:2">
      <c r="A21" s="306" t="s">
        <v>54</v>
      </c>
      <c r="B21" s="307">
        <v>1.8422800000000001</v>
      </c>
    </row>
    <row r="22" spans="1:2">
      <c r="A22" s="306" t="s">
        <v>57</v>
      </c>
      <c r="B22" s="307">
        <v>30.927984000000002</v>
      </c>
    </row>
    <row r="23" spans="1:2">
      <c r="A23" s="306" t="s">
        <v>53</v>
      </c>
      <c r="B23" s="307">
        <v>1.8587260000000001</v>
      </c>
    </row>
    <row r="24" spans="1:2">
      <c r="A24" s="306" t="s">
        <v>65</v>
      </c>
      <c r="B24" s="307">
        <v>1.7780359999999997</v>
      </c>
    </row>
    <row r="25" spans="1:2">
      <c r="A25" s="306" t="s">
        <v>18</v>
      </c>
      <c r="B25" s="307">
        <v>2.0237000000000003</v>
      </c>
    </row>
    <row r="26" spans="1:2">
      <c r="A26" s="306" t="s">
        <v>27</v>
      </c>
      <c r="B26" s="307">
        <v>0.52444999999999997</v>
      </c>
    </row>
    <row r="27" spans="1:2">
      <c r="A27" s="306" t="s">
        <v>25</v>
      </c>
      <c r="B27" s="307">
        <v>0.35231999999999997</v>
      </c>
    </row>
    <row r="28" spans="1:2">
      <c r="A28" s="306" t="s">
        <v>32</v>
      </c>
      <c r="B28" s="307">
        <v>0.35192000000000007</v>
      </c>
    </row>
    <row r="29" spans="1:2">
      <c r="A29" s="306" t="s">
        <v>34</v>
      </c>
      <c r="B29" s="307">
        <v>0.86105599999999993</v>
      </c>
    </row>
    <row r="30" spans="1:2">
      <c r="A30" s="306" t="s">
        <v>355</v>
      </c>
      <c r="B30" s="307">
        <v>85.70055200000003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1"/>
  <dimension ref="A2:H225"/>
  <sheetViews>
    <sheetView topLeftCell="A20" workbookViewId="0">
      <selection activeCell="G7" sqref="G7:G222"/>
    </sheetView>
  </sheetViews>
  <sheetFormatPr defaultRowHeight="14.4"/>
  <cols>
    <col min="1" max="1" width="15.44140625" bestFit="1" customWidth="1"/>
    <col min="2" max="2" width="3.88671875" bestFit="1" customWidth="1"/>
    <col min="3" max="3" width="11.5546875" bestFit="1" customWidth="1"/>
    <col min="4" max="4" width="4.88671875" bestFit="1" customWidth="1"/>
    <col min="5" max="5" width="5.88671875" bestFit="1" customWidth="1"/>
    <col min="6" max="6" width="3.88671875" bestFit="1" customWidth="1"/>
    <col min="7" max="7" width="7" bestFit="1" customWidth="1"/>
    <col min="8" max="8" width="20.6640625" customWidth="1"/>
  </cols>
  <sheetData>
    <row r="2" spans="1:8" s="213" customFormat="1">
      <c r="A2" s="76" t="s">
        <v>416</v>
      </c>
      <c r="B2" s="76"/>
      <c r="C2" s="76"/>
      <c r="D2" s="76"/>
    </row>
    <row r="3" spans="1:8" s="213" customFormat="1"/>
    <row r="4" spans="1:8">
      <c r="A4" s="343" t="s">
        <v>409</v>
      </c>
      <c r="B4" s="343" t="s">
        <v>410</v>
      </c>
      <c r="C4" s="343" t="s">
        <v>357</v>
      </c>
      <c r="D4" s="343" t="s">
        <v>411</v>
      </c>
      <c r="E4" s="343" t="s">
        <v>412</v>
      </c>
      <c r="F4" s="343" t="s">
        <v>413</v>
      </c>
      <c r="G4" s="343" t="s">
        <v>358</v>
      </c>
      <c r="H4" s="343" t="s">
        <v>414</v>
      </c>
    </row>
    <row r="5" spans="1:8" hidden="1">
      <c r="A5" s="344" t="s">
        <v>72</v>
      </c>
      <c r="B5" s="112" t="s">
        <v>15</v>
      </c>
      <c r="C5" s="112" t="s">
        <v>49</v>
      </c>
      <c r="D5" s="120">
        <v>17.82</v>
      </c>
      <c r="E5" s="341">
        <v>5.5</v>
      </c>
      <c r="F5" s="119">
        <v>1</v>
      </c>
      <c r="G5" s="117">
        <f>E5*D5*F5/1000</f>
        <v>9.801E-2</v>
      </c>
      <c r="H5" s="341"/>
    </row>
    <row r="6" spans="1:8" hidden="1">
      <c r="A6" s="344" t="s">
        <v>72</v>
      </c>
      <c r="B6" s="112" t="s">
        <v>15</v>
      </c>
      <c r="C6" s="112" t="s">
        <v>49</v>
      </c>
      <c r="D6" s="120">
        <v>17.82</v>
      </c>
      <c r="E6" s="341">
        <v>6.1</v>
      </c>
      <c r="F6" s="119">
        <v>2</v>
      </c>
      <c r="G6" s="117">
        <f t="shared" ref="G6:G69" si="0">E6*D6*F6/1000</f>
        <v>0.21740399999999999</v>
      </c>
      <c r="H6" s="341"/>
    </row>
    <row r="7" spans="1:8">
      <c r="A7" s="344" t="s">
        <v>72</v>
      </c>
      <c r="B7" s="112" t="s">
        <v>15</v>
      </c>
      <c r="C7" s="112" t="s">
        <v>57</v>
      </c>
      <c r="D7" s="120">
        <v>33.72</v>
      </c>
      <c r="E7" s="341">
        <v>7.3</v>
      </c>
      <c r="F7" s="119">
        <v>1</v>
      </c>
      <c r="G7" s="117">
        <f t="shared" si="0"/>
        <v>0.24615599999999999</v>
      </c>
      <c r="H7" s="341"/>
    </row>
    <row r="8" spans="1:8">
      <c r="A8" s="344" t="s">
        <v>72</v>
      </c>
      <c r="B8" s="112" t="s">
        <v>15</v>
      </c>
      <c r="C8" s="112" t="s">
        <v>57</v>
      </c>
      <c r="D8" s="120">
        <v>33.72</v>
      </c>
      <c r="E8" s="341">
        <v>7.8</v>
      </c>
      <c r="F8" s="119">
        <v>3</v>
      </c>
      <c r="G8" s="117">
        <f t="shared" si="0"/>
        <v>0.78904799999999986</v>
      </c>
      <c r="H8" s="341"/>
    </row>
    <row r="9" spans="1:8">
      <c r="A9" s="344" t="s">
        <v>72</v>
      </c>
      <c r="B9" s="112" t="s">
        <v>15</v>
      </c>
      <c r="C9" s="112" t="s">
        <v>57</v>
      </c>
      <c r="D9" s="120">
        <v>33.72</v>
      </c>
      <c r="E9" s="341">
        <v>7.7</v>
      </c>
      <c r="F9" s="119">
        <v>1</v>
      </c>
      <c r="G9" s="117">
        <f t="shared" si="0"/>
        <v>0.25964399999999999</v>
      </c>
      <c r="H9" s="341"/>
    </row>
    <row r="10" spans="1:8" hidden="1">
      <c r="A10" s="344" t="s">
        <v>72</v>
      </c>
      <c r="B10" s="112" t="s">
        <v>15</v>
      </c>
      <c r="C10" s="112" t="s">
        <v>49</v>
      </c>
      <c r="D10" s="120">
        <v>17.82</v>
      </c>
      <c r="E10" s="341">
        <v>6.2</v>
      </c>
      <c r="F10" s="119">
        <v>1</v>
      </c>
      <c r="G10" s="117">
        <f t="shared" si="0"/>
        <v>0.11048400000000001</v>
      </c>
      <c r="H10" s="341"/>
    </row>
    <row r="11" spans="1:8">
      <c r="A11" s="344" t="s">
        <v>72</v>
      </c>
      <c r="B11" s="112" t="s">
        <v>15</v>
      </c>
      <c r="C11" s="112" t="s">
        <v>57</v>
      </c>
      <c r="D11" s="120">
        <v>33.72</v>
      </c>
      <c r="E11" s="341">
        <v>6.5</v>
      </c>
      <c r="F11" s="119">
        <v>5</v>
      </c>
      <c r="G11" s="117">
        <f t="shared" si="0"/>
        <v>1.0959000000000001</v>
      </c>
      <c r="H11" s="341"/>
    </row>
    <row r="12" spans="1:8">
      <c r="A12" s="344" t="s">
        <v>72</v>
      </c>
      <c r="B12" s="112" t="s">
        <v>15</v>
      </c>
      <c r="C12" s="112" t="s">
        <v>57</v>
      </c>
      <c r="D12" s="120">
        <v>33.72</v>
      </c>
      <c r="E12" s="341">
        <v>6</v>
      </c>
      <c r="F12" s="119">
        <v>1</v>
      </c>
      <c r="G12" s="117">
        <f t="shared" si="0"/>
        <v>0.20232</v>
      </c>
      <c r="H12" s="341"/>
    </row>
    <row r="13" spans="1:8">
      <c r="A13" s="344" t="s">
        <v>72</v>
      </c>
      <c r="B13" s="112" t="s">
        <v>15</v>
      </c>
      <c r="C13" s="112" t="s">
        <v>57</v>
      </c>
      <c r="D13" s="120">
        <v>33.72</v>
      </c>
      <c r="E13" s="341">
        <v>6.5</v>
      </c>
      <c r="F13" s="119">
        <v>6</v>
      </c>
      <c r="G13" s="117">
        <f t="shared" si="0"/>
        <v>1.31508</v>
      </c>
      <c r="H13" s="341"/>
    </row>
    <row r="14" spans="1:8">
      <c r="A14" s="344" t="s">
        <v>72</v>
      </c>
      <c r="B14" s="112" t="s">
        <v>15</v>
      </c>
      <c r="C14" s="112" t="s">
        <v>57</v>
      </c>
      <c r="D14" s="120">
        <v>33.72</v>
      </c>
      <c r="E14" s="341">
        <v>6.15</v>
      </c>
      <c r="F14" s="119">
        <v>2</v>
      </c>
      <c r="G14" s="117">
        <f t="shared" si="0"/>
        <v>0.41475600000000001</v>
      </c>
      <c r="H14" s="341"/>
    </row>
    <row r="15" spans="1:8">
      <c r="A15" s="344" t="s">
        <v>72</v>
      </c>
      <c r="B15" s="112" t="s">
        <v>15</v>
      </c>
      <c r="C15" s="112" t="s">
        <v>57</v>
      </c>
      <c r="D15" s="120">
        <v>33.72</v>
      </c>
      <c r="E15" s="341">
        <v>7</v>
      </c>
      <c r="F15" s="119">
        <v>1</v>
      </c>
      <c r="G15" s="117">
        <f t="shared" si="0"/>
        <v>0.23604</v>
      </c>
      <c r="H15" s="341"/>
    </row>
    <row r="16" spans="1:8">
      <c r="A16" s="344" t="s">
        <v>72</v>
      </c>
      <c r="B16" s="112" t="s">
        <v>15</v>
      </c>
      <c r="C16" s="112" t="s">
        <v>57</v>
      </c>
      <c r="D16" s="120">
        <v>33.72</v>
      </c>
      <c r="E16" s="341">
        <v>7.7</v>
      </c>
      <c r="F16" s="119">
        <v>1</v>
      </c>
      <c r="G16" s="117">
        <f t="shared" si="0"/>
        <v>0.25964399999999999</v>
      </c>
      <c r="H16" s="341"/>
    </row>
    <row r="17" spans="1:8">
      <c r="A17" s="344" t="s">
        <v>72</v>
      </c>
      <c r="B17" s="112" t="s">
        <v>15</v>
      </c>
      <c r="C17" s="112" t="s">
        <v>57</v>
      </c>
      <c r="D17" s="120">
        <v>33.72</v>
      </c>
      <c r="E17" s="341">
        <v>6.7</v>
      </c>
      <c r="F17" s="119">
        <v>1</v>
      </c>
      <c r="G17" s="117">
        <f t="shared" si="0"/>
        <v>0.22592400000000001</v>
      </c>
      <c r="H17" s="341"/>
    </row>
    <row r="18" spans="1:8">
      <c r="A18" s="344" t="s">
        <v>72</v>
      </c>
      <c r="B18" s="112" t="s">
        <v>15</v>
      </c>
      <c r="C18" s="112" t="s">
        <v>57</v>
      </c>
      <c r="D18" s="120">
        <v>33.72</v>
      </c>
      <c r="E18" s="341">
        <v>7.1</v>
      </c>
      <c r="F18" s="119">
        <v>1</v>
      </c>
      <c r="G18" s="117">
        <f t="shared" si="0"/>
        <v>0.23941199999999999</v>
      </c>
      <c r="H18" s="341"/>
    </row>
    <row r="19" spans="1:8">
      <c r="A19" s="344" t="s">
        <v>72</v>
      </c>
      <c r="B19" s="112" t="s">
        <v>15</v>
      </c>
      <c r="C19" s="112" t="s">
        <v>57</v>
      </c>
      <c r="D19" s="120">
        <v>33.72</v>
      </c>
      <c r="E19" s="341">
        <v>8.5</v>
      </c>
      <c r="F19" s="119">
        <v>1</v>
      </c>
      <c r="G19" s="117">
        <f t="shared" si="0"/>
        <v>0.28661999999999999</v>
      </c>
      <c r="H19" s="341"/>
    </row>
    <row r="20" spans="1:8">
      <c r="A20" s="344" t="s">
        <v>72</v>
      </c>
      <c r="B20" s="112" t="s">
        <v>15</v>
      </c>
      <c r="C20" s="112" t="s">
        <v>57</v>
      </c>
      <c r="D20" s="120">
        <v>33.72</v>
      </c>
      <c r="E20" s="341">
        <v>6.7</v>
      </c>
      <c r="F20" s="119">
        <v>1</v>
      </c>
      <c r="G20" s="117">
        <f t="shared" si="0"/>
        <v>0.22592400000000001</v>
      </c>
      <c r="H20" s="341"/>
    </row>
    <row r="21" spans="1:8">
      <c r="A21" s="344" t="s">
        <v>72</v>
      </c>
      <c r="B21" s="112" t="s">
        <v>15</v>
      </c>
      <c r="C21" s="112" t="s">
        <v>57</v>
      </c>
      <c r="D21" s="120">
        <v>33.72</v>
      </c>
      <c r="E21" s="341">
        <v>7</v>
      </c>
      <c r="F21" s="119">
        <v>7</v>
      </c>
      <c r="G21" s="117">
        <f t="shared" si="0"/>
        <v>1.65228</v>
      </c>
      <c r="H21" s="341"/>
    </row>
    <row r="22" spans="1:8" hidden="1">
      <c r="A22" s="344" t="s">
        <v>72</v>
      </c>
      <c r="B22" s="112" t="s">
        <v>15</v>
      </c>
      <c r="C22" s="112" t="s">
        <v>58</v>
      </c>
      <c r="D22" s="120">
        <v>27.29</v>
      </c>
      <c r="E22" s="341">
        <v>5.8</v>
      </c>
      <c r="F22" s="119">
        <v>1</v>
      </c>
      <c r="G22" s="117">
        <f t="shared" si="0"/>
        <v>0.15828199999999998</v>
      </c>
      <c r="H22" s="341"/>
    </row>
    <row r="23" spans="1:8" hidden="1">
      <c r="A23" s="344" t="s">
        <v>72</v>
      </c>
      <c r="B23" s="112" t="s">
        <v>15</v>
      </c>
      <c r="C23" s="112" t="s">
        <v>58</v>
      </c>
      <c r="D23" s="120">
        <v>27.29</v>
      </c>
      <c r="E23" s="341">
        <v>6</v>
      </c>
      <c r="F23" s="119">
        <v>1</v>
      </c>
      <c r="G23" s="117">
        <f t="shared" si="0"/>
        <v>0.16374</v>
      </c>
      <c r="H23" s="341"/>
    </row>
    <row r="24" spans="1:8">
      <c r="A24" s="344" t="s">
        <v>72</v>
      </c>
      <c r="B24" s="112" t="s">
        <v>15</v>
      </c>
      <c r="C24" s="112" t="s">
        <v>57</v>
      </c>
      <c r="D24" s="120">
        <v>33.72</v>
      </c>
      <c r="E24" s="341">
        <v>5.6</v>
      </c>
      <c r="F24" s="119">
        <v>1</v>
      </c>
      <c r="G24" s="117">
        <f t="shared" si="0"/>
        <v>0.188832</v>
      </c>
      <c r="H24" s="341"/>
    </row>
    <row r="25" spans="1:8">
      <c r="A25" s="344" t="s">
        <v>72</v>
      </c>
      <c r="B25" s="112" t="s">
        <v>15</v>
      </c>
      <c r="C25" s="112" t="s">
        <v>57</v>
      </c>
      <c r="D25" s="120">
        <v>33.72</v>
      </c>
      <c r="E25" s="341">
        <v>6.2</v>
      </c>
      <c r="F25" s="119">
        <v>1</v>
      </c>
      <c r="G25" s="117">
        <f t="shared" si="0"/>
        <v>0.209064</v>
      </c>
      <c r="H25" s="341"/>
    </row>
    <row r="26" spans="1:8" hidden="1">
      <c r="A26" s="344" t="s">
        <v>72</v>
      </c>
      <c r="B26" s="112" t="s">
        <v>15</v>
      </c>
      <c r="C26" s="112" t="s">
        <v>48</v>
      </c>
      <c r="D26" s="120">
        <v>23.6</v>
      </c>
      <c r="E26" s="341">
        <v>7.8</v>
      </c>
      <c r="F26" s="119">
        <v>1</v>
      </c>
      <c r="G26" s="117">
        <f t="shared" si="0"/>
        <v>0.18408000000000002</v>
      </c>
      <c r="H26" s="341"/>
    </row>
    <row r="27" spans="1:8" hidden="1">
      <c r="A27" s="344" t="s">
        <v>72</v>
      </c>
      <c r="B27" s="112" t="s">
        <v>15</v>
      </c>
      <c r="C27" s="112" t="s">
        <v>48</v>
      </c>
      <c r="D27" s="120">
        <v>23.6</v>
      </c>
      <c r="E27" s="341">
        <v>8.3000000000000007</v>
      </c>
      <c r="F27" s="119">
        <v>1</v>
      </c>
      <c r="G27" s="117">
        <f t="shared" si="0"/>
        <v>0.19588000000000003</v>
      </c>
      <c r="H27" s="341"/>
    </row>
    <row r="28" spans="1:8" hidden="1">
      <c r="A28" s="344" t="s">
        <v>72</v>
      </c>
      <c r="B28" s="112" t="s">
        <v>15</v>
      </c>
      <c r="C28" s="112" t="s">
        <v>48</v>
      </c>
      <c r="D28" s="120">
        <v>23.6</v>
      </c>
      <c r="E28" s="341">
        <v>11</v>
      </c>
      <c r="F28" s="119">
        <v>1</v>
      </c>
      <c r="G28" s="117">
        <f t="shared" si="0"/>
        <v>0.2596</v>
      </c>
      <c r="H28" s="341"/>
    </row>
    <row r="29" spans="1:8" hidden="1">
      <c r="A29" s="344" t="s">
        <v>72</v>
      </c>
      <c r="B29" s="112" t="s">
        <v>15</v>
      </c>
      <c r="C29" s="112" t="s">
        <v>56</v>
      </c>
      <c r="D29" s="120">
        <v>25.2</v>
      </c>
      <c r="E29" s="341">
        <v>9.9</v>
      </c>
      <c r="F29" s="119">
        <v>1</v>
      </c>
      <c r="G29" s="117">
        <f t="shared" si="0"/>
        <v>0.24947999999999998</v>
      </c>
      <c r="H29" s="341"/>
    </row>
    <row r="30" spans="1:8" hidden="1">
      <c r="A30" s="344" t="s">
        <v>72</v>
      </c>
      <c r="B30" s="112" t="s">
        <v>15</v>
      </c>
      <c r="C30" s="112" t="s">
        <v>53</v>
      </c>
      <c r="D30" s="120">
        <v>35.840000000000003</v>
      </c>
      <c r="E30" s="341">
        <v>7.4</v>
      </c>
      <c r="F30" s="119">
        <v>1</v>
      </c>
      <c r="G30" s="117">
        <f t="shared" si="0"/>
        <v>0.26521600000000006</v>
      </c>
      <c r="H30" s="341"/>
    </row>
    <row r="31" spans="1:8">
      <c r="A31" s="344" t="s">
        <v>72</v>
      </c>
      <c r="B31" s="112" t="s">
        <v>15</v>
      </c>
      <c r="C31" s="112" t="s">
        <v>57</v>
      </c>
      <c r="D31" s="120">
        <v>33.72</v>
      </c>
      <c r="E31" s="341">
        <v>7.5</v>
      </c>
      <c r="F31" s="119">
        <v>2</v>
      </c>
      <c r="G31" s="117">
        <f t="shared" si="0"/>
        <v>0.50579999999999992</v>
      </c>
      <c r="H31" s="341"/>
    </row>
    <row r="32" spans="1:8">
      <c r="A32" s="344" t="s">
        <v>72</v>
      </c>
      <c r="B32" s="112" t="s">
        <v>15</v>
      </c>
      <c r="C32" s="112" t="s">
        <v>57</v>
      </c>
      <c r="D32" s="120">
        <v>33.72</v>
      </c>
      <c r="E32" s="341">
        <v>7.8</v>
      </c>
      <c r="F32" s="119">
        <v>3</v>
      </c>
      <c r="G32" s="117">
        <f t="shared" si="0"/>
        <v>0.78904799999999986</v>
      </c>
      <c r="H32" s="341"/>
    </row>
    <row r="33" spans="1:8">
      <c r="A33" s="344" t="s">
        <v>72</v>
      </c>
      <c r="B33" s="112" t="s">
        <v>15</v>
      </c>
      <c r="C33" s="112" t="s">
        <v>57</v>
      </c>
      <c r="D33" s="120">
        <v>33.72</v>
      </c>
      <c r="E33" s="341">
        <v>6.5</v>
      </c>
      <c r="F33" s="119">
        <v>1</v>
      </c>
      <c r="G33" s="117">
        <f t="shared" si="0"/>
        <v>0.21918000000000001</v>
      </c>
      <c r="H33" s="341"/>
    </row>
    <row r="34" spans="1:8">
      <c r="A34" s="344" t="s">
        <v>72</v>
      </c>
      <c r="B34" s="112" t="s">
        <v>15</v>
      </c>
      <c r="C34" s="112" t="s">
        <v>57</v>
      </c>
      <c r="D34" s="120">
        <v>33.72</v>
      </c>
      <c r="E34" s="341">
        <v>7.8</v>
      </c>
      <c r="F34" s="119">
        <v>11</v>
      </c>
      <c r="G34" s="117">
        <f t="shared" si="0"/>
        <v>2.8931759999999995</v>
      </c>
      <c r="H34" s="341"/>
    </row>
    <row r="35" spans="1:8" hidden="1">
      <c r="A35" s="344" t="s">
        <v>72</v>
      </c>
      <c r="B35" s="112" t="s">
        <v>15</v>
      </c>
      <c r="C35" s="112" t="s">
        <v>58</v>
      </c>
      <c r="D35" s="120">
        <v>27.29</v>
      </c>
      <c r="E35" s="341">
        <v>6</v>
      </c>
      <c r="F35" s="119">
        <v>2</v>
      </c>
      <c r="G35" s="117">
        <f t="shared" si="0"/>
        <v>0.32747999999999999</v>
      </c>
      <c r="H35" s="341"/>
    </row>
    <row r="36" spans="1:8">
      <c r="A36" s="344" t="s">
        <v>72</v>
      </c>
      <c r="B36" s="112" t="s">
        <v>15</v>
      </c>
      <c r="C36" s="112" t="s">
        <v>57</v>
      </c>
      <c r="D36" s="120">
        <v>33.72</v>
      </c>
      <c r="E36" s="341">
        <v>7.3</v>
      </c>
      <c r="F36" s="119">
        <v>1</v>
      </c>
      <c r="G36" s="117">
        <f t="shared" si="0"/>
        <v>0.24615599999999999</v>
      </c>
      <c r="H36" s="341"/>
    </row>
    <row r="37" spans="1:8">
      <c r="A37" s="344" t="s">
        <v>72</v>
      </c>
      <c r="B37" s="112" t="s">
        <v>15</v>
      </c>
      <c r="C37" s="112" t="s">
        <v>57</v>
      </c>
      <c r="D37" s="120">
        <v>33.72</v>
      </c>
      <c r="E37" s="341">
        <v>7.5</v>
      </c>
      <c r="F37" s="119">
        <v>8</v>
      </c>
      <c r="G37" s="117">
        <f t="shared" si="0"/>
        <v>2.0231999999999997</v>
      </c>
      <c r="H37" s="341"/>
    </row>
    <row r="38" spans="1:8">
      <c r="A38" s="344" t="s">
        <v>72</v>
      </c>
      <c r="B38" s="112" t="s">
        <v>15</v>
      </c>
      <c r="C38" s="112" t="s">
        <v>57</v>
      </c>
      <c r="D38" s="120">
        <v>33.72</v>
      </c>
      <c r="E38" s="341">
        <v>7.8</v>
      </c>
      <c r="F38" s="119">
        <v>11</v>
      </c>
      <c r="G38" s="117">
        <f t="shared" si="0"/>
        <v>2.8931759999999995</v>
      </c>
      <c r="H38" s="341"/>
    </row>
    <row r="39" spans="1:8" hidden="1">
      <c r="A39" s="344" t="s">
        <v>72</v>
      </c>
      <c r="B39" s="112" t="s">
        <v>15</v>
      </c>
      <c r="C39" s="112" t="s">
        <v>40</v>
      </c>
      <c r="D39" s="120">
        <v>16.5</v>
      </c>
      <c r="E39" s="341">
        <v>7.1</v>
      </c>
      <c r="F39" s="119">
        <v>1</v>
      </c>
      <c r="G39" s="117">
        <f t="shared" si="0"/>
        <v>0.11714999999999999</v>
      </c>
      <c r="H39" s="341"/>
    </row>
    <row r="40" spans="1:8" hidden="1">
      <c r="A40" s="344" t="s">
        <v>72</v>
      </c>
      <c r="B40" s="112" t="s">
        <v>15</v>
      </c>
      <c r="C40" s="112" t="s">
        <v>42</v>
      </c>
      <c r="D40" s="120">
        <v>19.72</v>
      </c>
      <c r="E40" s="341">
        <v>6</v>
      </c>
      <c r="F40" s="119">
        <v>3</v>
      </c>
      <c r="G40" s="117">
        <f t="shared" si="0"/>
        <v>0.35496</v>
      </c>
      <c r="H40" s="341"/>
    </row>
    <row r="41" spans="1:8" hidden="1">
      <c r="A41" s="344" t="s">
        <v>72</v>
      </c>
      <c r="B41" s="112" t="s">
        <v>15</v>
      </c>
      <c r="C41" s="112" t="s">
        <v>37</v>
      </c>
      <c r="D41" s="120">
        <v>18.149999999999999</v>
      </c>
      <c r="E41" s="341">
        <v>9</v>
      </c>
      <c r="F41" s="119">
        <v>1</v>
      </c>
      <c r="G41" s="117">
        <f t="shared" si="0"/>
        <v>0.16335</v>
      </c>
      <c r="H41" s="341"/>
    </row>
    <row r="42" spans="1:8" hidden="1">
      <c r="A42" s="344" t="s">
        <v>72</v>
      </c>
      <c r="B42" s="112" t="s">
        <v>15</v>
      </c>
      <c r="C42" s="112" t="s">
        <v>37</v>
      </c>
      <c r="D42" s="120">
        <v>18.149999999999999</v>
      </c>
      <c r="E42" s="341">
        <v>9.3000000000000007</v>
      </c>
      <c r="F42" s="119">
        <v>1</v>
      </c>
      <c r="G42" s="117">
        <f t="shared" si="0"/>
        <v>0.168795</v>
      </c>
      <c r="H42" s="341"/>
    </row>
    <row r="43" spans="1:8" hidden="1">
      <c r="A43" s="344" t="s">
        <v>72</v>
      </c>
      <c r="B43" s="112" t="s">
        <v>15</v>
      </c>
      <c r="C43" s="112" t="s">
        <v>60</v>
      </c>
      <c r="D43" s="120">
        <v>22.93</v>
      </c>
      <c r="E43" s="342">
        <v>9.5</v>
      </c>
      <c r="F43" s="119">
        <v>1</v>
      </c>
      <c r="G43" s="117">
        <f t="shared" si="0"/>
        <v>0.217835</v>
      </c>
      <c r="H43" s="342"/>
    </row>
    <row r="44" spans="1:8" hidden="1">
      <c r="A44" s="344" t="s">
        <v>72</v>
      </c>
      <c r="B44" s="112" t="s">
        <v>15</v>
      </c>
      <c r="C44" s="112" t="s">
        <v>60</v>
      </c>
      <c r="D44" s="120">
        <v>22.93</v>
      </c>
      <c r="E44" s="342">
        <v>7.3</v>
      </c>
      <c r="F44" s="119">
        <v>1</v>
      </c>
      <c r="G44" s="117">
        <f t="shared" si="0"/>
        <v>0.16738899999999998</v>
      </c>
      <c r="H44" s="342"/>
    </row>
    <row r="45" spans="1:8">
      <c r="A45" s="344" t="s">
        <v>72</v>
      </c>
      <c r="B45" s="112" t="s">
        <v>15</v>
      </c>
      <c r="C45" s="112" t="s">
        <v>57</v>
      </c>
      <c r="D45" s="120">
        <v>33.72</v>
      </c>
      <c r="E45" s="342">
        <v>5.3</v>
      </c>
      <c r="F45" s="119">
        <v>1</v>
      </c>
      <c r="G45" s="117">
        <f t="shared" si="0"/>
        <v>0.17871599999999999</v>
      </c>
      <c r="H45" s="112"/>
    </row>
    <row r="46" spans="1:8">
      <c r="A46" s="344" t="s">
        <v>72</v>
      </c>
      <c r="B46" s="112" t="s">
        <v>15</v>
      </c>
      <c r="C46" s="112" t="s">
        <v>57</v>
      </c>
      <c r="D46" s="120">
        <v>33.72</v>
      </c>
      <c r="E46" s="341">
        <v>8.5</v>
      </c>
      <c r="F46" s="119">
        <v>1</v>
      </c>
      <c r="G46" s="117">
        <f t="shared" si="0"/>
        <v>0.28661999999999999</v>
      </c>
      <c r="H46" s="112"/>
    </row>
    <row r="47" spans="1:8">
      <c r="A47" s="344" t="s">
        <v>72</v>
      </c>
      <c r="B47" s="112" t="s">
        <v>15</v>
      </c>
      <c r="C47" s="112" t="s">
        <v>57</v>
      </c>
      <c r="D47" s="120">
        <v>33.72</v>
      </c>
      <c r="E47" s="341">
        <v>10</v>
      </c>
      <c r="F47" s="119">
        <v>1</v>
      </c>
      <c r="G47" s="117">
        <f t="shared" si="0"/>
        <v>0.3372</v>
      </c>
      <c r="H47" s="112"/>
    </row>
    <row r="48" spans="1:8">
      <c r="A48" s="344" t="s">
        <v>72</v>
      </c>
      <c r="B48" s="112" t="s">
        <v>15</v>
      </c>
      <c r="C48" s="112" t="s">
        <v>57</v>
      </c>
      <c r="D48" s="120">
        <v>33.72</v>
      </c>
      <c r="E48" s="341">
        <v>10.199999999999999</v>
      </c>
      <c r="F48" s="119">
        <v>1</v>
      </c>
      <c r="G48" s="117">
        <f t="shared" si="0"/>
        <v>0.34394399999999997</v>
      </c>
      <c r="H48" s="112"/>
    </row>
    <row r="49" spans="1:8" hidden="1">
      <c r="A49" s="344" t="s">
        <v>72</v>
      </c>
      <c r="B49" s="112" t="s">
        <v>15</v>
      </c>
      <c r="C49" s="112" t="s">
        <v>60</v>
      </c>
      <c r="D49" s="120">
        <v>22.93</v>
      </c>
      <c r="E49" s="341">
        <v>6</v>
      </c>
      <c r="F49" s="119">
        <v>2</v>
      </c>
      <c r="G49" s="117">
        <f t="shared" si="0"/>
        <v>0.27515999999999996</v>
      </c>
      <c r="H49" s="112"/>
    </row>
    <row r="50" spans="1:8" hidden="1">
      <c r="A50" s="344" t="s">
        <v>72</v>
      </c>
      <c r="B50" s="112" t="s">
        <v>15</v>
      </c>
      <c r="C50" s="112" t="s">
        <v>27</v>
      </c>
      <c r="D50" s="120">
        <v>6.17</v>
      </c>
      <c r="E50" s="341">
        <v>9.5</v>
      </c>
      <c r="F50" s="119">
        <v>8</v>
      </c>
      <c r="G50" s="117">
        <f t="shared" si="0"/>
        <v>0.46892</v>
      </c>
      <c r="H50" s="341"/>
    </row>
    <row r="51" spans="1:8" hidden="1">
      <c r="A51" s="344" t="s">
        <v>72</v>
      </c>
      <c r="B51" s="112" t="s">
        <v>15</v>
      </c>
      <c r="C51" s="112" t="s">
        <v>27</v>
      </c>
      <c r="D51" s="120">
        <v>6.17</v>
      </c>
      <c r="E51" s="341">
        <v>9</v>
      </c>
      <c r="F51" s="119">
        <v>1</v>
      </c>
      <c r="G51" s="117">
        <f t="shared" si="0"/>
        <v>5.5530000000000003E-2</v>
      </c>
      <c r="H51" s="341"/>
    </row>
    <row r="52" spans="1:8" hidden="1">
      <c r="A52" s="344" t="s">
        <v>72</v>
      </c>
      <c r="B52" s="112" t="s">
        <v>15</v>
      </c>
      <c r="C52" s="112" t="s">
        <v>49</v>
      </c>
      <c r="D52" s="120">
        <v>17.82</v>
      </c>
      <c r="E52" s="341">
        <v>6.8</v>
      </c>
      <c r="F52" s="119">
        <v>1</v>
      </c>
      <c r="G52" s="117">
        <f t="shared" si="0"/>
        <v>0.12117600000000001</v>
      </c>
      <c r="H52" s="341"/>
    </row>
    <row r="53" spans="1:8" hidden="1">
      <c r="A53" s="344" t="s">
        <v>72</v>
      </c>
      <c r="B53" s="112" t="s">
        <v>15</v>
      </c>
      <c r="C53" s="112" t="s">
        <v>49</v>
      </c>
      <c r="D53" s="120">
        <v>17.82</v>
      </c>
      <c r="E53" s="341">
        <v>7.6</v>
      </c>
      <c r="F53" s="119">
        <v>1</v>
      </c>
      <c r="G53" s="117">
        <f t="shared" si="0"/>
        <v>0.135432</v>
      </c>
      <c r="H53" s="341"/>
    </row>
    <row r="54" spans="1:8" hidden="1">
      <c r="A54" s="344" t="s">
        <v>72</v>
      </c>
      <c r="B54" s="112" t="s">
        <v>15</v>
      </c>
      <c r="C54" s="112" t="s">
        <v>65</v>
      </c>
      <c r="D54" s="120">
        <v>44.12</v>
      </c>
      <c r="E54" s="341">
        <v>10.1</v>
      </c>
      <c r="F54" s="119">
        <v>3</v>
      </c>
      <c r="G54" s="117">
        <f t="shared" si="0"/>
        <v>1.3368359999999997</v>
      </c>
      <c r="H54" s="341"/>
    </row>
    <row r="55" spans="1:8" hidden="1">
      <c r="A55" s="344" t="s">
        <v>72</v>
      </c>
      <c r="B55" s="112" t="s">
        <v>15</v>
      </c>
      <c r="C55" s="112" t="s">
        <v>65</v>
      </c>
      <c r="D55" s="120">
        <v>44.12</v>
      </c>
      <c r="E55" s="341">
        <v>10</v>
      </c>
      <c r="F55" s="119">
        <v>1</v>
      </c>
      <c r="G55" s="117">
        <f t="shared" si="0"/>
        <v>0.44119999999999998</v>
      </c>
      <c r="H55" s="341"/>
    </row>
    <row r="56" spans="1:8" hidden="1">
      <c r="A56" s="344" t="s">
        <v>72</v>
      </c>
      <c r="B56" s="112" t="s">
        <v>15</v>
      </c>
      <c r="C56" s="112" t="s">
        <v>18</v>
      </c>
      <c r="D56" s="120">
        <v>6.86</v>
      </c>
      <c r="E56" s="341">
        <v>9.5</v>
      </c>
      <c r="F56" s="119">
        <v>3</v>
      </c>
      <c r="G56" s="117">
        <f t="shared" si="0"/>
        <v>0.19550999999999999</v>
      </c>
      <c r="H56" s="341"/>
    </row>
    <row r="57" spans="1:8" hidden="1">
      <c r="A57" s="344" t="s">
        <v>72</v>
      </c>
      <c r="B57" s="112" t="s">
        <v>15</v>
      </c>
      <c r="C57" s="112" t="s">
        <v>18</v>
      </c>
      <c r="D57" s="120">
        <v>6.86</v>
      </c>
      <c r="E57" s="341">
        <v>10</v>
      </c>
      <c r="F57" s="119">
        <v>9</v>
      </c>
      <c r="G57" s="117">
        <f t="shared" si="0"/>
        <v>0.61740000000000006</v>
      </c>
      <c r="H57" s="341"/>
    </row>
    <row r="58" spans="1:8" hidden="1">
      <c r="A58" s="344" t="s">
        <v>72</v>
      </c>
      <c r="B58" s="112" t="s">
        <v>15</v>
      </c>
      <c r="C58" s="112" t="s">
        <v>18</v>
      </c>
      <c r="D58" s="120">
        <v>6.86</v>
      </c>
      <c r="E58" s="341">
        <v>11</v>
      </c>
      <c r="F58" s="119">
        <v>3</v>
      </c>
      <c r="G58" s="117">
        <f t="shared" si="0"/>
        <v>0.22638000000000003</v>
      </c>
      <c r="H58" s="341"/>
    </row>
    <row r="59" spans="1:8" hidden="1">
      <c r="A59" s="344" t="s">
        <v>72</v>
      </c>
      <c r="B59" s="112" t="s">
        <v>15</v>
      </c>
      <c r="C59" s="112" t="s">
        <v>18</v>
      </c>
      <c r="D59" s="120">
        <v>6.86</v>
      </c>
      <c r="E59" s="341">
        <v>11.5</v>
      </c>
      <c r="F59" s="119">
        <v>4</v>
      </c>
      <c r="G59" s="117">
        <f t="shared" si="0"/>
        <v>0.31556000000000001</v>
      </c>
      <c r="H59" s="341"/>
    </row>
    <row r="60" spans="1:8" hidden="1">
      <c r="A60" s="344" t="s">
        <v>72</v>
      </c>
      <c r="B60" s="112" t="s">
        <v>15</v>
      </c>
      <c r="C60" s="112" t="s">
        <v>18</v>
      </c>
      <c r="D60" s="120">
        <v>6.86</v>
      </c>
      <c r="E60" s="341">
        <v>12</v>
      </c>
      <c r="F60" s="119">
        <v>1</v>
      </c>
      <c r="G60" s="117">
        <f t="shared" si="0"/>
        <v>8.2320000000000004E-2</v>
      </c>
      <c r="H60" s="341"/>
    </row>
    <row r="61" spans="1:8">
      <c r="A61" s="344" t="s">
        <v>72</v>
      </c>
      <c r="B61" s="112" t="s">
        <v>15</v>
      </c>
      <c r="C61" s="112" t="s">
        <v>57</v>
      </c>
      <c r="D61" s="120">
        <v>33.72</v>
      </c>
      <c r="E61" s="341">
        <v>7.5</v>
      </c>
      <c r="F61" s="119">
        <v>3</v>
      </c>
      <c r="G61" s="117">
        <f t="shared" si="0"/>
        <v>0.75869999999999993</v>
      </c>
      <c r="H61" s="341"/>
    </row>
    <row r="62" spans="1:8">
      <c r="A62" s="344" t="s">
        <v>72</v>
      </c>
      <c r="B62" s="112" t="s">
        <v>15</v>
      </c>
      <c r="C62" s="112" t="s">
        <v>57</v>
      </c>
      <c r="D62" s="120">
        <v>33.72</v>
      </c>
      <c r="E62" s="341">
        <v>8</v>
      </c>
      <c r="F62" s="119">
        <v>2</v>
      </c>
      <c r="G62" s="117">
        <f t="shared" si="0"/>
        <v>0.53952</v>
      </c>
      <c r="H62" s="341"/>
    </row>
    <row r="63" spans="1:8" hidden="1">
      <c r="A63" s="344" t="s">
        <v>72</v>
      </c>
      <c r="B63" s="112" t="s">
        <v>15</v>
      </c>
      <c r="C63" s="112" t="s">
        <v>54</v>
      </c>
      <c r="D63" s="120">
        <v>31.6</v>
      </c>
      <c r="E63" s="341">
        <v>8.1</v>
      </c>
      <c r="F63" s="119">
        <v>1</v>
      </c>
      <c r="G63" s="117">
        <f t="shared" si="0"/>
        <v>0.25596000000000002</v>
      </c>
      <c r="H63" s="341"/>
    </row>
    <row r="64" spans="1:8" hidden="1">
      <c r="A64" s="344" t="s">
        <v>72</v>
      </c>
      <c r="B64" s="112" t="s">
        <v>15</v>
      </c>
      <c r="C64" s="112" t="s">
        <v>54</v>
      </c>
      <c r="D64" s="120">
        <v>31.6</v>
      </c>
      <c r="E64" s="341">
        <v>8.4</v>
      </c>
      <c r="F64" s="119">
        <v>2</v>
      </c>
      <c r="G64" s="117">
        <f t="shared" si="0"/>
        <v>0.53088000000000002</v>
      </c>
      <c r="H64" s="341"/>
    </row>
    <row r="65" spans="1:8" hidden="1">
      <c r="A65" s="344" t="s">
        <v>72</v>
      </c>
      <c r="B65" s="112" t="s">
        <v>15</v>
      </c>
      <c r="C65" s="112" t="s">
        <v>54</v>
      </c>
      <c r="D65" s="120">
        <v>31.6</v>
      </c>
      <c r="E65" s="341">
        <v>9.5</v>
      </c>
      <c r="F65" s="119">
        <v>1</v>
      </c>
      <c r="G65" s="117">
        <f t="shared" si="0"/>
        <v>0.30019999999999997</v>
      </c>
      <c r="H65" s="341"/>
    </row>
    <row r="66" spans="1:8" hidden="1">
      <c r="A66" s="344" t="s">
        <v>72</v>
      </c>
      <c r="B66" s="112" t="s">
        <v>15</v>
      </c>
      <c r="C66" s="112" t="s">
        <v>44</v>
      </c>
      <c r="D66" s="120">
        <v>13.4</v>
      </c>
      <c r="E66" s="341">
        <v>7.2</v>
      </c>
      <c r="F66" s="119">
        <v>1</v>
      </c>
      <c r="G66" s="117">
        <f t="shared" si="0"/>
        <v>9.648000000000001E-2</v>
      </c>
      <c r="H66" s="341"/>
    </row>
    <row r="67" spans="1:8" hidden="1">
      <c r="A67" s="344" t="s">
        <v>72</v>
      </c>
      <c r="B67" s="112" t="s">
        <v>15</v>
      </c>
      <c r="C67" s="112" t="s">
        <v>44</v>
      </c>
      <c r="D67" s="120">
        <v>13.4</v>
      </c>
      <c r="E67" s="341">
        <v>7.6</v>
      </c>
      <c r="F67" s="119">
        <v>2</v>
      </c>
      <c r="G67" s="117">
        <f t="shared" si="0"/>
        <v>0.20368</v>
      </c>
      <c r="H67" s="341"/>
    </row>
    <row r="68" spans="1:8" hidden="1">
      <c r="A68" s="344" t="s">
        <v>72</v>
      </c>
      <c r="B68" s="112" t="s">
        <v>15</v>
      </c>
      <c r="C68" s="112" t="s">
        <v>44</v>
      </c>
      <c r="D68" s="120">
        <v>13.4</v>
      </c>
      <c r="E68" s="341">
        <v>7.8</v>
      </c>
      <c r="F68" s="119">
        <v>1</v>
      </c>
      <c r="G68" s="117">
        <f t="shared" si="0"/>
        <v>0.10452</v>
      </c>
      <c r="H68" s="341"/>
    </row>
    <row r="69" spans="1:8" hidden="1">
      <c r="A69" s="344" t="s">
        <v>72</v>
      </c>
      <c r="B69" s="112" t="s">
        <v>15</v>
      </c>
      <c r="C69" s="112" t="s">
        <v>30</v>
      </c>
      <c r="D69" s="120">
        <v>9.26</v>
      </c>
      <c r="E69" s="309">
        <v>7</v>
      </c>
      <c r="F69" s="119">
        <v>1</v>
      </c>
      <c r="G69" s="117">
        <f t="shared" si="0"/>
        <v>6.4819999999999989E-2</v>
      </c>
      <c r="H69" s="341"/>
    </row>
    <row r="70" spans="1:8" hidden="1">
      <c r="A70" s="344" t="s">
        <v>72</v>
      </c>
      <c r="B70" s="112" t="s">
        <v>15</v>
      </c>
      <c r="C70" s="112" t="s">
        <v>30</v>
      </c>
      <c r="D70" s="120">
        <v>9.26</v>
      </c>
      <c r="E70" s="309">
        <v>7.8</v>
      </c>
      <c r="F70" s="119">
        <v>1</v>
      </c>
      <c r="G70" s="117">
        <f t="shared" ref="G70:G132" si="1">E70*D70*F70/1000</f>
        <v>7.2228000000000001E-2</v>
      </c>
      <c r="H70" s="341"/>
    </row>
    <row r="71" spans="1:8" hidden="1">
      <c r="A71" s="344" t="s">
        <v>72</v>
      </c>
      <c r="B71" s="112" t="s">
        <v>15</v>
      </c>
      <c r="C71" s="112" t="s">
        <v>30</v>
      </c>
      <c r="D71" s="120">
        <v>9.26</v>
      </c>
      <c r="E71" s="309">
        <v>8.5</v>
      </c>
      <c r="F71" s="119">
        <v>2</v>
      </c>
      <c r="G71" s="117">
        <f t="shared" si="1"/>
        <v>0.15741999999999998</v>
      </c>
      <c r="H71" s="341"/>
    </row>
    <row r="72" spans="1:8" hidden="1">
      <c r="A72" s="344" t="s">
        <v>72</v>
      </c>
      <c r="B72" s="112" t="s">
        <v>15</v>
      </c>
      <c r="C72" s="112" t="s">
        <v>30</v>
      </c>
      <c r="D72" s="120">
        <v>9.26</v>
      </c>
      <c r="E72" s="309">
        <v>9</v>
      </c>
      <c r="F72" s="119">
        <v>1</v>
      </c>
      <c r="G72" s="117">
        <f t="shared" si="1"/>
        <v>8.3339999999999997E-2</v>
      </c>
      <c r="H72" s="341"/>
    </row>
    <row r="73" spans="1:8" hidden="1">
      <c r="A73" s="344" t="s">
        <v>72</v>
      </c>
      <c r="B73" s="112" t="s">
        <v>15</v>
      </c>
      <c r="C73" s="112" t="s">
        <v>58</v>
      </c>
      <c r="D73" s="120">
        <v>27.29</v>
      </c>
      <c r="E73" s="341">
        <v>5.9</v>
      </c>
      <c r="F73" s="119">
        <v>2</v>
      </c>
      <c r="G73" s="117">
        <f t="shared" si="1"/>
        <v>0.32202199999999997</v>
      </c>
      <c r="H73" s="341"/>
    </row>
    <row r="74" spans="1:8" hidden="1">
      <c r="A74" s="344" t="s">
        <v>72</v>
      </c>
      <c r="B74" s="112" t="s">
        <v>15</v>
      </c>
      <c r="C74" s="112" t="s">
        <v>58</v>
      </c>
      <c r="D74" s="120">
        <v>27.29</v>
      </c>
      <c r="E74" s="341">
        <v>6</v>
      </c>
      <c r="F74" s="119">
        <v>1</v>
      </c>
      <c r="G74" s="117">
        <f t="shared" si="1"/>
        <v>0.16374</v>
      </c>
      <c r="H74" s="341"/>
    </row>
    <row r="75" spans="1:8" hidden="1">
      <c r="A75" s="344" t="s">
        <v>72</v>
      </c>
      <c r="B75" s="112" t="s">
        <v>15</v>
      </c>
      <c r="C75" s="112" t="s">
        <v>22</v>
      </c>
      <c r="D75" s="120">
        <v>10.73</v>
      </c>
      <c r="E75" s="342">
        <v>12</v>
      </c>
      <c r="F75" s="119">
        <v>2</v>
      </c>
      <c r="G75" s="117">
        <f t="shared" si="1"/>
        <v>0.25751999999999997</v>
      </c>
      <c r="H75" s="112"/>
    </row>
    <row r="76" spans="1:8" hidden="1">
      <c r="A76" s="344" t="s">
        <v>72</v>
      </c>
      <c r="B76" s="112" t="s">
        <v>15</v>
      </c>
      <c r="C76" s="112" t="s">
        <v>22</v>
      </c>
      <c r="D76" s="120">
        <v>10.73</v>
      </c>
      <c r="E76" s="342">
        <v>11.8</v>
      </c>
      <c r="F76" s="119">
        <v>2</v>
      </c>
      <c r="G76" s="117">
        <f t="shared" si="1"/>
        <v>0.25322800000000006</v>
      </c>
      <c r="H76" s="112"/>
    </row>
    <row r="77" spans="1:8" hidden="1">
      <c r="A77" s="344" t="s">
        <v>72</v>
      </c>
      <c r="B77" s="112" t="s">
        <v>15</v>
      </c>
      <c r="C77" s="112" t="s">
        <v>34</v>
      </c>
      <c r="D77" s="120">
        <v>9.61</v>
      </c>
      <c r="E77" s="342">
        <v>12</v>
      </c>
      <c r="F77" s="119">
        <v>3</v>
      </c>
      <c r="G77" s="117">
        <f t="shared" si="1"/>
        <v>0.34595999999999999</v>
      </c>
      <c r="H77" s="112"/>
    </row>
    <row r="78" spans="1:8" hidden="1">
      <c r="A78" s="344" t="s">
        <v>72</v>
      </c>
      <c r="B78" s="112" t="s">
        <v>15</v>
      </c>
      <c r="C78" s="112" t="s">
        <v>37</v>
      </c>
      <c r="D78" s="120">
        <v>18.149999999999999</v>
      </c>
      <c r="E78" s="341">
        <v>8.3000000000000007</v>
      </c>
      <c r="F78" s="119">
        <v>1</v>
      </c>
      <c r="G78" s="117">
        <f t="shared" si="1"/>
        <v>0.150645</v>
      </c>
      <c r="H78" s="112"/>
    </row>
    <row r="79" spans="1:8" hidden="1">
      <c r="A79" s="344" t="s">
        <v>72</v>
      </c>
      <c r="B79" s="112" t="s">
        <v>15</v>
      </c>
      <c r="C79" s="112" t="s">
        <v>30</v>
      </c>
      <c r="D79" s="120">
        <v>9.26</v>
      </c>
      <c r="E79" s="345">
        <v>10.5</v>
      </c>
      <c r="F79" s="119">
        <v>2</v>
      </c>
      <c r="G79" s="117">
        <f t="shared" si="1"/>
        <v>0.19446000000000002</v>
      </c>
      <c r="H79" s="112"/>
    </row>
    <row r="80" spans="1:8" hidden="1">
      <c r="A80" s="344" t="s">
        <v>72</v>
      </c>
      <c r="B80" s="112" t="s">
        <v>15</v>
      </c>
      <c r="C80" s="112" t="s">
        <v>39</v>
      </c>
      <c r="D80" s="120">
        <v>14.66</v>
      </c>
      <c r="E80" s="341">
        <v>6.5</v>
      </c>
      <c r="F80" s="119">
        <v>2</v>
      </c>
      <c r="G80" s="117">
        <f t="shared" si="1"/>
        <v>0.19058</v>
      </c>
      <c r="H80" s="347" t="s">
        <v>415</v>
      </c>
    </row>
    <row r="81" spans="1:8" hidden="1">
      <c r="A81" s="344" t="s">
        <v>72</v>
      </c>
      <c r="B81" s="112" t="s">
        <v>15</v>
      </c>
      <c r="C81" s="112" t="s">
        <v>38</v>
      </c>
      <c r="D81" s="120">
        <v>12.9</v>
      </c>
      <c r="E81" s="341">
        <v>9.1999999999999993</v>
      </c>
      <c r="F81" s="119">
        <v>2</v>
      </c>
      <c r="G81" s="117">
        <f t="shared" si="1"/>
        <v>0.23735999999999999</v>
      </c>
      <c r="H81" s="341"/>
    </row>
    <row r="82" spans="1:8" hidden="1">
      <c r="A82" s="344" t="s">
        <v>72</v>
      </c>
      <c r="B82" s="112" t="s">
        <v>15</v>
      </c>
      <c r="C82" s="112" t="s">
        <v>38</v>
      </c>
      <c r="D82" s="120">
        <v>12.9</v>
      </c>
      <c r="E82" s="341">
        <v>9.9</v>
      </c>
      <c r="F82" s="119">
        <v>1</v>
      </c>
      <c r="G82" s="117">
        <f t="shared" si="1"/>
        <v>0.12771000000000002</v>
      </c>
      <c r="H82" s="341"/>
    </row>
    <row r="83" spans="1:8" hidden="1">
      <c r="A83" s="344" t="s">
        <v>72</v>
      </c>
      <c r="B83" s="112" t="s">
        <v>15</v>
      </c>
      <c r="C83" s="112" t="s">
        <v>38</v>
      </c>
      <c r="D83" s="120">
        <v>12.9</v>
      </c>
      <c r="E83" s="341">
        <v>9.6999999999999993</v>
      </c>
      <c r="F83" s="119">
        <v>1</v>
      </c>
      <c r="G83" s="117">
        <f t="shared" si="1"/>
        <v>0.12512999999999999</v>
      </c>
      <c r="H83" s="341"/>
    </row>
    <row r="84" spans="1:8" hidden="1">
      <c r="A84" s="344" t="s">
        <v>72</v>
      </c>
      <c r="B84" s="112" t="s">
        <v>15</v>
      </c>
      <c r="C84" s="112" t="s">
        <v>38</v>
      </c>
      <c r="D84" s="120">
        <v>12.9</v>
      </c>
      <c r="E84" s="341">
        <v>9.8000000000000007</v>
      </c>
      <c r="F84" s="119">
        <v>1</v>
      </c>
      <c r="G84" s="117">
        <f t="shared" si="1"/>
        <v>0.12642</v>
      </c>
      <c r="H84" s="341"/>
    </row>
    <row r="85" spans="1:8" hidden="1">
      <c r="A85" s="344" t="s">
        <v>72</v>
      </c>
      <c r="B85" s="112" t="s">
        <v>15</v>
      </c>
      <c r="C85" s="112" t="s">
        <v>38</v>
      </c>
      <c r="D85" s="120">
        <v>12.9</v>
      </c>
      <c r="E85" s="341">
        <v>11.3</v>
      </c>
      <c r="F85" s="119">
        <v>1</v>
      </c>
      <c r="G85" s="117">
        <f t="shared" si="1"/>
        <v>0.14577000000000001</v>
      </c>
      <c r="H85" s="341"/>
    </row>
    <row r="86" spans="1:8" hidden="1">
      <c r="A86" s="344" t="s">
        <v>72</v>
      </c>
      <c r="B86" s="112" t="s">
        <v>15</v>
      </c>
      <c r="C86" s="112" t="s">
        <v>38</v>
      </c>
      <c r="D86" s="120">
        <v>12.9</v>
      </c>
      <c r="E86" s="341">
        <v>7.2</v>
      </c>
      <c r="F86" s="119">
        <v>1</v>
      </c>
      <c r="G86" s="117">
        <f t="shared" si="1"/>
        <v>9.2880000000000004E-2</v>
      </c>
      <c r="H86" s="341"/>
    </row>
    <row r="87" spans="1:8" hidden="1">
      <c r="A87" s="344" t="s">
        <v>72</v>
      </c>
      <c r="B87" s="112" t="s">
        <v>15</v>
      </c>
      <c r="C87" s="112" t="s">
        <v>38</v>
      </c>
      <c r="D87" s="120">
        <v>12.9</v>
      </c>
      <c r="E87" s="341">
        <v>10</v>
      </c>
      <c r="F87" s="119">
        <v>1</v>
      </c>
      <c r="G87" s="117">
        <f t="shared" si="1"/>
        <v>0.129</v>
      </c>
      <c r="H87" s="341"/>
    </row>
    <row r="88" spans="1:8" hidden="1">
      <c r="A88" s="344" t="s">
        <v>72</v>
      </c>
      <c r="B88" s="112" t="s">
        <v>15</v>
      </c>
      <c r="C88" s="112" t="s">
        <v>38</v>
      </c>
      <c r="D88" s="120">
        <v>12.9</v>
      </c>
      <c r="E88" s="341">
        <v>7</v>
      </c>
      <c r="F88" s="119">
        <v>2</v>
      </c>
      <c r="G88" s="117">
        <f t="shared" si="1"/>
        <v>0.18059999999999998</v>
      </c>
      <c r="H88" s="341"/>
    </row>
    <row r="89" spans="1:8" hidden="1">
      <c r="A89" s="344" t="s">
        <v>72</v>
      </c>
      <c r="B89" s="112" t="s">
        <v>15</v>
      </c>
      <c r="C89" s="112" t="s">
        <v>44</v>
      </c>
      <c r="D89" s="120">
        <v>13.4</v>
      </c>
      <c r="E89" s="341">
        <v>8.6999999999999993</v>
      </c>
      <c r="F89" s="119">
        <v>2</v>
      </c>
      <c r="G89" s="117">
        <f t="shared" si="1"/>
        <v>0.23316000000000001</v>
      </c>
      <c r="H89" s="341"/>
    </row>
    <row r="90" spans="1:8" hidden="1">
      <c r="A90" s="344" t="s">
        <v>72</v>
      </c>
      <c r="B90" s="112" t="s">
        <v>15</v>
      </c>
      <c r="C90" s="112" t="s">
        <v>44</v>
      </c>
      <c r="D90" s="120">
        <v>13.4</v>
      </c>
      <c r="E90" s="341">
        <v>10.5</v>
      </c>
      <c r="F90" s="119">
        <v>1</v>
      </c>
      <c r="G90" s="117">
        <f t="shared" si="1"/>
        <v>0.14070000000000002</v>
      </c>
      <c r="H90" s="341"/>
    </row>
    <row r="91" spans="1:8" hidden="1">
      <c r="A91" s="344" t="s">
        <v>72</v>
      </c>
      <c r="B91" s="112" t="s">
        <v>15</v>
      </c>
      <c r="C91" s="112" t="s">
        <v>44</v>
      </c>
      <c r="D91" s="120">
        <v>13.4</v>
      </c>
      <c r="E91" s="341">
        <v>7.4</v>
      </c>
      <c r="F91" s="119">
        <v>1</v>
      </c>
      <c r="G91" s="117">
        <f t="shared" si="1"/>
        <v>9.9160000000000012E-2</v>
      </c>
      <c r="H91" s="341"/>
    </row>
    <row r="92" spans="1:8" hidden="1">
      <c r="A92" s="344" t="s">
        <v>72</v>
      </c>
      <c r="B92" s="112" t="s">
        <v>15</v>
      </c>
      <c r="C92" s="112" t="s">
        <v>44</v>
      </c>
      <c r="D92" s="120">
        <v>13.4</v>
      </c>
      <c r="E92" s="341">
        <v>6.8</v>
      </c>
      <c r="F92" s="119">
        <v>1</v>
      </c>
      <c r="G92" s="117">
        <f t="shared" si="1"/>
        <v>9.1120000000000007E-2</v>
      </c>
      <c r="H92" s="341"/>
    </row>
    <row r="93" spans="1:8" hidden="1">
      <c r="A93" s="344" t="s">
        <v>72</v>
      </c>
      <c r="B93" s="112" t="s">
        <v>15</v>
      </c>
      <c r="C93" s="112" t="s">
        <v>44</v>
      </c>
      <c r="D93" s="120">
        <v>13.4</v>
      </c>
      <c r="E93" s="341">
        <v>6.4</v>
      </c>
      <c r="F93" s="119">
        <v>1</v>
      </c>
      <c r="G93" s="117">
        <f t="shared" si="1"/>
        <v>8.5760000000000003E-2</v>
      </c>
      <c r="H93" s="341"/>
    </row>
    <row r="94" spans="1:8" hidden="1">
      <c r="A94" s="344" t="s">
        <v>72</v>
      </c>
      <c r="B94" s="112" t="s">
        <v>15</v>
      </c>
      <c r="C94" s="112" t="s">
        <v>41</v>
      </c>
      <c r="D94" s="120">
        <v>11.8</v>
      </c>
      <c r="E94" s="341">
        <v>12</v>
      </c>
      <c r="F94" s="119">
        <v>8</v>
      </c>
      <c r="G94" s="117">
        <f t="shared" si="1"/>
        <v>1.1328000000000003</v>
      </c>
      <c r="H94" s="341"/>
    </row>
    <row r="95" spans="1:8" hidden="1">
      <c r="A95" s="344" t="s">
        <v>72</v>
      </c>
      <c r="B95" s="112" t="s">
        <v>15</v>
      </c>
      <c r="C95" s="112" t="s">
        <v>38</v>
      </c>
      <c r="D95" s="120">
        <v>12.9</v>
      </c>
      <c r="E95" s="341">
        <v>9.6999999999999993</v>
      </c>
      <c r="F95" s="119">
        <v>4</v>
      </c>
      <c r="G95" s="117">
        <f t="shared" si="1"/>
        <v>0.50051999999999996</v>
      </c>
      <c r="H95" s="341"/>
    </row>
    <row r="96" spans="1:8" hidden="1">
      <c r="A96" s="344" t="s">
        <v>72</v>
      </c>
      <c r="B96" s="112" t="s">
        <v>15</v>
      </c>
      <c r="C96" s="112" t="s">
        <v>38</v>
      </c>
      <c r="D96" s="120">
        <v>12.9</v>
      </c>
      <c r="E96" s="341">
        <v>8.1</v>
      </c>
      <c r="F96" s="119">
        <v>1</v>
      </c>
      <c r="G96" s="117">
        <f t="shared" si="1"/>
        <v>0.10449</v>
      </c>
      <c r="H96" s="341"/>
    </row>
    <row r="97" spans="1:8" hidden="1">
      <c r="A97" s="344" t="s">
        <v>72</v>
      </c>
      <c r="B97" s="112" t="s">
        <v>15</v>
      </c>
      <c r="C97" s="112" t="s">
        <v>38</v>
      </c>
      <c r="D97" s="120">
        <v>12.9</v>
      </c>
      <c r="E97" s="341">
        <v>12</v>
      </c>
      <c r="F97" s="119">
        <v>1</v>
      </c>
      <c r="G97" s="117">
        <f t="shared" si="1"/>
        <v>0.15480000000000002</v>
      </c>
      <c r="H97" s="341"/>
    </row>
    <row r="98" spans="1:8" hidden="1">
      <c r="A98" s="344" t="s">
        <v>72</v>
      </c>
      <c r="B98" s="112" t="s">
        <v>15</v>
      </c>
      <c r="C98" s="112" t="s">
        <v>38</v>
      </c>
      <c r="D98" s="120">
        <v>12.9</v>
      </c>
      <c r="E98" s="341">
        <v>6</v>
      </c>
      <c r="F98" s="119">
        <v>1</v>
      </c>
      <c r="G98" s="117">
        <f t="shared" si="1"/>
        <v>7.740000000000001E-2</v>
      </c>
      <c r="H98" s="341"/>
    </row>
    <row r="99" spans="1:8" hidden="1">
      <c r="A99" s="344" t="s">
        <v>72</v>
      </c>
      <c r="B99" s="112" t="s">
        <v>15</v>
      </c>
      <c r="C99" s="112" t="s">
        <v>30</v>
      </c>
      <c r="D99" s="120">
        <v>9.26</v>
      </c>
      <c r="E99" s="309">
        <v>10.75</v>
      </c>
      <c r="F99" s="119">
        <v>3</v>
      </c>
      <c r="G99" s="117">
        <f t="shared" si="1"/>
        <v>0.29863499999999998</v>
      </c>
      <c r="H99" s="341"/>
    </row>
    <row r="100" spans="1:8" hidden="1">
      <c r="A100" s="344" t="s">
        <v>72</v>
      </c>
      <c r="B100" s="112" t="s">
        <v>15</v>
      </c>
      <c r="C100" s="112" t="s">
        <v>49</v>
      </c>
      <c r="D100" s="120">
        <v>17.82</v>
      </c>
      <c r="E100" s="341">
        <v>6.6</v>
      </c>
      <c r="F100" s="119">
        <v>15</v>
      </c>
      <c r="G100" s="117">
        <f t="shared" si="1"/>
        <v>1.7641799999999999</v>
      </c>
      <c r="H100" s="341"/>
    </row>
    <row r="101" spans="1:8" hidden="1">
      <c r="A101" s="344" t="s">
        <v>72</v>
      </c>
      <c r="B101" s="112" t="s">
        <v>160</v>
      </c>
      <c r="C101" s="112" t="s">
        <v>40</v>
      </c>
      <c r="D101" s="120">
        <v>16.5</v>
      </c>
      <c r="E101" s="341">
        <v>7.5</v>
      </c>
      <c r="F101" s="119">
        <v>2</v>
      </c>
      <c r="G101" s="117">
        <f t="shared" si="1"/>
        <v>0.2475</v>
      </c>
      <c r="H101" s="112"/>
    </row>
    <row r="102" spans="1:8" hidden="1">
      <c r="A102" s="344" t="s">
        <v>72</v>
      </c>
      <c r="B102" s="112" t="s">
        <v>160</v>
      </c>
      <c r="C102" s="112" t="s">
        <v>40</v>
      </c>
      <c r="D102" s="120">
        <v>16.5</v>
      </c>
      <c r="E102" s="341">
        <v>7.3</v>
      </c>
      <c r="F102" s="119">
        <v>1</v>
      </c>
      <c r="G102" s="117">
        <f t="shared" si="1"/>
        <v>0.12045</v>
      </c>
      <c r="H102" s="112"/>
    </row>
    <row r="103" spans="1:8" hidden="1">
      <c r="A103" s="344" t="s">
        <v>72</v>
      </c>
      <c r="B103" s="112" t="s">
        <v>160</v>
      </c>
      <c r="C103" s="112" t="s">
        <v>40</v>
      </c>
      <c r="D103" s="120">
        <v>16.5</v>
      </c>
      <c r="E103" s="341">
        <v>7.4</v>
      </c>
      <c r="F103" s="119">
        <v>1</v>
      </c>
      <c r="G103" s="117">
        <f t="shared" si="1"/>
        <v>0.12210000000000001</v>
      </c>
      <c r="H103" s="112"/>
    </row>
    <row r="104" spans="1:8" hidden="1">
      <c r="A104" s="344" t="s">
        <v>72</v>
      </c>
      <c r="B104" s="112" t="s">
        <v>160</v>
      </c>
      <c r="C104" s="112" t="s">
        <v>41</v>
      </c>
      <c r="D104" s="120">
        <v>11.8</v>
      </c>
      <c r="E104" s="342">
        <v>7</v>
      </c>
      <c r="F104" s="119">
        <v>3</v>
      </c>
      <c r="G104" s="117">
        <f t="shared" si="1"/>
        <v>0.24780000000000002</v>
      </c>
      <c r="H104" s="112"/>
    </row>
    <row r="105" spans="1:8" hidden="1">
      <c r="A105" s="344" t="s">
        <v>72</v>
      </c>
      <c r="B105" s="112" t="s">
        <v>160</v>
      </c>
      <c r="C105" s="112" t="s">
        <v>41</v>
      </c>
      <c r="D105" s="120">
        <v>11.8</v>
      </c>
      <c r="E105" s="342">
        <v>6</v>
      </c>
      <c r="F105" s="119">
        <v>1</v>
      </c>
      <c r="G105" s="117">
        <f t="shared" si="1"/>
        <v>7.0800000000000016E-2</v>
      </c>
      <c r="H105" s="112"/>
    </row>
    <row r="106" spans="1:8" hidden="1">
      <c r="A106" s="344" t="s">
        <v>72</v>
      </c>
      <c r="B106" s="112" t="s">
        <v>160</v>
      </c>
      <c r="C106" s="112" t="s">
        <v>41</v>
      </c>
      <c r="D106" s="120">
        <v>11.8</v>
      </c>
      <c r="E106" s="342">
        <v>6.2</v>
      </c>
      <c r="F106" s="119">
        <v>4</v>
      </c>
      <c r="G106" s="117">
        <f t="shared" si="1"/>
        <v>0.29264000000000007</v>
      </c>
      <c r="H106" s="112"/>
    </row>
    <row r="107" spans="1:8" hidden="1">
      <c r="A107" s="344" t="s">
        <v>72</v>
      </c>
      <c r="B107" s="112" t="s">
        <v>15</v>
      </c>
      <c r="C107" s="112" t="s">
        <v>42</v>
      </c>
      <c r="D107" s="120">
        <v>19.72</v>
      </c>
      <c r="E107" s="341">
        <v>6</v>
      </c>
      <c r="F107" s="119">
        <v>1</v>
      </c>
      <c r="G107" s="117">
        <f t="shared" si="1"/>
        <v>0.11831999999999999</v>
      </c>
      <c r="H107" s="341"/>
    </row>
    <row r="108" spans="1:8">
      <c r="A108" s="344" t="s">
        <v>72</v>
      </c>
      <c r="B108" s="112" t="s">
        <v>15</v>
      </c>
      <c r="C108" s="112" t="s">
        <v>57</v>
      </c>
      <c r="D108" s="120">
        <v>33.72</v>
      </c>
      <c r="E108" s="341">
        <v>7.5</v>
      </c>
      <c r="F108" s="119">
        <v>4</v>
      </c>
      <c r="G108" s="117">
        <f t="shared" si="1"/>
        <v>1.0115999999999998</v>
      </c>
      <c r="H108" s="341"/>
    </row>
    <row r="109" spans="1:8">
      <c r="A109" s="344" t="s">
        <v>72</v>
      </c>
      <c r="B109" s="112" t="s">
        <v>15</v>
      </c>
      <c r="C109" s="112" t="s">
        <v>66</v>
      </c>
      <c r="D109" s="120">
        <v>29.5</v>
      </c>
      <c r="E109" s="341">
        <v>6.8</v>
      </c>
      <c r="F109" s="119">
        <v>3</v>
      </c>
      <c r="G109" s="117">
        <f t="shared" si="1"/>
        <v>0.6018</v>
      </c>
      <c r="H109" s="341"/>
    </row>
    <row r="110" spans="1:8">
      <c r="A110" s="344" t="s">
        <v>72</v>
      </c>
      <c r="B110" s="112" t="s">
        <v>15</v>
      </c>
      <c r="C110" s="112" t="s">
        <v>66</v>
      </c>
      <c r="D110" s="120">
        <v>29.5</v>
      </c>
      <c r="E110" s="341">
        <v>6.5</v>
      </c>
      <c r="F110" s="119">
        <v>1</v>
      </c>
      <c r="G110" s="117">
        <f t="shared" si="1"/>
        <v>0.19175</v>
      </c>
      <c r="H110" s="341"/>
    </row>
    <row r="111" spans="1:8">
      <c r="A111" s="344" t="s">
        <v>72</v>
      </c>
      <c r="B111" s="112" t="s">
        <v>15</v>
      </c>
      <c r="C111" s="112" t="s">
        <v>66</v>
      </c>
      <c r="D111" s="120">
        <v>29.5</v>
      </c>
      <c r="E111" s="341">
        <v>10.3</v>
      </c>
      <c r="F111" s="119">
        <v>1</v>
      </c>
      <c r="G111" s="117">
        <f t="shared" si="1"/>
        <v>0.30385000000000001</v>
      </c>
      <c r="H111" s="341"/>
    </row>
    <row r="112" spans="1:8">
      <c r="A112" s="344" t="s">
        <v>72</v>
      </c>
      <c r="B112" s="112" t="s">
        <v>15</v>
      </c>
      <c r="C112" s="112" t="s">
        <v>66</v>
      </c>
      <c r="D112" s="120">
        <v>29.5</v>
      </c>
      <c r="E112" s="341">
        <v>12</v>
      </c>
      <c r="F112" s="119">
        <v>1</v>
      </c>
      <c r="G112" s="117">
        <f t="shared" si="1"/>
        <v>0.35399999999999998</v>
      </c>
      <c r="H112" s="341"/>
    </row>
    <row r="113" spans="1:8" hidden="1">
      <c r="A113" s="344" t="s">
        <v>72</v>
      </c>
      <c r="B113" s="112" t="s">
        <v>15</v>
      </c>
      <c r="C113" s="112" t="s">
        <v>58</v>
      </c>
      <c r="D113" s="120">
        <v>27.29</v>
      </c>
      <c r="E113" s="342">
        <v>11.2</v>
      </c>
      <c r="F113" s="119">
        <v>1</v>
      </c>
      <c r="G113" s="117">
        <f t="shared" si="1"/>
        <v>0.30564799999999998</v>
      </c>
      <c r="H113" s="112"/>
    </row>
    <row r="114" spans="1:8" hidden="1">
      <c r="A114" s="344" t="s">
        <v>72</v>
      </c>
      <c r="B114" s="112" t="s">
        <v>15</v>
      </c>
      <c r="C114" s="112" t="s">
        <v>58</v>
      </c>
      <c r="D114" s="120">
        <v>27.29</v>
      </c>
      <c r="E114" s="342">
        <v>9.1999999999999993</v>
      </c>
      <c r="F114" s="119">
        <v>3</v>
      </c>
      <c r="G114" s="117">
        <f t="shared" si="1"/>
        <v>0.75320399999999998</v>
      </c>
      <c r="H114" s="112"/>
    </row>
    <row r="115" spans="1:8" hidden="1">
      <c r="A115" s="344" t="s">
        <v>72</v>
      </c>
      <c r="B115" s="112" t="s">
        <v>15</v>
      </c>
      <c r="C115" s="112" t="s">
        <v>42</v>
      </c>
      <c r="D115" s="120">
        <v>19.72</v>
      </c>
      <c r="E115" s="342">
        <v>7.5</v>
      </c>
      <c r="F115" s="119">
        <v>1</v>
      </c>
      <c r="G115" s="117">
        <f t="shared" si="1"/>
        <v>0.14789999999999998</v>
      </c>
      <c r="H115" s="341"/>
    </row>
    <row r="116" spans="1:8">
      <c r="A116" s="344" t="s">
        <v>72</v>
      </c>
      <c r="B116" s="112" t="s">
        <v>15</v>
      </c>
      <c r="C116" s="112" t="s">
        <v>57</v>
      </c>
      <c r="D116" s="120">
        <v>33.72</v>
      </c>
      <c r="E116" s="342">
        <v>9.6999999999999993</v>
      </c>
      <c r="F116" s="119">
        <v>2</v>
      </c>
      <c r="G116" s="117">
        <f t="shared" si="1"/>
        <v>0.65416799999999986</v>
      </c>
      <c r="H116" s="112"/>
    </row>
    <row r="117" spans="1:8">
      <c r="A117" s="344" t="s">
        <v>72</v>
      </c>
      <c r="B117" s="112" t="s">
        <v>15</v>
      </c>
      <c r="C117" s="112" t="s">
        <v>57</v>
      </c>
      <c r="D117" s="120">
        <v>33.72</v>
      </c>
      <c r="E117" s="342">
        <v>9.1</v>
      </c>
      <c r="F117" s="119">
        <v>1</v>
      </c>
      <c r="G117" s="117">
        <f t="shared" si="1"/>
        <v>0.30685199999999996</v>
      </c>
      <c r="H117" s="112"/>
    </row>
    <row r="118" spans="1:8">
      <c r="A118" s="344" t="s">
        <v>72</v>
      </c>
      <c r="B118" s="112" t="s">
        <v>15</v>
      </c>
      <c r="C118" s="112" t="s">
        <v>57</v>
      </c>
      <c r="D118" s="120">
        <v>33.72</v>
      </c>
      <c r="E118" s="342">
        <v>7.5</v>
      </c>
      <c r="F118" s="119">
        <v>3</v>
      </c>
      <c r="G118" s="117">
        <f t="shared" si="1"/>
        <v>0.75869999999999993</v>
      </c>
      <c r="H118" s="112"/>
    </row>
    <row r="119" spans="1:8" hidden="1">
      <c r="A119" s="344" t="s">
        <v>72</v>
      </c>
      <c r="B119" s="112" t="s">
        <v>15</v>
      </c>
      <c r="C119" s="112" t="s">
        <v>53</v>
      </c>
      <c r="D119" s="120">
        <v>35.840000000000003</v>
      </c>
      <c r="E119" s="342">
        <v>7.5</v>
      </c>
      <c r="F119" s="119">
        <v>1</v>
      </c>
      <c r="G119" s="117">
        <f t="shared" si="1"/>
        <v>0.26880000000000004</v>
      </c>
      <c r="H119" s="112"/>
    </row>
    <row r="120" spans="1:8" hidden="1">
      <c r="A120" s="344" t="s">
        <v>72</v>
      </c>
      <c r="B120" s="112" t="s">
        <v>15</v>
      </c>
      <c r="C120" s="112" t="s">
        <v>58</v>
      </c>
      <c r="D120" s="120">
        <v>27.29</v>
      </c>
      <c r="E120" s="342">
        <v>6</v>
      </c>
      <c r="F120" s="119">
        <v>1</v>
      </c>
      <c r="G120" s="117">
        <f t="shared" si="1"/>
        <v>0.16374</v>
      </c>
      <c r="H120" s="112"/>
    </row>
    <row r="121" spans="1:8" hidden="1">
      <c r="A121" s="344" t="s">
        <v>72</v>
      </c>
      <c r="B121" s="112" t="s">
        <v>15</v>
      </c>
      <c r="C121" s="112" t="s">
        <v>50</v>
      </c>
      <c r="D121" s="120">
        <v>21.7</v>
      </c>
      <c r="E121" s="342">
        <v>8.5</v>
      </c>
      <c r="F121" s="119">
        <v>1</v>
      </c>
      <c r="G121" s="117">
        <f t="shared" si="1"/>
        <v>0.18444999999999998</v>
      </c>
      <c r="H121" s="112"/>
    </row>
    <row r="122" spans="1:8">
      <c r="A122" s="344" t="s">
        <v>72</v>
      </c>
      <c r="B122" s="112" t="s">
        <v>15</v>
      </c>
      <c r="C122" s="112" t="s">
        <v>57</v>
      </c>
      <c r="D122" s="120">
        <v>33.72</v>
      </c>
      <c r="E122" s="342">
        <v>8.6</v>
      </c>
      <c r="F122" s="119">
        <v>1</v>
      </c>
      <c r="G122" s="117">
        <f t="shared" si="1"/>
        <v>0.28999199999999997</v>
      </c>
      <c r="H122" s="112"/>
    </row>
    <row r="123" spans="1:8" hidden="1">
      <c r="A123" s="344" t="s">
        <v>72</v>
      </c>
      <c r="B123" s="112" t="s">
        <v>15</v>
      </c>
      <c r="C123" s="112" t="s">
        <v>60</v>
      </c>
      <c r="D123" s="120">
        <v>22.93</v>
      </c>
      <c r="E123" s="342">
        <v>5.8</v>
      </c>
      <c r="F123" s="119">
        <v>1</v>
      </c>
      <c r="G123" s="117">
        <f t="shared" si="1"/>
        <v>0.132994</v>
      </c>
      <c r="H123" s="112"/>
    </row>
    <row r="124" spans="1:8" hidden="1">
      <c r="A124" s="344" t="s">
        <v>72</v>
      </c>
      <c r="B124" s="112" t="s">
        <v>15</v>
      </c>
      <c r="C124" s="112" t="s">
        <v>60</v>
      </c>
      <c r="D124" s="120">
        <v>22.93</v>
      </c>
      <c r="E124" s="342">
        <v>6.1</v>
      </c>
      <c r="F124" s="119">
        <v>2</v>
      </c>
      <c r="G124" s="117">
        <f t="shared" si="1"/>
        <v>0.27974599999999999</v>
      </c>
      <c r="H124" s="112"/>
    </row>
    <row r="125" spans="1:8" hidden="1">
      <c r="A125" s="344" t="s">
        <v>72</v>
      </c>
      <c r="B125" s="112" t="s">
        <v>15</v>
      </c>
      <c r="C125" s="112" t="s">
        <v>58</v>
      </c>
      <c r="D125" s="120">
        <v>27.29</v>
      </c>
      <c r="E125" s="342">
        <v>6</v>
      </c>
      <c r="F125" s="119">
        <v>1</v>
      </c>
      <c r="G125" s="117">
        <f t="shared" si="1"/>
        <v>0.16374</v>
      </c>
      <c r="H125" s="112"/>
    </row>
    <row r="126" spans="1:8" hidden="1">
      <c r="A126" s="344" t="s">
        <v>72</v>
      </c>
      <c r="B126" s="112" t="s">
        <v>15</v>
      </c>
      <c r="C126" s="112" t="s">
        <v>58</v>
      </c>
      <c r="D126" s="120">
        <v>27.29</v>
      </c>
      <c r="E126" s="342">
        <v>6.5</v>
      </c>
      <c r="F126" s="119">
        <v>1</v>
      </c>
      <c r="G126" s="117">
        <f t="shared" si="1"/>
        <v>0.17738499999999999</v>
      </c>
      <c r="H126" s="112"/>
    </row>
    <row r="127" spans="1:8">
      <c r="A127" s="344" t="s">
        <v>72</v>
      </c>
      <c r="B127" s="112" t="s">
        <v>15</v>
      </c>
      <c r="C127" s="112" t="s">
        <v>57</v>
      </c>
      <c r="D127" s="120">
        <v>33.72</v>
      </c>
      <c r="E127" s="342">
        <v>6</v>
      </c>
      <c r="F127" s="119">
        <v>2</v>
      </c>
      <c r="G127" s="117">
        <f t="shared" si="1"/>
        <v>0.40464</v>
      </c>
      <c r="H127" s="112"/>
    </row>
    <row r="128" spans="1:8">
      <c r="A128" s="344" t="s">
        <v>72</v>
      </c>
      <c r="B128" s="112" t="s">
        <v>15</v>
      </c>
      <c r="C128" s="112" t="s">
        <v>57</v>
      </c>
      <c r="D128" s="120">
        <v>33.72</v>
      </c>
      <c r="E128" s="342">
        <v>6.6</v>
      </c>
      <c r="F128" s="119">
        <v>3</v>
      </c>
      <c r="G128" s="117">
        <f t="shared" si="1"/>
        <v>0.66765599999999992</v>
      </c>
      <c r="H128" s="112"/>
    </row>
    <row r="129" spans="1:8">
      <c r="A129" s="344" t="s">
        <v>72</v>
      </c>
      <c r="B129" s="112" t="s">
        <v>15</v>
      </c>
      <c r="C129" s="112" t="s">
        <v>57</v>
      </c>
      <c r="D129" s="120">
        <v>33.72</v>
      </c>
      <c r="E129" s="342">
        <v>6.5</v>
      </c>
      <c r="F129" s="119">
        <v>2</v>
      </c>
      <c r="G129" s="117">
        <f t="shared" si="1"/>
        <v>0.43836000000000003</v>
      </c>
      <c r="H129" s="112"/>
    </row>
    <row r="130" spans="1:8">
      <c r="A130" s="344" t="s">
        <v>72</v>
      </c>
      <c r="B130" s="112" t="s">
        <v>15</v>
      </c>
      <c r="C130" s="112" t="s">
        <v>57</v>
      </c>
      <c r="D130" s="120">
        <v>33.72</v>
      </c>
      <c r="E130" s="342">
        <v>7</v>
      </c>
      <c r="F130" s="119">
        <v>2</v>
      </c>
      <c r="G130" s="117">
        <f t="shared" si="1"/>
        <v>0.47208</v>
      </c>
      <c r="H130" s="112"/>
    </row>
    <row r="131" spans="1:8">
      <c r="A131" s="344" t="s">
        <v>72</v>
      </c>
      <c r="B131" s="112" t="s">
        <v>15</v>
      </c>
      <c r="C131" s="112" t="s">
        <v>57</v>
      </c>
      <c r="D131" s="120">
        <v>33.72</v>
      </c>
      <c r="E131" s="342">
        <v>6.5</v>
      </c>
      <c r="F131" s="119">
        <v>3</v>
      </c>
      <c r="G131" s="117">
        <f t="shared" si="1"/>
        <v>0.65754000000000001</v>
      </c>
      <c r="H131" s="112"/>
    </row>
    <row r="132" spans="1:8">
      <c r="A132" s="344" t="s">
        <v>72</v>
      </c>
      <c r="B132" s="112" t="s">
        <v>15</v>
      </c>
      <c r="C132" s="112" t="s">
        <v>57</v>
      </c>
      <c r="D132" s="120">
        <v>33.72</v>
      </c>
      <c r="E132" s="342">
        <v>7</v>
      </c>
      <c r="F132" s="119">
        <v>2</v>
      </c>
      <c r="G132" s="117">
        <f t="shared" si="1"/>
        <v>0.47208</v>
      </c>
      <c r="H132" s="112"/>
    </row>
    <row r="133" spans="1:8" hidden="1">
      <c r="A133" s="344" t="s">
        <v>72</v>
      </c>
      <c r="B133" s="112" t="s">
        <v>15</v>
      </c>
      <c r="C133" s="112" t="s">
        <v>48</v>
      </c>
      <c r="D133" s="120">
        <v>23.6</v>
      </c>
      <c r="E133" s="342">
        <v>10.7</v>
      </c>
      <c r="F133" s="119">
        <v>1</v>
      </c>
      <c r="G133" s="117">
        <f t="shared" ref="G133:G178" si="2">E133*D133*F133/1000</f>
        <v>0.25252000000000002</v>
      </c>
      <c r="H133" s="112"/>
    </row>
    <row r="134" spans="1:8">
      <c r="A134" s="344" t="s">
        <v>72</v>
      </c>
      <c r="B134" s="112" t="s">
        <v>15</v>
      </c>
      <c r="C134" s="112" t="s">
        <v>57</v>
      </c>
      <c r="D134" s="120">
        <v>33.72</v>
      </c>
      <c r="E134" s="342">
        <v>7</v>
      </c>
      <c r="F134" s="119">
        <v>2</v>
      </c>
      <c r="G134" s="117">
        <f t="shared" si="2"/>
        <v>0.47208</v>
      </c>
      <c r="H134" s="112"/>
    </row>
    <row r="135" spans="1:8" hidden="1">
      <c r="A135" s="344" t="s">
        <v>72</v>
      </c>
      <c r="B135" s="112" t="s">
        <v>15</v>
      </c>
      <c r="C135" s="112" t="s">
        <v>34</v>
      </c>
      <c r="D135" s="120">
        <v>9.61</v>
      </c>
      <c r="E135" s="342">
        <v>8.3000000000000007</v>
      </c>
      <c r="F135" s="119">
        <v>2</v>
      </c>
      <c r="G135" s="117">
        <f t="shared" si="2"/>
        <v>0.159526</v>
      </c>
      <c r="H135" s="112"/>
    </row>
    <row r="136" spans="1:8" hidden="1">
      <c r="A136" s="344" t="s">
        <v>72</v>
      </c>
      <c r="B136" s="112" t="s">
        <v>15</v>
      </c>
      <c r="C136" s="112" t="s">
        <v>34</v>
      </c>
      <c r="D136" s="120">
        <v>9.61</v>
      </c>
      <c r="E136" s="342">
        <v>6.5</v>
      </c>
      <c r="F136" s="119">
        <v>1</v>
      </c>
      <c r="G136" s="117">
        <f t="shared" si="2"/>
        <v>6.2465E-2</v>
      </c>
      <c r="H136" s="112"/>
    </row>
    <row r="137" spans="1:8" hidden="1">
      <c r="A137" s="344" t="s">
        <v>72</v>
      </c>
      <c r="B137" s="112" t="s">
        <v>15</v>
      </c>
      <c r="C137" s="112" t="s">
        <v>54</v>
      </c>
      <c r="D137" s="120">
        <v>31.6</v>
      </c>
      <c r="E137" s="342">
        <v>9.3000000000000007</v>
      </c>
      <c r="F137" s="119">
        <v>1</v>
      </c>
      <c r="G137" s="117">
        <f t="shared" si="2"/>
        <v>0.29388000000000003</v>
      </c>
      <c r="H137" s="112"/>
    </row>
    <row r="138" spans="1:8" hidden="1">
      <c r="A138" s="344" t="s">
        <v>72</v>
      </c>
      <c r="B138" s="112" t="s">
        <v>15</v>
      </c>
      <c r="C138" s="112" t="s">
        <v>54</v>
      </c>
      <c r="D138" s="120">
        <v>31.6</v>
      </c>
      <c r="E138" s="342">
        <v>7.4</v>
      </c>
      <c r="F138" s="119">
        <v>1</v>
      </c>
      <c r="G138" s="117">
        <f t="shared" si="2"/>
        <v>0.23384000000000002</v>
      </c>
      <c r="H138" s="112"/>
    </row>
    <row r="139" spans="1:8" hidden="1">
      <c r="A139" s="344" t="s">
        <v>72</v>
      </c>
      <c r="B139" s="112" t="s">
        <v>15</v>
      </c>
      <c r="C139" s="112" t="s">
        <v>54</v>
      </c>
      <c r="D139" s="120">
        <v>31.6</v>
      </c>
      <c r="E139" s="342">
        <v>7.2</v>
      </c>
      <c r="F139" s="119">
        <v>1</v>
      </c>
      <c r="G139" s="117">
        <f t="shared" si="2"/>
        <v>0.22752</v>
      </c>
      <c r="H139" s="112"/>
    </row>
    <row r="140" spans="1:8" hidden="1">
      <c r="A140" s="344" t="s">
        <v>72</v>
      </c>
      <c r="B140" s="112" t="s">
        <v>15</v>
      </c>
      <c r="C140" s="112" t="s">
        <v>25</v>
      </c>
      <c r="D140" s="120">
        <v>7.34</v>
      </c>
      <c r="E140" s="309">
        <v>12</v>
      </c>
      <c r="F140" s="119">
        <v>4</v>
      </c>
      <c r="G140" s="117">
        <f t="shared" si="2"/>
        <v>0.35231999999999997</v>
      </c>
      <c r="H140" s="112"/>
    </row>
    <row r="141" spans="1:8">
      <c r="A141" s="344" t="s">
        <v>72</v>
      </c>
      <c r="B141" s="112" t="s">
        <v>15</v>
      </c>
      <c r="C141" s="112" t="s">
        <v>57</v>
      </c>
      <c r="D141" s="120">
        <v>33.72</v>
      </c>
      <c r="E141" s="342">
        <v>8</v>
      </c>
      <c r="F141" s="119">
        <v>1</v>
      </c>
      <c r="G141" s="117">
        <f t="shared" si="2"/>
        <v>0.26976</v>
      </c>
      <c r="H141" s="112"/>
    </row>
    <row r="142" spans="1:8">
      <c r="A142" s="344" t="s">
        <v>72</v>
      </c>
      <c r="B142" s="112" t="s">
        <v>15</v>
      </c>
      <c r="C142" s="112" t="s">
        <v>57</v>
      </c>
      <c r="D142" s="120">
        <v>33.72</v>
      </c>
      <c r="E142" s="342">
        <v>11</v>
      </c>
      <c r="F142" s="119">
        <v>1</v>
      </c>
      <c r="G142" s="117">
        <f t="shared" si="2"/>
        <v>0.37091999999999997</v>
      </c>
      <c r="H142" s="112"/>
    </row>
    <row r="143" spans="1:8">
      <c r="A143" s="344" t="s">
        <v>72</v>
      </c>
      <c r="B143" s="112" t="s">
        <v>15</v>
      </c>
      <c r="C143" s="112" t="s">
        <v>57</v>
      </c>
      <c r="D143" s="120">
        <v>33.72</v>
      </c>
      <c r="E143" s="342">
        <v>11.2</v>
      </c>
      <c r="F143" s="119">
        <v>2</v>
      </c>
      <c r="G143" s="117">
        <f t="shared" si="2"/>
        <v>0.755328</v>
      </c>
      <c r="H143" s="112"/>
    </row>
    <row r="144" spans="1:8" hidden="1">
      <c r="A144" s="344" t="s">
        <v>72</v>
      </c>
      <c r="B144" s="112" t="s">
        <v>15</v>
      </c>
      <c r="C144" s="112" t="s">
        <v>56</v>
      </c>
      <c r="D144" s="120">
        <v>25.2</v>
      </c>
      <c r="E144" s="341">
        <v>8.4</v>
      </c>
      <c r="F144" s="119">
        <v>1</v>
      </c>
      <c r="G144" s="117">
        <f t="shared" si="2"/>
        <v>0.21168000000000001</v>
      </c>
      <c r="H144" s="112"/>
    </row>
    <row r="145" spans="1:8" hidden="1">
      <c r="A145" s="344" t="s">
        <v>72</v>
      </c>
      <c r="B145" s="112" t="s">
        <v>15</v>
      </c>
      <c r="C145" s="112" t="s">
        <v>56</v>
      </c>
      <c r="D145" s="120">
        <v>25.2</v>
      </c>
      <c r="E145" s="341">
        <v>9.6999999999999993</v>
      </c>
      <c r="F145" s="119">
        <v>1</v>
      </c>
      <c r="G145" s="117">
        <f t="shared" si="2"/>
        <v>0.24443999999999996</v>
      </c>
      <c r="H145" s="112"/>
    </row>
    <row r="146" spans="1:8" hidden="1">
      <c r="A146" s="344" t="s">
        <v>72</v>
      </c>
      <c r="B146" s="112" t="s">
        <v>15</v>
      </c>
      <c r="C146" s="112" t="s">
        <v>56</v>
      </c>
      <c r="D146" s="120">
        <v>25.2</v>
      </c>
      <c r="E146" s="341">
        <v>10.199999999999999</v>
      </c>
      <c r="F146" s="119">
        <v>1</v>
      </c>
      <c r="G146" s="117">
        <f t="shared" si="2"/>
        <v>0.25703999999999999</v>
      </c>
      <c r="H146" s="112"/>
    </row>
    <row r="147" spans="1:8" hidden="1">
      <c r="A147" s="344" t="s">
        <v>72</v>
      </c>
      <c r="B147" s="112" t="s">
        <v>15</v>
      </c>
      <c r="C147" s="112" t="s">
        <v>56</v>
      </c>
      <c r="D147" s="120">
        <v>25.2</v>
      </c>
      <c r="E147" s="341">
        <v>10.6</v>
      </c>
      <c r="F147" s="119">
        <v>1</v>
      </c>
      <c r="G147" s="117">
        <f t="shared" si="2"/>
        <v>0.26712000000000002</v>
      </c>
      <c r="H147" s="112"/>
    </row>
    <row r="148" spans="1:8" hidden="1">
      <c r="A148" s="344" t="s">
        <v>72</v>
      </c>
      <c r="B148" s="112" t="s">
        <v>15</v>
      </c>
      <c r="C148" s="112" t="s">
        <v>58</v>
      </c>
      <c r="D148" s="120">
        <v>27.29</v>
      </c>
      <c r="E148" s="342">
        <v>5.8</v>
      </c>
      <c r="F148" s="119">
        <v>1</v>
      </c>
      <c r="G148" s="117">
        <f t="shared" si="2"/>
        <v>0.15828199999999998</v>
      </c>
      <c r="H148" s="112"/>
    </row>
    <row r="149" spans="1:8" hidden="1">
      <c r="A149" s="344" t="s">
        <v>72</v>
      </c>
      <c r="B149" s="112" t="s">
        <v>15</v>
      </c>
      <c r="C149" s="112" t="s">
        <v>58</v>
      </c>
      <c r="D149" s="120">
        <v>27.29</v>
      </c>
      <c r="E149" s="342">
        <v>5.9</v>
      </c>
      <c r="F149" s="119">
        <v>1</v>
      </c>
      <c r="G149" s="117">
        <f t="shared" si="2"/>
        <v>0.16101099999999999</v>
      </c>
      <c r="H149" s="112"/>
    </row>
    <row r="150" spans="1:8">
      <c r="A150" s="344" t="s">
        <v>72</v>
      </c>
      <c r="B150" s="112" t="s">
        <v>15</v>
      </c>
      <c r="C150" s="112" t="s">
        <v>57</v>
      </c>
      <c r="D150" s="120">
        <v>33.72</v>
      </c>
      <c r="E150" s="342">
        <v>7.2</v>
      </c>
      <c r="F150" s="119">
        <v>1</v>
      </c>
      <c r="G150" s="117">
        <f t="shared" si="2"/>
        <v>0.242784</v>
      </c>
      <c r="H150" s="112"/>
    </row>
    <row r="151" spans="1:8">
      <c r="A151" s="344" t="s">
        <v>72</v>
      </c>
      <c r="B151" s="112" t="s">
        <v>15</v>
      </c>
      <c r="C151" s="112" t="s">
        <v>57</v>
      </c>
      <c r="D151" s="120">
        <v>33.72</v>
      </c>
      <c r="E151" s="342">
        <v>7.5</v>
      </c>
      <c r="F151" s="119">
        <v>3</v>
      </c>
      <c r="G151" s="117">
        <f t="shared" si="2"/>
        <v>0.75869999999999993</v>
      </c>
      <c r="H151" s="112"/>
    </row>
    <row r="152" spans="1:8">
      <c r="A152" s="344" t="s">
        <v>72</v>
      </c>
      <c r="B152" s="112" t="s">
        <v>15</v>
      </c>
      <c r="C152" s="112" t="s">
        <v>57</v>
      </c>
      <c r="D152" s="120">
        <v>33.72</v>
      </c>
      <c r="E152" s="342">
        <v>7.8</v>
      </c>
      <c r="F152" s="119">
        <v>4</v>
      </c>
      <c r="G152" s="117">
        <f t="shared" si="2"/>
        <v>1.0520639999999999</v>
      </c>
      <c r="H152" s="112"/>
    </row>
    <row r="153" spans="1:8">
      <c r="A153" s="344" t="s">
        <v>72</v>
      </c>
      <c r="B153" s="112" t="s">
        <v>15</v>
      </c>
      <c r="C153" s="112" t="s">
        <v>57</v>
      </c>
      <c r="D153" s="120">
        <v>33.72</v>
      </c>
      <c r="E153" s="342">
        <v>10</v>
      </c>
      <c r="F153" s="119">
        <v>3</v>
      </c>
      <c r="G153" s="117">
        <f t="shared" si="2"/>
        <v>1.0115999999999998</v>
      </c>
      <c r="H153" s="112"/>
    </row>
    <row r="154" spans="1:8" hidden="1">
      <c r="A154" s="344" t="s">
        <v>72</v>
      </c>
      <c r="B154" s="112" t="s">
        <v>15</v>
      </c>
      <c r="C154" s="112" t="s">
        <v>32</v>
      </c>
      <c r="D154" s="120">
        <v>8.3000000000000007</v>
      </c>
      <c r="E154" s="342">
        <v>5.6</v>
      </c>
      <c r="F154" s="119">
        <v>1</v>
      </c>
      <c r="G154" s="117">
        <f t="shared" si="2"/>
        <v>4.6480000000000007E-2</v>
      </c>
      <c r="H154" s="112"/>
    </row>
    <row r="155" spans="1:8" hidden="1">
      <c r="A155" s="344" t="s">
        <v>72</v>
      </c>
      <c r="B155" s="112" t="s">
        <v>15</v>
      </c>
      <c r="C155" s="112" t="s">
        <v>32</v>
      </c>
      <c r="D155" s="120">
        <v>8.3000000000000007</v>
      </c>
      <c r="E155" s="342">
        <v>9.8000000000000007</v>
      </c>
      <c r="F155" s="119">
        <v>1</v>
      </c>
      <c r="G155" s="117">
        <f t="shared" si="2"/>
        <v>8.1340000000000023E-2</v>
      </c>
      <c r="H155" s="112"/>
    </row>
    <row r="156" spans="1:8" hidden="1">
      <c r="A156" s="344" t="s">
        <v>72</v>
      </c>
      <c r="B156" s="112" t="s">
        <v>15</v>
      </c>
      <c r="C156" s="112" t="s">
        <v>32</v>
      </c>
      <c r="D156" s="120">
        <v>8.3000000000000007</v>
      </c>
      <c r="E156" s="342">
        <v>7</v>
      </c>
      <c r="F156" s="119">
        <v>1</v>
      </c>
      <c r="G156" s="117">
        <f t="shared" si="2"/>
        <v>5.8100000000000006E-2</v>
      </c>
      <c r="H156" s="112"/>
    </row>
    <row r="157" spans="1:8" hidden="1">
      <c r="A157" s="344" t="s">
        <v>72</v>
      </c>
      <c r="B157" s="112" t="s">
        <v>15</v>
      </c>
      <c r="C157" s="112" t="s">
        <v>32</v>
      </c>
      <c r="D157" s="120">
        <v>8.3000000000000007</v>
      </c>
      <c r="E157" s="342">
        <v>8</v>
      </c>
      <c r="F157" s="119">
        <v>1</v>
      </c>
      <c r="G157" s="117">
        <f t="shared" si="2"/>
        <v>6.6400000000000001E-2</v>
      </c>
      <c r="H157" s="112"/>
    </row>
    <row r="158" spans="1:8" hidden="1">
      <c r="A158" s="344" t="s">
        <v>72</v>
      </c>
      <c r="B158" s="112" t="s">
        <v>15</v>
      </c>
      <c r="C158" s="112" t="s">
        <v>32</v>
      </c>
      <c r="D158" s="120">
        <v>8.3000000000000007</v>
      </c>
      <c r="E158" s="342">
        <v>12</v>
      </c>
      <c r="F158" s="119">
        <v>1</v>
      </c>
      <c r="G158" s="117">
        <f t="shared" si="2"/>
        <v>9.9600000000000008E-2</v>
      </c>
      <c r="H158" s="112"/>
    </row>
    <row r="159" spans="1:8" hidden="1">
      <c r="A159" s="344" t="s">
        <v>72</v>
      </c>
      <c r="B159" s="112" t="s">
        <v>15</v>
      </c>
      <c r="C159" s="112" t="s">
        <v>18</v>
      </c>
      <c r="D159" s="120">
        <v>6.86</v>
      </c>
      <c r="E159" s="341">
        <v>9</v>
      </c>
      <c r="F159" s="119">
        <v>2</v>
      </c>
      <c r="G159" s="117">
        <f t="shared" si="2"/>
        <v>0.12348000000000001</v>
      </c>
      <c r="H159" s="112"/>
    </row>
    <row r="160" spans="1:8" hidden="1">
      <c r="A160" s="344" t="s">
        <v>72</v>
      </c>
      <c r="B160" s="112" t="s">
        <v>15</v>
      </c>
      <c r="C160" s="112" t="s">
        <v>18</v>
      </c>
      <c r="D160" s="120">
        <v>6.86</v>
      </c>
      <c r="E160" s="341">
        <v>9.5</v>
      </c>
      <c r="F160" s="119">
        <v>2</v>
      </c>
      <c r="G160" s="117">
        <f t="shared" si="2"/>
        <v>0.13034000000000001</v>
      </c>
      <c r="H160" s="112"/>
    </row>
    <row r="161" spans="1:8" hidden="1">
      <c r="A161" s="344" t="s">
        <v>72</v>
      </c>
      <c r="B161" s="112" t="s">
        <v>15</v>
      </c>
      <c r="C161" s="112" t="s">
        <v>18</v>
      </c>
      <c r="D161" s="120">
        <v>6.86</v>
      </c>
      <c r="E161" s="341">
        <v>9.6999999999999993</v>
      </c>
      <c r="F161" s="119">
        <v>5</v>
      </c>
      <c r="G161" s="117">
        <f t="shared" si="2"/>
        <v>0.33271000000000006</v>
      </c>
      <c r="H161" s="112"/>
    </row>
    <row r="162" spans="1:8" hidden="1">
      <c r="A162" s="344" t="s">
        <v>72</v>
      </c>
      <c r="B162" s="112" t="s">
        <v>15</v>
      </c>
      <c r="C162" s="112" t="s">
        <v>34</v>
      </c>
      <c r="D162" s="120">
        <v>9.61</v>
      </c>
      <c r="E162" s="341">
        <v>8.5</v>
      </c>
      <c r="F162" s="119">
        <v>1</v>
      </c>
      <c r="G162" s="117">
        <f t="shared" si="2"/>
        <v>8.1685000000000008E-2</v>
      </c>
      <c r="H162" s="112"/>
    </row>
    <row r="163" spans="1:8" hidden="1">
      <c r="A163" s="344" t="s">
        <v>72</v>
      </c>
      <c r="B163" s="112" t="s">
        <v>15</v>
      </c>
      <c r="C163" s="112" t="s">
        <v>34</v>
      </c>
      <c r="D163" s="120">
        <v>9.61</v>
      </c>
      <c r="E163" s="341">
        <v>10</v>
      </c>
      <c r="F163" s="119">
        <v>1</v>
      </c>
      <c r="G163" s="117">
        <f t="shared" si="2"/>
        <v>9.6099999999999991E-2</v>
      </c>
      <c r="H163" s="112"/>
    </row>
    <row r="164" spans="1:8" hidden="1">
      <c r="A164" s="344" t="s">
        <v>72</v>
      </c>
      <c r="B164" s="112" t="s">
        <v>15</v>
      </c>
      <c r="C164" s="112" t="s">
        <v>34</v>
      </c>
      <c r="D164" s="120">
        <v>9.61</v>
      </c>
      <c r="E164" s="341">
        <v>12</v>
      </c>
      <c r="F164" s="119">
        <v>1</v>
      </c>
      <c r="G164" s="117">
        <f t="shared" si="2"/>
        <v>0.11531999999999999</v>
      </c>
      <c r="H164" s="112"/>
    </row>
    <row r="165" spans="1:8" ht="27" hidden="1">
      <c r="A165" s="344" t="s">
        <v>72</v>
      </c>
      <c r="B165" s="348" t="s">
        <v>15</v>
      </c>
      <c r="C165" s="348" t="s">
        <v>56</v>
      </c>
      <c r="D165" s="342">
        <v>25.2</v>
      </c>
      <c r="E165" s="349">
        <v>6.1</v>
      </c>
      <c r="F165" s="119">
        <v>1</v>
      </c>
      <c r="G165" s="117">
        <f t="shared" si="2"/>
        <v>0.15372</v>
      </c>
      <c r="H165" s="112"/>
    </row>
    <row r="166" spans="1:8" ht="27" hidden="1">
      <c r="A166" s="344" t="s">
        <v>72</v>
      </c>
      <c r="B166" s="348" t="s">
        <v>15</v>
      </c>
      <c r="C166" s="348" t="s">
        <v>56</v>
      </c>
      <c r="D166" s="342">
        <v>25.2</v>
      </c>
      <c r="E166" s="349">
        <v>10</v>
      </c>
      <c r="F166" s="119">
        <v>1</v>
      </c>
      <c r="G166" s="117">
        <f t="shared" si="2"/>
        <v>0.252</v>
      </c>
      <c r="H166" s="112"/>
    </row>
    <row r="167" spans="1:8" ht="27" hidden="1">
      <c r="A167" s="344" t="s">
        <v>72</v>
      </c>
      <c r="B167" s="348" t="s">
        <v>15</v>
      </c>
      <c r="C167" s="348" t="s">
        <v>56</v>
      </c>
      <c r="D167" s="342">
        <v>25.2</v>
      </c>
      <c r="E167" s="349">
        <v>11.2</v>
      </c>
      <c r="F167" s="119">
        <v>1</v>
      </c>
      <c r="G167" s="117">
        <f t="shared" si="2"/>
        <v>0.28223999999999994</v>
      </c>
      <c r="H167" s="112"/>
    </row>
    <row r="168" spans="1:8" ht="27" hidden="1">
      <c r="A168" s="344" t="s">
        <v>72</v>
      </c>
      <c r="B168" s="348" t="s">
        <v>15</v>
      </c>
      <c r="C168" s="348" t="s">
        <v>56</v>
      </c>
      <c r="D168" s="342">
        <v>25.2</v>
      </c>
      <c r="E168" s="349">
        <v>12.2</v>
      </c>
      <c r="F168" s="119">
        <v>1</v>
      </c>
      <c r="G168" s="117">
        <f t="shared" si="2"/>
        <v>0.30743999999999999</v>
      </c>
      <c r="H168" s="112"/>
    </row>
    <row r="169" spans="1:8" ht="27" hidden="1">
      <c r="A169" s="344" t="s">
        <v>72</v>
      </c>
      <c r="B169" s="348" t="s">
        <v>15</v>
      </c>
      <c r="C169" s="348" t="s">
        <v>60</v>
      </c>
      <c r="D169" s="342">
        <v>23</v>
      </c>
      <c r="E169" s="349">
        <v>5.5</v>
      </c>
      <c r="F169" s="119">
        <v>1</v>
      </c>
      <c r="G169" s="117">
        <f t="shared" si="2"/>
        <v>0.1265</v>
      </c>
      <c r="H169" s="112"/>
    </row>
    <row r="170" spans="1:8" ht="27" hidden="1">
      <c r="A170" s="344" t="s">
        <v>72</v>
      </c>
      <c r="B170" s="348" t="s">
        <v>15</v>
      </c>
      <c r="C170" s="348" t="s">
        <v>60</v>
      </c>
      <c r="D170" s="342">
        <v>23</v>
      </c>
      <c r="E170" s="349">
        <v>5.9</v>
      </c>
      <c r="F170" s="119">
        <v>2</v>
      </c>
      <c r="G170" s="117">
        <f t="shared" si="2"/>
        <v>0.27140000000000003</v>
      </c>
      <c r="H170" s="112"/>
    </row>
    <row r="171" spans="1:8" ht="27" hidden="1">
      <c r="A171" s="344" t="s">
        <v>72</v>
      </c>
      <c r="B171" s="348" t="s">
        <v>15</v>
      </c>
      <c r="C171" s="348" t="s">
        <v>60</v>
      </c>
      <c r="D171" s="342">
        <v>23</v>
      </c>
      <c r="E171" s="349">
        <v>6.1</v>
      </c>
      <c r="F171" s="119">
        <v>1</v>
      </c>
      <c r="G171" s="117">
        <f t="shared" si="2"/>
        <v>0.14029999999999998</v>
      </c>
      <c r="H171" s="112"/>
    </row>
    <row r="172" spans="1:8" ht="27" hidden="1">
      <c r="A172" s="344" t="s">
        <v>72</v>
      </c>
      <c r="B172" s="348" t="s">
        <v>15</v>
      </c>
      <c r="C172" s="348" t="s">
        <v>60</v>
      </c>
      <c r="D172" s="342">
        <v>23</v>
      </c>
      <c r="E172" s="349">
        <v>11.25</v>
      </c>
      <c r="F172" s="119">
        <v>1</v>
      </c>
      <c r="G172" s="117">
        <f t="shared" si="2"/>
        <v>0.25874999999999998</v>
      </c>
      <c r="H172" s="112"/>
    </row>
    <row r="173" spans="1:8" ht="27" hidden="1">
      <c r="A173" s="344" t="s">
        <v>72</v>
      </c>
      <c r="B173" s="348" t="s">
        <v>15</v>
      </c>
      <c r="C173" s="348" t="s">
        <v>53</v>
      </c>
      <c r="D173" s="342">
        <v>35.9</v>
      </c>
      <c r="E173" s="349">
        <v>7.1</v>
      </c>
      <c r="F173" s="119">
        <v>1</v>
      </c>
      <c r="G173" s="117">
        <f t="shared" si="2"/>
        <v>0.25489000000000001</v>
      </c>
      <c r="H173" s="112"/>
    </row>
    <row r="174" spans="1:8" ht="27" hidden="1">
      <c r="A174" s="344" t="s">
        <v>72</v>
      </c>
      <c r="B174" s="348" t="s">
        <v>15</v>
      </c>
      <c r="C174" s="348" t="s">
        <v>53</v>
      </c>
      <c r="D174" s="342">
        <v>35.9</v>
      </c>
      <c r="E174" s="349">
        <v>7.45</v>
      </c>
      <c r="F174" s="119">
        <v>4</v>
      </c>
      <c r="G174" s="117">
        <f t="shared" si="2"/>
        <v>1.06982</v>
      </c>
      <c r="H174" s="112"/>
    </row>
    <row r="175" spans="1:8" hidden="1">
      <c r="A175" s="344" t="s">
        <v>72</v>
      </c>
      <c r="B175" s="350" t="s">
        <v>15</v>
      </c>
      <c r="C175" s="112" t="s">
        <v>37</v>
      </c>
      <c r="D175" s="351">
        <v>18.2</v>
      </c>
      <c r="E175" s="117">
        <v>10.6</v>
      </c>
      <c r="F175" s="119">
        <v>1</v>
      </c>
      <c r="G175" s="117">
        <f t="shared" si="2"/>
        <v>0.19291999999999998</v>
      </c>
      <c r="H175" s="346" t="s">
        <v>415</v>
      </c>
    </row>
    <row r="176" spans="1:8" hidden="1">
      <c r="A176" s="344" t="s">
        <v>72</v>
      </c>
      <c r="B176" s="350" t="s">
        <v>15</v>
      </c>
      <c r="C176" s="112" t="s">
        <v>37</v>
      </c>
      <c r="D176" s="351">
        <v>18.2</v>
      </c>
      <c r="E176" s="117">
        <v>10.4</v>
      </c>
      <c r="F176" s="119">
        <v>1</v>
      </c>
      <c r="G176" s="117">
        <f t="shared" si="2"/>
        <v>0.18928</v>
      </c>
      <c r="H176" s="346" t="s">
        <v>415</v>
      </c>
    </row>
    <row r="177" spans="1:8" hidden="1">
      <c r="A177" s="344" t="s">
        <v>72</v>
      </c>
      <c r="B177" s="350" t="s">
        <v>15</v>
      </c>
      <c r="C177" s="112" t="s">
        <v>37</v>
      </c>
      <c r="D177" s="351">
        <v>18.2</v>
      </c>
      <c r="E177" s="117">
        <v>9.4</v>
      </c>
      <c r="F177" s="119">
        <v>1</v>
      </c>
      <c r="G177" s="117">
        <f t="shared" si="2"/>
        <v>0.17108000000000001</v>
      </c>
      <c r="H177" s="112"/>
    </row>
    <row r="178" spans="1:8" hidden="1">
      <c r="A178" s="344" t="s">
        <v>72</v>
      </c>
      <c r="B178" s="350" t="s">
        <v>15</v>
      </c>
      <c r="C178" s="112" t="s">
        <v>40</v>
      </c>
      <c r="D178" s="351">
        <v>16.5</v>
      </c>
      <c r="E178" s="117">
        <v>9.1</v>
      </c>
      <c r="F178" s="119">
        <v>6</v>
      </c>
      <c r="G178" s="117">
        <f t="shared" si="2"/>
        <v>0.90090000000000015</v>
      </c>
      <c r="H178" s="112"/>
    </row>
    <row r="179" spans="1:8" hidden="1">
      <c r="A179" s="344" t="s">
        <v>72</v>
      </c>
      <c r="B179" s="350" t="s">
        <v>15</v>
      </c>
      <c r="C179" s="112" t="s">
        <v>40</v>
      </c>
      <c r="D179" s="351">
        <v>16.5</v>
      </c>
      <c r="E179" s="117">
        <v>11.2</v>
      </c>
      <c r="F179" s="119">
        <v>1</v>
      </c>
      <c r="G179" s="117">
        <f t="shared" ref="G179:G211" si="3">E179*D179*F179/1000</f>
        <v>0.18479999999999999</v>
      </c>
      <c r="H179" s="112"/>
    </row>
    <row r="180" spans="1:8" hidden="1">
      <c r="A180" s="344" t="s">
        <v>72</v>
      </c>
      <c r="B180" s="350" t="s">
        <v>15</v>
      </c>
      <c r="C180" s="112" t="s">
        <v>40</v>
      </c>
      <c r="D180" s="351">
        <v>16.5</v>
      </c>
      <c r="E180" s="117">
        <v>7.9</v>
      </c>
      <c r="F180" s="119">
        <v>2</v>
      </c>
      <c r="G180" s="117">
        <f t="shared" si="3"/>
        <v>0.26069999999999999</v>
      </c>
      <c r="H180" s="112"/>
    </row>
    <row r="181" spans="1:8" hidden="1">
      <c r="A181" s="344" t="s">
        <v>72</v>
      </c>
      <c r="B181" s="350" t="s">
        <v>15</v>
      </c>
      <c r="C181" s="112" t="s">
        <v>39</v>
      </c>
      <c r="D181" s="351">
        <v>14.7</v>
      </c>
      <c r="E181" s="117">
        <v>11.3</v>
      </c>
      <c r="F181" s="119">
        <v>9</v>
      </c>
      <c r="G181" s="117">
        <f t="shared" si="3"/>
        <v>1.4949900000000003</v>
      </c>
      <c r="H181" s="347" t="s">
        <v>415</v>
      </c>
    </row>
    <row r="182" spans="1:8" hidden="1">
      <c r="A182" s="344" t="s">
        <v>72</v>
      </c>
      <c r="B182" s="350" t="s">
        <v>15</v>
      </c>
      <c r="C182" s="112" t="s">
        <v>39</v>
      </c>
      <c r="D182" s="351">
        <v>14.7</v>
      </c>
      <c r="E182" s="117">
        <v>11.7</v>
      </c>
      <c r="F182" s="119">
        <v>4</v>
      </c>
      <c r="G182" s="117">
        <f t="shared" si="3"/>
        <v>0.6879599999999999</v>
      </c>
      <c r="H182" s="347" t="s">
        <v>415</v>
      </c>
    </row>
    <row r="183" spans="1:8" hidden="1">
      <c r="A183" s="344" t="s">
        <v>72</v>
      </c>
      <c r="B183" s="350" t="s">
        <v>15</v>
      </c>
      <c r="C183" s="112" t="s">
        <v>39</v>
      </c>
      <c r="D183" s="351">
        <v>14.7</v>
      </c>
      <c r="E183" s="117">
        <v>8</v>
      </c>
      <c r="F183" s="119">
        <v>1</v>
      </c>
      <c r="G183" s="117">
        <f t="shared" si="3"/>
        <v>0.1176</v>
      </c>
      <c r="H183" s="347" t="s">
        <v>415</v>
      </c>
    </row>
    <row r="184" spans="1:8" hidden="1">
      <c r="A184" s="344" t="s">
        <v>72</v>
      </c>
      <c r="B184" s="350" t="s">
        <v>15</v>
      </c>
      <c r="C184" s="112" t="s">
        <v>39</v>
      </c>
      <c r="D184" s="351">
        <v>14.7</v>
      </c>
      <c r="E184" s="117">
        <v>9.4</v>
      </c>
      <c r="F184" s="119">
        <v>1</v>
      </c>
      <c r="G184" s="117">
        <f t="shared" si="3"/>
        <v>0.13818</v>
      </c>
      <c r="H184" s="347" t="s">
        <v>415</v>
      </c>
    </row>
    <row r="185" spans="1:8" hidden="1">
      <c r="A185" s="344" t="s">
        <v>72</v>
      </c>
      <c r="B185" s="350" t="s">
        <v>15</v>
      </c>
      <c r="C185" s="112" t="s">
        <v>39</v>
      </c>
      <c r="D185" s="351">
        <v>14.7</v>
      </c>
      <c r="E185" s="117">
        <v>7</v>
      </c>
      <c r="F185" s="119">
        <v>1</v>
      </c>
      <c r="G185" s="117">
        <f t="shared" si="3"/>
        <v>0.10289999999999999</v>
      </c>
      <c r="H185" s="347" t="s">
        <v>415</v>
      </c>
    </row>
    <row r="186" spans="1:8" hidden="1">
      <c r="A186" s="344" t="s">
        <v>72</v>
      </c>
      <c r="B186" s="350" t="s">
        <v>15</v>
      </c>
      <c r="C186" s="112" t="s">
        <v>50</v>
      </c>
      <c r="D186" s="351">
        <v>21.7</v>
      </c>
      <c r="E186" s="117">
        <v>6.3</v>
      </c>
      <c r="F186" s="119">
        <v>18</v>
      </c>
      <c r="G186" s="117">
        <f t="shared" si="3"/>
        <v>2.4607799999999997</v>
      </c>
      <c r="H186" s="112"/>
    </row>
    <row r="187" spans="1:8" hidden="1">
      <c r="A187" s="344" t="s">
        <v>72</v>
      </c>
      <c r="B187" s="350" t="s">
        <v>15</v>
      </c>
      <c r="C187" s="112" t="s">
        <v>50</v>
      </c>
      <c r="D187" s="351">
        <v>21.7</v>
      </c>
      <c r="E187" s="117">
        <v>8.4</v>
      </c>
      <c r="F187" s="119">
        <v>24</v>
      </c>
      <c r="G187" s="117">
        <f t="shared" si="3"/>
        <v>4.3747199999999999</v>
      </c>
      <c r="H187" s="112"/>
    </row>
    <row r="188" spans="1:8" hidden="1">
      <c r="A188" s="344" t="s">
        <v>72</v>
      </c>
      <c r="B188" s="350" t="s">
        <v>15</v>
      </c>
      <c r="C188" s="112" t="s">
        <v>50</v>
      </c>
      <c r="D188" s="351">
        <v>21.7</v>
      </c>
      <c r="E188" s="117">
        <v>9.1</v>
      </c>
      <c r="F188" s="119">
        <v>2</v>
      </c>
      <c r="G188" s="117">
        <f t="shared" si="3"/>
        <v>0.39494000000000001</v>
      </c>
      <c r="H188" s="112"/>
    </row>
    <row r="189" spans="1:8" hidden="1">
      <c r="A189" s="344" t="s">
        <v>72</v>
      </c>
      <c r="B189" s="350" t="s">
        <v>15</v>
      </c>
      <c r="C189" s="112" t="s">
        <v>50</v>
      </c>
      <c r="D189" s="351">
        <v>21.7</v>
      </c>
      <c r="E189" s="117">
        <v>10.1</v>
      </c>
      <c r="F189" s="119">
        <v>10</v>
      </c>
      <c r="G189" s="117">
        <f t="shared" si="3"/>
        <v>2.1917</v>
      </c>
      <c r="H189" s="112"/>
    </row>
    <row r="190" spans="1:8" hidden="1">
      <c r="A190" s="344" t="s">
        <v>72</v>
      </c>
      <c r="B190" s="350" t="s">
        <v>15</v>
      </c>
      <c r="C190" s="112" t="s">
        <v>50</v>
      </c>
      <c r="D190" s="351">
        <v>21.7</v>
      </c>
      <c r="E190" s="117">
        <v>6</v>
      </c>
      <c r="F190" s="119">
        <v>1</v>
      </c>
      <c r="G190" s="117">
        <f t="shared" si="3"/>
        <v>0.13019999999999998</v>
      </c>
      <c r="H190" s="112"/>
    </row>
    <row r="191" spans="1:8" hidden="1">
      <c r="A191" s="344" t="s">
        <v>72</v>
      </c>
      <c r="B191" s="350" t="s">
        <v>15</v>
      </c>
      <c r="C191" s="112" t="s">
        <v>50</v>
      </c>
      <c r="D191" s="351">
        <v>21.7</v>
      </c>
      <c r="E191" s="117">
        <v>7.5</v>
      </c>
      <c r="F191" s="119">
        <v>1</v>
      </c>
      <c r="G191" s="117">
        <f t="shared" si="3"/>
        <v>0.16275000000000001</v>
      </c>
      <c r="H191" s="112"/>
    </row>
    <row r="192" spans="1:8" hidden="1">
      <c r="A192" s="344" t="s">
        <v>72</v>
      </c>
      <c r="B192" s="350" t="s">
        <v>15</v>
      </c>
      <c r="C192" s="112" t="s">
        <v>50</v>
      </c>
      <c r="D192" s="351">
        <v>21.7</v>
      </c>
      <c r="E192" s="117">
        <v>7.9</v>
      </c>
      <c r="F192" s="119">
        <v>2</v>
      </c>
      <c r="G192" s="117">
        <f t="shared" si="3"/>
        <v>0.34286</v>
      </c>
      <c r="H192" s="112"/>
    </row>
    <row r="193" spans="1:8" hidden="1">
      <c r="A193" s="344" t="s">
        <v>72</v>
      </c>
      <c r="B193" s="350" t="s">
        <v>15</v>
      </c>
      <c r="C193" s="112" t="s">
        <v>50</v>
      </c>
      <c r="D193" s="351">
        <v>21.7</v>
      </c>
      <c r="E193" s="117">
        <v>8.4</v>
      </c>
      <c r="F193" s="119">
        <v>1</v>
      </c>
      <c r="G193" s="117">
        <f t="shared" si="3"/>
        <v>0.18228</v>
      </c>
      <c r="H193" s="112"/>
    </row>
    <row r="194" spans="1:8" hidden="1">
      <c r="A194" s="344" t="s">
        <v>72</v>
      </c>
      <c r="B194" s="350" t="s">
        <v>15</v>
      </c>
      <c r="C194" s="112" t="s">
        <v>50</v>
      </c>
      <c r="D194" s="351">
        <v>21.7</v>
      </c>
      <c r="E194" s="117">
        <v>11.5</v>
      </c>
      <c r="F194" s="119">
        <v>1</v>
      </c>
      <c r="G194" s="117">
        <f t="shared" si="3"/>
        <v>0.24954999999999999</v>
      </c>
      <c r="H194" s="112"/>
    </row>
    <row r="195" spans="1:8" hidden="1">
      <c r="A195" s="344" t="s">
        <v>72</v>
      </c>
      <c r="B195" s="350" t="s">
        <v>15</v>
      </c>
      <c r="C195" s="112" t="s">
        <v>50</v>
      </c>
      <c r="D195" s="351">
        <v>21.7</v>
      </c>
      <c r="E195" s="117">
        <v>11</v>
      </c>
      <c r="F195" s="119">
        <v>3</v>
      </c>
      <c r="G195" s="117">
        <f t="shared" si="3"/>
        <v>0.71609999999999996</v>
      </c>
      <c r="H195" s="112"/>
    </row>
    <row r="196" spans="1:8" hidden="1">
      <c r="A196" s="344" t="s">
        <v>72</v>
      </c>
      <c r="B196" s="350" t="s">
        <v>15</v>
      </c>
      <c r="C196" s="112" t="s">
        <v>50</v>
      </c>
      <c r="D196" s="351">
        <v>21.7</v>
      </c>
      <c r="E196" s="117">
        <v>9.6999999999999993</v>
      </c>
      <c r="F196" s="119">
        <v>3</v>
      </c>
      <c r="G196" s="117">
        <f t="shared" si="3"/>
        <v>0.63146999999999986</v>
      </c>
      <c r="H196" s="112"/>
    </row>
    <row r="197" spans="1:8" hidden="1">
      <c r="A197" s="344" t="s">
        <v>72</v>
      </c>
      <c r="B197" s="350" t="s">
        <v>15</v>
      </c>
      <c r="C197" s="112" t="s">
        <v>50</v>
      </c>
      <c r="D197" s="351">
        <v>21.7</v>
      </c>
      <c r="E197" s="117">
        <v>8.6</v>
      </c>
      <c r="F197" s="119">
        <v>1</v>
      </c>
      <c r="G197" s="117">
        <f t="shared" si="3"/>
        <v>0.18661999999999998</v>
      </c>
      <c r="H197" s="112"/>
    </row>
    <row r="198" spans="1:8" hidden="1">
      <c r="A198" s="344" t="s">
        <v>72</v>
      </c>
      <c r="B198" s="350" t="s">
        <v>15</v>
      </c>
      <c r="C198" s="112" t="s">
        <v>50</v>
      </c>
      <c r="D198" s="351">
        <v>21.7</v>
      </c>
      <c r="E198" s="117">
        <v>7.7</v>
      </c>
      <c r="F198" s="119">
        <v>2</v>
      </c>
      <c r="G198" s="117">
        <f t="shared" si="3"/>
        <v>0.33418000000000003</v>
      </c>
      <c r="H198" s="112"/>
    </row>
    <row r="199" spans="1:8" hidden="1">
      <c r="A199" s="344" t="s">
        <v>72</v>
      </c>
      <c r="B199" s="350" t="s">
        <v>15</v>
      </c>
      <c r="C199" s="112" t="s">
        <v>50</v>
      </c>
      <c r="D199" s="351">
        <v>21.7</v>
      </c>
      <c r="E199" s="117">
        <v>7.8</v>
      </c>
      <c r="F199" s="119">
        <v>1</v>
      </c>
      <c r="G199" s="117">
        <f t="shared" si="3"/>
        <v>0.16925999999999999</v>
      </c>
      <c r="H199" s="112"/>
    </row>
    <row r="200" spans="1:8" hidden="1">
      <c r="A200" s="344" t="s">
        <v>72</v>
      </c>
      <c r="B200" s="350" t="s">
        <v>15</v>
      </c>
      <c r="C200" s="112" t="s">
        <v>50</v>
      </c>
      <c r="D200" s="351">
        <v>21.7</v>
      </c>
      <c r="E200" s="117">
        <v>6.3</v>
      </c>
      <c r="F200" s="119">
        <v>2</v>
      </c>
      <c r="G200" s="117">
        <f t="shared" si="3"/>
        <v>0.27341999999999994</v>
      </c>
      <c r="H200" s="112"/>
    </row>
    <row r="201" spans="1:8" hidden="1">
      <c r="A201" s="344" t="s">
        <v>72</v>
      </c>
      <c r="B201" s="350" t="s">
        <v>15</v>
      </c>
      <c r="C201" s="112" t="s">
        <v>48</v>
      </c>
      <c r="D201" s="351">
        <v>23.6</v>
      </c>
      <c r="E201" s="117">
        <v>8.6999999999999993</v>
      </c>
      <c r="F201" s="119">
        <v>3</v>
      </c>
      <c r="G201" s="117">
        <f t="shared" si="3"/>
        <v>0.61596000000000006</v>
      </c>
      <c r="H201" s="112"/>
    </row>
    <row r="202" spans="1:8" hidden="1">
      <c r="A202" s="344" t="s">
        <v>72</v>
      </c>
      <c r="B202" s="350" t="s">
        <v>15</v>
      </c>
      <c r="C202" s="112" t="s">
        <v>48</v>
      </c>
      <c r="D202" s="351">
        <v>23.6</v>
      </c>
      <c r="E202" s="117">
        <v>8.5</v>
      </c>
      <c r="F202" s="119">
        <v>1</v>
      </c>
      <c r="G202" s="117">
        <f t="shared" si="3"/>
        <v>0.20060000000000003</v>
      </c>
      <c r="H202" s="112"/>
    </row>
    <row r="203" spans="1:8" hidden="1">
      <c r="A203" s="344" t="s">
        <v>72</v>
      </c>
      <c r="B203" s="350" t="s">
        <v>15</v>
      </c>
      <c r="C203" s="112" t="s">
        <v>48</v>
      </c>
      <c r="D203" s="351">
        <v>23.6</v>
      </c>
      <c r="E203" s="117">
        <v>8.6</v>
      </c>
      <c r="F203" s="119">
        <v>1</v>
      </c>
      <c r="G203" s="117">
        <f t="shared" si="3"/>
        <v>0.20296</v>
      </c>
      <c r="H203" s="112"/>
    </row>
    <row r="204" spans="1:8" hidden="1">
      <c r="A204" s="344" t="s">
        <v>72</v>
      </c>
      <c r="B204" s="350" t="s">
        <v>15</v>
      </c>
      <c r="C204" s="112" t="s">
        <v>48</v>
      </c>
      <c r="D204" s="351">
        <v>23.6</v>
      </c>
      <c r="E204" s="117">
        <v>7.5</v>
      </c>
      <c r="F204" s="119">
        <v>1</v>
      </c>
      <c r="G204" s="117">
        <f t="shared" si="3"/>
        <v>0.17699999999999999</v>
      </c>
      <c r="H204" s="112"/>
    </row>
    <row r="205" spans="1:8" hidden="1">
      <c r="A205" s="344" t="s">
        <v>72</v>
      </c>
      <c r="B205" s="350" t="s">
        <v>15</v>
      </c>
      <c r="C205" s="112" t="s">
        <v>48</v>
      </c>
      <c r="D205" s="351">
        <v>23.6</v>
      </c>
      <c r="E205" s="117">
        <v>8.6999999999999993</v>
      </c>
      <c r="F205" s="119">
        <v>6</v>
      </c>
      <c r="G205" s="117">
        <f t="shared" si="3"/>
        <v>1.2319200000000001</v>
      </c>
      <c r="H205" s="112"/>
    </row>
    <row r="206" spans="1:8" hidden="1">
      <c r="A206" s="344" t="s">
        <v>72</v>
      </c>
      <c r="B206" s="350" t="s">
        <v>15</v>
      </c>
      <c r="C206" s="112" t="s">
        <v>42</v>
      </c>
      <c r="D206" s="351">
        <v>19.8</v>
      </c>
      <c r="E206" s="117">
        <v>11.7</v>
      </c>
      <c r="F206" s="119">
        <v>2</v>
      </c>
      <c r="G206" s="117">
        <f t="shared" si="3"/>
        <v>0.46332000000000001</v>
      </c>
      <c r="H206" s="342"/>
    </row>
    <row r="207" spans="1:8" hidden="1">
      <c r="A207" s="344" t="s">
        <v>72</v>
      </c>
      <c r="B207" s="350" t="s">
        <v>15</v>
      </c>
      <c r="C207" s="112" t="s">
        <v>42</v>
      </c>
      <c r="D207" s="351">
        <v>19.8</v>
      </c>
      <c r="E207" s="117">
        <v>6.8</v>
      </c>
      <c r="F207" s="119">
        <v>1</v>
      </c>
      <c r="G207" s="117">
        <f t="shared" si="3"/>
        <v>0.13464000000000001</v>
      </c>
      <c r="H207" s="342"/>
    </row>
    <row r="208" spans="1:8" hidden="1">
      <c r="A208" s="344" t="s">
        <v>72</v>
      </c>
      <c r="B208" s="350" t="s">
        <v>15</v>
      </c>
      <c r="C208" s="112" t="s">
        <v>42</v>
      </c>
      <c r="D208" s="351">
        <v>19.8</v>
      </c>
      <c r="E208" s="117">
        <v>11.7</v>
      </c>
      <c r="F208" s="119">
        <v>2</v>
      </c>
      <c r="G208" s="117">
        <f t="shared" si="3"/>
        <v>0.46332000000000001</v>
      </c>
      <c r="H208" s="112"/>
    </row>
    <row r="209" spans="1:8" hidden="1">
      <c r="A209" s="344" t="s">
        <v>72</v>
      </c>
      <c r="B209" s="350" t="s">
        <v>15</v>
      </c>
      <c r="C209" s="112" t="s">
        <v>42</v>
      </c>
      <c r="D209" s="351">
        <v>19.8</v>
      </c>
      <c r="E209" s="117">
        <v>8.1</v>
      </c>
      <c r="F209" s="119">
        <v>2</v>
      </c>
      <c r="G209" s="117">
        <f t="shared" si="3"/>
        <v>0.32075999999999999</v>
      </c>
      <c r="H209" s="112"/>
    </row>
    <row r="210" spans="1:8" hidden="1">
      <c r="A210" s="344" t="s">
        <v>72</v>
      </c>
      <c r="B210" s="350" t="s">
        <v>15</v>
      </c>
      <c r="C210" s="112" t="s">
        <v>42</v>
      </c>
      <c r="D210" s="351">
        <v>19.8</v>
      </c>
      <c r="E210" s="117">
        <v>6.5</v>
      </c>
      <c r="F210" s="119">
        <v>1</v>
      </c>
      <c r="G210" s="117">
        <f t="shared" si="3"/>
        <v>0.12870000000000001</v>
      </c>
      <c r="H210" s="112"/>
    </row>
    <row r="211" spans="1:8" hidden="1">
      <c r="A211" s="344" t="s">
        <v>72</v>
      </c>
      <c r="B211" s="350" t="s">
        <v>15</v>
      </c>
      <c r="C211" s="112" t="s">
        <v>42</v>
      </c>
      <c r="D211" s="351">
        <v>19.8</v>
      </c>
      <c r="E211" s="117">
        <v>11.5</v>
      </c>
      <c r="F211" s="119">
        <v>1</v>
      </c>
      <c r="G211" s="117">
        <f t="shared" si="3"/>
        <v>0.22770000000000001</v>
      </c>
      <c r="H211" s="112"/>
    </row>
    <row r="212" spans="1:8" hidden="1">
      <c r="A212" s="344" t="s">
        <v>72</v>
      </c>
      <c r="B212" s="350" t="s">
        <v>15</v>
      </c>
      <c r="C212" s="112" t="s">
        <v>49</v>
      </c>
      <c r="D212" s="351">
        <v>17.899999999999999</v>
      </c>
      <c r="E212" s="117">
        <v>7.7</v>
      </c>
      <c r="F212" s="119">
        <v>1</v>
      </c>
      <c r="G212" s="117">
        <f t="shared" ref="G212:G224" si="4">E212*D212*F212/1000</f>
        <v>0.13782999999999998</v>
      </c>
      <c r="H212" s="112"/>
    </row>
    <row r="213" spans="1:8" hidden="1">
      <c r="A213" s="344" t="s">
        <v>72</v>
      </c>
      <c r="B213" s="350" t="s">
        <v>15</v>
      </c>
      <c r="C213" s="112" t="s">
        <v>49</v>
      </c>
      <c r="D213" s="351">
        <v>17.899999999999999</v>
      </c>
      <c r="E213" s="117">
        <v>7.25</v>
      </c>
      <c r="F213" s="119">
        <v>1</v>
      </c>
      <c r="G213" s="117">
        <f t="shared" si="4"/>
        <v>0.12977499999999997</v>
      </c>
      <c r="H213" s="112"/>
    </row>
    <row r="214" spans="1:8" hidden="1">
      <c r="A214" s="344" t="s">
        <v>72</v>
      </c>
      <c r="B214" s="350" t="s">
        <v>15</v>
      </c>
      <c r="C214" s="112" t="s">
        <v>49</v>
      </c>
      <c r="D214" s="351">
        <v>17.899999999999999</v>
      </c>
      <c r="E214" s="117">
        <v>10.7</v>
      </c>
      <c r="F214" s="119">
        <v>1</v>
      </c>
      <c r="G214" s="117">
        <f t="shared" si="4"/>
        <v>0.19152999999999998</v>
      </c>
      <c r="H214" s="112"/>
    </row>
    <row r="215" spans="1:8" hidden="1">
      <c r="A215" s="344" t="s">
        <v>72</v>
      </c>
      <c r="B215" s="350" t="s">
        <v>15</v>
      </c>
      <c r="C215" s="112" t="s">
        <v>49</v>
      </c>
      <c r="D215" s="351">
        <v>17.899999999999999</v>
      </c>
      <c r="E215" s="117">
        <v>9.6999999999999993</v>
      </c>
      <c r="F215" s="119">
        <v>4</v>
      </c>
      <c r="G215" s="117">
        <f t="shared" si="4"/>
        <v>0.69451999999999992</v>
      </c>
      <c r="H215" s="112"/>
    </row>
    <row r="216" spans="1:8" hidden="1">
      <c r="A216" s="344" t="s">
        <v>72</v>
      </c>
      <c r="B216" s="350" t="s">
        <v>15</v>
      </c>
      <c r="C216" s="112" t="s">
        <v>49</v>
      </c>
      <c r="D216" s="351">
        <v>17.899999999999999</v>
      </c>
      <c r="E216" s="117">
        <v>11.5</v>
      </c>
      <c r="F216" s="119">
        <v>1</v>
      </c>
      <c r="G216" s="117">
        <f t="shared" si="4"/>
        <v>0.20585000000000001</v>
      </c>
      <c r="H216" s="112"/>
    </row>
    <row r="217" spans="1:8" hidden="1">
      <c r="A217" s="344" t="s">
        <v>72</v>
      </c>
      <c r="B217" s="350" t="s">
        <v>15</v>
      </c>
      <c r="C217" s="112" t="s">
        <v>49</v>
      </c>
      <c r="D217" s="351">
        <v>17.899999999999999</v>
      </c>
      <c r="E217" s="117">
        <v>11.1</v>
      </c>
      <c r="F217" s="119">
        <v>1</v>
      </c>
      <c r="G217" s="117">
        <f t="shared" si="4"/>
        <v>0.19868999999999998</v>
      </c>
      <c r="H217" s="112"/>
    </row>
    <row r="218" spans="1:8" hidden="1">
      <c r="A218" s="344" t="s">
        <v>72</v>
      </c>
      <c r="B218" s="350" t="s">
        <v>15</v>
      </c>
      <c r="C218" s="112" t="s">
        <v>49</v>
      </c>
      <c r="D218" s="351">
        <v>17.899999999999999</v>
      </c>
      <c r="E218" s="117">
        <v>8.9</v>
      </c>
      <c r="F218" s="119">
        <v>1</v>
      </c>
      <c r="G218" s="117">
        <f t="shared" si="4"/>
        <v>0.15931000000000001</v>
      </c>
      <c r="H218" s="112"/>
    </row>
    <row r="219" spans="1:8" hidden="1">
      <c r="A219" s="344" t="s">
        <v>72</v>
      </c>
      <c r="B219" s="350" t="s">
        <v>15</v>
      </c>
      <c r="C219" s="112" t="s">
        <v>49</v>
      </c>
      <c r="D219" s="351">
        <v>17.899999999999999</v>
      </c>
      <c r="E219" s="117">
        <v>7</v>
      </c>
      <c r="F219" s="119">
        <v>1</v>
      </c>
      <c r="G219" s="117">
        <f t="shared" si="4"/>
        <v>0.12529999999999999</v>
      </c>
      <c r="H219" s="112"/>
    </row>
    <row r="220" spans="1:8" hidden="1">
      <c r="A220" s="344" t="s">
        <v>72</v>
      </c>
      <c r="B220" s="350" t="s">
        <v>15</v>
      </c>
      <c r="C220" s="112" t="s">
        <v>49</v>
      </c>
      <c r="D220" s="351">
        <v>17.899999999999999</v>
      </c>
      <c r="E220" s="117">
        <v>9.6999999999999993</v>
      </c>
      <c r="F220" s="119">
        <v>1</v>
      </c>
      <c r="G220" s="117">
        <f t="shared" si="4"/>
        <v>0.17362999999999998</v>
      </c>
      <c r="H220" s="342"/>
    </row>
    <row r="221" spans="1:8" hidden="1">
      <c r="A221" s="344" t="s">
        <v>72</v>
      </c>
      <c r="B221" s="350" t="s">
        <v>15</v>
      </c>
      <c r="C221" s="112" t="s">
        <v>33</v>
      </c>
      <c r="D221" s="351">
        <v>16</v>
      </c>
      <c r="E221" s="117">
        <v>10.5</v>
      </c>
      <c r="F221" s="119">
        <v>1</v>
      </c>
      <c r="G221" s="117">
        <f t="shared" si="4"/>
        <v>0.16800000000000001</v>
      </c>
      <c r="H221" s="112"/>
    </row>
    <row r="222" spans="1:8" hidden="1">
      <c r="A222" s="344" t="s">
        <v>72</v>
      </c>
      <c r="B222" s="350" t="s">
        <v>15</v>
      </c>
      <c r="C222" s="112" t="s">
        <v>33</v>
      </c>
      <c r="D222" s="351">
        <v>16</v>
      </c>
      <c r="E222" s="117">
        <v>10</v>
      </c>
      <c r="F222" s="119">
        <v>2</v>
      </c>
      <c r="G222" s="117">
        <f t="shared" si="4"/>
        <v>0.32</v>
      </c>
      <c r="H222" s="112"/>
    </row>
    <row r="223" spans="1:8" hidden="1">
      <c r="A223" s="344" t="s">
        <v>72</v>
      </c>
      <c r="B223" s="350" t="s">
        <v>15</v>
      </c>
      <c r="C223" s="112" t="s">
        <v>33</v>
      </c>
      <c r="D223" s="351">
        <v>16</v>
      </c>
      <c r="E223" s="117">
        <v>11.8</v>
      </c>
      <c r="F223" s="119">
        <v>3</v>
      </c>
      <c r="G223" s="117">
        <f t="shared" si="4"/>
        <v>0.56640000000000013</v>
      </c>
      <c r="H223" s="112"/>
    </row>
    <row r="224" spans="1:8" hidden="1">
      <c r="A224" s="344" t="s">
        <v>72</v>
      </c>
      <c r="B224" s="350" t="s">
        <v>15</v>
      </c>
      <c r="C224" s="112" t="s">
        <v>33</v>
      </c>
      <c r="D224" s="351">
        <v>16</v>
      </c>
      <c r="E224" s="117">
        <v>11</v>
      </c>
      <c r="F224" s="119">
        <v>3</v>
      </c>
      <c r="G224" s="117">
        <f t="shared" si="4"/>
        <v>0.52800000000000002</v>
      </c>
      <c r="H224" s="112"/>
    </row>
    <row r="225" spans="1:8" hidden="1">
      <c r="A225" s="112"/>
      <c r="B225" s="112"/>
      <c r="C225" s="112"/>
      <c r="D225" s="112"/>
      <c r="E225" s="112"/>
      <c r="F225" s="112"/>
      <c r="G225" s="112"/>
      <c r="H225" s="112"/>
    </row>
  </sheetData>
  <autoFilter ref="A4:H225">
    <filterColumn colId="0">
      <customFilters>
        <customFilter operator="notEqual" val=" "/>
      </customFilters>
    </filterColumn>
    <filterColumn colId="2">
      <filters>
        <filter val="150X150X13"/>
        <filter val="150X150X15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2:N2687"/>
  <sheetViews>
    <sheetView topLeftCell="A2659" workbookViewId="0">
      <selection activeCell="J2684" sqref="J2684"/>
    </sheetView>
  </sheetViews>
  <sheetFormatPr defaultRowHeight="14.4"/>
  <cols>
    <col min="2" max="2" width="13" customWidth="1"/>
    <col min="3" max="3" width="9.33203125" customWidth="1"/>
    <col min="4" max="4" width="7" customWidth="1"/>
    <col min="5" max="5" width="15.44140625" customWidth="1"/>
    <col min="6" max="6" width="4.6640625" bestFit="1" customWidth="1"/>
    <col min="7" max="7" width="13.5546875" bestFit="1" customWidth="1"/>
    <col min="8" max="8" width="8.6640625" style="186" bestFit="1" customWidth="1"/>
    <col min="9" max="9" width="10.109375" bestFit="1" customWidth="1"/>
    <col min="10" max="10" width="5.5546875" bestFit="1" customWidth="1"/>
    <col min="11" max="11" width="8.44140625" bestFit="1" customWidth="1"/>
    <col min="12" max="12" width="5.109375" bestFit="1" customWidth="1"/>
  </cols>
  <sheetData>
    <row r="2" spans="1:12" s="213" customFormat="1">
      <c r="A2" s="7"/>
      <c r="B2" s="7"/>
      <c r="C2" s="7"/>
      <c r="D2" s="7"/>
      <c r="E2" s="7"/>
      <c r="F2" s="7"/>
      <c r="G2" s="7"/>
      <c r="H2" s="373"/>
      <c r="I2" s="7"/>
      <c r="J2" s="369">
        <f>SUBTOTAL(9,J4:J2673)</f>
        <v>3302</v>
      </c>
      <c r="K2" s="374">
        <f>SUBTOTAL(9,K4:K2673)</f>
        <v>389.90516010000061</v>
      </c>
      <c r="L2" s="7"/>
    </row>
    <row r="3" spans="1:12" ht="27.6">
      <c r="A3" s="14" t="s">
        <v>12</v>
      </c>
      <c r="B3" s="15" t="s">
        <v>0</v>
      </c>
      <c r="C3" s="15" t="s">
        <v>67</v>
      </c>
      <c r="D3" s="15" t="s">
        <v>13</v>
      </c>
      <c r="E3" s="16" t="s">
        <v>1</v>
      </c>
      <c r="F3" s="15" t="s">
        <v>2</v>
      </c>
      <c r="G3" s="15" t="s">
        <v>3</v>
      </c>
      <c r="H3" s="15" t="s">
        <v>10</v>
      </c>
      <c r="I3" s="15" t="s">
        <v>4</v>
      </c>
      <c r="J3" s="15" t="s">
        <v>5</v>
      </c>
      <c r="K3" s="15" t="s">
        <v>6</v>
      </c>
      <c r="L3" s="7"/>
    </row>
    <row r="4" spans="1:12">
      <c r="A4" s="42" t="s">
        <v>77</v>
      </c>
      <c r="B4" s="3" t="s">
        <v>68</v>
      </c>
      <c r="C4" s="3">
        <v>11</v>
      </c>
      <c r="D4" s="1"/>
      <c r="E4" s="12" t="s">
        <v>24</v>
      </c>
      <c r="F4" s="7" t="s">
        <v>14</v>
      </c>
      <c r="G4" s="7" t="s">
        <v>28</v>
      </c>
      <c r="H4" s="11">
        <v>12.18</v>
      </c>
      <c r="I4" s="8">
        <v>5.5</v>
      </c>
      <c r="J4" s="19">
        <v>1</v>
      </c>
      <c r="K4" s="13">
        <v>6.6989999999999994E-2</v>
      </c>
      <c r="L4" s="7" t="s">
        <v>477</v>
      </c>
    </row>
    <row r="5" spans="1:12">
      <c r="A5" s="42" t="s">
        <v>77</v>
      </c>
      <c r="B5" s="3" t="s">
        <v>68</v>
      </c>
      <c r="C5" s="3">
        <v>11</v>
      </c>
      <c r="D5" s="1"/>
      <c r="E5" s="12" t="s">
        <v>24</v>
      </c>
      <c r="F5" s="7" t="s">
        <v>14</v>
      </c>
      <c r="G5" s="7" t="s">
        <v>28</v>
      </c>
      <c r="H5" s="11">
        <v>12.18</v>
      </c>
      <c r="I5" s="8">
        <v>6</v>
      </c>
      <c r="J5" s="19">
        <v>1</v>
      </c>
      <c r="K5" s="13">
        <v>7.3079999999999992E-2</v>
      </c>
      <c r="L5" s="7" t="s">
        <v>477</v>
      </c>
    </row>
    <row r="6" spans="1:12">
      <c r="A6" s="42" t="s">
        <v>77</v>
      </c>
      <c r="B6" s="3" t="s">
        <v>68</v>
      </c>
      <c r="C6" s="3">
        <v>11</v>
      </c>
      <c r="D6" s="1"/>
      <c r="E6" s="12" t="s">
        <v>24</v>
      </c>
      <c r="F6" s="7" t="s">
        <v>14</v>
      </c>
      <c r="G6" s="7" t="s">
        <v>28</v>
      </c>
      <c r="H6" s="11">
        <v>12.18</v>
      </c>
      <c r="I6" s="8">
        <v>6.3</v>
      </c>
      <c r="J6" s="19">
        <v>2</v>
      </c>
      <c r="K6" s="13">
        <v>0.15346799999999999</v>
      </c>
      <c r="L6" s="7" t="s">
        <v>477</v>
      </c>
    </row>
    <row r="7" spans="1:12">
      <c r="A7" s="42" t="s">
        <v>77</v>
      </c>
      <c r="B7" s="3" t="s">
        <v>68</v>
      </c>
      <c r="C7" s="3">
        <v>11</v>
      </c>
      <c r="D7" s="1"/>
      <c r="E7" s="12" t="s">
        <v>24</v>
      </c>
      <c r="F7" s="7" t="s">
        <v>14</v>
      </c>
      <c r="G7" s="7" t="s">
        <v>28</v>
      </c>
      <c r="H7" s="11">
        <v>12.18</v>
      </c>
      <c r="I7" s="8">
        <v>6.4</v>
      </c>
      <c r="J7" s="19">
        <v>1</v>
      </c>
      <c r="K7" s="13">
        <v>7.7951999999999994E-2</v>
      </c>
      <c r="L7" s="7" t="s">
        <v>477</v>
      </c>
    </row>
    <row r="8" spans="1:12">
      <c r="A8" s="42" t="s">
        <v>77</v>
      </c>
      <c r="B8" s="3" t="s">
        <v>68</v>
      </c>
      <c r="C8" s="3">
        <v>23</v>
      </c>
      <c r="D8" s="1"/>
      <c r="E8" s="12" t="s">
        <v>17</v>
      </c>
      <c r="F8" s="7" t="s">
        <v>15</v>
      </c>
      <c r="G8" s="7" t="s">
        <v>34</v>
      </c>
      <c r="H8" s="11">
        <v>9.61</v>
      </c>
      <c r="I8" s="8">
        <v>12</v>
      </c>
      <c r="J8" s="19">
        <v>2</v>
      </c>
      <c r="K8" s="13">
        <v>0.23063999999999998</v>
      </c>
      <c r="L8" s="7" t="s">
        <v>477</v>
      </c>
    </row>
    <row r="9" spans="1:12">
      <c r="A9" s="42" t="s">
        <v>77</v>
      </c>
      <c r="B9" s="3" t="s">
        <v>68</v>
      </c>
      <c r="C9" s="3">
        <v>23</v>
      </c>
      <c r="D9" s="1"/>
      <c r="E9" s="12" t="s">
        <v>17</v>
      </c>
      <c r="F9" s="7" t="s">
        <v>15</v>
      </c>
      <c r="G9" s="7" t="s">
        <v>34</v>
      </c>
      <c r="H9" s="11">
        <v>9.61</v>
      </c>
      <c r="I9" s="8">
        <v>6.25</v>
      </c>
      <c r="J9" s="19">
        <v>8</v>
      </c>
      <c r="K9" s="13">
        <v>0.48049999999999998</v>
      </c>
      <c r="L9" s="7" t="s">
        <v>477</v>
      </c>
    </row>
    <row r="10" spans="1:12">
      <c r="A10" s="42" t="s">
        <v>77</v>
      </c>
      <c r="B10" s="3" t="s">
        <v>68</v>
      </c>
      <c r="C10" s="3">
        <v>33</v>
      </c>
      <c r="D10" s="1"/>
      <c r="E10" s="12" t="s">
        <v>24</v>
      </c>
      <c r="F10" s="7" t="s">
        <v>14</v>
      </c>
      <c r="G10" s="7" t="s">
        <v>32</v>
      </c>
      <c r="H10" s="11">
        <v>8.3000000000000007</v>
      </c>
      <c r="I10" s="8">
        <v>6.1</v>
      </c>
      <c r="J10" s="19">
        <v>1</v>
      </c>
      <c r="K10" s="13">
        <v>5.0630000000000001E-2</v>
      </c>
      <c r="L10" s="7" t="s">
        <v>477</v>
      </c>
    </row>
    <row r="11" spans="1:12">
      <c r="A11" s="42" t="s">
        <v>77</v>
      </c>
      <c r="B11" s="3" t="s">
        <v>68</v>
      </c>
      <c r="C11" s="3">
        <v>33</v>
      </c>
      <c r="D11" s="1"/>
      <c r="E11" s="12" t="s">
        <v>24</v>
      </c>
      <c r="F11" s="7" t="s">
        <v>14</v>
      </c>
      <c r="G11" s="7" t="s">
        <v>32</v>
      </c>
      <c r="H11" s="11">
        <v>8.3000000000000007</v>
      </c>
      <c r="I11" s="8">
        <v>6.4</v>
      </c>
      <c r="J11" s="19">
        <v>2</v>
      </c>
      <c r="K11" s="13">
        <v>0.10624000000000001</v>
      </c>
      <c r="L11" s="7" t="s">
        <v>477</v>
      </c>
    </row>
    <row r="12" spans="1:12">
      <c r="A12" s="42" t="s">
        <v>77</v>
      </c>
      <c r="B12" s="3" t="s">
        <v>68</v>
      </c>
      <c r="C12" s="3">
        <v>50</v>
      </c>
      <c r="D12" s="1"/>
      <c r="E12" s="12" t="s">
        <v>17</v>
      </c>
      <c r="F12" s="7" t="s">
        <v>15</v>
      </c>
      <c r="G12" s="7" t="s">
        <v>32</v>
      </c>
      <c r="H12" s="11">
        <v>8.32</v>
      </c>
      <c r="I12" s="8">
        <v>6</v>
      </c>
      <c r="J12" s="19">
        <v>1</v>
      </c>
      <c r="K12" s="13">
        <v>4.9919999999999999E-2</v>
      </c>
      <c r="L12" s="7" t="s">
        <v>477</v>
      </c>
    </row>
    <row r="13" spans="1:12">
      <c r="A13" s="42" t="s">
        <v>77</v>
      </c>
      <c r="B13" s="3" t="s">
        <v>68</v>
      </c>
      <c r="C13" s="3">
        <v>108</v>
      </c>
      <c r="D13" s="1"/>
      <c r="E13" s="12" t="s">
        <v>20</v>
      </c>
      <c r="F13" s="7" t="s">
        <v>15</v>
      </c>
      <c r="G13" s="7" t="s">
        <v>50</v>
      </c>
      <c r="H13" s="11">
        <v>21.7</v>
      </c>
      <c r="I13" s="8">
        <v>9.6999999999999993</v>
      </c>
      <c r="J13" s="19">
        <v>1</v>
      </c>
      <c r="K13" s="13">
        <v>0.21048999999999998</v>
      </c>
      <c r="L13" s="7" t="s">
        <v>477</v>
      </c>
    </row>
    <row r="14" spans="1:12">
      <c r="A14" s="42" t="s">
        <v>77</v>
      </c>
      <c r="B14" s="3" t="s">
        <v>68</v>
      </c>
      <c r="C14" s="3">
        <v>108</v>
      </c>
      <c r="D14" s="1"/>
      <c r="E14" s="12" t="s">
        <v>20</v>
      </c>
      <c r="F14" s="7" t="s">
        <v>15</v>
      </c>
      <c r="G14" s="7" t="s">
        <v>50</v>
      </c>
      <c r="H14" s="11">
        <v>21.7</v>
      </c>
      <c r="I14" s="8">
        <v>11.2</v>
      </c>
      <c r="J14" s="19">
        <v>2</v>
      </c>
      <c r="K14" s="13">
        <v>0.4860799999999999</v>
      </c>
      <c r="L14" s="7" t="s">
        <v>477</v>
      </c>
    </row>
    <row r="15" spans="1:12">
      <c r="A15" s="42" t="s">
        <v>77</v>
      </c>
      <c r="B15" s="3" t="s">
        <v>68</v>
      </c>
      <c r="C15" s="3">
        <v>134</v>
      </c>
      <c r="D15" s="1"/>
      <c r="E15" s="12" t="s">
        <v>19</v>
      </c>
      <c r="F15" s="7" t="s">
        <v>14</v>
      </c>
      <c r="G15" s="7" t="s">
        <v>40</v>
      </c>
      <c r="H15" s="11">
        <v>16.5</v>
      </c>
      <c r="I15" s="8">
        <v>11</v>
      </c>
      <c r="J15" s="19">
        <v>1</v>
      </c>
      <c r="K15" s="13">
        <v>0.18149999999999999</v>
      </c>
      <c r="L15" s="7" t="s">
        <v>477</v>
      </c>
    </row>
    <row r="16" spans="1:12">
      <c r="A16" s="42" t="s">
        <v>77</v>
      </c>
      <c r="B16" s="3" t="s">
        <v>68</v>
      </c>
      <c r="C16" s="3">
        <v>134</v>
      </c>
      <c r="D16" s="1"/>
      <c r="E16" s="12" t="s">
        <v>19</v>
      </c>
      <c r="F16" s="7" t="s">
        <v>14</v>
      </c>
      <c r="G16" s="7" t="s">
        <v>40</v>
      </c>
      <c r="H16" s="11">
        <v>16.5</v>
      </c>
      <c r="I16" s="8">
        <v>11.1</v>
      </c>
      <c r="J16" s="19">
        <v>2</v>
      </c>
      <c r="K16" s="13">
        <v>0.36630000000000001</v>
      </c>
      <c r="L16" s="7" t="s">
        <v>477</v>
      </c>
    </row>
    <row r="17" spans="1:12">
      <c r="A17" s="42" t="s">
        <v>77</v>
      </c>
      <c r="B17" s="3" t="s">
        <v>68</v>
      </c>
      <c r="C17" s="3">
        <v>134</v>
      </c>
      <c r="D17" s="1"/>
      <c r="E17" s="12" t="s">
        <v>19</v>
      </c>
      <c r="F17" s="7" t="s">
        <v>14</v>
      </c>
      <c r="G17" s="7" t="s">
        <v>40</v>
      </c>
      <c r="H17" s="11">
        <v>16.5</v>
      </c>
      <c r="I17" s="8">
        <v>11.1</v>
      </c>
      <c r="J17" s="19">
        <v>1</v>
      </c>
      <c r="K17" s="13">
        <v>0.18315000000000001</v>
      </c>
      <c r="L17" s="7" t="s">
        <v>477</v>
      </c>
    </row>
    <row r="18" spans="1:12">
      <c r="A18" s="42" t="s">
        <v>77</v>
      </c>
      <c r="B18" s="3" t="s">
        <v>68</v>
      </c>
      <c r="C18" s="3">
        <v>135</v>
      </c>
      <c r="D18" s="1"/>
      <c r="E18" s="12" t="s">
        <v>19</v>
      </c>
      <c r="F18" s="7" t="s">
        <v>14</v>
      </c>
      <c r="G18" s="7" t="s">
        <v>49</v>
      </c>
      <c r="H18" s="11">
        <v>17.82</v>
      </c>
      <c r="I18" s="8">
        <v>6.5</v>
      </c>
      <c r="J18" s="19">
        <v>1</v>
      </c>
      <c r="K18" s="13">
        <v>0.11583</v>
      </c>
      <c r="L18" s="7" t="s">
        <v>477</v>
      </c>
    </row>
    <row r="19" spans="1:12">
      <c r="A19" s="42" t="s">
        <v>77</v>
      </c>
      <c r="B19" s="3" t="s">
        <v>68</v>
      </c>
      <c r="C19" s="3">
        <v>140</v>
      </c>
      <c r="D19" s="1"/>
      <c r="E19" s="59" t="s">
        <v>20</v>
      </c>
      <c r="F19" s="60" t="s">
        <v>15</v>
      </c>
      <c r="G19" s="60" t="s">
        <v>60</v>
      </c>
      <c r="H19" s="61">
        <v>22.93</v>
      </c>
      <c r="I19" s="21">
        <v>4.7</v>
      </c>
      <c r="J19" s="64">
        <v>1</v>
      </c>
      <c r="K19" s="65">
        <v>0.10777100000000001</v>
      </c>
      <c r="L19" s="7" t="s">
        <v>477</v>
      </c>
    </row>
    <row r="20" spans="1:12">
      <c r="A20" s="42" t="s">
        <v>77</v>
      </c>
      <c r="B20" s="3" t="s">
        <v>68</v>
      </c>
      <c r="C20" s="3">
        <v>140</v>
      </c>
      <c r="D20" s="1"/>
      <c r="E20" s="59" t="s">
        <v>20</v>
      </c>
      <c r="F20" s="60" t="s">
        <v>15</v>
      </c>
      <c r="G20" s="60" t="s">
        <v>60</v>
      </c>
      <c r="H20" s="61">
        <v>22.93</v>
      </c>
      <c r="I20" s="21">
        <v>7.3</v>
      </c>
      <c r="J20" s="64">
        <v>1</v>
      </c>
      <c r="K20" s="65">
        <v>0.16738899999999998</v>
      </c>
      <c r="L20" s="7" t="s">
        <v>477</v>
      </c>
    </row>
    <row r="21" spans="1:12">
      <c r="A21" s="42" t="s">
        <v>77</v>
      </c>
      <c r="B21" s="3" t="s">
        <v>68</v>
      </c>
      <c r="C21" s="3">
        <v>142</v>
      </c>
      <c r="D21" s="1"/>
      <c r="E21" s="12" t="s">
        <v>20</v>
      </c>
      <c r="F21" s="7" t="s">
        <v>15</v>
      </c>
      <c r="G21" s="7" t="s">
        <v>61</v>
      </c>
      <c r="H21" s="11">
        <v>19.68</v>
      </c>
      <c r="I21" s="8">
        <v>5.4</v>
      </c>
      <c r="J21" s="19">
        <v>1</v>
      </c>
      <c r="K21" s="13">
        <v>0.10627200000000001</v>
      </c>
      <c r="L21" s="7" t="s">
        <v>477</v>
      </c>
    </row>
    <row r="22" spans="1:12">
      <c r="A22" s="42" t="s">
        <v>77</v>
      </c>
      <c r="B22" s="3" t="s">
        <v>68</v>
      </c>
      <c r="C22" s="3">
        <v>143</v>
      </c>
      <c r="D22" s="1"/>
      <c r="E22" s="12" t="s">
        <v>20</v>
      </c>
      <c r="F22" s="7" t="s">
        <v>15</v>
      </c>
      <c r="G22" s="7" t="s">
        <v>44</v>
      </c>
      <c r="H22" s="11">
        <v>13.4</v>
      </c>
      <c r="I22" s="8">
        <v>6.8</v>
      </c>
      <c r="J22" s="19">
        <v>2</v>
      </c>
      <c r="K22" s="13">
        <v>0.18224000000000001</v>
      </c>
      <c r="L22" s="7" t="s">
        <v>477</v>
      </c>
    </row>
    <row r="23" spans="1:12">
      <c r="A23" s="42" t="s">
        <v>77</v>
      </c>
      <c r="B23" s="3" t="s">
        <v>68</v>
      </c>
      <c r="C23" s="3">
        <v>143</v>
      </c>
      <c r="D23" s="1"/>
      <c r="E23" s="12" t="s">
        <v>20</v>
      </c>
      <c r="F23" s="7" t="s">
        <v>15</v>
      </c>
      <c r="G23" s="7" t="s">
        <v>44</v>
      </c>
      <c r="H23" s="11">
        <v>13.4</v>
      </c>
      <c r="I23" s="8">
        <v>7.2</v>
      </c>
      <c r="J23" s="19">
        <v>1</v>
      </c>
      <c r="K23" s="13">
        <v>9.648000000000001E-2</v>
      </c>
      <c r="L23" s="7" t="s">
        <v>477</v>
      </c>
    </row>
    <row r="24" spans="1:12">
      <c r="A24" s="42" t="s">
        <v>77</v>
      </c>
      <c r="B24" s="3" t="s">
        <v>68</v>
      </c>
      <c r="C24" s="3">
        <v>144</v>
      </c>
      <c r="D24" s="1"/>
      <c r="E24" s="12" t="s">
        <v>24</v>
      </c>
      <c r="F24" s="7" t="s">
        <v>14</v>
      </c>
      <c r="G24" s="7" t="s">
        <v>36</v>
      </c>
      <c r="H24" s="11">
        <v>10.199999999999999</v>
      </c>
      <c r="I24" s="8">
        <v>6.9</v>
      </c>
      <c r="J24" s="19">
        <v>3</v>
      </c>
      <c r="K24" s="13">
        <v>0.21114000000000002</v>
      </c>
      <c r="L24" s="7" t="s">
        <v>477</v>
      </c>
    </row>
    <row r="25" spans="1:12">
      <c r="A25" s="42" t="s">
        <v>77</v>
      </c>
      <c r="B25" s="3" t="s">
        <v>68</v>
      </c>
      <c r="C25" s="3">
        <v>146</v>
      </c>
      <c r="D25" s="1"/>
      <c r="E25" s="12" t="s">
        <v>24</v>
      </c>
      <c r="F25" s="7" t="s">
        <v>14</v>
      </c>
      <c r="G25" s="7" t="s">
        <v>36</v>
      </c>
      <c r="H25" s="11">
        <v>10.199999999999999</v>
      </c>
      <c r="I25" s="8">
        <v>6.4</v>
      </c>
      <c r="J25" s="19">
        <v>1</v>
      </c>
      <c r="K25" s="13">
        <v>6.5280000000000005E-2</v>
      </c>
      <c r="L25" s="7" t="s">
        <v>477</v>
      </c>
    </row>
    <row r="26" spans="1:12">
      <c r="A26" s="42" t="s">
        <v>77</v>
      </c>
      <c r="B26" s="3" t="s">
        <v>68</v>
      </c>
      <c r="C26" s="3">
        <v>146</v>
      </c>
      <c r="D26" s="1"/>
      <c r="E26" s="12" t="s">
        <v>24</v>
      </c>
      <c r="F26" s="7" t="s">
        <v>14</v>
      </c>
      <c r="G26" s="7" t="s">
        <v>36</v>
      </c>
      <c r="H26" s="11">
        <v>10.199999999999999</v>
      </c>
      <c r="I26" s="8">
        <v>10</v>
      </c>
      <c r="J26" s="19">
        <v>1</v>
      </c>
      <c r="K26" s="13">
        <v>0.10199999999999999</v>
      </c>
      <c r="L26" s="7" t="s">
        <v>477</v>
      </c>
    </row>
    <row r="27" spans="1:12">
      <c r="A27" s="42" t="s">
        <v>77</v>
      </c>
      <c r="B27" s="3" t="s">
        <v>68</v>
      </c>
      <c r="C27" s="3">
        <v>146</v>
      </c>
      <c r="D27" s="1"/>
      <c r="E27" s="12" t="s">
        <v>24</v>
      </c>
      <c r="F27" s="7" t="s">
        <v>14</v>
      </c>
      <c r="G27" s="7" t="s">
        <v>36</v>
      </c>
      <c r="H27" s="11">
        <v>10.199999999999999</v>
      </c>
      <c r="I27" s="8">
        <v>6.4</v>
      </c>
      <c r="J27" s="19">
        <v>1</v>
      </c>
      <c r="K27" s="13">
        <v>6.5280000000000005E-2</v>
      </c>
      <c r="L27" s="7" t="s">
        <v>477</v>
      </c>
    </row>
    <row r="28" spans="1:12">
      <c r="A28" s="42" t="s">
        <v>77</v>
      </c>
      <c r="B28" s="3" t="s">
        <v>68</v>
      </c>
      <c r="C28" s="3">
        <v>146</v>
      </c>
      <c r="D28" s="1"/>
      <c r="E28" s="12" t="s">
        <v>24</v>
      </c>
      <c r="F28" s="7" t="s">
        <v>14</v>
      </c>
      <c r="G28" s="7" t="s">
        <v>36</v>
      </c>
      <c r="H28" s="11">
        <v>10.199999999999999</v>
      </c>
      <c r="I28" s="8">
        <v>6.5</v>
      </c>
      <c r="J28" s="19">
        <v>3</v>
      </c>
      <c r="K28" s="13">
        <v>0.19889999999999997</v>
      </c>
      <c r="L28" s="7" t="s">
        <v>477</v>
      </c>
    </row>
    <row r="29" spans="1:12">
      <c r="A29" s="42" t="s">
        <v>77</v>
      </c>
      <c r="B29" s="3" t="s">
        <v>68</v>
      </c>
      <c r="C29" s="3">
        <v>148</v>
      </c>
      <c r="D29" s="1"/>
      <c r="E29" s="12" t="s">
        <v>17</v>
      </c>
      <c r="F29" s="7" t="s">
        <v>15</v>
      </c>
      <c r="G29" s="7" t="s">
        <v>35</v>
      </c>
      <c r="H29" s="11">
        <v>16.579999999999998</v>
      </c>
      <c r="I29" s="8">
        <v>5.8</v>
      </c>
      <c r="J29" s="19">
        <v>1</v>
      </c>
      <c r="K29" s="13">
        <v>9.6163999999999986E-2</v>
      </c>
      <c r="L29" s="7" t="s">
        <v>477</v>
      </c>
    </row>
    <row r="30" spans="1:12">
      <c r="A30" s="42" t="s">
        <v>77</v>
      </c>
      <c r="B30" s="3" t="s">
        <v>68</v>
      </c>
      <c r="C30" s="3">
        <v>149</v>
      </c>
      <c r="D30" s="1"/>
      <c r="E30" s="12" t="s">
        <v>17</v>
      </c>
      <c r="F30" s="7" t="s">
        <v>15</v>
      </c>
      <c r="G30" s="7" t="s">
        <v>47</v>
      </c>
      <c r="H30" s="11">
        <v>15</v>
      </c>
      <c r="I30" s="8">
        <v>6.5</v>
      </c>
      <c r="J30" s="19">
        <v>1</v>
      </c>
      <c r="K30" s="13">
        <v>9.7500000000000003E-2</v>
      </c>
      <c r="L30" s="7" t="s">
        <v>477</v>
      </c>
    </row>
    <row r="31" spans="1:12">
      <c r="A31" s="42" t="s">
        <v>77</v>
      </c>
      <c r="B31" s="3" t="s">
        <v>68</v>
      </c>
      <c r="C31" s="3">
        <v>149</v>
      </c>
      <c r="D31" s="1"/>
      <c r="E31" s="12" t="s">
        <v>17</v>
      </c>
      <c r="F31" s="7" t="s">
        <v>15</v>
      </c>
      <c r="G31" s="7" t="s">
        <v>47</v>
      </c>
      <c r="H31" s="11">
        <v>15</v>
      </c>
      <c r="I31" s="8">
        <v>8.8000000000000007</v>
      </c>
      <c r="J31" s="19">
        <v>1</v>
      </c>
      <c r="K31" s="13">
        <v>0.13200000000000001</v>
      </c>
      <c r="L31" s="7" t="s">
        <v>477</v>
      </c>
    </row>
    <row r="32" spans="1:12">
      <c r="A32" s="42" t="s">
        <v>77</v>
      </c>
      <c r="B32" s="3" t="s">
        <v>68</v>
      </c>
      <c r="C32" s="3">
        <v>149</v>
      </c>
      <c r="D32" s="1"/>
      <c r="E32" s="12" t="s">
        <v>17</v>
      </c>
      <c r="F32" s="7" t="s">
        <v>15</v>
      </c>
      <c r="G32" s="7" t="s">
        <v>47</v>
      </c>
      <c r="H32" s="11">
        <v>15</v>
      </c>
      <c r="I32" s="8">
        <v>10.3</v>
      </c>
      <c r="J32" s="19">
        <v>1</v>
      </c>
      <c r="K32" s="13">
        <v>0.1545</v>
      </c>
      <c r="L32" s="7" t="s">
        <v>477</v>
      </c>
    </row>
    <row r="33" spans="1:12">
      <c r="A33" s="42" t="s">
        <v>77</v>
      </c>
      <c r="B33" s="3" t="s">
        <v>68</v>
      </c>
      <c r="C33" s="3">
        <v>156</v>
      </c>
      <c r="D33" s="1"/>
      <c r="E33" s="12" t="s">
        <v>24</v>
      </c>
      <c r="F33" s="7" t="s">
        <v>14</v>
      </c>
      <c r="G33" s="7" t="s">
        <v>36</v>
      </c>
      <c r="H33" s="11">
        <v>10.199999999999999</v>
      </c>
      <c r="I33" s="8">
        <v>6</v>
      </c>
      <c r="J33" s="19">
        <v>1</v>
      </c>
      <c r="K33" s="13">
        <v>6.1199999999999997E-2</v>
      </c>
      <c r="L33" s="7" t="s">
        <v>477</v>
      </c>
    </row>
    <row r="34" spans="1:12">
      <c r="A34" s="42" t="s">
        <v>77</v>
      </c>
      <c r="B34" s="3" t="s">
        <v>68</v>
      </c>
      <c r="C34" s="3">
        <v>156</v>
      </c>
      <c r="D34" s="1"/>
      <c r="E34" s="12" t="s">
        <v>24</v>
      </c>
      <c r="F34" s="7" t="s">
        <v>14</v>
      </c>
      <c r="G34" s="7" t="s">
        <v>36</v>
      </c>
      <c r="H34" s="11">
        <v>10.199999999999999</v>
      </c>
      <c r="I34" s="8">
        <v>6.3</v>
      </c>
      <c r="J34" s="19">
        <v>1</v>
      </c>
      <c r="K34" s="13">
        <v>6.4259999999999998E-2</v>
      </c>
      <c r="L34" s="7" t="s">
        <v>477</v>
      </c>
    </row>
    <row r="35" spans="1:12">
      <c r="A35" s="42" t="s">
        <v>77</v>
      </c>
      <c r="B35" s="3" t="s">
        <v>68</v>
      </c>
      <c r="C35" s="3">
        <v>156</v>
      </c>
      <c r="D35" s="1"/>
      <c r="E35" s="12" t="s">
        <v>24</v>
      </c>
      <c r="F35" s="7" t="s">
        <v>14</v>
      </c>
      <c r="G35" s="7" t="s">
        <v>36</v>
      </c>
      <c r="H35" s="11">
        <v>10.199999999999999</v>
      </c>
      <c r="I35" s="8">
        <v>6.5</v>
      </c>
      <c r="J35" s="19">
        <v>2</v>
      </c>
      <c r="K35" s="13">
        <v>0.1326</v>
      </c>
      <c r="L35" s="7" t="s">
        <v>477</v>
      </c>
    </row>
    <row r="36" spans="1:12">
      <c r="A36" s="42" t="s">
        <v>77</v>
      </c>
      <c r="B36" s="3" t="s">
        <v>68</v>
      </c>
      <c r="C36" s="3">
        <v>171</v>
      </c>
      <c r="D36" s="1"/>
      <c r="E36" s="12" t="s">
        <v>70</v>
      </c>
      <c r="F36" s="7" t="s">
        <v>15</v>
      </c>
      <c r="G36" s="7" t="s">
        <v>49</v>
      </c>
      <c r="H36" s="11">
        <v>17.82</v>
      </c>
      <c r="I36" s="8">
        <v>9.5</v>
      </c>
      <c r="J36" s="19">
        <v>1</v>
      </c>
      <c r="K36" s="13">
        <v>0.16929</v>
      </c>
      <c r="L36" s="7" t="s">
        <v>477</v>
      </c>
    </row>
    <row r="37" spans="1:12">
      <c r="A37" s="42" t="s">
        <v>77</v>
      </c>
      <c r="B37" s="3" t="s">
        <v>68</v>
      </c>
      <c r="C37" s="3">
        <v>172</v>
      </c>
      <c r="D37" s="1"/>
      <c r="E37" s="12" t="s">
        <v>71</v>
      </c>
      <c r="F37" s="7" t="s">
        <v>15</v>
      </c>
      <c r="G37" s="7" t="s">
        <v>37</v>
      </c>
      <c r="H37" s="11">
        <v>18.149999999999999</v>
      </c>
      <c r="I37" s="8">
        <v>6</v>
      </c>
      <c r="J37" s="19">
        <v>1</v>
      </c>
      <c r="K37" s="13">
        <v>0.1089</v>
      </c>
      <c r="L37" s="7" t="s">
        <v>477</v>
      </c>
    </row>
    <row r="38" spans="1:12">
      <c r="A38" s="42" t="s">
        <v>77</v>
      </c>
      <c r="B38" s="3" t="s">
        <v>68</v>
      </c>
      <c r="C38" s="3">
        <v>173</v>
      </c>
      <c r="D38" s="1"/>
      <c r="E38" s="12" t="s">
        <v>72</v>
      </c>
      <c r="F38" s="7" t="s">
        <v>15</v>
      </c>
      <c r="G38" s="7" t="s">
        <v>49</v>
      </c>
      <c r="H38" s="11">
        <v>17.82</v>
      </c>
      <c r="I38" s="8">
        <v>5.5</v>
      </c>
      <c r="J38" s="19">
        <v>1</v>
      </c>
      <c r="K38" s="13">
        <v>9.801E-2</v>
      </c>
      <c r="L38" s="7" t="s">
        <v>477</v>
      </c>
    </row>
    <row r="39" spans="1:12">
      <c r="A39" s="42" t="s">
        <v>77</v>
      </c>
      <c r="B39" s="3" t="s">
        <v>68</v>
      </c>
      <c r="C39" s="3">
        <v>173</v>
      </c>
      <c r="D39" s="1"/>
      <c r="E39" s="12" t="s">
        <v>72</v>
      </c>
      <c r="F39" s="7" t="s">
        <v>15</v>
      </c>
      <c r="G39" s="7" t="s">
        <v>49</v>
      </c>
      <c r="H39" s="11">
        <v>17.82</v>
      </c>
      <c r="I39" s="8">
        <v>6.1</v>
      </c>
      <c r="J39" s="19">
        <v>2</v>
      </c>
      <c r="K39" s="13">
        <v>0.21740399999999999</v>
      </c>
      <c r="L39" s="7" t="s">
        <v>477</v>
      </c>
    </row>
    <row r="40" spans="1:12">
      <c r="A40" s="42" t="s">
        <v>77</v>
      </c>
      <c r="B40" s="3" t="s">
        <v>68</v>
      </c>
      <c r="C40" s="3">
        <v>174</v>
      </c>
      <c r="D40" s="1"/>
      <c r="E40" s="12" t="s">
        <v>72</v>
      </c>
      <c r="F40" s="7" t="s">
        <v>15</v>
      </c>
      <c r="G40" s="7" t="s">
        <v>57</v>
      </c>
      <c r="H40" s="11">
        <v>33.72</v>
      </c>
      <c r="I40" s="8">
        <v>7.3</v>
      </c>
      <c r="J40" s="19">
        <v>1</v>
      </c>
      <c r="K40" s="13">
        <v>0.24615599999999999</v>
      </c>
      <c r="L40" s="7" t="s">
        <v>477</v>
      </c>
    </row>
    <row r="41" spans="1:12">
      <c r="A41" s="42" t="s">
        <v>77</v>
      </c>
      <c r="B41" s="3" t="s">
        <v>68</v>
      </c>
      <c r="C41" s="3">
        <v>174</v>
      </c>
      <c r="D41" s="1"/>
      <c r="E41" s="12" t="s">
        <v>72</v>
      </c>
      <c r="F41" s="7" t="s">
        <v>15</v>
      </c>
      <c r="G41" s="7" t="s">
        <v>57</v>
      </c>
      <c r="H41" s="11">
        <v>33.72</v>
      </c>
      <c r="I41" s="8">
        <v>7.8</v>
      </c>
      <c r="J41" s="19">
        <v>3</v>
      </c>
      <c r="K41" s="13">
        <v>0.78904799999999986</v>
      </c>
      <c r="L41" s="7" t="s">
        <v>477</v>
      </c>
    </row>
    <row r="42" spans="1:12">
      <c r="A42" s="42" t="s">
        <v>77</v>
      </c>
      <c r="B42" s="3" t="s">
        <v>68</v>
      </c>
      <c r="C42" s="3">
        <v>174</v>
      </c>
      <c r="D42" s="1"/>
      <c r="E42" s="12" t="s">
        <v>72</v>
      </c>
      <c r="F42" s="7" t="s">
        <v>15</v>
      </c>
      <c r="G42" s="7" t="s">
        <v>57</v>
      </c>
      <c r="H42" s="11">
        <v>33.72</v>
      </c>
      <c r="I42" s="8">
        <v>7.7</v>
      </c>
      <c r="J42" s="19">
        <v>1</v>
      </c>
      <c r="K42" s="13">
        <v>0.25964399999999999</v>
      </c>
      <c r="L42" s="7" t="s">
        <v>477</v>
      </c>
    </row>
    <row r="43" spans="1:12">
      <c r="A43" s="42" t="s">
        <v>77</v>
      </c>
      <c r="B43" s="3" t="s">
        <v>68</v>
      </c>
      <c r="C43" s="3">
        <v>175</v>
      </c>
      <c r="D43" s="1"/>
      <c r="E43" s="12" t="s">
        <v>20</v>
      </c>
      <c r="F43" s="7" t="s">
        <v>15</v>
      </c>
      <c r="G43" s="7" t="s">
        <v>50</v>
      </c>
      <c r="H43" s="11">
        <v>21.7</v>
      </c>
      <c r="I43" s="8">
        <v>11.4</v>
      </c>
      <c r="J43" s="106">
        <v>2</v>
      </c>
      <c r="K43" s="13">
        <v>0.49475999999999998</v>
      </c>
      <c r="L43" s="7" t="s">
        <v>477</v>
      </c>
    </row>
    <row r="44" spans="1:12">
      <c r="A44" s="42" t="s">
        <v>77</v>
      </c>
      <c r="B44" s="3" t="s">
        <v>68</v>
      </c>
      <c r="C44" s="3">
        <v>175</v>
      </c>
      <c r="D44" s="1"/>
      <c r="E44" s="12" t="s">
        <v>20</v>
      </c>
      <c r="F44" s="7" t="s">
        <v>15</v>
      </c>
      <c r="G44" s="7" t="s">
        <v>50</v>
      </c>
      <c r="H44" s="11">
        <v>21.7</v>
      </c>
      <c r="I44" s="8">
        <v>12</v>
      </c>
      <c r="J44" s="106">
        <v>2</v>
      </c>
      <c r="K44" s="13">
        <v>0.52079999999999993</v>
      </c>
      <c r="L44" s="7" t="s">
        <v>477</v>
      </c>
    </row>
    <row r="45" spans="1:12">
      <c r="A45" s="42" t="s">
        <v>77</v>
      </c>
      <c r="B45" s="3" t="s">
        <v>68</v>
      </c>
      <c r="C45" s="3">
        <v>176</v>
      </c>
      <c r="D45" s="1"/>
      <c r="E45" s="12" t="s">
        <v>91</v>
      </c>
      <c r="F45" s="7" t="s">
        <v>15</v>
      </c>
      <c r="G45" s="7" t="s">
        <v>49</v>
      </c>
      <c r="H45" s="11">
        <v>17.82</v>
      </c>
      <c r="I45" s="8">
        <v>6.2</v>
      </c>
      <c r="J45" s="19">
        <v>1</v>
      </c>
      <c r="K45" s="13">
        <v>0.11048400000000001</v>
      </c>
      <c r="L45" s="7" t="s">
        <v>477</v>
      </c>
    </row>
    <row r="46" spans="1:12">
      <c r="A46" s="42" t="s">
        <v>77</v>
      </c>
      <c r="B46" s="3" t="s">
        <v>68</v>
      </c>
      <c r="C46" s="3">
        <v>178</v>
      </c>
      <c r="D46" s="1"/>
      <c r="E46" s="12" t="s">
        <v>72</v>
      </c>
      <c r="F46" s="7" t="s">
        <v>15</v>
      </c>
      <c r="G46" s="7" t="s">
        <v>57</v>
      </c>
      <c r="H46" s="11">
        <v>33.72</v>
      </c>
      <c r="I46" s="8">
        <v>6.5</v>
      </c>
      <c r="J46" s="19">
        <v>5</v>
      </c>
      <c r="K46" s="13">
        <v>1.0958999999999999</v>
      </c>
      <c r="L46" s="7" t="s">
        <v>477</v>
      </c>
    </row>
    <row r="47" spans="1:12">
      <c r="A47" s="42" t="s">
        <v>77</v>
      </c>
      <c r="B47" s="3" t="s">
        <v>68</v>
      </c>
      <c r="C47" s="3">
        <v>178</v>
      </c>
      <c r="D47" s="1"/>
      <c r="E47" s="12" t="s">
        <v>72</v>
      </c>
      <c r="F47" s="7" t="s">
        <v>15</v>
      </c>
      <c r="G47" s="7" t="s">
        <v>57</v>
      </c>
      <c r="H47" s="11">
        <v>33.72</v>
      </c>
      <c r="I47" s="8">
        <v>6</v>
      </c>
      <c r="J47" s="19">
        <v>1</v>
      </c>
      <c r="K47" s="13">
        <v>0.20232</v>
      </c>
      <c r="L47" s="7" t="s">
        <v>477</v>
      </c>
    </row>
    <row r="48" spans="1:12">
      <c r="A48" s="42" t="s">
        <v>77</v>
      </c>
      <c r="B48" s="3" t="s">
        <v>68</v>
      </c>
      <c r="C48" s="3">
        <v>179</v>
      </c>
      <c r="D48" s="1"/>
      <c r="E48" s="12" t="s">
        <v>72</v>
      </c>
      <c r="F48" s="7" t="s">
        <v>15</v>
      </c>
      <c r="G48" s="7" t="s">
        <v>57</v>
      </c>
      <c r="H48" s="11">
        <v>33.72</v>
      </c>
      <c r="I48" s="8">
        <v>6.5</v>
      </c>
      <c r="J48" s="19">
        <v>6</v>
      </c>
      <c r="K48" s="13">
        <v>1.31508</v>
      </c>
      <c r="L48" s="7" t="s">
        <v>477</v>
      </c>
    </row>
    <row r="49" spans="1:12">
      <c r="A49" s="42" t="s">
        <v>77</v>
      </c>
      <c r="B49" s="3" t="s">
        <v>68</v>
      </c>
      <c r="C49" s="3">
        <v>180</v>
      </c>
      <c r="D49" s="1"/>
      <c r="E49" s="12" t="s">
        <v>19</v>
      </c>
      <c r="F49" s="7" t="s">
        <v>14</v>
      </c>
      <c r="G49" s="7" t="s">
        <v>49</v>
      </c>
      <c r="H49" s="11">
        <v>17.82</v>
      </c>
      <c r="I49" s="8">
        <v>6.6</v>
      </c>
      <c r="J49" s="19">
        <v>2</v>
      </c>
      <c r="K49" s="13">
        <v>0.23522399999999999</v>
      </c>
      <c r="L49" s="7" t="s">
        <v>477</v>
      </c>
    </row>
    <row r="50" spans="1:12">
      <c r="A50" s="42" t="s">
        <v>77</v>
      </c>
      <c r="B50" s="3" t="s">
        <v>68</v>
      </c>
      <c r="C50" s="3">
        <v>180</v>
      </c>
      <c r="D50" s="1"/>
      <c r="E50" s="12" t="s">
        <v>19</v>
      </c>
      <c r="F50" s="7" t="s">
        <v>14</v>
      </c>
      <c r="G50" s="7" t="s">
        <v>49</v>
      </c>
      <c r="H50" s="11">
        <v>17.82</v>
      </c>
      <c r="I50" s="8">
        <v>7.8</v>
      </c>
      <c r="J50" s="19">
        <v>1</v>
      </c>
      <c r="K50" s="13">
        <v>0.13899600000000001</v>
      </c>
      <c r="L50" s="7" t="s">
        <v>477</v>
      </c>
    </row>
    <row r="51" spans="1:12">
      <c r="A51" s="42" t="s">
        <v>77</v>
      </c>
      <c r="B51" s="3" t="s">
        <v>68</v>
      </c>
      <c r="C51" s="3">
        <v>180</v>
      </c>
      <c r="D51" s="1"/>
      <c r="E51" s="12" t="s">
        <v>19</v>
      </c>
      <c r="F51" s="7" t="s">
        <v>14</v>
      </c>
      <c r="G51" s="7" t="s">
        <v>49</v>
      </c>
      <c r="H51" s="11">
        <v>17.82</v>
      </c>
      <c r="I51" s="8">
        <v>7</v>
      </c>
      <c r="J51" s="19">
        <v>1</v>
      </c>
      <c r="K51" s="13">
        <v>0.12474</v>
      </c>
      <c r="L51" s="7" t="s">
        <v>477</v>
      </c>
    </row>
    <row r="52" spans="1:12">
      <c r="A52" s="42" t="s">
        <v>77</v>
      </c>
      <c r="B52" s="3" t="s">
        <v>68</v>
      </c>
      <c r="C52" s="3">
        <v>181</v>
      </c>
      <c r="D52" s="1"/>
      <c r="E52" s="12" t="s">
        <v>72</v>
      </c>
      <c r="F52" s="7" t="s">
        <v>15</v>
      </c>
      <c r="G52" s="7" t="s">
        <v>57</v>
      </c>
      <c r="H52" s="11">
        <v>33.72</v>
      </c>
      <c r="I52" s="8">
        <v>6.15</v>
      </c>
      <c r="J52" s="19">
        <v>2</v>
      </c>
      <c r="K52" s="13">
        <v>0.41475600000000001</v>
      </c>
      <c r="L52" s="7" t="s">
        <v>477</v>
      </c>
    </row>
    <row r="53" spans="1:12">
      <c r="A53" s="42" t="s">
        <v>77</v>
      </c>
      <c r="B53" s="3" t="s">
        <v>68</v>
      </c>
      <c r="C53" s="3">
        <v>181</v>
      </c>
      <c r="D53" s="1"/>
      <c r="E53" s="12" t="s">
        <v>72</v>
      </c>
      <c r="F53" s="7" t="s">
        <v>15</v>
      </c>
      <c r="G53" s="7" t="s">
        <v>57</v>
      </c>
      <c r="H53" s="11">
        <v>33.72</v>
      </c>
      <c r="I53" s="8">
        <v>7</v>
      </c>
      <c r="J53" s="19">
        <v>1</v>
      </c>
      <c r="K53" s="13">
        <v>0.23604</v>
      </c>
      <c r="L53" s="7" t="s">
        <v>477</v>
      </c>
    </row>
    <row r="54" spans="1:12">
      <c r="A54" s="42" t="s">
        <v>77</v>
      </c>
      <c r="B54" s="3" t="s">
        <v>68</v>
      </c>
      <c r="C54" s="3">
        <v>181</v>
      </c>
      <c r="D54" s="1"/>
      <c r="E54" s="12" t="s">
        <v>72</v>
      </c>
      <c r="F54" s="7" t="s">
        <v>15</v>
      </c>
      <c r="G54" s="7" t="s">
        <v>57</v>
      </c>
      <c r="H54" s="11">
        <v>33.72</v>
      </c>
      <c r="I54" s="8">
        <v>7.7</v>
      </c>
      <c r="J54" s="19">
        <v>1</v>
      </c>
      <c r="K54" s="13">
        <v>0.25964399999999999</v>
      </c>
      <c r="L54" s="7" t="s">
        <v>477</v>
      </c>
    </row>
    <row r="55" spans="1:12">
      <c r="A55" s="42" t="s">
        <v>77</v>
      </c>
      <c r="B55" s="3" t="s">
        <v>68</v>
      </c>
      <c r="C55" s="3">
        <v>182</v>
      </c>
      <c r="D55" s="1"/>
      <c r="E55" s="12" t="s">
        <v>72</v>
      </c>
      <c r="F55" s="7" t="s">
        <v>15</v>
      </c>
      <c r="G55" s="7" t="s">
        <v>57</v>
      </c>
      <c r="H55" s="11">
        <v>33.72</v>
      </c>
      <c r="I55" s="8">
        <v>6.7</v>
      </c>
      <c r="J55" s="19">
        <v>1</v>
      </c>
      <c r="K55" s="13">
        <v>0.22592400000000001</v>
      </c>
      <c r="L55" s="7" t="s">
        <v>477</v>
      </c>
    </row>
    <row r="56" spans="1:12">
      <c r="A56" s="42" t="s">
        <v>77</v>
      </c>
      <c r="B56" s="3" t="s">
        <v>68</v>
      </c>
      <c r="C56" s="3">
        <v>182</v>
      </c>
      <c r="D56" s="1"/>
      <c r="E56" s="12" t="s">
        <v>72</v>
      </c>
      <c r="F56" s="7" t="s">
        <v>15</v>
      </c>
      <c r="G56" s="7" t="s">
        <v>57</v>
      </c>
      <c r="H56" s="11">
        <v>33.72</v>
      </c>
      <c r="I56" s="8">
        <v>7.1</v>
      </c>
      <c r="J56" s="19">
        <v>1</v>
      </c>
      <c r="K56" s="13">
        <v>0.23941199999999999</v>
      </c>
      <c r="L56" s="7" t="s">
        <v>477</v>
      </c>
    </row>
    <row r="57" spans="1:12">
      <c r="A57" s="42" t="s">
        <v>77</v>
      </c>
      <c r="B57" s="3" t="s">
        <v>68</v>
      </c>
      <c r="C57" s="3">
        <v>182</v>
      </c>
      <c r="D57" s="1"/>
      <c r="E57" s="12" t="s">
        <v>72</v>
      </c>
      <c r="F57" s="7" t="s">
        <v>15</v>
      </c>
      <c r="G57" s="7" t="s">
        <v>57</v>
      </c>
      <c r="H57" s="11">
        <v>33.72</v>
      </c>
      <c r="I57" s="8">
        <v>8.5</v>
      </c>
      <c r="J57" s="19">
        <v>1</v>
      </c>
      <c r="K57" s="13">
        <v>0.28661999999999999</v>
      </c>
      <c r="L57" s="7" t="s">
        <v>477</v>
      </c>
    </row>
    <row r="58" spans="1:12">
      <c r="A58" s="42" t="s">
        <v>77</v>
      </c>
      <c r="B58" s="3" t="s">
        <v>68</v>
      </c>
      <c r="C58" s="3">
        <v>185</v>
      </c>
      <c r="D58" s="1"/>
      <c r="E58" s="12" t="s">
        <v>72</v>
      </c>
      <c r="F58" s="7" t="s">
        <v>15</v>
      </c>
      <c r="G58" s="7" t="s">
        <v>57</v>
      </c>
      <c r="H58" s="11">
        <v>33.72</v>
      </c>
      <c r="I58" s="8">
        <v>6.7</v>
      </c>
      <c r="J58" s="19">
        <v>1</v>
      </c>
      <c r="K58" s="13">
        <v>0.22592400000000001</v>
      </c>
      <c r="L58" s="7" t="s">
        <v>477</v>
      </c>
    </row>
    <row r="59" spans="1:12">
      <c r="A59" s="42" t="s">
        <v>77</v>
      </c>
      <c r="B59" s="3" t="s">
        <v>68</v>
      </c>
      <c r="C59" s="3">
        <v>185</v>
      </c>
      <c r="D59" s="1"/>
      <c r="E59" s="12" t="s">
        <v>72</v>
      </c>
      <c r="F59" s="7" t="s">
        <v>15</v>
      </c>
      <c r="G59" s="7" t="s">
        <v>57</v>
      </c>
      <c r="H59" s="11">
        <v>33.72</v>
      </c>
      <c r="I59" s="8">
        <v>7</v>
      </c>
      <c r="J59" s="19">
        <v>7</v>
      </c>
      <c r="K59" s="13">
        <v>1.65228</v>
      </c>
      <c r="L59" s="7" t="s">
        <v>477</v>
      </c>
    </row>
    <row r="60" spans="1:12">
      <c r="A60" s="42" t="s">
        <v>77</v>
      </c>
      <c r="B60" s="3" t="s">
        <v>68</v>
      </c>
      <c r="C60" s="3">
        <v>186</v>
      </c>
      <c r="D60" s="1"/>
      <c r="E60" s="12" t="s">
        <v>72</v>
      </c>
      <c r="F60" s="7" t="s">
        <v>15</v>
      </c>
      <c r="G60" s="7" t="s">
        <v>58</v>
      </c>
      <c r="H60" s="11">
        <v>27.29</v>
      </c>
      <c r="I60" s="8">
        <v>5.8</v>
      </c>
      <c r="J60" s="19">
        <v>1</v>
      </c>
      <c r="K60" s="13">
        <v>0.15828199999999998</v>
      </c>
      <c r="L60" s="7" t="s">
        <v>477</v>
      </c>
    </row>
    <row r="61" spans="1:12">
      <c r="A61" s="42" t="s">
        <v>77</v>
      </c>
      <c r="B61" s="3" t="s">
        <v>68</v>
      </c>
      <c r="C61" s="3">
        <v>186</v>
      </c>
      <c r="D61" s="1"/>
      <c r="E61" s="12" t="s">
        <v>72</v>
      </c>
      <c r="F61" s="7" t="s">
        <v>15</v>
      </c>
      <c r="G61" s="7" t="s">
        <v>58</v>
      </c>
      <c r="H61" s="11">
        <v>27.29</v>
      </c>
      <c r="I61" s="8">
        <v>6</v>
      </c>
      <c r="J61" s="19">
        <v>1</v>
      </c>
      <c r="K61" s="13">
        <v>0.16374</v>
      </c>
      <c r="L61" s="7" t="s">
        <v>477</v>
      </c>
    </row>
    <row r="62" spans="1:12">
      <c r="A62" s="42" t="s">
        <v>77</v>
      </c>
      <c r="B62" s="3" t="s">
        <v>68</v>
      </c>
      <c r="C62" s="3">
        <v>188</v>
      </c>
      <c r="D62" s="1"/>
      <c r="E62" s="12" t="s">
        <v>72</v>
      </c>
      <c r="F62" s="7" t="s">
        <v>15</v>
      </c>
      <c r="G62" s="7" t="s">
        <v>57</v>
      </c>
      <c r="H62" s="11">
        <v>33.72</v>
      </c>
      <c r="I62" s="8">
        <v>5.6</v>
      </c>
      <c r="J62" s="19">
        <v>1</v>
      </c>
      <c r="K62" s="13">
        <v>0.188832</v>
      </c>
      <c r="L62" s="7" t="s">
        <v>477</v>
      </c>
    </row>
    <row r="63" spans="1:12">
      <c r="A63" s="42" t="s">
        <v>77</v>
      </c>
      <c r="B63" s="3" t="s">
        <v>68</v>
      </c>
      <c r="C63" s="3">
        <v>189</v>
      </c>
      <c r="D63" s="1"/>
      <c r="E63" s="12" t="s">
        <v>72</v>
      </c>
      <c r="F63" s="7" t="s">
        <v>15</v>
      </c>
      <c r="G63" s="7" t="s">
        <v>57</v>
      </c>
      <c r="H63" s="11">
        <v>33.72</v>
      </c>
      <c r="I63" s="8">
        <v>6.2</v>
      </c>
      <c r="J63" s="19">
        <v>1</v>
      </c>
      <c r="K63" s="13">
        <v>0.209064</v>
      </c>
      <c r="L63" s="7" t="s">
        <v>477</v>
      </c>
    </row>
    <row r="64" spans="1:12">
      <c r="A64" s="42" t="s">
        <v>77</v>
      </c>
      <c r="B64" s="3" t="s">
        <v>68</v>
      </c>
      <c r="C64" s="3">
        <v>191</v>
      </c>
      <c r="D64" s="1"/>
      <c r="E64" s="12" t="s">
        <v>20</v>
      </c>
      <c r="F64" s="7" t="s">
        <v>15</v>
      </c>
      <c r="G64" s="7" t="s">
        <v>30</v>
      </c>
      <c r="H64" s="11">
        <v>9.26</v>
      </c>
      <c r="I64" s="184">
        <v>6.8</v>
      </c>
      <c r="J64" s="19">
        <v>1</v>
      </c>
      <c r="K64" s="13">
        <v>6.2967999999999996E-2</v>
      </c>
      <c r="L64" s="7" t="s">
        <v>477</v>
      </c>
    </row>
    <row r="65" spans="1:12">
      <c r="A65" s="42" t="s">
        <v>77</v>
      </c>
      <c r="B65" s="3" t="s">
        <v>68</v>
      </c>
      <c r="C65" s="3">
        <v>191</v>
      </c>
      <c r="D65" s="1"/>
      <c r="E65" s="12" t="s">
        <v>20</v>
      </c>
      <c r="F65" s="7" t="s">
        <v>15</v>
      </c>
      <c r="G65" s="7" t="s">
        <v>30</v>
      </c>
      <c r="H65" s="11">
        <v>9.26</v>
      </c>
      <c r="I65" s="184">
        <v>7.8</v>
      </c>
      <c r="J65" s="19">
        <v>2</v>
      </c>
      <c r="K65" s="13">
        <v>0.144456</v>
      </c>
      <c r="L65" s="7" t="s">
        <v>477</v>
      </c>
    </row>
    <row r="66" spans="1:12">
      <c r="A66" s="42" t="s">
        <v>77</v>
      </c>
      <c r="B66" s="3" t="s">
        <v>68</v>
      </c>
      <c r="C66" s="3">
        <v>191</v>
      </c>
      <c r="D66" s="1"/>
      <c r="E66" s="12" t="s">
        <v>20</v>
      </c>
      <c r="F66" s="7" t="s">
        <v>15</v>
      </c>
      <c r="G66" s="7" t="s">
        <v>30</v>
      </c>
      <c r="H66" s="11">
        <v>9.26</v>
      </c>
      <c r="I66" s="184">
        <v>8.8000000000000007</v>
      </c>
      <c r="J66" s="19">
        <v>1</v>
      </c>
      <c r="K66" s="13">
        <v>8.1488000000000005E-2</v>
      </c>
      <c r="L66" s="7" t="s">
        <v>477</v>
      </c>
    </row>
    <row r="67" spans="1:12">
      <c r="A67" s="42" t="s">
        <v>77</v>
      </c>
      <c r="B67" s="3" t="s">
        <v>68</v>
      </c>
      <c r="C67" s="3">
        <v>192</v>
      </c>
      <c r="D67" s="1"/>
      <c r="E67" s="12" t="s">
        <v>19</v>
      </c>
      <c r="F67" s="7" t="s">
        <v>14</v>
      </c>
      <c r="G67" s="7" t="s">
        <v>40</v>
      </c>
      <c r="H67" s="11">
        <v>16.5</v>
      </c>
      <c r="I67" s="8">
        <v>7.3</v>
      </c>
      <c r="J67" s="19">
        <v>1</v>
      </c>
      <c r="K67" s="13">
        <v>0.12045</v>
      </c>
      <c r="L67" s="7" t="s">
        <v>477</v>
      </c>
    </row>
    <row r="68" spans="1:12">
      <c r="A68" s="42" t="s">
        <v>77</v>
      </c>
      <c r="B68" s="3" t="s">
        <v>68</v>
      </c>
      <c r="C68" s="3">
        <v>192</v>
      </c>
      <c r="D68" s="1"/>
      <c r="E68" s="12" t="s">
        <v>19</v>
      </c>
      <c r="F68" s="7" t="s">
        <v>14</v>
      </c>
      <c r="G68" s="7" t="s">
        <v>40</v>
      </c>
      <c r="H68" s="11">
        <v>16.5</v>
      </c>
      <c r="I68" s="8">
        <v>9.1</v>
      </c>
      <c r="J68" s="19">
        <v>1</v>
      </c>
      <c r="K68" s="13">
        <v>0.15015000000000001</v>
      </c>
      <c r="L68" s="7" t="s">
        <v>477</v>
      </c>
    </row>
    <row r="69" spans="1:12">
      <c r="A69" s="42" t="s">
        <v>77</v>
      </c>
      <c r="B69" s="3" t="s">
        <v>68</v>
      </c>
      <c r="C69" s="3">
        <v>192</v>
      </c>
      <c r="D69" s="1"/>
      <c r="E69" s="12" t="s">
        <v>19</v>
      </c>
      <c r="F69" s="7" t="s">
        <v>14</v>
      </c>
      <c r="G69" s="7" t="s">
        <v>40</v>
      </c>
      <c r="H69" s="11">
        <v>16.5</v>
      </c>
      <c r="I69" s="8">
        <v>9.6</v>
      </c>
      <c r="J69" s="19">
        <v>1</v>
      </c>
      <c r="K69" s="13">
        <v>0.15840000000000001</v>
      </c>
      <c r="L69" s="7" t="s">
        <v>477</v>
      </c>
    </row>
    <row r="70" spans="1:12">
      <c r="A70" s="42" t="s">
        <v>77</v>
      </c>
      <c r="B70" s="3" t="s">
        <v>68</v>
      </c>
      <c r="C70" s="3">
        <v>194</v>
      </c>
      <c r="D70" s="1"/>
      <c r="E70" s="12" t="s">
        <v>20</v>
      </c>
      <c r="F70" s="7" t="s">
        <v>15</v>
      </c>
      <c r="G70" s="7" t="s">
        <v>44</v>
      </c>
      <c r="H70" s="11">
        <v>13.4</v>
      </c>
      <c r="I70" s="8">
        <v>10</v>
      </c>
      <c r="J70" s="19">
        <v>1</v>
      </c>
      <c r="K70" s="13">
        <v>0.13400000000000001</v>
      </c>
      <c r="L70" s="7" t="s">
        <v>477</v>
      </c>
    </row>
    <row r="71" spans="1:12">
      <c r="A71" s="42" t="s">
        <v>77</v>
      </c>
      <c r="B71" s="3" t="s">
        <v>68</v>
      </c>
      <c r="C71" s="3">
        <v>194</v>
      </c>
      <c r="D71" s="1"/>
      <c r="E71" s="12" t="s">
        <v>20</v>
      </c>
      <c r="F71" s="7" t="s">
        <v>15</v>
      </c>
      <c r="G71" s="7" t="s">
        <v>44</v>
      </c>
      <c r="H71" s="11">
        <v>13.4</v>
      </c>
      <c r="I71" s="8">
        <v>12</v>
      </c>
      <c r="J71" s="19">
        <v>1</v>
      </c>
      <c r="K71" s="13">
        <v>0.1608</v>
      </c>
      <c r="L71" s="7" t="s">
        <v>477</v>
      </c>
    </row>
    <row r="72" spans="1:12">
      <c r="A72" s="42" t="s">
        <v>77</v>
      </c>
      <c r="B72" s="3" t="s">
        <v>68</v>
      </c>
      <c r="C72" s="3">
        <v>196</v>
      </c>
      <c r="D72" s="1"/>
      <c r="E72" s="12" t="s">
        <v>20</v>
      </c>
      <c r="F72" s="7" t="s">
        <v>15</v>
      </c>
      <c r="G72" s="7" t="s">
        <v>50</v>
      </c>
      <c r="H72" s="11">
        <v>21.7</v>
      </c>
      <c r="I72" s="8">
        <v>11.6</v>
      </c>
      <c r="J72" s="19">
        <v>1</v>
      </c>
      <c r="K72" s="13">
        <v>0.25171999999999994</v>
      </c>
      <c r="L72" s="7" t="s">
        <v>477</v>
      </c>
    </row>
    <row r="73" spans="1:12">
      <c r="A73" s="42" t="s">
        <v>77</v>
      </c>
      <c r="B73" s="3" t="s">
        <v>68</v>
      </c>
      <c r="C73" s="3">
        <v>198</v>
      </c>
      <c r="D73" s="1"/>
      <c r="E73" s="12" t="s">
        <v>20</v>
      </c>
      <c r="F73" s="7" t="s">
        <v>15</v>
      </c>
      <c r="G73" s="7" t="s">
        <v>50</v>
      </c>
      <c r="H73" s="11">
        <v>21.7</v>
      </c>
      <c r="I73" s="8">
        <v>4.9000000000000004</v>
      </c>
      <c r="J73" s="19">
        <v>14</v>
      </c>
      <c r="K73" s="13">
        <v>1.4886200000000001</v>
      </c>
      <c r="L73" s="7" t="s">
        <v>477</v>
      </c>
    </row>
    <row r="74" spans="1:12">
      <c r="A74" s="42" t="s">
        <v>77</v>
      </c>
      <c r="B74" s="3" t="s">
        <v>68</v>
      </c>
      <c r="C74" s="3">
        <v>199</v>
      </c>
      <c r="D74" s="1"/>
      <c r="E74" s="12" t="s">
        <v>20</v>
      </c>
      <c r="F74" s="7" t="s">
        <v>15</v>
      </c>
      <c r="G74" s="7" t="s">
        <v>64</v>
      </c>
      <c r="H74" s="11">
        <v>40.1</v>
      </c>
      <c r="I74" s="8">
        <v>7</v>
      </c>
      <c r="J74" s="19">
        <v>1</v>
      </c>
      <c r="K74" s="13">
        <v>0.28070000000000001</v>
      </c>
      <c r="L74" s="7" t="s">
        <v>477</v>
      </c>
    </row>
    <row r="75" spans="1:12">
      <c r="A75" s="42" t="s">
        <v>77</v>
      </c>
      <c r="B75" s="3" t="s">
        <v>68</v>
      </c>
      <c r="C75" s="3">
        <v>202</v>
      </c>
      <c r="D75" s="1"/>
      <c r="E75" s="12" t="s">
        <v>17</v>
      </c>
      <c r="F75" s="7" t="s">
        <v>15</v>
      </c>
      <c r="G75" s="7" t="s">
        <v>56</v>
      </c>
      <c r="H75" s="11">
        <v>25.2</v>
      </c>
      <c r="I75" s="8">
        <v>5.5</v>
      </c>
      <c r="J75" s="19">
        <v>5</v>
      </c>
      <c r="K75" s="13">
        <v>0.69299999999999995</v>
      </c>
      <c r="L75" s="7" t="s">
        <v>477</v>
      </c>
    </row>
    <row r="76" spans="1:12">
      <c r="A76" s="42" t="s">
        <v>77</v>
      </c>
      <c r="B76" s="3" t="s">
        <v>68</v>
      </c>
      <c r="C76" s="3">
        <v>202</v>
      </c>
      <c r="D76" s="1"/>
      <c r="E76" s="12" t="s">
        <v>17</v>
      </c>
      <c r="F76" s="7" t="s">
        <v>15</v>
      </c>
      <c r="G76" s="7" t="s">
        <v>56</v>
      </c>
      <c r="H76" s="11">
        <v>25.2</v>
      </c>
      <c r="I76" s="8">
        <v>5.8</v>
      </c>
      <c r="J76" s="19">
        <v>5</v>
      </c>
      <c r="K76" s="13">
        <v>0.73080000000000001</v>
      </c>
      <c r="L76" s="7" t="s">
        <v>477</v>
      </c>
    </row>
    <row r="77" spans="1:12">
      <c r="A77" s="42" t="s">
        <v>77</v>
      </c>
      <c r="B77" s="3" t="s">
        <v>68</v>
      </c>
      <c r="C77" s="3">
        <v>203</v>
      </c>
      <c r="D77" s="1"/>
      <c r="E77" s="12" t="s">
        <v>24</v>
      </c>
      <c r="F77" s="7" t="s">
        <v>14</v>
      </c>
      <c r="G77" s="7" t="s">
        <v>39</v>
      </c>
      <c r="H77" s="11">
        <v>14.66</v>
      </c>
      <c r="I77" s="8">
        <v>8.1</v>
      </c>
      <c r="J77" s="19">
        <v>1</v>
      </c>
      <c r="K77" s="13">
        <v>0.11874599999999999</v>
      </c>
      <c r="L77" s="7" t="s">
        <v>477</v>
      </c>
    </row>
    <row r="78" spans="1:12">
      <c r="A78" s="42" t="s">
        <v>77</v>
      </c>
      <c r="B78" s="3" t="s">
        <v>68</v>
      </c>
      <c r="C78" s="3">
        <v>203</v>
      </c>
      <c r="D78" s="1"/>
      <c r="E78" s="12" t="s">
        <v>24</v>
      </c>
      <c r="F78" s="7" t="s">
        <v>14</v>
      </c>
      <c r="G78" s="7" t="s">
        <v>39</v>
      </c>
      <c r="H78" s="11">
        <v>14.66</v>
      </c>
      <c r="I78" s="8">
        <v>9.3000000000000007</v>
      </c>
      <c r="J78" s="19">
        <v>2</v>
      </c>
      <c r="K78" s="13">
        <v>0.27267600000000003</v>
      </c>
      <c r="L78" s="7" t="s">
        <v>477</v>
      </c>
    </row>
    <row r="79" spans="1:12">
      <c r="A79" s="42" t="s">
        <v>77</v>
      </c>
      <c r="B79" s="3" t="s">
        <v>68</v>
      </c>
      <c r="C79" s="3">
        <v>203</v>
      </c>
      <c r="D79" s="1"/>
      <c r="E79" s="12" t="s">
        <v>24</v>
      </c>
      <c r="F79" s="7" t="s">
        <v>14</v>
      </c>
      <c r="G79" s="7" t="s">
        <v>39</v>
      </c>
      <c r="H79" s="11">
        <v>14.66</v>
      </c>
      <c r="I79" s="8">
        <v>9.6</v>
      </c>
      <c r="J79" s="19">
        <v>1</v>
      </c>
      <c r="K79" s="13">
        <v>0.140736</v>
      </c>
      <c r="L79" s="7" t="s">
        <v>477</v>
      </c>
    </row>
    <row r="80" spans="1:12">
      <c r="A80" s="42" t="s">
        <v>77</v>
      </c>
      <c r="B80" s="3" t="s">
        <v>68</v>
      </c>
      <c r="C80" s="3">
        <v>205</v>
      </c>
      <c r="D80" s="1"/>
      <c r="E80" s="12" t="s">
        <v>17</v>
      </c>
      <c r="F80" s="7" t="s">
        <v>15</v>
      </c>
      <c r="G80" s="7" t="s">
        <v>36</v>
      </c>
      <c r="H80" s="11">
        <v>10.199999999999999</v>
      </c>
      <c r="I80" s="8">
        <v>5.3</v>
      </c>
      <c r="J80" s="19">
        <v>1</v>
      </c>
      <c r="K80" s="13">
        <v>5.4059999999999997E-2</v>
      </c>
      <c r="L80" s="7" t="s">
        <v>477</v>
      </c>
    </row>
    <row r="81" spans="1:12">
      <c r="A81" s="42" t="s">
        <v>77</v>
      </c>
      <c r="B81" s="3" t="s">
        <v>68</v>
      </c>
      <c r="C81" s="3">
        <v>206</v>
      </c>
      <c r="D81" s="1"/>
      <c r="E81" s="12" t="s">
        <v>63</v>
      </c>
      <c r="F81" s="7" t="s">
        <v>15</v>
      </c>
      <c r="G81" s="7" t="s">
        <v>48</v>
      </c>
      <c r="H81" s="11">
        <v>23.6</v>
      </c>
      <c r="I81" s="8">
        <v>7.8</v>
      </c>
      <c r="J81" s="19">
        <v>1</v>
      </c>
      <c r="K81" s="13">
        <v>0.18408000000000002</v>
      </c>
      <c r="L81" s="7" t="s">
        <v>477</v>
      </c>
    </row>
    <row r="82" spans="1:12">
      <c r="A82" s="42" t="s">
        <v>77</v>
      </c>
      <c r="B82" s="3" t="s">
        <v>68</v>
      </c>
      <c r="C82" s="3">
        <v>206</v>
      </c>
      <c r="D82" s="1"/>
      <c r="E82" s="12" t="s">
        <v>63</v>
      </c>
      <c r="F82" s="7" t="s">
        <v>15</v>
      </c>
      <c r="G82" s="7" t="s">
        <v>48</v>
      </c>
      <c r="H82" s="11">
        <v>23.6</v>
      </c>
      <c r="I82" s="8">
        <v>8.3000000000000007</v>
      </c>
      <c r="J82" s="19">
        <v>1</v>
      </c>
      <c r="K82" s="13">
        <v>0.19588000000000003</v>
      </c>
      <c r="L82" s="7" t="s">
        <v>477</v>
      </c>
    </row>
    <row r="83" spans="1:12">
      <c r="A83" s="42" t="s">
        <v>77</v>
      </c>
      <c r="B83" s="3" t="s">
        <v>68</v>
      </c>
      <c r="C83" s="3">
        <v>206</v>
      </c>
      <c r="D83" s="1"/>
      <c r="E83" s="12" t="s">
        <v>63</v>
      </c>
      <c r="F83" s="7" t="s">
        <v>15</v>
      </c>
      <c r="G83" s="7" t="s">
        <v>48</v>
      </c>
      <c r="H83" s="11">
        <v>23.6</v>
      </c>
      <c r="I83" s="8">
        <v>11</v>
      </c>
      <c r="J83" s="19">
        <v>1</v>
      </c>
      <c r="K83" s="13">
        <v>0.2596</v>
      </c>
      <c r="L83" s="7" t="s">
        <v>477</v>
      </c>
    </row>
    <row r="84" spans="1:12">
      <c r="A84" s="42" t="s">
        <v>77</v>
      </c>
      <c r="B84" s="3" t="s">
        <v>68</v>
      </c>
      <c r="C84" s="3">
        <v>208</v>
      </c>
      <c r="D84" s="1"/>
      <c r="E84" s="12" t="s">
        <v>63</v>
      </c>
      <c r="F84" s="7" t="s">
        <v>15</v>
      </c>
      <c r="G84" s="7" t="s">
        <v>56</v>
      </c>
      <c r="H84" s="11">
        <v>25.2</v>
      </c>
      <c r="I84" s="8">
        <v>9.9</v>
      </c>
      <c r="J84" s="19">
        <v>1</v>
      </c>
      <c r="K84" s="13">
        <v>0.24947999999999998</v>
      </c>
      <c r="L84" s="7" t="s">
        <v>477</v>
      </c>
    </row>
    <row r="85" spans="1:12">
      <c r="A85" s="42" t="s">
        <v>77</v>
      </c>
      <c r="B85" s="3" t="s">
        <v>68</v>
      </c>
      <c r="C85" s="3">
        <v>211</v>
      </c>
      <c r="D85" s="1"/>
      <c r="E85" s="12" t="s">
        <v>63</v>
      </c>
      <c r="F85" s="7" t="s">
        <v>15</v>
      </c>
      <c r="G85" s="7" t="s">
        <v>53</v>
      </c>
      <c r="H85" s="11">
        <v>35.840000000000003</v>
      </c>
      <c r="I85" s="8">
        <v>7.4</v>
      </c>
      <c r="J85" s="19">
        <v>1</v>
      </c>
      <c r="K85" s="13">
        <v>0.26521600000000006</v>
      </c>
      <c r="L85" s="7" t="s">
        <v>477</v>
      </c>
    </row>
    <row r="86" spans="1:12">
      <c r="A86" s="42" t="s">
        <v>77</v>
      </c>
      <c r="B86" s="3" t="s">
        <v>68</v>
      </c>
      <c r="C86" s="3">
        <v>212</v>
      </c>
      <c r="D86" s="1"/>
      <c r="E86" s="12" t="s">
        <v>17</v>
      </c>
      <c r="F86" s="7" t="s">
        <v>15</v>
      </c>
      <c r="G86" s="7" t="s">
        <v>59</v>
      </c>
      <c r="H86" s="11">
        <v>38</v>
      </c>
      <c r="I86" s="8">
        <v>5.2</v>
      </c>
      <c r="J86" s="19">
        <v>3</v>
      </c>
      <c r="K86" s="13">
        <v>0.5928000000000001</v>
      </c>
      <c r="L86" s="7" t="s">
        <v>477</v>
      </c>
    </row>
    <row r="87" spans="1:12">
      <c r="A87" s="42" t="s">
        <v>77</v>
      </c>
      <c r="B87" s="3" t="s">
        <v>68</v>
      </c>
      <c r="C87" s="3">
        <v>213</v>
      </c>
      <c r="D87" s="1"/>
      <c r="E87" s="12" t="s">
        <v>17</v>
      </c>
      <c r="F87" s="7" t="s">
        <v>15</v>
      </c>
      <c r="G87" s="7" t="s">
        <v>59</v>
      </c>
      <c r="H87" s="11">
        <v>38</v>
      </c>
      <c r="I87" s="8">
        <v>6.4</v>
      </c>
      <c r="J87" s="19">
        <v>1</v>
      </c>
      <c r="K87" s="13">
        <v>0.24320000000000003</v>
      </c>
      <c r="L87" s="7" t="s">
        <v>477</v>
      </c>
    </row>
    <row r="88" spans="1:12">
      <c r="A88" s="42" t="s">
        <v>77</v>
      </c>
      <c r="B88" s="3" t="s">
        <v>68</v>
      </c>
      <c r="C88" s="3">
        <v>214</v>
      </c>
      <c r="D88" s="1"/>
      <c r="E88" s="12" t="s">
        <v>51</v>
      </c>
      <c r="F88" s="7" t="s">
        <v>15</v>
      </c>
      <c r="G88" s="7" t="s">
        <v>60</v>
      </c>
      <c r="H88" s="11">
        <v>22.93</v>
      </c>
      <c r="I88" s="8">
        <v>7.9</v>
      </c>
      <c r="J88" s="19">
        <v>3</v>
      </c>
      <c r="K88" s="13">
        <v>0.54344100000000006</v>
      </c>
      <c r="L88" s="7" t="s">
        <v>477</v>
      </c>
    </row>
    <row r="89" spans="1:12">
      <c r="A89" s="42" t="s">
        <v>77</v>
      </c>
      <c r="B89" s="3" t="s">
        <v>68</v>
      </c>
      <c r="C89" s="3">
        <v>215</v>
      </c>
      <c r="D89" s="1"/>
      <c r="E89" s="12" t="s">
        <v>63</v>
      </c>
      <c r="F89" s="7" t="s">
        <v>15</v>
      </c>
      <c r="G89" s="7" t="s">
        <v>57</v>
      </c>
      <c r="H89" s="11">
        <v>33.72</v>
      </c>
      <c r="I89" s="8">
        <v>7.5</v>
      </c>
      <c r="J89" s="19">
        <v>2</v>
      </c>
      <c r="K89" s="13">
        <v>0.50579999999999992</v>
      </c>
      <c r="L89" s="7" t="s">
        <v>477</v>
      </c>
    </row>
    <row r="90" spans="1:12">
      <c r="A90" s="42" t="s">
        <v>77</v>
      </c>
      <c r="B90" s="3" t="s">
        <v>68</v>
      </c>
      <c r="C90" s="3">
        <v>215</v>
      </c>
      <c r="D90" s="1"/>
      <c r="E90" s="12" t="s">
        <v>63</v>
      </c>
      <c r="F90" s="7" t="s">
        <v>15</v>
      </c>
      <c r="G90" s="7" t="s">
        <v>57</v>
      </c>
      <c r="H90" s="11">
        <v>33.72</v>
      </c>
      <c r="I90" s="8">
        <v>7.8</v>
      </c>
      <c r="J90" s="19">
        <v>3</v>
      </c>
      <c r="K90" s="13">
        <v>0.78904799999999986</v>
      </c>
      <c r="L90" s="7" t="s">
        <v>477</v>
      </c>
    </row>
    <row r="91" spans="1:12">
      <c r="A91" s="42" t="s">
        <v>77</v>
      </c>
      <c r="B91" s="3" t="s">
        <v>68</v>
      </c>
      <c r="C91" s="3">
        <v>216</v>
      </c>
      <c r="D91" s="1"/>
      <c r="E91" s="12" t="s">
        <v>73</v>
      </c>
      <c r="F91" s="7" t="s">
        <v>15</v>
      </c>
      <c r="G91" s="7" t="s">
        <v>53</v>
      </c>
      <c r="H91" s="11">
        <v>35.840000000000003</v>
      </c>
      <c r="I91" s="8">
        <v>7.4</v>
      </c>
      <c r="J91" s="19">
        <v>1</v>
      </c>
      <c r="K91" s="13">
        <v>0.26521600000000006</v>
      </c>
      <c r="L91" s="7" t="s">
        <v>477</v>
      </c>
    </row>
    <row r="92" spans="1:12">
      <c r="A92" s="42" t="s">
        <v>77</v>
      </c>
      <c r="B92" s="3" t="s">
        <v>68</v>
      </c>
      <c r="C92" s="3">
        <v>217</v>
      </c>
      <c r="D92" s="1"/>
      <c r="E92" s="12" t="s">
        <v>63</v>
      </c>
      <c r="F92" s="7" t="s">
        <v>15</v>
      </c>
      <c r="G92" s="7" t="s">
        <v>57</v>
      </c>
      <c r="H92" s="11">
        <v>33.72</v>
      </c>
      <c r="I92" s="8">
        <v>6.5</v>
      </c>
      <c r="J92" s="19">
        <v>1</v>
      </c>
      <c r="K92" s="13">
        <v>0.21918000000000001</v>
      </c>
      <c r="L92" s="7" t="s">
        <v>477</v>
      </c>
    </row>
    <row r="93" spans="1:12">
      <c r="A93" s="42" t="s">
        <v>77</v>
      </c>
      <c r="B93" s="3" t="s">
        <v>68</v>
      </c>
      <c r="C93" s="3">
        <v>218</v>
      </c>
      <c r="D93" s="1"/>
      <c r="E93" s="12" t="s">
        <v>63</v>
      </c>
      <c r="F93" s="7" t="s">
        <v>15</v>
      </c>
      <c r="G93" s="7" t="s">
        <v>57</v>
      </c>
      <c r="H93" s="11">
        <v>33.72</v>
      </c>
      <c r="I93" s="8">
        <v>7.8</v>
      </c>
      <c r="J93" s="19">
        <v>11</v>
      </c>
      <c r="K93" s="13">
        <v>2.893176</v>
      </c>
      <c r="L93" s="7" t="s">
        <v>477</v>
      </c>
    </row>
    <row r="94" spans="1:12">
      <c r="A94" s="42" t="s">
        <v>77</v>
      </c>
      <c r="B94" s="3" t="s">
        <v>68</v>
      </c>
      <c r="C94" s="3">
        <v>219</v>
      </c>
      <c r="D94" s="1"/>
      <c r="E94" s="12" t="s">
        <v>63</v>
      </c>
      <c r="F94" s="7" t="s">
        <v>15</v>
      </c>
      <c r="G94" s="7" t="s">
        <v>58</v>
      </c>
      <c r="H94" s="11">
        <v>27.29</v>
      </c>
      <c r="I94" s="8">
        <v>6</v>
      </c>
      <c r="J94" s="19">
        <v>2</v>
      </c>
      <c r="K94" s="13">
        <v>0.32747999999999999</v>
      </c>
      <c r="L94" s="7" t="s">
        <v>477</v>
      </c>
    </row>
    <row r="95" spans="1:12">
      <c r="A95" s="42" t="s">
        <v>77</v>
      </c>
      <c r="B95" s="3" t="s">
        <v>68</v>
      </c>
      <c r="C95" s="3">
        <v>220</v>
      </c>
      <c r="D95" s="1"/>
      <c r="E95" s="12" t="s">
        <v>63</v>
      </c>
      <c r="F95" s="7" t="s">
        <v>15</v>
      </c>
      <c r="G95" s="7" t="s">
        <v>57</v>
      </c>
      <c r="H95" s="11">
        <v>33.72</v>
      </c>
      <c r="I95" s="8">
        <v>7.3</v>
      </c>
      <c r="J95" s="19">
        <v>1</v>
      </c>
      <c r="K95" s="13">
        <v>0.24615599999999999</v>
      </c>
      <c r="L95" s="7" t="s">
        <v>477</v>
      </c>
    </row>
    <row r="96" spans="1:12">
      <c r="A96" s="42" t="s">
        <v>77</v>
      </c>
      <c r="B96" s="3" t="s">
        <v>68</v>
      </c>
      <c r="C96" s="3">
        <v>220</v>
      </c>
      <c r="D96" s="1"/>
      <c r="E96" s="12" t="s">
        <v>63</v>
      </c>
      <c r="F96" s="7" t="s">
        <v>15</v>
      </c>
      <c r="G96" s="7" t="s">
        <v>57</v>
      </c>
      <c r="H96" s="11">
        <v>33.72</v>
      </c>
      <c r="I96" s="8">
        <v>7.5</v>
      </c>
      <c r="J96" s="19">
        <v>8</v>
      </c>
      <c r="K96" s="13">
        <v>2.0231999999999997</v>
      </c>
      <c r="L96" s="7" t="s">
        <v>477</v>
      </c>
    </row>
    <row r="97" spans="1:12">
      <c r="A97" s="42" t="s">
        <v>77</v>
      </c>
      <c r="B97" s="3" t="s">
        <v>68</v>
      </c>
      <c r="C97" s="3">
        <v>222</v>
      </c>
      <c r="D97" s="1"/>
      <c r="E97" s="12" t="s">
        <v>17</v>
      </c>
      <c r="F97" s="7" t="s">
        <v>15</v>
      </c>
      <c r="G97" s="7" t="s">
        <v>66</v>
      </c>
      <c r="H97" s="11">
        <v>29.5</v>
      </c>
      <c r="I97" s="8">
        <v>7.9</v>
      </c>
      <c r="J97" s="19">
        <v>2</v>
      </c>
      <c r="K97" s="13">
        <v>0.46610000000000001</v>
      </c>
      <c r="L97" s="7" t="s">
        <v>477</v>
      </c>
    </row>
    <row r="98" spans="1:12">
      <c r="A98" s="42" t="s">
        <v>77</v>
      </c>
      <c r="B98" s="3" t="s">
        <v>68</v>
      </c>
      <c r="C98" s="3">
        <v>222</v>
      </c>
      <c r="D98" s="1"/>
      <c r="E98" s="12" t="s">
        <v>17</v>
      </c>
      <c r="F98" s="7" t="s">
        <v>15</v>
      </c>
      <c r="G98" s="7" t="s">
        <v>66</v>
      </c>
      <c r="H98" s="11">
        <v>29.5</v>
      </c>
      <c r="I98" s="8">
        <v>7.5</v>
      </c>
      <c r="J98" s="19">
        <v>1</v>
      </c>
      <c r="K98" s="13">
        <v>0.22125</v>
      </c>
      <c r="L98" s="7" t="s">
        <v>477</v>
      </c>
    </row>
    <row r="99" spans="1:12">
      <c r="A99" s="42" t="s">
        <v>77</v>
      </c>
      <c r="B99" s="3" t="s">
        <v>68</v>
      </c>
      <c r="C99" s="3">
        <v>222</v>
      </c>
      <c r="D99" s="1"/>
      <c r="E99" s="12" t="s">
        <v>17</v>
      </c>
      <c r="F99" s="7" t="s">
        <v>15</v>
      </c>
      <c r="G99" s="7" t="s">
        <v>58</v>
      </c>
      <c r="H99" s="11">
        <v>29.5</v>
      </c>
      <c r="I99" s="8">
        <v>12</v>
      </c>
      <c r="J99" s="19">
        <v>1</v>
      </c>
      <c r="K99" s="13">
        <v>0.35399999999999998</v>
      </c>
      <c r="L99" s="7" t="s">
        <v>477</v>
      </c>
    </row>
    <row r="100" spans="1:12">
      <c r="A100" s="42" t="s">
        <v>77</v>
      </c>
      <c r="B100" s="3" t="s">
        <v>68</v>
      </c>
      <c r="C100" s="3">
        <v>223</v>
      </c>
      <c r="D100" s="1"/>
      <c r="E100" s="12" t="s">
        <v>63</v>
      </c>
      <c r="F100" s="7" t="s">
        <v>15</v>
      </c>
      <c r="G100" s="7" t="s">
        <v>57</v>
      </c>
      <c r="H100" s="11">
        <v>33.72</v>
      </c>
      <c r="I100" s="8">
        <v>7.8</v>
      </c>
      <c r="J100" s="19">
        <v>11</v>
      </c>
      <c r="K100" s="13">
        <v>2.893176</v>
      </c>
      <c r="L100" s="7" t="s">
        <v>477</v>
      </c>
    </row>
    <row r="101" spans="1:12">
      <c r="A101" s="42" t="s">
        <v>77</v>
      </c>
      <c r="B101" s="3" t="s">
        <v>68</v>
      </c>
      <c r="C101" s="3">
        <v>227</v>
      </c>
      <c r="D101" s="1"/>
      <c r="E101" s="12" t="s">
        <v>19</v>
      </c>
      <c r="F101" s="7" t="s">
        <v>14</v>
      </c>
      <c r="G101" s="7" t="s">
        <v>39</v>
      </c>
      <c r="H101" s="11">
        <v>14.66</v>
      </c>
      <c r="I101" s="8">
        <v>8.1</v>
      </c>
      <c r="J101" s="19">
        <v>2</v>
      </c>
      <c r="K101" s="13">
        <v>0.23749199999999998</v>
      </c>
      <c r="L101" s="7" t="s">
        <v>477</v>
      </c>
    </row>
    <row r="102" spans="1:12">
      <c r="A102" s="42" t="s">
        <v>77</v>
      </c>
      <c r="B102" s="3" t="s">
        <v>68</v>
      </c>
      <c r="C102" s="3">
        <v>227</v>
      </c>
      <c r="D102" s="1"/>
      <c r="E102" s="12" t="s">
        <v>19</v>
      </c>
      <c r="F102" s="7" t="s">
        <v>14</v>
      </c>
      <c r="G102" s="7" t="s">
        <v>39</v>
      </c>
      <c r="H102" s="11">
        <v>14.66</v>
      </c>
      <c r="I102" s="8">
        <v>9</v>
      </c>
      <c r="J102" s="19">
        <v>1</v>
      </c>
      <c r="K102" s="13">
        <v>0.13194</v>
      </c>
      <c r="L102" s="7" t="s">
        <v>477</v>
      </c>
    </row>
    <row r="103" spans="1:12">
      <c r="A103" s="42" t="s">
        <v>77</v>
      </c>
      <c r="B103" s="3" t="s">
        <v>68</v>
      </c>
      <c r="C103" s="3">
        <v>228</v>
      </c>
      <c r="D103" s="1"/>
      <c r="E103" s="12" t="s">
        <v>19</v>
      </c>
      <c r="F103" s="7" t="s">
        <v>14</v>
      </c>
      <c r="G103" s="7" t="s">
        <v>40</v>
      </c>
      <c r="H103" s="11">
        <v>16.5</v>
      </c>
      <c r="I103" s="8">
        <v>11.2</v>
      </c>
      <c r="J103" s="19">
        <v>1</v>
      </c>
      <c r="K103" s="13">
        <v>0.18479999999999999</v>
      </c>
      <c r="L103" s="7" t="s">
        <v>477</v>
      </c>
    </row>
    <row r="104" spans="1:12">
      <c r="A104" s="42" t="s">
        <v>77</v>
      </c>
      <c r="B104" s="3" t="s">
        <v>68</v>
      </c>
      <c r="C104" s="3">
        <v>228</v>
      </c>
      <c r="D104" s="1"/>
      <c r="E104" s="12" t="s">
        <v>19</v>
      </c>
      <c r="F104" s="7" t="s">
        <v>14</v>
      </c>
      <c r="G104" s="7" t="s">
        <v>40</v>
      </c>
      <c r="H104" s="11">
        <v>16.5</v>
      </c>
      <c r="I104" s="8">
        <v>11.9</v>
      </c>
      <c r="J104" s="19">
        <v>5</v>
      </c>
      <c r="K104" s="13">
        <v>0.98175000000000001</v>
      </c>
      <c r="L104" s="7" t="s">
        <v>477</v>
      </c>
    </row>
    <row r="105" spans="1:12">
      <c r="A105" s="42" t="s">
        <v>77</v>
      </c>
      <c r="B105" s="3" t="s">
        <v>68</v>
      </c>
      <c r="C105" s="3">
        <v>229</v>
      </c>
      <c r="D105" s="1"/>
      <c r="E105" s="12" t="s">
        <v>17</v>
      </c>
      <c r="F105" s="7" t="s">
        <v>15</v>
      </c>
      <c r="G105" s="7" t="s">
        <v>33</v>
      </c>
      <c r="H105" s="11">
        <v>15.92</v>
      </c>
      <c r="I105" s="8">
        <v>5.9</v>
      </c>
      <c r="J105" s="19">
        <v>1</v>
      </c>
      <c r="K105" s="13">
        <v>9.3928000000000011E-2</v>
      </c>
      <c r="L105" s="7" t="s">
        <v>477</v>
      </c>
    </row>
    <row r="106" spans="1:12">
      <c r="A106" s="42" t="s">
        <v>77</v>
      </c>
      <c r="B106" s="3" t="s">
        <v>68</v>
      </c>
      <c r="C106" s="3">
        <v>229</v>
      </c>
      <c r="D106" s="1"/>
      <c r="E106" s="12" t="s">
        <v>17</v>
      </c>
      <c r="F106" s="7" t="s">
        <v>15</v>
      </c>
      <c r="G106" s="7" t="s">
        <v>33</v>
      </c>
      <c r="H106" s="11">
        <v>15.92</v>
      </c>
      <c r="I106" s="8">
        <v>6</v>
      </c>
      <c r="J106" s="19">
        <v>1</v>
      </c>
      <c r="K106" s="13">
        <v>9.5519999999999994E-2</v>
      </c>
      <c r="L106" s="7" t="s">
        <v>477</v>
      </c>
    </row>
    <row r="107" spans="1:12">
      <c r="A107" s="42" t="s">
        <v>77</v>
      </c>
      <c r="B107" s="3" t="s">
        <v>68</v>
      </c>
      <c r="C107" s="3">
        <v>230</v>
      </c>
      <c r="D107" s="1"/>
      <c r="E107" s="12" t="s">
        <v>63</v>
      </c>
      <c r="F107" s="7" t="s">
        <v>15</v>
      </c>
      <c r="G107" s="7" t="s">
        <v>40</v>
      </c>
      <c r="H107" s="11">
        <v>16.5</v>
      </c>
      <c r="I107" s="8">
        <v>7.1</v>
      </c>
      <c r="J107" s="19">
        <v>1</v>
      </c>
      <c r="K107" s="13">
        <v>0.11714999999999999</v>
      </c>
      <c r="L107" s="7" t="s">
        <v>477</v>
      </c>
    </row>
    <row r="108" spans="1:12">
      <c r="A108" s="42" t="s">
        <v>77</v>
      </c>
      <c r="B108" s="3" t="s">
        <v>68</v>
      </c>
      <c r="C108" s="3">
        <v>232</v>
      </c>
      <c r="D108" s="1"/>
      <c r="E108" s="12" t="s">
        <v>17</v>
      </c>
      <c r="F108" s="7" t="s">
        <v>15</v>
      </c>
      <c r="G108" s="7" t="s">
        <v>56</v>
      </c>
      <c r="H108" s="11">
        <v>25.2</v>
      </c>
      <c r="I108" s="8">
        <v>6</v>
      </c>
      <c r="J108" s="19">
        <v>3</v>
      </c>
      <c r="K108" s="13">
        <v>0.45359999999999995</v>
      </c>
      <c r="L108" s="7" t="s">
        <v>477</v>
      </c>
    </row>
    <row r="109" spans="1:12">
      <c r="A109" s="42" t="s">
        <v>77</v>
      </c>
      <c r="B109" s="3" t="s">
        <v>68</v>
      </c>
      <c r="C109" s="3">
        <v>233</v>
      </c>
      <c r="D109" s="1"/>
      <c r="E109" s="12" t="s">
        <v>63</v>
      </c>
      <c r="F109" s="7" t="s">
        <v>15</v>
      </c>
      <c r="G109" s="7" t="s">
        <v>42</v>
      </c>
      <c r="H109" s="11">
        <v>19.72</v>
      </c>
      <c r="I109" s="8">
        <v>6</v>
      </c>
      <c r="J109" s="19">
        <v>3</v>
      </c>
      <c r="K109" s="13">
        <v>0.35496</v>
      </c>
      <c r="L109" s="7" t="s">
        <v>477</v>
      </c>
    </row>
    <row r="110" spans="1:12">
      <c r="A110" s="42" t="s">
        <v>77</v>
      </c>
      <c r="B110" s="3" t="s">
        <v>68</v>
      </c>
      <c r="C110" s="3">
        <v>234</v>
      </c>
      <c r="D110" s="1"/>
      <c r="E110" s="12" t="s">
        <v>17</v>
      </c>
      <c r="F110" s="7" t="s">
        <v>15</v>
      </c>
      <c r="G110" s="7" t="s">
        <v>60</v>
      </c>
      <c r="H110" s="11">
        <v>22.93</v>
      </c>
      <c r="I110" s="8">
        <v>6</v>
      </c>
      <c r="J110" s="19">
        <v>1</v>
      </c>
      <c r="K110" s="13">
        <v>0.13757999999999998</v>
      </c>
      <c r="L110" s="7" t="s">
        <v>477</v>
      </c>
    </row>
    <row r="111" spans="1:12">
      <c r="A111" s="42" t="s">
        <v>77</v>
      </c>
      <c r="B111" s="3" t="s">
        <v>68</v>
      </c>
      <c r="C111" s="3">
        <v>234</v>
      </c>
      <c r="D111" s="1"/>
      <c r="E111" s="12" t="s">
        <v>17</v>
      </c>
      <c r="F111" s="7" t="s">
        <v>15</v>
      </c>
      <c r="G111" s="7" t="s">
        <v>60</v>
      </c>
      <c r="H111" s="11">
        <v>22.93</v>
      </c>
      <c r="I111" s="8">
        <v>6.9</v>
      </c>
      <c r="J111" s="19">
        <v>1</v>
      </c>
      <c r="K111" s="13">
        <v>0.15821700000000002</v>
      </c>
      <c r="L111" s="7" t="s">
        <v>477</v>
      </c>
    </row>
    <row r="112" spans="1:12">
      <c r="A112" s="42" t="s">
        <v>77</v>
      </c>
      <c r="B112" s="3" t="s">
        <v>68</v>
      </c>
      <c r="C112" s="3">
        <v>234</v>
      </c>
      <c r="D112" s="1"/>
      <c r="E112" s="12" t="s">
        <v>17</v>
      </c>
      <c r="F112" s="7" t="s">
        <v>15</v>
      </c>
      <c r="G112" s="7" t="s">
        <v>60</v>
      </c>
      <c r="H112" s="11">
        <v>22.93</v>
      </c>
      <c r="I112" s="8">
        <v>9.5</v>
      </c>
      <c r="J112" s="19">
        <v>1</v>
      </c>
      <c r="K112" s="13">
        <v>0.217835</v>
      </c>
      <c r="L112" s="7" t="s">
        <v>477</v>
      </c>
    </row>
    <row r="113" spans="1:12">
      <c r="A113" s="42" t="s">
        <v>77</v>
      </c>
      <c r="B113" s="3" t="s">
        <v>68</v>
      </c>
      <c r="C113" s="3">
        <v>234</v>
      </c>
      <c r="D113" s="1"/>
      <c r="E113" s="12" t="s">
        <v>17</v>
      </c>
      <c r="F113" s="7" t="s">
        <v>15</v>
      </c>
      <c r="G113" s="7" t="s">
        <v>60</v>
      </c>
      <c r="H113" s="11">
        <v>22.93</v>
      </c>
      <c r="I113" s="8">
        <v>10.5</v>
      </c>
      <c r="J113" s="19">
        <v>1</v>
      </c>
      <c r="K113" s="13">
        <v>0.24076499999999998</v>
      </c>
      <c r="L113" s="7" t="s">
        <v>477</v>
      </c>
    </row>
    <row r="114" spans="1:12">
      <c r="A114" s="42" t="s">
        <v>77</v>
      </c>
      <c r="B114" s="3" t="s">
        <v>68</v>
      </c>
      <c r="C114" s="3">
        <v>235</v>
      </c>
      <c r="D114" s="1"/>
      <c r="E114" s="12" t="s">
        <v>17</v>
      </c>
      <c r="F114" s="7" t="s">
        <v>15</v>
      </c>
      <c r="G114" s="7" t="s">
        <v>60</v>
      </c>
      <c r="H114" s="11">
        <v>22.93</v>
      </c>
      <c r="I114" s="8">
        <v>5.25</v>
      </c>
      <c r="J114" s="19">
        <v>1</v>
      </c>
      <c r="K114" s="13">
        <v>0.12038249999999999</v>
      </c>
      <c r="L114" s="7" t="s">
        <v>477</v>
      </c>
    </row>
    <row r="115" spans="1:12">
      <c r="A115" s="42" t="s">
        <v>77</v>
      </c>
      <c r="B115" s="3" t="s">
        <v>68</v>
      </c>
      <c r="C115" s="3">
        <v>235</v>
      </c>
      <c r="D115" s="1"/>
      <c r="E115" s="12" t="s">
        <v>17</v>
      </c>
      <c r="F115" s="7" t="s">
        <v>15</v>
      </c>
      <c r="G115" s="7" t="s">
        <v>60</v>
      </c>
      <c r="H115" s="11">
        <v>22.93</v>
      </c>
      <c r="I115" s="8">
        <v>6</v>
      </c>
      <c r="J115" s="19">
        <v>1</v>
      </c>
      <c r="K115" s="13">
        <v>0.13757999999999998</v>
      </c>
      <c r="L115" s="7" t="s">
        <v>477</v>
      </c>
    </row>
    <row r="116" spans="1:12">
      <c r="A116" s="42" t="s">
        <v>77</v>
      </c>
      <c r="B116" s="3" t="s">
        <v>68</v>
      </c>
      <c r="C116" s="3">
        <v>235</v>
      </c>
      <c r="D116" s="1"/>
      <c r="E116" s="12" t="s">
        <v>17</v>
      </c>
      <c r="F116" s="7" t="s">
        <v>15</v>
      </c>
      <c r="G116" s="7" t="s">
        <v>60</v>
      </c>
      <c r="H116" s="11">
        <v>22.93</v>
      </c>
      <c r="I116" s="8">
        <v>10.1</v>
      </c>
      <c r="J116" s="19">
        <v>1</v>
      </c>
      <c r="K116" s="13">
        <v>0.23159299999999999</v>
      </c>
      <c r="L116" s="7" t="s">
        <v>477</v>
      </c>
    </row>
    <row r="117" spans="1:12">
      <c r="A117" s="42" t="s">
        <v>77</v>
      </c>
      <c r="B117" s="3" t="s">
        <v>68</v>
      </c>
      <c r="C117" s="3">
        <v>236</v>
      </c>
      <c r="D117" s="1"/>
      <c r="E117" s="38" t="s">
        <v>63</v>
      </c>
      <c r="F117" s="7" t="s">
        <v>15</v>
      </c>
      <c r="G117" s="1" t="s">
        <v>37</v>
      </c>
      <c r="H117" s="11">
        <v>18.149999999999999</v>
      </c>
      <c r="I117" s="36">
        <v>9</v>
      </c>
      <c r="J117" s="19">
        <v>1</v>
      </c>
      <c r="K117" s="13">
        <v>0.16335</v>
      </c>
      <c r="L117" s="7" t="s">
        <v>477</v>
      </c>
    </row>
    <row r="118" spans="1:12">
      <c r="A118" s="42" t="s">
        <v>77</v>
      </c>
      <c r="B118" s="3" t="s">
        <v>68</v>
      </c>
      <c r="C118" s="3">
        <v>236</v>
      </c>
      <c r="D118" s="1"/>
      <c r="E118" s="38" t="s">
        <v>63</v>
      </c>
      <c r="F118" s="7" t="s">
        <v>15</v>
      </c>
      <c r="G118" s="1" t="s">
        <v>37</v>
      </c>
      <c r="H118" s="11">
        <v>18.149999999999999</v>
      </c>
      <c r="I118" s="36">
        <v>9.3000000000000007</v>
      </c>
      <c r="J118" s="19">
        <v>1</v>
      </c>
      <c r="K118" s="13">
        <v>0.168795</v>
      </c>
      <c r="L118" s="7" t="s">
        <v>477</v>
      </c>
    </row>
    <row r="119" spans="1:12">
      <c r="A119" s="42" t="s">
        <v>77</v>
      </c>
      <c r="B119" s="3" t="s">
        <v>68</v>
      </c>
      <c r="C119" s="3">
        <v>237</v>
      </c>
      <c r="D119" s="1"/>
      <c r="E119" s="38" t="s">
        <v>19</v>
      </c>
      <c r="F119" s="1" t="s">
        <v>14</v>
      </c>
      <c r="G119" s="1" t="s">
        <v>40</v>
      </c>
      <c r="H119" s="11">
        <v>16.5</v>
      </c>
      <c r="I119" s="8">
        <v>7</v>
      </c>
      <c r="J119" s="19">
        <v>1</v>
      </c>
      <c r="K119" s="13">
        <v>0.11550000000000001</v>
      </c>
      <c r="L119" s="7" t="s">
        <v>477</v>
      </c>
    </row>
    <row r="120" spans="1:12">
      <c r="A120" s="42" t="s">
        <v>77</v>
      </c>
      <c r="B120" s="3" t="s">
        <v>68</v>
      </c>
      <c r="C120" s="3">
        <v>238</v>
      </c>
      <c r="D120" s="1"/>
      <c r="E120" s="12" t="s">
        <v>20</v>
      </c>
      <c r="F120" s="7" t="s">
        <v>15</v>
      </c>
      <c r="G120" s="7" t="s">
        <v>45</v>
      </c>
      <c r="H120" s="11">
        <v>13.6</v>
      </c>
      <c r="I120" s="8">
        <v>6.5</v>
      </c>
      <c r="J120" s="19">
        <v>2</v>
      </c>
      <c r="K120" s="13">
        <v>0.17679999999999998</v>
      </c>
      <c r="L120" s="7" t="s">
        <v>477</v>
      </c>
    </row>
    <row r="121" spans="1:12">
      <c r="A121" s="42" t="s">
        <v>77</v>
      </c>
      <c r="B121" s="3" t="s">
        <v>68</v>
      </c>
      <c r="C121" s="3">
        <v>239</v>
      </c>
      <c r="D121" s="1"/>
      <c r="E121" s="59" t="s">
        <v>20</v>
      </c>
      <c r="F121" s="60" t="s">
        <v>15</v>
      </c>
      <c r="G121" s="60" t="s">
        <v>35</v>
      </c>
      <c r="H121" s="61">
        <v>16.579999999999998</v>
      </c>
      <c r="I121" s="21">
        <v>11.4</v>
      </c>
      <c r="J121" s="64">
        <v>1</v>
      </c>
      <c r="K121" s="65">
        <v>0.18901200000000001</v>
      </c>
      <c r="L121" s="7" t="s">
        <v>477</v>
      </c>
    </row>
    <row r="122" spans="1:12">
      <c r="A122" s="42" t="s">
        <v>77</v>
      </c>
      <c r="B122" s="3" t="s">
        <v>68</v>
      </c>
      <c r="C122" s="3">
        <v>241</v>
      </c>
      <c r="D122" s="1"/>
      <c r="E122" s="12" t="s">
        <v>19</v>
      </c>
      <c r="F122" s="7" t="s">
        <v>14</v>
      </c>
      <c r="G122" s="7" t="s">
        <v>40</v>
      </c>
      <c r="H122" s="11">
        <v>16.5</v>
      </c>
      <c r="I122" s="8">
        <v>6.7</v>
      </c>
      <c r="J122" s="19">
        <v>1</v>
      </c>
      <c r="K122" s="13">
        <v>0.11055</v>
      </c>
      <c r="L122" s="7" t="s">
        <v>477</v>
      </c>
    </row>
    <row r="123" spans="1:12">
      <c r="A123" s="42" t="s">
        <v>77</v>
      </c>
      <c r="B123" s="3" t="s">
        <v>68</v>
      </c>
      <c r="C123" s="3">
        <v>241</v>
      </c>
      <c r="D123" s="1"/>
      <c r="E123" s="12" t="s">
        <v>19</v>
      </c>
      <c r="F123" s="7" t="s">
        <v>14</v>
      </c>
      <c r="G123" s="7" t="s">
        <v>40</v>
      </c>
      <c r="H123" s="11">
        <v>16.5</v>
      </c>
      <c r="I123" s="8">
        <v>6.9</v>
      </c>
      <c r="J123" s="19">
        <v>2</v>
      </c>
      <c r="K123" s="13">
        <v>0.22770000000000001</v>
      </c>
      <c r="L123" s="7" t="s">
        <v>477</v>
      </c>
    </row>
    <row r="124" spans="1:12">
      <c r="A124" s="42" t="s">
        <v>77</v>
      </c>
      <c r="B124" s="3" t="s">
        <v>68</v>
      </c>
      <c r="C124" s="3">
        <v>241</v>
      </c>
      <c r="D124" s="1"/>
      <c r="E124" s="12" t="s">
        <v>19</v>
      </c>
      <c r="F124" s="7" t="s">
        <v>14</v>
      </c>
      <c r="G124" s="7" t="s">
        <v>40</v>
      </c>
      <c r="H124" s="11">
        <v>16.5</v>
      </c>
      <c r="I124" s="8">
        <v>8.5</v>
      </c>
      <c r="J124" s="19">
        <v>1</v>
      </c>
      <c r="K124" s="13">
        <v>0.14025000000000001</v>
      </c>
      <c r="L124" s="7" t="s">
        <v>477</v>
      </c>
    </row>
    <row r="125" spans="1:12">
      <c r="A125" s="42" t="s">
        <v>77</v>
      </c>
      <c r="B125" s="3" t="s">
        <v>68</v>
      </c>
      <c r="C125" s="3">
        <v>242</v>
      </c>
      <c r="D125" s="1"/>
      <c r="E125" s="12" t="s">
        <v>19</v>
      </c>
      <c r="F125" s="7" t="s">
        <v>14</v>
      </c>
      <c r="G125" s="7" t="s">
        <v>40</v>
      </c>
      <c r="H125" s="11">
        <v>16.5</v>
      </c>
      <c r="I125" s="8">
        <v>7.3</v>
      </c>
      <c r="J125" s="19">
        <v>3</v>
      </c>
      <c r="K125" s="13">
        <v>0.36134999999999995</v>
      </c>
      <c r="L125" s="7" t="s">
        <v>477</v>
      </c>
    </row>
    <row r="126" spans="1:12">
      <c r="A126" s="42" t="s">
        <v>77</v>
      </c>
      <c r="B126" s="3" t="s">
        <v>68</v>
      </c>
      <c r="C126" s="3">
        <v>246</v>
      </c>
      <c r="D126" s="1"/>
      <c r="E126" s="12" t="s">
        <v>19</v>
      </c>
      <c r="F126" s="7" t="s">
        <v>14</v>
      </c>
      <c r="G126" s="7" t="s">
        <v>40</v>
      </c>
      <c r="H126" s="11">
        <v>16.5</v>
      </c>
      <c r="I126" s="8">
        <v>11.9</v>
      </c>
      <c r="J126" s="19">
        <v>3</v>
      </c>
      <c r="K126" s="13">
        <v>0.58905000000000007</v>
      </c>
      <c r="L126" s="7" t="s">
        <v>477</v>
      </c>
    </row>
    <row r="127" spans="1:12">
      <c r="A127" s="42" t="s">
        <v>77</v>
      </c>
      <c r="B127" s="3" t="s">
        <v>68</v>
      </c>
      <c r="C127" s="3">
        <v>246</v>
      </c>
      <c r="D127" s="1"/>
      <c r="E127" s="12" t="s">
        <v>19</v>
      </c>
      <c r="F127" s="7" t="s">
        <v>14</v>
      </c>
      <c r="G127" s="7" t="s">
        <v>40</v>
      </c>
      <c r="H127" s="11">
        <v>16.5</v>
      </c>
      <c r="I127" s="8">
        <v>11.8</v>
      </c>
      <c r="J127" s="19">
        <v>1</v>
      </c>
      <c r="K127" s="13">
        <v>0.19470000000000001</v>
      </c>
      <c r="L127" s="7" t="s">
        <v>477</v>
      </c>
    </row>
    <row r="128" spans="1:12">
      <c r="A128" s="42" t="s">
        <v>77</v>
      </c>
      <c r="B128" s="3" t="s">
        <v>68</v>
      </c>
      <c r="C128" s="3">
        <v>247</v>
      </c>
      <c r="D128" s="1"/>
      <c r="E128" s="12" t="s">
        <v>19</v>
      </c>
      <c r="F128" s="7" t="s">
        <v>14</v>
      </c>
      <c r="G128" s="7" t="s">
        <v>34</v>
      </c>
      <c r="H128" s="11">
        <v>9.61</v>
      </c>
      <c r="I128" s="8">
        <v>12</v>
      </c>
      <c r="J128" s="19">
        <v>1</v>
      </c>
      <c r="K128" s="13">
        <v>0.11531999999999999</v>
      </c>
      <c r="L128" s="7" t="s">
        <v>477</v>
      </c>
    </row>
    <row r="129" spans="1:12">
      <c r="A129" s="42" t="s">
        <v>77</v>
      </c>
      <c r="B129" s="3" t="s">
        <v>68</v>
      </c>
      <c r="C129" s="3">
        <v>248</v>
      </c>
      <c r="D129" s="1"/>
      <c r="E129" s="12" t="s">
        <v>19</v>
      </c>
      <c r="F129" s="7" t="s">
        <v>14</v>
      </c>
      <c r="G129" s="7" t="s">
        <v>32</v>
      </c>
      <c r="H129" s="11">
        <v>8.3000000000000007</v>
      </c>
      <c r="I129" s="8">
        <v>11.6</v>
      </c>
      <c r="J129" s="19">
        <v>1</v>
      </c>
      <c r="K129" s="13">
        <v>9.6280000000000004E-2</v>
      </c>
      <c r="L129" s="7" t="s">
        <v>477</v>
      </c>
    </row>
    <row r="130" spans="1:12">
      <c r="A130" s="42" t="s">
        <v>77</v>
      </c>
      <c r="B130" s="3" t="s">
        <v>68</v>
      </c>
      <c r="C130" s="3">
        <v>249</v>
      </c>
      <c r="D130" s="1"/>
      <c r="E130" s="12" t="s">
        <v>20</v>
      </c>
      <c r="F130" s="7" t="s">
        <v>15</v>
      </c>
      <c r="G130" s="7" t="s">
        <v>61</v>
      </c>
      <c r="H130" s="11">
        <v>19.68</v>
      </c>
      <c r="I130" s="8">
        <v>12</v>
      </c>
      <c r="J130" s="19">
        <v>2</v>
      </c>
      <c r="K130" s="13">
        <v>0.47232000000000002</v>
      </c>
      <c r="L130" s="7" t="s">
        <v>477</v>
      </c>
    </row>
    <row r="131" spans="1:12">
      <c r="A131" s="42" t="s">
        <v>77</v>
      </c>
      <c r="B131" s="3" t="s">
        <v>68</v>
      </c>
      <c r="C131" s="3">
        <v>251</v>
      </c>
      <c r="D131" s="1"/>
      <c r="E131" s="12" t="s">
        <v>20</v>
      </c>
      <c r="F131" s="7" t="s">
        <v>15</v>
      </c>
      <c r="G131" s="7" t="s">
        <v>41</v>
      </c>
      <c r="H131" s="11">
        <v>11.8</v>
      </c>
      <c r="I131" s="8">
        <v>6.2</v>
      </c>
      <c r="J131" s="19">
        <v>1</v>
      </c>
      <c r="K131" s="13">
        <v>7.3160000000000017E-2</v>
      </c>
      <c r="L131" s="7" t="s">
        <v>477</v>
      </c>
    </row>
    <row r="132" spans="1:12">
      <c r="A132" s="42" t="s">
        <v>77</v>
      </c>
      <c r="B132" s="3" t="s">
        <v>68</v>
      </c>
      <c r="C132" s="3">
        <v>251</v>
      </c>
      <c r="D132" s="1"/>
      <c r="E132" s="12" t="s">
        <v>20</v>
      </c>
      <c r="F132" s="7" t="s">
        <v>15</v>
      </c>
      <c r="G132" s="7" t="s">
        <v>41</v>
      </c>
      <c r="H132" s="11">
        <v>11.8</v>
      </c>
      <c r="I132" s="8">
        <v>6.4</v>
      </c>
      <c r="J132" s="19">
        <v>1</v>
      </c>
      <c r="K132" s="13">
        <v>7.5520000000000004E-2</v>
      </c>
      <c r="L132" s="7" t="s">
        <v>477</v>
      </c>
    </row>
    <row r="133" spans="1:12">
      <c r="A133" s="42" t="s">
        <v>77</v>
      </c>
      <c r="B133" s="3" t="s">
        <v>68</v>
      </c>
      <c r="C133" s="3">
        <v>252</v>
      </c>
      <c r="D133" s="1"/>
      <c r="E133" s="12" t="s">
        <v>20</v>
      </c>
      <c r="F133" s="7" t="s">
        <v>15</v>
      </c>
      <c r="G133" s="7" t="s">
        <v>53</v>
      </c>
      <c r="H133" s="11">
        <v>35.840000000000003</v>
      </c>
      <c r="I133" s="8">
        <v>6</v>
      </c>
      <c r="J133" s="19">
        <v>1</v>
      </c>
      <c r="K133" s="13">
        <v>0.21504000000000001</v>
      </c>
      <c r="L133" s="7" t="s">
        <v>477</v>
      </c>
    </row>
    <row r="134" spans="1:12">
      <c r="A134" s="42" t="s">
        <v>77</v>
      </c>
      <c r="B134" s="3" t="s">
        <v>68</v>
      </c>
      <c r="C134" s="3">
        <v>253</v>
      </c>
      <c r="D134" s="1"/>
      <c r="E134" s="12" t="s">
        <v>20</v>
      </c>
      <c r="F134" s="7" t="s">
        <v>15</v>
      </c>
      <c r="G134" s="7" t="s">
        <v>52</v>
      </c>
      <c r="H134" s="11">
        <v>17.829999999999998</v>
      </c>
      <c r="I134" s="8">
        <v>11.9</v>
      </c>
      <c r="J134" s="19">
        <v>1</v>
      </c>
      <c r="K134" s="13">
        <v>0.212177</v>
      </c>
      <c r="L134" s="7" t="s">
        <v>477</v>
      </c>
    </row>
    <row r="135" spans="1:12">
      <c r="A135" s="42" t="s">
        <v>77</v>
      </c>
      <c r="B135" s="3" t="s">
        <v>68</v>
      </c>
      <c r="C135" s="3">
        <v>254</v>
      </c>
      <c r="D135" s="1"/>
      <c r="E135" s="12" t="s">
        <v>20</v>
      </c>
      <c r="F135" s="7" t="s">
        <v>15</v>
      </c>
      <c r="G135" s="7" t="s">
        <v>42</v>
      </c>
      <c r="H135" s="11">
        <v>19.72</v>
      </c>
      <c r="I135" s="8">
        <v>6.6</v>
      </c>
      <c r="J135" s="19">
        <v>1</v>
      </c>
      <c r="K135" s="13">
        <v>0.13015199999999999</v>
      </c>
      <c r="L135" s="7" t="s">
        <v>477</v>
      </c>
    </row>
    <row r="136" spans="1:12">
      <c r="A136" s="42" t="s">
        <v>77</v>
      </c>
      <c r="B136" s="3" t="s">
        <v>68</v>
      </c>
      <c r="C136" s="3">
        <v>255</v>
      </c>
      <c r="D136" s="1"/>
      <c r="E136" s="12" t="s">
        <v>20</v>
      </c>
      <c r="F136" s="7" t="s">
        <v>15</v>
      </c>
      <c r="G136" s="7" t="s">
        <v>54</v>
      </c>
      <c r="H136" s="11">
        <v>31.6</v>
      </c>
      <c r="I136" s="8">
        <v>4</v>
      </c>
      <c r="J136" s="19">
        <v>1</v>
      </c>
      <c r="K136" s="13">
        <v>0.12640000000000001</v>
      </c>
      <c r="L136" s="7" t="s">
        <v>477</v>
      </c>
    </row>
    <row r="137" spans="1:12">
      <c r="A137" s="42" t="s">
        <v>77</v>
      </c>
      <c r="B137" s="3" t="s">
        <v>68</v>
      </c>
      <c r="C137" s="3">
        <v>258</v>
      </c>
      <c r="D137" s="1"/>
      <c r="E137" s="12" t="s">
        <v>17</v>
      </c>
      <c r="F137" s="7" t="s">
        <v>15</v>
      </c>
      <c r="G137" s="7" t="s">
        <v>16</v>
      </c>
      <c r="H137" s="11">
        <v>5.77</v>
      </c>
      <c r="I137" s="8">
        <v>8.4</v>
      </c>
      <c r="J137" s="19">
        <v>1</v>
      </c>
      <c r="K137" s="13">
        <v>4.8467999999999997E-2</v>
      </c>
      <c r="L137" s="7" t="s">
        <v>477</v>
      </c>
    </row>
    <row r="138" spans="1:12">
      <c r="A138" s="42" t="s">
        <v>77</v>
      </c>
      <c r="B138" s="3" t="s">
        <v>68</v>
      </c>
      <c r="C138" s="3">
        <v>258</v>
      </c>
      <c r="D138" s="1"/>
      <c r="E138" s="12" t="s">
        <v>17</v>
      </c>
      <c r="F138" s="7" t="s">
        <v>15</v>
      </c>
      <c r="G138" s="7" t="s">
        <v>16</v>
      </c>
      <c r="H138" s="11">
        <v>5.77</v>
      </c>
      <c r="I138" s="8">
        <v>9.6</v>
      </c>
      <c r="J138" s="19">
        <v>1</v>
      </c>
      <c r="K138" s="13">
        <v>5.5391999999999997E-2</v>
      </c>
      <c r="L138" s="7" t="s">
        <v>477</v>
      </c>
    </row>
    <row r="139" spans="1:12">
      <c r="A139" s="42" t="s">
        <v>77</v>
      </c>
      <c r="B139" s="3" t="s">
        <v>68</v>
      </c>
      <c r="C139" s="3">
        <v>4</v>
      </c>
      <c r="D139" s="1"/>
      <c r="E139" s="12" t="s">
        <v>24</v>
      </c>
      <c r="F139" s="7" t="s">
        <v>14</v>
      </c>
      <c r="G139" s="7" t="s">
        <v>21</v>
      </c>
      <c r="H139" s="11">
        <v>6.97</v>
      </c>
      <c r="I139" s="8">
        <v>9.8000000000000007</v>
      </c>
      <c r="J139" s="19">
        <v>3</v>
      </c>
      <c r="K139" s="13">
        <v>0.20491800000000002</v>
      </c>
      <c r="L139" s="7" t="s">
        <v>477</v>
      </c>
    </row>
    <row r="140" spans="1:12">
      <c r="A140" s="42" t="s">
        <v>77</v>
      </c>
      <c r="B140" s="3" t="s">
        <v>68</v>
      </c>
      <c r="C140" s="3">
        <v>4</v>
      </c>
      <c r="D140" s="1"/>
      <c r="E140" s="12" t="s">
        <v>24</v>
      </c>
      <c r="F140" s="7" t="s">
        <v>14</v>
      </c>
      <c r="G140" s="7" t="s">
        <v>21</v>
      </c>
      <c r="H140" s="11">
        <v>6.97</v>
      </c>
      <c r="I140" s="8">
        <v>9.5</v>
      </c>
      <c r="J140" s="19">
        <v>1</v>
      </c>
      <c r="K140" s="13">
        <v>6.621500000000001E-2</v>
      </c>
      <c r="L140" s="7" t="s">
        <v>477</v>
      </c>
    </row>
    <row r="141" spans="1:12">
      <c r="A141" s="42" t="s">
        <v>77</v>
      </c>
      <c r="B141" s="3" t="s">
        <v>68</v>
      </c>
      <c r="C141" s="3">
        <v>4</v>
      </c>
      <c r="D141" s="1"/>
      <c r="E141" s="12" t="s">
        <v>24</v>
      </c>
      <c r="F141" s="7" t="s">
        <v>14</v>
      </c>
      <c r="G141" s="7" t="s">
        <v>21</v>
      </c>
      <c r="H141" s="11">
        <v>6.97</v>
      </c>
      <c r="I141" s="8">
        <v>9.6</v>
      </c>
      <c r="J141" s="19">
        <v>1</v>
      </c>
      <c r="K141" s="13">
        <v>6.6911999999999985E-2</v>
      </c>
      <c r="L141" s="7" t="s">
        <v>477</v>
      </c>
    </row>
    <row r="142" spans="1:12">
      <c r="A142" s="42" t="s">
        <v>77</v>
      </c>
      <c r="B142" s="3" t="s">
        <v>68</v>
      </c>
      <c r="C142" s="3">
        <v>4</v>
      </c>
      <c r="D142" s="1"/>
      <c r="E142" s="12" t="s">
        <v>24</v>
      </c>
      <c r="F142" s="7" t="s">
        <v>14</v>
      </c>
      <c r="G142" s="7" t="s">
        <v>21</v>
      </c>
      <c r="H142" s="11">
        <v>6.97</v>
      </c>
      <c r="I142" s="8">
        <v>9.1999999999999993</v>
      </c>
      <c r="J142" s="19">
        <v>3</v>
      </c>
      <c r="K142" s="13">
        <v>0.19237199999999999</v>
      </c>
      <c r="L142" s="7" t="s">
        <v>477</v>
      </c>
    </row>
    <row r="143" spans="1:12">
      <c r="A143" s="42" t="s">
        <v>77</v>
      </c>
      <c r="B143" s="3" t="s">
        <v>68</v>
      </c>
      <c r="C143" s="3">
        <v>4</v>
      </c>
      <c r="D143" s="1"/>
      <c r="E143" s="12" t="s">
        <v>24</v>
      </c>
      <c r="F143" s="7" t="s">
        <v>14</v>
      </c>
      <c r="G143" s="7" t="s">
        <v>21</v>
      </c>
      <c r="H143" s="11">
        <v>6.97</v>
      </c>
      <c r="I143" s="8">
        <v>7.5</v>
      </c>
      <c r="J143" s="19">
        <v>2</v>
      </c>
      <c r="K143" s="13">
        <v>0.10455</v>
      </c>
      <c r="L143" s="7" t="s">
        <v>477</v>
      </c>
    </row>
    <row r="144" spans="1:12">
      <c r="A144" s="42" t="s">
        <v>77</v>
      </c>
      <c r="B144" s="3" t="s">
        <v>68</v>
      </c>
      <c r="C144" s="3">
        <v>4</v>
      </c>
      <c r="D144" s="1"/>
      <c r="E144" s="12" t="s">
        <v>24</v>
      </c>
      <c r="F144" s="7" t="s">
        <v>14</v>
      </c>
      <c r="G144" s="7" t="s">
        <v>21</v>
      </c>
      <c r="H144" s="11">
        <v>6.97</v>
      </c>
      <c r="I144" s="8">
        <v>9</v>
      </c>
      <c r="J144" s="19">
        <v>2</v>
      </c>
      <c r="K144" s="13">
        <v>0.12545999999999999</v>
      </c>
      <c r="L144" s="7" t="s">
        <v>477</v>
      </c>
    </row>
    <row r="145" spans="1:12">
      <c r="A145" s="42" t="s">
        <v>77</v>
      </c>
      <c r="B145" s="3" t="s">
        <v>68</v>
      </c>
      <c r="C145" s="3">
        <v>294</v>
      </c>
      <c r="D145" s="1"/>
      <c r="E145" s="12" t="s">
        <v>17</v>
      </c>
      <c r="F145" s="7" t="s">
        <v>15</v>
      </c>
      <c r="G145" s="7" t="s">
        <v>30</v>
      </c>
      <c r="H145" s="11">
        <v>9.26</v>
      </c>
      <c r="I145" s="184">
        <v>6.75</v>
      </c>
      <c r="J145" s="19">
        <v>33</v>
      </c>
      <c r="K145" s="13">
        <v>2.062665</v>
      </c>
      <c r="L145" s="7" t="s">
        <v>477</v>
      </c>
    </row>
    <row r="146" spans="1:12">
      <c r="A146" s="42" t="s">
        <v>77</v>
      </c>
      <c r="B146" s="3" t="s">
        <v>68</v>
      </c>
      <c r="C146" s="3">
        <v>299</v>
      </c>
      <c r="D146" s="1"/>
      <c r="E146" s="12" t="s">
        <v>17</v>
      </c>
      <c r="F146" s="7" t="s">
        <v>15</v>
      </c>
      <c r="G146" s="7" t="s">
        <v>30</v>
      </c>
      <c r="H146" s="11">
        <v>9.26</v>
      </c>
      <c r="I146" s="184">
        <v>6.75</v>
      </c>
      <c r="J146" s="19">
        <v>24</v>
      </c>
      <c r="K146" s="13">
        <v>1.5001199999999999</v>
      </c>
      <c r="L146" s="7" t="s">
        <v>477</v>
      </c>
    </row>
    <row r="147" spans="1:12">
      <c r="A147" s="42" t="s">
        <v>77</v>
      </c>
      <c r="B147" s="3" t="s">
        <v>68</v>
      </c>
      <c r="C147" s="3">
        <v>2</v>
      </c>
      <c r="D147" s="1"/>
      <c r="E147" s="12" t="s">
        <v>17</v>
      </c>
      <c r="F147" s="7" t="s">
        <v>15</v>
      </c>
      <c r="G147" s="7" t="s">
        <v>27</v>
      </c>
      <c r="H147" s="11">
        <v>6.17</v>
      </c>
      <c r="I147" s="8">
        <v>7.25</v>
      </c>
      <c r="J147" s="19">
        <v>2</v>
      </c>
      <c r="K147" s="13">
        <v>8.9465000000000003E-2</v>
      </c>
      <c r="L147" s="7" t="s">
        <v>477</v>
      </c>
    </row>
    <row r="148" spans="1:12">
      <c r="A148" s="42" t="s">
        <v>77</v>
      </c>
      <c r="B148" s="3" t="s">
        <v>68</v>
      </c>
      <c r="C148" s="3">
        <v>319</v>
      </c>
      <c r="D148" s="1"/>
      <c r="E148" s="12" t="s">
        <v>17</v>
      </c>
      <c r="F148" s="7" t="s">
        <v>15</v>
      </c>
      <c r="G148" s="7" t="s">
        <v>32</v>
      </c>
      <c r="H148" s="11">
        <v>8.32</v>
      </c>
      <c r="I148" s="8">
        <v>11.6</v>
      </c>
      <c r="J148" s="19">
        <v>1</v>
      </c>
      <c r="K148" s="13">
        <v>9.6512000000000001E-2</v>
      </c>
      <c r="L148" s="7" t="s">
        <v>477</v>
      </c>
    </row>
    <row r="149" spans="1:12">
      <c r="A149" s="42" t="s">
        <v>77</v>
      </c>
      <c r="B149" s="3" t="s">
        <v>68</v>
      </c>
      <c r="C149" s="3">
        <v>322</v>
      </c>
      <c r="D149" s="1" t="s">
        <v>384</v>
      </c>
      <c r="E149" s="12" t="s">
        <v>17</v>
      </c>
      <c r="F149" s="7" t="s">
        <v>15</v>
      </c>
      <c r="G149" s="7" t="s">
        <v>43</v>
      </c>
      <c r="H149" s="11">
        <v>15.04</v>
      </c>
      <c r="I149" s="8">
        <v>5.7</v>
      </c>
      <c r="J149" s="19">
        <v>2</v>
      </c>
      <c r="K149" s="13">
        <v>0.171456</v>
      </c>
      <c r="L149" s="7" t="s">
        <v>477</v>
      </c>
    </row>
    <row r="150" spans="1:12">
      <c r="A150" s="42" t="s">
        <v>77</v>
      </c>
      <c r="B150" s="3" t="s">
        <v>68</v>
      </c>
      <c r="C150" s="3">
        <v>322</v>
      </c>
      <c r="D150" s="1" t="s">
        <v>384</v>
      </c>
      <c r="E150" s="12" t="s">
        <v>17</v>
      </c>
      <c r="F150" s="7" t="s">
        <v>15</v>
      </c>
      <c r="G150" s="7" t="s">
        <v>43</v>
      </c>
      <c r="H150" s="11">
        <v>15.04</v>
      </c>
      <c r="I150" s="8">
        <v>5.8</v>
      </c>
      <c r="J150" s="19">
        <v>1</v>
      </c>
      <c r="K150" s="13">
        <v>8.7232000000000004E-2</v>
      </c>
      <c r="L150" s="7" t="s">
        <v>477</v>
      </c>
    </row>
    <row r="151" spans="1:12">
      <c r="A151" s="42" t="s">
        <v>77</v>
      </c>
      <c r="B151" s="3" t="s">
        <v>68</v>
      </c>
      <c r="C151" s="3">
        <v>322</v>
      </c>
      <c r="D151" s="1" t="s">
        <v>384</v>
      </c>
      <c r="E151" s="12" t="s">
        <v>17</v>
      </c>
      <c r="F151" s="7" t="s">
        <v>15</v>
      </c>
      <c r="G151" s="7" t="s">
        <v>43</v>
      </c>
      <c r="H151" s="11">
        <v>15.04</v>
      </c>
      <c r="I151" s="8">
        <v>5.9</v>
      </c>
      <c r="J151" s="19">
        <v>1</v>
      </c>
      <c r="K151" s="13">
        <v>8.8736000000000009E-2</v>
      </c>
      <c r="L151" s="7" t="s">
        <v>477</v>
      </c>
    </row>
    <row r="152" spans="1:12">
      <c r="A152" s="42" t="s">
        <v>77</v>
      </c>
      <c r="B152" s="3" t="s">
        <v>68</v>
      </c>
      <c r="C152" s="3">
        <v>382</v>
      </c>
      <c r="D152" s="1"/>
      <c r="E152" s="12" t="s">
        <v>24</v>
      </c>
      <c r="F152" s="7" t="s">
        <v>14</v>
      </c>
      <c r="G152" s="7" t="s">
        <v>21</v>
      </c>
      <c r="H152" s="11">
        <v>6.97</v>
      </c>
      <c r="I152" s="8">
        <v>7.1</v>
      </c>
      <c r="J152" s="19">
        <v>1</v>
      </c>
      <c r="K152" s="13">
        <v>4.9486999999999996E-2</v>
      </c>
      <c r="L152" s="7" t="s">
        <v>477</v>
      </c>
    </row>
    <row r="153" spans="1:12">
      <c r="A153" s="42" t="s">
        <v>84</v>
      </c>
      <c r="B153" s="3" t="s">
        <v>121</v>
      </c>
      <c r="C153" s="3">
        <v>5</v>
      </c>
      <c r="D153" s="1"/>
      <c r="E153" s="12" t="s">
        <v>24</v>
      </c>
      <c r="F153" s="7" t="s">
        <v>14</v>
      </c>
      <c r="G153" s="7" t="s">
        <v>25</v>
      </c>
      <c r="H153" s="11">
        <v>7.34</v>
      </c>
      <c r="I153" s="8">
        <v>6.5</v>
      </c>
      <c r="J153" s="19">
        <v>1</v>
      </c>
      <c r="K153" s="13">
        <v>4.7710000000000002E-2</v>
      </c>
      <c r="L153" s="7" t="s">
        <v>477</v>
      </c>
    </row>
    <row r="154" spans="1:12">
      <c r="A154" s="42" t="s">
        <v>84</v>
      </c>
      <c r="B154" s="3" t="s">
        <v>121</v>
      </c>
      <c r="C154" s="3">
        <v>5</v>
      </c>
      <c r="D154" s="1"/>
      <c r="E154" s="12" t="s">
        <v>24</v>
      </c>
      <c r="F154" s="7" t="s">
        <v>14</v>
      </c>
      <c r="G154" s="7" t="s">
        <v>25</v>
      </c>
      <c r="H154" s="11">
        <v>7.34</v>
      </c>
      <c r="I154" s="8">
        <v>6.4</v>
      </c>
      <c r="J154" s="19">
        <v>1</v>
      </c>
      <c r="K154" s="13">
        <v>4.6975999999999997E-2</v>
      </c>
      <c r="L154" s="7" t="s">
        <v>477</v>
      </c>
    </row>
    <row r="155" spans="1:12">
      <c r="A155" s="42" t="s">
        <v>84</v>
      </c>
      <c r="B155" s="3" t="s">
        <v>121</v>
      </c>
      <c r="C155" s="3">
        <v>5</v>
      </c>
      <c r="D155" s="1"/>
      <c r="E155" s="12" t="s">
        <v>24</v>
      </c>
      <c r="F155" s="7" t="s">
        <v>14</v>
      </c>
      <c r="G155" s="7" t="s">
        <v>25</v>
      </c>
      <c r="H155" s="11">
        <v>7.34</v>
      </c>
      <c r="I155" s="8">
        <v>7.4</v>
      </c>
      <c r="J155" s="19">
        <v>4</v>
      </c>
      <c r="K155" s="13">
        <v>0.21726400000000001</v>
      </c>
      <c r="L155" s="7" t="s">
        <v>477</v>
      </c>
    </row>
    <row r="156" spans="1:12">
      <c r="A156" s="42" t="s">
        <v>77</v>
      </c>
      <c r="B156" s="3" t="s">
        <v>68</v>
      </c>
      <c r="C156" s="3">
        <v>396</v>
      </c>
      <c r="D156" s="1"/>
      <c r="E156" s="12" t="s">
        <v>75</v>
      </c>
      <c r="F156" s="7" t="s">
        <v>15</v>
      </c>
      <c r="G156" s="7" t="s">
        <v>55</v>
      </c>
      <c r="H156" s="11">
        <v>4.6500000000000004</v>
      </c>
      <c r="I156" s="8">
        <v>9.5</v>
      </c>
      <c r="J156" s="19">
        <v>2</v>
      </c>
      <c r="K156" s="13">
        <v>8.8350000000000012E-2</v>
      </c>
      <c r="L156" s="7" t="s">
        <v>477</v>
      </c>
    </row>
    <row r="157" spans="1:12">
      <c r="A157" s="42" t="s">
        <v>77</v>
      </c>
      <c r="B157" s="3" t="s">
        <v>68</v>
      </c>
      <c r="C157" s="3">
        <v>396</v>
      </c>
      <c r="D157" s="1"/>
      <c r="E157" s="12" t="s">
        <v>75</v>
      </c>
      <c r="F157" s="7" t="s">
        <v>15</v>
      </c>
      <c r="G157" s="7" t="s">
        <v>55</v>
      </c>
      <c r="H157" s="11">
        <v>4.6500000000000004</v>
      </c>
      <c r="I157" s="8">
        <v>12</v>
      </c>
      <c r="J157" s="19">
        <v>2</v>
      </c>
      <c r="K157" s="13">
        <v>0.1116</v>
      </c>
      <c r="L157" s="7" t="s">
        <v>477</v>
      </c>
    </row>
    <row r="158" spans="1:12">
      <c r="A158" s="42" t="s">
        <v>77</v>
      </c>
      <c r="B158" s="3" t="s">
        <v>68</v>
      </c>
      <c r="C158" s="3">
        <v>398</v>
      </c>
      <c r="D158" s="1"/>
      <c r="E158" s="12" t="s">
        <v>17</v>
      </c>
      <c r="F158" s="7" t="s">
        <v>15</v>
      </c>
      <c r="G158" s="7" t="s">
        <v>32</v>
      </c>
      <c r="H158" s="11">
        <v>8.32</v>
      </c>
      <c r="I158" s="8">
        <v>6.4</v>
      </c>
      <c r="J158" s="19">
        <v>1</v>
      </c>
      <c r="K158" s="13">
        <v>5.3248000000000004E-2</v>
      </c>
      <c r="L158" s="7" t="s">
        <v>477</v>
      </c>
    </row>
    <row r="159" spans="1:12">
      <c r="A159" s="42" t="s">
        <v>77</v>
      </c>
      <c r="B159" s="3" t="s">
        <v>68</v>
      </c>
      <c r="C159" s="3">
        <v>413</v>
      </c>
      <c r="D159" s="1"/>
      <c r="E159" s="12" t="s">
        <v>17</v>
      </c>
      <c r="F159" s="7" t="s">
        <v>15</v>
      </c>
      <c r="G159" s="7" t="s">
        <v>21</v>
      </c>
      <c r="H159" s="11">
        <v>6.97</v>
      </c>
      <c r="I159" s="8">
        <v>7.5</v>
      </c>
      <c r="J159" s="19">
        <v>2</v>
      </c>
      <c r="K159" s="13">
        <v>0.10455</v>
      </c>
      <c r="L159" s="7" t="s">
        <v>477</v>
      </c>
    </row>
    <row r="160" spans="1:12">
      <c r="A160" s="42" t="s">
        <v>77</v>
      </c>
      <c r="B160" s="3" t="s">
        <v>68</v>
      </c>
      <c r="C160" s="3">
        <v>421</v>
      </c>
      <c r="D160" s="1"/>
      <c r="E160" s="12" t="s">
        <v>24</v>
      </c>
      <c r="F160" s="7" t="s">
        <v>14</v>
      </c>
      <c r="G160" s="7" t="s">
        <v>27</v>
      </c>
      <c r="H160" s="11">
        <v>6.17</v>
      </c>
      <c r="I160" s="8">
        <v>12</v>
      </c>
      <c r="J160" s="19">
        <v>4</v>
      </c>
      <c r="K160" s="13">
        <v>0.29615999999999998</v>
      </c>
      <c r="L160" s="7" t="s">
        <v>477</v>
      </c>
    </row>
    <row r="161" spans="1:12">
      <c r="A161" s="42" t="s">
        <v>77</v>
      </c>
      <c r="B161" s="3" t="s">
        <v>68</v>
      </c>
      <c r="C161" s="3">
        <v>424</v>
      </c>
      <c r="D161" s="1"/>
      <c r="E161" s="12" t="s">
        <v>24</v>
      </c>
      <c r="F161" s="7" t="s">
        <v>14</v>
      </c>
      <c r="G161" s="7" t="s">
        <v>27</v>
      </c>
      <c r="H161" s="11">
        <v>6.17</v>
      </c>
      <c r="I161" s="8">
        <v>7.5</v>
      </c>
      <c r="J161" s="19">
        <v>2</v>
      </c>
      <c r="K161" s="13">
        <v>9.2549999999999993E-2</v>
      </c>
      <c r="L161" s="7" t="s">
        <v>477</v>
      </c>
    </row>
    <row r="162" spans="1:12">
      <c r="A162" s="42" t="s">
        <v>77</v>
      </c>
      <c r="B162" s="3" t="s">
        <v>68</v>
      </c>
      <c r="C162" s="3">
        <v>424</v>
      </c>
      <c r="D162" s="1"/>
      <c r="E162" s="12" t="s">
        <v>24</v>
      </c>
      <c r="F162" s="7" t="s">
        <v>14</v>
      </c>
      <c r="G162" s="7" t="s">
        <v>27</v>
      </c>
      <c r="H162" s="11">
        <v>6.17</v>
      </c>
      <c r="I162" s="8">
        <v>10</v>
      </c>
      <c r="J162" s="19">
        <v>1</v>
      </c>
      <c r="K162" s="13">
        <v>6.1700000000000005E-2</v>
      </c>
      <c r="L162" s="7" t="s">
        <v>477</v>
      </c>
    </row>
    <row r="163" spans="1:12">
      <c r="A163" s="42"/>
      <c r="B163" s="3"/>
      <c r="C163" s="3"/>
      <c r="D163" s="1"/>
      <c r="E163" s="12" t="s">
        <v>24</v>
      </c>
      <c r="F163" s="7" t="s">
        <v>14</v>
      </c>
      <c r="G163" s="7" t="s">
        <v>27</v>
      </c>
      <c r="H163" s="11">
        <v>6.17</v>
      </c>
      <c r="I163" s="8">
        <v>6.7</v>
      </c>
      <c r="J163" s="19">
        <v>1</v>
      </c>
      <c r="K163" s="13">
        <v>4.1339000000000001E-2</v>
      </c>
      <c r="L163" s="7" t="s">
        <v>477</v>
      </c>
    </row>
    <row r="164" spans="1:12">
      <c r="A164" s="42" t="s">
        <v>77</v>
      </c>
      <c r="B164" s="3" t="s">
        <v>68</v>
      </c>
      <c r="C164" s="3">
        <v>426</v>
      </c>
      <c r="D164" s="1"/>
      <c r="E164" s="12" t="s">
        <v>17</v>
      </c>
      <c r="F164" s="7" t="s">
        <v>15</v>
      </c>
      <c r="G164" s="7" t="s">
        <v>34</v>
      </c>
      <c r="H164" s="11">
        <v>9.61</v>
      </c>
      <c r="I164" s="8">
        <v>6.1</v>
      </c>
      <c r="J164" s="19">
        <v>1</v>
      </c>
      <c r="K164" s="13">
        <v>5.8620999999999993E-2</v>
      </c>
      <c r="L164" s="7" t="s">
        <v>477</v>
      </c>
    </row>
    <row r="165" spans="1:12">
      <c r="A165" s="42" t="s">
        <v>77</v>
      </c>
      <c r="B165" s="3" t="s">
        <v>68</v>
      </c>
      <c r="C165" s="3">
        <v>426</v>
      </c>
      <c r="D165" s="1"/>
      <c r="E165" s="12" t="s">
        <v>17</v>
      </c>
      <c r="F165" s="7" t="s">
        <v>15</v>
      </c>
      <c r="G165" s="7" t="s">
        <v>34</v>
      </c>
      <c r="H165" s="11">
        <v>9.61</v>
      </c>
      <c r="I165" s="8">
        <v>8</v>
      </c>
      <c r="J165" s="19">
        <v>1</v>
      </c>
      <c r="K165" s="13">
        <v>7.687999999999999E-2</v>
      </c>
      <c r="L165" s="7" t="s">
        <v>477</v>
      </c>
    </row>
    <row r="166" spans="1:12">
      <c r="A166" s="42" t="s">
        <v>77</v>
      </c>
      <c r="B166" s="3" t="s">
        <v>68</v>
      </c>
      <c r="C166" s="3">
        <v>429</v>
      </c>
      <c r="D166" s="1"/>
      <c r="E166" s="12" t="s">
        <v>17</v>
      </c>
      <c r="F166" s="7" t="s">
        <v>15</v>
      </c>
      <c r="G166" s="7" t="s">
        <v>29</v>
      </c>
      <c r="H166" s="11">
        <v>10.92</v>
      </c>
      <c r="I166" s="8">
        <v>9.5</v>
      </c>
      <c r="J166" s="19">
        <v>1</v>
      </c>
      <c r="K166" s="13">
        <v>0.10374</v>
      </c>
      <c r="L166" s="7" t="s">
        <v>477</v>
      </c>
    </row>
    <row r="167" spans="1:12">
      <c r="A167" s="42" t="s">
        <v>77</v>
      </c>
      <c r="B167" s="3" t="s">
        <v>68</v>
      </c>
      <c r="C167" s="3">
        <v>446</v>
      </c>
      <c r="D167" s="1"/>
      <c r="E167" s="12" t="s">
        <v>24</v>
      </c>
      <c r="F167" s="7" t="s">
        <v>14</v>
      </c>
      <c r="G167" s="7" t="s">
        <v>21</v>
      </c>
      <c r="H167" s="11">
        <v>6.97</v>
      </c>
      <c r="I167" s="8">
        <v>9</v>
      </c>
      <c r="J167" s="19">
        <v>1</v>
      </c>
      <c r="K167" s="13">
        <v>6.2729999999999994E-2</v>
      </c>
      <c r="L167" s="7" t="s">
        <v>477</v>
      </c>
    </row>
    <row r="168" spans="1:12">
      <c r="A168" s="42" t="s">
        <v>77</v>
      </c>
      <c r="B168" s="3" t="s">
        <v>68</v>
      </c>
      <c r="C168" s="3">
        <v>446</v>
      </c>
      <c r="D168" s="1"/>
      <c r="E168" s="12" t="s">
        <v>24</v>
      </c>
      <c r="F168" s="7" t="s">
        <v>14</v>
      </c>
      <c r="G168" s="7" t="s">
        <v>21</v>
      </c>
      <c r="H168" s="11">
        <v>6.97</v>
      </c>
      <c r="I168" s="8">
        <v>7</v>
      </c>
      <c r="J168" s="19">
        <v>2</v>
      </c>
      <c r="K168" s="13">
        <v>9.758E-2</v>
      </c>
      <c r="L168" s="7" t="s">
        <v>477</v>
      </c>
    </row>
    <row r="169" spans="1:12">
      <c r="A169" s="42" t="s">
        <v>77</v>
      </c>
      <c r="B169" s="3" t="s">
        <v>68</v>
      </c>
      <c r="C169" s="3">
        <v>446</v>
      </c>
      <c r="D169" s="1"/>
      <c r="E169" s="12" t="s">
        <v>24</v>
      </c>
      <c r="F169" s="7" t="s">
        <v>14</v>
      </c>
      <c r="G169" s="7" t="s">
        <v>21</v>
      </c>
      <c r="H169" s="11">
        <v>6.97</v>
      </c>
      <c r="I169" s="8">
        <v>6</v>
      </c>
      <c r="J169" s="19">
        <v>1</v>
      </c>
      <c r="K169" s="13">
        <v>4.1820000000000003E-2</v>
      </c>
      <c r="L169" s="7" t="s">
        <v>477</v>
      </c>
    </row>
    <row r="170" spans="1:12">
      <c r="A170" s="42" t="s">
        <v>77</v>
      </c>
      <c r="B170" s="3" t="s">
        <v>68</v>
      </c>
      <c r="C170" s="3">
        <v>422</v>
      </c>
      <c r="D170" s="1"/>
      <c r="E170" s="12" t="s">
        <v>17</v>
      </c>
      <c r="F170" s="7" t="s">
        <v>15</v>
      </c>
      <c r="G170" s="7" t="s">
        <v>21</v>
      </c>
      <c r="H170" s="11">
        <v>6.97</v>
      </c>
      <c r="I170" s="8">
        <v>7.85</v>
      </c>
      <c r="J170" s="19">
        <v>1</v>
      </c>
      <c r="K170" s="13">
        <v>5.4714499999999992E-2</v>
      </c>
      <c r="L170" s="7" t="s">
        <v>477</v>
      </c>
    </row>
    <row r="171" spans="1:12">
      <c r="A171" s="48" t="s">
        <v>168</v>
      </c>
      <c r="B171" s="48" t="s">
        <v>169</v>
      </c>
      <c r="C171" s="7">
        <v>1</v>
      </c>
      <c r="D171" s="7"/>
      <c r="E171" s="48" t="s">
        <v>19</v>
      </c>
      <c r="F171" s="48" t="s">
        <v>14</v>
      </c>
      <c r="G171" s="48" t="s">
        <v>32</v>
      </c>
      <c r="H171" s="11">
        <v>8.3000000000000007</v>
      </c>
      <c r="I171" s="52">
        <v>12</v>
      </c>
      <c r="J171" s="19">
        <v>1</v>
      </c>
      <c r="K171" s="13">
        <v>9.9600000000000008E-2</v>
      </c>
      <c r="L171" s="7" t="s">
        <v>477</v>
      </c>
    </row>
    <row r="172" spans="1:12">
      <c r="A172" s="48" t="s">
        <v>168</v>
      </c>
      <c r="B172" s="48" t="s">
        <v>169</v>
      </c>
      <c r="C172" s="7">
        <v>3</v>
      </c>
      <c r="D172" s="7"/>
      <c r="E172" s="48" t="s">
        <v>20</v>
      </c>
      <c r="F172" s="48" t="s">
        <v>15</v>
      </c>
      <c r="G172" s="48" t="s">
        <v>29</v>
      </c>
      <c r="H172" s="11">
        <v>10.92</v>
      </c>
      <c r="I172" s="52">
        <v>12</v>
      </c>
      <c r="J172" s="19">
        <v>2</v>
      </c>
      <c r="K172" s="13">
        <v>0.26207999999999998</v>
      </c>
      <c r="L172" s="7" t="s">
        <v>477</v>
      </c>
    </row>
    <row r="173" spans="1:12">
      <c r="A173" s="48" t="s">
        <v>168</v>
      </c>
      <c r="B173" s="48" t="s">
        <v>169</v>
      </c>
      <c r="C173" s="7">
        <v>4</v>
      </c>
      <c r="D173" s="7"/>
      <c r="E173" s="48" t="s">
        <v>20</v>
      </c>
      <c r="F173" s="48" t="s">
        <v>15</v>
      </c>
      <c r="G173" s="48" t="s">
        <v>44</v>
      </c>
      <c r="H173" s="11">
        <v>13.4</v>
      </c>
      <c r="I173" s="52">
        <v>11.75</v>
      </c>
      <c r="J173" s="19">
        <v>1</v>
      </c>
      <c r="K173" s="13">
        <v>0.15745000000000001</v>
      </c>
      <c r="L173" s="7" t="s">
        <v>477</v>
      </c>
    </row>
    <row r="174" spans="1:12">
      <c r="A174" s="48" t="s">
        <v>168</v>
      </c>
      <c r="B174" s="48" t="s">
        <v>169</v>
      </c>
      <c r="C174" s="7">
        <v>5</v>
      </c>
      <c r="D174" s="7"/>
      <c r="E174" s="48" t="s">
        <v>20</v>
      </c>
      <c r="F174" s="48" t="s">
        <v>15</v>
      </c>
      <c r="G174" s="48" t="s">
        <v>18</v>
      </c>
      <c r="H174" s="11">
        <v>6.86</v>
      </c>
      <c r="I174" s="52">
        <v>8.75</v>
      </c>
      <c r="J174" s="19">
        <v>1</v>
      </c>
      <c r="K174" s="13">
        <v>6.0025000000000009E-2</v>
      </c>
      <c r="L174" s="7" t="s">
        <v>477</v>
      </c>
    </row>
    <row r="175" spans="1:12">
      <c r="A175" s="48" t="s">
        <v>168</v>
      </c>
      <c r="B175" s="48" t="s">
        <v>169</v>
      </c>
      <c r="C175" s="7">
        <v>6</v>
      </c>
      <c r="D175" s="7"/>
      <c r="E175" s="48" t="s">
        <v>19</v>
      </c>
      <c r="F175" s="48" t="s">
        <v>14</v>
      </c>
      <c r="G175" s="48" t="s">
        <v>39</v>
      </c>
      <c r="H175" s="11">
        <v>14.66</v>
      </c>
      <c r="I175" s="52">
        <v>8.6999999999999993</v>
      </c>
      <c r="J175" s="19">
        <v>1</v>
      </c>
      <c r="K175" s="13">
        <v>0.12754199999999999</v>
      </c>
      <c r="L175" s="7" t="s">
        <v>477</v>
      </c>
    </row>
    <row r="176" spans="1:12">
      <c r="A176" s="48" t="s">
        <v>168</v>
      </c>
      <c r="B176" s="48" t="s">
        <v>169</v>
      </c>
      <c r="C176" s="7">
        <v>7</v>
      </c>
      <c r="D176" s="7"/>
      <c r="E176" s="48" t="s">
        <v>20</v>
      </c>
      <c r="F176" s="48" t="s">
        <v>15</v>
      </c>
      <c r="G176" s="48" t="s">
        <v>43</v>
      </c>
      <c r="H176" s="11">
        <v>15.04</v>
      </c>
      <c r="I176" s="52">
        <v>10.4</v>
      </c>
      <c r="J176" s="19">
        <v>2</v>
      </c>
      <c r="K176" s="13">
        <v>0.312832</v>
      </c>
      <c r="L176" s="7" t="s">
        <v>477</v>
      </c>
    </row>
    <row r="177" spans="1:12">
      <c r="A177" s="48" t="s">
        <v>168</v>
      </c>
      <c r="B177" s="48" t="s">
        <v>169</v>
      </c>
      <c r="C177" s="7">
        <v>7</v>
      </c>
      <c r="D177" s="7"/>
      <c r="E177" s="48" t="s">
        <v>20</v>
      </c>
      <c r="F177" s="48" t="s">
        <v>15</v>
      </c>
      <c r="G177" s="48" t="s">
        <v>43</v>
      </c>
      <c r="H177" s="11">
        <v>15.04</v>
      </c>
      <c r="I177" s="52">
        <v>8.3000000000000007</v>
      </c>
      <c r="J177" s="19">
        <v>1</v>
      </c>
      <c r="K177" s="13">
        <v>0.12483200000000001</v>
      </c>
      <c r="L177" s="7" t="s">
        <v>477</v>
      </c>
    </row>
    <row r="178" spans="1:12">
      <c r="A178" s="48" t="s">
        <v>168</v>
      </c>
      <c r="B178" s="48" t="s">
        <v>169</v>
      </c>
      <c r="C178" s="7">
        <v>8</v>
      </c>
      <c r="D178" s="7"/>
      <c r="E178" s="48" t="s">
        <v>19</v>
      </c>
      <c r="F178" s="48" t="s">
        <v>14</v>
      </c>
      <c r="G178" s="48" t="s">
        <v>34</v>
      </c>
      <c r="H178" s="11">
        <v>9.61</v>
      </c>
      <c r="I178" s="52">
        <v>9</v>
      </c>
      <c r="J178" s="19">
        <v>1</v>
      </c>
      <c r="K178" s="13">
        <v>8.6489999999999997E-2</v>
      </c>
      <c r="L178" s="7" t="s">
        <v>477</v>
      </c>
    </row>
    <row r="179" spans="1:12">
      <c r="A179" s="48" t="s">
        <v>168</v>
      </c>
      <c r="B179" s="48" t="s">
        <v>169</v>
      </c>
      <c r="C179" s="7">
        <v>9</v>
      </c>
      <c r="D179" s="7"/>
      <c r="E179" s="48" t="s">
        <v>20</v>
      </c>
      <c r="F179" s="48" t="s">
        <v>15</v>
      </c>
      <c r="G179" s="48" t="s">
        <v>170</v>
      </c>
      <c r="H179" s="53">
        <v>7.39</v>
      </c>
      <c r="I179" s="52">
        <v>12</v>
      </c>
      <c r="J179" s="19">
        <v>2</v>
      </c>
      <c r="K179" s="13">
        <v>0.17735999999999999</v>
      </c>
      <c r="L179" s="7" t="s">
        <v>477</v>
      </c>
    </row>
    <row r="180" spans="1:12">
      <c r="A180" s="48" t="s">
        <v>168</v>
      </c>
      <c r="B180" s="48" t="s">
        <v>169</v>
      </c>
      <c r="C180" s="7">
        <v>9</v>
      </c>
      <c r="D180" s="7"/>
      <c r="E180" s="48" t="s">
        <v>20</v>
      </c>
      <c r="F180" s="48" t="s">
        <v>15</v>
      </c>
      <c r="G180" s="48" t="s">
        <v>170</v>
      </c>
      <c r="H180" s="53">
        <v>7.39</v>
      </c>
      <c r="I180" s="52">
        <v>8</v>
      </c>
      <c r="J180" s="19">
        <v>1</v>
      </c>
      <c r="K180" s="13">
        <v>5.9119999999999999E-2</v>
      </c>
      <c r="L180" s="7" t="s">
        <v>477</v>
      </c>
    </row>
    <row r="181" spans="1:12">
      <c r="A181" s="48" t="s">
        <v>168</v>
      </c>
      <c r="B181" s="48" t="s">
        <v>169</v>
      </c>
      <c r="C181" s="7">
        <v>10</v>
      </c>
      <c r="D181" s="7"/>
      <c r="E181" s="48" t="s">
        <v>19</v>
      </c>
      <c r="F181" s="48" t="s">
        <v>14</v>
      </c>
      <c r="G181" s="48" t="s">
        <v>149</v>
      </c>
      <c r="H181" s="53">
        <v>6.39</v>
      </c>
      <c r="I181" s="52">
        <v>12</v>
      </c>
      <c r="J181" s="19">
        <v>1</v>
      </c>
      <c r="K181" s="13">
        <v>7.6679999999999998E-2</v>
      </c>
      <c r="L181" s="7" t="s">
        <v>477</v>
      </c>
    </row>
    <row r="182" spans="1:12">
      <c r="A182" s="48" t="s">
        <v>168</v>
      </c>
      <c r="B182" s="48" t="s">
        <v>169</v>
      </c>
      <c r="C182" s="7">
        <v>11</v>
      </c>
      <c r="D182" s="7"/>
      <c r="E182" s="48" t="s">
        <v>20</v>
      </c>
      <c r="F182" s="48" t="s">
        <v>15</v>
      </c>
      <c r="G182" s="48" t="s">
        <v>16</v>
      </c>
      <c r="H182" s="11">
        <v>5.77</v>
      </c>
      <c r="I182" s="52">
        <v>6.3</v>
      </c>
      <c r="J182" s="19">
        <v>1</v>
      </c>
      <c r="K182" s="13">
        <v>3.6351000000000001E-2</v>
      </c>
      <c r="L182" s="7" t="s">
        <v>477</v>
      </c>
    </row>
    <row r="183" spans="1:12">
      <c r="A183" s="48" t="s">
        <v>168</v>
      </c>
      <c r="B183" s="48" t="s">
        <v>169</v>
      </c>
      <c r="C183" s="7">
        <v>12</v>
      </c>
      <c r="D183" s="7"/>
      <c r="E183" s="48" t="s">
        <v>20</v>
      </c>
      <c r="F183" s="48" t="s">
        <v>15</v>
      </c>
      <c r="G183" s="48" t="s">
        <v>32</v>
      </c>
      <c r="H183" s="11">
        <v>8.3000000000000007</v>
      </c>
      <c r="I183" s="52">
        <v>10</v>
      </c>
      <c r="J183" s="19">
        <v>2</v>
      </c>
      <c r="K183" s="13">
        <v>0.16600000000000001</v>
      </c>
      <c r="L183" s="7" t="s">
        <v>477</v>
      </c>
    </row>
    <row r="184" spans="1:12">
      <c r="A184" s="48" t="s">
        <v>168</v>
      </c>
      <c r="B184" s="48" t="s">
        <v>169</v>
      </c>
      <c r="C184" s="7">
        <v>12</v>
      </c>
      <c r="D184" s="7"/>
      <c r="E184" s="48" t="s">
        <v>20</v>
      </c>
      <c r="F184" s="48" t="s">
        <v>15</v>
      </c>
      <c r="G184" s="48" t="s">
        <v>32</v>
      </c>
      <c r="H184" s="11">
        <v>8.3000000000000007</v>
      </c>
      <c r="I184" s="52">
        <v>10.1</v>
      </c>
      <c r="J184" s="19">
        <v>1</v>
      </c>
      <c r="K184" s="13">
        <v>8.3830000000000002E-2</v>
      </c>
      <c r="L184" s="7" t="s">
        <v>477</v>
      </c>
    </row>
    <row r="185" spans="1:12">
      <c r="A185" s="48" t="s">
        <v>168</v>
      </c>
      <c r="B185" s="48" t="s">
        <v>169</v>
      </c>
      <c r="C185" s="7">
        <v>13</v>
      </c>
      <c r="D185" s="7"/>
      <c r="E185" s="48" t="s">
        <v>20</v>
      </c>
      <c r="F185" s="48" t="s">
        <v>15</v>
      </c>
      <c r="G185" s="48" t="s">
        <v>149</v>
      </c>
      <c r="H185" s="53">
        <v>6.39</v>
      </c>
      <c r="I185" s="52">
        <v>6.5</v>
      </c>
      <c r="J185" s="19">
        <v>1</v>
      </c>
      <c r="K185" s="13">
        <v>4.1534999999999996E-2</v>
      </c>
      <c r="L185" s="7" t="s">
        <v>477</v>
      </c>
    </row>
    <row r="186" spans="1:12">
      <c r="A186" s="48" t="s">
        <v>168</v>
      </c>
      <c r="B186" s="48" t="s">
        <v>169</v>
      </c>
      <c r="C186" s="7">
        <v>15</v>
      </c>
      <c r="D186" s="7"/>
      <c r="E186" s="48" t="s">
        <v>19</v>
      </c>
      <c r="F186" s="48" t="s">
        <v>14</v>
      </c>
      <c r="G186" s="48" t="s">
        <v>18</v>
      </c>
      <c r="H186" s="11">
        <v>6.86</v>
      </c>
      <c r="I186" s="52">
        <v>6.6</v>
      </c>
      <c r="J186" s="19">
        <v>1</v>
      </c>
      <c r="K186" s="13">
        <v>4.5275999999999997E-2</v>
      </c>
      <c r="L186" s="7" t="s">
        <v>477</v>
      </c>
    </row>
    <row r="187" spans="1:12">
      <c r="A187" s="48" t="s">
        <v>168</v>
      </c>
      <c r="B187" s="48" t="s">
        <v>169</v>
      </c>
      <c r="C187" s="7">
        <v>16</v>
      </c>
      <c r="D187" s="7"/>
      <c r="E187" s="48" t="s">
        <v>19</v>
      </c>
      <c r="F187" s="48" t="s">
        <v>14</v>
      </c>
      <c r="G187" s="48" t="s">
        <v>30</v>
      </c>
      <c r="H187" s="11">
        <v>9.26</v>
      </c>
      <c r="I187" s="8">
        <v>13.2</v>
      </c>
      <c r="J187" s="19">
        <v>1</v>
      </c>
      <c r="K187" s="13">
        <v>0.12223199999999998</v>
      </c>
      <c r="L187" s="7" t="s">
        <v>477</v>
      </c>
    </row>
    <row r="188" spans="1:12">
      <c r="A188" s="48" t="s">
        <v>179</v>
      </c>
      <c r="B188" s="48" t="s">
        <v>180</v>
      </c>
      <c r="C188" s="7"/>
      <c r="D188" s="7"/>
      <c r="E188" s="48" t="s">
        <v>63</v>
      </c>
      <c r="F188" s="48" t="s">
        <v>15</v>
      </c>
      <c r="G188" s="48" t="s">
        <v>60</v>
      </c>
      <c r="H188" s="11">
        <v>22.93</v>
      </c>
      <c r="I188" s="52">
        <v>9.5</v>
      </c>
      <c r="J188" s="19">
        <v>1</v>
      </c>
      <c r="K188" s="13">
        <v>0.217835</v>
      </c>
      <c r="L188" s="7" t="s">
        <v>477</v>
      </c>
    </row>
    <row r="189" spans="1:12">
      <c r="A189" s="48" t="s">
        <v>179</v>
      </c>
      <c r="B189" s="48" t="s">
        <v>180</v>
      </c>
      <c r="C189" s="7"/>
      <c r="D189" s="7"/>
      <c r="E189" s="48" t="s">
        <v>63</v>
      </c>
      <c r="F189" s="48" t="s">
        <v>15</v>
      </c>
      <c r="G189" s="48" t="s">
        <v>60</v>
      </c>
      <c r="H189" s="11">
        <v>22.93</v>
      </c>
      <c r="I189" s="52">
        <v>7.3</v>
      </c>
      <c r="J189" s="19">
        <v>1</v>
      </c>
      <c r="K189" s="13">
        <v>0.16738899999999998</v>
      </c>
      <c r="L189" s="7" t="s">
        <v>477</v>
      </c>
    </row>
    <row r="190" spans="1:12">
      <c r="A190" s="48" t="s">
        <v>179</v>
      </c>
      <c r="B190" s="48" t="s">
        <v>180</v>
      </c>
      <c r="C190" s="7"/>
      <c r="D190" s="7"/>
      <c r="E190" s="48" t="s">
        <v>152</v>
      </c>
      <c r="F190" s="48" t="s">
        <v>15</v>
      </c>
      <c r="G190" s="48" t="s">
        <v>60</v>
      </c>
      <c r="H190" s="11">
        <v>22.93</v>
      </c>
      <c r="I190" s="52">
        <v>4.9000000000000004</v>
      </c>
      <c r="J190" s="19">
        <v>1</v>
      </c>
      <c r="K190" s="13">
        <v>0.11235700000000001</v>
      </c>
      <c r="L190" s="7" t="s">
        <v>477</v>
      </c>
    </row>
    <row r="191" spans="1:12">
      <c r="A191" s="48" t="s">
        <v>179</v>
      </c>
      <c r="B191" s="48" t="s">
        <v>180</v>
      </c>
      <c r="C191" s="7"/>
      <c r="D191" s="7"/>
      <c r="E191" s="48" t="s">
        <v>152</v>
      </c>
      <c r="F191" s="48" t="s">
        <v>15</v>
      </c>
      <c r="G191" s="48" t="s">
        <v>50</v>
      </c>
      <c r="H191" s="11">
        <v>21.7</v>
      </c>
      <c r="I191" s="52">
        <v>11.3</v>
      </c>
      <c r="J191" s="19">
        <v>2</v>
      </c>
      <c r="K191" s="13">
        <v>0.49042000000000002</v>
      </c>
      <c r="L191" s="7" t="s">
        <v>477</v>
      </c>
    </row>
    <row r="192" spans="1:12">
      <c r="A192" s="48" t="s">
        <v>179</v>
      </c>
      <c r="B192" s="48" t="s">
        <v>180</v>
      </c>
      <c r="C192" s="7"/>
      <c r="D192" s="7"/>
      <c r="E192" s="48" t="s">
        <v>63</v>
      </c>
      <c r="F192" s="48" t="s">
        <v>15</v>
      </c>
      <c r="G192" s="48" t="s">
        <v>57</v>
      </c>
      <c r="H192" s="11">
        <v>33.72</v>
      </c>
      <c r="I192" s="52">
        <v>5.3</v>
      </c>
      <c r="J192" s="19">
        <v>1</v>
      </c>
      <c r="K192" s="13">
        <v>0.17871599999999999</v>
      </c>
      <c r="L192" s="7" t="s">
        <v>477</v>
      </c>
    </row>
    <row r="193" spans="1:12">
      <c r="A193" s="48" t="s">
        <v>179</v>
      </c>
      <c r="B193" s="48" t="s">
        <v>180</v>
      </c>
      <c r="C193" s="7"/>
      <c r="D193" s="7"/>
      <c r="E193" s="48" t="s">
        <v>63</v>
      </c>
      <c r="F193" s="48" t="s">
        <v>15</v>
      </c>
      <c r="G193" s="48" t="s">
        <v>57</v>
      </c>
      <c r="H193" s="11">
        <v>33.72</v>
      </c>
      <c r="I193" s="9">
        <v>8.5</v>
      </c>
      <c r="J193" s="106">
        <v>1</v>
      </c>
      <c r="K193" s="13">
        <v>0.28661999999999999</v>
      </c>
      <c r="L193" s="7" t="s">
        <v>477</v>
      </c>
    </row>
    <row r="194" spans="1:12">
      <c r="A194" s="48" t="s">
        <v>179</v>
      </c>
      <c r="B194" s="48" t="s">
        <v>180</v>
      </c>
      <c r="C194" s="7"/>
      <c r="D194" s="7"/>
      <c r="E194" s="48" t="s">
        <v>63</v>
      </c>
      <c r="F194" s="48" t="s">
        <v>15</v>
      </c>
      <c r="G194" s="48" t="s">
        <v>57</v>
      </c>
      <c r="H194" s="11">
        <v>33.72</v>
      </c>
      <c r="I194" s="9">
        <v>10</v>
      </c>
      <c r="J194" s="106">
        <v>1</v>
      </c>
      <c r="K194" s="13">
        <v>0.3372</v>
      </c>
      <c r="L194" s="7" t="s">
        <v>477</v>
      </c>
    </row>
    <row r="195" spans="1:12">
      <c r="A195" s="48" t="s">
        <v>179</v>
      </c>
      <c r="B195" s="48" t="s">
        <v>180</v>
      </c>
      <c r="C195" s="7"/>
      <c r="D195" s="7"/>
      <c r="E195" s="48" t="s">
        <v>63</v>
      </c>
      <c r="F195" s="48" t="s">
        <v>15</v>
      </c>
      <c r="G195" s="48" t="s">
        <v>57</v>
      </c>
      <c r="H195" s="11">
        <v>33.72</v>
      </c>
      <c r="I195" s="9">
        <v>10.199999999999999</v>
      </c>
      <c r="J195" s="106">
        <v>1</v>
      </c>
      <c r="K195" s="13">
        <v>0.34394399999999997</v>
      </c>
      <c r="L195" s="7" t="s">
        <v>477</v>
      </c>
    </row>
    <row r="196" spans="1:12">
      <c r="A196" s="48" t="s">
        <v>179</v>
      </c>
      <c r="B196" s="48" t="s">
        <v>180</v>
      </c>
      <c r="C196" s="7"/>
      <c r="D196" s="7"/>
      <c r="E196" s="48" t="s">
        <v>152</v>
      </c>
      <c r="F196" s="48" t="s">
        <v>15</v>
      </c>
      <c r="G196" s="48" t="s">
        <v>48</v>
      </c>
      <c r="H196" s="11">
        <v>23.6</v>
      </c>
      <c r="I196" s="9">
        <v>6.7</v>
      </c>
      <c r="J196" s="19">
        <v>2</v>
      </c>
      <c r="K196" s="13">
        <v>0.31624000000000002</v>
      </c>
      <c r="L196" s="7" t="s">
        <v>477</v>
      </c>
    </row>
    <row r="197" spans="1:12">
      <c r="A197" s="48" t="s">
        <v>179</v>
      </c>
      <c r="B197" s="48" t="s">
        <v>180</v>
      </c>
      <c r="C197" s="7"/>
      <c r="D197" s="7"/>
      <c r="E197" s="48" t="s">
        <v>152</v>
      </c>
      <c r="F197" s="48" t="s">
        <v>15</v>
      </c>
      <c r="G197" s="48" t="s">
        <v>64</v>
      </c>
      <c r="H197" s="11">
        <v>40.1</v>
      </c>
      <c r="I197" s="9">
        <v>6.1</v>
      </c>
      <c r="J197" s="19">
        <v>1</v>
      </c>
      <c r="K197" s="13">
        <v>0.24460999999999999</v>
      </c>
      <c r="L197" s="7" t="s">
        <v>477</v>
      </c>
    </row>
    <row r="198" spans="1:12">
      <c r="A198" s="48" t="s">
        <v>179</v>
      </c>
      <c r="B198" s="48" t="s">
        <v>180</v>
      </c>
      <c r="C198" s="7"/>
      <c r="D198" s="7"/>
      <c r="E198" s="48" t="s">
        <v>152</v>
      </c>
      <c r="F198" s="48" t="s">
        <v>15</v>
      </c>
      <c r="G198" s="48" t="s">
        <v>64</v>
      </c>
      <c r="H198" s="11">
        <v>40.1</v>
      </c>
      <c r="I198" s="9">
        <v>8.1999999999999993</v>
      </c>
      <c r="J198" s="19">
        <v>1</v>
      </c>
      <c r="K198" s="13">
        <v>0.32882</v>
      </c>
      <c r="L198" s="7" t="s">
        <v>477</v>
      </c>
    </row>
    <row r="199" spans="1:12">
      <c r="A199" s="48" t="s">
        <v>179</v>
      </c>
      <c r="B199" s="48" t="s">
        <v>180</v>
      </c>
      <c r="C199" s="7"/>
      <c r="D199" s="7"/>
      <c r="E199" s="48" t="s">
        <v>181</v>
      </c>
      <c r="F199" s="48" t="s">
        <v>15</v>
      </c>
      <c r="G199" s="48" t="s">
        <v>60</v>
      </c>
      <c r="H199" s="11">
        <v>22.93</v>
      </c>
      <c r="I199" s="9">
        <v>6</v>
      </c>
      <c r="J199" s="19">
        <v>2</v>
      </c>
      <c r="K199" s="13">
        <v>0.27515999999999996</v>
      </c>
      <c r="L199" s="7" t="s">
        <v>477</v>
      </c>
    </row>
    <row r="200" spans="1:12">
      <c r="A200" s="48" t="s">
        <v>179</v>
      </c>
      <c r="B200" s="48" t="s">
        <v>180</v>
      </c>
      <c r="C200" s="7"/>
      <c r="D200" s="7"/>
      <c r="E200" s="48" t="s">
        <v>152</v>
      </c>
      <c r="F200" s="48" t="s">
        <v>15</v>
      </c>
      <c r="G200" s="48" t="s">
        <v>60</v>
      </c>
      <c r="H200" s="11">
        <v>22.93</v>
      </c>
      <c r="I200" s="9">
        <v>6</v>
      </c>
      <c r="J200" s="19">
        <v>2</v>
      </c>
      <c r="K200" s="13">
        <v>0.27515999999999996</v>
      </c>
      <c r="L200" s="7" t="s">
        <v>477</v>
      </c>
    </row>
    <row r="201" spans="1:12">
      <c r="A201" s="48" t="s">
        <v>179</v>
      </c>
      <c r="B201" s="48" t="s">
        <v>180</v>
      </c>
      <c r="C201" s="7"/>
      <c r="D201" s="7"/>
      <c r="E201" s="48" t="s">
        <v>152</v>
      </c>
      <c r="F201" s="48" t="s">
        <v>15</v>
      </c>
      <c r="G201" s="48" t="s">
        <v>58</v>
      </c>
      <c r="H201" s="11">
        <v>27.29</v>
      </c>
      <c r="I201" s="9">
        <v>6</v>
      </c>
      <c r="J201" s="19">
        <v>2</v>
      </c>
      <c r="K201" s="13">
        <v>0.32747999999999999</v>
      </c>
      <c r="L201" s="7" t="s">
        <v>477</v>
      </c>
    </row>
    <row r="202" spans="1:12">
      <c r="A202" s="48" t="s">
        <v>179</v>
      </c>
      <c r="B202" s="48" t="s">
        <v>180</v>
      </c>
      <c r="C202" s="7"/>
      <c r="D202" s="7"/>
      <c r="E202" s="48" t="s">
        <v>19</v>
      </c>
      <c r="F202" s="48" t="s">
        <v>14</v>
      </c>
      <c r="G202" s="48" t="s">
        <v>39</v>
      </c>
      <c r="H202" s="11">
        <v>14.66</v>
      </c>
      <c r="I202" s="9">
        <v>11.6</v>
      </c>
      <c r="J202" s="19">
        <v>1</v>
      </c>
      <c r="K202" s="13">
        <v>0.17005599999999998</v>
      </c>
      <c r="L202" s="7" t="s">
        <v>477</v>
      </c>
    </row>
    <row r="203" spans="1:12">
      <c r="A203" s="48" t="s">
        <v>179</v>
      </c>
      <c r="B203" s="48" t="s">
        <v>180</v>
      </c>
      <c r="C203" s="7"/>
      <c r="D203" s="7"/>
      <c r="E203" s="48" t="s">
        <v>19</v>
      </c>
      <c r="F203" s="48" t="s">
        <v>14</v>
      </c>
      <c r="G203" s="48" t="s">
        <v>39</v>
      </c>
      <c r="H203" s="11">
        <v>14.66</v>
      </c>
      <c r="I203" s="9">
        <v>11.1</v>
      </c>
      <c r="J203" s="19">
        <v>1</v>
      </c>
      <c r="K203" s="13">
        <v>0.16272600000000001</v>
      </c>
      <c r="L203" s="7" t="s">
        <v>477</v>
      </c>
    </row>
    <row r="204" spans="1:12">
      <c r="A204" s="48" t="s">
        <v>179</v>
      </c>
      <c r="B204" s="48" t="s">
        <v>180</v>
      </c>
      <c r="C204" s="7"/>
      <c r="D204" s="7"/>
      <c r="E204" s="48" t="s">
        <v>24</v>
      </c>
      <c r="F204" s="48" t="s">
        <v>14</v>
      </c>
      <c r="G204" s="48" t="s">
        <v>21</v>
      </c>
      <c r="H204" s="11">
        <v>6.97</v>
      </c>
      <c r="I204" s="9">
        <v>11.8</v>
      </c>
      <c r="J204" s="19">
        <v>1</v>
      </c>
      <c r="K204" s="13">
        <v>8.2246E-2</v>
      </c>
      <c r="L204" s="7" t="s">
        <v>477</v>
      </c>
    </row>
    <row r="205" spans="1:12">
      <c r="A205" s="48" t="s">
        <v>179</v>
      </c>
      <c r="B205" s="48" t="s">
        <v>169</v>
      </c>
      <c r="C205" s="7"/>
      <c r="D205" s="7"/>
      <c r="E205" s="69" t="s">
        <v>152</v>
      </c>
      <c r="F205" s="69" t="s">
        <v>15</v>
      </c>
      <c r="G205" s="69" t="s">
        <v>30</v>
      </c>
      <c r="H205" s="61">
        <v>9.26</v>
      </c>
      <c r="I205" s="62">
        <v>8.5</v>
      </c>
      <c r="J205" s="64">
        <v>2</v>
      </c>
      <c r="K205" s="65">
        <v>0.15741999999999998</v>
      </c>
      <c r="L205" s="7" t="s">
        <v>477</v>
      </c>
    </row>
    <row r="206" spans="1:12">
      <c r="A206" s="48" t="s">
        <v>179</v>
      </c>
      <c r="B206" s="48" t="s">
        <v>169</v>
      </c>
      <c r="C206" s="7"/>
      <c r="D206" s="7"/>
      <c r="E206" s="69" t="s">
        <v>152</v>
      </c>
      <c r="F206" s="69" t="s">
        <v>15</v>
      </c>
      <c r="G206" s="69" t="s">
        <v>30</v>
      </c>
      <c r="H206" s="61">
        <v>9.26</v>
      </c>
      <c r="I206" s="62">
        <v>8.6</v>
      </c>
      <c r="J206" s="64">
        <v>3</v>
      </c>
      <c r="K206" s="65">
        <v>0.23890799999999995</v>
      </c>
      <c r="L206" s="7" t="s">
        <v>477</v>
      </c>
    </row>
    <row r="207" spans="1:12">
      <c r="A207" s="48" t="s">
        <v>179</v>
      </c>
      <c r="B207" s="48" t="s">
        <v>169</v>
      </c>
      <c r="C207" s="7"/>
      <c r="D207" s="7"/>
      <c r="E207" s="48" t="s">
        <v>152</v>
      </c>
      <c r="F207" s="48" t="s">
        <v>15</v>
      </c>
      <c r="G207" s="48" t="s">
        <v>182</v>
      </c>
      <c r="H207" s="53">
        <v>7.6</v>
      </c>
      <c r="I207" s="9">
        <v>11.6</v>
      </c>
      <c r="J207" s="19">
        <v>1</v>
      </c>
      <c r="K207" s="13">
        <v>8.8160000000000002E-2</v>
      </c>
      <c r="L207" s="7" t="s">
        <v>477</v>
      </c>
    </row>
    <row r="208" spans="1:12">
      <c r="A208" s="48" t="s">
        <v>179</v>
      </c>
      <c r="B208" s="48" t="s">
        <v>169</v>
      </c>
      <c r="C208" s="7"/>
      <c r="D208" s="7"/>
      <c r="E208" s="69" t="s">
        <v>19</v>
      </c>
      <c r="F208" s="69" t="s">
        <v>14</v>
      </c>
      <c r="G208" s="69" t="s">
        <v>154</v>
      </c>
      <c r="H208" s="105">
        <v>4.9800000000000004</v>
      </c>
      <c r="I208" s="99">
        <v>10</v>
      </c>
      <c r="J208" s="64">
        <v>1</v>
      </c>
      <c r="K208" s="65">
        <v>4.9800000000000004E-2</v>
      </c>
      <c r="L208" s="7" t="s">
        <v>477</v>
      </c>
    </row>
    <row r="209" spans="1:12">
      <c r="A209" s="48" t="s">
        <v>179</v>
      </c>
      <c r="B209" s="48" t="s">
        <v>169</v>
      </c>
      <c r="C209" s="7"/>
      <c r="D209" s="7"/>
      <c r="E209" s="69" t="s">
        <v>152</v>
      </c>
      <c r="F209" s="69" t="s">
        <v>15</v>
      </c>
      <c r="G209" s="69" t="s">
        <v>144</v>
      </c>
      <c r="H209" s="105">
        <v>5.38</v>
      </c>
      <c r="I209" s="99">
        <v>10</v>
      </c>
      <c r="J209" s="64">
        <v>1</v>
      </c>
      <c r="K209" s="65">
        <v>5.3800000000000001E-2</v>
      </c>
      <c r="L209" s="7" t="s">
        <v>477</v>
      </c>
    </row>
    <row r="210" spans="1:12">
      <c r="A210" s="48" t="s">
        <v>179</v>
      </c>
      <c r="B210" s="48" t="s">
        <v>169</v>
      </c>
      <c r="C210" s="7"/>
      <c r="D210" s="7"/>
      <c r="E210" s="69" t="s">
        <v>152</v>
      </c>
      <c r="F210" s="69" t="s">
        <v>15</v>
      </c>
      <c r="G210" s="69" t="s">
        <v>22</v>
      </c>
      <c r="H210" s="61">
        <v>10.73</v>
      </c>
      <c r="I210" s="99">
        <v>10.9</v>
      </c>
      <c r="J210" s="64">
        <v>3</v>
      </c>
      <c r="K210" s="65">
        <v>0.35087100000000004</v>
      </c>
      <c r="L210" s="7" t="s">
        <v>477</v>
      </c>
    </row>
    <row r="211" spans="1:12">
      <c r="A211" s="48" t="s">
        <v>179</v>
      </c>
      <c r="B211" s="48" t="s">
        <v>169</v>
      </c>
      <c r="C211" s="7"/>
      <c r="D211" s="7"/>
      <c r="E211" s="69" t="s">
        <v>152</v>
      </c>
      <c r="F211" s="69" t="s">
        <v>15</v>
      </c>
      <c r="G211" s="69" t="s">
        <v>58</v>
      </c>
      <c r="H211" s="61">
        <v>27.29</v>
      </c>
      <c r="I211" s="99">
        <v>6.6</v>
      </c>
      <c r="J211" s="64">
        <v>1</v>
      </c>
      <c r="K211" s="65">
        <v>0.18011399999999997</v>
      </c>
      <c r="L211" s="7" t="s">
        <v>477</v>
      </c>
    </row>
    <row r="212" spans="1:12">
      <c r="A212" s="48" t="s">
        <v>179</v>
      </c>
      <c r="B212" s="48" t="s">
        <v>169</v>
      </c>
      <c r="C212" s="7"/>
      <c r="D212" s="7"/>
      <c r="E212" s="69" t="s">
        <v>152</v>
      </c>
      <c r="F212" s="69" t="s">
        <v>15</v>
      </c>
      <c r="G212" s="69" t="s">
        <v>58</v>
      </c>
      <c r="H212" s="61">
        <v>27.29</v>
      </c>
      <c r="I212" s="99">
        <v>6.8</v>
      </c>
      <c r="J212" s="64">
        <v>1</v>
      </c>
      <c r="K212" s="65">
        <v>0.18557200000000001</v>
      </c>
      <c r="L212" s="7" t="s">
        <v>477</v>
      </c>
    </row>
    <row r="213" spans="1:12">
      <c r="A213" s="48" t="s">
        <v>179</v>
      </c>
      <c r="B213" s="48" t="s">
        <v>169</v>
      </c>
      <c r="C213" s="7"/>
      <c r="D213" s="7"/>
      <c r="E213" s="69" t="s">
        <v>152</v>
      </c>
      <c r="F213" s="69" t="s">
        <v>15</v>
      </c>
      <c r="G213" s="69" t="s">
        <v>22</v>
      </c>
      <c r="H213" s="61">
        <v>10.73</v>
      </c>
      <c r="I213" s="99">
        <v>11</v>
      </c>
      <c r="J213" s="64">
        <v>1</v>
      </c>
      <c r="K213" s="65">
        <v>0.11803</v>
      </c>
      <c r="L213" s="7" t="s">
        <v>477</v>
      </c>
    </row>
    <row r="214" spans="1:12">
      <c r="A214" s="48" t="s">
        <v>179</v>
      </c>
      <c r="B214" s="48" t="s">
        <v>169</v>
      </c>
      <c r="C214" s="7"/>
      <c r="D214" s="7"/>
      <c r="E214" s="69" t="s">
        <v>152</v>
      </c>
      <c r="F214" s="69" t="s">
        <v>15</v>
      </c>
      <c r="G214" s="69" t="s">
        <v>30</v>
      </c>
      <c r="H214" s="61">
        <v>9.26</v>
      </c>
      <c r="I214" s="62">
        <v>5.8</v>
      </c>
      <c r="J214" s="64">
        <v>1</v>
      </c>
      <c r="K214" s="65">
        <v>5.3707999999999999E-2</v>
      </c>
      <c r="L214" s="7" t="s">
        <v>477</v>
      </c>
    </row>
    <row r="215" spans="1:12">
      <c r="A215" s="48" t="s">
        <v>179</v>
      </c>
      <c r="B215" s="48" t="s">
        <v>169</v>
      </c>
      <c r="C215" s="7"/>
      <c r="D215" s="7"/>
      <c r="E215" s="69" t="s">
        <v>152</v>
      </c>
      <c r="F215" s="69" t="s">
        <v>15</v>
      </c>
      <c r="G215" s="69" t="s">
        <v>30</v>
      </c>
      <c r="H215" s="61">
        <v>9.26</v>
      </c>
      <c r="I215" s="62">
        <v>6.7</v>
      </c>
      <c r="J215" s="64">
        <v>1</v>
      </c>
      <c r="K215" s="65">
        <v>6.2042E-2</v>
      </c>
      <c r="L215" s="7" t="s">
        <v>477</v>
      </c>
    </row>
    <row r="216" spans="1:12">
      <c r="A216" s="48" t="s">
        <v>179</v>
      </c>
      <c r="B216" s="48" t="s">
        <v>169</v>
      </c>
      <c r="C216" s="7"/>
      <c r="D216" s="7"/>
      <c r="E216" s="69" t="s">
        <v>152</v>
      </c>
      <c r="F216" s="69" t="s">
        <v>15</v>
      </c>
      <c r="G216" s="69" t="s">
        <v>30</v>
      </c>
      <c r="H216" s="61">
        <v>9.26</v>
      </c>
      <c r="I216" s="62">
        <v>7.5</v>
      </c>
      <c r="J216" s="64">
        <v>1</v>
      </c>
      <c r="K216" s="13">
        <v>6.9449999999999998E-2</v>
      </c>
      <c r="L216" s="7" t="s">
        <v>477</v>
      </c>
    </row>
    <row r="217" spans="1:12">
      <c r="A217" s="48" t="s">
        <v>179</v>
      </c>
      <c r="B217" s="48" t="s">
        <v>169</v>
      </c>
      <c r="C217" s="7"/>
      <c r="D217" s="7"/>
      <c r="E217" s="69" t="s">
        <v>152</v>
      </c>
      <c r="F217" s="69" t="s">
        <v>15</v>
      </c>
      <c r="G217" s="69" t="s">
        <v>30</v>
      </c>
      <c r="H217" s="61">
        <v>9.26</v>
      </c>
      <c r="I217" s="331">
        <v>12</v>
      </c>
      <c r="J217" s="64">
        <v>1</v>
      </c>
      <c r="K217" s="65">
        <v>0.11112000000000001</v>
      </c>
      <c r="L217" s="7" t="s">
        <v>477</v>
      </c>
    </row>
    <row r="218" spans="1:12">
      <c r="A218" s="48" t="s">
        <v>179</v>
      </c>
      <c r="B218" s="48" t="s">
        <v>169</v>
      </c>
      <c r="C218" s="7"/>
      <c r="D218" s="7"/>
      <c r="E218" s="48" t="s">
        <v>152</v>
      </c>
      <c r="F218" s="48" t="s">
        <v>15</v>
      </c>
      <c r="G218" s="48" t="s">
        <v>183</v>
      </c>
      <c r="H218" s="53">
        <v>4.03</v>
      </c>
      <c r="I218" s="52">
        <v>6.8</v>
      </c>
      <c r="J218" s="19">
        <v>1</v>
      </c>
      <c r="K218" s="13">
        <v>2.7404000000000001E-2</v>
      </c>
      <c r="L218" s="7" t="s">
        <v>477</v>
      </c>
    </row>
    <row r="219" spans="1:12">
      <c r="A219" s="48" t="s">
        <v>179</v>
      </c>
      <c r="B219" s="48" t="s">
        <v>169</v>
      </c>
      <c r="C219" s="7"/>
      <c r="D219" s="7"/>
      <c r="E219" s="48" t="s">
        <v>152</v>
      </c>
      <c r="F219" s="48" t="s">
        <v>15</v>
      </c>
      <c r="G219" s="48" t="s">
        <v>101</v>
      </c>
      <c r="H219" s="53">
        <v>12.2</v>
      </c>
      <c r="I219" s="52">
        <v>8</v>
      </c>
      <c r="J219" s="19">
        <v>1</v>
      </c>
      <c r="K219" s="13">
        <v>9.7599999999999992E-2</v>
      </c>
      <c r="L219" s="7" t="s">
        <v>477</v>
      </c>
    </row>
    <row r="220" spans="1:12">
      <c r="A220" s="48" t="s">
        <v>179</v>
      </c>
      <c r="B220" s="48" t="s">
        <v>169</v>
      </c>
      <c r="C220" s="7"/>
      <c r="D220" s="7"/>
      <c r="E220" s="48" t="s">
        <v>152</v>
      </c>
      <c r="F220" s="48" t="s">
        <v>15</v>
      </c>
      <c r="G220" s="48" t="s">
        <v>101</v>
      </c>
      <c r="H220" s="53">
        <v>12.2</v>
      </c>
      <c r="I220" s="52">
        <v>4.8499999999999996</v>
      </c>
      <c r="J220" s="19">
        <v>1</v>
      </c>
      <c r="K220" s="13">
        <v>5.9169999999999993E-2</v>
      </c>
      <c r="L220" s="7" t="s">
        <v>477</v>
      </c>
    </row>
    <row r="221" spans="1:12">
      <c r="A221" s="42" t="s">
        <v>78</v>
      </c>
      <c r="B221" s="3" t="s">
        <v>79</v>
      </c>
      <c r="C221" s="3">
        <v>3</v>
      </c>
      <c r="D221" s="1"/>
      <c r="E221" s="12" t="s">
        <v>20</v>
      </c>
      <c r="F221" s="7" t="s">
        <v>15</v>
      </c>
      <c r="G221" s="7" t="s">
        <v>30</v>
      </c>
      <c r="H221" s="11">
        <v>9.26</v>
      </c>
      <c r="I221" s="184">
        <v>8.3000000000000007</v>
      </c>
      <c r="J221" s="19">
        <v>1</v>
      </c>
      <c r="K221" s="13">
        <v>7.685800000000001E-2</v>
      </c>
      <c r="L221" s="7" t="s">
        <v>477</v>
      </c>
    </row>
    <row r="222" spans="1:12">
      <c r="A222" s="42" t="s">
        <v>78</v>
      </c>
      <c r="B222" s="3" t="s">
        <v>79</v>
      </c>
      <c r="C222" s="3">
        <v>3</v>
      </c>
      <c r="D222" s="1"/>
      <c r="E222" s="12" t="s">
        <v>19</v>
      </c>
      <c r="F222" s="7" t="s">
        <v>14</v>
      </c>
      <c r="G222" s="7" t="s">
        <v>32</v>
      </c>
      <c r="H222" s="11">
        <v>8.3000000000000007</v>
      </c>
      <c r="I222" s="8">
        <v>7.2</v>
      </c>
      <c r="J222" s="19">
        <v>1</v>
      </c>
      <c r="K222" s="13">
        <v>5.9760000000000008E-2</v>
      </c>
      <c r="L222" s="7" t="s">
        <v>477</v>
      </c>
    </row>
    <row r="223" spans="1:12">
      <c r="A223" s="42" t="s">
        <v>78</v>
      </c>
      <c r="B223" s="3" t="s">
        <v>79</v>
      </c>
      <c r="C223" s="3">
        <v>3</v>
      </c>
      <c r="D223" s="1"/>
      <c r="E223" s="12" t="s">
        <v>17</v>
      </c>
      <c r="F223" s="7" t="s">
        <v>15</v>
      </c>
      <c r="G223" s="7" t="s">
        <v>30</v>
      </c>
      <c r="H223" s="11">
        <v>9.26</v>
      </c>
      <c r="I223" s="184">
        <v>6.95</v>
      </c>
      <c r="J223" s="19">
        <v>4</v>
      </c>
      <c r="K223" s="13">
        <v>0.25742799999999999</v>
      </c>
      <c r="L223" s="7" t="s">
        <v>477</v>
      </c>
    </row>
    <row r="224" spans="1:12">
      <c r="A224" s="42" t="s">
        <v>78</v>
      </c>
      <c r="B224" s="3" t="s">
        <v>79</v>
      </c>
      <c r="C224" s="3">
        <v>3</v>
      </c>
      <c r="D224" s="1"/>
      <c r="E224" s="12" t="s">
        <v>17</v>
      </c>
      <c r="F224" s="7" t="s">
        <v>15</v>
      </c>
      <c r="G224" s="7" t="s">
        <v>30</v>
      </c>
      <c r="H224" s="11">
        <v>9.26</v>
      </c>
      <c r="I224" s="184">
        <v>6.2</v>
      </c>
      <c r="J224" s="19">
        <v>1</v>
      </c>
      <c r="K224" s="13">
        <v>5.7411999999999998E-2</v>
      </c>
      <c r="L224" s="7" t="s">
        <v>477</v>
      </c>
    </row>
    <row r="225" spans="1:12">
      <c r="A225" s="42" t="s">
        <v>78</v>
      </c>
      <c r="B225" s="3" t="s">
        <v>79</v>
      </c>
      <c r="C225" s="3">
        <v>6</v>
      </c>
      <c r="D225" s="1"/>
      <c r="E225" s="12" t="s">
        <v>17</v>
      </c>
      <c r="F225" s="7" t="s">
        <v>15</v>
      </c>
      <c r="G225" s="7" t="s">
        <v>32</v>
      </c>
      <c r="H225" s="11">
        <v>8.32</v>
      </c>
      <c r="I225" s="8">
        <v>6</v>
      </c>
      <c r="J225" s="19">
        <v>1</v>
      </c>
      <c r="K225" s="13">
        <v>4.9919999999999999E-2</v>
      </c>
      <c r="L225" s="7" t="s">
        <v>477</v>
      </c>
    </row>
    <row r="226" spans="1:12">
      <c r="A226" s="42" t="s">
        <v>78</v>
      </c>
      <c r="B226" s="3" t="s">
        <v>79</v>
      </c>
      <c r="C226" s="3"/>
      <c r="D226" s="1"/>
      <c r="E226" s="12" t="s">
        <v>185</v>
      </c>
      <c r="F226" s="7" t="s">
        <v>14</v>
      </c>
      <c r="G226" s="7" t="s">
        <v>133</v>
      </c>
      <c r="H226" s="11">
        <v>7.93</v>
      </c>
      <c r="I226" s="8">
        <v>12.2</v>
      </c>
      <c r="J226" s="19">
        <v>2</v>
      </c>
      <c r="K226" s="13">
        <v>0.193492</v>
      </c>
      <c r="L226" s="7" t="s">
        <v>477</v>
      </c>
    </row>
    <row r="227" spans="1:12">
      <c r="A227" s="42" t="s">
        <v>78</v>
      </c>
      <c r="B227" s="3" t="s">
        <v>79</v>
      </c>
      <c r="C227" s="3"/>
      <c r="D227" s="1"/>
      <c r="E227" s="12" t="s">
        <v>185</v>
      </c>
      <c r="F227" s="7" t="s">
        <v>14</v>
      </c>
      <c r="G227" s="7" t="s">
        <v>133</v>
      </c>
      <c r="H227" s="11">
        <v>7.93</v>
      </c>
      <c r="I227" s="8">
        <v>11</v>
      </c>
      <c r="J227" s="19">
        <v>1</v>
      </c>
      <c r="K227" s="13">
        <v>8.7229999999999988E-2</v>
      </c>
      <c r="L227" s="7" t="s">
        <v>477</v>
      </c>
    </row>
    <row r="228" spans="1:12">
      <c r="A228" s="42" t="s">
        <v>78</v>
      </c>
      <c r="B228" s="3" t="s">
        <v>79</v>
      </c>
      <c r="C228" s="3">
        <v>10</v>
      </c>
      <c r="D228" s="1"/>
      <c r="E228" s="12" t="s">
        <v>19</v>
      </c>
      <c r="F228" s="7" t="s">
        <v>14</v>
      </c>
      <c r="G228" s="7" t="s">
        <v>28</v>
      </c>
      <c r="H228" s="11">
        <v>12.18</v>
      </c>
      <c r="I228" s="8">
        <v>12</v>
      </c>
      <c r="J228" s="19">
        <v>2</v>
      </c>
      <c r="K228" s="13">
        <v>0.29231999999999997</v>
      </c>
      <c r="L228" s="7" t="s">
        <v>477</v>
      </c>
    </row>
    <row r="229" spans="1:12">
      <c r="A229" s="42" t="s">
        <v>78</v>
      </c>
      <c r="B229" s="3"/>
      <c r="C229" s="3">
        <v>1</v>
      </c>
      <c r="D229" s="1"/>
      <c r="E229" s="12" t="s">
        <v>86</v>
      </c>
      <c r="F229" s="7" t="s">
        <v>14</v>
      </c>
      <c r="G229" s="7" t="s">
        <v>25</v>
      </c>
      <c r="H229" s="11">
        <v>7.34</v>
      </c>
      <c r="I229" s="8">
        <v>13</v>
      </c>
      <c r="J229" s="19">
        <v>4</v>
      </c>
      <c r="K229" s="13">
        <v>0.38168000000000002</v>
      </c>
      <c r="L229" s="7" t="s">
        <v>477</v>
      </c>
    </row>
    <row r="230" spans="1:12">
      <c r="A230" s="42" t="s">
        <v>78</v>
      </c>
      <c r="B230" s="3"/>
      <c r="C230" s="3">
        <v>1</v>
      </c>
      <c r="D230" s="1"/>
      <c r="E230" s="12" t="s">
        <v>86</v>
      </c>
      <c r="F230" s="7" t="s">
        <v>14</v>
      </c>
      <c r="G230" s="7" t="s">
        <v>25</v>
      </c>
      <c r="H230" s="11">
        <v>7.34</v>
      </c>
      <c r="I230" s="8">
        <v>12.2</v>
      </c>
      <c r="J230" s="19">
        <v>12</v>
      </c>
      <c r="K230" s="13">
        <v>1.0745759999999998</v>
      </c>
      <c r="L230" s="7" t="s">
        <v>477</v>
      </c>
    </row>
    <row r="231" spans="1:12">
      <c r="A231" s="42" t="s">
        <v>78</v>
      </c>
      <c r="B231" s="3"/>
      <c r="C231" s="3">
        <v>1</v>
      </c>
      <c r="D231" s="1"/>
      <c r="E231" s="12" t="s">
        <v>86</v>
      </c>
      <c r="F231" s="7" t="s">
        <v>14</v>
      </c>
      <c r="G231" s="7" t="s">
        <v>25</v>
      </c>
      <c r="H231" s="11">
        <v>7.34</v>
      </c>
      <c r="I231" s="8">
        <v>12</v>
      </c>
      <c r="J231" s="19">
        <v>5</v>
      </c>
      <c r="K231" s="13">
        <v>0.44039999999999996</v>
      </c>
      <c r="L231" s="7" t="s">
        <v>477</v>
      </c>
    </row>
    <row r="232" spans="1:12">
      <c r="A232" s="42" t="s">
        <v>78</v>
      </c>
      <c r="B232" s="3"/>
      <c r="C232" s="3">
        <v>1</v>
      </c>
      <c r="D232" s="1"/>
      <c r="E232" s="12" t="s">
        <v>86</v>
      </c>
      <c r="F232" s="7" t="s">
        <v>14</v>
      </c>
      <c r="G232" s="7" t="s">
        <v>25</v>
      </c>
      <c r="H232" s="11">
        <v>7.34</v>
      </c>
      <c r="I232" s="8">
        <v>11.5</v>
      </c>
      <c r="J232" s="19">
        <v>1</v>
      </c>
      <c r="K232" s="13">
        <v>8.4409999999999999E-2</v>
      </c>
      <c r="L232" s="7" t="s">
        <v>477</v>
      </c>
    </row>
    <row r="233" spans="1:12">
      <c r="A233" s="42" t="s">
        <v>78</v>
      </c>
      <c r="B233" s="3"/>
      <c r="C233" s="3">
        <v>3</v>
      </c>
      <c r="D233" s="1"/>
      <c r="E233" s="12" t="s">
        <v>86</v>
      </c>
      <c r="F233" s="7" t="s">
        <v>14</v>
      </c>
      <c r="G233" s="7" t="s">
        <v>23</v>
      </c>
      <c r="H233" s="11">
        <v>9</v>
      </c>
      <c r="I233" s="8">
        <v>10.9</v>
      </c>
      <c r="J233" s="19">
        <v>2</v>
      </c>
      <c r="K233" s="13">
        <v>0.19620000000000001</v>
      </c>
      <c r="L233" s="7" t="s">
        <v>477</v>
      </c>
    </row>
    <row r="234" spans="1:12">
      <c r="A234" s="42" t="s">
        <v>78</v>
      </c>
      <c r="B234" s="3"/>
      <c r="C234" s="3">
        <v>24</v>
      </c>
      <c r="D234" s="1"/>
      <c r="E234" s="12" t="s">
        <v>86</v>
      </c>
      <c r="F234" s="7" t="s">
        <v>14</v>
      </c>
      <c r="G234" s="7" t="s">
        <v>18</v>
      </c>
      <c r="H234" s="11">
        <v>6.86</v>
      </c>
      <c r="I234" s="8">
        <v>11.5</v>
      </c>
      <c r="J234" s="19">
        <v>2</v>
      </c>
      <c r="K234" s="13">
        <v>0.15778</v>
      </c>
      <c r="L234" s="7" t="s">
        <v>477</v>
      </c>
    </row>
    <row r="235" spans="1:12">
      <c r="A235" s="42" t="s">
        <v>78</v>
      </c>
      <c r="B235" s="3"/>
      <c r="C235" s="3">
        <v>25</v>
      </c>
      <c r="D235" s="1"/>
      <c r="E235" s="12" t="s">
        <v>17</v>
      </c>
      <c r="F235" s="7" t="s">
        <v>15</v>
      </c>
      <c r="G235" s="7" t="s">
        <v>30</v>
      </c>
      <c r="H235" s="11">
        <v>9.26</v>
      </c>
      <c r="I235" s="184">
        <v>6.2</v>
      </c>
      <c r="J235" s="19">
        <v>1</v>
      </c>
      <c r="K235" s="13">
        <v>5.7411999999999998E-2</v>
      </c>
      <c r="L235" s="7" t="s">
        <v>477</v>
      </c>
    </row>
    <row r="236" spans="1:12">
      <c r="A236" s="42" t="s">
        <v>78</v>
      </c>
      <c r="B236" s="3"/>
      <c r="C236" s="3">
        <v>26</v>
      </c>
      <c r="D236" s="1"/>
      <c r="E236" s="12" t="s">
        <v>17</v>
      </c>
      <c r="F236" s="7" t="s">
        <v>15</v>
      </c>
      <c r="G236" s="7" t="s">
        <v>30</v>
      </c>
      <c r="H236" s="11">
        <v>9.26</v>
      </c>
      <c r="I236" s="184">
        <v>12</v>
      </c>
      <c r="J236" s="19">
        <v>1</v>
      </c>
      <c r="K236" s="13">
        <v>0.11112000000000001</v>
      </c>
      <c r="L236" s="7" t="s">
        <v>477</v>
      </c>
    </row>
    <row r="237" spans="1:12">
      <c r="A237" s="42" t="s">
        <v>78</v>
      </c>
      <c r="B237" s="3"/>
      <c r="C237" s="3">
        <v>27</v>
      </c>
      <c r="D237" s="1"/>
      <c r="E237" s="12" t="s">
        <v>86</v>
      </c>
      <c r="F237" s="7" t="s">
        <v>14</v>
      </c>
      <c r="G237" s="7" t="s">
        <v>23</v>
      </c>
      <c r="H237" s="11">
        <v>9</v>
      </c>
      <c r="I237" s="8">
        <v>11.5</v>
      </c>
      <c r="J237" s="19">
        <v>1</v>
      </c>
      <c r="K237" s="13">
        <v>0.10349999999999999</v>
      </c>
      <c r="L237" s="7" t="s">
        <v>477</v>
      </c>
    </row>
    <row r="238" spans="1:12">
      <c r="A238" s="42" t="s">
        <v>78</v>
      </c>
      <c r="B238" s="3"/>
      <c r="C238" s="3">
        <v>27</v>
      </c>
      <c r="D238" s="1"/>
      <c r="E238" s="12" t="s">
        <v>86</v>
      </c>
      <c r="F238" s="7" t="s">
        <v>14</v>
      </c>
      <c r="G238" s="7" t="s">
        <v>23</v>
      </c>
      <c r="H238" s="11">
        <v>9</v>
      </c>
      <c r="I238" s="8">
        <v>10.5</v>
      </c>
      <c r="J238" s="19">
        <v>1</v>
      </c>
      <c r="K238" s="13">
        <v>9.4500000000000001E-2</v>
      </c>
      <c r="L238" s="7" t="s">
        <v>477</v>
      </c>
    </row>
    <row r="239" spans="1:12">
      <c r="A239" s="42" t="s">
        <v>78</v>
      </c>
      <c r="B239" s="3"/>
      <c r="C239" s="3">
        <v>28</v>
      </c>
      <c r="D239" s="1" t="s">
        <v>93</v>
      </c>
      <c r="E239" s="12" t="s">
        <v>86</v>
      </c>
      <c r="F239" s="7" t="s">
        <v>14</v>
      </c>
      <c r="G239" s="7" t="s">
        <v>18</v>
      </c>
      <c r="H239" s="11">
        <v>6.86</v>
      </c>
      <c r="I239" s="8">
        <v>10.5</v>
      </c>
      <c r="J239" s="19">
        <v>4</v>
      </c>
      <c r="K239" s="13">
        <v>0.28811999999999999</v>
      </c>
      <c r="L239" s="7" t="s">
        <v>477</v>
      </c>
    </row>
    <row r="240" spans="1:12">
      <c r="A240" s="42" t="s">
        <v>78</v>
      </c>
      <c r="B240" s="3"/>
      <c r="C240" s="3">
        <v>39</v>
      </c>
      <c r="D240" s="1"/>
      <c r="E240" s="12" t="s">
        <v>17</v>
      </c>
      <c r="F240" s="7" t="s">
        <v>15</v>
      </c>
      <c r="G240" s="7" t="s">
        <v>27</v>
      </c>
      <c r="H240" s="11">
        <v>6.17</v>
      </c>
      <c r="I240" s="8">
        <v>7.5</v>
      </c>
      <c r="J240" s="19">
        <v>1</v>
      </c>
      <c r="K240" s="13">
        <v>4.6274999999999997E-2</v>
      </c>
      <c r="L240" s="7" t="s">
        <v>477</v>
      </c>
    </row>
    <row r="241" spans="1:12">
      <c r="A241" s="42" t="s">
        <v>78</v>
      </c>
      <c r="B241" s="3"/>
      <c r="C241" s="3">
        <v>39</v>
      </c>
      <c r="D241" s="1"/>
      <c r="E241" s="12" t="s">
        <v>17</v>
      </c>
      <c r="F241" s="7" t="s">
        <v>15</v>
      </c>
      <c r="G241" s="7" t="s">
        <v>27</v>
      </c>
      <c r="H241" s="11">
        <v>6.17</v>
      </c>
      <c r="I241" s="8">
        <v>7</v>
      </c>
      <c r="J241" s="19">
        <v>1</v>
      </c>
      <c r="K241" s="13">
        <v>4.3189999999999999E-2</v>
      </c>
      <c r="L241" s="7" t="s">
        <v>477</v>
      </c>
    </row>
    <row r="242" spans="1:12">
      <c r="A242" s="42" t="s">
        <v>78</v>
      </c>
      <c r="B242" s="3"/>
      <c r="C242" s="3">
        <v>40</v>
      </c>
      <c r="D242" s="1"/>
      <c r="E242" s="12" t="s">
        <v>63</v>
      </c>
      <c r="F242" s="7" t="s">
        <v>15</v>
      </c>
      <c r="G242" s="7" t="s">
        <v>27</v>
      </c>
      <c r="H242" s="11">
        <v>6.17</v>
      </c>
      <c r="I242" s="8">
        <v>9.5</v>
      </c>
      <c r="J242" s="19">
        <v>8</v>
      </c>
      <c r="K242" s="13">
        <v>0.46892</v>
      </c>
      <c r="L242" s="7" t="s">
        <v>477</v>
      </c>
    </row>
    <row r="243" spans="1:12">
      <c r="A243" s="42" t="s">
        <v>78</v>
      </c>
      <c r="B243" s="3"/>
      <c r="C243" s="3">
        <v>40</v>
      </c>
      <c r="D243" s="1"/>
      <c r="E243" s="12" t="s">
        <v>63</v>
      </c>
      <c r="F243" s="7" t="s">
        <v>15</v>
      </c>
      <c r="G243" s="7" t="s">
        <v>27</v>
      </c>
      <c r="H243" s="11">
        <v>6.17</v>
      </c>
      <c r="I243" s="8">
        <v>9</v>
      </c>
      <c r="J243" s="19">
        <v>1</v>
      </c>
      <c r="K243" s="13">
        <v>5.5530000000000003E-2</v>
      </c>
      <c r="L243" s="7" t="s">
        <v>477</v>
      </c>
    </row>
    <row r="244" spans="1:12">
      <c r="A244" s="42" t="s">
        <v>78</v>
      </c>
      <c r="B244" s="3"/>
      <c r="C244" s="3">
        <v>43</v>
      </c>
      <c r="D244" s="1"/>
      <c r="E244" s="12" t="s">
        <v>24</v>
      </c>
      <c r="F244" s="7" t="s">
        <v>14</v>
      </c>
      <c r="G244" s="7" t="s">
        <v>44</v>
      </c>
      <c r="H244" s="11">
        <v>13.4</v>
      </c>
      <c r="I244" s="8">
        <v>11.2</v>
      </c>
      <c r="J244" s="19">
        <v>3</v>
      </c>
      <c r="K244" s="13">
        <v>0.45023999999999997</v>
      </c>
      <c r="L244" s="7" t="s">
        <v>477</v>
      </c>
    </row>
    <row r="245" spans="1:12">
      <c r="A245" s="42" t="s">
        <v>78</v>
      </c>
      <c r="B245" s="3"/>
      <c r="C245" s="3">
        <v>1</v>
      </c>
      <c r="D245" s="1"/>
      <c r="E245" s="12" t="s">
        <v>81</v>
      </c>
      <c r="F245" s="7" t="s">
        <v>14</v>
      </c>
      <c r="G245" s="7" t="s">
        <v>23</v>
      </c>
      <c r="H245" s="11">
        <v>9</v>
      </c>
      <c r="I245" s="8">
        <v>12.5</v>
      </c>
      <c r="J245" s="19">
        <v>1</v>
      </c>
      <c r="K245" s="13">
        <v>0.1125</v>
      </c>
      <c r="L245" s="7" t="s">
        <v>477</v>
      </c>
    </row>
    <row r="246" spans="1:12">
      <c r="A246" s="42" t="s">
        <v>78</v>
      </c>
      <c r="B246" s="3"/>
      <c r="C246" s="3">
        <v>1</v>
      </c>
      <c r="D246" s="1"/>
      <c r="E246" s="12" t="s">
        <v>81</v>
      </c>
      <c r="F246" s="7" t="s">
        <v>14</v>
      </c>
      <c r="G246" s="7" t="s">
        <v>23</v>
      </c>
      <c r="H246" s="11">
        <v>9</v>
      </c>
      <c r="I246" s="8">
        <v>11.7</v>
      </c>
      <c r="J246" s="19">
        <v>1</v>
      </c>
      <c r="K246" s="13">
        <v>0.10529999999999999</v>
      </c>
      <c r="L246" s="7" t="s">
        <v>477</v>
      </c>
    </row>
    <row r="247" spans="1:12">
      <c r="A247" s="42" t="s">
        <v>78</v>
      </c>
      <c r="B247" s="3"/>
      <c r="C247" s="3">
        <v>6</v>
      </c>
      <c r="D247" s="1"/>
      <c r="E247" s="12" t="s">
        <v>63</v>
      </c>
      <c r="F247" s="7" t="s">
        <v>15</v>
      </c>
      <c r="G247" s="7" t="s">
        <v>49</v>
      </c>
      <c r="H247" s="11">
        <v>17.82</v>
      </c>
      <c r="I247" s="8">
        <v>11</v>
      </c>
      <c r="J247" s="19">
        <v>3</v>
      </c>
      <c r="K247" s="13">
        <v>0.58806000000000003</v>
      </c>
      <c r="L247" s="7" t="s">
        <v>477</v>
      </c>
    </row>
    <row r="248" spans="1:12">
      <c r="A248" s="42" t="s">
        <v>78</v>
      </c>
      <c r="B248" s="3"/>
      <c r="C248" s="3">
        <v>7</v>
      </c>
      <c r="D248" s="1"/>
      <c r="E248" s="12" t="s">
        <v>63</v>
      </c>
      <c r="F248" s="7" t="s">
        <v>15</v>
      </c>
      <c r="G248" s="7" t="s">
        <v>49</v>
      </c>
      <c r="H248" s="11">
        <v>17.82</v>
      </c>
      <c r="I248" s="8">
        <v>6.8</v>
      </c>
      <c r="J248" s="19">
        <v>1</v>
      </c>
      <c r="K248" s="13">
        <v>0.12117600000000001</v>
      </c>
      <c r="L248" s="7" t="s">
        <v>477</v>
      </c>
    </row>
    <row r="249" spans="1:12">
      <c r="A249" s="42" t="s">
        <v>78</v>
      </c>
      <c r="B249" s="3"/>
      <c r="C249" s="3">
        <v>7</v>
      </c>
      <c r="D249" s="1"/>
      <c r="E249" s="12" t="s">
        <v>63</v>
      </c>
      <c r="F249" s="7" t="s">
        <v>15</v>
      </c>
      <c r="G249" s="7" t="s">
        <v>49</v>
      </c>
      <c r="H249" s="11">
        <v>17.82</v>
      </c>
      <c r="I249" s="8">
        <v>7.6</v>
      </c>
      <c r="J249" s="19">
        <v>1</v>
      </c>
      <c r="K249" s="13">
        <v>0.135432</v>
      </c>
      <c r="L249" s="7" t="s">
        <v>477</v>
      </c>
    </row>
    <row r="250" spans="1:12">
      <c r="A250" s="42" t="s">
        <v>78</v>
      </c>
      <c r="B250" s="3"/>
      <c r="C250" s="3">
        <v>7</v>
      </c>
      <c r="D250" s="1"/>
      <c r="E250" s="12" t="s">
        <v>63</v>
      </c>
      <c r="F250" s="7" t="s">
        <v>15</v>
      </c>
      <c r="G250" s="7" t="s">
        <v>49</v>
      </c>
      <c r="H250" s="11">
        <v>17.82</v>
      </c>
      <c r="I250" s="8">
        <v>8</v>
      </c>
      <c r="J250" s="19">
        <v>1</v>
      </c>
      <c r="K250" s="13">
        <v>0.14255999999999999</v>
      </c>
      <c r="L250" s="7" t="s">
        <v>477</v>
      </c>
    </row>
    <row r="251" spans="1:12">
      <c r="A251" s="42" t="s">
        <v>78</v>
      </c>
      <c r="B251" s="3"/>
      <c r="C251" s="3">
        <v>8</v>
      </c>
      <c r="D251" s="1"/>
      <c r="E251" s="12" t="s">
        <v>19</v>
      </c>
      <c r="F251" s="7" t="s">
        <v>14</v>
      </c>
      <c r="G251" s="7" t="s">
        <v>28</v>
      </c>
      <c r="H251" s="11">
        <v>12.18</v>
      </c>
      <c r="I251" s="8">
        <v>7.1</v>
      </c>
      <c r="J251" s="19">
        <v>1</v>
      </c>
      <c r="K251" s="13">
        <v>8.6477999999999999E-2</v>
      </c>
      <c r="L251" s="7" t="s">
        <v>477</v>
      </c>
    </row>
    <row r="252" spans="1:12">
      <c r="A252" s="42" t="s">
        <v>78</v>
      </c>
      <c r="B252" s="3"/>
      <c r="C252" s="3">
        <v>8</v>
      </c>
      <c r="D252" s="1"/>
      <c r="E252" s="12" t="s">
        <v>19</v>
      </c>
      <c r="F252" s="7" t="s">
        <v>14</v>
      </c>
      <c r="G252" s="7" t="s">
        <v>28</v>
      </c>
      <c r="H252" s="11">
        <v>12.18</v>
      </c>
      <c r="I252" s="8">
        <v>7.9</v>
      </c>
      <c r="J252" s="19">
        <v>1</v>
      </c>
      <c r="K252" s="13">
        <v>9.6222000000000002E-2</v>
      </c>
      <c r="L252" s="7" t="s">
        <v>477</v>
      </c>
    </row>
    <row r="253" spans="1:12">
      <c r="A253" s="42" t="s">
        <v>78</v>
      </c>
      <c r="B253" s="3"/>
      <c r="C253" s="3">
        <v>9</v>
      </c>
      <c r="D253" s="1"/>
      <c r="E253" s="12" t="s">
        <v>81</v>
      </c>
      <c r="F253" s="7" t="s">
        <v>14</v>
      </c>
      <c r="G253" s="7" t="s">
        <v>23</v>
      </c>
      <c r="H253" s="11">
        <v>9</v>
      </c>
      <c r="I253" s="8">
        <v>11.5</v>
      </c>
      <c r="J253" s="19">
        <v>1</v>
      </c>
      <c r="K253" s="13">
        <v>0.10349999999999999</v>
      </c>
      <c r="L253" s="7" t="s">
        <v>477</v>
      </c>
    </row>
    <row r="254" spans="1:12">
      <c r="A254" s="42" t="s">
        <v>78</v>
      </c>
      <c r="B254" s="3"/>
      <c r="C254" s="3">
        <v>9</v>
      </c>
      <c r="D254" s="1"/>
      <c r="E254" s="12" t="s">
        <v>81</v>
      </c>
      <c r="F254" s="7" t="s">
        <v>14</v>
      </c>
      <c r="G254" s="7" t="s">
        <v>23</v>
      </c>
      <c r="H254" s="11">
        <v>9</v>
      </c>
      <c r="I254" s="8">
        <v>8.8000000000000007</v>
      </c>
      <c r="J254" s="19">
        <v>1</v>
      </c>
      <c r="K254" s="13">
        <v>7.9200000000000007E-2</v>
      </c>
      <c r="L254" s="7" t="s">
        <v>477</v>
      </c>
    </row>
    <row r="255" spans="1:12">
      <c r="A255" s="42" t="s">
        <v>78</v>
      </c>
      <c r="B255" s="3"/>
      <c r="C255" s="3">
        <v>9</v>
      </c>
      <c r="D255" s="1"/>
      <c r="E255" s="12" t="s">
        <v>81</v>
      </c>
      <c r="F255" s="7" t="s">
        <v>14</v>
      </c>
      <c r="G255" s="7" t="s">
        <v>23</v>
      </c>
      <c r="H255" s="11">
        <v>9</v>
      </c>
      <c r="I255" s="8">
        <v>9.5</v>
      </c>
      <c r="J255" s="19">
        <v>1</v>
      </c>
      <c r="K255" s="13">
        <v>8.5500000000000007E-2</v>
      </c>
      <c r="L255" s="7" t="s">
        <v>477</v>
      </c>
    </row>
    <row r="256" spans="1:12">
      <c r="A256" s="42" t="s">
        <v>78</v>
      </c>
      <c r="B256" s="3"/>
      <c r="C256" s="3">
        <v>9</v>
      </c>
      <c r="D256" s="1"/>
      <c r="E256" s="12" t="s">
        <v>81</v>
      </c>
      <c r="F256" s="7" t="s">
        <v>14</v>
      </c>
      <c r="G256" s="7" t="s">
        <v>23</v>
      </c>
      <c r="H256" s="11">
        <v>9</v>
      </c>
      <c r="I256" s="8">
        <v>8</v>
      </c>
      <c r="J256" s="19">
        <v>2</v>
      </c>
      <c r="K256" s="13">
        <v>0.14399999999999999</v>
      </c>
      <c r="L256" s="7" t="s">
        <v>477</v>
      </c>
    </row>
    <row r="257" spans="1:12">
      <c r="A257" s="42" t="s">
        <v>78</v>
      </c>
      <c r="B257" s="3"/>
      <c r="C257" s="3">
        <v>9</v>
      </c>
      <c r="D257" s="1"/>
      <c r="E257" s="12" t="s">
        <v>81</v>
      </c>
      <c r="F257" s="7" t="s">
        <v>14</v>
      </c>
      <c r="G257" s="7" t="s">
        <v>23</v>
      </c>
      <c r="H257" s="11">
        <v>9</v>
      </c>
      <c r="I257" s="8">
        <v>7</v>
      </c>
      <c r="J257" s="19">
        <v>2</v>
      </c>
      <c r="K257" s="13">
        <v>0.126</v>
      </c>
      <c r="L257" s="7" t="s">
        <v>477</v>
      </c>
    </row>
    <row r="258" spans="1:12">
      <c r="A258" s="42" t="s">
        <v>78</v>
      </c>
      <c r="B258" s="3"/>
      <c r="C258" s="3">
        <v>9</v>
      </c>
      <c r="D258" s="1"/>
      <c r="E258" s="12" t="s">
        <v>81</v>
      </c>
      <c r="F258" s="7" t="s">
        <v>14</v>
      </c>
      <c r="G258" s="7" t="s">
        <v>23</v>
      </c>
      <c r="H258" s="11">
        <v>9</v>
      </c>
      <c r="I258" s="8">
        <v>7.4</v>
      </c>
      <c r="J258" s="19">
        <v>1</v>
      </c>
      <c r="K258" s="13">
        <v>6.6600000000000006E-2</v>
      </c>
      <c r="L258" s="7" t="s">
        <v>477</v>
      </c>
    </row>
    <row r="259" spans="1:12">
      <c r="A259" s="42" t="s">
        <v>78</v>
      </c>
      <c r="B259" s="3"/>
      <c r="C259" s="3">
        <v>10</v>
      </c>
      <c r="D259" s="1"/>
      <c r="E259" s="12" t="s">
        <v>17</v>
      </c>
      <c r="F259" s="7" t="s">
        <v>15</v>
      </c>
      <c r="G259" s="7" t="s">
        <v>27</v>
      </c>
      <c r="H259" s="11">
        <v>6.17</v>
      </c>
      <c r="I259" s="8">
        <v>5.5</v>
      </c>
      <c r="J259" s="19">
        <v>1</v>
      </c>
      <c r="K259" s="13">
        <v>3.3935E-2</v>
      </c>
      <c r="L259" s="7" t="s">
        <v>477</v>
      </c>
    </row>
    <row r="260" spans="1:12">
      <c r="A260" s="42" t="s">
        <v>78</v>
      </c>
      <c r="B260" s="3"/>
      <c r="C260" s="3">
        <v>10</v>
      </c>
      <c r="D260" s="1"/>
      <c r="E260" s="12" t="s">
        <v>17</v>
      </c>
      <c r="F260" s="7" t="s">
        <v>15</v>
      </c>
      <c r="G260" s="7" t="s">
        <v>27</v>
      </c>
      <c r="H260" s="11">
        <v>6.17</v>
      </c>
      <c r="I260" s="8">
        <v>5.85</v>
      </c>
      <c r="J260" s="19">
        <v>1</v>
      </c>
      <c r="K260" s="13">
        <v>3.6094499999999995E-2</v>
      </c>
      <c r="L260" s="7" t="s">
        <v>477</v>
      </c>
    </row>
    <row r="261" spans="1:12">
      <c r="A261" s="42" t="s">
        <v>78</v>
      </c>
      <c r="B261" s="3"/>
      <c r="C261" s="3">
        <v>10</v>
      </c>
      <c r="D261" s="1"/>
      <c r="E261" s="12" t="s">
        <v>17</v>
      </c>
      <c r="F261" s="7" t="s">
        <v>15</v>
      </c>
      <c r="G261" s="7" t="s">
        <v>27</v>
      </c>
      <c r="H261" s="11">
        <v>6.17</v>
      </c>
      <c r="I261" s="8">
        <v>6</v>
      </c>
      <c r="J261" s="19">
        <v>1</v>
      </c>
      <c r="K261" s="13">
        <v>3.7019999999999997E-2</v>
      </c>
      <c r="L261" s="7" t="s">
        <v>477</v>
      </c>
    </row>
    <row r="262" spans="1:12">
      <c r="A262" s="42" t="s">
        <v>78</v>
      </c>
      <c r="B262" s="3"/>
      <c r="C262" s="3">
        <v>10</v>
      </c>
      <c r="D262" s="1"/>
      <c r="E262" s="12" t="s">
        <v>17</v>
      </c>
      <c r="F262" s="7" t="s">
        <v>15</v>
      </c>
      <c r="G262" s="7" t="s">
        <v>27</v>
      </c>
      <c r="H262" s="11">
        <v>6.17</v>
      </c>
      <c r="I262" s="8">
        <v>6.75</v>
      </c>
      <c r="J262" s="19">
        <v>1</v>
      </c>
      <c r="K262" s="13">
        <v>4.1647500000000004E-2</v>
      </c>
      <c r="L262" s="7" t="s">
        <v>477</v>
      </c>
    </row>
    <row r="263" spans="1:12">
      <c r="A263" s="42" t="s">
        <v>78</v>
      </c>
      <c r="B263" s="3"/>
      <c r="C263" s="3">
        <v>11</v>
      </c>
      <c r="D263" s="1"/>
      <c r="E263" s="12" t="s">
        <v>20</v>
      </c>
      <c r="F263" s="7" t="s">
        <v>15</v>
      </c>
      <c r="G263" s="7" t="s">
        <v>52</v>
      </c>
      <c r="H263" s="11">
        <v>17.829999999999998</v>
      </c>
      <c r="I263" s="8">
        <v>6</v>
      </c>
      <c r="J263" s="19">
        <v>1</v>
      </c>
      <c r="K263" s="13">
        <v>0.10697999999999999</v>
      </c>
      <c r="L263" s="7" t="s">
        <v>477</v>
      </c>
    </row>
    <row r="264" spans="1:12">
      <c r="A264" s="42" t="s">
        <v>78</v>
      </c>
      <c r="B264" s="3"/>
      <c r="C264" s="3">
        <v>4</v>
      </c>
      <c r="D264" s="1"/>
      <c r="E264" s="12" t="s">
        <v>17</v>
      </c>
      <c r="F264" s="7" t="s">
        <v>15</v>
      </c>
      <c r="G264" s="7" t="s">
        <v>16</v>
      </c>
      <c r="H264" s="11">
        <v>5.77</v>
      </c>
      <c r="I264" s="8">
        <v>7</v>
      </c>
      <c r="J264" s="19">
        <v>2</v>
      </c>
      <c r="K264" s="13">
        <v>8.0780000000000005E-2</v>
      </c>
      <c r="L264" s="7" t="s">
        <v>477</v>
      </c>
    </row>
    <row r="265" spans="1:12">
      <c r="A265" s="42" t="s">
        <v>78</v>
      </c>
      <c r="B265" s="3"/>
      <c r="C265" s="3">
        <v>5</v>
      </c>
      <c r="D265" s="1"/>
      <c r="E265" s="12" t="s">
        <v>17</v>
      </c>
      <c r="F265" s="7" t="s">
        <v>15</v>
      </c>
      <c r="G265" s="7" t="s">
        <v>18</v>
      </c>
      <c r="H265" s="11">
        <v>6.86</v>
      </c>
      <c r="I265" s="8">
        <v>5.7</v>
      </c>
      <c r="J265" s="19">
        <v>2</v>
      </c>
      <c r="K265" s="13">
        <v>7.820400000000001E-2</v>
      </c>
      <c r="L265" s="7" t="s">
        <v>477</v>
      </c>
    </row>
    <row r="266" spans="1:12">
      <c r="A266" s="42" t="s">
        <v>78</v>
      </c>
      <c r="B266" s="3"/>
      <c r="C266" s="3">
        <v>8</v>
      </c>
      <c r="D266" s="1"/>
      <c r="E266" s="12" t="s">
        <v>24</v>
      </c>
      <c r="F266" s="7" t="s">
        <v>14</v>
      </c>
      <c r="G266" s="7" t="s">
        <v>28</v>
      </c>
      <c r="H266" s="11">
        <v>12.18</v>
      </c>
      <c r="I266" s="8">
        <v>11.5</v>
      </c>
      <c r="J266" s="19">
        <v>1</v>
      </c>
      <c r="K266" s="13">
        <v>0.14007</v>
      </c>
      <c r="L266" s="7" t="s">
        <v>477</v>
      </c>
    </row>
    <row r="267" spans="1:12">
      <c r="A267" s="42" t="s">
        <v>78</v>
      </c>
      <c r="B267" s="3"/>
      <c r="C267" s="3">
        <v>8</v>
      </c>
      <c r="D267" s="1"/>
      <c r="E267" s="12" t="s">
        <v>24</v>
      </c>
      <c r="F267" s="7" t="s">
        <v>14</v>
      </c>
      <c r="G267" s="7" t="s">
        <v>28</v>
      </c>
      <c r="H267" s="11">
        <v>12.18</v>
      </c>
      <c r="I267" s="8">
        <v>11</v>
      </c>
      <c r="J267" s="19">
        <v>1</v>
      </c>
      <c r="K267" s="13">
        <v>0.13397999999999999</v>
      </c>
      <c r="L267" s="7" t="s">
        <v>477</v>
      </c>
    </row>
    <row r="268" spans="1:12">
      <c r="A268" s="42" t="s">
        <v>78</v>
      </c>
      <c r="B268" s="3"/>
      <c r="C268" s="3">
        <v>19</v>
      </c>
      <c r="D268" s="1"/>
      <c r="E268" s="12" t="s">
        <v>17</v>
      </c>
      <c r="F268" s="7" t="s">
        <v>15</v>
      </c>
      <c r="G268" s="7" t="s">
        <v>27</v>
      </c>
      <c r="H268" s="11">
        <v>6.17</v>
      </c>
      <c r="I268" s="8">
        <v>6</v>
      </c>
      <c r="J268" s="19">
        <v>1</v>
      </c>
      <c r="K268" s="13">
        <v>3.7019999999999997E-2</v>
      </c>
      <c r="L268" s="7" t="s">
        <v>477</v>
      </c>
    </row>
    <row r="269" spans="1:12">
      <c r="A269" s="42" t="s">
        <v>78</v>
      </c>
      <c r="B269" s="3"/>
      <c r="C269" s="3">
        <v>78</v>
      </c>
      <c r="D269" s="1"/>
      <c r="E269" s="12" t="s">
        <v>17</v>
      </c>
      <c r="F269" s="7" t="s">
        <v>15</v>
      </c>
      <c r="G269" s="7" t="s">
        <v>16</v>
      </c>
      <c r="H269" s="11">
        <v>5.77</v>
      </c>
      <c r="I269" s="8">
        <v>8</v>
      </c>
      <c r="J269" s="19">
        <v>1</v>
      </c>
      <c r="K269" s="13">
        <v>4.616E-2</v>
      </c>
      <c r="L269" s="7" t="s">
        <v>477</v>
      </c>
    </row>
    <row r="270" spans="1:12">
      <c r="A270" s="42" t="s">
        <v>78</v>
      </c>
      <c r="B270" s="3"/>
      <c r="C270" s="3">
        <v>78</v>
      </c>
      <c r="D270" s="1"/>
      <c r="E270" s="12" t="s">
        <v>17</v>
      </c>
      <c r="F270" s="7" t="s">
        <v>15</v>
      </c>
      <c r="G270" s="7" t="s">
        <v>16</v>
      </c>
      <c r="H270" s="11">
        <v>5.77</v>
      </c>
      <c r="I270" s="8">
        <v>7</v>
      </c>
      <c r="J270" s="19">
        <v>1</v>
      </c>
      <c r="K270" s="13">
        <v>4.0390000000000002E-2</v>
      </c>
      <c r="L270" s="7" t="s">
        <v>477</v>
      </c>
    </row>
    <row r="271" spans="1:12">
      <c r="A271" s="42" t="s">
        <v>78</v>
      </c>
      <c r="B271" s="3"/>
      <c r="C271" s="3"/>
      <c r="D271" s="1"/>
      <c r="E271" s="12" t="s">
        <v>17</v>
      </c>
      <c r="F271" s="7" t="s">
        <v>15</v>
      </c>
      <c r="G271" s="7" t="s">
        <v>31</v>
      </c>
      <c r="H271" s="11">
        <v>9.65</v>
      </c>
      <c r="I271" s="8">
        <v>8</v>
      </c>
      <c r="J271" s="19">
        <v>14</v>
      </c>
      <c r="K271" s="13">
        <v>1.0808</v>
      </c>
      <c r="L271" s="7" t="s">
        <v>477</v>
      </c>
    </row>
    <row r="272" spans="1:12">
      <c r="A272" s="42" t="s">
        <v>78</v>
      </c>
      <c r="B272" s="3"/>
      <c r="C272" s="3"/>
      <c r="D272" s="1"/>
      <c r="E272" s="12" t="s">
        <v>152</v>
      </c>
      <c r="F272" s="7" t="s">
        <v>15</v>
      </c>
      <c r="G272" s="7" t="s">
        <v>31</v>
      </c>
      <c r="H272" s="11">
        <v>9.65</v>
      </c>
      <c r="I272" s="8">
        <v>8</v>
      </c>
      <c r="J272" s="19">
        <v>3</v>
      </c>
      <c r="K272" s="13">
        <v>0.23160000000000003</v>
      </c>
      <c r="L272" s="7" t="s">
        <v>477</v>
      </c>
    </row>
    <row r="273" spans="1:12">
      <c r="A273" s="42" t="s">
        <v>78</v>
      </c>
      <c r="B273" s="3"/>
      <c r="C273" s="3">
        <v>80</v>
      </c>
      <c r="D273" s="1"/>
      <c r="E273" s="12" t="s">
        <v>17</v>
      </c>
      <c r="F273" s="7" t="s">
        <v>15</v>
      </c>
      <c r="G273" s="7" t="s">
        <v>16</v>
      </c>
      <c r="H273" s="11">
        <v>5.77</v>
      </c>
      <c r="I273" s="8">
        <v>6.5</v>
      </c>
      <c r="J273" s="19">
        <v>1</v>
      </c>
      <c r="K273" s="13">
        <v>3.7504999999999997E-2</v>
      </c>
      <c r="L273" s="7" t="s">
        <v>477</v>
      </c>
    </row>
    <row r="274" spans="1:12">
      <c r="A274" s="42" t="s">
        <v>78</v>
      </c>
      <c r="B274" s="3"/>
      <c r="C274" s="3">
        <v>80</v>
      </c>
      <c r="D274" s="1"/>
      <c r="E274" s="12" t="s">
        <v>17</v>
      </c>
      <c r="F274" s="7" t="s">
        <v>15</v>
      </c>
      <c r="G274" s="7" t="s">
        <v>16</v>
      </c>
      <c r="H274" s="11">
        <v>5.77</v>
      </c>
      <c r="I274" s="8">
        <v>7.75</v>
      </c>
      <c r="J274" s="19">
        <v>2</v>
      </c>
      <c r="K274" s="13">
        <v>8.9434999999999987E-2</v>
      </c>
      <c r="L274" s="7" t="s">
        <v>477</v>
      </c>
    </row>
    <row r="275" spans="1:12">
      <c r="A275" s="42" t="s">
        <v>78</v>
      </c>
      <c r="B275" s="3"/>
      <c r="C275" s="3">
        <v>80</v>
      </c>
      <c r="D275" s="1"/>
      <c r="E275" s="12" t="s">
        <v>17</v>
      </c>
      <c r="F275" s="7" t="s">
        <v>15</v>
      </c>
      <c r="G275" s="7" t="s">
        <v>16</v>
      </c>
      <c r="H275" s="11">
        <v>5.77</v>
      </c>
      <c r="I275" s="8">
        <v>8</v>
      </c>
      <c r="J275" s="19">
        <v>1</v>
      </c>
      <c r="K275" s="13">
        <v>4.616E-2</v>
      </c>
      <c r="L275" s="7" t="s">
        <v>477</v>
      </c>
    </row>
    <row r="276" spans="1:12">
      <c r="A276" s="42" t="s">
        <v>78</v>
      </c>
      <c r="B276" s="3"/>
      <c r="C276" s="3">
        <v>80</v>
      </c>
      <c r="D276" s="1"/>
      <c r="E276" s="12" t="s">
        <v>17</v>
      </c>
      <c r="F276" s="7" t="s">
        <v>15</v>
      </c>
      <c r="G276" s="7" t="s">
        <v>16</v>
      </c>
      <c r="H276" s="11">
        <v>5.77</v>
      </c>
      <c r="I276" s="8">
        <v>8.1999999999999993</v>
      </c>
      <c r="J276" s="19">
        <v>1</v>
      </c>
      <c r="K276" s="13">
        <v>4.7313999999999995E-2</v>
      </c>
      <c r="L276" s="7" t="s">
        <v>477</v>
      </c>
    </row>
    <row r="277" spans="1:12">
      <c r="A277" s="42" t="s">
        <v>78</v>
      </c>
      <c r="B277" s="3"/>
      <c r="C277" s="3">
        <v>81</v>
      </c>
      <c r="D277" s="1"/>
      <c r="E277" s="12" t="s">
        <v>17</v>
      </c>
      <c r="F277" s="7" t="s">
        <v>15</v>
      </c>
      <c r="G277" s="7" t="s">
        <v>18</v>
      </c>
      <c r="H277" s="11">
        <v>6.86</v>
      </c>
      <c r="I277" s="8">
        <v>7.5</v>
      </c>
      <c r="J277" s="19">
        <v>1</v>
      </c>
      <c r="K277" s="13">
        <v>5.1450000000000003E-2</v>
      </c>
      <c r="L277" s="7" t="s">
        <v>477</v>
      </c>
    </row>
    <row r="278" spans="1:12">
      <c r="A278" s="42" t="s">
        <v>78</v>
      </c>
      <c r="B278" s="3"/>
      <c r="C278" s="3"/>
      <c r="D278" s="1"/>
      <c r="E278" s="12"/>
      <c r="F278" s="7" t="s">
        <v>14</v>
      </c>
      <c r="G278" s="7" t="s">
        <v>36</v>
      </c>
      <c r="H278" s="11">
        <v>10.199999999999999</v>
      </c>
      <c r="I278" s="8">
        <v>8.6999999999999993</v>
      </c>
      <c r="J278" s="19">
        <v>1</v>
      </c>
      <c r="K278" s="13">
        <v>8.8739999999999986E-2</v>
      </c>
      <c r="L278" s="7" t="s">
        <v>477</v>
      </c>
    </row>
    <row r="279" spans="1:12">
      <c r="A279" s="42" t="s">
        <v>78</v>
      </c>
      <c r="B279" s="3"/>
      <c r="C279" s="3"/>
      <c r="D279" s="1"/>
      <c r="E279" s="12" t="s">
        <v>19</v>
      </c>
      <c r="F279" s="7" t="s">
        <v>14</v>
      </c>
      <c r="G279" s="7" t="s">
        <v>40</v>
      </c>
      <c r="H279" s="11">
        <v>16.5</v>
      </c>
      <c r="I279" s="8">
        <v>7.1</v>
      </c>
      <c r="J279" s="19">
        <v>1</v>
      </c>
      <c r="K279" s="13">
        <v>0.11714999999999999</v>
      </c>
      <c r="L279" s="7" t="s">
        <v>477</v>
      </c>
    </row>
    <row r="280" spans="1:12">
      <c r="A280" s="42" t="s">
        <v>78</v>
      </c>
      <c r="B280" s="3"/>
      <c r="C280" s="3">
        <v>12</v>
      </c>
      <c r="D280" s="1"/>
      <c r="E280" s="12" t="s">
        <v>17</v>
      </c>
      <c r="F280" s="7" t="s">
        <v>15</v>
      </c>
      <c r="G280" s="7" t="s">
        <v>25</v>
      </c>
      <c r="H280" s="11">
        <v>7.34</v>
      </c>
      <c r="I280" s="8">
        <v>5.8</v>
      </c>
      <c r="J280" s="19">
        <v>1</v>
      </c>
      <c r="K280" s="13">
        <v>4.2571999999999999E-2</v>
      </c>
      <c r="L280" s="7" t="s">
        <v>477</v>
      </c>
    </row>
    <row r="281" spans="1:12">
      <c r="A281" s="42" t="s">
        <v>78</v>
      </c>
      <c r="B281" s="3"/>
      <c r="C281" s="3"/>
      <c r="D281" s="1"/>
      <c r="E281" s="12" t="s">
        <v>24</v>
      </c>
      <c r="F281" s="7" t="s">
        <v>14</v>
      </c>
      <c r="G281" s="7" t="s">
        <v>25</v>
      </c>
      <c r="H281" s="11">
        <v>7.34</v>
      </c>
      <c r="I281" s="8">
        <v>6.7</v>
      </c>
      <c r="J281" s="19">
        <v>1</v>
      </c>
      <c r="K281" s="13">
        <v>4.9177999999999999E-2</v>
      </c>
      <c r="L281" s="7" t="s">
        <v>477</v>
      </c>
    </row>
    <row r="282" spans="1:12">
      <c r="A282" s="42" t="s">
        <v>78</v>
      </c>
      <c r="B282" s="3"/>
      <c r="C282" s="3"/>
      <c r="D282" s="1"/>
      <c r="E282" s="12" t="s">
        <v>75</v>
      </c>
      <c r="F282" s="7" t="s">
        <v>15</v>
      </c>
      <c r="G282" s="7" t="s">
        <v>32</v>
      </c>
      <c r="H282" s="11">
        <v>8.3000000000000007</v>
      </c>
      <c r="I282" s="8">
        <v>10.5</v>
      </c>
      <c r="J282" s="19">
        <v>1</v>
      </c>
      <c r="K282" s="13">
        <v>8.7150000000000005E-2</v>
      </c>
      <c r="L282" s="7" t="s">
        <v>477</v>
      </c>
    </row>
    <row r="283" spans="1:12">
      <c r="A283" s="42" t="s">
        <v>78</v>
      </c>
      <c r="B283" s="3"/>
      <c r="C283" s="3"/>
      <c r="D283" s="1"/>
      <c r="E283" s="12" t="s">
        <v>75</v>
      </c>
      <c r="F283" s="7" t="s">
        <v>15</v>
      </c>
      <c r="G283" s="7" t="s">
        <v>32</v>
      </c>
      <c r="H283" s="11">
        <v>8.3000000000000007</v>
      </c>
      <c r="I283" s="8">
        <v>8.25</v>
      </c>
      <c r="J283" s="19">
        <v>1</v>
      </c>
      <c r="K283" s="13">
        <v>6.8475000000000008E-2</v>
      </c>
      <c r="L283" s="7" t="s">
        <v>477</v>
      </c>
    </row>
    <row r="284" spans="1:12">
      <c r="A284" s="42" t="s">
        <v>78</v>
      </c>
      <c r="B284" s="3"/>
      <c r="C284" s="3"/>
      <c r="D284" s="1"/>
      <c r="E284" s="59" t="s">
        <v>17</v>
      </c>
      <c r="F284" s="60" t="s">
        <v>15</v>
      </c>
      <c r="G284" s="60" t="s">
        <v>16</v>
      </c>
      <c r="H284" s="61">
        <v>5.77</v>
      </c>
      <c r="I284" s="21">
        <v>10</v>
      </c>
      <c r="J284" s="19">
        <v>1</v>
      </c>
      <c r="K284" s="13">
        <v>5.7699999999999994E-2</v>
      </c>
      <c r="L284" s="7" t="s">
        <v>477</v>
      </c>
    </row>
    <row r="285" spans="1:12">
      <c r="A285" s="42" t="s">
        <v>78</v>
      </c>
      <c r="B285" s="3"/>
      <c r="C285" s="3"/>
      <c r="D285" s="1"/>
      <c r="E285" s="12" t="s">
        <v>81</v>
      </c>
      <c r="F285" s="7" t="s">
        <v>14</v>
      </c>
      <c r="G285" s="7" t="s">
        <v>133</v>
      </c>
      <c r="H285" s="11">
        <v>7.93</v>
      </c>
      <c r="I285" s="8">
        <v>7.8</v>
      </c>
      <c r="J285" s="19">
        <v>1</v>
      </c>
      <c r="K285" s="13">
        <v>6.1853999999999999E-2</v>
      </c>
      <c r="L285" s="7" t="s">
        <v>477</v>
      </c>
    </row>
    <row r="286" spans="1:12">
      <c r="A286" s="42" t="s">
        <v>84</v>
      </c>
      <c r="B286" s="3" t="s">
        <v>115</v>
      </c>
      <c r="C286" s="3">
        <v>3</v>
      </c>
      <c r="D286" s="1"/>
      <c r="E286" s="12" t="s">
        <v>81</v>
      </c>
      <c r="F286" s="7" t="s">
        <v>14</v>
      </c>
      <c r="G286" s="7" t="s">
        <v>31</v>
      </c>
      <c r="H286" s="11">
        <v>9.65</v>
      </c>
      <c r="I286" s="8">
        <v>9.5</v>
      </c>
      <c r="J286" s="19">
        <v>1</v>
      </c>
      <c r="K286" s="13">
        <v>9.1674999999999993E-2</v>
      </c>
      <c r="L286" s="7" t="s">
        <v>477</v>
      </c>
    </row>
    <row r="287" spans="1:12">
      <c r="A287" s="42" t="s">
        <v>84</v>
      </c>
      <c r="B287" s="3" t="s">
        <v>115</v>
      </c>
      <c r="C287" s="3">
        <v>4</v>
      </c>
      <c r="D287" s="1"/>
      <c r="E287" s="12" t="s">
        <v>81</v>
      </c>
      <c r="F287" s="7" t="s">
        <v>14</v>
      </c>
      <c r="G287" s="7" t="s">
        <v>31</v>
      </c>
      <c r="H287" s="11">
        <v>9.65</v>
      </c>
      <c r="I287" s="8">
        <v>12.25</v>
      </c>
      <c r="J287" s="19">
        <v>1</v>
      </c>
      <c r="K287" s="13">
        <v>0.11821250000000001</v>
      </c>
      <c r="L287" s="7" t="s">
        <v>477</v>
      </c>
    </row>
    <row r="288" spans="1:12">
      <c r="A288" s="42" t="s">
        <v>84</v>
      </c>
      <c r="B288" s="3" t="s">
        <v>115</v>
      </c>
      <c r="C288" s="3">
        <v>10</v>
      </c>
      <c r="D288" s="1"/>
      <c r="E288" s="12" t="s">
        <v>81</v>
      </c>
      <c r="F288" s="7" t="s">
        <v>14</v>
      </c>
      <c r="G288" s="7" t="s">
        <v>31</v>
      </c>
      <c r="H288" s="11">
        <v>9.65</v>
      </c>
      <c r="I288" s="8">
        <v>13.1</v>
      </c>
      <c r="J288" s="19">
        <v>7</v>
      </c>
      <c r="K288" s="13">
        <v>0.88490500000000005</v>
      </c>
      <c r="L288" s="7" t="s">
        <v>477</v>
      </c>
    </row>
    <row r="289" spans="1:12">
      <c r="A289" s="42" t="s">
        <v>84</v>
      </c>
      <c r="B289" s="3" t="s">
        <v>116</v>
      </c>
      <c r="C289" s="3">
        <v>4</v>
      </c>
      <c r="D289" s="1"/>
      <c r="E289" s="12" t="s">
        <v>100</v>
      </c>
      <c r="F289" s="7" t="s">
        <v>15</v>
      </c>
      <c r="G289" s="7" t="s">
        <v>25</v>
      </c>
      <c r="H289" s="11">
        <v>7.34</v>
      </c>
      <c r="I289" s="8">
        <v>9.5</v>
      </c>
      <c r="J289" s="19">
        <v>1</v>
      </c>
      <c r="K289" s="13">
        <v>6.973E-2</v>
      </c>
      <c r="L289" s="7" t="s">
        <v>477</v>
      </c>
    </row>
    <row r="290" spans="1:12">
      <c r="A290" s="42" t="s">
        <v>84</v>
      </c>
      <c r="B290" s="3" t="s">
        <v>116</v>
      </c>
      <c r="C290" s="3">
        <v>4</v>
      </c>
      <c r="D290" s="1"/>
      <c r="E290" s="12" t="s">
        <v>100</v>
      </c>
      <c r="F290" s="7" t="s">
        <v>15</v>
      </c>
      <c r="G290" s="7" t="s">
        <v>25</v>
      </c>
      <c r="H290" s="11">
        <v>7.34</v>
      </c>
      <c r="I290" s="8">
        <v>9.9</v>
      </c>
      <c r="J290" s="19">
        <v>1</v>
      </c>
      <c r="K290" s="13">
        <v>7.2665999999999994E-2</v>
      </c>
      <c r="L290" s="7" t="s">
        <v>477</v>
      </c>
    </row>
    <row r="291" spans="1:12">
      <c r="A291" s="42" t="s">
        <v>84</v>
      </c>
      <c r="B291" s="3" t="s">
        <v>118</v>
      </c>
      <c r="C291" s="3">
        <v>3</v>
      </c>
      <c r="D291" s="1"/>
      <c r="E291" s="12" t="s">
        <v>76</v>
      </c>
      <c r="F291" s="7" t="s">
        <v>15</v>
      </c>
      <c r="G291" s="7" t="s">
        <v>29</v>
      </c>
      <c r="H291" s="11">
        <v>10.92</v>
      </c>
      <c r="I291" s="8">
        <v>8.6999999999999993</v>
      </c>
      <c r="J291" s="19">
        <v>1</v>
      </c>
      <c r="K291" s="13">
        <v>9.5003999999999991E-2</v>
      </c>
      <c r="L291" s="7" t="s">
        <v>477</v>
      </c>
    </row>
    <row r="292" spans="1:12">
      <c r="A292" s="42" t="s">
        <v>84</v>
      </c>
      <c r="B292" s="3" t="s">
        <v>118</v>
      </c>
      <c r="C292" s="3">
        <v>4</v>
      </c>
      <c r="D292" s="1"/>
      <c r="E292" s="12" t="s">
        <v>76</v>
      </c>
      <c r="F292" s="7" t="s">
        <v>15</v>
      </c>
      <c r="G292" s="7" t="s">
        <v>29</v>
      </c>
      <c r="H292" s="11">
        <v>10.92</v>
      </c>
      <c r="I292" s="8">
        <v>11.7</v>
      </c>
      <c r="J292" s="19">
        <v>4</v>
      </c>
      <c r="K292" s="13">
        <v>0.51105599999999995</v>
      </c>
      <c r="L292" s="7" t="s">
        <v>477</v>
      </c>
    </row>
    <row r="293" spans="1:12">
      <c r="A293" s="42" t="s">
        <v>84</v>
      </c>
      <c r="B293" s="3" t="s">
        <v>118</v>
      </c>
      <c r="C293" s="3">
        <v>8</v>
      </c>
      <c r="D293" s="1"/>
      <c r="E293" s="12" t="s">
        <v>76</v>
      </c>
      <c r="F293" s="7" t="s">
        <v>15</v>
      </c>
      <c r="G293" s="7" t="s">
        <v>29</v>
      </c>
      <c r="H293" s="11">
        <v>10.92</v>
      </c>
      <c r="I293" s="8">
        <v>12</v>
      </c>
      <c r="J293" s="19">
        <v>3</v>
      </c>
      <c r="K293" s="13">
        <v>0.39312000000000002</v>
      </c>
      <c r="L293" s="7" t="s">
        <v>477</v>
      </c>
    </row>
    <row r="294" spans="1:12">
      <c r="A294" s="42" t="s">
        <v>84</v>
      </c>
      <c r="B294" s="3" t="s">
        <v>119</v>
      </c>
      <c r="C294" s="3">
        <v>1</v>
      </c>
      <c r="D294" s="1"/>
      <c r="E294" s="12" t="s">
        <v>81</v>
      </c>
      <c r="F294" s="7" t="s">
        <v>14</v>
      </c>
      <c r="G294" s="7" t="s">
        <v>28</v>
      </c>
      <c r="H294" s="11">
        <v>12.18</v>
      </c>
      <c r="I294" s="8">
        <v>11.8</v>
      </c>
      <c r="J294" s="19">
        <v>24</v>
      </c>
      <c r="K294" s="13">
        <v>3.4493760000000004</v>
      </c>
      <c r="L294" s="7" t="s">
        <v>477</v>
      </c>
    </row>
    <row r="295" spans="1:12">
      <c r="A295" s="42" t="s">
        <v>84</v>
      </c>
      <c r="B295" s="3" t="s">
        <v>119</v>
      </c>
      <c r="C295" s="3">
        <v>1</v>
      </c>
      <c r="D295" s="1"/>
      <c r="E295" s="12" t="s">
        <v>81</v>
      </c>
      <c r="F295" s="7" t="s">
        <v>14</v>
      </c>
      <c r="G295" s="7" t="s">
        <v>28</v>
      </c>
      <c r="H295" s="11">
        <v>12.18</v>
      </c>
      <c r="I295" s="8">
        <v>10.7</v>
      </c>
      <c r="J295" s="19">
        <v>1</v>
      </c>
      <c r="K295" s="13">
        <v>0.130326</v>
      </c>
      <c r="L295" s="7" t="s">
        <v>477</v>
      </c>
    </row>
    <row r="296" spans="1:12">
      <c r="A296" s="42" t="s">
        <v>84</v>
      </c>
      <c r="B296" s="3" t="s">
        <v>119</v>
      </c>
      <c r="C296" s="3">
        <v>1</v>
      </c>
      <c r="D296" s="1"/>
      <c r="E296" s="12" t="s">
        <v>81</v>
      </c>
      <c r="F296" s="7" t="s">
        <v>14</v>
      </c>
      <c r="G296" s="7" t="s">
        <v>23</v>
      </c>
      <c r="H296" s="11">
        <v>9</v>
      </c>
      <c r="I296" s="8">
        <v>6</v>
      </c>
      <c r="J296" s="19">
        <v>1</v>
      </c>
      <c r="K296" s="13">
        <v>5.3999999999999999E-2</v>
      </c>
      <c r="L296" s="7" t="s">
        <v>477</v>
      </c>
    </row>
    <row r="297" spans="1:12">
      <c r="A297" s="42" t="s">
        <v>84</v>
      </c>
      <c r="B297" s="3" t="s">
        <v>119</v>
      </c>
      <c r="C297" s="3">
        <v>1</v>
      </c>
      <c r="D297" s="1"/>
      <c r="E297" s="12" t="s">
        <v>81</v>
      </c>
      <c r="F297" s="7" t="s">
        <v>14</v>
      </c>
      <c r="G297" s="7" t="s">
        <v>23</v>
      </c>
      <c r="H297" s="11">
        <v>9</v>
      </c>
      <c r="I297" s="8">
        <v>9.1</v>
      </c>
      <c r="J297" s="19">
        <v>1</v>
      </c>
      <c r="K297" s="13">
        <v>8.1899999999999987E-2</v>
      </c>
      <c r="L297" s="7" t="s">
        <v>477</v>
      </c>
    </row>
    <row r="298" spans="1:12">
      <c r="A298" s="42" t="s">
        <v>84</v>
      </c>
      <c r="B298" s="3" t="s">
        <v>119</v>
      </c>
      <c r="C298" s="3">
        <v>1</v>
      </c>
      <c r="D298" s="1"/>
      <c r="E298" s="12" t="s">
        <v>81</v>
      </c>
      <c r="F298" s="7" t="s">
        <v>14</v>
      </c>
      <c r="G298" s="7" t="s">
        <v>23</v>
      </c>
      <c r="H298" s="11">
        <v>9</v>
      </c>
      <c r="I298" s="8">
        <v>8.1999999999999993</v>
      </c>
      <c r="J298" s="19">
        <v>1</v>
      </c>
      <c r="K298" s="13">
        <v>7.3799999999999991E-2</v>
      </c>
      <c r="L298" s="7" t="s">
        <v>477</v>
      </c>
    </row>
    <row r="299" spans="1:12">
      <c r="A299" s="42" t="s">
        <v>84</v>
      </c>
      <c r="B299" s="3" t="s">
        <v>119</v>
      </c>
      <c r="C299" s="3">
        <v>1</v>
      </c>
      <c r="D299" s="1"/>
      <c r="E299" s="12" t="s">
        <v>81</v>
      </c>
      <c r="F299" s="7" t="s">
        <v>14</v>
      </c>
      <c r="G299" s="7" t="s">
        <v>23</v>
      </c>
      <c r="H299" s="11">
        <v>9</v>
      </c>
      <c r="I299" s="8">
        <v>8.75</v>
      </c>
      <c r="J299" s="19">
        <v>1</v>
      </c>
      <c r="K299" s="13">
        <v>7.8750000000000001E-2</v>
      </c>
      <c r="L299" s="7" t="s">
        <v>477</v>
      </c>
    </row>
    <row r="300" spans="1:12">
      <c r="A300" s="42" t="s">
        <v>84</v>
      </c>
      <c r="B300" s="3" t="s">
        <v>119</v>
      </c>
      <c r="C300" s="3">
        <v>1</v>
      </c>
      <c r="D300" s="1"/>
      <c r="E300" s="12" t="s">
        <v>81</v>
      </c>
      <c r="F300" s="7" t="s">
        <v>14</v>
      </c>
      <c r="G300" s="7" t="s">
        <v>23</v>
      </c>
      <c r="H300" s="11">
        <v>9</v>
      </c>
      <c r="I300" s="8">
        <v>8.9</v>
      </c>
      <c r="J300" s="19">
        <v>1</v>
      </c>
      <c r="K300" s="13">
        <v>8.0100000000000005E-2</v>
      </c>
      <c r="L300" s="7" t="s">
        <v>477</v>
      </c>
    </row>
    <row r="301" spans="1:12">
      <c r="A301" s="42" t="s">
        <v>84</v>
      </c>
      <c r="B301" s="3" t="s">
        <v>119</v>
      </c>
      <c r="C301" s="3">
        <v>2</v>
      </c>
      <c r="D301" s="1"/>
      <c r="E301" s="12" t="s">
        <v>81</v>
      </c>
      <c r="F301" s="7" t="s">
        <v>14</v>
      </c>
      <c r="G301" s="7" t="s">
        <v>23</v>
      </c>
      <c r="H301" s="11">
        <v>9</v>
      </c>
      <c r="I301" s="8">
        <v>11.5</v>
      </c>
      <c r="J301" s="19">
        <v>1</v>
      </c>
      <c r="K301" s="13">
        <v>0.10349999999999999</v>
      </c>
      <c r="L301" s="7" t="s">
        <v>477</v>
      </c>
    </row>
    <row r="302" spans="1:12">
      <c r="A302" s="42" t="s">
        <v>84</v>
      </c>
      <c r="B302" s="3" t="s">
        <v>119</v>
      </c>
      <c r="C302" s="3">
        <v>2</v>
      </c>
      <c r="D302" s="1"/>
      <c r="E302" s="12" t="s">
        <v>81</v>
      </c>
      <c r="F302" s="7" t="s">
        <v>14</v>
      </c>
      <c r="G302" s="7" t="s">
        <v>23</v>
      </c>
      <c r="H302" s="11">
        <v>9</v>
      </c>
      <c r="I302" s="8">
        <v>11</v>
      </c>
      <c r="J302" s="19">
        <v>1</v>
      </c>
      <c r="K302" s="13">
        <v>9.9000000000000005E-2</v>
      </c>
      <c r="L302" s="7" t="s">
        <v>477</v>
      </c>
    </row>
    <row r="303" spans="1:12">
      <c r="A303" s="42" t="s">
        <v>84</v>
      </c>
      <c r="B303" s="3" t="s">
        <v>119</v>
      </c>
      <c r="C303" s="3">
        <v>2</v>
      </c>
      <c r="D303" s="1"/>
      <c r="E303" s="12" t="s">
        <v>81</v>
      </c>
      <c r="F303" s="7" t="s">
        <v>14</v>
      </c>
      <c r="G303" s="7" t="s">
        <v>23</v>
      </c>
      <c r="H303" s="11">
        <v>9</v>
      </c>
      <c r="I303" s="8">
        <v>11.7</v>
      </c>
      <c r="J303" s="19">
        <v>1</v>
      </c>
      <c r="K303" s="13">
        <v>0.10529999999999999</v>
      </c>
      <c r="L303" s="7" t="s">
        <v>477</v>
      </c>
    </row>
    <row r="304" spans="1:12">
      <c r="A304" s="42" t="s">
        <v>84</v>
      </c>
      <c r="B304" s="3" t="s">
        <v>119</v>
      </c>
      <c r="C304" s="3">
        <v>4</v>
      </c>
      <c r="D304" s="1"/>
      <c r="E304" s="12" t="s">
        <v>81</v>
      </c>
      <c r="F304" s="7" t="s">
        <v>14</v>
      </c>
      <c r="G304" s="7" t="s">
        <v>23</v>
      </c>
      <c r="H304" s="11">
        <v>9</v>
      </c>
      <c r="I304" s="8">
        <v>11.7</v>
      </c>
      <c r="J304" s="19">
        <v>3</v>
      </c>
      <c r="K304" s="13">
        <v>0.31589999999999996</v>
      </c>
      <c r="L304" s="7" t="s">
        <v>477</v>
      </c>
    </row>
    <row r="305" spans="1:12">
      <c r="A305" s="42" t="s">
        <v>84</v>
      </c>
      <c r="B305" s="3" t="s">
        <v>119</v>
      </c>
      <c r="C305" s="3">
        <v>4</v>
      </c>
      <c r="D305" s="1"/>
      <c r="E305" s="12" t="s">
        <v>81</v>
      </c>
      <c r="F305" s="7" t="s">
        <v>14</v>
      </c>
      <c r="G305" s="7" t="s">
        <v>23</v>
      </c>
      <c r="H305" s="11">
        <v>9</v>
      </c>
      <c r="I305" s="8">
        <v>12.8</v>
      </c>
      <c r="J305" s="19">
        <v>2</v>
      </c>
      <c r="K305" s="13">
        <v>0.23039999999999999</v>
      </c>
      <c r="L305" s="7" t="s">
        <v>477</v>
      </c>
    </row>
    <row r="306" spans="1:12">
      <c r="A306" s="42" t="s">
        <v>84</v>
      </c>
      <c r="B306" s="3" t="s">
        <v>119</v>
      </c>
      <c r="C306" s="3">
        <v>1</v>
      </c>
      <c r="D306" s="1"/>
      <c r="E306" s="12" t="s">
        <v>76</v>
      </c>
      <c r="F306" s="7" t="s">
        <v>15</v>
      </c>
      <c r="G306" s="7" t="s">
        <v>112</v>
      </c>
      <c r="H306" s="11">
        <v>25.4</v>
      </c>
      <c r="I306" s="8">
        <v>10</v>
      </c>
      <c r="J306" s="106">
        <v>1</v>
      </c>
      <c r="K306" s="13">
        <v>0.254</v>
      </c>
      <c r="L306" s="7" t="s">
        <v>477</v>
      </c>
    </row>
    <row r="307" spans="1:12">
      <c r="A307" s="42" t="s">
        <v>84</v>
      </c>
      <c r="B307" s="3"/>
      <c r="C307" s="3">
        <v>1</v>
      </c>
      <c r="D307" s="1"/>
      <c r="E307" s="12" t="s">
        <v>76</v>
      </c>
      <c r="F307" s="7" t="s">
        <v>15</v>
      </c>
      <c r="G307" s="7" t="s">
        <v>112</v>
      </c>
      <c r="H307" s="11">
        <v>25.4</v>
      </c>
      <c r="I307" s="8">
        <v>11.3</v>
      </c>
      <c r="J307" s="106">
        <v>2</v>
      </c>
      <c r="K307" s="13">
        <v>0.57403999999999999</v>
      </c>
      <c r="L307" s="7" t="s">
        <v>477</v>
      </c>
    </row>
    <row r="308" spans="1:12">
      <c r="A308" s="42" t="s">
        <v>84</v>
      </c>
      <c r="B308" s="3" t="s">
        <v>120</v>
      </c>
      <c r="C308" s="3">
        <v>1</v>
      </c>
      <c r="D308" s="1"/>
      <c r="E308" s="12" t="s">
        <v>114</v>
      </c>
      <c r="F308" s="7" t="s">
        <v>15</v>
      </c>
      <c r="G308" s="7" t="s">
        <v>27</v>
      </c>
      <c r="H308" s="11">
        <v>6.17</v>
      </c>
      <c r="I308" s="8">
        <v>9.4</v>
      </c>
      <c r="J308" s="19">
        <v>1</v>
      </c>
      <c r="K308" s="13">
        <v>5.7998000000000008E-2</v>
      </c>
      <c r="L308" s="7" t="s">
        <v>477</v>
      </c>
    </row>
    <row r="309" spans="1:12">
      <c r="A309" s="42" t="s">
        <v>84</v>
      </c>
      <c r="B309" s="3" t="s">
        <v>120</v>
      </c>
      <c r="C309" s="3">
        <v>1</v>
      </c>
      <c r="D309" s="1"/>
      <c r="E309" s="12" t="s">
        <v>114</v>
      </c>
      <c r="F309" s="7" t="s">
        <v>15</v>
      </c>
      <c r="G309" s="7" t="s">
        <v>27</v>
      </c>
      <c r="H309" s="11">
        <v>6.17</v>
      </c>
      <c r="I309" s="8">
        <v>8.5</v>
      </c>
      <c r="J309" s="19">
        <v>1</v>
      </c>
      <c r="K309" s="13">
        <v>5.2444999999999999E-2</v>
      </c>
      <c r="L309" s="7" t="s">
        <v>477</v>
      </c>
    </row>
    <row r="310" spans="1:12">
      <c r="A310" s="42" t="s">
        <v>84</v>
      </c>
      <c r="B310" s="3" t="s">
        <v>121</v>
      </c>
      <c r="C310" s="3">
        <v>1</v>
      </c>
      <c r="D310" s="1"/>
      <c r="E310" s="59" t="s">
        <v>85</v>
      </c>
      <c r="F310" s="7" t="s">
        <v>15</v>
      </c>
      <c r="G310" s="7" t="s">
        <v>18</v>
      </c>
      <c r="H310" s="11">
        <v>6.86</v>
      </c>
      <c r="I310" s="8">
        <v>8.5</v>
      </c>
      <c r="J310" s="19">
        <v>1</v>
      </c>
      <c r="K310" s="13">
        <v>5.8310000000000001E-2</v>
      </c>
      <c r="L310" s="7" t="s">
        <v>477</v>
      </c>
    </row>
    <row r="311" spans="1:12">
      <c r="A311" s="42" t="s">
        <v>84</v>
      </c>
      <c r="B311" s="3" t="s">
        <v>121</v>
      </c>
      <c r="C311" s="3">
        <v>1</v>
      </c>
      <c r="D311" s="1"/>
      <c r="E311" s="12" t="s">
        <v>74</v>
      </c>
      <c r="F311" s="7" t="s">
        <v>15</v>
      </c>
      <c r="G311" s="7" t="s">
        <v>18</v>
      </c>
      <c r="H311" s="11">
        <v>6.86</v>
      </c>
      <c r="I311" s="8">
        <v>8.6999999999999993</v>
      </c>
      <c r="J311" s="19">
        <v>2</v>
      </c>
      <c r="K311" s="13">
        <v>0.11936399999999998</v>
      </c>
      <c r="L311" s="7" t="s">
        <v>477</v>
      </c>
    </row>
    <row r="312" spans="1:12">
      <c r="A312" s="42" t="s">
        <v>84</v>
      </c>
      <c r="B312" s="3" t="s">
        <v>122</v>
      </c>
      <c r="C312" s="3">
        <v>3</v>
      </c>
      <c r="D312" s="1"/>
      <c r="E312" s="12" t="s">
        <v>85</v>
      </c>
      <c r="F312" s="7" t="s">
        <v>15</v>
      </c>
      <c r="G312" s="7" t="s">
        <v>35</v>
      </c>
      <c r="H312" s="11">
        <v>16.579999999999998</v>
      </c>
      <c r="I312" s="8">
        <v>7.3</v>
      </c>
      <c r="J312" s="19">
        <v>1</v>
      </c>
      <c r="K312" s="13">
        <v>0.12103399999999997</v>
      </c>
      <c r="L312" s="7" t="s">
        <v>477</v>
      </c>
    </row>
    <row r="313" spans="1:12">
      <c r="A313" s="42" t="s">
        <v>84</v>
      </c>
      <c r="B313" s="3" t="s">
        <v>122</v>
      </c>
      <c r="C313" s="3">
        <v>4</v>
      </c>
      <c r="D313" s="1"/>
      <c r="E313" s="12" t="s">
        <v>85</v>
      </c>
      <c r="F313" s="7" t="s">
        <v>15</v>
      </c>
      <c r="G313" s="7" t="s">
        <v>35</v>
      </c>
      <c r="H313" s="11">
        <v>16.579999999999998</v>
      </c>
      <c r="I313" s="8">
        <v>9.1999999999999993</v>
      </c>
      <c r="J313" s="19">
        <v>9</v>
      </c>
      <c r="K313" s="13">
        <v>1.3728239999999998</v>
      </c>
      <c r="L313" s="7" t="s">
        <v>477</v>
      </c>
    </row>
    <row r="314" spans="1:12">
      <c r="A314" s="42" t="s">
        <v>84</v>
      </c>
      <c r="B314" s="3" t="s">
        <v>122</v>
      </c>
      <c r="C314" s="3">
        <v>5</v>
      </c>
      <c r="D314" s="1"/>
      <c r="E314" s="12" t="s">
        <v>85</v>
      </c>
      <c r="F314" s="7" t="s">
        <v>15</v>
      </c>
      <c r="G314" s="7" t="s">
        <v>35</v>
      </c>
      <c r="H314" s="11">
        <v>16.579999999999998</v>
      </c>
      <c r="I314" s="8">
        <v>5</v>
      </c>
      <c r="J314" s="19">
        <v>1</v>
      </c>
      <c r="K314" s="13">
        <v>8.2899999999999988E-2</v>
      </c>
      <c r="L314" s="7" t="s">
        <v>477</v>
      </c>
    </row>
    <row r="315" spans="1:12">
      <c r="A315" s="42" t="s">
        <v>84</v>
      </c>
      <c r="B315" s="3" t="s">
        <v>122</v>
      </c>
      <c r="C315" s="3">
        <v>5</v>
      </c>
      <c r="D315" s="1"/>
      <c r="E315" s="12" t="s">
        <v>85</v>
      </c>
      <c r="F315" s="7" t="s">
        <v>15</v>
      </c>
      <c r="G315" s="7" t="s">
        <v>35</v>
      </c>
      <c r="H315" s="11">
        <v>16.579999999999998</v>
      </c>
      <c r="I315" s="8">
        <v>6.5</v>
      </c>
      <c r="J315" s="19">
        <v>2</v>
      </c>
      <c r="K315" s="13">
        <v>0.21553999999999995</v>
      </c>
      <c r="L315" s="7" t="s">
        <v>477</v>
      </c>
    </row>
    <row r="316" spans="1:12">
      <c r="A316" s="42" t="s">
        <v>84</v>
      </c>
      <c r="B316" s="3" t="s">
        <v>122</v>
      </c>
      <c r="C316" s="3">
        <v>5</v>
      </c>
      <c r="D316" s="1"/>
      <c r="E316" s="12" t="s">
        <v>85</v>
      </c>
      <c r="F316" s="7" t="s">
        <v>15</v>
      </c>
      <c r="G316" s="7" t="s">
        <v>35</v>
      </c>
      <c r="H316" s="11">
        <v>16.579999999999998</v>
      </c>
      <c r="I316" s="8">
        <v>6.6</v>
      </c>
      <c r="J316" s="19">
        <v>2</v>
      </c>
      <c r="K316" s="13">
        <v>0.21885599999999997</v>
      </c>
      <c r="L316" s="7" t="s">
        <v>477</v>
      </c>
    </row>
    <row r="317" spans="1:12">
      <c r="A317" s="42" t="s">
        <v>84</v>
      </c>
      <c r="B317" s="3" t="s">
        <v>122</v>
      </c>
      <c r="C317" s="3">
        <v>5</v>
      </c>
      <c r="D317" s="1"/>
      <c r="E317" s="12" t="s">
        <v>85</v>
      </c>
      <c r="F317" s="7" t="s">
        <v>15</v>
      </c>
      <c r="G317" s="7" t="s">
        <v>35</v>
      </c>
      <c r="H317" s="11">
        <v>16.579999999999998</v>
      </c>
      <c r="I317" s="8">
        <v>6.7</v>
      </c>
      <c r="J317" s="19">
        <v>2</v>
      </c>
      <c r="K317" s="13">
        <v>0.22217200000000001</v>
      </c>
      <c r="L317" s="7" t="s">
        <v>477</v>
      </c>
    </row>
    <row r="318" spans="1:12">
      <c r="A318" s="42" t="s">
        <v>84</v>
      </c>
      <c r="B318" s="3" t="s">
        <v>122</v>
      </c>
      <c r="C318" s="3">
        <v>5</v>
      </c>
      <c r="D318" s="1"/>
      <c r="E318" s="12" t="s">
        <v>85</v>
      </c>
      <c r="F318" s="7" t="s">
        <v>15</v>
      </c>
      <c r="G318" s="7" t="s">
        <v>35</v>
      </c>
      <c r="H318" s="11">
        <v>16.579999999999998</v>
      </c>
      <c r="I318" s="8">
        <v>6.8</v>
      </c>
      <c r="J318" s="19">
        <v>5</v>
      </c>
      <c r="K318" s="13">
        <v>0.56371999999999989</v>
      </c>
      <c r="L318" s="7" t="s">
        <v>477</v>
      </c>
    </row>
    <row r="319" spans="1:12">
      <c r="A319" s="42" t="s">
        <v>84</v>
      </c>
      <c r="B319" s="3" t="s">
        <v>122</v>
      </c>
      <c r="C319" s="3">
        <v>5</v>
      </c>
      <c r="D319" s="1"/>
      <c r="E319" s="12" t="s">
        <v>85</v>
      </c>
      <c r="F319" s="7" t="s">
        <v>15</v>
      </c>
      <c r="G319" s="7" t="s">
        <v>35</v>
      </c>
      <c r="H319" s="11">
        <v>16.579999999999998</v>
      </c>
      <c r="I319" s="8">
        <v>7.1</v>
      </c>
      <c r="J319" s="19">
        <v>1</v>
      </c>
      <c r="K319" s="13">
        <v>0.11771799999999998</v>
      </c>
      <c r="L319" s="7" t="s">
        <v>477</v>
      </c>
    </row>
    <row r="320" spans="1:12">
      <c r="A320" s="42" t="s">
        <v>84</v>
      </c>
      <c r="B320" s="3" t="s">
        <v>122</v>
      </c>
      <c r="C320" s="3">
        <v>5</v>
      </c>
      <c r="D320" s="1"/>
      <c r="E320" s="12" t="s">
        <v>85</v>
      </c>
      <c r="F320" s="7" t="s">
        <v>15</v>
      </c>
      <c r="G320" s="7" t="s">
        <v>35</v>
      </c>
      <c r="H320" s="11">
        <v>16.579999999999998</v>
      </c>
      <c r="I320" s="8">
        <v>8.1999999999999993</v>
      </c>
      <c r="J320" s="19">
        <v>4</v>
      </c>
      <c r="K320" s="13">
        <v>0.54382399999999986</v>
      </c>
      <c r="L320" s="7" t="s">
        <v>477</v>
      </c>
    </row>
    <row r="321" spans="1:12">
      <c r="A321" s="42" t="s">
        <v>84</v>
      </c>
      <c r="B321" s="3" t="s">
        <v>122</v>
      </c>
      <c r="C321" s="3">
        <v>17</v>
      </c>
      <c r="D321" s="1"/>
      <c r="E321" s="12" t="s">
        <v>85</v>
      </c>
      <c r="F321" s="7" t="s">
        <v>15</v>
      </c>
      <c r="G321" s="7" t="s">
        <v>35</v>
      </c>
      <c r="H321" s="11">
        <v>16.579999999999998</v>
      </c>
      <c r="I321" s="8">
        <v>8.15</v>
      </c>
      <c r="J321" s="19">
        <v>18</v>
      </c>
      <c r="K321" s="53">
        <v>2.4322859999999999</v>
      </c>
      <c r="L321" s="7" t="s">
        <v>477</v>
      </c>
    </row>
    <row r="322" spans="1:12">
      <c r="A322" s="42" t="s">
        <v>84</v>
      </c>
      <c r="B322" s="3" t="s">
        <v>122</v>
      </c>
      <c r="C322" s="3">
        <v>17</v>
      </c>
      <c r="D322" s="1"/>
      <c r="E322" s="12" t="s">
        <v>85</v>
      </c>
      <c r="F322" s="7" t="s">
        <v>15</v>
      </c>
      <c r="G322" s="7" t="s">
        <v>35</v>
      </c>
      <c r="H322" s="11">
        <v>16.579999999999998</v>
      </c>
      <c r="I322" s="8">
        <v>8.15</v>
      </c>
      <c r="J322" s="19">
        <v>18</v>
      </c>
      <c r="K322" s="13">
        <v>2.4322859999999999</v>
      </c>
      <c r="L322" s="7" t="s">
        <v>477</v>
      </c>
    </row>
    <row r="323" spans="1:12">
      <c r="A323" s="42" t="s">
        <v>84</v>
      </c>
      <c r="B323" s="3" t="s">
        <v>122</v>
      </c>
      <c r="C323" s="3">
        <v>17</v>
      </c>
      <c r="D323" s="1"/>
      <c r="E323" s="12" t="s">
        <v>85</v>
      </c>
      <c r="F323" s="7" t="s">
        <v>15</v>
      </c>
      <c r="G323" s="7" t="s">
        <v>35</v>
      </c>
      <c r="H323" s="11">
        <v>16.579999999999998</v>
      </c>
      <c r="I323" s="8">
        <v>8.15</v>
      </c>
      <c r="J323" s="19">
        <v>18</v>
      </c>
      <c r="K323" s="13">
        <v>2.4322859999999999</v>
      </c>
      <c r="L323" s="7" t="s">
        <v>477</v>
      </c>
    </row>
    <row r="324" spans="1:12">
      <c r="A324" s="42" t="s">
        <v>84</v>
      </c>
      <c r="B324" s="3" t="s">
        <v>122</v>
      </c>
      <c r="C324" s="3">
        <v>17</v>
      </c>
      <c r="D324" s="1"/>
      <c r="E324" s="12" t="s">
        <v>85</v>
      </c>
      <c r="F324" s="7" t="s">
        <v>15</v>
      </c>
      <c r="G324" s="7" t="s">
        <v>35</v>
      </c>
      <c r="H324" s="11">
        <v>16.579999999999998</v>
      </c>
      <c r="I324" s="8">
        <v>8.15</v>
      </c>
      <c r="J324" s="19">
        <v>20</v>
      </c>
      <c r="K324" s="13">
        <v>2.7025399999999995</v>
      </c>
      <c r="L324" s="7" t="s">
        <v>477</v>
      </c>
    </row>
    <row r="325" spans="1:12">
      <c r="A325" s="42" t="s">
        <v>84</v>
      </c>
      <c r="B325" s="3" t="s">
        <v>122</v>
      </c>
      <c r="C325" s="3">
        <v>1</v>
      </c>
      <c r="D325" s="1"/>
      <c r="E325" s="12" t="s">
        <v>86</v>
      </c>
      <c r="F325" s="7" t="s">
        <v>14</v>
      </c>
      <c r="G325" s="7" t="s">
        <v>32</v>
      </c>
      <c r="H325" s="11">
        <v>8.3000000000000007</v>
      </c>
      <c r="I325" s="8">
        <v>10.9</v>
      </c>
      <c r="J325" s="19">
        <v>2</v>
      </c>
      <c r="K325" s="13">
        <v>0.18094000000000002</v>
      </c>
      <c r="L325" s="7" t="s">
        <v>477</v>
      </c>
    </row>
    <row r="326" spans="1:12">
      <c r="A326" s="42" t="s">
        <v>84</v>
      </c>
      <c r="B326" s="3" t="s">
        <v>122</v>
      </c>
      <c r="C326" s="3">
        <v>1</v>
      </c>
      <c r="D326" s="1"/>
      <c r="E326" s="12" t="s">
        <v>86</v>
      </c>
      <c r="F326" s="7" t="s">
        <v>14</v>
      </c>
      <c r="G326" s="7" t="s">
        <v>32</v>
      </c>
      <c r="H326" s="11">
        <v>8.3000000000000007</v>
      </c>
      <c r="I326" s="8">
        <v>9.6999999999999993</v>
      </c>
      <c r="J326" s="19">
        <v>1</v>
      </c>
      <c r="K326" s="13">
        <v>8.0509999999999998E-2</v>
      </c>
      <c r="L326" s="7" t="s">
        <v>477</v>
      </c>
    </row>
    <row r="327" spans="1:12">
      <c r="A327" s="42" t="s">
        <v>84</v>
      </c>
      <c r="B327" s="3" t="s">
        <v>122</v>
      </c>
      <c r="C327" s="3">
        <v>1</v>
      </c>
      <c r="D327" s="1"/>
      <c r="E327" s="12" t="s">
        <v>86</v>
      </c>
      <c r="F327" s="7" t="s">
        <v>14</v>
      </c>
      <c r="G327" s="7" t="s">
        <v>32</v>
      </c>
      <c r="H327" s="11">
        <v>8.3000000000000007</v>
      </c>
      <c r="I327" s="8">
        <v>9.5</v>
      </c>
      <c r="J327" s="19">
        <v>1</v>
      </c>
      <c r="K327" s="13">
        <v>7.8850000000000003E-2</v>
      </c>
      <c r="L327" s="7" t="s">
        <v>477</v>
      </c>
    </row>
    <row r="328" spans="1:12">
      <c r="A328" s="42" t="s">
        <v>84</v>
      </c>
      <c r="B328" s="3" t="s">
        <v>122</v>
      </c>
      <c r="C328" s="3">
        <v>1</v>
      </c>
      <c r="D328" s="1"/>
      <c r="E328" s="12" t="s">
        <v>87</v>
      </c>
      <c r="F328" s="7" t="s">
        <v>15</v>
      </c>
      <c r="G328" s="7" t="s">
        <v>65</v>
      </c>
      <c r="H328" s="11">
        <v>44.12</v>
      </c>
      <c r="I328" s="8">
        <v>10.1</v>
      </c>
      <c r="J328" s="19">
        <v>3</v>
      </c>
      <c r="K328" s="13">
        <v>1.3368359999999997</v>
      </c>
      <c r="L328" s="7" t="s">
        <v>477</v>
      </c>
    </row>
    <row r="329" spans="1:12">
      <c r="A329" s="42" t="s">
        <v>84</v>
      </c>
      <c r="B329" s="3" t="s">
        <v>122</v>
      </c>
      <c r="C329" s="3">
        <v>1</v>
      </c>
      <c r="D329" s="1"/>
      <c r="E329" s="12" t="s">
        <v>87</v>
      </c>
      <c r="F329" s="7" t="s">
        <v>15</v>
      </c>
      <c r="G329" s="7" t="s">
        <v>65</v>
      </c>
      <c r="H329" s="11">
        <v>44.12</v>
      </c>
      <c r="I329" s="8">
        <v>10</v>
      </c>
      <c r="J329" s="19">
        <v>1</v>
      </c>
      <c r="K329" s="13">
        <v>0.44119999999999998</v>
      </c>
      <c r="L329" s="7" t="s">
        <v>477</v>
      </c>
    </row>
    <row r="330" spans="1:12">
      <c r="A330" s="42" t="s">
        <v>84</v>
      </c>
      <c r="B330" s="3" t="s">
        <v>122</v>
      </c>
      <c r="C330" s="3">
        <v>3</v>
      </c>
      <c r="D330" s="1"/>
      <c r="E330" s="12" t="s">
        <v>86</v>
      </c>
      <c r="F330" s="7" t="s">
        <v>14</v>
      </c>
      <c r="G330" s="7" t="s">
        <v>23</v>
      </c>
      <c r="H330" s="11">
        <v>9</v>
      </c>
      <c r="I330" s="8">
        <v>6.6</v>
      </c>
      <c r="J330" s="19">
        <v>1</v>
      </c>
      <c r="K330" s="13">
        <v>5.9400000000000001E-2</v>
      </c>
      <c r="L330" s="7" t="s">
        <v>477</v>
      </c>
    </row>
    <row r="331" spans="1:12">
      <c r="A331" s="42" t="s">
        <v>84</v>
      </c>
      <c r="B331" s="3" t="s">
        <v>122</v>
      </c>
      <c r="C331" s="3">
        <v>4</v>
      </c>
      <c r="D331" s="1"/>
      <c r="E331" s="12" t="s">
        <v>86</v>
      </c>
      <c r="F331" s="7" t="s">
        <v>14</v>
      </c>
      <c r="G331" s="7" t="s">
        <v>23</v>
      </c>
      <c r="H331" s="11">
        <v>9</v>
      </c>
      <c r="I331" s="8">
        <v>9.1999999999999993</v>
      </c>
      <c r="J331" s="19">
        <v>1</v>
      </c>
      <c r="K331" s="13">
        <v>8.2799999999999999E-2</v>
      </c>
      <c r="L331" s="7" t="s">
        <v>477</v>
      </c>
    </row>
    <row r="332" spans="1:12">
      <c r="A332" s="42" t="s">
        <v>84</v>
      </c>
      <c r="B332" s="3" t="s">
        <v>122</v>
      </c>
      <c r="C332" s="3">
        <v>6</v>
      </c>
      <c r="D332" s="1"/>
      <c r="E332" s="12" t="s">
        <v>86</v>
      </c>
      <c r="F332" s="7" t="s">
        <v>14</v>
      </c>
      <c r="G332" s="7" t="s">
        <v>23</v>
      </c>
      <c r="H332" s="11">
        <v>9</v>
      </c>
      <c r="I332" s="8">
        <v>12.65</v>
      </c>
      <c r="J332" s="19">
        <v>1</v>
      </c>
      <c r="K332" s="13">
        <v>0.11385000000000001</v>
      </c>
      <c r="L332" s="7" t="s">
        <v>477</v>
      </c>
    </row>
    <row r="333" spans="1:12">
      <c r="A333" s="42" t="s">
        <v>84</v>
      </c>
      <c r="B333" s="3" t="s">
        <v>122</v>
      </c>
      <c r="C333" s="3">
        <v>7</v>
      </c>
      <c r="D333" s="1"/>
      <c r="E333" s="12" t="s">
        <v>86</v>
      </c>
      <c r="F333" s="7" t="s">
        <v>14</v>
      </c>
      <c r="G333" s="7" t="s">
        <v>23</v>
      </c>
      <c r="H333" s="11">
        <v>9</v>
      </c>
      <c r="I333" s="8">
        <v>12.75</v>
      </c>
      <c r="J333" s="19">
        <v>8</v>
      </c>
      <c r="K333" s="13">
        <v>0.91800000000000004</v>
      </c>
      <c r="L333" s="7" t="s">
        <v>477</v>
      </c>
    </row>
    <row r="334" spans="1:12">
      <c r="A334" s="42" t="s">
        <v>84</v>
      </c>
      <c r="B334" s="3" t="s">
        <v>122</v>
      </c>
      <c r="C334" s="3">
        <v>2</v>
      </c>
      <c r="D334" s="1"/>
      <c r="E334" s="59" t="s">
        <v>81</v>
      </c>
      <c r="F334" s="7" t="s">
        <v>14</v>
      </c>
      <c r="G334" s="7" t="s">
        <v>32</v>
      </c>
      <c r="H334" s="11">
        <v>8.3000000000000007</v>
      </c>
      <c r="I334" s="8">
        <v>10.1</v>
      </c>
      <c r="J334" s="19">
        <v>1</v>
      </c>
      <c r="K334" s="13">
        <v>8.3830000000000002E-2</v>
      </c>
      <c r="L334" s="7" t="s">
        <v>477</v>
      </c>
    </row>
    <row r="335" spans="1:12">
      <c r="A335" s="42" t="s">
        <v>84</v>
      </c>
      <c r="B335" s="3" t="s">
        <v>122</v>
      </c>
      <c r="C335" s="3">
        <v>2</v>
      </c>
      <c r="D335" s="1"/>
      <c r="E335" s="59" t="s">
        <v>81</v>
      </c>
      <c r="F335" s="7" t="s">
        <v>14</v>
      </c>
      <c r="G335" s="7" t="s">
        <v>32</v>
      </c>
      <c r="H335" s="11">
        <v>8.3000000000000007</v>
      </c>
      <c r="I335" s="8">
        <v>10.3</v>
      </c>
      <c r="J335" s="19">
        <v>1</v>
      </c>
      <c r="K335" s="13">
        <v>8.549000000000001E-2</v>
      </c>
      <c r="L335" s="7" t="s">
        <v>477</v>
      </c>
    </row>
    <row r="336" spans="1:12">
      <c r="A336" s="42" t="s">
        <v>84</v>
      </c>
      <c r="B336" s="3" t="s">
        <v>122</v>
      </c>
      <c r="C336" s="3">
        <v>2</v>
      </c>
      <c r="D336" s="1"/>
      <c r="E336" s="59" t="s">
        <v>81</v>
      </c>
      <c r="F336" s="7" t="s">
        <v>14</v>
      </c>
      <c r="G336" s="7" t="s">
        <v>32</v>
      </c>
      <c r="H336" s="11">
        <v>8.3000000000000007</v>
      </c>
      <c r="I336" s="8">
        <v>10</v>
      </c>
      <c r="J336" s="19">
        <v>2</v>
      </c>
      <c r="K336" s="13">
        <v>0.16600000000000001</v>
      </c>
      <c r="L336" s="7" t="s">
        <v>477</v>
      </c>
    </row>
    <row r="337" spans="1:12">
      <c r="A337" s="42" t="s">
        <v>84</v>
      </c>
      <c r="B337" s="3" t="s">
        <v>122</v>
      </c>
      <c r="C337" s="3">
        <v>3</v>
      </c>
      <c r="D337" s="1"/>
      <c r="E337" s="59" t="s">
        <v>81</v>
      </c>
      <c r="F337" s="7" t="s">
        <v>14</v>
      </c>
      <c r="G337" s="7" t="s">
        <v>32</v>
      </c>
      <c r="H337" s="11">
        <v>8.3000000000000007</v>
      </c>
      <c r="I337" s="8">
        <v>12</v>
      </c>
      <c r="J337" s="19">
        <v>13</v>
      </c>
      <c r="K337" s="13">
        <v>1.2948000000000002</v>
      </c>
      <c r="L337" s="7" t="s">
        <v>477</v>
      </c>
    </row>
    <row r="338" spans="1:12">
      <c r="A338" s="42" t="s">
        <v>84</v>
      </c>
      <c r="B338" s="3" t="s">
        <v>122</v>
      </c>
      <c r="C338" s="3">
        <v>1</v>
      </c>
      <c r="D338" s="1"/>
      <c r="E338" s="12" t="s">
        <v>63</v>
      </c>
      <c r="F338" s="7" t="s">
        <v>15</v>
      </c>
      <c r="G338" s="7" t="s">
        <v>18</v>
      </c>
      <c r="H338" s="11">
        <v>6.86</v>
      </c>
      <c r="I338" s="8">
        <v>9.5</v>
      </c>
      <c r="J338" s="19">
        <v>3</v>
      </c>
      <c r="K338" s="13">
        <v>0.19551000000000002</v>
      </c>
      <c r="L338" s="7" t="s">
        <v>477</v>
      </c>
    </row>
    <row r="339" spans="1:12">
      <c r="A339" s="42" t="s">
        <v>84</v>
      </c>
      <c r="B339" s="3" t="s">
        <v>122</v>
      </c>
      <c r="C339" s="3">
        <v>1</v>
      </c>
      <c r="D339" s="1"/>
      <c r="E339" s="12" t="s">
        <v>63</v>
      </c>
      <c r="F339" s="7" t="s">
        <v>15</v>
      </c>
      <c r="G339" s="7" t="s">
        <v>18</v>
      </c>
      <c r="H339" s="11">
        <v>6.86</v>
      </c>
      <c r="I339" s="8">
        <v>10</v>
      </c>
      <c r="J339" s="19">
        <v>9</v>
      </c>
      <c r="K339" s="13">
        <v>0.61739999999999995</v>
      </c>
      <c r="L339" s="7" t="s">
        <v>477</v>
      </c>
    </row>
    <row r="340" spans="1:12">
      <c r="A340" s="42" t="s">
        <v>84</v>
      </c>
      <c r="B340" s="3" t="s">
        <v>122</v>
      </c>
      <c r="C340" s="3">
        <v>1</v>
      </c>
      <c r="D340" s="1"/>
      <c r="E340" s="12" t="s">
        <v>63</v>
      </c>
      <c r="F340" s="7" t="s">
        <v>15</v>
      </c>
      <c r="G340" s="7" t="s">
        <v>18</v>
      </c>
      <c r="H340" s="11">
        <v>6.86</v>
      </c>
      <c r="I340" s="8">
        <v>11</v>
      </c>
      <c r="J340" s="19">
        <v>3</v>
      </c>
      <c r="K340" s="13">
        <v>0.22638000000000003</v>
      </c>
      <c r="L340" s="7" t="s">
        <v>477</v>
      </c>
    </row>
    <row r="341" spans="1:12">
      <c r="A341" s="42" t="s">
        <v>84</v>
      </c>
      <c r="B341" s="3" t="s">
        <v>122</v>
      </c>
      <c r="C341" s="3">
        <v>1</v>
      </c>
      <c r="D341" s="1"/>
      <c r="E341" s="12" t="s">
        <v>63</v>
      </c>
      <c r="F341" s="7" t="s">
        <v>15</v>
      </c>
      <c r="G341" s="7" t="s">
        <v>18</v>
      </c>
      <c r="H341" s="11">
        <v>6.86</v>
      </c>
      <c r="I341" s="8">
        <v>11.5</v>
      </c>
      <c r="J341" s="19">
        <v>4</v>
      </c>
      <c r="K341" s="13">
        <v>0.31556000000000001</v>
      </c>
      <c r="L341" s="7" t="s">
        <v>477</v>
      </c>
    </row>
    <row r="342" spans="1:12">
      <c r="A342" s="42" t="s">
        <v>84</v>
      </c>
      <c r="B342" s="3" t="s">
        <v>122</v>
      </c>
      <c r="C342" s="3">
        <v>1</v>
      </c>
      <c r="D342" s="1"/>
      <c r="E342" s="12" t="s">
        <v>63</v>
      </c>
      <c r="F342" s="7" t="s">
        <v>15</v>
      </c>
      <c r="G342" s="7" t="s">
        <v>18</v>
      </c>
      <c r="H342" s="11">
        <v>6.86</v>
      </c>
      <c r="I342" s="8">
        <v>12</v>
      </c>
      <c r="J342" s="19">
        <v>1</v>
      </c>
      <c r="K342" s="13">
        <v>8.2320000000000004E-2</v>
      </c>
      <c r="L342" s="7" t="s">
        <v>477</v>
      </c>
    </row>
    <row r="343" spans="1:12">
      <c r="A343" s="42" t="s">
        <v>84</v>
      </c>
      <c r="B343" s="3" t="s">
        <v>122</v>
      </c>
      <c r="C343" s="3">
        <v>1</v>
      </c>
      <c r="D343" s="1"/>
      <c r="E343" s="12" t="s">
        <v>19</v>
      </c>
      <c r="F343" s="7" t="s">
        <v>14</v>
      </c>
      <c r="G343" s="7" t="s">
        <v>47</v>
      </c>
      <c r="H343" s="11">
        <v>15</v>
      </c>
      <c r="I343" s="8">
        <v>6.9</v>
      </c>
      <c r="J343" s="19">
        <v>1</v>
      </c>
      <c r="K343" s="13">
        <v>0.10349999999999999</v>
      </c>
      <c r="L343" s="7" t="s">
        <v>477</v>
      </c>
    </row>
    <row r="344" spans="1:12">
      <c r="A344" s="42" t="s">
        <v>84</v>
      </c>
      <c r="B344" s="3" t="s">
        <v>122</v>
      </c>
      <c r="C344" s="3">
        <v>1</v>
      </c>
      <c r="D344" s="1"/>
      <c r="E344" s="12" t="s">
        <v>19</v>
      </c>
      <c r="F344" s="7" t="s">
        <v>14</v>
      </c>
      <c r="G344" s="7" t="s">
        <v>47</v>
      </c>
      <c r="H344" s="11">
        <v>15</v>
      </c>
      <c r="I344" s="8">
        <v>7.25</v>
      </c>
      <c r="J344" s="19">
        <v>1</v>
      </c>
      <c r="K344" s="13">
        <v>0.10875</v>
      </c>
      <c r="L344" s="7" t="s">
        <v>477</v>
      </c>
    </row>
    <row r="345" spans="1:12">
      <c r="A345" s="42" t="s">
        <v>84</v>
      </c>
      <c r="B345" s="3" t="s">
        <v>122</v>
      </c>
      <c r="C345" s="3">
        <v>1</v>
      </c>
      <c r="D345" s="1"/>
      <c r="E345" s="12" t="s">
        <v>19</v>
      </c>
      <c r="F345" s="7" t="s">
        <v>14</v>
      </c>
      <c r="G345" s="7" t="s">
        <v>47</v>
      </c>
      <c r="H345" s="11">
        <v>15</v>
      </c>
      <c r="I345" s="8">
        <v>9.6</v>
      </c>
      <c r="J345" s="19">
        <v>1</v>
      </c>
      <c r="K345" s="13">
        <v>0.14399999999999999</v>
      </c>
      <c r="L345" s="7" t="s">
        <v>477</v>
      </c>
    </row>
    <row r="346" spans="1:12">
      <c r="A346" s="42" t="s">
        <v>84</v>
      </c>
      <c r="B346" s="3" t="s">
        <v>122</v>
      </c>
      <c r="C346" s="3">
        <v>1</v>
      </c>
      <c r="D346" s="1"/>
      <c r="E346" s="12" t="s">
        <v>19</v>
      </c>
      <c r="F346" s="7" t="s">
        <v>14</v>
      </c>
      <c r="G346" s="7" t="s">
        <v>47</v>
      </c>
      <c r="H346" s="11">
        <v>15</v>
      </c>
      <c r="I346" s="8">
        <v>10.1</v>
      </c>
      <c r="J346" s="19">
        <v>1</v>
      </c>
      <c r="K346" s="13">
        <v>0.1515</v>
      </c>
      <c r="L346" s="7" t="s">
        <v>477</v>
      </c>
    </row>
    <row r="347" spans="1:12">
      <c r="A347" s="42" t="s">
        <v>84</v>
      </c>
      <c r="B347" s="3" t="s">
        <v>122</v>
      </c>
      <c r="C347" s="3">
        <v>1</v>
      </c>
      <c r="D347" s="1"/>
      <c r="E347" s="12" t="s">
        <v>81</v>
      </c>
      <c r="F347" s="7" t="s">
        <v>14</v>
      </c>
      <c r="G347" s="7" t="s">
        <v>29</v>
      </c>
      <c r="H347" s="11">
        <v>10.92</v>
      </c>
      <c r="I347" s="8">
        <v>8.9</v>
      </c>
      <c r="J347" s="19">
        <v>1</v>
      </c>
      <c r="K347" s="13">
        <v>9.7187999999999997E-2</v>
      </c>
      <c r="L347" s="7" t="s">
        <v>477</v>
      </c>
    </row>
    <row r="348" spans="1:12">
      <c r="A348" s="42" t="s">
        <v>84</v>
      </c>
      <c r="B348" s="3" t="s">
        <v>122</v>
      </c>
      <c r="C348" s="3">
        <v>1</v>
      </c>
      <c r="D348" s="1"/>
      <c r="E348" s="12" t="s">
        <v>81</v>
      </c>
      <c r="F348" s="7" t="s">
        <v>14</v>
      </c>
      <c r="G348" s="7" t="s">
        <v>29</v>
      </c>
      <c r="H348" s="11">
        <v>10.92</v>
      </c>
      <c r="I348" s="8">
        <v>9.8000000000000007</v>
      </c>
      <c r="J348" s="19">
        <v>1</v>
      </c>
      <c r="K348" s="13">
        <v>0.107016</v>
      </c>
      <c r="L348" s="7" t="s">
        <v>477</v>
      </c>
    </row>
    <row r="349" spans="1:12">
      <c r="A349" s="42"/>
      <c r="B349" s="3" t="s">
        <v>122</v>
      </c>
      <c r="C349" s="3"/>
      <c r="D349" s="1"/>
      <c r="E349" s="12" t="s">
        <v>114</v>
      </c>
      <c r="F349" s="7" t="s">
        <v>15</v>
      </c>
      <c r="G349" s="7" t="s">
        <v>25</v>
      </c>
      <c r="H349" s="11">
        <v>7.34</v>
      </c>
      <c r="I349" s="8">
        <v>10</v>
      </c>
      <c r="J349" s="19">
        <v>1</v>
      </c>
      <c r="K349" s="13">
        <v>7.3400000000000007E-2</v>
      </c>
      <c r="L349" s="7" t="s">
        <v>477</v>
      </c>
    </row>
    <row r="350" spans="1:12">
      <c r="A350" s="42"/>
      <c r="B350" s="3" t="s">
        <v>122</v>
      </c>
      <c r="C350" s="3"/>
      <c r="D350" s="1"/>
      <c r="E350" s="12" t="s">
        <v>114</v>
      </c>
      <c r="F350" s="7" t="s">
        <v>15</v>
      </c>
      <c r="G350" s="7" t="s">
        <v>25</v>
      </c>
      <c r="H350" s="11">
        <v>7.34</v>
      </c>
      <c r="I350" s="8">
        <v>10.199999999999999</v>
      </c>
      <c r="J350" s="19">
        <v>1</v>
      </c>
      <c r="K350" s="13">
        <v>7.486799999999999E-2</v>
      </c>
      <c r="L350" s="7" t="s">
        <v>477</v>
      </c>
    </row>
    <row r="351" spans="1:12">
      <c r="A351" s="42" t="s">
        <v>84</v>
      </c>
      <c r="B351" s="3" t="s">
        <v>122</v>
      </c>
      <c r="C351" s="3">
        <v>1</v>
      </c>
      <c r="D351" s="1"/>
      <c r="E351" s="12" t="s">
        <v>86</v>
      </c>
      <c r="F351" s="7" t="s">
        <v>14</v>
      </c>
      <c r="G351" s="7" t="s">
        <v>52</v>
      </c>
      <c r="H351" s="11">
        <v>17.829999999999998</v>
      </c>
      <c r="I351" s="8">
        <v>11</v>
      </c>
      <c r="J351" s="19">
        <v>1</v>
      </c>
      <c r="K351" s="13">
        <v>0.19613</v>
      </c>
      <c r="L351" s="7" t="s">
        <v>477</v>
      </c>
    </row>
    <row r="352" spans="1:12">
      <c r="A352" s="42" t="s">
        <v>84</v>
      </c>
      <c r="B352" s="3" t="s">
        <v>122</v>
      </c>
      <c r="C352" s="3">
        <v>1</v>
      </c>
      <c r="D352" s="1"/>
      <c r="E352" s="12" t="s">
        <v>63</v>
      </c>
      <c r="F352" s="7" t="s">
        <v>15</v>
      </c>
      <c r="G352" s="7" t="s">
        <v>57</v>
      </c>
      <c r="H352" s="11">
        <v>33.72</v>
      </c>
      <c r="I352" s="8">
        <v>7.5</v>
      </c>
      <c r="J352" s="19">
        <v>3</v>
      </c>
      <c r="K352" s="13">
        <v>0.75869999999999993</v>
      </c>
      <c r="L352" s="7" t="s">
        <v>477</v>
      </c>
    </row>
    <row r="353" spans="1:12">
      <c r="A353" s="42" t="s">
        <v>84</v>
      </c>
      <c r="B353" s="3" t="s">
        <v>122</v>
      </c>
      <c r="C353" s="3">
        <v>1</v>
      </c>
      <c r="D353" s="1"/>
      <c r="E353" s="12" t="s">
        <v>63</v>
      </c>
      <c r="F353" s="7" t="s">
        <v>15</v>
      </c>
      <c r="G353" s="7" t="s">
        <v>57</v>
      </c>
      <c r="H353" s="11">
        <v>33.72</v>
      </c>
      <c r="I353" s="8">
        <v>8</v>
      </c>
      <c r="J353" s="19">
        <v>2</v>
      </c>
      <c r="K353" s="13">
        <v>0.53952</v>
      </c>
      <c r="L353" s="7" t="s">
        <v>477</v>
      </c>
    </row>
    <row r="354" spans="1:12">
      <c r="A354" s="42" t="s">
        <v>84</v>
      </c>
      <c r="B354" s="3" t="s">
        <v>122</v>
      </c>
      <c r="C354" s="3">
        <v>1</v>
      </c>
      <c r="D354" s="1"/>
      <c r="E354" s="12" t="s">
        <v>63</v>
      </c>
      <c r="F354" s="7" t="s">
        <v>15</v>
      </c>
      <c r="G354" s="7" t="s">
        <v>54</v>
      </c>
      <c r="H354" s="11">
        <v>31.6</v>
      </c>
      <c r="I354" s="8">
        <v>8.1</v>
      </c>
      <c r="J354" s="19">
        <v>1</v>
      </c>
      <c r="K354" s="13">
        <v>0.25596000000000002</v>
      </c>
      <c r="L354" s="7" t="s">
        <v>477</v>
      </c>
    </row>
    <row r="355" spans="1:12">
      <c r="A355" s="42" t="s">
        <v>84</v>
      </c>
      <c r="B355" s="3" t="s">
        <v>122</v>
      </c>
      <c r="C355" s="3">
        <v>1</v>
      </c>
      <c r="D355" s="1"/>
      <c r="E355" s="12" t="s">
        <v>63</v>
      </c>
      <c r="F355" s="7" t="s">
        <v>15</v>
      </c>
      <c r="G355" s="7" t="s">
        <v>54</v>
      </c>
      <c r="H355" s="11">
        <v>31.6</v>
      </c>
      <c r="I355" s="8">
        <v>8.4</v>
      </c>
      <c r="J355" s="19">
        <v>2</v>
      </c>
      <c r="K355" s="13">
        <v>0.53088000000000002</v>
      </c>
      <c r="L355" s="7" t="s">
        <v>477</v>
      </c>
    </row>
    <row r="356" spans="1:12">
      <c r="A356" s="42" t="s">
        <v>84</v>
      </c>
      <c r="B356" s="3" t="s">
        <v>122</v>
      </c>
      <c r="C356" s="3">
        <v>1</v>
      </c>
      <c r="D356" s="1"/>
      <c r="E356" s="12" t="s">
        <v>63</v>
      </c>
      <c r="F356" s="7" t="s">
        <v>15</v>
      </c>
      <c r="G356" s="7" t="s">
        <v>54</v>
      </c>
      <c r="H356" s="11">
        <v>31.6</v>
      </c>
      <c r="I356" s="8">
        <v>9.5</v>
      </c>
      <c r="J356" s="19">
        <v>1</v>
      </c>
      <c r="K356" s="13">
        <v>0.30019999999999997</v>
      </c>
      <c r="L356" s="7" t="s">
        <v>477</v>
      </c>
    </row>
    <row r="357" spans="1:12">
      <c r="A357" s="42" t="s">
        <v>84</v>
      </c>
      <c r="B357" s="3" t="s">
        <v>122</v>
      </c>
      <c r="C357" s="3">
        <v>1</v>
      </c>
      <c r="D357" s="1"/>
      <c r="E357" s="12" t="s">
        <v>19</v>
      </c>
      <c r="F357" s="7" t="s">
        <v>14</v>
      </c>
      <c r="G357" s="7" t="s">
        <v>35</v>
      </c>
      <c r="H357" s="11">
        <v>16.579999999999998</v>
      </c>
      <c r="I357" s="8">
        <v>6.9</v>
      </c>
      <c r="J357" s="19">
        <v>3</v>
      </c>
      <c r="K357" s="13">
        <v>0.34320600000000001</v>
      </c>
      <c r="L357" s="7" t="s">
        <v>477</v>
      </c>
    </row>
    <row r="358" spans="1:12">
      <c r="A358" s="42" t="s">
        <v>84</v>
      </c>
      <c r="B358" s="3" t="s">
        <v>122</v>
      </c>
      <c r="C358" s="3">
        <v>1</v>
      </c>
      <c r="D358" s="1"/>
      <c r="E358" s="12" t="s">
        <v>19</v>
      </c>
      <c r="F358" s="7" t="s">
        <v>14</v>
      </c>
      <c r="G358" s="7" t="s">
        <v>28</v>
      </c>
      <c r="H358" s="11">
        <v>12.18</v>
      </c>
      <c r="I358" s="8">
        <v>10.1</v>
      </c>
      <c r="J358" s="19">
        <v>1</v>
      </c>
      <c r="K358" s="13">
        <v>0.12301799999999999</v>
      </c>
      <c r="L358" s="7" t="s">
        <v>477</v>
      </c>
    </row>
    <row r="359" spans="1:12">
      <c r="A359" s="42" t="s">
        <v>84</v>
      </c>
      <c r="B359" s="3" t="s">
        <v>122</v>
      </c>
      <c r="C359" s="3">
        <v>1</v>
      </c>
      <c r="D359" s="1"/>
      <c r="E359" s="12" t="s">
        <v>19</v>
      </c>
      <c r="F359" s="7" t="s">
        <v>14</v>
      </c>
      <c r="G359" s="7" t="s">
        <v>28</v>
      </c>
      <c r="H359" s="11">
        <v>12.18</v>
      </c>
      <c r="I359" s="8">
        <v>11.1</v>
      </c>
      <c r="J359" s="19">
        <v>1</v>
      </c>
      <c r="K359" s="13">
        <v>0.13519799999999998</v>
      </c>
      <c r="L359" s="7" t="s">
        <v>477</v>
      </c>
    </row>
    <row r="360" spans="1:12">
      <c r="A360" s="42" t="s">
        <v>84</v>
      </c>
      <c r="B360" s="3" t="s">
        <v>122</v>
      </c>
      <c r="C360" s="3">
        <v>1</v>
      </c>
      <c r="D360" s="1"/>
      <c r="E360" s="12" t="s">
        <v>20</v>
      </c>
      <c r="F360" s="7" t="s">
        <v>15</v>
      </c>
      <c r="G360" s="7" t="s">
        <v>35</v>
      </c>
      <c r="H360" s="11">
        <v>16.579999999999998</v>
      </c>
      <c r="I360" s="8">
        <v>7</v>
      </c>
      <c r="J360" s="19">
        <v>1</v>
      </c>
      <c r="K360" s="13">
        <v>0.11605999999999998</v>
      </c>
      <c r="L360" s="7" t="s">
        <v>477</v>
      </c>
    </row>
    <row r="361" spans="1:12">
      <c r="A361" s="42" t="s">
        <v>84</v>
      </c>
      <c r="B361" s="3" t="s">
        <v>122</v>
      </c>
      <c r="C361" s="3">
        <v>1</v>
      </c>
      <c r="D361" s="1"/>
      <c r="E361" s="12" t="s">
        <v>20</v>
      </c>
      <c r="F361" s="7" t="s">
        <v>15</v>
      </c>
      <c r="G361" s="7" t="s">
        <v>35</v>
      </c>
      <c r="H361" s="11">
        <v>16.579999999999998</v>
      </c>
      <c r="I361" s="8">
        <v>9.1999999999999993</v>
      </c>
      <c r="J361" s="19">
        <v>1</v>
      </c>
      <c r="K361" s="13">
        <v>0.15253599999999998</v>
      </c>
      <c r="L361" s="7" t="s">
        <v>477</v>
      </c>
    </row>
    <row r="362" spans="1:12">
      <c r="A362" s="42" t="s">
        <v>84</v>
      </c>
      <c r="B362" s="3" t="s">
        <v>122</v>
      </c>
      <c r="C362" s="3">
        <v>1</v>
      </c>
      <c r="D362" s="1"/>
      <c r="E362" s="12" t="s">
        <v>20</v>
      </c>
      <c r="F362" s="7" t="s">
        <v>15</v>
      </c>
      <c r="G362" s="7" t="s">
        <v>35</v>
      </c>
      <c r="H362" s="11">
        <v>16.579999999999998</v>
      </c>
      <c r="I362" s="8">
        <v>10</v>
      </c>
      <c r="J362" s="19">
        <v>1</v>
      </c>
      <c r="K362" s="13">
        <v>0.16579999999999998</v>
      </c>
      <c r="L362" s="7" t="s">
        <v>477</v>
      </c>
    </row>
    <row r="363" spans="1:12">
      <c r="A363" s="42" t="s">
        <v>84</v>
      </c>
      <c r="B363" s="3" t="s">
        <v>122</v>
      </c>
      <c r="C363" s="3">
        <v>1</v>
      </c>
      <c r="D363" s="1"/>
      <c r="E363" s="12" t="s">
        <v>20</v>
      </c>
      <c r="F363" s="7" t="s">
        <v>15</v>
      </c>
      <c r="G363" s="7" t="s">
        <v>35</v>
      </c>
      <c r="H363" s="11">
        <v>16.579999999999998</v>
      </c>
      <c r="I363" s="8">
        <v>12</v>
      </c>
      <c r="J363" s="19">
        <v>3</v>
      </c>
      <c r="K363" s="13">
        <v>0.59687999999999986</v>
      </c>
      <c r="L363" s="7" t="s">
        <v>477</v>
      </c>
    </row>
    <row r="364" spans="1:12">
      <c r="A364" s="42" t="s">
        <v>84</v>
      </c>
      <c r="B364" s="3" t="s">
        <v>122</v>
      </c>
      <c r="C364" s="3">
        <v>1</v>
      </c>
      <c r="D364" s="1"/>
      <c r="E364" s="12" t="s">
        <v>88</v>
      </c>
      <c r="F364" s="7" t="s">
        <v>15</v>
      </c>
      <c r="G364" s="7" t="s">
        <v>44</v>
      </c>
      <c r="H364" s="11">
        <v>13.4</v>
      </c>
      <c r="I364" s="8">
        <v>7.2</v>
      </c>
      <c r="J364" s="19">
        <v>1</v>
      </c>
      <c r="K364" s="13">
        <v>9.648000000000001E-2</v>
      </c>
      <c r="L364" s="7" t="s">
        <v>477</v>
      </c>
    </row>
    <row r="365" spans="1:12">
      <c r="A365" s="42" t="s">
        <v>84</v>
      </c>
      <c r="B365" s="3" t="s">
        <v>122</v>
      </c>
      <c r="C365" s="3">
        <v>1</v>
      </c>
      <c r="D365" s="1"/>
      <c r="E365" s="12" t="s">
        <v>88</v>
      </c>
      <c r="F365" s="7" t="s">
        <v>15</v>
      </c>
      <c r="G365" s="7" t="s">
        <v>44</v>
      </c>
      <c r="H365" s="11">
        <v>13.4</v>
      </c>
      <c r="I365" s="8">
        <v>7.6</v>
      </c>
      <c r="J365" s="19">
        <v>2</v>
      </c>
      <c r="K365" s="13">
        <v>0.20368</v>
      </c>
      <c r="L365" s="7" t="s">
        <v>477</v>
      </c>
    </row>
    <row r="366" spans="1:12">
      <c r="A366" s="42" t="s">
        <v>84</v>
      </c>
      <c r="B366" s="3" t="s">
        <v>122</v>
      </c>
      <c r="C366" s="3">
        <v>1</v>
      </c>
      <c r="D366" s="1"/>
      <c r="E366" s="12" t="s">
        <v>88</v>
      </c>
      <c r="F366" s="7" t="s">
        <v>15</v>
      </c>
      <c r="G366" s="7" t="s">
        <v>44</v>
      </c>
      <c r="H366" s="11">
        <v>13.4</v>
      </c>
      <c r="I366" s="8">
        <v>7.8</v>
      </c>
      <c r="J366" s="19">
        <v>1</v>
      </c>
      <c r="K366" s="13">
        <v>0.10452</v>
      </c>
      <c r="L366" s="7" t="s">
        <v>477</v>
      </c>
    </row>
    <row r="367" spans="1:12">
      <c r="A367" s="42" t="s">
        <v>84</v>
      </c>
      <c r="B367" s="3"/>
      <c r="C367" s="3">
        <v>1</v>
      </c>
      <c r="D367" s="1"/>
      <c r="E367" s="12" t="s">
        <v>20</v>
      </c>
      <c r="F367" s="7" t="s">
        <v>15</v>
      </c>
      <c r="G367" s="7" t="s">
        <v>35</v>
      </c>
      <c r="H367" s="11">
        <v>16.579999999999998</v>
      </c>
      <c r="I367" s="8">
        <v>12</v>
      </c>
      <c r="J367" s="19">
        <v>5</v>
      </c>
      <c r="K367" s="13">
        <v>0.99479999999999991</v>
      </c>
      <c r="L367" s="7" t="s">
        <v>477</v>
      </c>
    </row>
    <row r="368" spans="1:12">
      <c r="A368" s="42" t="s">
        <v>84</v>
      </c>
      <c r="B368" s="3" t="s">
        <v>122</v>
      </c>
      <c r="C368" s="3">
        <v>1</v>
      </c>
      <c r="D368" s="1"/>
      <c r="E368" s="12" t="s">
        <v>81</v>
      </c>
      <c r="F368" s="7" t="s">
        <v>14</v>
      </c>
      <c r="G368" s="7" t="s">
        <v>52</v>
      </c>
      <c r="H368" s="11">
        <v>17.829999999999998</v>
      </c>
      <c r="I368" s="8">
        <v>11.5</v>
      </c>
      <c r="J368" s="19">
        <v>12</v>
      </c>
      <c r="K368" s="13">
        <v>2.4605399999999999</v>
      </c>
      <c r="L368" s="7" t="s">
        <v>477</v>
      </c>
    </row>
    <row r="369" spans="1:12">
      <c r="A369" s="42" t="s">
        <v>84</v>
      </c>
      <c r="B369" s="3" t="s">
        <v>122</v>
      </c>
      <c r="C369" s="3">
        <v>1</v>
      </c>
      <c r="D369" s="1"/>
      <c r="E369" s="12" t="s">
        <v>88</v>
      </c>
      <c r="F369" s="7" t="s">
        <v>15</v>
      </c>
      <c r="G369" s="7" t="s">
        <v>30</v>
      </c>
      <c r="H369" s="11">
        <v>9.26</v>
      </c>
      <c r="I369" s="184">
        <v>7</v>
      </c>
      <c r="J369" s="19">
        <v>1</v>
      </c>
      <c r="K369" s="13">
        <v>6.4819999999999989E-2</v>
      </c>
      <c r="L369" s="7" t="s">
        <v>477</v>
      </c>
    </row>
    <row r="370" spans="1:12">
      <c r="A370" s="42" t="s">
        <v>84</v>
      </c>
      <c r="B370" s="3" t="s">
        <v>122</v>
      </c>
      <c r="C370" s="3">
        <v>1</v>
      </c>
      <c r="D370" s="1"/>
      <c r="E370" s="12" t="s">
        <v>88</v>
      </c>
      <c r="F370" s="7" t="s">
        <v>15</v>
      </c>
      <c r="G370" s="7" t="s">
        <v>30</v>
      </c>
      <c r="H370" s="11">
        <v>9.26</v>
      </c>
      <c r="I370" s="184">
        <v>7.8</v>
      </c>
      <c r="J370" s="19">
        <v>1</v>
      </c>
      <c r="K370" s="13">
        <v>7.2228000000000001E-2</v>
      </c>
      <c r="L370" s="7" t="s">
        <v>477</v>
      </c>
    </row>
    <row r="371" spans="1:12">
      <c r="A371" s="42" t="s">
        <v>84</v>
      </c>
      <c r="B371" s="3" t="s">
        <v>122</v>
      </c>
      <c r="C371" s="3">
        <v>1</v>
      </c>
      <c r="D371" s="1"/>
      <c r="E371" s="12" t="s">
        <v>88</v>
      </c>
      <c r="F371" s="7" t="s">
        <v>15</v>
      </c>
      <c r="G371" s="7" t="s">
        <v>30</v>
      </c>
      <c r="H371" s="11">
        <v>9.26</v>
      </c>
      <c r="I371" s="184">
        <v>8.5</v>
      </c>
      <c r="J371" s="19">
        <v>2</v>
      </c>
      <c r="K371" s="13">
        <v>0.15741999999999998</v>
      </c>
      <c r="L371" s="7" t="s">
        <v>477</v>
      </c>
    </row>
    <row r="372" spans="1:12">
      <c r="A372" s="42" t="s">
        <v>84</v>
      </c>
      <c r="B372" s="3" t="s">
        <v>122</v>
      </c>
      <c r="C372" s="3">
        <v>1</v>
      </c>
      <c r="D372" s="1"/>
      <c r="E372" s="12" t="s">
        <v>88</v>
      </c>
      <c r="F372" s="7" t="s">
        <v>15</v>
      </c>
      <c r="G372" s="7" t="s">
        <v>30</v>
      </c>
      <c r="H372" s="11">
        <v>9.26</v>
      </c>
      <c r="I372" s="184">
        <v>9</v>
      </c>
      <c r="J372" s="19">
        <v>1</v>
      </c>
      <c r="K372" s="13">
        <v>8.3339999999999997E-2</v>
      </c>
      <c r="L372" s="7" t="s">
        <v>477</v>
      </c>
    </row>
    <row r="373" spans="1:12">
      <c r="A373" s="42" t="s">
        <v>84</v>
      </c>
      <c r="B373" s="3" t="s">
        <v>124</v>
      </c>
      <c r="C373" s="3">
        <v>1</v>
      </c>
      <c r="D373" s="1"/>
      <c r="E373" s="12" t="s">
        <v>75</v>
      </c>
      <c r="F373" s="7" t="s">
        <v>15</v>
      </c>
      <c r="G373" s="7" t="s">
        <v>25</v>
      </c>
      <c r="H373" s="11">
        <v>7.34</v>
      </c>
      <c r="I373" s="8">
        <v>11.2</v>
      </c>
      <c r="J373" s="19">
        <v>1</v>
      </c>
      <c r="K373" s="13">
        <v>8.2208000000000003E-2</v>
      </c>
      <c r="L373" s="7" t="s">
        <v>477</v>
      </c>
    </row>
    <row r="374" spans="1:12">
      <c r="A374" s="42" t="s">
        <v>84</v>
      </c>
      <c r="B374" s="3" t="s">
        <v>124</v>
      </c>
      <c r="C374" s="3">
        <v>1</v>
      </c>
      <c r="D374" s="1"/>
      <c r="E374" s="12" t="s">
        <v>75</v>
      </c>
      <c r="F374" s="7" t="s">
        <v>15</v>
      </c>
      <c r="G374" s="7" t="s">
        <v>25</v>
      </c>
      <c r="H374" s="11">
        <v>7.34</v>
      </c>
      <c r="I374" s="8">
        <v>9.5</v>
      </c>
      <c r="J374" s="19">
        <v>3</v>
      </c>
      <c r="K374" s="13">
        <v>0.20918999999999999</v>
      </c>
      <c r="L374" s="7" t="s">
        <v>477</v>
      </c>
    </row>
    <row r="375" spans="1:12">
      <c r="A375" s="42" t="s">
        <v>84</v>
      </c>
      <c r="B375" s="3" t="s">
        <v>124</v>
      </c>
      <c r="C375" s="3">
        <v>2</v>
      </c>
      <c r="D375" s="1"/>
      <c r="E375" s="12" t="s">
        <v>75</v>
      </c>
      <c r="F375" s="7" t="s">
        <v>15</v>
      </c>
      <c r="G375" s="7" t="s">
        <v>25</v>
      </c>
      <c r="H375" s="11">
        <v>7.34</v>
      </c>
      <c r="I375" s="8">
        <v>11.8</v>
      </c>
      <c r="J375" s="19">
        <v>9</v>
      </c>
      <c r="K375" s="13">
        <v>0.77950800000000009</v>
      </c>
      <c r="L375" s="7" t="s">
        <v>477</v>
      </c>
    </row>
    <row r="376" spans="1:12">
      <c r="A376" s="42" t="s">
        <v>84</v>
      </c>
      <c r="B376" s="3" t="s">
        <v>124</v>
      </c>
      <c r="C376" s="3">
        <v>1</v>
      </c>
      <c r="D376" s="1"/>
      <c r="E376" s="12" t="s">
        <v>17</v>
      </c>
      <c r="F376" s="7" t="s">
        <v>15</v>
      </c>
      <c r="G376" s="7" t="s">
        <v>30</v>
      </c>
      <c r="H376" s="11">
        <v>9.26</v>
      </c>
      <c r="I376" s="184">
        <v>6.8</v>
      </c>
      <c r="J376" s="19">
        <v>3</v>
      </c>
      <c r="K376" s="13">
        <v>0.18890399999999999</v>
      </c>
      <c r="L376" s="7" t="s">
        <v>477</v>
      </c>
    </row>
    <row r="377" spans="1:12">
      <c r="A377" s="42" t="s">
        <v>84</v>
      </c>
      <c r="B377" s="3" t="s">
        <v>124</v>
      </c>
      <c r="C377" s="3">
        <v>4</v>
      </c>
      <c r="D377" s="1"/>
      <c r="E377" s="12" t="s">
        <v>17</v>
      </c>
      <c r="F377" s="7" t="s">
        <v>15</v>
      </c>
      <c r="G377" s="7" t="s">
        <v>30</v>
      </c>
      <c r="H377" s="11">
        <v>9.26</v>
      </c>
      <c r="I377" s="184">
        <v>5.8</v>
      </c>
      <c r="J377" s="19">
        <v>1</v>
      </c>
      <c r="K377" s="13">
        <v>5.3707999999999999E-2</v>
      </c>
      <c r="L377" s="7" t="s">
        <v>477</v>
      </c>
    </row>
    <row r="378" spans="1:12">
      <c r="A378" s="42" t="s">
        <v>84</v>
      </c>
      <c r="B378" s="3" t="s">
        <v>124</v>
      </c>
      <c r="C378" s="3">
        <v>4</v>
      </c>
      <c r="D378" s="2"/>
      <c r="E378" s="12" t="s">
        <v>17</v>
      </c>
      <c r="F378" s="7" t="s">
        <v>15</v>
      </c>
      <c r="G378" s="7" t="s">
        <v>30</v>
      </c>
      <c r="H378" s="11">
        <v>9.26</v>
      </c>
      <c r="I378" s="332">
        <v>6</v>
      </c>
      <c r="J378" s="19">
        <v>7</v>
      </c>
      <c r="K378" s="13">
        <v>0.38892000000000004</v>
      </c>
      <c r="L378" s="7" t="s">
        <v>477</v>
      </c>
    </row>
    <row r="379" spans="1:12">
      <c r="A379" s="42" t="s">
        <v>84</v>
      </c>
      <c r="B379" s="3" t="s">
        <v>124</v>
      </c>
      <c r="C379" s="3">
        <v>4</v>
      </c>
      <c r="D379" s="1"/>
      <c r="E379" s="12" t="s">
        <v>17</v>
      </c>
      <c r="F379" s="7" t="s">
        <v>15</v>
      </c>
      <c r="G379" s="7" t="s">
        <v>30</v>
      </c>
      <c r="H379" s="11">
        <v>9.26</v>
      </c>
      <c r="I379" s="184">
        <v>6.6</v>
      </c>
      <c r="J379" s="19">
        <v>1</v>
      </c>
      <c r="K379" s="13">
        <v>6.111599999999999E-2</v>
      </c>
      <c r="L379" s="7" t="s">
        <v>477</v>
      </c>
    </row>
    <row r="380" spans="1:12">
      <c r="A380" s="42" t="s">
        <v>84</v>
      </c>
      <c r="B380" s="3" t="s">
        <v>124</v>
      </c>
      <c r="C380" s="3">
        <v>4</v>
      </c>
      <c r="D380" s="1"/>
      <c r="E380" s="12" t="s">
        <v>17</v>
      </c>
      <c r="F380" s="7" t="s">
        <v>15</v>
      </c>
      <c r="G380" s="7" t="s">
        <v>30</v>
      </c>
      <c r="H380" s="11">
        <v>9.26</v>
      </c>
      <c r="I380" s="184">
        <v>6.5</v>
      </c>
      <c r="J380" s="19">
        <v>7</v>
      </c>
      <c r="K380" s="13">
        <v>0.42132999999999998</v>
      </c>
      <c r="L380" s="7" t="s">
        <v>477</v>
      </c>
    </row>
    <row r="381" spans="1:12">
      <c r="A381" s="42" t="s">
        <v>84</v>
      </c>
      <c r="B381" s="3" t="s">
        <v>124</v>
      </c>
      <c r="C381" s="3">
        <v>1</v>
      </c>
      <c r="D381" s="1"/>
      <c r="E381" s="12" t="s">
        <v>63</v>
      </c>
      <c r="F381" s="7" t="s">
        <v>15</v>
      </c>
      <c r="G381" s="7" t="s">
        <v>58</v>
      </c>
      <c r="H381" s="11">
        <v>27.29</v>
      </c>
      <c r="I381" s="8">
        <v>5.9</v>
      </c>
      <c r="J381" s="19">
        <v>2</v>
      </c>
      <c r="K381" s="13">
        <v>0.32202199999999997</v>
      </c>
      <c r="L381" s="7" t="s">
        <v>477</v>
      </c>
    </row>
    <row r="382" spans="1:12">
      <c r="A382" s="42" t="s">
        <v>84</v>
      </c>
      <c r="B382" s="3" t="s">
        <v>124</v>
      </c>
      <c r="C382" s="3">
        <v>1</v>
      </c>
      <c r="D382" s="1"/>
      <c r="E382" s="12" t="s">
        <v>63</v>
      </c>
      <c r="F382" s="7" t="s">
        <v>15</v>
      </c>
      <c r="G382" s="7" t="s">
        <v>58</v>
      </c>
      <c r="H382" s="11">
        <v>27.29</v>
      </c>
      <c r="I382" s="8">
        <v>6</v>
      </c>
      <c r="J382" s="19">
        <v>1</v>
      </c>
      <c r="K382" s="13">
        <v>0.16374</v>
      </c>
      <c r="L382" s="7" t="s">
        <v>477</v>
      </c>
    </row>
    <row r="383" spans="1:12">
      <c r="A383" s="42" t="s">
        <v>84</v>
      </c>
      <c r="B383" s="3" t="s">
        <v>124</v>
      </c>
      <c r="C383" s="3">
        <v>1</v>
      </c>
      <c r="D383" s="1"/>
      <c r="E383" s="12" t="s">
        <v>126</v>
      </c>
      <c r="F383" s="7" t="s">
        <v>15</v>
      </c>
      <c r="G383" s="7" t="s">
        <v>42</v>
      </c>
      <c r="H383" s="11">
        <v>19.72</v>
      </c>
      <c r="I383" s="8">
        <v>6.5</v>
      </c>
      <c r="J383" s="19">
        <v>1</v>
      </c>
      <c r="K383" s="13">
        <v>0.12818000000000002</v>
      </c>
      <c r="L383" s="7" t="s">
        <v>477</v>
      </c>
    </row>
    <row r="384" spans="1:12">
      <c r="A384" s="42" t="s">
        <v>84</v>
      </c>
      <c r="B384" s="3" t="s">
        <v>124</v>
      </c>
      <c r="C384" s="3">
        <v>3</v>
      </c>
      <c r="D384" s="1"/>
      <c r="E384" s="12" t="s">
        <v>85</v>
      </c>
      <c r="F384" s="7" t="s">
        <v>15</v>
      </c>
      <c r="G384" s="7" t="s">
        <v>35</v>
      </c>
      <c r="H384" s="11">
        <v>16.579999999999998</v>
      </c>
      <c r="I384" s="8">
        <v>7.3</v>
      </c>
      <c r="J384" s="19">
        <v>2</v>
      </c>
      <c r="K384" s="13">
        <v>0.24206799999999995</v>
      </c>
      <c r="L384" s="7" t="s">
        <v>477</v>
      </c>
    </row>
    <row r="385" spans="1:12">
      <c r="A385" s="42" t="s">
        <v>84</v>
      </c>
      <c r="B385" s="3" t="s">
        <v>124</v>
      </c>
      <c r="C385" s="3">
        <v>6</v>
      </c>
      <c r="D385" s="1"/>
      <c r="E385" s="12" t="s">
        <v>76</v>
      </c>
      <c r="F385" s="7" t="s">
        <v>15</v>
      </c>
      <c r="G385" s="7" t="s">
        <v>35</v>
      </c>
      <c r="H385" s="11">
        <v>16.579999999999998</v>
      </c>
      <c r="I385" s="8">
        <v>8.15</v>
      </c>
      <c r="J385" s="19">
        <v>15</v>
      </c>
      <c r="K385" s="13">
        <v>2.0269049999999997</v>
      </c>
      <c r="L385" s="7" t="s">
        <v>477</v>
      </c>
    </row>
    <row r="386" spans="1:12">
      <c r="A386" s="42" t="s">
        <v>84</v>
      </c>
      <c r="B386" s="3" t="s">
        <v>124</v>
      </c>
      <c r="C386" s="3">
        <v>1</v>
      </c>
      <c r="D386" s="1"/>
      <c r="E386" s="12" t="s">
        <v>19</v>
      </c>
      <c r="F386" s="7" t="s">
        <v>14</v>
      </c>
      <c r="G386" s="7" t="s">
        <v>35</v>
      </c>
      <c r="H386" s="11">
        <v>16.579999999999998</v>
      </c>
      <c r="I386" s="8">
        <v>6.2</v>
      </c>
      <c r="J386" s="19">
        <v>1</v>
      </c>
      <c r="K386" s="13">
        <v>0.102796</v>
      </c>
      <c r="L386" s="7" t="s">
        <v>477</v>
      </c>
    </row>
    <row r="387" spans="1:12">
      <c r="A387" s="42" t="s">
        <v>84</v>
      </c>
      <c r="B387" s="3" t="s">
        <v>124</v>
      </c>
      <c r="C387" s="3">
        <v>1</v>
      </c>
      <c r="D387" s="1"/>
      <c r="E387" s="12" t="s">
        <v>114</v>
      </c>
      <c r="F387" s="7" t="s">
        <v>15</v>
      </c>
      <c r="G387" s="7" t="s">
        <v>42</v>
      </c>
      <c r="H387" s="11">
        <v>19.72</v>
      </c>
      <c r="I387" s="8">
        <v>4.2</v>
      </c>
      <c r="J387" s="19">
        <v>2</v>
      </c>
      <c r="K387" s="13">
        <v>0.16564799999999999</v>
      </c>
      <c r="L387" s="7" t="s">
        <v>477</v>
      </c>
    </row>
    <row r="388" spans="1:12">
      <c r="A388" s="42" t="s">
        <v>90</v>
      </c>
      <c r="B388" s="48" t="s">
        <v>148</v>
      </c>
      <c r="C388" s="7">
        <v>1</v>
      </c>
      <c r="D388" s="7"/>
      <c r="E388" s="48" t="s">
        <v>19</v>
      </c>
      <c r="F388" s="48" t="s">
        <v>14</v>
      </c>
      <c r="G388" s="48" t="s">
        <v>149</v>
      </c>
      <c r="H388" s="53">
        <v>6.39</v>
      </c>
      <c r="I388" s="50">
        <v>12</v>
      </c>
      <c r="J388" s="19">
        <v>1</v>
      </c>
      <c r="K388" s="13">
        <v>7.6679999999999998E-2</v>
      </c>
      <c r="L388" s="7" t="s">
        <v>477</v>
      </c>
    </row>
    <row r="389" spans="1:12">
      <c r="A389" s="42" t="s">
        <v>90</v>
      </c>
      <c r="B389" s="48" t="s">
        <v>148</v>
      </c>
      <c r="C389" s="7">
        <v>1</v>
      </c>
      <c r="D389" s="7"/>
      <c r="E389" s="48" t="s">
        <v>19</v>
      </c>
      <c r="F389" s="48" t="s">
        <v>14</v>
      </c>
      <c r="G389" s="48" t="s">
        <v>149</v>
      </c>
      <c r="H389" s="53">
        <v>6.39</v>
      </c>
      <c r="I389" s="51">
        <v>11</v>
      </c>
      <c r="J389" s="19">
        <v>1</v>
      </c>
      <c r="K389" s="13">
        <v>7.0289999999999991E-2</v>
      </c>
      <c r="L389" s="7" t="s">
        <v>477</v>
      </c>
    </row>
    <row r="390" spans="1:12">
      <c r="A390" s="42" t="s">
        <v>90</v>
      </c>
      <c r="B390" s="48" t="s">
        <v>148</v>
      </c>
      <c r="C390" s="7">
        <v>1</v>
      </c>
      <c r="D390" s="7"/>
      <c r="E390" s="48" t="s">
        <v>19</v>
      </c>
      <c r="F390" s="48" t="s">
        <v>14</v>
      </c>
      <c r="G390" s="48" t="s">
        <v>149</v>
      </c>
      <c r="H390" s="53">
        <v>6.39</v>
      </c>
      <c r="I390" s="50">
        <v>10</v>
      </c>
      <c r="J390" s="19">
        <v>1</v>
      </c>
      <c r="K390" s="13">
        <v>6.3899999999999998E-2</v>
      </c>
      <c r="L390" s="7" t="s">
        <v>477</v>
      </c>
    </row>
    <row r="391" spans="1:12">
      <c r="A391" s="42" t="s">
        <v>90</v>
      </c>
      <c r="B391" s="48" t="s">
        <v>148</v>
      </c>
      <c r="C391" s="7">
        <v>1</v>
      </c>
      <c r="D391" s="7"/>
      <c r="E391" s="48" t="s">
        <v>19</v>
      </c>
      <c r="F391" s="48" t="s">
        <v>14</v>
      </c>
      <c r="G391" s="48" t="s">
        <v>149</v>
      </c>
      <c r="H391" s="53">
        <v>6.39</v>
      </c>
      <c r="I391" s="51">
        <v>8.1999999999999993</v>
      </c>
      <c r="J391" s="19">
        <v>4</v>
      </c>
      <c r="K391" s="13">
        <v>0.20959199999999997</v>
      </c>
      <c r="L391" s="7" t="s">
        <v>477</v>
      </c>
    </row>
    <row r="392" spans="1:12">
      <c r="A392" s="42" t="s">
        <v>90</v>
      </c>
      <c r="B392" s="48" t="s">
        <v>148</v>
      </c>
      <c r="C392" s="7">
        <v>1</v>
      </c>
      <c r="D392" s="7"/>
      <c r="E392" s="48" t="s">
        <v>19</v>
      </c>
      <c r="F392" s="48" t="s">
        <v>14</v>
      </c>
      <c r="G392" s="48" t="s">
        <v>149</v>
      </c>
      <c r="H392" s="53">
        <v>6.39</v>
      </c>
      <c r="I392" s="51">
        <v>9.6999999999999993</v>
      </c>
      <c r="J392" s="19">
        <v>1</v>
      </c>
      <c r="K392" s="13">
        <v>6.1982999999999989E-2</v>
      </c>
      <c r="L392" s="7" t="s">
        <v>477</v>
      </c>
    </row>
    <row r="393" spans="1:12">
      <c r="A393" s="42" t="s">
        <v>90</v>
      </c>
      <c r="B393" s="48" t="s">
        <v>148</v>
      </c>
      <c r="C393" s="7">
        <v>1</v>
      </c>
      <c r="D393" s="7"/>
      <c r="E393" s="48" t="s">
        <v>19</v>
      </c>
      <c r="F393" s="48" t="s">
        <v>14</v>
      </c>
      <c r="G393" s="48" t="s">
        <v>149</v>
      </c>
      <c r="H393" s="53">
        <v>6.39</v>
      </c>
      <c r="I393" s="51">
        <v>9.8000000000000007</v>
      </c>
      <c r="J393" s="19">
        <v>1</v>
      </c>
      <c r="K393" s="13">
        <v>6.2621999999999997E-2</v>
      </c>
      <c r="L393" s="7" t="s">
        <v>477</v>
      </c>
    </row>
    <row r="394" spans="1:12">
      <c r="A394" s="42" t="s">
        <v>90</v>
      </c>
      <c r="B394" s="48" t="s">
        <v>148</v>
      </c>
      <c r="C394" s="7">
        <v>2</v>
      </c>
      <c r="D394" s="7"/>
      <c r="E394" s="48" t="s">
        <v>19</v>
      </c>
      <c r="F394" s="48" t="s">
        <v>14</v>
      </c>
      <c r="G394" s="48" t="s">
        <v>149</v>
      </c>
      <c r="H394" s="53">
        <v>6.39</v>
      </c>
      <c r="I394" s="51">
        <v>8</v>
      </c>
      <c r="J394" s="19">
        <v>2</v>
      </c>
      <c r="K394" s="13">
        <v>0.10224</v>
      </c>
      <c r="L394" s="7" t="s">
        <v>477</v>
      </c>
    </row>
    <row r="395" spans="1:12">
      <c r="A395" s="42" t="s">
        <v>90</v>
      </c>
      <c r="B395" s="48" t="s">
        <v>148</v>
      </c>
      <c r="C395" s="7">
        <v>2</v>
      </c>
      <c r="D395" s="7"/>
      <c r="E395" s="48" t="s">
        <v>19</v>
      </c>
      <c r="F395" s="48" t="s">
        <v>14</v>
      </c>
      <c r="G395" s="48" t="s">
        <v>149</v>
      </c>
      <c r="H395" s="53">
        <v>6.39</v>
      </c>
      <c r="I395" s="51">
        <v>8.1</v>
      </c>
      <c r="J395" s="19">
        <v>1</v>
      </c>
      <c r="K395" s="13">
        <v>5.1758999999999993E-2</v>
      </c>
      <c r="L395" s="7" t="s">
        <v>477</v>
      </c>
    </row>
    <row r="396" spans="1:12">
      <c r="A396" s="42" t="s">
        <v>90</v>
      </c>
      <c r="B396" s="48" t="s">
        <v>148</v>
      </c>
      <c r="C396" s="7">
        <v>2</v>
      </c>
      <c r="D396" s="7"/>
      <c r="E396" s="48" t="s">
        <v>19</v>
      </c>
      <c r="F396" s="48" t="s">
        <v>14</v>
      </c>
      <c r="G396" s="48" t="s">
        <v>149</v>
      </c>
      <c r="H396" s="53">
        <v>6.39</v>
      </c>
      <c r="I396" s="51">
        <v>8.1999999999999993</v>
      </c>
      <c r="J396" s="19">
        <v>3</v>
      </c>
      <c r="K396" s="13">
        <v>0.157194</v>
      </c>
      <c r="L396" s="7" t="s">
        <v>477</v>
      </c>
    </row>
    <row r="397" spans="1:12">
      <c r="A397" s="42" t="s">
        <v>90</v>
      </c>
      <c r="B397" s="48" t="s">
        <v>148</v>
      </c>
      <c r="C397" s="7">
        <v>2</v>
      </c>
      <c r="D397" s="7"/>
      <c r="E397" s="48" t="s">
        <v>19</v>
      </c>
      <c r="F397" s="48" t="s">
        <v>14</v>
      </c>
      <c r="G397" s="48" t="s">
        <v>149</v>
      </c>
      <c r="H397" s="53">
        <v>6.39</v>
      </c>
      <c r="I397" s="51">
        <v>9</v>
      </c>
      <c r="J397" s="19">
        <v>2</v>
      </c>
      <c r="K397" s="13">
        <v>0.11502</v>
      </c>
      <c r="L397" s="7" t="s">
        <v>477</v>
      </c>
    </row>
    <row r="398" spans="1:12">
      <c r="A398" s="42" t="s">
        <v>90</v>
      </c>
      <c r="B398" s="48" t="s">
        <v>148</v>
      </c>
      <c r="C398" s="7">
        <v>2</v>
      </c>
      <c r="D398" s="7"/>
      <c r="E398" s="48" t="s">
        <v>19</v>
      </c>
      <c r="F398" s="48" t="s">
        <v>14</v>
      </c>
      <c r="G398" s="48" t="s">
        <v>149</v>
      </c>
      <c r="H398" s="53">
        <v>6.39</v>
      </c>
      <c r="I398" s="51">
        <v>5.5</v>
      </c>
      <c r="J398" s="19">
        <v>1</v>
      </c>
      <c r="K398" s="13">
        <v>3.5144999999999996E-2</v>
      </c>
      <c r="L398" s="7" t="s">
        <v>477</v>
      </c>
    </row>
    <row r="399" spans="1:12">
      <c r="A399" s="42" t="s">
        <v>90</v>
      </c>
      <c r="B399" s="48" t="s">
        <v>148</v>
      </c>
      <c r="C399" s="7">
        <v>2</v>
      </c>
      <c r="D399" s="7"/>
      <c r="E399" s="48" t="s">
        <v>19</v>
      </c>
      <c r="F399" s="48" t="s">
        <v>14</v>
      </c>
      <c r="G399" s="48" t="s">
        <v>149</v>
      </c>
      <c r="H399" s="53">
        <v>6.39</v>
      </c>
      <c r="I399" s="51">
        <v>5.8</v>
      </c>
      <c r="J399" s="19">
        <v>1</v>
      </c>
      <c r="K399" s="13">
        <v>3.7061999999999998E-2</v>
      </c>
      <c r="L399" s="7" t="s">
        <v>477</v>
      </c>
    </row>
    <row r="400" spans="1:12">
      <c r="A400" s="42" t="s">
        <v>90</v>
      </c>
      <c r="B400" s="48" t="s">
        <v>148</v>
      </c>
      <c r="C400" s="7">
        <v>2</v>
      </c>
      <c r="D400" s="7"/>
      <c r="E400" s="48" t="s">
        <v>19</v>
      </c>
      <c r="F400" s="48" t="s">
        <v>14</v>
      </c>
      <c r="G400" s="48" t="s">
        <v>149</v>
      </c>
      <c r="H400" s="53">
        <v>6.39</v>
      </c>
      <c r="I400" s="51">
        <v>7</v>
      </c>
      <c r="J400" s="19">
        <v>2</v>
      </c>
      <c r="K400" s="13">
        <v>8.9459999999999998E-2</v>
      </c>
      <c r="L400" s="7" t="s">
        <v>477</v>
      </c>
    </row>
    <row r="401" spans="1:12">
      <c r="A401" s="42" t="s">
        <v>90</v>
      </c>
      <c r="B401" s="48" t="s">
        <v>148</v>
      </c>
      <c r="C401" s="7">
        <v>2</v>
      </c>
      <c r="D401" s="7"/>
      <c r="E401" s="48" t="s">
        <v>19</v>
      </c>
      <c r="F401" s="48" t="s">
        <v>14</v>
      </c>
      <c r="G401" s="48" t="s">
        <v>149</v>
      </c>
      <c r="H401" s="53">
        <v>6.39</v>
      </c>
      <c r="I401" s="51">
        <v>10</v>
      </c>
      <c r="J401" s="19">
        <v>5</v>
      </c>
      <c r="K401" s="13">
        <v>0.31950000000000001</v>
      </c>
      <c r="L401" s="7" t="s">
        <v>477</v>
      </c>
    </row>
    <row r="402" spans="1:12">
      <c r="A402" s="42" t="s">
        <v>90</v>
      </c>
      <c r="B402" s="48" t="s">
        <v>148</v>
      </c>
      <c r="C402" s="7">
        <v>2</v>
      </c>
      <c r="D402" s="7"/>
      <c r="E402" s="48" t="s">
        <v>19</v>
      </c>
      <c r="F402" s="48" t="s">
        <v>14</v>
      </c>
      <c r="G402" s="48" t="s">
        <v>149</v>
      </c>
      <c r="H402" s="53">
        <v>6.39</v>
      </c>
      <c r="I402" s="51">
        <v>9.5</v>
      </c>
      <c r="J402" s="19">
        <v>1</v>
      </c>
      <c r="K402" s="13">
        <v>6.0704999999999995E-2</v>
      </c>
      <c r="L402" s="7" t="s">
        <v>477</v>
      </c>
    </row>
    <row r="403" spans="1:12">
      <c r="A403" s="42" t="s">
        <v>90</v>
      </c>
      <c r="B403" s="48" t="s">
        <v>148</v>
      </c>
      <c r="C403" s="7">
        <v>2</v>
      </c>
      <c r="D403" s="7"/>
      <c r="E403" s="48" t="s">
        <v>19</v>
      </c>
      <c r="F403" s="48" t="s">
        <v>14</v>
      </c>
      <c r="G403" s="48" t="s">
        <v>149</v>
      </c>
      <c r="H403" s="53">
        <v>6.39</v>
      </c>
      <c r="I403" s="51">
        <v>9.75</v>
      </c>
      <c r="J403" s="19">
        <v>1</v>
      </c>
      <c r="K403" s="13">
        <v>6.2302499999999997E-2</v>
      </c>
      <c r="L403" s="7" t="s">
        <v>477</v>
      </c>
    </row>
    <row r="404" spans="1:12">
      <c r="A404" s="42" t="s">
        <v>90</v>
      </c>
      <c r="B404" s="48" t="s">
        <v>148</v>
      </c>
      <c r="C404" s="7">
        <v>2</v>
      </c>
      <c r="D404" s="7"/>
      <c r="E404" s="48" t="s">
        <v>19</v>
      </c>
      <c r="F404" s="48" t="s">
        <v>14</v>
      </c>
      <c r="G404" s="48" t="s">
        <v>149</v>
      </c>
      <c r="H404" s="53">
        <v>6.39</v>
      </c>
      <c r="I404" s="51">
        <v>7.3</v>
      </c>
      <c r="J404" s="19">
        <v>1</v>
      </c>
      <c r="K404" s="13">
        <v>4.6647000000000001E-2</v>
      </c>
      <c r="L404" s="7" t="s">
        <v>477</v>
      </c>
    </row>
    <row r="405" spans="1:12">
      <c r="A405" s="42" t="s">
        <v>90</v>
      </c>
      <c r="B405" s="48" t="s">
        <v>148</v>
      </c>
      <c r="C405" s="7">
        <v>2</v>
      </c>
      <c r="D405" s="7"/>
      <c r="E405" s="48" t="s">
        <v>19</v>
      </c>
      <c r="F405" s="48" t="s">
        <v>14</v>
      </c>
      <c r="G405" s="48" t="s">
        <v>149</v>
      </c>
      <c r="H405" s="53">
        <v>6.39</v>
      </c>
      <c r="I405" s="51">
        <v>7.5</v>
      </c>
      <c r="J405" s="19">
        <v>1</v>
      </c>
      <c r="K405" s="13">
        <v>4.7924999999999995E-2</v>
      </c>
      <c r="L405" s="7" t="s">
        <v>477</v>
      </c>
    </row>
    <row r="406" spans="1:12">
      <c r="A406" s="42" t="s">
        <v>90</v>
      </c>
      <c r="B406" s="48" t="s">
        <v>148</v>
      </c>
      <c r="C406" s="7">
        <v>2</v>
      </c>
      <c r="D406" s="7"/>
      <c r="E406" s="48" t="s">
        <v>19</v>
      </c>
      <c r="F406" s="48" t="s">
        <v>14</v>
      </c>
      <c r="G406" s="48" t="s">
        <v>149</v>
      </c>
      <c r="H406" s="53">
        <v>6.39</v>
      </c>
      <c r="I406" s="51">
        <v>7.7</v>
      </c>
      <c r="J406" s="19">
        <v>1</v>
      </c>
      <c r="K406" s="13">
        <v>4.9202999999999997E-2</v>
      </c>
      <c r="L406" s="7" t="s">
        <v>477</v>
      </c>
    </row>
    <row r="407" spans="1:12">
      <c r="A407" s="42" t="s">
        <v>90</v>
      </c>
      <c r="B407" s="48" t="s">
        <v>148</v>
      </c>
      <c r="C407" s="7">
        <v>2</v>
      </c>
      <c r="D407" s="7"/>
      <c r="E407" s="48" t="s">
        <v>19</v>
      </c>
      <c r="F407" s="48" t="s">
        <v>14</v>
      </c>
      <c r="G407" s="48" t="s">
        <v>149</v>
      </c>
      <c r="H407" s="53">
        <v>6.39</v>
      </c>
      <c r="I407" s="51">
        <v>7.8</v>
      </c>
      <c r="J407" s="19">
        <v>1</v>
      </c>
      <c r="K407" s="13">
        <v>4.9841999999999997E-2</v>
      </c>
      <c r="L407" s="7" t="s">
        <v>477</v>
      </c>
    </row>
    <row r="408" spans="1:12">
      <c r="A408" s="42" t="s">
        <v>90</v>
      </c>
      <c r="B408" s="48" t="s">
        <v>148</v>
      </c>
      <c r="C408" s="7">
        <v>2</v>
      </c>
      <c r="D408" s="7"/>
      <c r="E408" s="48" t="s">
        <v>19</v>
      </c>
      <c r="F408" s="48" t="s">
        <v>14</v>
      </c>
      <c r="G408" s="48" t="s">
        <v>149</v>
      </c>
      <c r="H408" s="53">
        <v>6.39</v>
      </c>
      <c r="I408" s="52">
        <v>7.9</v>
      </c>
      <c r="J408" s="19">
        <v>1</v>
      </c>
      <c r="K408" s="13">
        <v>5.0481000000000005E-2</v>
      </c>
      <c r="L408" s="7" t="s">
        <v>477</v>
      </c>
    </row>
    <row r="409" spans="1:12">
      <c r="A409" s="42" t="s">
        <v>90</v>
      </c>
      <c r="B409" s="48" t="s">
        <v>148</v>
      </c>
      <c r="C409" s="7">
        <v>3</v>
      </c>
      <c r="D409" s="7"/>
      <c r="E409" s="48" t="s">
        <v>19</v>
      </c>
      <c r="F409" s="48" t="s">
        <v>14</v>
      </c>
      <c r="G409" s="48" t="s">
        <v>144</v>
      </c>
      <c r="H409" s="53">
        <v>5.38</v>
      </c>
      <c r="I409" s="52">
        <v>8.25</v>
      </c>
      <c r="J409" s="19">
        <v>1</v>
      </c>
      <c r="K409" s="13">
        <v>4.4385000000000001E-2</v>
      </c>
      <c r="L409" s="7" t="s">
        <v>477</v>
      </c>
    </row>
    <row r="410" spans="1:12">
      <c r="A410" s="42" t="s">
        <v>90</v>
      </c>
      <c r="B410" s="48" t="s">
        <v>148</v>
      </c>
      <c r="C410" s="7">
        <v>3</v>
      </c>
      <c r="D410" s="7"/>
      <c r="E410" s="48" t="s">
        <v>19</v>
      </c>
      <c r="F410" s="48" t="s">
        <v>14</v>
      </c>
      <c r="G410" s="48" t="s">
        <v>144</v>
      </c>
      <c r="H410" s="53">
        <v>5.38</v>
      </c>
      <c r="I410" s="52">
        <v>8.6999999999999993</v>
      </c>
      <c r="J410" s="19">
        <v>2</v>
      </c>
      <c r="K410" s="13">
        <v>9.3612000000000001E-2</v>
      </c>
      <c r="L410" s="7" t="s">
        <v>477</v>
      </c>
    </row>
    <row r="411" spans="1:12">
      <c r="A411" s="42" t="s">
        <v>90</v>
      </c>
      <c r="B411" s="48" t="s">
        <v>148</v>
      </c>
      <c r="C411" s="7">
        <v>3</v>
      </c>
      <c r="D411" s="7"/>
      <c r="E411" s="48" t="s">
        <v>19</v>
      </c>
      <c r="F411" s="48" t="s">
        <v>14</v>
      </c>
      <c r="G411" s="48" t="s">
        <v>144</v>
      </c>
      <c r="H411" s="53">
        <v>5.38</v>
      </c>
      <c r="I411" s="52">
        <v>9</v>
      </c>
      <c r="J411" s="19">
        <v>8</v>
      </c>
      <c r="K411" s="13">
        <v>0.38736000000000004</v>
      </c>
      <c r="L411" s="7" t="s">
        <v>477</v>
      </c>
    </row>
    <row r="412" spans="1:12">
      <c r="A412" s="42" t="s">
        <v>90</v>
      </c>
      <c r="B412" s="48" t="s">
        <v>148</v>
      </c>
      <c r="C412" s="7">
        <v>3</v>
      </c>
      <c r="D412" s="7"/>
      <c r="E412" s="48" t="s">
        <v>19</v>
      </c>
      <c r="F412" s="48" t="s">
        <v>14</v>
      </c>
      <c r="G412" s="48" t="s">
        <v>144</v>
      </c>
      <c r="H412" s="53">
        <v>5.38</v>
      </c>
      <c r="I412" s="52">
        <v>9.1</v>
      </c>
      <c r="J412" s="19">
        <v>1</v>
      </c>
      <c r="K412" s="13">
        <v>4.8958000000000002E-2</v>
      </c>
      <c r="L412" s="7" t="s">
        <v>477</v>
      </c>
    </row>
    <row r="413" spans="1:12">
      <c r="A413" s="42" t="s">
        <v>90</v>
      </c>
      <c r="B413" s="48" t="s">
        <v>148</v>
      </c>
      <c r="C413" s="7">
        <v>3</v>
      </c>
      <c r="D413" s="7"/>
      <c r="E413" s="48" t="s">
        <v>19</v>
      </c>
      <c r="F413" s="48" t="s">
        <v>14</v>
      </c>
      <c r="G413" s="48" t="s">
        <v>144</v>
      </c>
      <c r="H413" s="53">
        <v>5.38</v>
      </c>
      <c r="I413" s="52">
        <v>9.1999999999999993</v>
      </c>
      <c r="J413" s="19">
        <v>2</v>
      </c>
      <c r="K413" s="13">
        <v>9.8991999999999997E-2</v>
      </c>
      <c r="L413" s="7" t="s">
        <v>477</v>
      </c>
    </row>
    <row r="414" spans="1:12">
      <c r="A414" s="42" t="s">
        <v>90</v>
      </c>
      <c r="B414" s="48" t="s">
        <v>148</v>
      </c>
      <c r="C414" s="7">
        <v>3</v>
      </c>
      <c r="D414" s="7"/>
      <c r="E414" s="48" t="s">
        <v>19</v>
      </c>
      <c r="F414" s="48" t="s">
        <v>14</v>
      </c>
      <c r="G414" s="48" t="s">
        <v>144</v>
      </c>
      <c r="H414" s="53">
        <v>5.38</v>
      </c>
      <c r="I414" s="52">
        <v>9.35</v>
      </c>
      <c r="J414" s="19">
        <v>1</v>
      </c>
      <c r="K414" s="13">
        <v>5.0303E-2</v>
      </c>
      <c r="L414" s="7" t="s">
        <v>477</v>
      </c>
    </row>
    <row r="415" spans="1:12">
      <c r="A415" s="42" t="s">
        <v>90</v>
      </c>
      <c r="B415" s="48" t="s">
        <v>148</v>
      </c>
      <c r="C415" s="7">
        <v>3</v>
      </c>
      <c r="D415" s="7"/>
      <c r="E415" s="48" t="s">
        <v>19</v>
      </c>
      <c r="F415" s="48" t="s">
        <v>14</v>
      </c>
      <c r="G415" s="48" t="s">
        <v>144</v>
      </c>
      <c r="H415" s="53">
        <v>5.38</v>
      </c>
      <c r="I415" s="52">
        <v>9.4499999999999993</v>
      </c>
      <c r="J415" s="19">
        <v>2</v>
      </c>
      <c r="K415" s="13">
        <v>0.10168199999999999</v>
      </c>
      <c r="L415" s="7" t="s">
        <v>477</v>
      </c>
    </row>
    <row r="416" spans="1:12">
      <c r="A416" s="42" t="s">
        <v>90</v>
      </c>
      <c r="B416" s="48" t="s">
        <v>148</v>
      </c>
      <c r="C416" s="7">
        <v>4</v>
      </c>
      <c r="D416" s="7"/>
      <c r="E416" s="48" t="s">
        <v>19</v>
      </c>
      <c r="F416" s="48" t="s">
        <v>14</v>
      </c>
      <c r="G416" s="48" t="s">
        <v>149</v>
      </c>
      <c r="H416" s="53">
        <v>6.39</v>
      </c>
      <c r="I416" s="52">
        <v>7.8</v>
      </c>
      <c r="J416" s="19">
        <v>1</v>
      </c>
      <c r="K416" s="13">
        <v>4.9841999999999997E-2</v>
      </c>
      <c r="L416" s="7" t="s">
        <v>477</v>
      </c>
    </row>
    <row r="417" spans="1:12">
      <c r="A417" s="42" t="s">
        <v>90</v>
      </c>
      <c r="B417" s="48" t="s">
        <v>148</v>
      </c>
      <c r="C417" s="7">
        <v>4</v>
      </c>
      <c r="D417" s="7"/>
      <c r="E417" s="48" t="s">
        <v>19</v>
      </c>
      <c r="F417" s="48" t="s">
        <v>14</v>
      </c>
      <c r="G417" s="48" t="s">
        <v>149</v>
      </c>
      <c r="H417" s="53">
        <v>6.39</v>
      </c>
      <c r="I417" s="52">
        <v>9.5</v>
      </c>
      <c r="J417" s="19">
        <v>9</v>
      </c>
      <c r="K417" s="13">
        <v>0.54634500000000008</v>
      </c>
      <c r="L417" s="7" t="s">
        <v>477</v>
      </c>
    </row>
    <row r="418" spans="1:12">
      <c r="A418" s="42" t="s">
        <v>90</v>
      </c>
      <c r="B418" s="48" t="s">
        <v>148</v>
      </c>
      <c r="C418" s="7">
        <v>4</v>
      </c>
      <c r="D418" s="7"/>
      <c r="E418" s="48" t="s">
        <v>19</v>
      </c>
      <c r="F418" s="48" t="s">
        <v>14</v>
      </c>
      <c r="G418" s="48" t="s">
        <v>149</v>
      </c>
      <c r="H418" s="53">
        <v>6.39</v>
      </c>
      <c r="I418" s="52">
        <v>13.1</v>
      </c>
      <c r="J418" s="19">
        <v>2</v>
      </c>
      <c r="K418" s="13">
        <v>0.16741799999999998</v>
      </c>
      <c r="L418" s="7" t="s">
        <v>477</v>
      </c>
    </row>
    <row r="419" spans="1:12">
      <c r="A419" s="42" t="s">
        <v>90</v>
      </c>
      <c r="B419" s="48" t="s">
        <v>148</v>
      </c>
      <c r="C419" s="7">
        <v>4</v>
      </c>
      <c r="D419" s="7"/>
      <c r="E419" s="48" t="s">
        <v>19</v>
      </c>
      <c r="F419" s="48" t="s">
        <v>14</v>
      </c>
      <c r="G419" s="48" t="s">
        <v>149</v>
      </c>
      <c r="H419" s="53">
        <v>6.39</v>
      </c>
      <c r="I419" s="52">
        <v>9</v>
      </c>
      <c r="J419" s="19">
        <v>3</v>
      </c>
      <c r="K419" s="13">
        <v>0.17252999999999999</v>
      </c>
      <c r="L419" s="7" t="s">
        <v>477</v>
      </c>
    </row>
    <row r="420" spans="1:12">
      <c r="A420" s="42" t="s">
        <v>90</v>
      </c>
      <c r="B420" s="48" t="s">
        <v>148</v>
      </c>
      <c r="C420" s="7">
        <v>4</v>
      </c>
      <c r="D420" s="7"/>
      <c r="E420" s="48" t="s">
        <v>19</v>
      </c>
      <c r="F420" s="48" t="s">
        <v>14</v>
      </c>
      <c r="G420" s="48" t="s">
        <v>149</v>
      </c>
      <c r="H420" s="53">
        <v>6.39</v>
      </c>
      <c r="I420" s="52">
        <v>10.8</v>
      </c>
      <c r="J420" s="19">
        <v>1</v>
      </c>
      <c r="K420" s="13">
        <v>6.9012000000000004E-2</v>
      </c>
      <c r="L420" s="7" t="s">
        <v>477</v>
      </c>
    </row>
    <row r="421" spans="1:12">
      <c r="A421" s="42" t="s">
        <v>90</v>
      </c>
      <c r="B421" s="48" t="s">
        <v>148</v>
      </c>
      <c r="C421" s="7">
        <v>4</v>
      </c>
      <c r="D421" s="7"/>
      <c r="E421" s="48" t="s">
        <v>19</v>
      </c>
      <c r="F421" s="48" t="s">
        <v>14</v>
      </c>
      <c r="G421" s="48" t="s">
        <v>149</v>
      </c>
      <c r="H421" s="53">
        <v>6.39</v>
      </c>
      <c r="I421" s="52">
        <v>9.4</v>
      </c>
      <c r="J421" s="19">
        <v>1</v>
      </c>
      <c r="K421" s="13">
        <v>6.0066000000000001E-2</v>
      </c>
      <c r="L421" s="7" t="s">
        <v>477</v>
      </c>
    </row>
    <row r="422" spans="1:12">
      <c r="A422" s="42" t="s">
        <v>90</v>
      </c>
      <c r="B422" s="48" t="s">
        <v>148</v>
      </c>
      <c r="C422" s="7">
        <v>4</v>
      </c>
      <c r="D422" s="7"/>
      <c r="E422" s="48" t="s">
        <v>19</v>
      </c>
      <c r="F422" s="48" t="s">
        <v>14</v>
      </c>
      <c r="G422" s="48" t="s">
        <v>149</v>
      </c>
      <c r="H422" s="53">
        <v>6.39</v>
      </c>
      <c r="I422" s="52">
        <v>13</v>
      </c>
      <c r="J422" s="19">
        <v>2</v>
      </c>
      <c r="K422" s="13">
        <v>0.16613999999999998</v>
      </c>
      <c r="L422" s="7" t="s">
        <v>477</v>
      </c>
    </row>
    <row r="423" spans="1:12">
      <c r="A423" s="42" t="s">
        <v>90</v>
      </c>
      <c r="B423" s="48" t="s">
        <v>148</v>
      </c>
      <c r="C423" s="7">
        <v>5</v>
      </c>
      <c r="D423" s="7"/>
      <c r="E423" s="48" t="s">
        <v>19</v>
      </c>
      <c r="F423" s="48" t="s">
        <v>14</v>
      </c>
      <c r="G423" s="48" t="s">
        <v>149</v>
      </c>
      <c r="H423" s="53">
        <v>6.39</v>
      </c>
      <c r="I423" s="52">
        <v>8</v>
      </c>
      <c r="J423" s="19">
        <v>1</v>
      </c>
      <c r="K423" s="13">
        <v>5.1119999999999999E-2</v>
      </c>
      <c r="L423" s="7" t="s">
        <v>477</v>
      </c>
    </row>
    <row r="424" spans="1:12">
      <c r="A424" s="42" t="s">
        <v>90</v>
      </c>
      <c r="B424" s="48" t="s">
        <v>148</v>
      </c>
      <c r="C424" s="7">
        <v>5</v>
      </c>
      <c r="D424" s="7"/>
      <c r="E424" s="48" t="s">
        <v>19</v>
      </c>
      <c r="F424" s="48" t="s">
        <v>14</v>
      </c>
      <c r="G424" s="48" t="s">
        <v>149</v>
      </c>
      <c r="H424" s="53">
        <v>6.39</v>
      </c>
      <c r="I424" s="52">
        <v>7</v>
      </c>
      <c r="J424" s="19">
        <v>1</v>
      </c>
      <c r="K424" s="13">
        <v>4.4729999999999999E-2</v>
      </c>
      <c r="L424" s="7" t="s">
        <v>477</v>
      </c>
    </row>
    <row r="425" spans="1:12">
      <c r="A425" s="42" t="s">
        <v>90</v>
      </c>
      <c r="B425" s="48" t="s">
        <v>148</v>
      </c>
      <c r="C425" s="7">
        <v>5</v>
      </c>
      <c r="D425" s="7"/>
      <c r="E425" s="48" t="s">
        <v>19</v>
      </c>
      <c r="F425" s="48" t="s">
        <v>14</v>
      </c>
      <c r="G425" s="48" t="s">
        <v>149</v>
      </c>
      <c r="H425" s="53">
        <v>6.39</v>
      </c>
      <c r="I425" s="52">
        <v>7.3</v>
      </c>
      <c r="J425" s="19">
        <v>1</v>
      </c>
      <c r="K425" s="13">
        <v>4.6647000000000001E-2</v>
      </c>
      <c r="L425" s="7" t="s">
        <v>477</v>
      </c>
    </row>
    <row r="426" spans="1:12">
      <c r="A426" s="42" t="s">
        <v>90</v>
      </c>
      <c r="B426" s="48" t="s">
        <v>148</v>
      </c>
      <c r="C426" s="7">
        <v>5</v>
      </c>
      <c r="D426" s="7"/>
      <c r="E426" s="48" t="s">
        <v>19</v>
      </c>
      <c r="F426" s="48" t="s">
        <v>14</v>
      </c>
      <c r="G426" s="48" t="s">
        <v>149</v>
      </c>
      <c r="H426" s="53">
        <v>6.39</v>
      </c>
      <c r="I426" s="52">
        <v>5</v>
      </c>
      <c r="J426" s="19">
        <v>1</v>
      </c>
      <c r="K426" s="13">
        <v>3.1949999999999999E-2</v>
      </c>
      <c r="L426" s="7" t="s">
        <v>477</v>
      </c>
    </row>
    <row r="427" spans="1:12">
      <c r="A427" s="42" t="s">
        <v>90</v>
      </c>
      <c r="B427" s="48" t="s">
        <v>148</v>
      </c>
      <c r="C427" s="7">
        <v>5</v>
      </c>
      <c r="D427" s="7"/>
      <c r="E427" s="48" t="s">
        <v>19</v>
      </c>
      <c r="F427" s="48" t="s">
        <v>14</v>
      </c>
      <c r="G427" s="48" t="s">
        <v>149</v>
      </c>
      <c r="H427" s="53">
        <v>6.39</v>
      </c>
      <c r="I427" s="52">
        <v>5.8</v>
      </c>
      <c r="J427" s="19">
        <v>1</v>
      </c>
      <c r="K427" s="13">
        <v>3.7061999999999998E-2</v>
      </c>
      <c r="L427" s="7" t="s">
        <v>477</v>
      </c>
    </row>
    <row r="428" spans="1:12">
      <c r="A428" s="42" t="s">
        <v>90</v>
      </c>
      <c r="B428" s="48" t="s">
        <v>148</v>
      </c>
      <c r="C428" s="7">
        <v>5</v>
      </c>
      <c r="D428" s="7"/>
      <c r="E428" s="48" t="s">
        <v>19</v>
      </c>
      <c r="F428" s="48" t="s">
        <v>14</v>
      </c>
      <c r="G428" s="48" t="s">
        <v>149</v>
      </c>
      <c r="H428" s="53">
        <v>6.39</v>
      </c>
      <c r="I428" s="52">
        <v>6.2</v>
      </c>
      <c r="J428" s="19">
        <v>1</v>
      </c>
      <c r="K428" s="13">
        <v>3.9618E-2</v>
      </c>
      <c r="L428" s="7" t="s">
        <v>477</v>
      </c>
    </row>
    <row r="429" spans="1:12">
      <c r="A429" s="42" t="s">
        <v>90</v>
      </c>
      <c r="B429" s="48" t="s">
        <v>148</v>
      </c>
      <c r="C429" s="7">
        <v>5</v>
      </c>
      <c r="D429" s="7"/>
      <c r="E429" s="48" t="s">
        <v>19</v>
      </c>
      <c r="F429" s="48" t="s">
        <v>14</v>
      </c>
      <c r="G429" s="48" t="s">
        <v>149</v>
      </c>
      <c r="H429" s="53">
        <v>6.39</v>
      </c>
      <c r="I429" s="52">
        <v>6.5</v>
      </c>
      <c r="J429" s="19">
        <v>1</v>
      </c>
      <c r="K429" s="13">
        <v>4.1534999999999996E-2</v>
      </c>
      <c r="L429" s="7" t="s">
        <v>477</v>
      </c>
    </row>
    <row r="430" spans="1:12">
      <c r="A430" s="42" t="s">
        <v>90</v>
      </c>
      <c r="B430" s="48" t="s">
        <v>148</v>
      </c>
      <c r="C430" s="7">
        <v>5</v>
      </c>
      <c r="D430" s="7"/>
      <c r="E430" s="48" t="s">
        <v>19</v>
      </c>
      <c r="F430" s="48" t="s">
        <v>14</v>
      </c>
      <c r="G430" s="48" t="s">
        <v>149</v>
      </c>
      <c r="H430" s="53">
        <v>6.39</v>
      </c>
      <c r="I430" s="52">
        <v>7.5</v>
      </c>
      <c r="J430" s="19">
        <v>5</v>
      </c>
      <c r="K430" s="13">
        <v>0.239625</v>
      </c>
      <c r="L430" s="7" t="s">
        <v>477</v>
      </c>
    </row>
    <row r="431" spans="1:12">
      <c r="A431" s="42" t="s">
        <v>90</v>
      </c>
      <c r="B431" s="48" t="s">
        <v>148</v>
      </c>
      <c r="C431" s="7">
        <v>6</v>
      </c>
      <c r="D431" s="7"/>
      <c r="E431" s="48" t="s">
        <v>150</v>
      </c>
      <c r="F431" s="48" t="s">
        <v>15</v>
      </c>
      <c r="G431" s="48" t="s">
        <v>149</v>
      </c>
      <c r="H431" s="53">
        <v>6.39</v>
      </c>
      <c r="I431" s="52">
        <v>11.5</v>
      </c>
      <c r="J431" s="19">
        <v>1</v>
      </c>
      <c r="K431" s="13">
        <v>7.3484999999999995E-2</v>
      </c>
      <c r="L431" s="7" t="s">
        <v>477</v>
      </c>
    </row>
    <row r="432" spans="1:12">
      <c r="A432" s="42" t="s">
        <v>90</v>
      </c>
      <c r="B432" s="48" t="s">
        <v>148</v>
      </c>
      <c r="C432" s="7">
        <v>6</v>
      </c>
      <c r="D432" s="7"/>
      <c r="E432" s="48" t="s">
        <v>150</v>
      </c>
      <c r="F432" s="48" t="s">
        <v>15</v>
      </c>
      <c r="G432" s="48" t="s">
        <v>149</v>
      </c>
      <c r="H432" s="53">
        <v>6.39</v>
      </c>
      <c r="I432" s="52">
        <v>12</v>
      </c>
      <c r="J432" s="19">
        <v>10</v>
      </c>
      <c r="K432" s="13">
        <v>0.76679999999999993</v>
      </c>
      <c r="L432" s="7" t="s">
        <v>477</v>
      </c>
    </row>
    <row r="433" spans="1:12">
      <c r="A433" s="42" t="s">
        <v>90</v>
      </c>
      <c r="B433" s="48" t="s">
        <v>148</v>
      </c>
      <c r="C433" s="7">
        <v>7</v>
      </c>
      <c r="D433" s="7"/>
      <c r="E433" s="363" t="s">
        <v>150</v>
      </c>
      <c r="F433" s="48" t="s">
        <v>15</v>
      </c>
      <c r="G433" s="48" t="s">
        <v>144</v>
      </c>
      <c r="H433" s="53">
        <v>5.38</v>
      </c>
      <c r="I433" s="52">
        <v>11</v>
      </c>
      <c r="J433" s="19">
        <v>2</v>
      </c>
      <c r="K433" s="13">
        <v>0.11835999999999999</v>
      </c>
      <c r="L433" s="7" t="s">
        <v>477</v>
      </c>
    </row>
    <row r="434" spans="1:12">
      <c r="A434" s="42" t="s">
        <v>90</v>
      </c>
      <c r="B434" s="48" t="s">
        <v>148</v>
      </c>
      <c r="C434" s="7">
        <v>8</v>
      </c>
      <c r="D434" s="7"/>
      <c r="E434" s="48" t="s">
        <v>19</v>
      </c>
      <c r="F434" s="48" t="s">
        <v>14</v>
      </c>
      <c r="G434" s="48" t="s">
        <v>144</v>
      </c>
      <c r="H434" s="53">
        <v>5.38</v>
      </c>
      <c r="I434" s="52">
        <v>7</v>
      </c>
      <c r="J434" s="19">
        <v>1</v>
      </c>
      <c r="K434" s="13">
        <v>3.7659999999999999E-2</v>
      </c>
      <c r="L434" s="7" t="s">
        <v>477</v>
      </c>
    </row>
    <row r="435" spans="1:12">
      <c r="A435" s="42" t="s">
        <v>90</v>
      </c>
      <c r="B435" s="48" t="s">
        <v>148</v>
      </c>
      <c r="C435" s="7">
        <v>8</v>
      </c>
      <c r="D435" s="7"/>
      <c r="E435" s="48" t="s">
        <v>19</v>
      </c>
      <c r="F435" s="48" t="s">
        <v>14</v>
      </c>
      <c r="G435" s="48" t="s">
        <v>144</v>
      </c>
      <c r="H435" s="53">
        <v>5.38</v>
      </c>
      <c r="I435" s="52">
        <v>8</v>
      </c>
      <c r="J435" s="19">
        <v>1</v>
      </c>
      <c r="K435" s="13">
        <v>4.3040000000000002E-2</v>
      </c>
      <c r="L435" s="7" t="s">
        <v>477</v>
      </c>
    </row>
    <row r="436" spans="1:12">
      <c r="A436" s="42" t="s">
        <v>90</v>
      </c>
      <c r="B436" s="48" t="s">
        <v>148</v>
      </c>
      <c r="C436" s="7">
        <v>8</v>
      </c>
      <c r="D436" s="7"/>
      <c r="E436" s="48" t="s">
        <v>19</v>
      </c>
      <c r="F436" s="48" t="s">
        <v>14</v>
      </c>
      <c r="G436" s="48" t="s">
        <v>144</v>
      </c>
      <c r="H436" s="53">
        <v>5.38</v>
      </c>
      <c r="I436" s="52">
        <v>9</v>
      </c>
      <c r="J436" s="19">
        <v>9</v>
      </c>
      <c r="K436" s="13">
        <v>0.43577999999999995</v>
      </c>
      <c r="L436" s="7" t="s">
        <v>477</v>
      </c>
    </row>
    <row r="437" spans="1:12">
      <c r="A437" s="42" t="s">
        <v>90</v>
      </c>
      <c r="B437" s="48" t="s">
        <v>148</v>
      </c>
      <c r="C437" s="7">
        <v>8</v>
      </c>
      <c r="D437" s="7"/>
      <c r="E437" s="48" t="s">
        <v>19</v>
      </c>
      <c r="F437" s="48" t="s">
        <v>14</v>
      </c>
      <c r="G437" s="48" t="s">
        <v>144</v>
      </c>
      <c r="H437" s="53">
        <v>5.38</v>
      </c>
      <c r="I437" s="52">
        <v>7.75</v>
      </c>
      <c r="J437" s="19">
        <v>1</v>
      </c>
      <c r="K437" s="13">
        <v>4.1695000000000003E-2</v>
      </c>
      <c r="L437" s="7" t="s">
        <v>477</v>
      </c>
    </row>
    <row r="438" spans="1:12">
      <c r="A438" s="42" t="s">
        <v>90</v>
      </c>
      <c r="B438" s="48" t="s">
        <v>148</v>
      </c>
      <c r="C438" s="7">
        <v>8</v>
      </c>
      <c r="D438" s="7"/>
      <c r="E438" s="48" t="s">
        <v>19</v>
      </c>
      <c r="F438" s="48" t="s">
        <v>14</v>
      </c>
      <c r="G438" s="48" t="s">
        <v>144</v>
      </c>
      <c r="H438" s="53">
        <v>5.38</v>
      </c>
      <c r="I438" s="52">
        <v>8.5</v>
      </c>
      <c r="J438" s="19">
        <v>9</v>
      </c>
      <c r="K438" s="13">
        <v>0.41156999999999999</v>
      </c>
      <c r="L438" s="7" t="s">
        <v>477</v>
      </c>
    </row>
    <row r="439" spans="1:12">
      <c r="A439" s="42" t="s">
        <v>90</v>
      </c>
      <c r="B439" s="48" t="s">
        <v>148</v>
      </c>
      <c r="C439" s="7">
        <v>8</v>
      </c>
      <c r="D439" s="7"/>
      <c r="E439" s="48" t="s">
        <v>19</v>
      </c>
      <c r="F439" s="48" t="s">
        <v>14</v>
      </c>
      <c r="G439" s="48" t="s">
        <v>144</v>
      </c>
      <c r="H439" s="53">
        <v>5.38</v>
      </c>
      <c r="I439" s="52">
        <v>9.4</v>
      </c>
      <c r="J439" s="19">
        <v>2</v>
      </c>
      <c r="K439" s="13">
        <v>0.10114400000000001</v>
      </c>
      <c r="L439" s="7" t="s">
        <v>477</v>
      </c>
    </row>
    <row r="440" spans="1:12">
      <c r="A440" s="42" t="s">
        <v>90</v>
      </c>
      <c r="B440" s="48" t="s">
        <v>148</v>
      </c>
      <c r="C440" s="7">
        <v>8</v>
      </c>
      <c r="D440" s="7"/>
      <c r="E440" s="48" t="s">
        <v>19</v>
      </c>
      <c r="F440" s="48" t="s">
        <v>14</v>
      </c>
      <c r="G440" s="48" t="s">
        <v>144</v>
      </c>
      <c r="H440" s="53">
        <v>5.38</v>
      </c>
      <c r="I440" s="52">
        <v>7.6</v>
      </c>
      <c r="J440" s="19">
        <v>1</v>
      </c>
      <c r="K440" s="13">
        <v>4.0888000000000001E-2</v>
      </c>
      <c r="L440" s="7" t="s">
        <v>477</v>
      </c>
    </row>
    <row r="441" spans="1:12">
      <c r="A441" s="42" t="s">
        <v>90</v>
      </c>
      <c r="B441" s="48" t="s">
        <v>148</v>
      </c>
      <c r="C441" s="7">
        <v>9</v>
      </c>
      <c r="D441" s="7"/>
      <c r="E441" s="48" t="s">
        <v>19</v>
      </c>
      <c r="F441" s="48" t="s">
        <v>14</v>
      </c>
      <c r="G441" s="48" t="s">
        <v>149</v>
      </c>
      <c r="H441" s="53">
        <v>6.39</v>
      </c>
      <c r="I441" s="52">
        <v>8</v>
      </c>
      <c r="J441" s="19">
        <v>2</v>
      </c>
      <c r="K441" s="13">
        <v>0.10224</v>
      </c>
      <c r="L441" s="7" t="s">
        <v>477</v>
      </c>
    </row>
    <row r="442" spans="1:12">
      <c r="A442" s="42" t="s">
        <v>90</v>
      </c>
      <c r="B442" s="48" t="s">
        <v>148</v>
      </c>
      <c r="C442" s="7">
        <v>9</v>
      </c>
      <c r="D442" s="7"/>
      <c r="E442" s="48" t="s">
        <v>19</v>
      </c>
      <c r="F442" s="48" t="s">
        <v>14</v>
      </c>
      <c r="G442" s="48" t="s">
        <v>149</v>
      </c>
      <c r="H442" s="53">
        <v>6.39</v>
      </c>
      <c r="I442" s="52">
        <v>6</v>
      </c>
      <c r="J442" s="19">
        <v>1</v>
      </c>
      <c r="K442" s="13">
        <v>3.8339999999999999E-2</v>
      </c>
      <c r="L442" s="7" t="s">
        <v>477</v>
      </c>
    </row>
    <row r="443" spans="1:12">
      <c r="A443" s="42" t="s">
        <v>90</v>
      </c>
      <c r="B443" s="48" t="s">
        <v>148</v>
      </c>
      <c r="C443" s="7">
        <v>9</v>
      </c>
      <c r="D443" s="7"/>
      <c r="E443" s="48" t="s">
        <v>19</v>
      </c>
      <c r="F443" s="48" t="s">
        <v>14</v>
      </c>
      <c r="G443" s="48" t="s">
        <v>149</v>
      </c>
      <c r="H443" s="53">
        <v>6.39</v>
      </c>
      <c r="I443" s="52">
        <v>7</v>
      </c>
      <c r="J443" s="19">
        <v>2</v>
      </c>
      <c r="K443" s="13">
        <v>8.9459999999999998E-2</v>
      </c>
      <c r="L443" s="7" t="s">
        <v>477</v>
      </c>
    </row>
    <row r="444" spans="1:12">
      <c r="A444" s="42" t="s">
        <v>90</v>
      </c>
      <c r="B444" s="48" t="s">
        <v>148</v>
      </c>
      <c r="C444" s="7">
        <v>9</v>
      </c>
      <c r="D444" s="7"/>
      <c r="E444" s="48" t="s">
        <v>19</v>
      </c>
      <c r="F444" s="48" t="s">
        <v>14</v>
      </c>
      <c r="G444" s="48" t="s">
        <v>149</v>
      </c>
      <c r="H444" s="53">
        <v>6.39</v>
      </c>
      <c r="I444" s="52">
        <v>7.5</v>
      </c>
      <c r="J444" s="19">
        <v>5</v>
      </c>
      <c r="K444" s="13">
        <v>0.239625</v>
      </c>
      <c r="L444" s="7" t="s">
        <v>477</v>
      </c>
    </row>
    <row r="445" spans="1:12">
      <c r="A445" s="42" t="s">
        <v>90</v>
      </c>
      <c r="B445" s="48" t="s">
        <v>148</v>
      </c>
      <c r="C445" s="7">
        <v>9</v>
      </c>
      <c r="D445" s="7"/>
      <c r="E445" s="48" t="s">
        <v>19</v>
      </c>
      <c r="F445" s="48" t="s">
        <v>14</v>
      </c>
      <c r="G445" s="48" t="s">
        <v>149</v>
      </c>
      <c r="H445" s="53">
        <v>6.39</v>
      </c>
      <c r="I445" s="52">
        <v>7.7</v>
      </c>
      <c r="J445" s="19">
        <v>1</v>
      </c>
      <c r="K445" s="13">
        <v>4.9202999999999997E-2</v>
      </c>
      <c r="L445" s="7" t="s">
        <v>477</v>
      </c>
    </row>
    <row r="446" spans="1:12">
      <c r="A446" s="42" t="s">
        <v>90</v>
      </c>
      <c r="B446" s="48" t="s">
        <v>148</v>
      </c>
      <c r="C446" s="7">
        <v>10</v>
      </c>
      <c r="D446" s="7"/>
      <c r="E446" s="48" t="s">
        <v>19</v>
      </c>
      <c r="F446" s="48" t="s">
        <v>14</v>
      </c>
      <c r="G446" s="48" t="s">
        <v>144</v>
      </c>
      <c r="H446" s="53">
        <v>5.38</v>
      </c>
      <c r="I446" s="52">
        <v>10.5</v>
      </c>
      <c r="J446" s="19">
        <v>8</v>
      </c>
      <c r="K446" s="13">
        <v>0.45191999999999999</v>
      </c>
      <c r="L446" s="7" t="s">
        <v>477</v>
      </c>
    </row>
    <row r="447" spans="1:12">
      <c r="A447" s="42" t="s">
        <v>90</v>
      </c>
      <c r="B447" s="48" t="s">
        <v>148</v>
      </c>
      <c r="C447" s="7">
        <v>10</v>
      </c>
      <c r="D447" s="7"/>
      <c r="E447" s="48" t="s">
        <v>19</v>
      </c>
      <c r="F447" s="48" t="s">
        <v>14</v>
      </c>
      <c r="G447" s="48" t="s">
        <v>144</v>
      </c>
      <c r="H447" s="53">
        <v>5.38</v>
      </c>
      <c r="I447" s="52">
        <v>6</v>
      </c>
      <c r="J447" s="19">
        <v>1</v>
      </c>
      <c r="K447" s="13">
        <v>3.2280000000000003E-2</v>
      </c>
      <c r="L447" s="7" t="s">
        <v>477</v>
      </c>
    </row>
    <row r="448" spans="1:12">
      <c r="A448" s="42" t="s">
        <v>90</v>
      </c>
      <c r="B448" s="48" t="s">
        <v>148</v>
      </c>
      <c r="C448" s="7">
        <v>10</v>
      </c>
      <c r="D448" s="7"/>
      <c r="E448" s="48" t="s">
        <v>19</v>
      </c>
      <c r="F448" s="48" t="s">
        <v>14</v>
      </c>
      <c r="G448" s="48" t="s">
        <v>144</v>
      </c>
      <c r="H448" s="53">
        <v>5.38</v>
      </c>
      <c r="I448" s="52">
        <v>10</v>
      </c>
      <c r="J448" s="19">
        <v>2</v>
      </c>
      <c r="K448" s="13">
        <v>0.1076</v>
      </c>
      <c r="L448" s="7" t="s">
        <v>477</v>
      </c>
    </row>
    <row r="449" spans="1:12">
      <c r="A449" s="42" t="s">
        <v>90</v>
      </c>
      <c r="B449" s="48" t="s">
        <v>148</v>
      </c>
      <c r="C449" s="7">
        <v>11</v>
      </c>
      <c r="D449" s="7"/>
      <c r="E449" s="48" t="s">
        <v>19</v>
      </c>
      <c r="F449" s="48" t="s">
        <v>14</v>
      </c>
      <c r="G449" s="48" t="s">
        <v>149</v>
      </c>
      <c r="H449" s="53">
        <v>6.39</v>
      </c>
      <c r="I449" s="52">
        <v>7.5</v>
      </c>
      <c r="J449" s="19">
        <v>10</v>
      </c>
      <c r="K449" s="13">
        <v>0.47925000000000001</v>
      </c>
      <c r="L449" s="7" t="s">
        <v>477</v>
      </c>
    </row>
    <row r="450" spans="1:12">
      <c r="A450" s="42" t="s">
        <v>90</v>
      </c>
      <c r="B450" s="48" t="s">
        <v>148</v>
      </c>
      <c r="C450" s="7">
        <v>11</v>
      </c>
      <c r="D450" s="7"/>
      <c r="E450" s="48" t="s">
        <v>19</v>
      </c>
      <c r="F450" s="48" t="s">
        <v>14</v>
      </c>
      <c r="G450" s="48" t="s">
        <v>149</v>
      </c>
      <c r="H450" s="53">
        <v>6.39</v>
      </c>
      <c r="I450" s="52">
        <v>8</v>
      </c>
      <c r="J450" s="19">
        <v>4</v>
      </c>
      <c r="K450" s="13">
        <v>0.20448</v>
      </c>
      <c r="L450" s="7" t="s">
        <v>477</v>
      </c>
    </row>
    <row r="451" spans="1:12">
      <c r="A451" s="42" t="s">
        <v>90</v>
      </c>
      <c r="B451" s="48" t="s">
        <v>148</v>
      </c>
      <c r="C451" s="7">
        <v>12</v>
      </c>
      <c r="D451" s="7"/>
      <c r="E451" s="48" t="s">
        <v>19</v>
      </c>
      <c r="F451" s="48" t="s">
        <v>14</v>
      </c>
      <c r="G451" s="48" t="s">
        <v>149</v>
      </c>
      <c r="H451" s="53">
        <v>6.39</v>
      </c>
      <c r="I451" s="52">
        <v>8.5</v>
      </c>
      <c r="J451" s="19">
        <v>4</v>
      </c>
      <c r="K451" s="13">
        <v>0.21725999999999998</v>
      </c>
      <c r="L451" s="7" t="s">
        <v>477</v>
      </c>
    </row>
    <row r="452" spans="1:12">
      <c r="A452" s="42" t="s">
        <v>90</v>
      </c>
      <c r="B452" s="48" t="s">
        <v>148</v>
      </c>
      <c r="C452" s="7">
        <v>12</v>
      </c>
      <c r="D452" s="7"/>
      <c r="E452" s="48" t="s">
        <v>19</v>
      </c>
      <c r="F452" s="48" t="s">
        <v>14</v>
      </c>
      <c r="G452" s="48" t="s">
        <v>149</v>
      </c>
      <c r="H452" s="53">
        <v>6.39</v>
      </c>
      <c r="I452" s="52">
        <v>8.6999999999999993</v>
      </c>
      <c r="J452" s="19">
        <v>4</v>
      </c>
      <c r="K452" s="13">
        <v>0.22237199999999996</v>
      </c>
      <c r="L452" s="7" t="s">
        <v>477</v>
      </c>
    </row>
    <row r="453" spans="1:12">
      <c r="A453" s="42" t="s">
        <v>90</v>
      </c>
      <c r="B453" s="48" t="s">
        <v>148</v>
      </c>
      <c r="C453" s="7">
        <v>12</v>
      </c>
      <c r="D453" s="7"/>
      <c r="E453" s="48" t="s">
        <v>19</v>
      </c>
      <c r="F453" s="48" t="s">
        <v>14</v>
      </c>
      <c r="G453" s="48" t="s">
        <v>149</v>
      </c>
      <c r="H453" s="53">
        <v>6.39</v>
      </c>
      <c r="I453" s="52">
        <v>8.8000000000000007</v>
      </c>
      <c r="J453" s="19">
        <v>7</v>
      </c>
      <c r="K453" s="13">
        <v>0.39362400000000003</v>
      </c>
      <c r="L453" s="7" t="s">
        <v>477</v>
      </c>
    </row>
    <row r="454" spans="1:12">
      <c r="A454" s="42" t="s">
        <v>90</v>
      </c>
      <c r="B454" s="48" t="s">
        <v>148</v>
      </c>
      <c r="C454" s="7">
        <v>12</v>
      </c>
      <c r="D454" s="7"/>
      <c r="E454" s="48" t="s">
        <v>19</v>
      </c>
      <c r="F454" s="48" t="s">
        <v>14</v>
      </c>
      <c r="G454" s="48" t="s">
        <v>149</v>
      </c>
      <c r="H454" s="53">
        <v>6.39</v>
      </c>
      <c r="I454" s="52">
        <v>9</v>
      </c>
      <c r="J454" s="19">
        <v>12</v>
      </c>
      <c r="K454" s="13">
        <v>0.69011999999999996</v>
      </c>
      <c r="L454" s="7" t="s">
        <v>477</v>
      </c>
    </row>
    <row r="455" spans="1:12">
      <c r="A455" s="42" t="s">
        <v>90</v>
      </c>
      <c r="B455" s="48" t="s">
        <v>148</v>
      </c>
      <c r="C455" s="7">
        <v>13</v>
      </c>
      <c r="D455" s="7"/>
      <c r="E455" s="48" t="s">
        <v>19</v>
      </c>
      <c r="F455" s="48" t="s">
        <v>14</v>
      </c>
      <c r="G455" s="48" t="s">
        <v>149</v>
      </c>
      <c r="H455" s="53">
        <v>6.39</v>
      </c>
      <c r="I455" s="52">
        <v>10.5</v>
      </c>
      <c r="J455" s="19">
        <v>1</v>
      </c>
      <c r="K455" s="13">
        <v>6.7095000000000002E-2</v>
      </c>
      <c r="L455" s="7" t="s">
        <v>477</v>
      </c>
    </row>
    <row r="456" spans="1:12">
      <c r="A456" s="42" t="s">
        <v>90</v>
      </c>
      <c r="B456" s="48" t="s">
        <v>148</v>
      </c>
      <c r="C456" s="7">
        <v>13</v>
      </c>
      <c r="D456" s="7"/>
      <c r="E456" s="48" t="s">
        <v>19</v>
      </c>
      <c r="F456" s="48" t="s">
        <v>14</v>
      </c>
      <c r="G456" s="48" t="s">
        <v>149</v>
      </c>
      <c r="H456" s="53">
        <v>6.39</v>
      </c>
      <c r="I456" s="52">
        <v>11.4</v>
      </c>
      <c r="J456" s="19">
        <v>1</v>
      </c>
      <c r="K456" s="13">
        <v>7.2846000000000008E-2</v>
      </c>
      <c r="L456" s="7" t="s">
        <v>477</v>
      </c>
    </row>
    <row r="457" spans="1:12">
      <c r="A457" s="42" t="s">
        <v>90</v>
      </c>
      <c r="B457" s="48" t="s">
        <v>148</v>
      </c>
      <c r="C457" s="7">
        <v>13</v>
      </c>
      <c r="D457" s="7"/>
      <c r="E457" s="48" t="s">
        <v>19</v>
      </c>
      <c r="F457" s="48" t="s">
        <v>14</v>
      </c>
      <c r="G457" s="48" t="s">
        <v>149</v>
      </c>
      <c r="H457" s="53">
        <v>6.39</v>
      </c>
      <c r="I457" s="52">
        <v>13</v>
      </c>
      <c r="J457" s="19">
        <v>1</v>
      </c>
      <c r="K457" s="13">
        <v>8.3069999999999991E-2</v>
      </c>
      <c r="L457" s="7" t="s">
        <v>477</v>
      </c>
    </row>
    <row r="458" spans="1:12">
      <c r="A458" s="42" t="s">
        <v>90</v>
      </c>
      <c r="B458" s="48" t="s">
        <v>148</v>
      </c>
      <c r="C458" s="7">
        <v>13</v>
      </c>
      <c r="D458" s="7"/>
      <c r="E458" s="48" t="s">
        <v>19</v>
      </c>
      <c r="F458" s="48" t="s">
        <v>14</v>
      </c>
      <c r="G458" s="48" t="s">
        <v>149</v>
      </c>
      <c r="H458" s="53">
        <v>6.39</v>
      </c>
      <c r="I458" s="52">
        <v>11.5</v>
      </c>
      <c r="J458" s="19">
        <v>6</v>
      </c>
      <c r="K458" s="13">
        <v>0.44090999999999997</v>
      </c>
      <c r="L458" s="7" t="s">
        <v>477</v>
      </c>
    </row>
    <row r="459" spans="1:12">
      <c r="A459" s="42" t="s">
        <v>90</v>
      </c>
      <c r="B459" s="48" t="s">
        <v>148</v>
      </c>
      <c r="C459" s="7">
        <v>13</v>
      </c>
      <c r="D459" s="7"/>
      <c r="E459" s="48" t="s">
        <v>19</v>
      </c>
      <c r="F459" s="48" t="s">
        <v>14</v>
      </c>
      <c r="G459" s="48" t="s">
        <v>149</v>
      </c>
      <c r="H459" s="53">
        <v>6.39</v>
      </c>
      <c r="I459" s="52">
        <v>11</v>
      </c>
      <c r="J459" s="19">
        <v>1</v>
      </c>
      <c r="K459" s="13">
        <v>7.0289999999999991E-2</v>
      </c>
      <c r="L459" s="7" t="s">
        <v>477</v>
      </c>
    </row>
    <row r="460" spans="1:12">
      <c r="A460" s="42" t="s">
        <v>90</v>
      </c>
      <c r="B460" s="48" t="s">
        <v>148</v>
      </c>
      <c r="C460" s="7">
        <v>14</v>
      </c>
      <c r="D460" s="7"/>
      <c r="E460" s="363" t="s">
        <v>150</v>
      </c>
      <c r="F460" s="48" t="s">
        <v>15</v>
      </c>
      <c r="G460" s="48" t="s">
        <v>144</v>
      </c>
      <c r="H460" s="53">
        <v>5.38</v>
      </c>
      <c r="I460" s="52">
        <v>10.5</v>
      </c>
      <c r="J460" s="19">
        <v>5</v>
      </c>
      <c r="K460" s="13">
        <v>0.28244999999999998</v>
      </c>
      <c r="L460" s="7" t="s">
        <v>477</v>
      </c>
    </row>
    <row r="461" spans="1:12">
      <c r="A461" s="42" t="s">
        <v>90</v>
      </c>
      <c r="B461" s="48" t="s">
        <v>148</v>
      </c>
      <c r="C461" s="7">
        <v>15</v>
      </c>
      <c r="D461" s="7"/>
      <c r="E461" s="48" t="s">
        <v>151</v>
      </c>
      <c r="F461" s="48" t="s">
        <v>15</v>
      </c>
      <c r="G461" s="48" t="s">
        <v>144</v>
      </c>
      <c r="H461" s="53">
        <v>5.38</v>
      </c>
      <c r="I461" s="52">
        <v>7.5</v>
      </c>
      <c r="J461" s="19">
        <v>3</v>
      </c>
      <c r="K461" s="13">
        <v>0.12104999999999999</v>
      </c>
      <c r="L461" s="7" t="s">
        <v>477</v>
      </c>
    </row>
    <row r="462" spans="1:12">
      <c r="A462" s="42" t="s">
        <v>90</v>
      </c>
      <c r="B462" s="48" t="s">
        <v>148</v>
      </c>
      <c r="C462" s="7">
        <v>15</v>
      </c>
      <c r="D462" s="7"/>
      <c r="E462" s="48" t="s">
        <v>151</v>
      </c>
      <c r="F462" s="48" t="s">
        <v>15</v>
      </c>
      <c r="G462" s="48" t="s">
        <v>144</v>
      </c>
      <c r="H462" s="53">
        <v>5.38</v>
      </c>
      <c r="I462" s="52">
        <v>6.7</v>
      </c>
      <c r="J462" s="19">
        <v>1</v>
      </c>
      <c r="K462" s="13">
        <v>3.6046000000000002E-2</v>
      </c>
      <c r="L462" s="7" t="s">
        <v>477</v>
      </c>
    </row>
    <row r="463" spans="1:12">
      <c r="A463" s="42" t="s">
        <v>90</v>
      </c>
      <c r="B463" s="48" t="s">
        <v>148</v>
      </c>
      <c r="C463" s="7">
        <v>16</v>
      </c>
      <c r="D463" s="7"/>
      <c r="E463" s="48" t="s">
        <v>19</v>
      </c>
      <c r="F463" s="48" t="s">
        <v>14</v>
      </c>
      <c r="G463" s="48" t="s">
        <v>144</v>
      </c>
      <c r="H463" s="53">
        <v>5.38</v>
      </c>
      <c r="I463" s="52">
        <v>8.1999999999999993</v>
      </c>
      <c r="J463" s="19">
        <v>1</v>
      </c>
      <c r="K463" s="13">
        <v>4.4115999999999995E-2</v>
      </c>
      <c r="L463" s="7" t="s">
        <v>477</v>
      </c>
    </row>
    <row r="464" spans="1:12">
      <c r="A464" s="42" t="s">
        <v>90</v>
      </c>
      <c r="B464" s="48" t="s">
        <v>148</v>
      </c>
      <c r="C464" s="7">
        <v>16</v>
      </c>
      <c r="D464" s="7"/>
      <c r="E464" s="48" t="s">
        <v>19</v>
      </c>
      <c r="F464" s="48" t="s">
        <v>14</v>
      </c>
      <c r="G464" s="48" t="s">
        <v>144</v>
      </c>
      <c r="H464" s="53">
        <v>5.38</v>
      </c>
      <c r="I464" s="52">
        <v>5.9</v>
      </c>
      <c r="J464" s="19">
        <v>1</v>
      </c>
      <c r="K464" s="13">
        <v>3.1741999999999999E-2</v>
      </c>
      <c r="L464" s="7" t="s">
        <v>477</v>
      </c>
    </row>
    <row r="465" spans="1:12">
      <c r="A465" s="42" t="s">
        <v>90</v>
      </c>
      <c r="B465" s="48" t="s">
        <v>148</v>
      </c>
      <c r="C465" s="7">
        <v>17</v>
      </c>
      <c r="D465" s="7"/>
      <c r="E465" s="48" t="s">
        <v>19</v>
      </c>
      <c r="F465" s="48" t="s">
        <v>14</v>
      </c>
      <c r="G465" s="48" t="s">
        <v>144</v>
      </c>
      <c r="H465" s="53">
        <v>5.38</v>
      </c>
      <c r="I465" s="52">
        <v>11</v>
      </c>
      <c r="J465" s="19">
        <v>2</v>
      </c>
      <c r="K465" s="13">
        <v>0.11835999999999999</v>
      </c>
      <c r="L465" s="7" t="s">
        <v>477</v>
      </c>
    </row>
    <row r="466" spans="1:12">
      <c r="A466" s="42" t="s">
        <v>90</v>
      </c>
      <c r="B466" s="48" t="s">
        <v>148</v>
      </c>
      <c r="C466" s="7">
        <v>17</v>
      </c>
      <c r="D466" s="7"/>
      <c r="E466" s="48" t="s">
        <v>19</v>
      </c>
      <c r="F466" s="48" t="s">
        <v>14</v>
      </c>
      <c r="G466" s="48" t="s">
        <v>144</v>
      </c>
      <c r="H466" s="53">
        <v>5.38</v>
      </c>
      <c r="I466" s="52">
        <v>11.3</v>
      </c>
      <c r="J466" s="19">
        <v>1</v>
      </c>
      <c r="K466" s="13">
        <v>6.0794000000000001E-2</v>
      </c>
      <c r="L466" s="7" t="s">
        <v>477</v>
      </c>
    </row>
    <row r="467" spans="1:12">
      <c r="A467" s="42" t="s">
        <v>90</v>
      </c>
      <c r="B467" s="48" t="s">
        <v>148</v>
      </c>
      <c r="C467" s="7">
        <v>17</v>
      </c>
      <c r="D467" s="7"/>
      <c r="E467" s="48" t="s">
        <v>19</v>
      </c>
      <c r="F467" s="48" t="s">
        <v>14</v>
      </c>
      <c r="G467" s="48" t="s">
        <v>144</v>
      </c>
      <c r="H467" s="53">
        <v>5.38</v>
      </c>
      <c r="I467" s="52">
        <v>12</v>
      </c>
      <c r="J467" s="19">
        <v>14</v>
      </c>
      <c r="K467" s="13">
        <v>0.90383999999999998</v>
      </c>
      <c r="L467" s="7" t="s">
        <v>477</v>
      </c>
    </row>
    <row r="468" spans="1:12">
      <c r="A468" s="42" t="s">
        <v>90</v>
      </c>
      <c r="B468" s="48" t="s">
        <v>148</v>
      </c>
      <c r="C468" s="7">
        <v>18</v>
      </c>
      <c r="D468" s="7"/>
      <c r="E468" s="48" t="s">
        <v>19</v>
      </c>
      <c r="F468" s="48" t="s">
        <v>14</v>
      </c>
      <c r="G468" s="48" t="s">
        <v>149</v>
      </c>
      <c r="H468" s="53">
        <v>6.39</v>
      </c>
      <c r="I468" s="52">
        <v>6.5</v>
      </c>
      <c r="J468" s="19">
        <v>1</v>
      </c>
      <c r="K468" s="13">
        <v>4.1534999999999996E-2</v>
      </c>
      <c r="L468" s="7" t="s">
        <v>477</v>
      </c>
    </row>
    <row r="469" spans="1:12">
      <c r="A469" s="42" t="s">
        <v>90</v>
      </c>
      <c r="B469" s="48" t="s">
        <v>148</v>
      </c>
      <c r="C469" s="7">
        <v>18</v>
      </c>
      <c r="D469" s="7"/>
      <c r="E469" s="48" t="s">
        <v>19</v>
      </c>
      <c r="F469" s="48" t="s">
        <v>14</v>
      </c>
      <c r="G469" s="48" t="s">
        <v>149</v>
      </c>
      <c r="H469" s="53">
        <v>6.39</v>
      </c>
      <c r="I469" s="52">
        <v>11.8</v>
      </c>
      <c r="J469" s="19">
        <v>2</v>
      </c>
      <c r="K469" s="13">
        <v>0.15080399999999999</v>
      </c>
      <c r="L469" s="7" t="s">
        <v>477</v>
      </c>
    </row>
    <row r="470" spans="1:12">
      <c r="A470" s="42" t="s">
        <v>90</v>
      </c>
      <c r="B470" s="48" t="s">
        <v>148</v>
      </c>
      <c r="C470" s="7">
        <v>18</v>
      </c>
      <c r="D470" s="7"/>
      <c r="E470" s="48" t="s">
        <v>19</v>
      </c>
      <c r="F470" s="48" t="s">
        <v>14</v>
      </c>
      <c r="G470" s="48" t="s">
        <v>149</v>
      </c>
      <c r="H470" s="53">
        <v>6.39</v>
      </c>
      <c r="I470" s="52">
        <v>7.5</v>
      </c>
      <c r="J470" s="19">
        <v>1</v>
      </c>
      <c r="K470" s="13">
        <v>4.7924999999999995E-2</v>
      </c>
      <c r="L470" s="7" t="s">
        <v>477</v>
      </c>
    </row>
    <row r="471" spans="1:12">
      <c r="A471" s="42" t="s">
        <v>90</v>
      </c>
      <c r="B471" s="48" t="s">
        <v>148</v>
      </c>
      <c r="C471" s="7">
        <v>18</v>
      </c>
      <c r="D471" s="7"/>
      <c r="E471" s="48" t="s">
        <v>19</v>
      </c>
      <c r="F471" s="48" t="s">
        <v>14</v>
      </c>
      <c r="G471" s="48" t="s">
        <v>149</v>
      </c>
      <c r="H471" s="53">
        <v>6.39</v>
      </c>
      <c r="I471" s="52">
        <v>12</v>
      </c>
      <c r="J471" s="19">
        <v>5</v>
      </c>
      <c r="K471" s="13">
        <v>0.38339999999999996</v>
      </c>
      <c r="L471" s="7" t="s">
        <v>477</v>
      </c>
    </row>
    <row r="472" spans="1:12">
      <c r="A472" s="42" t="s">
        <v>90</v>
      </c>
      <c r="B472" s="48" t="s">
        <v>148</v>
      </c>
      <c r="C472" s="7">
        <v>19</v>
      </c>
      <c r="D472" s="7"/>
      <c r="E472" s="48" t="s">
        <v>151</v>
      </c>
      <c r="F472" s="48" t="s">
        <v>15</v>
      </c>
      <c r="G472" s="48" t="s">
        <v>149</v>
      </c>
      <c r="H472" s="53">
        <v>6.39</v>
      </c>
      <c r="I472" s="52">
        <v>12</v>
      </c>
      <c r="J472" s="19">
        <v>6</v>
      </c>
      <c r="K472" s="13">
        <v>0.46007999999999999</v>
      </c>
      <c r="L472" s="7" t="s">
        <v>477</v>
      </c>
    </row>
    <row r="473" spans="1:12">
      <c r="A473" s="42" t="s">
        <v>90</v>
      </c>
      <c r="B473" s="48" t="s">
        <v>148</v>
      </c>
      <c r="C473" s="7">
        <v>19</v>
      </c>
      <c r="D473" s="7"/>
      <c r="E473" s="48" t="s">
        <v>151</v>
      </c>
      <c r="F473" s="48" t="s">
        <v>15</v>
      </c>
      <c r="G473" s="48" t="s">
        <v>149</v>
      </c>
      <c r="H473" s="53">
        <v>6.39</v>
      </c>
      <c r="I473" s="52">
        <v>10.75</v>
      </c>
      <c r="J473" s="19">
        <v>1</v>
      </c>
      <c r="K473" s="13">
        <v>6.869249999999999E-2</v>
      </c>
      <c r="L473" s="7" t="s">
        <v>477</v>
      </c>
    </row>
    <row r="474" spans="1:12">
      <c r="A474" s="42" t="s">
        <v>90</v>
      </c>
      <c r="B474" s="48" t="s">
        <v>148</v>
      </c>
      <c r="C474" s="7">
        <v>20</v>
      </c>
      <c r="D474" s="7"/>
      <c r="E474" s="48" t="s">
        <v>19</v>
      </c>
      <c r="F474" s="48" t="s">
        <v>14</v>
      </c>
      <c r="G474" s="48" t="s">
        <v>149</v>
      </c>
      <c r="H474" s="53">
        <v>6.39</v>
      </c>
      <c r="I474" s="52">
        <v>8.5</v>
      </c>
      <c r="J474" s="19">
        <v>1</v>
      </c>
      <c r="K474" s="13">
        <v>5.4314999999999995E-2</v>
      </c>
      <c r="L474" s="7" t="s">
        <v>477</v>
      </c>
    </row>
    <row r="475" spans="1:12">
      <c r="A475" s="42" t="s">
        <v>90</v>
      </c>
      <c r="B475" s="48" t="s">
        <v>148</v>
      </c>
      <c r="C475" s="7">
        <v>20</v>
      </c>
      <c r="D475" s="7"/>
      <c r="E475" s="48" t="s">
        <v>19</v>
      </c>
      <c r="F475" s="48" t="s">
        <v>14</v>
      </c>
      <c r="G475" s="48" t="s">
        <v>149</v>
      </c>
      <c r="H475" s="53">
        <v>6.39</v>
      </c>
      <c r="I475" s="52">
        <v>8.9</v>
      </c>
      <c r="J475" s="19">
        <v>1</v>
      </c>
      <c r="K475" s="13">
        <v>5.6871000000000005E-2</v>
      </c>
      <c r="L475" s="7" t="s">
        <v>477</v>
      </c>
    </row>
    <row r="476" spans="1:12">
      <c r="A476" s="42" t="s">
        <v>90</v>
      </c>
      <c r="B476" s="48" t="s">
        <v>148</v>
      </c>
      <c r="C476" s="7">
        <v>20</v>
      </c>
      <c r="D476" s="7"/>
      <c r="E476" s="48" t="s">
        <v>19</v>
      </c>
      <c r="F476" s="48" t="s">
        <v>14</v>
      </c>
      <c r="G476" s="48" t="s">
        <v>149</v>
      </c>
      <c r="H476" s="53">
        <v>6.39</v>
      </c>
      <c r="I476" s="52">
        <v>8.3000000000000007</v>
      </c>
      <c r="J476" s="19">
        <v>1</v>
      </c>
      <c r="K476" s="13">
        <v>5.3037000000000001E-2</v>
      </c>
      <c r="L476" s="7" t="s">
        <v>477</v>
      </c>
    </row>
    <row r="477" spans="1:12">
      <c r="A477" s="42" t="s">
        <v>90</v>
      </c>
      <c r="B477" s="48" t="s">
        <v>148</v>
      </c>
      <c r="C477" s="7">
        <v>20</v>
      </c>
      <c r="D477" s="7"/>
      <c r="E477" s="48" t="s">
        <v>19</v>
      </c>
      <c r="F477" s="48" t="s">
        <v>14</v>
      </c>
      <c r="G477" s="48" t="s">
        <v>149</v>
      </c>
      <c r="H477" s="53">
        <v>6.39</v>
      </c>
      <c r="I477" s="52">
        <v>11.5</v>
      </c>
      <c r="J477" s="19">
        <v>1</v>
      </c>
      <c r="K477" s="13">
        <v>7.3484999999999995E-2</v>
      </c>
      <c r="L477" s="7" t="s">
        <v>477</v>
      </c>
    </row>
    <row r="478" spans="1:12">
      <c r="A478" s="42" t="s">
        <v>90</v>
      </c>
      <c r="B478" s="48" t="s">
        <v>148</v>
      </c>
      <c r="C478" s="7">
        <v>20</v>
      </c>
      <c r="D478" s="7"/>
      <c r="E478" s="48" t="s">
        <v>19</v>
      </c>
      <c r="F478" s="48" t="s">
        <v>14</v>
      </c>
      <c r="G478" s="48" t="s">
        <v>149</v>
      </c>
      <c r="H478" s="53">
        <v>6.39</v>
      </c>
      <c r="I478" s="52">
        <v>9.6999999999999993</v>
      </c>
      <c r="J478" s="19">
        <v>4</v>
      </c>
      <c r="K478" s="13">
        <v>0.24793199999999996</v>
      </c>
      <c r="L478" s="7" t="s">
        <v>477</v>
      </c>
    </row>
    <row r="479" spans="1:12">
      <c r="A479" s="42" t="s">
        <v>90</v>
      </c>
      <c r="B479" s="48" t="s">
        <v>148</v>
      </c>
      <c r="C479" s="7">
        <v>21</v>
      </c>
      <c r="D479" s="7"/>
      <c r="E479" s="48" t="s">
        <v>19</v>
      </c>
      <c r="F479" s="48" t="s">
        <v>14</v>
      </c>
      <c r="G479" s="48" t="s">
        <v>144</v>
      </c>
      <c r="H479" s="53">
        <v>5.38</v>
      </c>
      <c r="I479" s="52">
        <v>8</v>
      </c>
      <c r="J479" s="19">
        <v>1</v>
      </c>
      <c r="K479" s="13">
        <v>4.3040000000000002E-2</v>
      </c>
      <c r="L479" s="7" t="s">
        <v>477</v>
      </c>
    </row>
    <row r="480" spans="1:12">
      <c r="A480" s="42" t="s">
        <v>90</v>
      </c>
      <c r="B480" s="48" t="s">
        <v>148</v>
      </c>
      <c r="C480" s="7">
        <v>21</v>
      </c>
      <c r="D480" s="7"/>
      <c r="E480" s="48" t="s">
        <v>19</v>
      </c>
      <c r="F480" s="48" t="s">
        <v>14</v>
      </c>
      <c r="G480" s="48" t="s">
        <v>144</v>
      </c>
      <c r="H480" s="53">
        <v>5.38</v>
      </c>
      <c r="I480" s="52">
        <v>8.4</v>
      </c>
      <c r="J480" s="19">
        <v>1</v>
      </c>
      <c r="K480" s="13">
        <v>4.5192000000000003E-2</v>
      </c>
      <c r="L480" s="7" t="s">
        <v>477</v>
      </c>
    </row>
    <row r="481" spans="1:12">
      <c r="A481" s="42" t="s">
        <v>90</v>
      </c>
      <c r="B481" s="48" t="s">
        <v>148</v>
      </c>
      <c r="C481" s="7">
        <v>21</v>
      </c>
      <c r="D481" s="7"/>
      <c r="E481" s="48" t="s">
        <v>19</v>
      </c>
      <c r="F481" s="48" t="s">
        <v>14</v>
      </c>
      <c r="G481" s="48" t="s">
        <v>144</v>
      </c>
      <c r="H481" s="53">
        <v>5.38</v>
      </c>
      <c r="I481" s="52">
        <v>8.5</v>
      </c>
      <c r="J481" s="19">
        <v>2</v>
      </c>
      <c r="K481" s="13">
        <v>9.146E-2</v>
      </c>
      <c r="L481" s="7" t="s">
        <v>477</v>
      </c>
    </row>
    <row r="482" spans="1:12">
      <c r="A482" s="42" t="s">
        <v>90</v>
      </c>
      <c r="B482" s="48" t="s">
        <v>148</v>
      </c>
      <c r="C482" s="7">
        <v>21</v>
      </c>
      <c r="D482" s="7"/>
      <c r="E482" s="48" t="s">
        <v>19</v>
      </c>
      <c r="F482" s="48" t="s">
        <v>14</v>
      </c>
      <c r="G482" s="48" t="s">
        <v>144</v>
      </c>
      <c r="H482" s="53">
        <v>5.38</v>
      </c>
      <c r="I482" s="52">
        <v>8.25</v>
      </c>
      <c r="J482" s="19">
        <v>1</v>
      </c>
      <c r="K482" s="13">
        <v>4.4385000000000001E-2</v>
      </c>
      <c r="L482" s="7" t="s">
        <v>477</v>
      </c>
    </row>
    <row r="483" spans="1:12">
      <c r="A483" s="42" t="s">
        <v>90</v>
      </c>
      <c r="B483" s="48" t="s">
        <v>148</v>
      </c>
      <c r="C483" s="7">
        <v>21</v>
      </c>
      <c r="D483" s="7"/>
      <c r="E483" s="48" t="s">
        <v>19</v>
      </c>
      <c r="F483" s="48" t="s">
        <v>14</v>
      </c>
      <c r="G483" s="48" t="s">
        <v>144</v>
      </c>
      <c r="H483" s="53">
        <v>5.38</v>
      </c>
      <c r="I483" s="52">
        <v>5.4</v>
      </c>
      <c r="J483" s="19">
        <v>1</v>
      </c>
      <c r="K483" s="13">
        <v>2.9051999999999998E-2</v>
      </c>
      <c r="L483" s="7" t="s">
        <v>477</v>
      </c>
    </row>
    <row r="484" spans="1:12">
      <c r="A484" s="42" t="s">
        <v>90</v>
      </c>
      <c r="B484" s="48" t="s">
        <v>148</v>
      </c>
      <c r="C484" s="7">
        <v>21</v>
      </c>
      <c r="D484" s="7"/>
      <c r="E484" s="48" t="s">
        <v>19</v>
      </c>
      <c r="F484" s="48" t="s">
        <v>14</v>
      </c>
      <c r="G484" s="48" t="s">
        <v>144</v>
      </c>
      <c r="H484" s="53">
        <v>5.38</v>
      </c>
      <c r="I484" s="52">
        <v>12</v>
      </c>
      <c r="J484" s="19">
        <v>1</v>
      </c>
      <c r="K484" s="13">
        <v>6.4560000000000006E-2</v>
      </c>
      <c r="L484" s="7" t="s">
        <v>477</v>
      </c>
    </row>
    <row r="485" spans="1:12">
      <c r="A485" s="42" t="s">
        <v>90</v>
      </c>
      <c r="B485" s="48" t="s">
        <v>148</v>
      </c>
      <c r="C485" s="7">
        <v>22</v>
      </c>
      <c r="D485" s="7"/>
      <c r="E485" s="48" t="s">
        <v>151</v>
      </c>
      <c r="F485" s="48" t="s">
        <v>15</v>
      </c>
      <c r="G485" s="48" t="s">
        <v>144</v>
      </c>
      <c r="H485" s="53">
        <v>5.38</v>
      </c>
      <c r="I485" s="52">
        <v>12</v>
      </c>
      <c r="J485" s="19">
        <v>8</v>
      </c>
      <c r="K485" s="13">
        <v>0.51648000000000005</v>
      </c>
      <c r="L485" s="7" t="s">
        <v>477</v>
      </c>
    </row>
    <row r="486" spans="1:12">
      <c r="A486" s="42" t="s">
        <v>90</v>
      </c>
      <c r="B486" s="48" t="s">
        <v>148</v>
      </c>
      <c r="C486" s="7">
        <v>22</v>
      </c>
      <c r="D486" s="7"/>
      <c r="E486" s="48" t="s">
        <v>151</v>
      </c>
      <c r="F486" s="48" t="s">
        <v>15</v>
      </c>
      <c r="G486" s="48" t="s">
        <v>144</v>
      </c>
      <c r="H486" s="53">
        <v>5.38</v>
      </c>
      <c r="I486" s="52">
        <v>9</v>
      </c>
      <c r="J486" s="19">
        <v>2</v>
      </c>
      <c r="K486" s="13">
        <v>9.6840000000000009E-2</v>
      </c>
      <c r="L486" s="7" t="s">
        <v>477</v>
      </c>
    </row>
    <row r="487" spans="1:12">
      <c r="A487" s="42" t="s">
        <v>90</v>
      </c>
      <c r="B487" s="48" t="s">
        <v>148</v>
      </c>
      <c r="C487" s="7">
        <v>25</v>
      </c>
      <c r="D487" s="7" t="s">
        <v>93</v>
      </c>
      <c r="E487" s="48" t="s">
        <v>151</v>
      </c>
      <c r="F487" s="48" t="s">
        <v>15</v>
      </c>
      <c r="G487" s="48" t="s">
        <v>21</v>
      </c>
      <c r="H487" s="11">
        <v>6.97</v>
      </c>
      <c r="I487" s="8">
        <v>6.2</v>
      </c>
      <c r="J487" s="19">
        <v>1</v>
      </c>
      <c r="K487" s="13">
        <v>4.3213999999999995E-2</v>
      </c>
      <c r="L487" s="7" t="s">
        <v>477</v>
      </c>
    </row>
    <row r="488" spans="1:12">
      <c r="A488" s="42" t="s">
        <v>90</v>
      </c>
      <c r="B488" s="48" t="s">
        <v>148</v>
      </c>
      <c r="C488" s="7">
        <v>25</v>
      </c>
      <c r="D488" s="7" t="s">
        <v>93</v>
      </c>
      <c r="E488" s="48" t="s">
        <v>151</v>
      </c>
      <c r="F488" s="48" t="s">
        <v>15</v>
      </c>
      <c r="G488" s="48" t="s">
        <v>21</v>
      </c>
      <c r="H488" s="11">
        <v>6.97</v>
      </c>
      <c r="I488" s="8">
        <v>6.5</v>
      </c>
      <c r="J488" s="19">
        <v>1</v>
      </c>
      <c r="K488" s="13">
        <v>4.5304999999999998E-2</v>
      </c>
      <c r="L488" s="7" t="s">
        <v>477</v>
      </c>
    </row>
    <row r="489" spans="1:12">
      <c r="A489" s="42" t="s">
        <v>90</v>
      </c>
      <c r="B489" s="48" t="s">
        <v>148</v>
      </c>
      <c r="C489" s="7">
        <v>26</v>
      </c>
      <c r="D489" s="7"/>
      <c r="E489" s="48" t="s">
        <v>19</v>
      </c>
      <c r="F489" s="48" t="s">
        <v>14</v>
      </c>
      <c r="G489" s="48" t="s">
        <v>154</v>
      </c>
      <c r="H489" s="53">
        <v>4.9800000000000004</v>
      </c>
      <c r="I489" s="52">
        <v>12</v>
      </c>
      <c r="J489" s="19">
        <v>4</v>
      </c>
      <c r="K489" s="13">
        <v>0.23904000000000003</v>
      </c>
      <c r="L489" s="7" t="s">
        <v>477</v>
      </c>
    </row>
    <row r="490" spans="1:12">
      <c r="A490" s="42" t="s">
        <v>90</v>
      </c>
      <c r="B490" s="48" t="s">
        <v>148</v>
      </c>
      <c r="C490" s="7">
        <v>28</v>
      </c>
      <c r="D490" s="7"/>
      <c r="E490" s="48" t="s">
        <v>19</v>
      </c>
      <c r="F490" s="48" t="s">
        <v>14</v>
      </c>
      <c r="G490" s="48" t="s">
        <v>144</v>
      </c>
      <c r="H490" s="53">
        <v>5.38</v>
      </c>
      <c r="I490" s="52">
        <v>10.5</v>
      </c>
      <c r="J490" s="19">
        <v>2</v>
      </c>
      <c r="K490" s="13">
        <v>0.11298</v>
      </c>
      <c r="L490" s="7" t="s">
        <v>477</v>
      </c>
    </row>
    <row r="491" spans="1:12">
      <c r="A491" s="42" t="s">
        <v>90</v>
      </c>
      <c r="B491" s="48" t="s">
        <v>148</v>
      </c>
      <c r="C491" s="7">
        <v>29</v>
      </c>
      <c r="D491" s="7"/>
      <c r="E491" s="48" t="s">
        <v>19</v>
      </c>
      <c r="F491" s="48" t="s">
        <v>14</v>
      </c>
      <c r="G491" s="48" t="s">
        <v>149</v>
      </c>
      <c r="H491" s="53">
        <v>6.39</v>
      </c>
      <c r="I491" s="52">
        <v>9.4</v>
      </c>
      <c r="J491" s="19">
        <v>1</v>
      </c>
      <c r="K491" s="13">
        <v>6.0066000000000001E-2</v>
      </c>
      <c r="L491" s="7" t="s">
        <v>477</v>
      </c>
    </row>
    <row r="492" spans="1:12">
      <c r="A492" s="42" t="s">
        <v>90</v>
      </c>
      <c r="B492" s="48" t="s">
        <v>148</v>
      </c>
      <c r="C492" s="7">
        <v>29</v>
      </c>
      <c r="D492" s="7"/>
      <c r="E492" s="48" t="s">
        <v>19</v>
      </c>
      <c r="F492" s="48" t="s">
        <v>14</v>
      </c>
      <c r="G492" s="48" t="s">
        <v>149</v>
      </c>
      <c r="H492" s="53">
        <v>6.39</v>
      </c>
      <c r="I492" s="52">
        <v>9.8000000000000007</v>
      </c>
      <c r="J492" s="19">
        <v>1</v>
      </c>
      <c r="K492" s="13">
        <v>6.2621999999999997E-2</v>
      </c>
      <c r="L492" s="7" t="s">
        <v>477</v>
      </c>
    </row>
    <row r="493" spans="1:12">
      <c r="A493" s="42" t="s">
        <v>90</v>
      </c>
      <c r="B493" s="48" t="s">
        <v>148</v>
      </c>
      <c r="C493" s="7">
        <v>31</v>
      </c>
      <c r="D493" s="7"/>
      <c r="E493" s="48" t="s">
        <v>106</v>
      </c>
      <c r="F493" s="48" t="s">
        <v>15</v>
      </c>
      <c r="G493" s="48" t="s">
        <v>22</v>
      </c>
      <c r="H493" s="11">
        <v>10.73</v>
      </c>
      <c r="I493" s="52">
        <v>12</v>
      </c>
      <c r="J493" s="19">
        <v>2</v>
      </c>
      <c r="K493" s="13">
        <v>0.25751999999999997</v>
      </c>
      <c r="L493" s="7" t="s">
        <v>477</v>
      </c>
    </row>
    <row r="494" spans="1:12">
      <c r="A494" s="42" t="s">
        <v>90</v>
      </c>
      <c r="B494" s="48" t="s">
        <v>148</v>
      </c>
      <c r="C494" s="7">
        <v>31</v>
      </c>
      <c r="D494" s="7"/>
      <c r="E494" s="48" t="s">
        <v>106</v>
      </c>
      <c r="F494" s="48" t="s">
        <v>15</v>
      </c>
      <c r="G494" s="48" t="s">
        <v>22</v>
      </c>
      <c r="H494" s="11">
        <v>10.73</v>
      </c>
      <c r="I494" s="52">
        <v>11.8</v>
      </c>
      <c r="J494" s="19">
        <v>2</v>
      </c>
      <c r="K494" s="13">
        <v>0.25322800000000006</v>
      </c>
      <c r="L494" s="7" t="s">
        <v>477</v>
      </c>
    </row>
    <row r="495" spans="1:12">
      <c r="A495" s="42" t="s">
        <v>90</v>
      </c>
      <c r="B495" s="48" t="s">
        <v>148</v>
      </c>
      <c r="C495" s="7">
        <v>32</v>
      </c>
      <c r="D495" s="7"/>
      <c r="E495" s="48" t="s">
        <v>20</v>
      </c>
      <c r="F495" s="48" t="s">
        <v>15</v>
      </c>
      <c r="G495" s="48" t="s">
        <v>61</v>
      </c>
      <c r="H495" s="11">
        <v>19.68</v>
      </c>
      <c r="I495" s="52">
        <v>12</v>
      </c>
      <c r="J495" s="19">
        <v>2</v>
      </c>
      <c r="K495" s="13">
        <v>0.47232000000000002</v>
      </c>
      <c r="L495" s="7" t="s">
        <v>477</v>
      </c>
    </row>
    <row r="496" spans="1:12">
      <c r="A496" s="42" t="s">
        <v>90</v>
      </c>
      <c r="B496" s="48" t="s">
        <v>148</v>
      </c>
      <c r="C496" s="7">
        <v>33</v>
      </c>
      <c r="D496" s="7"/>
      <c r="E496" s="48" t="s">
        <v>19</v>
      </c>
      <c r="F496" s="48" t="s">
        <v>14</v>
      </c>
      <c r="G496" s="48" t="s">
        <v>28</v>
      </c>
      <c r="H496" s="11">
        <v>12.18</v>
      </c>
      <c r="I496" s="52">
        <v>6.75</v>
      </c>
      <c r="J496" s="19">
        <v>2</v>
      </c>
      <c r="K496" s="13">
        <v>0.16443000000000002</v>
      </c>
      <c r="L496" s="7" t="s">
        <v>477</v>
      </c>
    </row>
    <row r="497" spans="1:12">
      <c r="A497" s="42" t="s">
        <v>90</v>
      </c>
      <c r="B497" s="48" t="s">
        <v>148</v>
      </c>
      <c r="C497" s="7">
        <v>36</v>
      </c>
      <c r="D497" s="7"/>
      <c r="E497" s="48" t="s">
        <v>19</v>
      </c>
      <c r="F497" s="48" t="s">
        <v>14</v>
      </c>
      <c r="G497" s="48" t="s">
        <v>34</v>
      </c>
      <c r="H497" s="11">
        <v>9.61</v>
      </c>
      <c r="I497" s="52">
        <v>6</v>
      </c>
      <c r="J497" s="19">
        <v>1</v>
      </c>
      <c r="K497" s="13">
        <v>5.7659999999999996E-2</v>
      </c>
      <c r="L497" s="7" t="s">
        <v>477</v>
      </c>
    </row>
    <row r="498" spans="1:12">
      <c r="A498" s="42" t="s">
        <v>90</v>
      </c>
      <c r="B498" s="48" t="s">
        <v>148</v>
      </c>
      <c r="C498" s="7">
        <v>37</v>
      </c>
      <c r="D498" s="7"/>
      <c r="E498" s="48" t="s">
        <v>17</v>
      </c>
      <c r="F498" s="48" t="s">
        <v>15</v>
      </c>
      <c r="G498" s="48" t="s">
        <v>27</v>
      </c>
      <c r="H498" s="11">
        <v>6.17</v>
      </c>
      <c r="I498" s="52">
        <v>6.65</v>
      </c>
      <c r="J498" s="19">
        <v>1</v>
      </c>
      <c r="K498" s="13">
        <v>4.1030500000000004E-2</v>
      </c>
      <c r="L498" s="7" t="s">
        <v>477</v>
      </c>
    </row>
    <row r="499" spans="1:12">
      <c r="A499" s="42" t="s">
        <v>90</v>
      </c>
      <c r="B499" s="48" t="s">
        <v>148</v>
      </c>
      <c r="C499" s="7">
        <v>37</v>
      </c>
      <c r="D499" s="7"/>
      <c r="E499" s="48" t="s">
        <v>17</v>
      </c>
      <c r="F499" s="48" t="s">
        <v>15</v>
      </c>
      <c r="G499" s="48" t="s">
        <v>27</v>
      </c>
      <c r="H499" s="11">
        <v>6.17</v>
      </c>
      <c r="I499" s="52">
        <v>11</v>
      </c>
      <c r="J499" s="19">
        <v>1</v>
      </c>
      <c r="K499" s="13">
        <v>6.787E-2</v>
      </c>
      <c r="L499" s="7" t="s">
        <v>477</v>
      </c>
    </row>
    <row r="500" spans="1:12">
      <c r="A500" s="42" t="s">
        <v>90</v>
      </c>
      <c r="B500" s="48" t="s">
        <v>148</v>
      </c>
      <c r="C500" s="7">
        <v>38</v>
      </c>
      <c r="D500" s="7"/>
      <c r="E500" s="48" t="s">
        <v>20</v>
      </c>
      <c r="F500" s="48" t="s">
        <v>15</v>
      </c>
      <c r="G500" s="48" t="s">
        <v>27</v>
      </c>
      <c r="H500" s="11">
        <v>6.17</v>
      </c>
      <c r="I500" s="8">
        <v>5.5</v>
      </c>
      <c r="J500" s="19">
        <v>1</v>
      </c>
      <c r="K500" s="13">
        <v>3.3935E-2</v>
      </c>
      <c r="L500" s="7" t="s">
        <v>477</v>
      </c>
    </row>
    <row r="501" spans="1:12">
      <c r="A501" s="42" t="s">
        <v>90</v>
      </c>
      <c r="B501" s="48" t="s">
        <v>148</v>
      </c>
      <c r="C501" s="7">
        <v>38</v>
      </c>
      <c r="D501" s="7"/>
      <c r="E501" s="48" t="s">
        <v>20</v>
      </c>
      <c r="F501" s="48" t="s">
        <v>15</v>
      </c>
      <c r="G501" s="48" t="s">
        <v>27</v>
      </c>
      <c r="H501" s="11">
        <v>6.17</v>
      </c>
      <c r="I501" s="8">
        <v>5.4</v>
      </c>
      <c r="J501" s="19">
        <v>1</v>
      </c>
      <c r="K501" s="13">
        <v>3.3318000000000007E-2</v>
      </c>
      <c r="L501" s="7" t="s">
        <v>477</v>
      </c>
    </row>
    <row r="502" spans="1:12">
      <c r="A502" s="42" t="s">
        <v>90</v>
      </c>
      <c r="B502" s="48" t="s">
        <v>148</v>
      </c>
      <c r="C502" s="7">
        <v>40</v>
      </c>
      <c r="D502" s="7"/>
      <c r="E502" s="48" t="s">
        <v>24</v>
      </c>
      <c r="F502" s="48" t="s">
        <v>14</v>
      </c>
      <c r="G502" s="48" t="s">
        <v>25</v>
      </c>
      <c r="H502" s="11">
        <v>7.34</v>
      </c>
      <c r="I502" s="52">
        <v>6</v>
      </c>
      <c r="J502" s="19">
        <v>2</v>
      </c>
      <c r="K502" s="13">
        <v>8.8079999999999992E-2</v>
      </c>
      <c r="L502" s="7" t="s">
        <v>477</v>
      </c>
    </row>
    <row r="503" spans="1:12">
      <c r="A503" s="42" t="s">
        <v>90</v>
      </c>
      <c r="B503" s="48" t="s">
        <v>148</v>
      </c>
      <c r="C503" s="7">
        <v>41</v>
      </c>
      <c r="D503" s="7"/>
      <c r="E503" s="48" t="s">
        <v>155</v>
      </c>
      <c r="F503" s="48" t="s">
        <v>15</v>
      </c>
      <c r="G503" s="48" t="s">
        <v>44</v>
      </c>
      <c r="H503" s="11">
        <v>13.4</v>
      </c>
      <c r="I503" s="52">
        <v>9.5</v>
      </c>
      <c r="J503" s="19">
        <v>2</v>
      </c>
      <c r="K503" s="13">
        <v>0.25459999999999999</v>
      </c>
      <c r="L503" s="7" t="s">
        <v>477</v>
      </c>
    </row>
    <row r="504" spans="1:12">
      <c r="A504" s="42" t="s">
        <v>90</v>
      </c>
      <c r="B504" s="48" t="s">
        <v>148</v>
      </c>
      <c r="C504" s="7">
        <v>42</v>
      </c>
      <c r="D504" s="7"/>
      <c r="E504" s="48" t="s">
        <v>155</v>
      </c>
      <c r="F504" s="48" t="s">
        <v>15</v>
      </c>
      <c r="G504" s="48" t="s">
        <v>99</v>
      </c>
      <c r="H504" s="11">
        <v>18.2</v>
      </c>
      <c r="I504" s="52">
        <v>9.6</v>
      </c>
      <c r="J504" s="19">
        <v>1</v>
      </c>
      <c r="K504" s="13">
        <v>0.17471999999999999</v>
      </c>
      <c r="L504" s="7" t="s">
        <v>477</v>
      </c>
    </row>
    <row r="505" spans="1:12">
      <c r="A505" s="42" t="s">
        <v>90</v>
      </c>
      <c r="B505" s="48" t="s">
        <v>148</v>
      </c>
      <c r="C505" s="7">
        <v>44</v>
      </c>
      <c r="D505" s="7"/>
      <c r="E505" s="48" t="s">
        <v>19</v>
      </c>
      <c r="F505" s="48" t="s">
        <v>14</v>
      </c>
      <c r="G505" s="48" t="s">
        <v>154</v>
      </c>
      <c r="H505" s="53">
        <v>4.9800000000000004</v>
      </c>
      <c r="I505" s="52">
        <v>8.6</v>
      </c>
      <c r="J505" s="19">
        <v>1</v>
      </c>
      <c r="K505" s="13">
        <v>4.2828000000000005E-2</v>
      </c>
      <c r="L505" s="7" t="s">
        <v>477</v>
      </c>
    </row>
    <row r="506" spans="1:12">
      <c r="A506" s="42" t="s">
        <v>90</v>
      </c>
      <c r="B506" s="48" t="s">
        <v>148</v>
      </c>
      <c r="C506" s="7">
        <v>47</v>
      </c>
      <c r="D506" s="7"/>
      <c r="E506" s="48" t="s">
        <v>156</v>
      </c>
      <c r="F506" s="48" t="s">
        <v>15</v>
      </c>
      <c r="G506" s="48" t="s">
        <v>16</v>
      </c>
      <c r="H506" s="11">
        <v>5.77</v>
      </c>
      <c r="I506" s="52">
        <v>5.5</v>
      </c>
      <c r="J506" s="19">
        <v>2</v>
      </c>
      <c r="K506" s="13">
        <v>6.3469999999999999E-2</v>
      </c>
      <c r="L506" s="7" t="s">
        <v>477</v>
      </c>
    </row>
    <row r="507" spans="1:12">
      <c r="A507" s="42" t="s">
        <v>90</v>
      </c>
      <c r="B507" s="48" t="s">
        <v>148</v>
      </c>
      <c r="C507" s="7">
        <v>48</v>
      </c>
      <c r="D507" s="60" t="s">
        <v>142</v>
      </c>
      <c r="E507" s="69" t="s">
        <v>20</v>
      </c>
      <c r="F507" s="48" t="s">
        <v>15</v>
      </c>
      <c r="G507" s="48" t="s">
        <v>27</v>
      </c>
      <c r="H507" s="11">
        <v>6.17</v>
      </c>
      <c r="I507" s="8">
        <v>12</v>
      </c>
      <c r="J507" s="19">
        <v>7</v>
      </c>
      <c r="K507" s="13">
        <v>0.51827999999999996</v>
      </c>
      <c r="L507" s="7" t="s">
        <v>477</v>
      </c>
    </row>
    <row r="508" spans="1:12">
      <c r="A508" s="42" t="s">
        <v>90</v>
      </c>
      <c r="B508" s="48" t="s">
        <v>148</v>
      </c>
      <c r="C508" s="7">
        <v>48</v>
      </c>
      <c r="D508" s="7" t="s">
        <v>142</v>
      </c>
      <c r="E508" s="48" t="s">
        <v>20</v>
      </c>
      <c r="F508" s="48" t="s">
        <v>15</v>
      </c>
      <c r="G508" s="48" t="s">
        <v>27</v>
      </c>
      <c r="H508" s="11">
        <v>6.17</v>
      </c>
      <c r="I508" s="8">
        <v>9.4499999999999993</v>
      </c>
      <c r="J508" s="19">
        <v>1</v>
      </c>
      <c r="K508" s="13">
        <v>5.830649999999999E-2</v>
      </c>
      <c r="L508" s="7" t="s">
        <v>477</v>
      </c>
    </row>
    <row r="509" spans="1:12">
      <c r="A509" s="42" t="s">
        <v>90</v>
      </c>
      <c r="B509" s="48" t="s">
        <v>148</v>
      </c>
      <c r="C509" s="7">
        <v>49</v>
      </c>
      <c r="D509" s="7"/>
      <c r="E509" s="48" t="s">
        <v>156</v>
      </c>
      <c r="F509" s="48" t="s">
        <v>15</v>
      </c>
      <c r="G509" s="48" t="s">
        <v>32</v>
      </c>
      <c r="H509" s="11">
        <v>8.3000000000000007</v>
      </c>
      <c r="I509" s="52">
        <v>7</v>
      </c>
      <c r="J509" s="19">
        <v>1</v>
      </c>
      <c r="K509" s="13">
        <v>5.8100000000000006E-2</v>
      </c>
      <c r="L509" s="7" t="s">
        <v>477</v>
      </c>
    </row>
    <row r="510" spans="1:12">
      <c r="A510" s="42" t="s">
        <v>90</v>
      </c>
      <c r="B510" s="48" t="s">
        <v>148</v>
      </c>
      <c r="C510" s="7">
        <v>49</v>
      </c>
      <c r="D510" s="7"/>
      <c r="E510" s="48" t="s">
        <v>156</v>
      </c>
      <c r="F510" s="48" t="s">
        <v>15</v>
      </c>
      <c r="G510" s="48" t="s">
        <v>32</v>
      </c>
      <c r="H510" s="11">
        <v>8.3000000000000007</v>
      </c>
      <c r="I510" s="52">
        <v>6.5</v>
      </c>
      <c r="J510" s="19">
        <v>1</v>
      </c>
      <c r="K510" s="13">
        <v>5.3950000000000005E-2</v>
      </c>
      <c r="L510" s="7" t="s">
        <v>477</v>
      </c>
    </row>
    <row r="511" spans="1:12">
      <c r="A511" s="42" t="s">
        <v>90</v>
      </c>
      <c r="B511" s="48" t="s">
        <v>148</v>
      </c>
      <c r="C511" s="7">
        <v>50</v>
      </c>
      <c r="D511" s="7"/>
      <c r="E511" s="48" t="s">
        <v>19</v>
      </c>
      <c r="F511" s="48" t="s">
        <v>14</v>
      </c>
      <c r="G511" s="48" t="s">
        <v>144</v>
      </c>
      <c r="H511" s="53">
        <v>5.38</v>
      </c>
      <c r="I511" s="52">
        <v>12</v>
      </c>
      <c r="J511" s="19">
        <v>3</v>
      </c>
      <c r="K511" s="13">
        <v>0.19368000000000002</v>
      </c>
      <c r="L511" s="7" t="s">
        <v>477</v>
      </c>
    </row>
    <row r="512" spans="1:12">
      <c r="A512" s="42" t="s">
        <v>90</v>
      </c>
      <c r="B512" s="48" t="s">
        <v>148</v>
      </c>
      <c r="C512" s="7">
        <v>51</v>
      </c>
      <c r="D512" s="7"/>
      <c r="E512" s="48" t="s">
        <v>89</v>
      </c>
      <c r="F512" s="48" t="s">
        <v>15</v>
      </c>
      <c r="G512" s="48" t="s">
        <v>37</v>
      </c>
      <c r="H512" s="11">
        <v>18.149999999999999</v>
      </c>
      <c r="I512" s="52">
        <v>6</v>
      </c>
      <c r="J512" s="19">
        <v>1</v>
      </c>
      <c r="K512" s="13">
        <v>0.1089</v>
      </c>
      <c r="L512" s="7" t="s">
        <v>477</v>
      </c>
    </row>
    <row r="513" spans="1:12">
      <c r="A513" s="42" t="s">
        <v>90</v>
      </c>
      <c r="B513" s="48" t="s">
        <v>148</v>
      </c>
      <c r="C513" s="7">
        <v>53</v>
      </c>
      <c r="D513" s="7"/>
      <c r="E513" s="48" t="s">
        <v>20</v>
      </c>
      <c r="F513" s="48" t="s">
        <v>15</v>
      </c>
      <c r="G513" s="48" t="s">
        <v>27</v>
      </c>
      <c r="H513" s="11">
        <v>6.17</v>
      </c>
      <c r="I513" s="8">
        <v>5.5</v>
      </c>
      <c r="J513" s="19">
        <v>1</v>
      </c>
      <c r="K513" s="13">
        <v>3.3935E-2</v>
      </c>
      <c r="L513" s="7" t="s">
        <v>477</v>
      </c>
    </row>
    <row r="514" spans="1:12">
      <c r="A514" s="42" t="s">
        <v>90</v>
      </c>
      <c r="B514" s="48" t="s">
        <v>148</v>
      </c>
      <c r="C514" s="7">
        <v>56</v>
      </c>
      <c r="D514" s="7"/>
      <c r="E514" s="48" t="s">
        <v>157</v>
      </c>
      <c r="F514" s="48" t="s">
        <v>15</v>
      </c>
      <c r="G514" s="48" t="s">
        <v>25</v>
      </c>
      <c r="H514" s="11">
        <v>7.36</v>
      </c>
      <c r="I514" s="8">
        <v>8.5</v>
      </c>
      <c r="J514" s="64">
        <v>3</v>
      </c>
      <c r="K514" s="65">
        <v>0.18768000000000001</v>
      </c>
      <c r="L514" s="7" t="s">
        <v>477</v>
      </c>
    </row>
    <row r="515" spans="1:12">
      <c r="A515" s="42" t="s">
        <v>90</v>
      </c>
      <c r="B515" s="48" t="s">
        <v>148</v>
      </c>
      <c r="C515" s="7">
        <v>56</v>
      </c>
      <c r="D515" s="7"/>
      <c r="E515" s="48" t="s">
        <v>157</v>
      </c>
      <c r="F515" s="48" t="s">
        <v>15</v>
      </c>
      <c r="G515" s="48" t="s">
        <v>25</v>
      </c>
      <c r="H515" s="11">
        <v>7.36</v>
      </c>
      <c r="I515" s="8">
        <v>9</v>
      </c>
      <c r="J515" s="64">
        <v>8</v>
      </c>
      <c r="K515" s="65">
        <v>0.52992000000000006</v>
      </c>
      <c r="L515" s="7" t="s">
        <v>477</v>
      </c>
    </row>
    <row r="516" spans="1:12">
      <c r="A516" s="42" t="s">
        <v>90</v>
      </c>
      <c r="B516" s="48" t="s">
        <v>148</v>
      </c>
      <c r="C516" s="7">
        <v>58</v>
      </c>
      <c r="D516" s="7"/>
      <c r="E516" s="48" t="s">
        <v>19</v>
      </c>
      <c r="F516" s="48" t="s">
        <v>14</v>
      </c>
      <c r="G516" s="48" t="s">
        <v>27</v>
      </c>
      <c r="H516" s="11">
        <v>6.17</v>
      </c>
      <c r="I516" s="52">
        <v>10</v>
      </c>
      <c r="J516" s="19">
        <v>1</v>
      </c>
      <c r="K516" s="13">
        <v>6.1700000000000005E-2</v>
      </c>
      <c r="L516" s="7" t="s">
        <v>477</v>
      </c>
    </row>
    <row r="517" spans="1:12">
      <c r="A517" s="42" t="s">
        <v>90</v>
      </c>
      <c r="B517" s="48" t="s">
        <v>148</v>
      </c>
      <c r="C517" s="7">
        <v>63</v>
      </c>
      <c r="D517" s="7"/>
      <c r="E517" s="48" t="s">
        <v>89</v>
      </c>
      <c r="F517" s="48" t="s">
        <v>15</v>
      </c>
      <c r="G517" s="48" t="s">
        <v>29</v>
      </c>
      <c r="H517" s="11">
        <v>10.92</v>
      </c>
      <c r="I517" s="52">
        <v>8.8000000000000007</v>
      </c>
      <c r="J517" s="19">
        <v>1</v>
      </c>
      <c r="K517" s="13">
        <v>9.6096000000000001E-2</v>
      </c>
      <c r="L517" s="7" t="s">
        <v>477</v>
      </c>
    </row>
    <row r="518" spans="1:12">
      <c r="A518" s="42" t="s">
        <v>90</v>
      </c>
      <c r="B518" s="48" t="s">
        <v>148</v>
      </c>
      <c r="C518" s="7">
        <v>64</v>
      </c>
      <c r="D518" s="7" t="s">
        <v>142</v>
      </c>
      <c r="E518" s="48" t="s">
        <v>20</v>
      </c>
      <c r="F518" s="48" t="s">
        <v>15</v>
      </c>
      <c r="G518" s="48" t="s">
        <v>25</v>
      </c>
      <c r="H518" s="11">
        <v>7.34</v>
      </c>
      <c r="I518" s="52">
        <v>9.8000000000000007</v>
      </c>
      <c r="J518" s="19">
        <v>2</v>
      </c>
      <c r="K518" s="13">
        <v>0.14386399999999999</v>
      </c>
      <c r="L518" s="7" t="s">
        <v>477</v>
      </c>
    </row>
    <row r="519" spans="1:12">
      <c r="A519" s="42" t="s">
        <v>90</v>
      </c>
      <c r="B519" s="48" t="s">
        <v>148</v>
      </c>
      <c r="C519" s="7">
        <v>64</v>
      </c>
      <c r="D519" s="7" t="s">
        <v>142</v>
      </c>
      <c r="E519" s="48" t="s">
        <v>20</v>
      </c>
      <c r="F519" s="48" t="s">
        <v>15</v>
      </c>
      <c r="G519" s="48" t="s">
        <v>25</v>
      </c>
      <c r="H519" s="11">
        <v>7.34</v>
      </c>
      <c r="I519" s="52">
        <v>9.5</v>
      </c>
      <c r="J519" s="19">
        <v>3</v>
      </c>
      <c r="K519" s="13">
        <v>0.20918999999999999</v>
      </c>
      <c r="L519" s="7" t="s">
        <v>477</v>
      </c>
    </row>
    <row r="520" spans="1:12">
      <c r="A520" s="42" t="s">
        <v>90</v>
      </c>
      <c r="B520" s="48" t="s">
        <v>148</v>
      </c>
      <c r="C520" s="7">
        <v>64</v>
      </c>
      <c r="D520" s="7" t="s">
        <v>142</v>
      </c>
      <c r="E520" s="48" t="s">
        <v>20</v>
      </c>
      <c r="F520" s="48" t="s">
        <v>15</v>
      </c>
      <c r="G520" s="48" t="s">
        <v>25</v>
      </c>
      <c r="H520" s="11">
        <v>7.34</v>
      </c>
      <c r="I520" s="52">
        <v>10.8</v>
      </c>
      <c r="J520" s="19">
        <v>1</v>
      </c>
      <c r="K520" s="13">
        <v>7.9272000000000009E-2</v>
      </c>
      <c r="L520" s="7" t="s">
        <v>477</v>
      </c>
    </row>
    <row r="521" spans="1:12">
      <c r="A521" s="42" t="s">
        <v>90</v>
      </c>
      <c r="B521" s="48" t="s">
        <v>148</v>
      </c>
      <c r="C521" s="7">
        <v>64</v>
      </c>
      <c r="D521" s="7" t="s">
        <v>142</v>
      </c>
      <c r="E521" s="48" t="s">
        <v>20</v>
      </c>
      <c r="F521" s="48" t="s">
        <v>15</v>
      </c>
      <c r="G521" s="48" t="s">
        <v>25</v>
      </c>
      <c r="H521" s="11">
        <v>7.34</v>
      </c>
      <c r="I521" s="52">
        <v>9.1999999999999993</v>
      </c>
      <c r="J521" s="19">
        <v>1</v>
      </c>
      <c r="K521" s="13">
        <v>6.7527999999999991E-2</v>
      </c>
      <c r="L521" s="7" t="s">
        <v>477</v>
      </c>
    </row>
    <row r="522" spans="1:12">
      <c r="A522" s="42" t="s">
        <v>90</v>
      </c>
      <c r="B522" s="48" t="s">
        <v>148</v>
      </c>
      <c r="C522" s="7">
        <v>65</v>
      </c>
      <c r="D522" s="7" t="s">
        <v>142</v>
      </c>
      <c r="E522" s="12" t="s">
        <v>75</v>
      </c>
      <c r="F522" s="48" t="s">
        <v>15</v>
      </c>
      <c r="G522" s="48" t="s">
        <v>32</v>
      </c>
      <c r="H522" s="11">
        <v>8.3000000000000007</v>
      </c>
      <c r="I522" s="52">
        <v>11.5</v>
      </c>
      <c r="J522" s="19">
        <v>3</v>
      </c>
      <c r="K522" s="13">
        <v>0.28635000000000005</v>
      </c>
      <c r="L522" s="7" t="s">
        <v>477</v>
      </c>
    </row>
    <row r="523" spans="1:12">
      <c r="A523" s="42" t="s">
        <v>90</v>
      </c>
      <c r="B523" s="48" t="s">
        <v>148</v>
      </c>
      <c r="C523" s="7">
        <v>65</v>
      </c>
      <c r="D523" s="7" t="s">
        <v>142</v>
      </c>
      <c r="E523" s="12" t="s">
        <v>75</v>
      </c>
      <c r="F523" s="48" t="s">
        <v>15</v>
      </c>
      <c r="G523" s="48" t="s">
        <v>32</v>
      </c>
      <c r="H523" s="11">
        <v>8.3000000000000007</v>
      </c>
      <c r="I523" s="52">
        <v>10.5</v>
      </c>
      <c r="J523" s="19">
        <v>4</v>
      </c>
      <c r="K523" s="13">
        <v>0.34860000000000002</v>
      </c>
      <c r="L523" s="7" t="s">
        <v>477</v>
      </c>
    </row>
    <row r="524" spans="1:12">
      <c r="A524" s="42" t="s">
        <v>90</v>
      </c>
      <c r="B524" s="48" t="s">
        <v>148</v>
      </c>
      <c r="C524" s="7">
        <v>65</v>
      </c>
      <c r="D524" s="7" t="s">
        <v>142</v>
      </c>
      <c r="E524" s="12" t="s">
        <v>75</v>
      </c>
      <c r="F524" s="48" t="s">
        <v>15</v>
      </c>
      <c r="G524" s="48" t="s">
        <v>32</v>
      </c>
      <c r="H524" s="11">
        <v>8.3000000000000007</v>
      </c>
      <c r="I524" s="52">
        <v>8.75</v>
      </c>
      <c r="J524" s="19">
        <v>3</v>
      </c>
      <c r="K524" s="13">
        <v>0.21787500000000004</v>
      </c>
      <c r="L524" s="7" t="s">
        <v>477</v>
      </c>
    </row>
    <row r="525" spans="1:12">
      <c r="A525" s="42" t="s">
        <v>90</v>
      </c>
      <c r="B525" s="48" t="s">
        <v>148</v>
      </c>
      <c r="C525" s="7">
        <v>66</v>
      </c>
      <c r="D525" s="7"/>
      <c r="E525" s="69" t="s">
        <v>20</v>
      </c>
      <c r="F525" s="69" t="s">
        <v>15</v>
      </c>
      <c r="G525" s="69" t="s">
        <v>34</v>
      </c>
      <c r="H525" s="61">
        <v>9.61</v>
      </c>
      <c r="I525" s="70">
        <v>11.5</v>
      </c>
      <c r="J525" s="64">
        <v>1</v>
      </c>
      <c r="K525" s="65">
        <v>0.11051499999999999</v>
      </c>
      <c r="L525" s="7" t="s">
        <v>477</v>
      </c>
    </row>
    <row r="526" spans="1:12">
      <c r="A526" s="42" t="s">
        <v>90</v>
      </c>
      <c r="B526" s="48" t="s">
        <v>148</v>
      </c>
      <c r="C526" s="7">
        <v>68</v>
      </c>
      <c r="D526" s="7"/>
      <c r="E526" s="48" t="s">
        <v>20</v>
      </c>
      <c r="F526" s="48" t="s">
        <v>15</v>
      </c>
      <c r="G526" s="48" t="s">
        <v>29</v>
      </c>
      <c r="H526" s="11">
        <v>10.92</v>
      </c>
      <c r="I526" s="52">
        <v>11</v>
      </c>
      <c r="J526" s="19">
        <v>1</v>
      </c>
      <c r="K526" s="13">
        <v>0.12012</v>
      </c>
      <c r="L526" s="7" t="s">
        <v>477</v>
      </c>
    </row>
    <row r="527" spans="1:12">
      <c r="A527" s="42" t="s">
        <v>90</v>
      </c>
      <c r="B527" s="48" t="s">
        <v>148</v>
      </c>
      <c r="C527" s="7">
        <v>69</v>
      </c>
      <c r="D527" s="7"/>
      <c r="E527" s="48" t="s">
        <v>20</v>
      </c>
      <c r="F527" s="48" t="s">
        <v>15</v>
      </c>
      <c r="G527" s="48" t="s">
        <v>32</v>
      </c>
      <c r="H527" s="11">
        <v>8.3000000000000007</v>
      </c>
      <c r="I527" s="52">
        <v>5</v>
      </c>
      <c r="J527" s="19">
        <v>1</v>
      </c>
      <c r="K527" s="13">
        <v>4.1500000000000002E-2</v>
      </c>
      <c r="L527" s="7" t="s">
        <v>477</v>
      </c>
    </row>
    <row r="528" spans="1:12">
      <c r="A528" s="42" t="s">
        <v>90</v>
      </c>
      <c r="B528" s="48" t="s">
        <v>148</v>
      </c>
      <c r="C528" s="7">
        <v>70</v>
      </c>
      <c r="D528" s="7"/>
      <c r="E528" s="48" t="s">
        <v>20</v>
      </c>
      <c r="F528" s="48" t="s">
        <v>15</v>
      </c>
      <c r="G528" s="48" t="s">
        <v>30</v>
      </c>
      <c r="H528" s="11">
        <v>9.26</v>
      </c>
      <c r="I528" s="184">
        <v>5.7</v>
      </c>
      <c r="J528" s="19">
        <v>1</v>
      </c>
      <c r="K528" s="13">
        <v>5.2782000000000003E-2</v>
      </c>
      <c r="L528" s="7" t="s">
        <v>477</v>
      </c>
    </row>
    <row r="529" spans="1:12">
      <c r="A529" s="42" t="s">
        <v>90</v>
      </c>
      <c r="B529" s="48" t="s">
        <v>148</v>
      </c>
      <c r="C529" s="7">
        <v>70</v>
      </c>
      <c r="D529" s="7"/>
      <c r="E529" s="48" t="s">
        <v>20</v>
      </c>
      <c r="F529" s="48" t="s">
        <v>15</v>
      </c>
      <c r="G529" s="48" t="s">
        <v>30</v>
      </c>
      <c r="H529" s="11">
        <v>9.26</v>
      </c>
      <c r="I529" s="184">
        <v>7.1</v>
      </c>
      <c r="J529" s="19">
        <v>1</v>
      </c>
      <c r="K529" s="13">
        <v>6.5745999999999999E-2</v>
      </c>
      <c r="L529" s="7" t="s">
        <v>477</v>
      </c>
    </row>
    <row r="530" spans="1:12">
      <c r="A530" s="42" t="s">
        <v>90</v>
      </c>
      <c r="B530" s="48" t="s">
        <v>148</v>
      </c>
      <c r="C530" s="7">
        <v>70</v>
      </c>
      <c r="D530" s="7"/>
      <c r="E530" s="48" t="s">
        <v>20</v>
      </c>
      <c r="F530" s="48" t="s">
        <v>15</v>
      </c>
      <c r="G530" s="48" t="s">
        <v>30</v>
      </c>
      <c r="H530" s="11">
        <v>9.26</v>
      </c>
      <c r="I530" s="184">
        <v>6.3</v>
      </c>
      <c r="J530" s="19">
        <v>1</v>
      </c>
      <c r="K530" s="13">
        <v>5.8337999999999994E-2</v>
      </c>
      <c r="L530" s="7" t="s">
        <v>477</v>
      </c>
    </row>
    <row r="531" spans="1:12">
      <c r="A531" s="42" t="s">
        <v>90</v>
      </c>
      <c r="B531" s="48" t="s">
        <v>148</v>
      </c>
      <c r="C531" s="7">
        <v>70</v>
      </c>
      <c r="D531" s="7"/>
      <c r="E531" s="48" t="s">
        <v>20</v>
      </c>
      <c r="F531" s="48" t="s">
        <v>15</v>
      </c>
      <c r="G531" s="48" t="s">
        <v>30</v>
      </c>
      <c r="H531" s="11">
        <v>9.26</v>
      </c>
      <c r="I531" s="184">
        <v>9.1999999999999993</v>
      </c>
      <c r="J531" s="19">
        <v>1</v>
      </c>
      <c r="K531" s="13">
        <v>8.519199999999999E-2</v>
      </c>
      <c r="L531" s="7" t="s">
        <v>477</v>
      </c>
    </row>
    <row r="532" spans="1:12">
      <c r="A532" s="42" t="s">
        <v>90</v>
      </c>
      <c r="B532" s="48" t="s">
        <v>148</v>
      </c>
      <c r="C532" s="7">
        <v>70</v>
      </c>
      <c r="D532" s="7"/>
      <c r="E532" s="48" t="s">
        <v>20</v>
      </c>
      <c r="F532" s="48" t="s">
        <v>15</v>
      </c>
      <c r="G532" s="48" t="s">
        <v>30</v>
      </c>
      <c r="H532" s="11">
        <v>9.26</v>
      </c>
      <c r="I532" s="184">
        <v>9.3000000000000007</v>
      </c>
      <c r="J532" s="19">
        <v>1</v>
      </c>
      <c r="K532" s="13">
        <v>8.6118000000000014E-2</v>
      </c>
      <c r="L532" s="7" t="s">
        <v>477</v>
      </c>
    </row>
    <row r="533" spans="1:12">
      <c r="A533" s="42" t="s">
        <v>90</v>
      </c>
      <c r="B533" s="48" t="s">
        <v>148</v>
      </c>
      <c r="C533" s="7">
        <v>71</v>
      </c>
      <c r="D533" s="7"/>
      <c r="E533" s="48" t="s">
        <v>89</v>
      </c>
      <c r="F533" s="48" t="s">
        <v>15</v>
      </c>
      <c r="G533" s="48" t="s">
        <v>30</v>
      </c>
      <c r="H533" s="11">
        <v>9.26</v>
      </c>
      <c r="I533" s="184">
        <v>6.8</v>
      </c>
      <c r="J533" s="19">
        <v>1</v>
      </c>
      <c r="K533" s="13">
        <v>6.2967999999999996E-2</v>
      </c>
      <c r="L533" s="7" t="s">
        <v>477</v>
      </c>
    </row>
    <row r="534" spans="1:12">
      <c r="A534" s="42" t="s">
        <v>90</v>
      </c>
      <c r="B534" s="48" t="s">
        <v>148</v>
      </c>
      <c r="C534" s="7">
        <v>71</v>
      </c>
      <c r="D534" s="7"/>
      <c r="E534" s="48" t="s">
        <v>89</v>
      </c>
      <c r="F534" s="48" t="s">
        <v>15</v>
      </c>
      <c r="G534" s="48" t="s">
        <v>30</v>
      </c>
      <c r="H534" s="11">
        <v>9.26</v>
      </c>
      <c r="I534" s="184">
        <v>7.8</v>
      </c>
      <c r="J534" s="19">
        <v>2</v>
      </c>
      <c r="K534" s="13">
        <v>0.144456</v>
      </c>
      <c r="L534" s="7" t="s">
        <v>477</v>
      </c>
    </row>
    <row r="535" spans="1:12">
      <c r="A535" s="42" t="s">
        <v>90</v>
      </c>
      <c r="B535" s="48" t="s">
        <v>148</v>
      </c>
      <c r="C535" s="7">
        <v>71</v>
      </c>
      <c r="D535" s="7"/>
      <c r="E535" s="48" t="s">
        <v>89</v>
      </c>
      <c r="F535" s="48" t="s">
        <v>15</v>
      </c>
      <c r="G535" s="48" t="s">
        <v>30</v>
      </c>
      <c r="H535" s="11">
        <v>9.26</v>
      </c>
      <c r="I535" s="184">
        <v>8</v>
      </c>
      <c r="J535" s="19">
        <v>1</v>
      </c>
      <c r="K535" s="13">
        <v>7.4079999999999993E-2</v>
      </c>
      <c r="L535" s="7" t="s">
        <v>477</v>
      </c>
    </row>
    <row r="536" spans="1:12">
      <c r="A536" s="42" t="s">
        <v>90</v>
      </c>
      <c r="B536" s="48" t="s">
        <v>148</v>
      </c>
      <c r="C536" s="7">
        <v>72</v>
      </c>
      <c r="D536" s="7"/>
      <c r="E536" s="48" t="s">
        <v>20</v>
      </c>
      <c r="F536" s="48" t="s">
        <v>15</v>
      </c>
      <c r="G536" s="48" t="s">
        <v>32</v>
      </c>
      <c r="H536" s="11">
        <v>8.3000000000000007</v>
      </c>
      <c r="I536" s="52">
        <v>5.6</v>
      </c>
      <c r="J536" s="19">
        <v>1</v>
      </c>
      <c r="K536" s="13">
        <v>4.6480000000000007E-2</v>
      </c>
      <c r="L536" s="7" t="s">
        <v>477</v>
      </c>
    </row>
    <row r="537" spans="1:12">
      <c r="A537" s="42" t="s">
        <v>90</v>
      </c>
      <c r="B537" s="48" t="s">
        <v>148</v>
      </c>
      <c r="C537" s="7">
        <v>72</v>
      </c>
      <c r="D537" s="7"/>
      <c r="E537" s="48" t="s">
        <v>20</v>
      </c>
      <c r="F537" s="48" t="s">
        <v>15</v>
      </c>
      <c r="G537" s="48" t="s">
        <v>32</v>
      </c>
      <c r="H537" s="11">
        <v>8.3000000000000007</v>
      </c>
      <c r="I537" s="52">
        <v>6.5</v>
      </c>
      <c r="J537" s="19">
        <v>1</v>
      </c>
      <c r="K537" s="13">
        <v>5.3950000000000005E-2</v>
      </c>
      <c r="L537" s="7" t="s">
        <v>477</v>
      </c>
    </row>
    <row r="538" spans="1:12">
      <c r="A538" s="42" t="s">
        <v>90</v>
      </c>
      <c r="B538" s="48" t="s">
        <v>148</v>
      </c>
      <c r="C538" s="7">
        <v>73</v>
      </c>
      <c r="D538" s="7"/>
      <c r="E538" s="48" t="s">
        <v>19</v>
      </c>
      <c r="F538" s="48" t="s">
        <v>14</v>
      </c>
      <c r="G538" s="48" t="s">
        <v>40</v>
      </c>
      <c r="H538" s="11">
        <v>16.5</v>
      </c>
      <c r="I538" s="52">
        <v>11</v>
      </c>
      <c r="J538" s="19">
        <v>1</v>
      </c>
      <c r="K538" s="13">
        <v>0.18149999999999999</v>
      </c>
      <c r="L538" s="7" t="s">
        <v>477</v>
      </c>
    </row>
    <row r="539" spans="1:12">
      <c r="A539" s="42" t="s">
        <v>90</v>
      </c>
      <c r="B539" s="48" t="s">
        <v>148</v>
      </c>
      <c r="C539" s="7">
        <v>73</v>
      </c>
      <c r="D539" s="7"/>
      <c r="E539" s="48" t="s">
        <v>19</v>
      </c>
      <c r="F539" s="48" t="s">
        <v>14</v>
      </c>
      <c r="G539" s="48" t="s">
        <v>40</v>
      </c>
      <c r="H539" s="11">
        <v>16.5</v>
      </c>
      <c r="I539" s="52">
        <v>11.6</v>
      </c>
      <c r="J539" s="19">
        <v>1</v>
      </c>
      <c r="K539" s="13">
        <v>0.19140000000000001</v>
      </c>
      <c r="L539" s="7" t="s">
        <v>477</v>
      </c>
    </row>
    <row r="540" spans="1:12">
      <c r="A540" s="42" t="s">
        <v>90</v>
      </c>
      <c r="B540" s="48" t="s">
        <v>148</v>
      </c>
      <c r="C540" s="7">
        <v>73</v>
      </c>
      <c r="D540" s="7"/>
      <c r="E540" s="48" t="s">
        <v>19</v>
      </c>
      <c r="F540" s="48" t="s">
        <v>14</v>
      </c>
      <c r="G540" s="48" t="s">
        <v>40</v>
      </c>
      <c r="H540" s="11">
        <v>16.5</v>
      </c>
      <c r="I540" s="52">
        <v>11.5</v>
      </c>
      <c r="J540" s="19">
        <v>1</v>
      </c>
      <c r="K540" s="13">
        <v>0.18975</v>
      </c>
      <c r="L540" s="7" t="s">
        <v>477</v>
      </c>
    </row>
    <row r="541" spans="1:12">
      <c r="A541" s="42" t="s">
        <v>90</v>
      </c>
      <c r="B541" s="48" t="s">
        <v>148</v>
      </c>
      <c r="C541" s="7">
        <v>74</v>
      </c>
      <c r="D541" s="7"/>
      <c r="E541" s="48" t="s">
        <v>20</v>
      </c>
      <c r="F541" s="48" t="s">
        <v>15</v>
      </c>
      <c r="G541" s="48" t="s">
        <v>34</v>
      </c>
      <c r="H541" s="11">
        <v>9.61</v>
      </c>
      <c r="I541" s="52">
        <v>6</v>
      </c>
      <c r="J541" s="19">
        <v>1</v>
      </c>
      <c r="K541" s="13">
        <v>5.7659999999999996E-2</v>
      </c>
      <c r="L541" s="7" t="s">
        <v>477</v>
      </c>
    </row>
    <row r="542" spans="1:12">
      <c r="A542" s="42" t="s">
        <v>90</v>
      </c>
      <c r="B542" s="48" t="s">
        <v>148</v>
      </c>
      <c r="C542" s="7">
        <v>74</v>
      </c>
      <c r="D542" s="7"/>
      <c r="E542" s="48" t="s">
        <v>20</v>
      </c>
      <c r="F542" s="48" t="s">
        <v>15</v>
      </c>
      <c r="G542" s="48" t="s">
        <v>34</v>
      </c>
      <c r="H542" s="11">
        <v>9.61</v>
      </c>
      <c r="I542" s="52">
        <v>12</v>
      </c>
      <c r="J542" s="19">
        <v>2</v>
      </c>
      <c r="K542" s="13">
        <v>0.23063999999999998</v>
      </c>
      <c r="L542" s="7" t="s">
        <v>477</v>
      </c>
    </row>
    <row r="543" spans="1:12">
      <c r="A543" s="42" t="s">
        <v>90</v>
      </c>
      <c r="B543" s="48" t="s">
        <v>148</v>
      </c>
      <c r="C543" s="7">
        <v>75</v>
      </c>
      <c r="D543" s="7"/>
      <c r="E543" s="48" t="s">
        <v>106</v>
      </c>
      <c r="F543" s="48" t="s">
        <v>15</v>
      </c>
      <c r="G543" s="48" t="s">
        <v>37</v>
      </c>
      <c r="H543" s="11">
        <v>18.149999999999999</v>
      </c>
      <c r="I543" s="8">
        <v>8.3000000000000007</v>
      </c>
      <c r="J543" s="19">
        <v>1</v>
      </c>
      <c r="K543" s="13">
        <v>0.150645</v>
      </c>
      <c r="L543" s="7" t="s">
        <v>477</v>
      </c>
    </row>
    <row r="544" spans="1:12">
      <c r="A544" s="42" t="s">
        <v>90</v>
      </c>
      <c r="B544" s="48" t="s">
        <v>148</v>
      </c>
      <c r="C544" s="7">
        <v>76</v>
      </c>
      <c r="D544" s="7"/>
      <c r="E544" s="48" t="s">
        <v>19</v>
      </c>
      <c r="F544" s="48" t="s">
        <v>14</v>
      </c>
      <c r="G544" s="48" t="s">
        <v>37</v>
      </c>
      <c r="H544" s="11">
        <v>18.149999999999999</v>
      </c>
      <c r="I544" s="52">
        <v>7.5</v>
      </c>
      <c r="J544" s="19">
        <v>5</v>
      </c>
      <c r="K544" s="13">
        <v>0.68062500000000004</v>
      </c>
      <c r="L544" s="7" t="s">
        <v>477</v>
      </c>
    </row>
    <row r="545" spans="1:12">
      <c r="A545" s="42" t="s">
        <v>90</v>
      </c>
      <c r="B545" s="48" t="s">
        <v>148</v>
      </c>
      <c r="C545" s="7">
        <v>78</v>
      </c>
      <c r="D545" s="7"/>
      <c r="E545" s="69" t="s">
        <v>20</v>
      </c>
      <c r="F545" s="69" t="s">
        <v>15</v>
      </c>
      <c r="G545" s="69" t="s">
        <v>48</v>
      </c>
      <c r="H545" s="61">
        <v>23.6</v>
      </c>
      <c r="I545" s="70">
        <v>12</v>
      </c>
      <c r="J545" s="64">
        <v>1</v>
      </c>
      <c r="K545" s="65">
        <v>0.28320000000000006</v>
      </c>
      <c r="L545" s="7" t="s">
        <v>477</v>
      </c>
    </row>
    <row r="546" spans="1:12">
      <c r="A546" s="42" t="s">
        <v>90</v>
      </c>
      <c r="B546" s="48" t="s">
        <v>148</v>
      </c>
      <c r="C546" s="7">
        <v>79</v>
      </c>
      <c r="D546" s="7"/>
      <c r="E546" s="48" t="s">
        <v>20</v>
      </c>
      <c r="F546" s="48" t="s">
        <v>15</v>
      </c>
      <c r="G546" s="48" t="s">
        <v>42</v>
      </c>
      <c r="H546" s="11">
        <v>19.72</v>
      </c>
      <c r="I546" s="8">
        <v>11.2</v>
      </c>
      <c r="J546" s="19">
        <v>1</v>
      </c>
      <c r="K546" s="13">
        <v>0.22086399999999998</v>
      </c>
      <c r="L546" s="7" t="s">
        <v>477</v>
      </c>
    </row>
    <row r="547" spans="1:12">
      <c r="A547" s="42" t="s">
        <v>90</v>
      </c>
      <c r="B547" s="48" t="s">
        <v>148</v>
      </c>
      <c r="C547" s="7">
        <v>79</v>
      </c>
      <c r="D547" s="7"/>
      <c r="E547" s="48" t="s">
        <v>20</v>
      </c>
      <c r="F547" s="48" t="s">
        <v>15</v>
      </c>
      <c r="G547" s="48" t="s">
        <v>42</v>
      </c>
      <c r="H547" s="11">
        <v>19.72</v>
      </c>
      <c r="I547" s="8">
        <v>11</v>
      </c>
      <c r="J547" s="19">
        <v>1</v>
      </c>
      <c r="K547" s="13">
        <v>0.21691999999999997</v>
      </c>
      <c r="L547" s="7" t="s">
        <v>477</v>
      </c>
    </row>
    <row r="548" spans="1:12">
      <c r="A548" s="42" t="s">
        <v>90</v>
      </c>
      <c r="B548" s="48" t="s">
        <v>148</v>
      </c>
      <c r="C548" s="7">
        <v>80</v>
      </c>
      <c r="D548" s="7"/>
      <c r="E548" s="48" t="s">
        <v>19</v>
      </c>
      <c r="F548" s="48" t="s">
        <v>14</v>
      </c>
      <c r="G548" s="48" t="s">
        <v>35</v>
      </c>
      <c r="H548" s="11">
        <v>16.579999999999998</v>
      </c>
      <c r="I548" s="52">
        <v>12</v>
      </c>
      <c r="J548" s="19">
        <v>3</v>
      </c>
      <c r="K548" s="13">
        <v>0.59687999999999986</v>
      </c>
      <c r="L548" s="7" t="s">
        <v>477</v>
      </c>
    </row>
    <row r="549" spans="1:12">
      <c r="A549" s="42" t="s">
        <v>90</v>
      </c>
      <c r="B549" s="48" t="s">
        <v>148</v>
      </c>
      <c r="C549" s="7">
        <v>83</v>
      </c>
      <c r="D549" s="7"/>
      <c r="E549" s="48" t="s">
        <v>106</v>
      </c>
      <c r="F549" s="48" t="s">
        <v>15</v>
      </c>
      <c r="G549" s="48" t="s">
        <v>30</v>
      </c>
      <c r="H549" s="11">
        <v>9.26</v>
      </c>
      <c r="I549" s="322">
        <v>10.5</v>
      </c>
      <c r="J549" s="19">
        <v>2</v>
      </c>
      <c r="K549" s="13">
        <v>0.19446000000000002</v>
      </c>
      <c r="L549" s="7" t="s">
        <v>477</v>
      </c>
    </row>
    <row r="550" spans="1:12">
      <c r="A550" s="42" t="s">
        <v>90</v>
      </c>
      <c r="B550" s="48" t="s">
        <v>148</v>
      </c>
      <c r="C550" s="7">
        <v>87</v>
      </c>
      <c r="D550" s="7"/>
      <c r="E550" s="48" t="s">
        <v>152</v>
      </c>
      <c r="F550" s="48" t="s">
        <v>15</v>
      </c>
      <c r="G550" s="48" t="s">
        <v>34</v>
      </c>
      <c r="H550" s="11">
        <v>9.61</v>
      </c>
      <c r="I550" s="52">
        <v>8</v>
      </c>
      <c r="J550" s="19">
        <v>1</v>
      </c>
      <c r="K550" s="13">
        <v>7.687999999999999E-2</v>
      </c>
      <c r="L550" s="7" t="s">
        <v>477</v>
      </c>
    </row>
    <row r="551" spans="1:12">
      <c r="A551" s="42" t="s">
        <v>90</v>
      </c>
      <c r="B551" s="48" t="s">
        <v>148</v>
      </c>
      <c r="C551" s="7">
        <v>87</v>
      </c>
      <c r="D551" s="7"/>
      <c r="E551" s="48" t="s">
        <v>152</v>
      </c>
      <c r="F551" s="48" t="s">
        <v>15</v>
      </c>
      <c r="G551" s="48" t="s">
        <v>34</v>
      </c>
      <c r="H551" s="11">
        <v>9.61</v>
      </c>
      <c r="I551" s="52">
        <v>8.6</v>
      </c>
      <c r="J551" s="19">
        <v>1</v>
      </c>
      <c r="K551" s="13">
        <v>8.2645999999999983E-2</v>
      </c>
      <c r="L551" s="7" t="s">
        <v>477</v>
      </c>
    </row>
    <row r="552" spans="1:12">
      <c r="A552" s="42" t="s">
        <v>90</v>
      </c>
      <c r="B552" s="48" t="s">
        <v>148</v>
      </c>
      <c r="C552" s="7">
        <v>87</v>
      </c>
      <c r="D552" s="7"/>
      <c r="E552" s="48" t="s">
        <v>152</v>
      </c>
      <c r="F552" s="48" t="s">
        <v>15</v>
      </c>
      <c r="G552" s="48" t="s">
        <v>34</v>
      </c>
      <c r="H552" s="11">
        <v>9.61</v>
      </c>
      <c r="I552" s="52">
        <v>6.9</v>
      </c>
      <c r="J552" s="19">
        <v>1</v>
      </c>
      <c r="K552" s="13">
        <v>6.6308999999999993E-2</v>
      </c>
      <c r="L552" s="7" t="s">
        <v>477</v>
      </c>
    </row>
    <row r="553" spans="1:12">
      <c r="A553" s="42" t="s">
        <v>90</v>
      </c>
      <c r="B553" s="48" t="s">
        <v>148</v>
      </c>
      <c r="C553" s="7">
        <v>88</v>
      </c>
      <c r="D553" s="7"/>
      <c r="E553" s="48" t="s">
        <v>24</v>
      </c>
      <c r="F553" s="48" t="s">
        <v>14</v>
      </c>
      <c r="G553" s="48" t="s">
        <v>39</v>
      </c>
      <c r="H553" s="11">
        <v>14.66</v>
      </c>
      <c r="I553" s="52">
        <v>7</v>
      </c>
      <c r="J553" s="19">
        <v>2</v>
      </c>
      <c r="K553" s="13">
        <v>0.20524000000000001</v>
      </c>
      <c r="L553" s="7" t="s">
        <v>477</v>
      </c>
    </row>
    <row r="554" spans="1:12">
      <c r="A554" s="42" t="s">
        <v>90</v>
      </c>
      <c r="B554" s="48" t="s">
        <v>148</v>
      </c>
      <c r="C554" s="7">
        <v>88</v>
      </c>
      <c r="D554" s="7"/>
      <c r="E554" s="48" t="s">
        <v>24</v>
      </c>
      <c r="F554" s="48" t="s">
        <v>14</v>
      </c>
      <c r="G554" s="48" t="s">
        <v>39</v>
      </c>
      <c r="H554" s="11">
        <v>14.66</v>
      </c>
      <c r="I554" s="52">
        <v>7.4</v>
      </c>
      <c r="J554" s="19">
        <v>1</v>
      </c>
      <c r="K554" s="13">
        <v>0.10848400000000001</v>
      </c>
      <c r="L554" s="7" t="s">
        <v>477</v>
      </c>
    </row>
    <row r="555" spans="1:12">
      <c r="A555" s="42" t="s">
        <v>90</v>
      </c>
      <c r="B555" s="48" t="s">
        <v>148</v>
      </c>
      <c r="C555" s="7">
        <v>88</v>
      </c>
      <c r="D555" s="7"/>
      <c r="E555" s="48" t="s">
        <v>24</v>
      </c>
      <c r="F555" s="48" t="s">
        <v>14</v>
      </c>
      <c r="G555" s="48" t="s">
        <v>39</v>
      </c>
      <c r="H555" s="11">
        <v>14.66</v>
      </c>
      <c r="I555" s="52">
        <v>12</v>
      </c>
      <c r="J555" s="19">
        <v>1</v>
      </c>
      <c r="K555" s="13">
        <v>0.17592000000000002</v>
      </c>
      <c r="L555" s="7" t="s">
        <v>477</v>
      </c>
    </row>
    <row r="556" spans="1:12">
      <c r="A556" s="42" t="s">
        <v>90</v>
      </c>
      <c r="B556" s="48" t="s">
        <v>148</v>
      </c>
      <c r="C556" s="7">
        <v>89</v>
      </c>
      <c r="D556" s="7"/>
      <c r="E556" s="48" t="s">
        <v>19</v>
      </c>
      <c r="F556" s="48" t="s">
        <v>14</v>
      </c>
      <c r="G556" s="48" t="s">
        <v>27</v>
      </c>
      <c r="H556" s="11">
        <v>6.17</v>
      </c>
      <c r="I556" s="52">
        <v>11.5</v>
      </c>
      <c r="J556" s="19">
        <v>1</v>
      </c>
      <c r="K556" s="13">
        <v>7.0955000000000004E-2</v>
      </c>
      <c r="L556" s="7" t="s">
        <v>477</v>
      </c>
    </row>
    <row r="557" spans="1:12">
      <c r="A557" s="42" t="s">
        <v>90</v>
      </c>
      <c r="B557" s="48" t="s">
        <v>148</v>
      </c>
      <c r="C557" s="7">
        <v>89</v>
      </c>
      <c r="D557" s="7"/>
      <c r="E557" s="48" t="s">
        <v>19</v>
      </c>
      <c r="F557" s="48" t="s">
        <v>14</v>
      </c>
      <c r="G557" s="48" t="s">
        <v>27</v>
      </c>
      <c r="H557" s="11">
        <v>6.17</v>
      </c>
      <c r="I557" s="52">
        <v>11.3</v>
      </c>
      <c r="J557" s="19">
        <v>1</v>
      </c>
      <c r="K557" s="13">
        <v>6.9721000000000005E-2</v>
      </c>
      <c r="L557" s="7" t="s">
        <v>477</v>
      </c>
    </row>
    <row r="558" spans="1:12">
      <c r="A558" s="42" t="s">
        <v>90</v>
      </c>
      <c r="B558" s="48" t="s">
        <v>148</v>
      </c>
      <c r="C558" s="7">
        <v>91</v>
      </c>
      <c r="D558" s="7"/>
      <c r="E558" s="48" t="s">
        <v>159</v>
      </c>
      <c r="F558" s="48" t="s">
        <v>14</v>
      </c>
      <c r="G558" s="48" t="s">
        <v>31</v>
      </c>
      <c r="H558" s="11">
        <v>9.65</v>
      </c>
      <c r="I558" s="8">
        <v>13.1</v>
      </c>
      <c r="J558" s="19">
        <v>1</v>
      </c>
      <c r="K558" s="13">
        <v>0.126415</v>
      </c>
      <c r="L558" s="7" t="s">
        <v>477</v>
      </c>
    </row>
    <row r="559" spans="1:12">
      <c r="A559" s="42" t="s">
        <v>90</v>
      </c>
      <c r="B559" s="48" t="s">
        <v>148</v>
      </c>
      <c r="C559" s="7">
        <v>91</v>
      </c>
      <c r="D559" s="7"/>
      <c r="E559" s="48" t="s">
        <v>159</v>
      </c>
      <c r="F559" s="48" t="s">
        <v>14</v>
      </c>
      <c r="G559" s="48" t="s">
        <v>31</v>
      </c>
      <c r="H559" s="11">
        <v>9.65</v>
      </c>
      <c r="I559" s="8">
        <v>10.5</v>
      </c>
      <c r="J559" s="19">
        <v>2</v>
      </c>
      <c r="K559" s="13">
        <v>0.20265</v>
      </c>
      <c r="L559" s="7" t="s">
        <v>477</v>
      </c>
    </row>
    <row r="560" spans="1:12">
      <c r="A560" s="42" t="s">
        <v>90</v>
      </c>
      <c r="B560" s="48" t="s">
        <v>148</v>
      </c>
      <c r="C560" s="7">
        <v>92</v>
      </c>
      <c r="D560" s="7"/>
      <c r="E560" s="35"/>
      <c r="F560" s="35" t="s">
        <v>14</v>
      </c>
      <c r="G560" s="48" t="s">
        <v>42</v>
      </c>
      <c r="H560" s="11">
        <v>19.72</v>
      </c>
      <c r="I560" s="52">
        <v>11.5</v>
      </c>
      <c r="J560" s="19">
        <v>1</v>
      </c>
      <c r="K560" s="13">
        <v>0.22677999999999998</v>
      </c>
      <c r="L560" s="7" t="s">
        <v>477</v>
      </c>
    </row>
    <row r="561" spans="1:12">
      <c r="A561" s="42" t="s">
        <v>90</v>
      </c>
      <c r="B561" s="48" t="s">
        <v>148</v>
      </c>
      <c r="C561" s="7">
        <v>92</v>
      </c>
      <c r="D561" s="7"/>
      <c r="E561" s="48" t="s">
        <v>152</v>
      </c>
      <c r="F561" s="48" t="s">
        <v>15</v>
      </c>
      <c r="G561" s="48" t="s">
        <v>43</v>
      </c>
      <c r="H561" s="11">
        <v>15.04</v>
      </c>
      <c r="I561" s="52">
        <v>8.5</v>
      </c>
      <c r="J561" s="19">
        <v>1</v>
      </c>
      <c r="K561" s="13">
        <v>0.12783999999999998</v>
      </c>
      <c r="L561" s="7" t="s">
        <v>477</v>
      </c>
    </row>
    <row r="562" spans="1:12">
      <c r="A562" s="42" t="s">
        <v>90</v>
      </c>
      <c r="B562" s="48" t="s">
        <v>148</v>
      </c>
      <c r="C562" s="7">
        <v>93</v>
      </c>
      <c r="D562" s="7"/>
      <c r="E562" s="48" t="s">
        <v>19</v>
      </c>
      <c r="F562" s="48" t="s">
        <v>14</v>
      </c>
      <c r="G562" s="48" t="s">
        <v>34</v>
      </c>
      <c r="H562" s="11">
        <v>9.61</v>
      </c>
      <c r="I562" s="52">
        <v>5.4</v>
      </c>
      <c r="J562" s="19">
        <v>1</v>
      </c>
      <c r="K562" s="13">
        <v>5.1893999999999996E-2</v>
      </c>
      <c r="L562" s="7" t="s">
        <v>477</v>
      </c>
    </row>
    <row r="563" spans="1:12">
      <c r="A563" s="42" t="s">
        <v>90</v>
      </c>
      <c r="B563" s="48" t="s">
        <v>148</v>
      </c>
      <c r="C563" s="7">
        <v>94</v>
      </c>
      <c r="D563" s="7"/>
      <c r="E563" s="48" t="s">
        <v>159</v>
      </c>
      <c r="F563" s="48" t="s">
        <v>14</v>
      </c>
      <c r="G563" s="48" t="s">
        <v>23</v>
      </c>
      <c r="H563" s="11">
        <v>9</v>
      </c>
      <c r="I563" s="52">
        <v>6</v>
      </c>
      <c r="J563" s="19">
        <v>1</v>
      </c>
      <c r="K563" s="13">
        <v>5.3999999999999999E-2</v>
      </c>
      <c r="L563" s="7" t="s">
        <v>477</v>
      </c>
    </row>
    <row r="564" spans="1:12">
      <c r="A564" s="42" t="s">
        <v>90</v>
      </c>
      <c r="B564" s="48" t="s">
        <v>148</v>
      </c>
      <c r="C564" s="7">
        <v>95</v>
      </c>
      <c r="D564" s="7"/>
      <c r="E564" s="69" t="s">
        <v>19</v>
      </c>
      <c r="F564" s="69" t="s">
        <v>14</v>
      </c>
      <c r="G564" s="69" t="s">
        <v>32</v>
      </c>
      <c r="H564" s="61">
        <v>8.3000000000000007</v>
      </c>
      <c r="I564" s="70">
        <v>11</v>
      </c>
      <c r="J564" s="64">
        <v>2</v>
      </c>
      <c r="K564" s="65">
        <v>0.18260000000000001</v>
      </c>
      <c r="L564" s="7" t="s">
        <v>477</v>
      </c>
    </row>
    <row r="565" spans="1:12">
      <c r="A565" s="42" t="s">
        <v>90</v>
      </c>
      <c r="B565" s="48" t="s">
        <v>148</v>
      </c>
      <c r="C565" s="7">
        <v>96</v>
      </c>
      <c r="D565" s="7"/>
      <c r="E565" s="48" t="s">
        <v>152</v>
      </c>
      <c r="F565" s="48" t="s">
        <v>15</v>
      </c>
      <c r="G565" s="48" t="s">
        <v>21</v>
      </c>
      <c r="H565" s="11">
        <v>6.97</v>
      </c>
      <c r="I565" s="8">
        <v>9.4</v>
      </c>
      <c r="J565" s="19">
        <v>1</v>
      </c>
      <c r="K565" s="13">
        <v>6.5518000000000007E-2</v>
      </c>
      <c r="L565" s="7" t="s">
        <v>477</v>
      </c>
    </row>
    <row r="566" spans="1:12">
      <c r="A566" s="42" t="s">
        <v>90</v>
      </c>
      <c r="B566" s="48" t="s">
        <v>148</v>
      </c>
      <c r="C566" s="7">
        <v>99</v>
      </c>
      <c r="D566" s="7"/>
      <c r="E566" s="48" t="s">
        <v>19</v>
      </c>
      <c r="F566" s="48" t="s">
        <v>14</v>
      </c>
      <c r="G566" s="48" t="s">
        <v>32</v>
      </c>
      <c r="H566" s="11">
        <v>8.3000000000000007</v>
      </c>
      <c r="I566" s="52">
        <v>8</v>
      </c>
      <c r="J566" s="19">
        <v>1</v>
      </c>
      <c r="K566" s="13">
        <v>6.6400000000000001E-2</v>
      </c>
      <c r="L566" s="7" t="s">
        <v>477</v>
      </c>
    </row>
    <row r="567" spans="1:12">
      <c r="A567" s="42" t="s">
        <v>90</v>
      </c>
      <c r="B567" s="48" t="s">
        <v>148</v>
      </c>
      <c r="C567" s="7">
        <v>99</v>
      </c>
      <c r="D567" s="7"/>
      <c r="E567" s="48" t="s">
        <v>19</v>
      </c>
      <c r="F567" s="48" t="s">
        <v>14</v>
      </c>
      <c r="G567" s="48" t="s">
        <v>32</v>
      </c>
      <c r="H567" s="11">
        <v>8.3000000000000007</v>
      </c>
      <c r="I567" s="52">
        <v>5.7</v>
      </c>
      <c r="J567" s="19">
        <v>1</v>
      </c>
      <c r="K567" s="13">
        <v>4.7310000000000005E-2</v>
      </c>
      <c r="L567" s="7" t="s">
        <v>477</v>
      </c>
    </row>
    <row r="568" spans="1:12">
      <c r="A568" s="42" t="s">
        <v>90</v>
      </c>
      <c r="B568" s="48" t="s">
        <v>148</v>
      </c>
      <c r="C568" s="7">
        <v>99</v>
      </c>
      <c r="D568" s="7"/>
      <c r="E568" s="48" t="s">
        <v>19</v>
      </c>
      <c r="F568" s="48" t="s">
        <v>14</v>
      </c>
      <c r="G568" s="48" t="s">
        <v>32</v>
      </c>
      <c r="H568" s="11">
        <v>8.3000000000000007</v>
      </c>
      <c r="I568" s="52">
        <v>5.2</v>
      </c>
      <c r="J568" s="19">
        <v>1</v>
      </c>
      <c r="K568" s="13">
        <v>4.3160000000000004E-2</v>
      </c>
      <c r="L568" s="7" t="s">
        <v>477</v>
      </c>
    </row>
    <row r="569" spans="1:12">
      <c r="A569" s="42" t="s">
        <v>90</v>
      </c>
      <c r="B569" s="48" t="s">
        <v>148</v>
      </c>
      <c r="C569" s="7">
        <v>101</v>
      </c>
      <c r="D569" s="7"/>
      <c r="E569" s="69" t="s">
        <v>152</v>
      </c>
      <c r="F569" s="69" t="s">
        <v>15</v>
      </c>
      <c r="G569" s="69" t="s">
        <v>22</v>
      </c>
      <c r="H569" s="61">
        <v>10.73</v>
      </c>
      <c r="I569" s="70">
        <v>10.5</v>
      </c>
      <c r="J569" s="64">
        <v>1</v>
      </c>
      <c r="K569" s="65">
        <v>0.112665</v>
      </c>
      <c r="L569" s="7" t="s">
        <v>477</v>
      </c>
    </row>
    <row r="570" spans="1:12">
      <c r="A570" s="42" t="s">
        <v>90</v>
      </c>
      <c r="B570" s="3"/>
      <c r="C570" s="3">
        <v>103</v>
      </c>
      <c r="D570" s="1"/>
      <c r="E570" s="12" t="s">
        <v>19</v>
      </c>
      <c r="F570" s="7" t="s">
        <v>14</v>
      </c>
      <c r="G570" s="7" t="s">
        <v>32</v>
      </c>
      <c r="H570" s="11">
        <v>8.3000000000000007</v>
      </c>
      <c r="I570" s="8">
        <v>7.4</v>
      </c>
      <c r="J570" s="19">
        <v>1</v>
      </c>
      <c r="K570" s="13">
        <v>6.1420000000000009E-2</v>
      </c>
      <c r="L570" s="7" t="s">
        <v>477</v>
      </c>
    </row>
    <row r="571" spans="1:12">
      <c r="A571" s="42" t="s">
        <v>90</v>
      </c>
      <c r="B571" s="3"/>
      <c r="C571" s="3">
        <v>103</v>
      </c>
      <c r="D571" s="1"/>
      <c r="E571" s="12" t="s">
        <v>19</v>
      </c>
      <c r="F571" s="7" t="s">
        <v>14</v>
      </c>
      <c r="G571" s="7" t="s">
        <v>32</v>
      </c>
      <c r="H571" s="11">
        <v>8.3000000000000007</v>
      </c>
      <c r="I571" s="8">
        <v>7.5</v>
      </c>
      <c r="J571" s="19">
        <v>2</v>
      </c>
      <c r="K571" s="13">
        <v>0.12450000000000001</v>
      </c>
      <c r="L571" s="7" t="s">
        <v>477</v>
      </c>
    </row>
    <row r="572" spans="1:12">
      <c r="A572" s="42" t="s">
        <v>90</v>
      </c>
      <c r="B572" s="3"/>
      <c r="C572" s="3">
        <v>103</v>
      </c>
      <c r="D572" s="1"/>
      <c r="E572" s="12" t="s">
        <v>19</v>
      </c>
      <c r="F572" s="7" t="s">
        <v>14</v>
      </c>
      <c r="G572" s="7" t="s">
        <v>32</v>
      </c>
      <c r="H572" s="11">
        <v>8.3000000000000007</v>
      </c>
      <c r="I572" s="8">
        <v>7.1</v>
      </c>
      <c r="J572" s="19">
        <v>2</v>
      </c>
      <c r="K572" s="13">
        <v>0.11785999999999999</v>
      </c>
      <c r="L572" s="7" t="s">
        <v>477</v>
      </c>
    </row>
    <row r="573" spans="1:12">
      <c r="A573" s="42" t="s">
        <v>90</v>
      </c>
      <c r="B573" s="3"/>
      <c r="C573" s="3">
        <v>106</v>
      </c>
      <c r="D573" s="1"/>
      <c r="E573" s="12" t="s">
        <v>94</v>
      </c>
      <c r="F573" s="7" t="s">
        <v>15</v>
      </c>
      <c r="G573" s="7" t="s">
        <v>22</v>
      </c>
      <c r="H573" s="11">
        <v>10.73</v>
      </c>
      <c r="I573" s="8">
        <v>6.9</v>
      </c>
      <c r="J573" s="19">
        <v>1</v>
      </c>
      <c r="K573" s="13">
        <v>7.4037000000000006E-2</v>
      </c>
      <c r="L573" s="7" t="s">
        <v>477</v>
      </c>
    </row>
    <row r="574" spans="1:12">
      <c r="A574" s="42" t="s">
        <v>90</v>
      </c>
      <c r="B574" s="3"/>
      <c r="C574" s="3">
        <v>108</v>
      </c>
      <c r="D574" s="1" t="s">
        <v>93</v>
      </c>
      <c r="E574" s="12" t="s">
        <v>19</v>
      </c>
      <c r="F574" s="7" t="s">
        <v>14</v>
      </c>
      <c r="G574" s="7" t="s">
        <v>37</v>
      </c>
      <c r="H574" s="11">
        <v>18.149999999999999</v>
      </c>
      <c r="I574" s="8">
        <v>11.5</v>
      </c>
      <c r="J574" s="19">
        <v>1</v>
      </c>
      <c r="K574" s="13">
        <v>0.20872499999999999</v>
      </c>
      <c r="L574" s="7" t="s">
        <v>477</v>
      </c>
    </row>
    <row r="575" spans="1:12">
      <c r="A575" s="42" t="s">
        <v>90</v>
      </c>
      <c r="B575" s="3"/>
      <c r="C575" s="3">
        <v>108</v>
      </c>
      <c r="D575" s="1" t="s">
        <v>93</v>
      </c>
      <c r="E575" s="12" t="s">
        <v>19</v>
      </c>
      <c r="F575" s="7" t="s">
        <v>14</v>
      </c>
      <c r="G575" s="7" t="s">
        <v>37</v>
      </c>
      <c r="H575" s="11">
        <v>18.149999999999999</v>
      </c>
      <c r="I575" s="8">
        <v>12</v>
      </c>
      <c r="J575" s="19">
        <v>1</v>
      </c>
      <c r="K575" s="13">
        <v>0.21779999999999999</v>
      </c>
      <c r="L575" s="7" t="s">
        <v>477</v>
      </c>
    </row>
    <row r="576" spans="1:12">
      <c r="A576" s="42" t="s">
        <v>90</v>
      </c>
      <c r="B576" s="3"/>
      <c r="C576" s="3">
        <v>110</v>
      </c>
      <c r="D576" s="1"/>
      <c r="E576" s="12" t="s">
        <v>24</v>
      </c>
      <c r="F576" s="7" t="s">
        <v>14</v>
      </c>
      <c r="G576" s="7" t="s">
        <v>21</v>
      </c>
      <c r="H576" s="11">
        <v>6.97</v>
      </c>
      <c r="I576" s="8">
        <v>6.7</v>
      </c>
      <c r="J576" s="19">
        <v>1</v>
      </c>
      <c r="K576" s="13">
        <v>4.6698999999999997E-2</v>
      </c>
      <c r="L576" s="7" t="s">
        <v>477</v>
      </c>
    </row>
    <row r="577" spans="1:12">
      <c r="A577" s="42" t="s">
        <v>90</v>
      </c>
      <c r="B577" s="3"/>
      <c r="C577" s="3"/>
      <c r="D577" s="1"/>
      <c r="E577" s="12" t="s">
        <v>24</v>
      </c>
      <c r="F577" s="7" t="s">
        <v>14</v>
      </c>
      <c r="G577" s="7" t="s">
        <v>21</v>
      </c>
      <c r="H577" s="11">
        <v>6.97</v>
      </c>
      <c r="I577" s="8">
        <v>8.5</v>
      </c>
      <c r="J577" s="19">
        <v>1</v>
      </c>
      <c r="K577" s="13">
        <v>5.9244999999999999E-2</v>
      </c>
      <c r="L577" s="7" t="s">
        <v>477</v>
      </c>
    </row>
    <row r="578" spans="1:12">
      <c r="A578" s="42" t="s">
        <v>90</v>
      </c>
      <c r="B578" s="3"/>
      <c r="C578" s="3"/>
      <c r="D578" s="1"/>
      <c r="E578" s="12" t="s">
        <v>24</v>
      </c>
      <c r="F578" s="7" t="s">
        <v>14</v>
      </c>
      <c r="G578" s="7" t="s">
        <v>21</v>
      </c>
      <c r="H578" s="11">
        <v>6.97</v>
      </c>
      <c r="I578" s="8">
        <v>9.5</v>
      </c>
      <c r="J578" s="19">
        <v>1</v>
      </c>
      <c r="K578" s="13">
        <v>6.621500000000001E-2</v>
      </c>
      <c r="L578" s="7" t="s">
        <v>477</v>
      </c>
    </row>
    <row r="579" spans="1:12">
      <c r="A579" s="42" t="s">
        <v>90</v>
      </c>
      <c r="B579" s="3"/>
      <c r="C579" s="3">
        <v>112</v>
      </c>
      <c r="D579" s="1"/>
      <c r="E579" s="12" t="s">
        <v>20</v>
      </c>
      <c r="F579" s="7" t="s">
        <v>15</v>
      </c>
      <c r="G579" s="7" t="s">
        <v>37</v>
      </c>
      <c r="H579" s="11">
        <v>18.149999999999999</v>
      </c>
      <c r="I579" s="8">
        <v>9.6</v>
      </c>
      <c r="J579" s="19">
        <v>1</v>
      </c>
      <c r="K579" s="13">
        <v>0.17423999999999998</v>
      </c>
      <c r="L579" s="7" t="s">
        <v>477</v>
      </c>
    </row>
    <row r="580" spans="1:12">
      <c r="A580" s="42" t="s">
        <v>90</v>
      </c>
      <c r="B580" s="3"/>
      <c r="C580" s="3">
        <v>115</v>
      </c>
      <c r="D580" s="1"/>
      <c r="E580" s="12" t="s">
        <v>96</v>
      </c>
      <c r="F580" s="7" t="s">
        <v>15</v>
      </c>
      <c r="G580" s="7" t="s">
        <v>25</v>
      </c>
      <c r="H580" s="11">
        <v>7.34</v>
      </c>
      <c r="I580" s="8">
        <v>10.5</v>
      </c>
      <c r="J580" s="19">
        <v>1</v>
      </c>
      <c r="K580" s="13">
        <v>7.707E-2</v>
      </c>
      <c r="L580" s="7" t="s">
        <v>477</v>
      </c>
    </row>
    <row r="581" spans="1:12">
      <c r="A581" s="42" t="s">
        <v>90</v>
      </c>
      <c r="B581" s="3"/>
      <c r="C581" s="3">
        <v>117</v>
      </c>
      <c r="D581" s="1"/>
      <c r="E581" s="12" t="s">
        <v>95</v>
      </c>
      <c r="F581" s="7" t="s">
        <v>15</v>
      </c>
      <c r="G581" s="7" t="s">
        <v>38</v>
      </c>
      <c r="H581" s="11">
        <v>12.9</v>
      </c>
      <c r="I581" s="8">
        <v>9.1999999999999993</v>
      </c>
      <c r="J581" s="19">
        <v>2</v>
      </c>
      <c r="K581" s="13">
        <v>0.23735999999999999</v>
      </c>
      <c r="L581" s="7" t="s">
        <v>477</v>
      </c>
    </row>
    <row r="582" spans="1:12">
      <c r="A582" s="42" t="s">
        <v>90</v>
      </c>
      <c r="B582" s="3"/>
      <c r="C582" s="3">
        <v>117</v>
      </c>
      <c r="D582" s="1"/>
      <c r="E582" s="12" t="s">
        <v>95</v>
      </c>
      <c r="F582" s="7" t="s">
        <v>15</v>
      </c>
      <c r="G582" s="7" t="s">
        <v>38</v>
      </c>
      <c r="H582" s="11">
        <v>12.9</v>
      </c>
      <c r="I582" s="8">
        <v>9.9</v>
      </c>
      <c r="J582" s="19">
        <v>1</v>
      </c>
      <c r="K582" s="13">
        <v>0.12771000000000002</v>
      </c>
      <c r="L582" s="7" t="s">
        <v>477</v>
      </c>
    </row>
    <row r="583" spans="1:12">
      <c r="A583" s="42" t="s">
        <v>90</v>
      </c>
      <c r="B583" s="3"/>
      <c r="C583" s="3">
        <v>117</v>
      </c>
      <c r="D583" s="1"/>
      <c r="E583" s="12" t="s">
        <v>95</v>
      </c>
      <c r="F583" s="7" t="s">
        <v>15</v>
      </c>
      <c r="G583" s="7" t="s">
        <v>38</v>
      </c>
      <c r="H583" s="11">
        <v>12.9</v>
      </c>
      <c r="I583" s="8">
        <v>9.6999999999999993</v>
      </c>
      <c r="J583" s="19">
        <v>1</v>
      </c>
      <c r="K583" s="13">
        <v>0.12512999999999999</v>
      </c>
      <c r="L583" s="7" t="s">
        <v>477</v>
      </c>
    </row>
    <row r="584" spans="1:12">
      <c r="A584" s="42" t="s">
        <v>90</v>
      </c>
      <c r="B584" s="3"/>
      <c r="C584" s="3">
        <v>117</v>
      </c>
      <c r="D584" s="1"/>
      <c r="E584" s="12" t="s">
        <v>95</v>
      </c>
      <c r="F584" s="7" t="s">
        <v>15</v>
      </c>
      <c r="G584" s="7" t="s">
        <v>38</v>
      </c>
      <c r="H584" s="11">
        <v>12.9</v>
      </c>
      <c r="I584" s="8">
        <v>9.8000000000000007</v>
      </c>
      <c r="J584" s="19">
        <v>1</v>
      </c>
      <c r="K584" s="13">
        <v>0.12642</v>
      </c>
      <c r="L584" s="7" t="s">
        <v>477</v>
      </c>
    </row>
    <row r="585" spans="1:12">
      <c r="A585" s="42" t="s">
        <v>90</v>
      </c>
      <c r="B585" s="3"/>
      <c r="C585" s="3">
        <v>117</v>
      </c>
      <c r="D585" s="1"/>
      <c r="E585" s="12" t="s">
        <v>95</v>
      </c>
      <c r="F585" s="7" t="s">
        <v>15</v>
      </c>
      <c r="G585" s="7" t="s">
        <v>38</v>
      </c>
      <c r="H585" s="11">
        <v>12.9</v>
      </c>
      <c r="I585" s="8">
        <v>11.3</v>
      </c>
      <c r="J585" s="19">
        <v>1</v>
      </c>
      <c r="K585" s="13">
        <v>0.14577000000000001</v>
      </c>
      <c r="L585" s="7" t="s">
        <v>477</v>
      </c>
    </row>
    <row r="586" spans="1:12">
      <c r="A586" s="42" t="s">
        <v>90</v>
      </c>
      <c r="B586" s="3"/>
      <c r="C586" s="3">
        <v>117</v>
      </c>
      <c r="D586" s="1"/>
      <c r="E586" s="12" t="s">
        <v>95</v>
      </c>
      <c r="F586" s="7" t="s">
        <v>15</v>
      </c>
      <c r="G586" s="7" t="s">
        <v>38</v>
      </c>
      <c r="H586" s="11">
        <v>12.9</v>
      </c>
      <c r="I586" s="8">
        <v>7.2</v>
      </c>
      <c r="J586" s="19">
        <v>1</v>
      </c>
      <c r="K586" s="13">
        <v>9.2880000000000004E-2</v>
      </c>
      <c r="L586" s="7" t="s">
        <v>477</v>
      </c>
    </row>
    <row r="587" spans="1:12">
      <c r="A587" s="42" t="s">
        <v>90</v>
      </c>
      <c r="B587" s="3"/>
      <c r="C587" s="3">
        <v>117</v>
      </c>
      <c r="D587" s="1"/>
      <c r="E587" s="12" t="s">
        <v>95</v>
      </c>
      <c r="F587" s="7" t="s">
        <v>15</v>
      </c>
      <c r="G587" s="7" t="s">
        <v>38</v>
      </c>
      <c r="H587" s="11">
        <v>12.9</v>
      </c>
      <c r="I587" s="8">
        <v>10</v>
      </c>
      <c r="J587" s="19">
        <v>1</v>
      </c>
      <c r="K587" s="13">
        <v>0.129</v>
      </c>
      <c r="L587" s="7" t="s">
        <v>477</v>
      </c>
    </row>
    <row r="588" spans="1:12">
      <c r="A588" s="42" t="s">
        <v>90</v>
      </c>
      <c r="B588" s="3"/>
      <c r="C588" s="3">
        <v>117</v>
      </c>
      <c r="D588" s="1"/>
      <c r="E588" s="12" t="s">
        <v>95</v>
      </c>
      <c r="F588" s="7" t="s">
        <v>15</v>
      </c>
      <c r="G588" s="7" t="s">
        <v>38</v>
      </c>
      <c r="H588" s="11">
        <v>12.9</v>
      </c>
      <c r="I588" s="8">
        <v>7</v>
      </c>
      <c r="J588" s="19">
        <v>2</v>
      </c>
      <c r="K588" s="13">
        <v>0.18059999999999998</v>
      </c>
      <c r="L588" s="7" t="s">
        <v>477</v>
      </c>
    </row>
    <row r="589" spans="1:12">
      <c r="A589" s="42" t="s">
        <v>90</v>
      </c>
      <c r="B589" s="3"/>
      <c r="C589" s="3">
        <v>118</v>
      </c>
      <c r="D589" s="1"/>
      <c r="E589" s="59" t="s">
        <v>19</v>
      </c>
      <c r="F589" s="60" t="s">
        <v>14</v>
      </c>
      <c r="G589" s="60" t="s">
        <v>32</v>
      </c>
      <c r="H589" s="61">
        <v>8.3000000000000007</v>
      </c>
      <c r="I589" s="21">
        <v>10.5</v>
      </c>
      <c r="J589" s="64">
        <v>1</v>
      </c>
      <c r="K589" s="65">
        <v>8.7150000000000005E-2</v>
      </c>
      <c r="L589" s="7" t="s">
        <v>477</v>
      </c>
    </row>
    <row r="590" spans="1:12">
      <c r="A590" s="42" t="s">
        <v>90</v>
      </c>
      <c r="B590" s="3"/>
      <c r="C590" s="3">
        <v>118</v>
      </c>
      <c r="D590" s="1"/>
      <c r="E590" s="59" t="s">
        <v>19</v>
      </c>
      <c r="F590" s="60" t="s">
        <v>14</v>
      </c>
      <c r="G590" s="60" t="s">
        <v>32</v>
      </c>
      <c r="H590" s="61">
        <v>8.3000000000000007</v>
      </c>
      <c r="I590" s="21">
        <v>11</v>
      </c>
      <c r="J590" s="64">
        <v>1</v>
      </c>
      <c r="K590" s="65">
        <v>9.1300000000000006E-2</v>
      </c>
      <c r="L590" s="7" t="s">
        <v>477</v>
      </c>
    </row>
    <row r="591" spans="1:12">
      <c r="A591" s="42" t="s">
        <v>90</v>
      </c>
      <c r="B591" s="3"/>
      <c r="C591" s="3">
        <v>119</v>
      </c>
      <c r="D591" s="1"/>
      <c r="E591" s="12" t="s">
        <v>19</v>
      </c>
      <c r="F591" s="7" t="s">
        <v>14</v>
      </c>
      <c r="G591" s="7" t="s">
        <v>32</v>
      </c>
      <c r="H591" s="11">
        <v>8.3000000000000007</v>
      </c>
      <c r="I591" s="8">
        <v>9</v>
      </c>
      <c r="J591" s="19">
        <v>1</v>
      </c>
      <c r="K591" s="13">
        <v>7.4700000000000003E-2</v>
      </c>
      <c r="L591" s="7" t="s">
        <v>477</v>
      </c>
    </row>
    <row r="592" spans="1:12">
      <c r="A592" s="42" t="s">
        <v>90</v>
      </c>
      <c r="B592" s="3"/>
      <c r="C592" s="3">
        <v>122</v>
      </c>
      <c r="D592" s="1"/>
      <c r="E592" s="12" t="s">
        <v>20</v>
      </c>
      <c r="F592" s="7" t="s">
        <v>15</v>
      </c>
      <c r="G592" s="7" t="s">
        <v>30</v>
      </c>
      <c r="H592" s="11">
        <v>9.26</v>
      </c>
      <c r="I592" s="184">
        <v>9.1999999999999993</v>
      </c>
      <c r="J592" s="19">
        <v>4</v>
      </c>
      <c r="K592" s="13">
        <v>0.34076799999999996</v>
      </c>
      <c r="L592" s="7" t="s">
        <v>477</v>
      </c>
    </row>
    <row r="593" spans="1:12">
      <c r="A593" s="42" t="s">
        <v>90</v>
      </c>
      <c r="B593" s="3"/>
      <c r="C593" s="3">
        <v>123</v>
      </c>
      <c r="D593" s="1"/>
      <c r="E593" s="12" t="s">
        <v>19</v>
      </c>
      <c r="F593" s="7" t="s">
        <v>14</v>
      </c>
      <c r="G593" s="7" t="s">
        <v>32</v>
      </c>
      <c r="H593" s="11">
        <v>8.3000000000000007</v>
      </c>
      <c r="I593" s="8">
        <v>5.5</v>
      </c>
      <c r="J593" s="19">
        <v>1</v>
      </c>
      <c r="K593" s="13">
        <v>4.5650000000000003E-2</v>
      </c>
      <c r="L593" s="7" t="s">
        <v>477</v>
      </c>
    </row>
    <row r="594" spans="1:12">
      <c r="A594" s="42" t="s">
        <v>90</v>
      </c>
      <c r="B594" s="3"/>
      <c r="C594" s="3">
        <v>124</v>
      </c>
      <c r="D594" s="1"/>
      <c r="E594" s="12" t="s">
        <v>19</v>
      </c>
      <c r="F594" s="7" t="s">
        <v>14</v>
      </c>
      <c r="G594" s="7" t="s">
        <v>39</v>
      </c>
      <c r="H594" s="11">
        <v>14.66</v>
      </c>
      <c r="I594" s="8">
        <v>6.5</v>
      </c>
      <c r="J594" s="19">
        <v>2</v>
      </c>
      <c r="K594" s="13">
        <v>0.19058</v>
      </c>
      <c r="L594" s="7" t="s">
        <v>477</v>
      </c>
    </row>
    <row r="595" spans="1:12">
      <c r="A595" s="42" t="s">
        <v>90</v>
      </c>
      <c r="B595" s="3"/>
      <c r="C595" s="3">
        <v>124</v>
      </c>
      <c r="D595" s="1"/>
      <c r="E595" s="12" t="s">
        <v>19</v>
      </c>
      <c r="F595" s="7" t="s">
        <v>14</v>
      </c>
      <c r="G595" s="7" t="s">
        <v>39</v>
      </c>
      <c r="H595" s="11">
        <v>14.66</v>
      </c>
      <c r="I595" s="8">
        <v>7</v>
      </c>
      <c r="J595" s="19">
        <v>1</v>
      </c>
      <c r="K595" s="13">
        <v>0.10262</v>
      </c>
      <c r="L595" s="7" t="s">
        <v>477</v>
      </c>
    </row>
    <row r="596" spans="1:12">
      <c r="A596" s="42" t="s">
        <v>90</v>
      </c>
      <c r="B596" s="3"/>
      <c r="C596" s="3">
        <v>124</v>
      </c>
      <c r="D596" s="1"/>
      <c r="E596" s="12" t="s">
        <v>19</v>
      </c>
      <c r="F596" s="7" t="s">
        <v>14</v>
      </c>
      <c r="G596" s="7" t="s">
        <v>39</v>
      </c>
      <c r="H596" s="11">
        <v>14.66</v>
      </c>
      <c r="I596" s="8">
        <v>6.6</v>
      </c>
      <c r="J596" s="19">
        <v>1</v>
      </c>
      <c r="K596" s="13">
        <v>9.6755999999999995E-2</v>
      </c>
      <c r="L596" s="7" t="s">
        <v>477</v>
      </c>
    </row>
    <row r="597" spans="1:12">
      <c r="A597" s="42" t="s">
        <v>90</v>
      </c>
      <c r="B597" s="3"/>
      <c r="C597" s="3">
        <v>124</v>
      </c>
      <c r="D597" s="1"/>
      <c r="E597" s="12" t="s">
        <v>19</v>
      </c>
      <c r="F597" s="7" t="s">
        <v>14</v>
      </c>
      <c r="G597" s="7" t="s">
        <v>39</v>
      </c>
      <c r="H597" s="11">
        <v>14.66</v>
      </c>
      <c r="I597" s="8">
        <v>8</v>
      </c>
      <c r="J597" s="19">
        <v>3</v>
      </c>
      <c r="K597" s="13">
        <v>0.35184000000000004</v>
      </c>
      <c r="L597" s="7" t="s">
        <v>477</v>
      </c>
    </row>
    <row r="598" spans="1:12">
      <c r="A598" s="42" t="s">
        <v>90</v>
      </c>
      <c r="B598" s="3"/>
      <c r="C598" s="3">
        <v>125</v>
      </c>
      <c r="D598" s="1"/>
      <c r="E598" s="12" t="s">
        <v>19</v>
      </c>
      <c r="F598" s="7" t="s">
        <v>14</v>
      </c>
      <c r="G598" s="7" t="s">
        <v>39</v>
      </c>
      <c r="H598" s="11">
        <v>14.66</v>
      </c>
      <c r="I598" s="8">
        <v>9</v>
      </c>
      <c r="J598" s="19">
        <v>1</v>
      </c>
      <c r="K598" s="13">
        <v>0.13194</v>
      </c>
      <c r="L598" s="7" t="s">
        <v>477</v>
      </c>
    </row>
    <row r="599" spans="1:12">
      <c r="A599" s="42" t="s">
        <v>90</v>
      </c>
      <c r="B599" s="3"/>
      <c r="C599" s="3">
        <v>125</v>
      </c>
      <c r="D599" s="1"/>
      <c r="E599" s="12" t="s">
        <v>19</v>
      </c>
      <c r="F599" s="7" t="s">
        <v>14</v>
      </c>
      <c r="G599" s="7" t="s">
        <v>39</v>
      </c>
      <c r="H599" s="11">
        <v>14.66</v>
      </c>
      <c r="I599" s="8">
        <v>11.1</v>
      </c>
      <c r="J599" s="19">
        <v>1</v>
      </c>
      <c r="K599" s="13">
        <v>0.16272600000000001</v>
      </c>
      <c r="L599" s="7" t="s">
        <v>477</v>
      </c>
    </row>
    <row r="600" spans="1:12">
      <c r="A600" s="42" t="s">
        <v>90</v>
      </c>
      <c r="B600" s="3"/>
      <c r="C600" s="3">
        <v>132</v>
      </c>
      <c r="D600" s="1"/>
      <c r="E600" s="12" t="s">
        <v>17</v>
      </c>
      <c r="F600" s="7" t="s">
        <v>15</v>
      </c>
      <c r="G600" s="7" t="s">
        <v>39</v>
      </c>
      <c r="H600" s="11">
        <v>14.66</v>
      </c>
      <c r="I600" s="8">
        <v>6.4</v>
      </c>
      <c r="J600" s="19">
        <v>2</v>
      </c>
      <c r="K600" s="13">
        <v>0.18764800000000004</v>
      </c>
      <c r="L600" s="7" t="s">
        <v>477</v>
      </c>
    </row>
    <row r="601" spans="1:12">
      <c r="A601" s="42" t="s">
        <v>90</v>
      </c>
      <c r="B601" s="3"/>
      <c r="C601" s="3"/>
      <c r="D601" s="1"/>
      <c r="E601" s="12"/>
      <c r="F601" s="7" t="s">
        <v>15</v>
      </c>
      <c r="G601" s="7" t="s">
        <v>39</v>
      </c>
      <c r="H601" s="11">
        <v>14.66</v>
      </c>
      <c r="I601" s="8">
        <v>6.3</v>
      </c>
      <c r="J601" s="19">
        <v>1</v>
      </c>
      <c r="K601" s="13">
        <v>9.235800000000001E-2</v>
      </c>
      <c r="L601" s="7" t="s">
        <v>477</v>
      </c>
    </row>
    <row r="602" spans="1:12">
      <c r="A602" s="42" t="s">
        <v>90</v>
      </c>
      <c r="B602" s="3"/>
      <c r="C602" s="3">
        <v>133</v>
      </c>
      <c r="D602" s="1"/>
      <c r="E602" s="12" t="s">
        <v>94</v>
      </c>
      <c r="F602" s="7" t="s">
        <v>15</v>
      </c>
      <c r="G602" s="7" t="s">
        <v>22</v>
      </c>
      <c r="H602" s="11">
        <v>10.73</v>
      </c>
      <c r="I602" s="8">
        <v>7.5</v>
      </c>
      <c r="J602" s="19">
        <v>3</v>
      </c>
      <c r="K602" s="13">
        <v>0.241425</v>
      </c>
      <c r="L602" s="7" t="s">
        <v>477</v>
      </c>
    </row>
    <row r="603" spans="1:12">
      <c r="A603" s="42" t="s">
        <v>90</v>
      </c>
      <c r="B603" s="3"/>
      <c r="C603" s="3">
        <v>134</v>
      </c>
      <c r="D603" s="1"/>
      <c r="E603" s="12" t="s">
        <v>19</v>
      </c>
      <c r="F603" s="7" t="s">
        <v>14</v>
      </c>
      <c r="G603" s="7" t="s">
        <v>21</v>
      </c>
      <c r="H603" s="11">
        <v>6.97</v>
      </c>
      <c r="I603" s="8">
        <v>5.7</v>
      </c>
      <c r="J603" s="19">
        <v>1</v>
      </c>
      <c r="K603" s="13">
        <v>3.9729E-2</v>
      </c>
      <c r="L603" s="7" t="s">
        <v>477</v>
      </c>
    </row>
    <row r="604" spans="1:12">
      <c r="A604" s="42" t="s">
        <v>90</v>
      </c>
      <c r="B604" s="3"/>
      <c r="C604" s="3">
        <v>134</v>
      </c>
      <c r="D604" s="1"/>
      <c r="E604" s="12" t="s">
        <v>19</v>
      </c>
      <c r="F604" s="7" t="s">
        <v>14</v>
      </c>
      <c r="G604" s="7" t="s">
        <v>21</v>
      </c>
      <c r="H604" s="11">
        <v>6.97</v>
      </c>
      <c r="I604" s="8">
        <v>5.25</v>
      </c>
      <c r="J604" s="19">
        <v>1</v>
      </c>
      <c r="K604" s="13">
        <v>3.65925E-2</v>
      </c>
      <c r="L604" s="7" t="s">
        <v>477</v>
      </c>
    </row>
    <row r="605" spans="1:12">
      <c r="A605" s="42" t="s">
        <v>90</v>
      </c>
      <c r="B605" s="3"/>
      <c r="C605" s="3">
        <v>135</v>
      </c>
      <c r="D605" s="1"/>
      <c r="E605" s="12" t="s">
        <v>20</v>
      </c>
      <c r="F605" s="7" t="s">
        <v>15</v>
      </c>
      <c r="G605" s="7" t="s">
        <v>25</v>
      </c>
      <c r="H605" s="11">
        <v>7.34</v>
      </c>
      <c r="I605" s="8">
        <v>8.4</v>
      </c>
      <c r="J605" s="19">
        <v>1</v>
      </c>
      <c r="K605" s="13">
        <v>6.1655999999999996E-2</v>
      </c>
      <c r="L605" s="7" t="s">
        <v>477</v>
      </c>
    </row>
    <row r="606" spans="1:12">
      <c r="A606" s="42" t="s">
        <v>90</v>
      </c>
      <c r="B606" s="3"/>
      <c r="C606" s="3">
        <v>135</v>
      </c>
      <c r="D606" s="1"/>
      <c r="E606" s="12" t="s">
        <v>20</v>
      </c>
      <c r="F606" s="7" t="s">
        <v>15</v>
      </c>
      <c r="G606" s="7" t="s">
        <v>25</v>
      </c>
      <c r="H606" s="11">
        <v>7.34</v>
      </c>
      <c r="I606" s="8">
        <v>8</v>
      </c>
      <c r="J606" s="19">
        <v>2</v>
      </c>
      <c r="K606" s="13">
        <v>0.11744</v>
      </c>
      <c r="L606" s="7" t="s">
        <v>477</v>
      </c>
    </row>
    <row r="607" spans="1:12">
      <c r="A607" s="42" t="s">
        <v>90</v>
      </c>
      <c r="B607" s="3"/>
      <c r="C607" s="3">
        <v>135</v>
      </c>
      <c r="D607" s="1"/>
      <c r="E607" s="12" t="s">
        <v>20</v>
      </c>
      <c r="F607" s="7" t="s">
        <v>15</v>
      </c>
      <c r="G607" s="7" t="s">
        <v>25</v>
      </c>
      <c r="H607" s="11">
        <v>7.34</v>
      </c>
      <c r="I607" s="8">
        <v>8.5</v>
      </c>
      <c r="J607" s="19">
        <v>1</v>
      </c>
      <c r="K607" s="13">
        <v>6.2390000000000001E-2</v>
      </c>
      <c r="L607" s="7" t="s">
        <v>477</v>
      </c>
    </row>
    <row r="608" spans="1:12">
      <c r="A608" s="42" t="s">
        <v>90</v>
      </c>
      <c r="B608" s="3"/>
      <c r="C608" s="3">
        <v>136</v>
      </c>
      <c r="D608" s="1"/>
      <c r="E608" s="12" t="s">
        <v>17</v>
      </c>
      <c r="F608" s="7" t="s">
        <v>15</v>
      </c>
      <c r="G608" s="7" t="s">
        <v>33</v>
      </c>
      <c r="H608" s="11">
        <v>15.92</v>
      </c>
      <c r="I608" s="8">
        <v>5.5</v>
      </c>
      <c r="J608" s="19">
        <v>1</v>
      </c>
      <c r="K608" s="13">
        <v>8.7559999999999999E-2</v>
      </c>
      <c r="L608" s="7" t="s">
        <v>477</v>
      </c>
    </row>
    <row r="609" spans="1:12">
      <c r="A609" s="42" t="s">
        <v>90</v>
      </c>
      <c r="B609" s="3"/>
      <c r="C609" s="3">
        <v>138</v>
      </c>
      <c r="D609" s="1"/>
      <c r="E609" s="12" t="s">
        <v>19</v>
      </c>
      <c r="F609" s="7" t="s">
        <v>14</v>
      </c>
      <c r="G609" s="7" t="s">
        <v>49</v>
      </c>
      <c r="H609" s="11">
        <v>17.82</v>
      </c>
      <c r="I609" s="8">
        <v>6</v>
      </c>
      <c r="J609" s="19">
        <v>1</v>
      </c>
      <c r="K609" s="13">
        <v>0.10692</v>
      </c>
      <c r="L609" s="7" t="s">
        <v>477</v>
      </c>
    </row>
    <row r="610" spans="1:12">
      <c r="A610" s="42" t="s">
        <v>90</v>
      </c>
      <c r="B610" s="3"/>
      <c r="C610" s="3">
        <v>138</v>
      </c>
      <c r="D610" s="1"/>
      <c r="E610" s="12" t="s">
        <v>19</v>
      </c>
      <c r="F610" s="7" t="s">
        <v>14</v>
      </c>
      <c r="G610" s="7" t="s">
        <v>49</v>
      </c>
      <c r="H610" s="11">
        <v>17.82</v>
      </c>
      <c r="I610" s="8">
        <v>7.5</v>
      </c>
      <c r="J610" s="19">
        <v>1</v>
      </c>
      <c r="K610" s="13">
        <v>0.13365000000000002</v>
      </c>
      <c r="L610" s="7" t="s">
        <v>477</v>
      </c>
    </row>
    <row r="611" spans="1:12">
      <c r="A611" s="42" t="s">
        <v>90</v>
      </c>
      <c r="B611" s="3"/>
      <c r="C611" s="3">
        <v>138</v>
      </c>
      <c r="D611" s="1"/>
      <c r="E611" s="12" t="s">
        <v>19</v>
      </c>
      <c r="F611" s="7" t="s">
        <v>14</v>
      </c>
      <c r="G611" s="7" t="s">
        <v>49</v>
      </c>
      <c r="H611" s="11">
        <v>17.82</v>
      </c>
      <c r="I611" s="8">
        <v>8.1</v>
      </c>
      <c r="J611" s="106">
        <v>5</v>
      </c>
      <c r="K611" s="13">
        <v>0.72171000000000007</v>
      </c>
      <c r="L611" s="7" t="s">
        <v>477</v>
      </c>
    </row>
    <row r="612" spans="1:12">
      <c r="A612" s="42" t="s">
        <v>90</v>
      </c>
      <c r="B612" s="3"/>
      <c r="C612" s="3">
        <v>138</v>
      </c>
      <c r="D612" s="1"/>
      <c r="E612" s="12" t="s">
        <v>19</v>
      </c>
      <c r="F612" s="7" t="s">
        <v>14</v>
      </c>
      <c r="G612" s="7" t="s">
        <v>49</v>
      </c>
      <c r="H612" s="11">
        <v>17.82</v>
      </c>
      <c r="I612" s="8">
        <v>10.9</v>
      </c>
      <c r="J612" s="106">
        <v>3</v>
      </c>
      <c r="K612" s="13">
        <v>0.58271400000000007</v>
      </c>
      <c r="L612" s="7" t="s">
        <v>477</v>
      </c>
    </row>
    <row r="613" spans="1:12">
      <c r="A613" s="42" t="s">
        <v>90</v>
      </c>
      <c r="B613" s="3"/>
      <c r="C613" s="3">
        <v>139</v>
      </c>
      <c r="D613" s="1"/>
      <c r="E613" s="12" t="s">
        <v>24</v>
      </c>
      <c r="F613" s="7" t="s">
        <v>14</v>
      </c>
      <c r="G613" s="7" t="s">
        <v>42</v>
      </c>
      <c r="H613" s="11">
        <v>19.72</v>
      </c>
      <c r="I613" s="8">
        <v>12</v>
      </c>
      <c r="J613" s="19">
        <v>1</v>
      </c>
      <c r="K613" s="13">
        <v>0.23663999999999999</v>
      </c>
      <c r="L613" s="7" t="s">
        <v>477</v>
      </c>
    </row>
    <row r="614" spans="1:12">
      <c r="A614" s="42" t="s">
        <v>90</v>
      </c>
      <c r="B614" s="3"/>
      <c r="C614" s="3">
        <v>139</v>
      </c>
      <c r="D614" s="1"/>
      <c r="E614" s="12" t="s">
        <v>24</v>
      </c>
      <c r="F614" s="7" t="s">
        <v>14</v>
      </c>
      <c r="G614" s="7" t="s">
        <v>42</v>
      </c>
      <c r="H614" s="11">
        <v>19.72</v>
      </c>
      <c r="I614" s="8">
        <v>6</v>
      </c>
      <c r="J614" s="19">
        <v>1</v>
      </c>
      <c r="K614" s="13">
        <v>0.11831999999999999</v>
      </c>
      <c r="L614" s="7" t="s">
        <v>477</v>
      </c>
    </row>
    <row r="615" spans="1:12">
      <c r="A615" s="42" t="s">
        <v>90</v>
      </c>
      <c r="B615" s="3"/>
      <c r="C615" s="3">
        <v>140</v>
      </c>
      <c r="D615" s="1"/>
      <c r="E615" s="12" t="s">
        <v>19</v>
      </c>
      <c r="F615" s="7" t="s">
        <v>14</v>
      </c>
      <c r="G615" s="7" t="s">
        <v>49</v>
      </c>
      <c r="H615" s="11">
        <v>17.82</v>
      </c>
      <c r="I615" s="8">
        <v>9</v>
      </c>
      <c r="J615" s="19">
        <v>1</v>
      </c>
      <c r="K615" s="13">
        <v>0.16037999999999999</v>
      </c>
      <c r="L615" s="7" t="s">
        <v>477</v>
      </c>
    </row>
    <row r="616" spans="1:12">
      <c r="A616" s="42" t="s">
        <v>90</v>
      </c>
      <c r="B616" s="3"/>
      <c r="C616" s="3">
        <v>146</v>
      </c>
      <c r="D616" s="1"/>
      <c r="E616" s="12" t="s">
        <v>24</v>
      </c>
      <c r="F616" s="7" t="s">
        <v>14</v>
      </c>
      <c r="G616" s="7" t="s">
        <v>33</v>
      </c>
      <c r="H616" s="11">
        <v>15.92</v>
      </c>
      <c r="I616" s="8">
        <v>6.25</v>
      </c>
      <c r="J616" s="19">
        <v>5</v>
      </c>
      <c r="K616" s="13">
        <v>0.4975</v>
      </c>
      <c r="L616" s="7" t="s">
        <v>477</v>
      </c>
    </row>
    <row r="617" spans="1:12">
      <c r="A617" s="42" t="s">
        <v>90</v>
      </c>
      <c r="B617" s="3"/>
      <c r="C617" s="3">
        <v>146</v>
      </c>
      <c r="D617" s="1"/>
      <c r="E617" s="12" t="s">
        <v>24</v>
      </c>
      <c r="F617" s="7" t="s">
        <v>14</v>
      </c>
      <c r="G617" s="7" t="s">
        <v>33</v>
      </c>
      <c r="H617" s="11">
        <v>15.92</v>
      </c>
      <c r="I617" s="8">
        <v>6.5</v>
      </c>
      <c r="J617" s="19">
        <v>1</v>
      </c>
      <c r="K617" s="13">
        <v>0.10348</v>
      </c>
      <c r="L617" s="7" t="s">
        <v>477</v>
      </c>
    </row>
    <row r="618" spans="1:12">
      <c r="A618" s="42" t="s">
        <v>90</v>
      </c>
      <c r="B618" s="3"/>
      <c r="C618" s="3">
        <v>146</v>
      </c>
      <c r="D618" s="1"/>
      <c r="E618" s="12" t="s">
        <v>24</v>
      </c>
      <c r="F618" s="7" t="s">
        <v>14</v>
      </c>
      <c r="G618" s="7" t="s">
        <v>33</v>
      </c>
      <c r="H618" s="11">
        <v>15.92</v>
      </c>
      <c r="I618" s="8">
        <v>8</v>
      </c>
      <c r="J618" s="19">
        <v>1</v>
      </c>
      <c r="K618" s="13">
        <v>0.12736</v>
      </c>
      <c r="L618" s="7" t="s">
        <v>477</v>
      </c>
    </row>
    <row r="619" spans="1:12">
      <c r="A619" s="42" t="s">
        <v>90</v>
      </c>
      <c r="B619" s="3"/>
      <c r="C619" s="3">
        <v>146</v>
      </c>
      <c r="D619" s="1"/>
      <c r="E619" s="12" t="s">
        <v>24</v>
      </c>
      <c r="F619" s="7" t="s">
        <v>14</v>
      </c>
      <c r="G619" s="7" t="s">
        <v>33</v>
      </c>
      <c r="H619" s="11">
        <v>15.92</v>
      </c>
      <c r="I619" s="8">
        <v>11.1</v>
      </c>
      <c r="J619" s="19">
        <v>1</v>
      </c>
      <c r="K619" s="13">
        <v>0.17671199999999998</v>
      </c>
      <c r="L619" s="7" t="s">
        <v>477</v>
      </c>
    </row>
    <row r="620" spans="1:12">
      <c r="A620" s="42" t="s">
        <v>90</v>
      </c>
      <c r="B620" s="3"/>
      <c r="C620" s="3">
        <v>146</v>
      </c>
      <c r="D620" s="1"/>
      <c r="E620" s="12" t="s">
        <v>24</v>
      </c>
      <c r="F620" s="7" t="s">
        <v>14</v>
      </c>
      <c r="G620" s="7" t="s">
        <v>33</v>
      </c>
      <c r="H620" s="11">
        <v>15.92</v>
      </c>
      <c r="I620" s="8">
        <v>11.5</v>
      </c>
      <c r="J620" s="19">
        <v>2</v>
      </c>
      <c r="K620" s="13">
        <v>0.36616000000000004</v>
      </c>
      <c r="L620" s="7" t="s">
        <v>477</v>
      </c>
    </row>
    <row r="621" spans="1:12">
      <c r="A621" s="42" t="s">
        <v>90</v>
      </c>
      <c r="B621" s="3"/>
      <c r="C621" s="3">
        <v>147</v>
      </c>
      <c r="D621" s="1"/>
      <c r="E621" s="59" t="s">
        <v>20</v>
      </c>
      <c r="F621" s="60" t="s">
        <v>15</v>
      </c>
      <c r="G621" s="60" t="s">
        <v>39</v>
      </c>
      <c r="H621" s="61">
        <v>14.66</v>
      </c>
      <c r="I621" s="21">
        <v>12.45</v>
      </c>
      <c r="J621" s="64">
        <v>1</v>
      </c>
      <c r="K621" s="65">
        <v>0.18251699999999998</v>
      </c>
      <c r="L621" s="7" t="s">
        <v>477</v>
      </c>
    </row>
    <row r="622" spans="1:12">
      <c r="A622" s="42" t="s">
        <v>90</v>
      </c>
      <c r="B622" s="3"/>
      <c r="C622" s="3">
        <v>154</v>
      </c>
      <c r="D622" s="1"/>
      <c r="E622" s="12" t="s">
        <v>20</v>
      </c>
      <c r="F622" s="7" t="s">
        <v>15</v>
      </c>
      <c r="G622" s="7" t="s">
        <v>30</v>
      </c>
      <c r="H622" s="11">
        <v>9.26</v>
      </c>
      <c r="I622" s="184">
        <v>8.6999999999999993</v>
      </c>
      <c r="J622" s="19">
        <v>1</v>
      </c>
      <c r="K622" s="13">
        <v>8.0561999999999995E-2</v>
      </c>
      <c r="L622" s="7" t="s">
        <v>477</v>
      </c>
    </row>
    <row r="623" spans="1:12">
      <c r="A623" s="42" t="s">
        <v>90</v>
      </c>
      <c r="B623" s="3"/>
      <c r="C623" s="3">
        <v>154</v>
      </c>
      <c r="D623" s="1"/>
      <c r="E623" s="12" t="s">
        <v>20</v>
      </c>
      <c r="F623" s="7" t="s">
        <v>15</v>
      </c>
      <c r="G623" s="7" t="s">
        <v>30</v>
      </c>
      <c r="H623" s="11">
        <v>9.26</v>
      </c>
      <c r="I623" s="184">
        <v>8</v>
      </c>
      <c r="J623" s="19">
        <v>1</v>
      </c>
      <c r="K623" s="13">
        <v>7.4079999999999993E-2</v>
      </c>
      <c r="L623" s="7" t="s">
        <v>477</v>
      </c>
    </row>
    <row r="624" spans="1:12">
      <c r="A624" s="42" t="s">
        <v>90</v>
      </c>
      <c r="B624" s="3"/>
      <c r="C624" s="3">
        <v>156</v>
      </c>
      <c r="D624" s="1"/>
      <c r="E624" s="59" t="s">
        <v>19</v>
      </c>
      <c r="F624" s="60" t="s">
        <v>14</v>
      </c>
      <c r="G624" s="60" t="s">
        <v>30</v>
      </c>
      <c r="H624" s="61">
        <v>9.26</v>
      </c>
      <c r="I624" s="21">
        <v>6.5</v>
      </c>
      <c r="J624" s="64">
        <v>1</v>
      </c>
      <c r="K624" s="65">
        <v>6.019E-2</v>
      </c>
      <c r="L624" s="7" t="s">
        <v>477</v>
      </c>
    </row>
    <row r="625" spans="1:12">
      <c r="A625" s="42" t="s">
        <v>90</v>
      </c>
      <c r="B625" s="3"/>
      <c r="C625" s="3">
        <v>156</v>
      </c>
      <c r="D625" s="1"/>
      <c r="E625" s="59" t="s">
        <v>19</v>
      </c>
      <c r="F625" s="60" t="s">
        <v>14</v>
      </c>
      <c r="G625" s="60" t="s">
        <v>30</v>
      </c>
      <c r="H625" s="61">
        <v>9.26</v>
      </c>
      <c r="I625" s="21">
        <v>7</v>
      </c>
      <c r="J625" s="64">
        <v>1</v>
      </c>
      <c r="K625" s="13">
        <v>6.4819999999999989E-2</v>
      </c>
      <c r="L625" s="7" t="s">
        <v>477</v>
      </c>
    </row>
    <row r="626" spans="1:12">
      <c r="A626" s="42" t="s">
        <v>90</v>
      </c>
      <c r="B626" s="3"/>
      <c r="C626" s="3">
        <v>160</v>
      </c>
      <c r="D626" s="1"/>
      <c r="E626" s="12" t="s">
        <v>20</v>
      </c>
      <c r="F626" s="7" t="s">
        <v>15</v>
      </c>
      <c r="G626" s="7" t="s">
        <v>44</v>
      </c>
      <c r="H626" s="11">
        <v>13.4</v>
      </c>
      <c r="I626" s="8">
        <v>10.3</v>
      </c>
      <c r="J626" s="19">
        <v>1</v>
      </c>
      <c r="K626" s="13">
        <v>0.13802</v>
      </c>
      <c r="L626" s="7" t="s">
        <v>477</v>
      </c>
    </row>
    <row r="627" spans="1:12">
      <c r="A627" s="42" t="s">
        <v>90</v>
      </c>
      <c r="B627" s="3"/>
      <c r="C627" s="3">
        <v>161</v>
      </c>
      <c r="D627" s="1"/>
      <c r="E627" s="12" t="s">
        <v>20</v>
      </c>
      <c r="F627" s="7" t="s">
        <v>15</v>
      </c>
      <c r="G627" s="7" t="s">
        <v>30</v>
      </c>
      <c r="H627" s="11">
        <v>9.26</v>
      </c>
      <c r="I627" s="184">
        <v>11.9</v>
      </c>
      <c r="J627" s="19">
        <v>1</v>
      </c>
      <c r="K627" s="13">
        <v>0.110194</v>
      </c>
      <c r="L627" s="7" t="s">
        <v>477</v>
      </c>
    </row>
    <row r="628" spans="1:12">
      <c r="A628" s="42" t="s">
        <v>90</v>
      </c>
      <c r="B628" s="3"/>
      <c r="C628" s="3">
        <v>162</v>
      </c>
      <c r="D628" s="1"/>
      <c r="E628" s="12" t="s">
        <v>114</v>
      </c>
      <c r="F628" s="7" t="s">
        <v>15</v>
      </c>
      <c r="G628" s="7" t="s">
        <v>52</v>
      </c>
      <c r="H628" s="11">
        <v>17.829999999999998</v>
      </c>
      <c r="I628" s="8">
        <v>9.6999999999999993</v>
      </c>
      <c r="J628" s="19">
        <v>1</v>
      </c>
      <c r="K628" s="13">
        <v>0.17295099999999997</v>
      </c>
      <c r="L628" s="7" t="s">
        <v>477</v>
      </c>
    </row>
    <row r="629" spans="1:12">
      <c r="A629" s="42" t="s">
        <v>90</v>
      </c>
      <c r="B629" s="3"/>
      <c r="C629" s="3">
        <v>165</v>
      </c>
      <c r="D629" s="1"/>
      <c r="E629" s="12" t="s">
        <v>88</v>
      </c>
      <c r="F629" s="7" t="s">
        <v>15</v>
      </c>
      <c r="G629" s="7" t="s">
        <v>44</v>
      </c>
      <c r="H629" s="11">
        <v>13.4</v>
      </c>
      <c r="I629" s="8">
        <v>8.6999999999999993</v>
      </c>
      <c r="J629" s="19">
        <v>2</v>
      </c>
      <c r="K629" s="13">
        <v>0.23316000000000001</v>
      </c>
      <c r="L629" s="7" t="s">
        <v>477</v>
      </c>
    </row>
    <row r="630" spans="1:12">
      <c r="A630" s="42" t="s">
        <v>90</v>
      </c>
      <c r="B630" s="3"/>
      <c r="C630" s="3">
        <v>165</v>
      </c>
      <c r="D630" s="1"/>
      <c r="E630" s="12" t="s">
        <v>88</v>
      </c>
      <c r="F630" s="7" t="s">
        <v>15</v>
      </c>
      <c r="G630" s="7" t="s">
        <v>44</v>
      </c>
      <c r="H630" s="11">
        <v>13.4</v>
      </c>
      <c r="I630" s="8">
        <v>10.5</v>
      </c>
      <c r="J630" s="19">
        <v>1</v>
      </c>
      <c r="K630" s="13">
        <v>0.14070000000000002</v>
      </c>
      <c r="L630" s="7" t="s">
        <v>477</v>
      </c>
    </row>
    <row r="631" spans="1:12">
      <c r="A631" s="42" t="s">
        <v>90</v>
      </c>
      <c r="B631" s="3"/>
      <c r="C631" s="3">
        <v>166</v>
      </c>
      <c r="D631" s="1"/>
      <c r="E631" s="12" t="s">
        <v>20</v>
      </c>
      <c r="F631" s="7" t="s">
        <v>15</v>
      </c>
      <c r="G631" s="7" t="s">
        <v>47</v>
      </c>
      <c r="H631" s="11">
        <v>15</v>
      </c>
      <c r="I631" s="8">
        <v>8.3000000000000007</v>
      </c>
      <c r="J631" s="19">
        <v>1</v>
      </c>
      <c r="K631" s="13">
        <v>0.12450000000000001</v>
      </c>
      <c r="L631" s="7" t="s">
        <v>477</v>
      </c>
    </row>
    <row r="632" spans="1:12">
      <c r="A632" s="42" t="s">
        <v>90</v>
      </c>
      <c r="B632" s="3"/>
      <c r="C632" s="3">
        <v>166</v>
      </c>
      <c r="D632" s="1"/>
      <c r="E632" s="12" t="s">
        <v>20</v>
      </c>
      <c r="F632" s="7" t="s">
        <v>15</v>
      </c>
      <c r="G632" s="7" t="s">
        <v>47</v>
      </c>
      <c r="H632" s="11">
        <v>15</v>
      </c>
      <c r="I632" s="8">
        <v>8.6999999999999993</v>
      </c>
      <c r="J632" s="19">
        <v>1</v>
      </c>
      <c r="K632" s="13">
        <v>0.1305</v>
      </c>
      <c r="L632" s="7" t="s">
        <v>477</v>
      </c>
    </row>
    <row r="633" spans="1:12">
      <c r="A633" s="42" t="s">
        <v>90</v>
      </c>
      <c r="B633" s="3"/>
      <c r="C633" s="3">
        <v>166</v>
      </c>
      <c r="D633" s="1"/>
      <c r="E633" s="12" t="s">
        <v>20</v>
      </c>
      <c r="F633" s="7" t="s">
        <v>15</v>
      </c>
      <c r="G633" s="7" t="s">
        <v>47</v>
      </c>
      <c r="H633" s="11">
        <v>15</v>
      </c>
      <c r="I633" s="8">
        <v>11</v>
      </c>
      <c r="J633" s="19">
        <v>1</v>
      </c>
      <c r="K633" s="13">
        <v>0.16500000000000001</v>
      </c>
      <c r="L633" s="7" t="s">
        <v>477</v>
      </c>
    </row>
    <row r="634" spans="1:12">
      <c r="A634" s="42" t="s">
        <v>90</v>
      </c>
      <c r="B634" s="3"/>
      <c r="C634" s="3">
        <v>167</v>
      </c>
      <c r="D634" s="1"/>
      <c r="E634" s="12" t="s">
        <v>20</v>
      </c>
      <c r="F634" s="7" t="s">
        <v>15</v>
      </c>
      <c r="G634" s="7" t="s">
        <v>36</v>
      </c>
      <c r="H634" s="11">
        <v>10.199999999999999</v>
      </c>
      <c r="I634" s="8">
        <v>5.5</v>
      </c>
      <c r="J634" s="19">
        <v>1</v>
      </c>
      <c r="K634" s="13">
        <v>5.6099999999999997E-2</v>
      </c>
      <c r="L634" s="7" t="s">
        <v>477</v>
      </c>
    </row>
    <row r="635" spans="1:12">
      <c r="A635" s="42" t="s">
        <v>90</v>
      </c>
      <c r="B635" s="3"/>
      <c r="C635" s="3">
        <v>168</v>
      </c>
      <c r="D635" s="1" t="s">
        <v>98</v>
      </c>
      <c r="E635" s="12" t="s">
        <v>20</v>
      </c>
      <c r="F635" s="7" t="s">
        <v>15</v>
      </c>
      <c r="G635" s="7" t="s">
        <v>36</v>
      </c>
      <c r="H635" s="11">
        <v>10.199999999999999</v>
      </c>
      <c r="I635" s="8">
        <v>10.4</v>
      </c>
      <c r="J635" s="19">
        <v>1</v>
      </c>
      <c r="K635" s="13">
        <v>0.10607999999999999</v>
      </c>
      <c r="L635" s="7" t="s">
        <v>477</v>
      </c>
    </row>
    <row r="636" spans="1:12">
      <c r="A636" s="42" t="s">
        <v>90</v>
      </c>
      <c r="B636" s="3"/>
      <c r="C636" s="3">
        <v>169</v>
      </c>
      <c r="D636" s="1"/>
      <c r="E636" s="12" t="s">
        <v>20</v>
      </c>
      <c r="F636" s="7" t="s">
        <v>15</v>
      </c>
      <c r="G636" s="7" t="s">
        <v>47</v>
      </c>
      <c r="H636" s="11">
        <v>15</v>
      </c>
      <c r="I636" s="8">
        <v>9.5</v>
      </c>
      <c r="J636" s="106">
        <v>2</v>
      </c>
      <c r="K636" s="13">
        <v>0.28499999999999998</v>
      </c>
      <c r="L636" s="7" t="s">
        <v>477</v>
      </c>
    </row>
    <row r="637" spans="1:12">
      <c r="A637" s="42" t="s">
        <v>90</v>
      </c>
      <c r="B637" s="3"/>
      <c r="C637" s="3">
        <v>170</v>
      </c>
      <c r="D637" s="1"/>
      <c r="E637" s="12" t="s">
        <v>20</v>
      </c>
      <c r="F637" s="7" t="s">
        <v>15</v>
      </c>
      <c r="G637" s="7" t="s">
        <v>44</v>
      </c>
      <c r="H637" s="11">
        <v>13.4</v>
      </c>
      <c r="I637" s="8">
        <v>10.5</v>
      </c>
      <c r="J637" s="19">
        <v>2</v>
      </c>
      <c r="K637" s="13">
        <v>0.28140000000000004</v>
      </c>
      <c r="L637" s="7" t="s">
        <v>477</v>
      </c>
    </row>
    <row r="638" spans="1:12">
      <c r="A638" s="42" t="s">
        <v>90</v>
      </c>
      <c r="B638" s="3"/>
      <c r="C638" s="3">
        <v>170</v>
      </c>
      <c r="D638" s="1"/>
      <c r="E638" s="12" t="s">
        <v>20</v>
      </c>
      <c r="F638" s="7" t="s">
        <v>15</v>
      </c>
      <c r="G638" s="7" t="s">
        <v>44</v>
      </c>
      <c r="H638" s="11">
        <v>13.4</v>
      </c>
      <c r="I638" s="8">
        <v>12</v>
      </c>
      <c r="J638" s="19">
        <v>1</v>
      </c>
      <c r="K638" s="13">
        <v>0.1608</v>
      </c>
      <c r="L638" s="7" t="s">
        <v>477</v>
      </c>
    </row>
    <row r="639" spans="1:12">
      <c r="A639" s="42" t="s">
        <v>90</v>
      </c>
      <c r="B639" s="3"/>
      <c r="C639" s="3">
        <v>171</v>
      </c>
      <c r="D639" s="1"/>
      <c r="E639" s="12" t="s">
        <v>88</v>
      </c>
      <c r="F639" s="7" t="s">
        <v>15</v>
      </c>
      <c r="G639" s="7" t="s">
        <v>44</v>
      </c>
      <c r="H639" s="11">
        <v>13.4</v>
      </c>
      <c r="I639" s="8">
        <v>7.4</v>
      </c>
      <c r="J639" s="19">
        <v>1</v>
      </c>
      <c r="K639" s="13">
        <v>9.9160000000000012E-2</v>
      </c>
      <c r="L639" s="7" t="s">
        <v>477</v>
      </c>
    </row>
    <row r="640" spans="1:12">
      <c r="A640" s="42" t="s">
        <v>90</v>
      </c>
      <c r="B640" s="3"/>
      <c r="C640" s="3">
        <v>171</v>
      </c>
      <c r="D640" s="1"/>
      <c r="E640" s="12" t="s">
        <v>88</v>
      </c>
      <c r="F640" s="7" t="s">
        <v>15</v>
      </c>
      <c r="G640" s="7" t="s">
        <v>44</v>
      </c>
      <c r="H640" s="11">
        <v>13.4</v>
      </c>
      <c r="I640" s="8">
        <v>6.8</v>
      </c>
      <c r="J640" s="19">
        <v>1</v>
      </c>
      <c r="K640" s="13">
        <v>9.1120000000000007E-2</v>
      </c>
      <c r="L640" s="7" t="s">
        <v>477</v>
      </c>
    </row>
    <row r="641" spans="1:12">
      <c r="A641" s="42" t="s">
        <v>90</v>
      </c>
      <c r="B641" s="3"/>
      <c r="C641" s="3">
        <v>171</v>
      </c>
      <c r="D641" s="1"/>
      <c r="E641" s="12" t="s">
        <v>88</v>
      </c>
      <c r="F641" s="7" t="s">
        <v>15</v>
      </c>
      <c r="G641" s="7" t="s">
        <v>44</v>
      </c>
      <c r="H641" s="11">
        <v>13.4</v>
      </c>
      <c r="I641" s="8">
        <v>6.4</v>
      </c>
      <c r="J641" s="19">
        <v>1</v>
      </c>
      <c r="K641" s="13">
        <v>8.5760000000000003E-2</v>
      </c>
      <c r="L641" s="7" t="s">
        <v>477</v>
      </c>
    </row>
    <row r="642" spans="1:12">
      <c r="A642" s="42" t="s">
        <v>90</v>
      </c>
      <c r="B642" s="3"/>
      <c r="C642" s="3">
        <v>172</v>
      </c>
      <c r="D642" s="1"/>
      <c r="E642" s="12" t="s">
        <v>20</v>
      </c>
      <c r="F642" s="7" t="s">
        <v>15</v>
      </c>
      <c r="G642" s="7" t="s">
        <v>99</v>
      </c>
      <c r="H642" s="11">
        <v>18.2</v>
      </c>
      <c r="I642" s="8">
        <v>8.5</v>
      </c>
      <c r="J642" s="19">
        <v>1</v>
      </c>
      <c r="K642" s="13">
        <v>0.15469999999999998</v>
      </c>
      <c r="L642" s="7" t="s">
        <v>477</v>
      </c>
    </row>
    <row r="643" spans="1:12">
      <c r="A643" s="42" t="s">
        <v>90</v>
      </c>
      <c r="B643" s="3"/>
      <c r="C643" s="3">
        <v>172</v>
      </c>
      <c r="D643" s="1"/>
      <c r="E643" s="12" t="s">
        <v>20</v>
      </c>
      <c r="F643" s="7" t="s">
        <v>15</v>
      </c>
      <c r="G643" s="7" t="s">
        <v>99</v>
      </c>
      <c r="H643" s="11">
        <v>18.2</v>
      </c>
      <c r="I643" s="8">
        <v>7.9</v>
      </c>
      <c r="J643" s="19">
        <v>1</v>
      </c>
      <c r="K643" s="13">
        <v>0.14377999999999999</v>
      </c>
      <c r="L643" s="7" t="s">
        <v>477</v>
      </c>
    </row>
    <row r="644" spans="1:12">
      <c r="A644" s="42" t="s">
        <v>90</v>
      </c>
      <c r="B644" s="3"/>
      <c r="C644" s="3">
        <v>172</v>
      </c>
      <c r="D644" s="1"/>
      <c r="E644" s="12" t="s">
        <v>20</v>
      </c>
      <c r="F644" s="7" t="s">
        <v>15</v>
      </c>
      <c r="G644" s="7" t="s">
        <v>99</v>
      </c>
      <c r="H644" s="11">
        <v>18.2</v>
      </c>
      <c r="I644" s="8">
        <v>8.1</v>
      </c>
      <c r="J644" s="19">
        <v>1</v>
      </c>
      <c r="K644" s="13">
        <v>0.14742</v>
      </c>
      <c r="L644" s="7" t="s">
        <v>477</v>
      </c>
    </row>
    <row r="645" spans="1:12">
      <c r="A645" s="42" t="s">
        <v>90</v>
      </c>
      <c r="B645" s="3"/>
      <c r="C645" s="3">
        <v>173</v>
      </c>
      <c r="D645" s="1"/>
      <c r="E645" s="12" t="s">
        <v>88</v>
      </c>
      <c r="F645" s="7" t="s">
        <v>15</v>
      </c>
      <c r="G645" s="7" t="s">
        <v>41</v>
      </c>
      <c r="H645" s="11">
        <v>11.8</v>
      </c>
      <c r="I645" s="8">
        <v>12</v>
      </c>
      <c r="J645" s="19">
        <v>8</v>
      </c>
      <c r="K645" s="13">
        <v>1.1328000000000003</v>
      </c>
      <c r="L645" s="7" t="s">
        <v>477</v>
      </c>
    </row>
    <row r="646" spans="1:12">
      <c r="A646" s="42" t="s">
        <v>90</v>
      </c>
      <c r="B646" s="3"/>
      <c r="C646" s="3">
        <v>175</v>
      </c>
      <c r="D646" s="1"/>
      <c r="E646" s="12" t="s">
        <v>20</v>
      </c>
      <c r="F646" s="7" t="s">
        <v>15</v>
      </c>
      <c r="G646" s="7" t="s">
        <v>22</v>
      </c>
      <c r="H646" s="11">
        <v>10.73</v>
      </c>
      <c r="I646" s="8">
        <v>5.4</v>
      </c>
      <c r="J646" s="19">
        <v>1</v>
      </c>
      <c r="K646" s="13">
        <v>5.7942000000000007E-2</v>
      </c>
      <c r="L646" s="7" t="s">
        <v>477</v>
      </c>
    </row>
    <row r="647" spans="1:12">
      <c r="A647" s="42" t="s">
        <v>90</v>
      </c>
      <c r="B647" s="3"/>
      <c r="C647" s="3">
        <v>175</v>
      </c>
      <c r="D647" s="1"/>
      <c r="E647" s="12" t="s">
        <v>20</v>
      </c>
      <c r="F647" s="7" t="s">
        <v>15</v>
      </c>
      <c r="G647" s="7" t="s">
        <v>22</v>
      </c>
      <c r="H647" s="11">
        <v>10.73</v>
      </c>
      <c r="I647" s="8">
        <v>5.3</v>
      </c>
      <c r="J647" s="19">
        <v>1</v>
      </c>
      <c r="K647" s="13">
        <v>5.6869000000000003E-2</v>
      </c>
      <c r="L647" s="7" t="s">
        <v>477</v>
      </c>
    </row>
    <row r="648" spans="1:12">
      <c r="A648" s="42" t="s">
        <v>90</v>
      </c>
      <c r="B648" s="3"/>
      <c r="C648" s="3">
        <v>176</v>
      </c>
      <c r="D648" s="1"/>
      <c r="E648" s="12" t="s">
        <v>20</v>
      </c>
      <c r="F648" s="7" t="s">
        <v>15</v>
      </c>
      <c r="G648" s="7" t="s">
        <v>44</v>
      </c>
      <c r="H648" s="11">
        <v>13.4</v>
      </c>
      <c r="I648" s="8">
        <v>9</v>
      </c>
      <c r="J648" s="19">
        <v>2</v>
      </c>
      <c r="K648" s="13">
        <v>0.24120000000000003</v>
      </c>
      <c r="L648" s="7" t="s">
        <v>477</v>
      </c>
    </row>
    <row r="649" spans="1:12">
      <c r="A649" s="42" t="s">
        <v>90</v>
      </c>
      <c r="B649" s="3"/>
      <c r="C649" s="3">
        <v>177</v>
      </c>
      <c r="D649" s="1"/>
      <c r="E649" s="12" t="s">
        <v>20</v>
      </c>
      <c r="F649" s="7" t="s">
        <v>15</v>
      </c>
      <c r="G649" s="7" t="s">
        <v>44</v>
      </c>
      <c r="H649" s="11">
        <v>13.4</v>
      </c>
      <c r="I649" s="8">
        <v>6.5</v>
      </c>
      <c r="J649" s="19">
        <v>3</v>
      </c>
      <c r="K649" s="13">
        <v>0.26130000000000003</v>
      </c>
      <c r="L649" s="7" t="s">
        <v>477</v>
      </c>
    </row>
    <row r="650" spans="1:12">
      <c r="A650" s="42" t="s">
        <v>90</v>
      </c>
      <c r="B650" s="3"/>
      <c r="C650" s="3">
        <v>177</v>
      </c>
      <c r="D650" s="1"/>
      <c r="E650" s="12" t="s">
        <v>20</v>
      </c>
      <c r="F650" s="7" t="s">
        <v>15</v>
      </c>
      <c r="G650" s="7" t="s">
        <v>44</v>
      </c>
      <c r="H650" s="11">
        <v>13.4</v>
      </c>
      <c r="I650" s="8">
        <v>6.4</v>
      </c>
      <c r="J650" s="19">
        <v>2</v>
      </c>
      <c r="K650" s="13">
        <v>0.17152000000000001</v>
      </c>
      <c r="L650" s="7" t="s">
        <v>477</v>
      </c>
    </row>
    <row r="651" spans="1:12">
      <c r="A651" s="42" t="s">
        <v>90</v>
      </c>
      <c r="B651" s="3"/>
      <c r="C651" s="3">
        <v>178</v>
      </c>
      <c r="D651" s="1"/>
      <c r="E651" s="12" t="s">
        <v>17</v>
      </c>
      <c r="F651" s="7" t="s">
        <v>15</v>
      </c>
      <c r="G651" s="7" t="s">
        <v>45</v>
      </c>
      <c r="H651" s="11">
        <v>13.6</v>
      </c>
      <c r="I651" s="8">
        <v>12</v>
      </c>
      <c r="J651" s="19">
        <v>3</v>
      </c>
      <c r="K651" s="13">
        <v>0.48959999999999998</v>
      </c>
      <c r="L651" s="7" t="s">
        <v>477</v>
      </c>
    </row>
    <row r="652" spans="1:12">
      <c r="A652" s="42" t="s">
        <v>90</v>
      </c>
      <c r="B652" s="3"/>
      <c r="C652" s="3">
        <v>181</v>
      </c>
      <c r="D652" s="1"/>
      <c r="E652" s="12" t="s">
        <v>100</v>
      </c>
      <c r="F652" s="7" t="s">
        <v>15</v>
      </c>
      <c r="G652" s="7" t="s">
        <v>30</v>
      </c>
      <c r="H652" s="11">
        <v>9.26</v>
      </c>
      <c r="I652" s="184">
        <v>5.8</v>
      </c>
      <c r="J652" s="19">
        <v>9</v>
      </c>
      <c r="K652" s="13">
        <v>0.48337199999999997</v>
      </c>
      <c r="L652" s="7" t="s">
        <v>477</v>
      </c>
    </row>
    <row r="653" spans="1:12">
      <c r="A653" s="42" t="s">
        <v>90</v>
      </c>
      <c r="B653" s="3"/>
      <c r="C653" s="3">
        <v>181</v>
      </c>
      <c r="D653" s="1"/>
      <c r="E653" s="12" t="s">
        <v>100</v>
      </c>
      <c r="F653" s="7" t="s">
        <v>15</v>
      </c>
      <c r="G653" s="7" t="s">
        <v>30</v>
      </c>
      <c r="H653" s="11">
        <v>9.26</v>
      </c>
      <c r="I653" s="184">
        <v>5.5</v>
      </c>
      <c r="J653" s="19">
        <v>5</v>
      </c>
      <c r="K653" s="13">
        <v>0.25464999999999999</v>
      </c>
      <c r="L653" s="7" t="s">
        <v>477</v>
      </c>
    </row>
    <row r="654" spans="1:12">
      <c r="A654" s="42" t="s">
        <v>90</v>
      </c>
      <c r="B654" s="3"/>
      <c r="C654" s="3">
        <v>181</v>
      </c>
      <c r="D654" s="1"/>
      <c r="E654" s="12" t="s">
        <v>100</v>
      </c>
      <c r="F654" s="7" t="s">
        <v>15</v>
      </c>
      <c r="G654" s="7" t="s">
        <v>30</v>
      </c>
      <c r="H654" s="11">
        <v>9.26</v>
      </c>
      <c r="I654" s="184">
        <v>5.0999999999999996</v>
      </c>
      <c r="J654" s="19">
        <v>1</v>
      </c>
      <c r="K654" s="13">
        <v>4.7225999999999997E-2</v>
      </c>
      <c r="L654" s="7" t="s">
        <v>477</v>
      </c>
    </row>
    <row r="655" spans="1:12">
      <c r="A655" s="42" t="s">
        <v>90</v>
      </c>
      <c r="B655" s="3"/>
      <c r="C655" s="3">
        <v>181</v>
      </c>
      <c r="D655" s="1"/>
      <c r="E655" s="12" t="s">
        <v>100</v>
      </c>
      <c r="F655" s="7" t="s">
        <v>15</v>
      </c>
      <c r="G655" s="7" t="s">
        <v>30</v>
      </c>
      <c r="H655" s="11">
        <v>9.26</v>
      </c>
      <c r="I655" s="184">
        <v>4.5999999999999996</v>
      </c>
      <c r="J655" s="19">
        <v>1</v>
      </c>
      <c r="K655" s="13">
        <v>4.2595999999999995E-2</v>
      </c>
      <c r="L655" s="7" t="s">
        <v>477</v>
      </c>
    </row>
    <row r="656" spans="1:12">
      <c r="A656" s="42" t="s">
        <v>90</v>
      </c>
      <c r="B656" s="3"/>
      <c r="C656" s="3">
        <v>182</v>
      </c>
      <c r="D656" s="1"/>
      <c r="E656" s="12" t="s">
        <v>20</v>
      </c>
      <c r="F656" s="7" t="s">
        <v>15</v>
      </c>
      <c r="G656" s="7" t="s">
        <v>47</v>
      </c>
      <c r="H656" s="11">
        <v>15</v>
      </c>
      <c r="I656" s="8">
        <v>7.5</v>
      </c>
      <c r="J656" s="19">
        <v>1</v>
      </c>
      <c r="K656" s="13">
        <v>0.1125</v>
      </c>
      <c r="L656" s="7" t="s">
        <v>477</v>
      </c>
    </row>
    <row r="657" spans="1:12">
      <c r="A657" s="42" t="s">
        <v>90</v>
      </c>
      <c r="B657" s="3"/>
      <c r="C657" s="3">
        <v>182</v>
      </c>
      <c r="D657" s="1"/>
      <c r="E657" s="12" t="s">
        <v>20</v>
      </c>
      <c r="F657" s="7" t="s">
        <v>15</v>
      </c>
      <c r="G657" s="7" t="s">
        <v>47</v>
      </c>
      <c r="H657" s="11">
        <v>15</v>
      </c>
      <c r="I657" s="8">
        <v>9.5</v>
      </c>
      <c r="J657" s="19">
        <v>2</v>
      </c>
      <c r="K657" s="13">
        <v>0.28499999999999998</v>
      </c>
      <c r="L657" s="7" t="s">
        <v>477</v>
      </c>
    </row>
    <row r="658" spans="1:12">
      <c r="A658" s="42" t="s">
        <v>90</v>
      </c>
      <c r="B658" s="3"/>
      <c r="C658" s="3">
        <v>182</v>
      </c>
      <c r="D658" s="1"/>
      <c r="E658" s="12" t="s">
        <v>20</v>
      </c>
      <c r="F658" s="7" t="s">
        <v>15</v>
      </c>
      <c r="G658" s="7" t="s">
        <v>47</v>
      </c>
      <c r="H658" s="11">
        <v>15</v>
      </c>
      <c r="I658" s="8">
        <v>13.1</v>
      </c>
      <c r="J658" s="19">
        <v>1</v>
      </c>
      <c r="K658" s="13">
        <v>0.19650000000000001</v>
      </c>
      <c r="L658" s="7" t="s">
        <v>477</v>
      </c>
    </row>
    <row r="659" spans="1:12">
      <c r="A659" s="42" t="s">
        <v>90</v>
      </c>
      <c r="B659" s="3"/>
      <c r="C659" s="3">
        <v>183</v>
      </c>
      <c r="D659" s="1"/>
      <c r="E659" s="12" t="s">
        <v>20</v>
      </c>
      <c r="F659" s="7" t="s">
        <v>15</v>
      </c>
      <c r="G659" s="7" t="s">
        <v>44</v>
      </c>
      <c r="H659" s="11">
        <v>13.4</v>
      </c>
      <c r="I659" s="8">
        <v>11.7</v>
      </c>
      <c r="J659" s="19">
        <v>1</v>
      </c>
      <c r="K659" s="13">
        <v>0.15678</v>
      </c>
      <c r="L659" s="7" t="s">
        <v>477</v>
      </c>
    </row>
    <row r="660" spans="1:12">
      <c r="A660" s="42" t="s">
        <v>90</v>
      </c>
      <c r="B660" s="3"/>
      <c r="C660" s="3">
        <v>185</v>
      </c>
      <c r="D660" s="1"/>
      <c r="E660" s="12" t="s">
        <v>94</v>
      </c>
      <c r="F660" s="7" t="s">
        <v>15</v>
      </c>
      <c r="G660" s="7" t="s">
        <v>30</v>
      </c>
      <c r="H660" s="11">
        <v>9.26</v>
      </c>
      <c r="I660" s="184">
        <v>10.5</v>
      </c>
      <c r="J660" s="19">
        <v>1</v>
      </c>
      <c r="K660" s="13">
        <v>9.7230000000000011E-2</v>
      </c>
      <c r="L660" s="7" t="s">
        <v>477</v>
      </c>
    </row>
    <row r="661" spans="1:12">
      <c r="A661" s="42" t="s">
        <v>90</v>
      </c>
      <c r="B661" s="3"/>
      <c r="C661" s="3">
        <v>185</v>
      </c>
      <c r="D661" s="1"/>
      <c r="E661" s="12" t="s">
        <v>94</v>
      </c>
      <c r="F661" s="7" t="s">
        <v>15</v>
      </c>
      <c r="G661" s="7" t="s">
        <v>30</v>
      </c>
      <c r="H661" s="11">
        <v>9.26</v>
      </c>
      <c r="I661" s="184">
        <v>11.5</v>
      </c>
      <c r="J661" s="19">
        <v>1</v>
      </c>
      <c r="K661" s="13">
        <v>0.10649</v>
      </c>
      <c r="L661" s="7" t="s">
        <v>477</v>
      </c>
    </row>
    <row r="662" spans="1:12">
      <c r="A662" s="42" t="s">
        <v>90</v>
      </c>
      <c r="B662" s="3"/>
      <c r="C662" s="3">
        <v>188</v>
      </c>
      <c r="D662" s="1" t="s">
        <v>93</v>
      </c>
      <c r="E662" s="12" t="s">
        <v>20</v>
      </c>
      <c r="F662" s="7" t="s">
        <v>15</v>
      </c>
      <c r="G662" s="7" t="s">
        <v>101</v>
      </c>
      <c r="H662" s="11">
        <v>12.2</v>
      </c>
      <c r="I662" s="8">
        <v>10.5</v>
      </c>
      <c r="J662" s="19">
        <v>1</v>
      </c>
      <c r="K662" s="13">
        <v>0.12809999999999999</v>
      </c>
      <c r="L662" s="7" t="s">
        <v>477</v>
      </c>
    </row>
    <row r="663" spans="1:12">
      <c r="A663" s="42" t="s">
        <v>90</v>
      </c>
      <c r="B663" s="3"/>
      <c r="C663" s="3">
        <v>188</v>
      </c>
      <c r="D663" s="1" t="s">
        <v>93</v>
      </c>
      <c r="E663" s="12" t="s">
        <v>20</v>
      </c>
      <c r="F663" s="7" t="s">
        <v>15</v>
      </c>
      <c r="G663" s="7" t="s">
        <v>101</v>
      </c>
      <c r="H663" s="11">
        <v>12.2</v>
      </c>
      <c r="I663" s="8">
        <v>11.5</v>
      </c>
      <c r="J663" s="19">
        <v>4</v>
      </c>
      <c r="K663" s="13">
        <v>0.56119999999999992</v>
      </c>
      <c r="L663" s="7" t="s">
        <v>477</v>
      </c>
    </row>
    <row r="664" spans="1:12">
      <c r="A664" s="42" t="s">
        <v>90</v>
      </c>
      <c r="B664" s="3"/>
      <c r="C664" s="3">
        <v>189</v>
      </c>
      <c r="D664" s="1" t="s">
        <v>93</v>
      </c>
      <c r="E664" s="12" t="s">
        <v>89</v>
      </c>
      <c r="F664" s="7" t="s">
        <v>15</v>
      </c>
      <c r="G664" s="7" t="s">
        <v>30</v>
      </c>
      <c r="H664" s="11">
        <v>9.26</v>
      </c>
      <c r="I664" s="184">
        <v>6.7</v>
      </c>
      <c r="J664" s="19">
        <v>1</v>
      </c>
      <c r="K664" s="13">
        <v>6.2042E-2</v>
      </c>
      <c r="L664" s="7" t="s">
        <v>477</v>
      </c>
    </row>
    <row r="665" spans="1:12">
      <c r="A665" s="42" t="s">
        <v>90</v>
      </c>
      <c r="B665" s="3"/>
      <c r="C665" s="3">
        <v>191</v>
      </c>
      <c r="D665" s="1" t="s">
        <v>102</v>
      </c>
      <c r="E665" s="12" t="s">
        <v>76</v>
      </c>
      <c r="F665" s="7" t="s">
        <v>15</v>
      </c>
      <c r="G665" s="7" t="s">
        <v>44</v>
      </c>
      <c r="H665" s="11">
        <v>13.4</v>
      </c>
      <c r="I665" s="8">
        <v>9.9</v>
      </c>
      <c r="J665" s="19">
        <v>1</v>
      </c>
      <c r="K665" s="13">
        <v>0.13266</v>
      </c>
      <c r="L665" s="7" t="s">
        <v>477</v>
      </c>
    </row>
    <row r="666" spans="1:12">
      <c r="A666" s="42" t="s">
        <v>90</v>
      </c>
      <c r="B666" s="3"/>
      <c r="C666" s="3">
        <v>191</v>
      </c>
      <c r="D666" s="1" t="s">
        <v>102</v>
      </c>
      <c r="E666" s="12" t="s">
        <v>76</v>
      </c>
      <c r="F666" s="7" t="s">
        <v>15</v>
      </c>
      <c r="G666" s="7" t="s">
        <v>44</v>
      </c>
      <c r="H666" s="11">
        <v>13.4</v>
      </c>
      <c r="I666" s="8">
        <v>9.5</v>
      </c>
      <c r="J666" s="19">
        <v>1</v>
      </c>
      <c r="K666" s="13">
        <v>0.1273</v>
      </c>
      <c r="L666" s="7" t="s">
        <v>477</v>
      </c>
    </row>
    <row r="667" spans="1:12">
      <c r="A667" s="42" t="s">
        <v>90</v>
      </c>
      <c r="B667" s="3"/>
      <c r="C667" s="3">
        <v>193</v>
      </c>
      <c r="D667" s="1"/>
      <c r="E667" s="12" t="s">
        <v>94</v>
      </c>
      <c r="F667" s="7" t="s">
        <v>15</v>
      </c>
      <c r="G667" s="7" t="s">
        <v>99</v>
      </c>
      <c r="H667" s="11">
        <v>18.2</v>
      </c>
      <c r="I667" s="8">
        <v>8</v>
      </c>
      <c r="J667" s="19">
        <v>2</v>
      </c>
      <c r="K667" s="13">
        <v>0.29120000000000001</v>
      </c>
      <c r="L667" s="7" t="s">
        <v>477</v>
      </c>
    </row>
    <row r="668" spans="1:12">
      <c r="A668" s="42" t="s">
        <v>90</v>
      </c>
      <c r="B668" s="3"/>
      <c r="C668" s="3">
        <v>193</v>
      </c>
      <c r="D668" s="1"/>
      <c r="E668" s="12" t="s">
        <v>94</v>
      </c>
      <c r="F668" s="7" t="s">
        <v>15</v>
      </c>
      <c r="G668" s="7" t="s">
        <v>99</v>
      </c>
      <c r="H668" s="11">
        <v>18.2</v>
      </c>
      <c r="I668" s="8">
        <v>8.3000000000000007</v>
      </c>
      <c r="J668" s="19">
        <v>7</v>
      </c>
      <c r="K668" s="13">
        <v>1.05742</v>
      </c>
      <c r="L668" s="7" t="s">
        <v>477</v>
      </c>
    </row>
    <row r="669" spans="1:12">
      <c r="A669" s="42" t="s">
        <v>90</v>
      </c>
      <c r="B669" s="3"/>
      <c r="C669" s="3">
        <v>194</v>
      </c>
      <c r="D669" s="1"/>
      <c r="E669" s="12" t="s">
        <v>19</v>
      </c>
      <c r="F669" s="7" t="s">
        <v>14</v>
      </c>
      <c r="G669" s="7" t="s">
        <v>37</v>
      </c>
      <c r="H669" s="11">
        <v>18.149999999999999</v>
      </c>
      <c r="I669" s="8">
        <v>12</v>
      </c>
      <c r="J669" s="19">
        <v>1</v>
      </c>
      <c r="K669" s="13">
        <v>0.21779999999999999</v>
      </c>
      <c r="L669" s="7" t="s">
        <v>477</v>
      </c>
    </row>
    <row r="670" spans="1:12">
      <c r="A670" s="42" t="s">
        <v>90</v>
      </c>
      <c r="B670" s="3"/>
      <c r="C670" s="3"/>
      <c r="D670" s="1"/>
      <c r="E670" s="12"/>
      <c r="F670" s="7" t="s">
        <v>14</v>
      </c>
      <c r="G670" s="7" t="s">
        <v>37</v>
      </c>
      <c r="H670" s="11">
        <v>18.149999999999999</v>
      </c>
      <c r="I670" s="8">
        <v>11.7</v>
      </c>
      <c r="J670" s="19">
        <v>1</v>
      </c>
      <c r="K670" s="13">
        <v>0.21235499999999996</v>
      </c>
      <c r="L670" s="7" t="s">
        <v>477</v>
      </c>
    </row>
    <row r="671" spans="1:12">
      <c r="A671" s="42" t="s">
        <v>90</v>
      </c>
      <c r="B671" s="3"/>
      <c r="C671" s="3">
        <v>196</v>
      </c>
      <c r="D671" s="1"/>
      <c r="E671" s="380" t="s">
        <v>88</v>
      </c>
      <c r="F671" s="7" t="s">
        <v>15</v>
      </c>
      <c r="G671" s="7" t="s">
        <v>38</v>
      </c>
      <c r="H671" s="11">
        <v>12.9</v>
      </c>
      <c r="I671" s="8">
        <v>9.6999999999999993</v>
      </c>
      <c r="J671" s="19">
        <v>4</v>
      </c>
      <c r="K671" s="13">
        <v>0.50051999999999996</v>
      </c>
      <c r="L671" s="7" t="s">
        <v>477</v>
      </c>
    </row>
    <row r="672" spans="1:12">
      <c r="A672" s="42" t="s">
        <v>90</v>
      </c>
      <c r="B672" s="3"/>
      <c r="C672" s="3">
        <v>196</v>
      </c>
      <c r="D672" s="1"/>
      <c r="E672" s="380" t="s">
        <v>88</v>
      </c>
      <c r="F672" s="7" t="s">
        <v>15</v>
      </c>
      <c r="G672" s="7" t="s">
        <v>38</v>
      </c>
      <c r="H672" s="11">
        <v>12.9</v>
      </c>
      <c r="I672" s="8">
        <v>8.1</v>
      </c>
      <c r="J672" s="19">
        <v>1</v>
      </c>
      <c r="K672" s="13">
        <v>0.10449</v>
      </c>
      <c r="L672" s="7" t="s">
        <v>477</v>
      </c>
    </row>
    <row r="673" spans="1:12">
      <c r="A673" s="42" t="s">
        <v>90</v>
      </c>
      <c r="B673" s="3"/>
      <c r="C673" s="3">
        <v>196</v>
      </c>
      <c r="D673" s="1"/>
      <c r="E673" s="380" t="s">
        <v>88</v>
      </c>
      <c r="F673" s="7" t="s">
        <v>15</v>
      </c>
      <c r="G673" s="7" t="s">
        <v>38</v>
      </c>
      <c r="H673" s="11">
        <v>12.9</v>
      </c>
      <c r="I673" s="8">
        <v>12</v>
      </c>
      <c r="J673" s="19">
        <v>1</v>
      </c>
      <c r="K673" s="13">
        <v>0.15480000000000002</v>
      </c>
      <c r="L673" s="7" t="s">
        <v>477</v>
      </c>
    </row>
    <row r="674" spans="1:12">
      <c r="A674" s="42" t="s">
        <v>90</v>
      </c>
      <c r="B674" s="3"/>
      <c r="C674" s="3">
        <v>196</v>
      </c>
      <c r="D674" s="1"/>
      <c r="E674" s="380" t="s">
        <v>88</v>
      </c>
      <c r="F674" s="7" t="s">
        <v>15</v>
      </c>
      <c r="G674" s="7" t="s">
        <v>38</v>
      </c>
      <c r="H674" s="11">
        <v>12.9</v>
      </c>
      <c r="I674" s="8">
        <v>6</v>
      </c>
      <c r="J674" s="19">
        <v>1</v>
      </c>
      <c r="K674" s="13">
        <v>7.740000000000001E-2</v>
      </c>
      <c r="L674" s="7" t="s">
        <v>477</v>
      </c>
    </row>
    <row r="675" spans="1:12">
      <c r="A675" s="42" t="s">
        <v>90</v>
      </c>
      <c r="B675" s="3"/>
      <c r="C675" s="3">
        <v>198</v>
      </c>
      <c r="D675" s="1"/>
      <c r="E675" s="12" t="s">
        <v>17</v>
      </c>
      <c r="F675" s="7" t="s">
        <v>15</v>
      </c>
      <c r="G675" s="7" t="s">
        <v>49</v>
      </c>
      <c r="H675" s="11">
        <v>17.82</v>
      </c>
      <c r="I675" s="8">
        <v>5.4</v>
      </c>
      <c r="J675" s="19">
        <v>1</v>
      </c>
      <c r="K675" s="13">
        <v>9.6228000000000008E-2</v>
      </c>
      <c r="L675" s="7" t="s">
        <v>477</v>
      </c>
    </row>
    <row r="676" spans="1:12">
      <c r="A676" s="42" t="s">
        <v>90</v>
      </c>
      <c r="B676" s="3"/>
      <c r="C676" s="3">
        <v>198</v>
      </c>
      <c r="D676" s="1"/>
      <c r="E676" s="12" t="s">
        <v>17</v>
      </c>
      <c r="F676" s="7" t="s">
        <v>15</v>
      </c>
      <c r="G676" s="7" t="s">
        <v>49</v>
      </c>
      <c r="H676" s="11">
        <v>17.82</v>
      </c>
      <c r="I676" s="8">
        <v>5.5</v>
      </c>
      <c r="J676" s="19">
        <v>1</v>
      </c>
      <c r="K676" s="13">
        <v>9.801E-2</v>
      </c>
      <c r="L676" s="7" t="s">
        <v>477</v>
      </c>
    </row>
    <row r="677" spans="1:12">
      <c r="A677" s="42" t="s">
        <v>90</v>
      </c>
      <c r="B677" s="3"/>
      <c r="C677" s="3">
        <v>198</v>
      </c>
      <c r="D677" s="1"/>
      <c r="E677" s="12" t="s">
        <v>17</v>
      </c>
      <c r="F677" s="7" t="s">
        <v>15</v>
      </c>
      <c r="G677" s="7" t="s">
        <v>49</v>
      </c>
      <c r="H677" s="11">
        <v>17.82</v>
      </c>
      <c r="I677" s="8">
        <v>5.7</v>
      </c>
      <c r="J677" s="19">
        <v>1</v>
      </c>
      <c r="K677" s="13">
        <v>0.101574</v>
      </c>
      <c r="L677" s="7" t="s">
        <v>477</v>
      </c>
    </row>
    <row r="678" spans="1:12">
      <c r="A678" s="42" t="s">
        <v>90</v>
      </c>
      <c r="B678" s="3"/>
      <c r="C678" s="3">
        <v>198</v>
      </c>
      <c r="D678" s="1"/>
      <c r="E678" s="12" t="s">
        <v>17</v>
      </c>
      <c r="F678" s="7" t="s">
        <v>15</v>
      </c>
      <c r="G678" s="7" t="s">
        <v>49</v>
      </c>
      <c r="H678" s="11">
        <v>17.82</v>
      </c>
      <c r="I678" s="8">
        <v>5.8</v>
      </c>
      <c r="J678" s="19">
        <v>1</v>
      </c>
      <c r="K678" s="13">
        <v>0.10335599999999999</v>
      </c>
      <c r="L678" s="7" t="s">
        <v>477</v>
      </c>
    </row>
    <row r="679" spans="1:12">
      <c r="A679" s="42" t="s">
        <v>90</v>
      </c>
      <c r="B679" s="3"/>
      <c r="C679" s="3">
        <v>198</v>
      </c>
      <c r="D679" s="1"/>
      <c r="E679" s="12" t="s">
        <v>17</v>
      </c>
      <c r="F679" s="7" t="s">
        <v>15</v>
      </c>
      <c r="G679" s="7" t="s">
        <v>49</v>
      </c>
      <c r="H679" s="11">
        <v>17.82</v>
      </c>
      <c r="I679" s="8">
        <v>6.1</v>
      </c>
      <c r="J679" s="19">
        <v>1</v>
      </c>
      <c r="K679" s="13">
        <v>0.10870199999999999</v>
      </c>
      <c r="L679" s="7" t="s">
        <v>477</v>
      </c>
    </row>
    <row r="680" spans="1:12">
      <c r="A680" s="42" t="s">
        <v>90</v>
      </c>
      <c r="B680" s="3"/>
      <c r="C680" s="3">
        <v>200</v>
      </c>
      <c r="D680" s="1"/>
      <c r="E680" s="380" t="s">
        <v>20</v>
      </c>
      <c r="F680" s="7" t="s">
        <v>15</v>
      </c>
      <c r="G680" s="7" t="s">
        <v>50</v>
      </c>
      <c r="H680" s="11">
        <v>21.7</v>
      </c>
      <c r="I680" s="8">
        <v>6.9</v>
      </c>
      <c r="J680" s="19">
        <v>1</v>
      </c>
      <c r="K680" s="13">
        <v>0.14973</v>
      </c>
      <c r="L680" s="7" t="s">
        <v>477</v>
      </c>
    </row>
    <row r="681" spans="1:12">
      <c r="A681" s="42" t="s">
        <v>90</v>
      </c>
      <c r="B681" s="3"/>
      <c r="C681" s="3">
        <v>200</v>
      </c>
      <c r="D681" s="1"/>
      <c r="E681" s="380" t="s">
        <v>20</v>
      </c>
      <c r="F681" s="7" t="s">
        <v>15</v>
      </c>
      <c r="G681" s="7" t="s">
        <v>50</v>
      </c>
      <c r="H681" s="11">
        <v>21.7</v>
      </c>
      <c r="I681" s="8">
        <v>7</v>
      </c>
      <c r="J681" s="19">
        <v>1</v>
      </c>
      <c r="K681" s="13">
        <v>0.15190000000000001</v>
      </c>
      <c r="L681" s="7" t="s">
        <v>477</v>
      </c>
    </row>
    <row r="682" spans="1:12">
      <c r="A682" s="42" t="s">
        <v>90</v>
      </c>
      <c r="B682" s="3"/>
      <c r="C682" s="3">
        <v>204</v>
      </c>
      <c r="D682" s="1"/>
      <c r="E682" s="107" t="s">
        <v>20</v>
      </c>
      <c r="F682" s="60" t="s">
        <v>15</v>
      </c>
      <c r="G682" s="60" t="s">
        <v>35</v>
      </c>
      <c r="H682" s="61">
        <v>16.579999999999998</v>
      </c>
      <c r="I682" s="60">
        <v>11.4</v>
      </c>
      <c r="J682" s="64">
        <v>2</v>
      </c>
      <c r="K682" s="65">
        <v>0.37802400000000003</v>
      </c>
      <c r="L682" s="7" t="s">
        <v>477</v>
      </c>
    </row>
    <row r="683" spans="1:12">
      <c r="A683" s="42" t="s">
        <v>90</v>
      </c>
      <c r="B683" s="3"/>
      <c r="C683" s="3">
        <v>204</v>
      </c>
      <c r="D683" s="1"/>
      <c r="E683" s="107" t="s">
        <v>20</v>
      </c>
      <c r="F683" s="60" t="s">
        <v>15</v>
      </c>
      <c r="G683" s="60" t="s">
        <v>35</v>
      </c>
      <c r="H683" s="61">
        <v>16.579999999999998</v>
      </c>
      <c r="I683" s="68">
        <v>11.9</v>
      </c>
      <c r="J683" s="64">
        <v>1</v>
      </c>
      <c r="K683" s="65">
        <v>0.19730200000000001</v>
      </c>
      <c r="L683" s="7" t="s">
        <v>477</v>
      </c>
    </row>
    <row r="684" spans="1:12">
      <c r="A684" s="42" t="s">
        <v>90</v>
      </c>
      <c r="B684" s="3"/>
      <c r="C684" s="3"/>
      <c r="D684" s="1"/>
      <c r="E684" s="380"/>
      <c r="F684" s="7" t="s">
        <v>15</v>
      </c>
      <c r="G684" s="7" t="s">
        <v>35</v>
      </c>
      <c r="H684" s="11">
        <v>16.579999999999998</v>
      </c>
      <c r="I684" s="31">
        <v>10.050000000000001</v>
      </c>
      <c r="J684" s="19">
        <v>1</v>
      </c>
      <c r="K684" s="13">
        <v>0.166629</v>
      </c>
      <c r="L684" s="7" t="s">
        <v>477</v>
      </c>
    </row>
    <row r="685" spans="1:12">
      <c r="A685" s="42" t="s">
        <v>90</v>
      </c>
      <c r="B685" s="3"/>
      <c r="C685" s="3">
        <v>208</v>
      </c>
      <c r="D685" s="1"/>
      <c r="E685" s="380" t="s">
        <v>20</v>
      </c>
      <c r="F685" s="7" t="s">
        <v>15</v>
      </c>
      <c r="G685" s="7" t="s">
        <v>47</v>
      </c>
      <c r="H685" s="11">
        <v>15</v>
      </c>
      <c r="I685" s="31">
        <v>11</v>
      </c>
      <c r="J685" s="19">
        <v>1</v>
      </c>
      <c r="K685" s="13">
        <v>0.16500000000000001</v>
      </c>
      <c r="L685" s="7" t="s">
        <v>477</v>
      </c>
    </row>
    <row r="686" spans="1:12">
      <c r="A686" s="42" t="s">
        <v>90</v>
      </c>
      <c r="B686" s="7"/>
      <c r="C686" s="3">
        <v>208</v>
      </c>
      <c r="D686" s="1"/>
      <c r="E686" s="380" t="s">
        <v>20</v>
      </c>
      <c r="F686" s="7" t="s">
        <v>15</v>
      </c>
      <c r="G686" s="7" t="s">
        <v>99</v>
      </c>
      <c r="H686" s="11">
        <v>18.2</v>
      </c>
      <c r="I686" s="31">
        <v>7</v>
      </c>
      <c r="J686" s="19">
        <v>1</v>
      </c>
      <c r="K686" s="13">
        <v>0.12739999999999999</v>
      </c>
      <c r="L686" s="7" t="s">
        <v>477</v>
      </c>
    </row>
    <row r="687" spans="1:12">
      <c r="A687" s="42" t="s">
        <v>90</v>
      </c>
      <c r="B687" s="3"/>
      <c r="C687" s="3">
        <v>209</v>
      </c>
      <c r="D687" s="1"/>
      <c r="E687" s="380" t="s">
        <v>20</v>
      </c>
      <c r="F687" s="7" t="s">
        <v>15</v>
      </c>
      <c r="G687" s="7" t="s">
        <v>41</v>
      </c>
      <c r="H687" s="11">
        <v>11.8</v>
      </c>
      <c r="I687" s="52">
        <v>12</v>
      </c>
      <c r="J687" s="19">
        <v>1</v>
      </c>
      <c r="K687" s="13">
        <v>0.14160000000000003</v>
      </c>
      <c r="L687" s="7" t="s">
        <v>477</v>
      </c>
    </row>
    <row r="688" spans="1:12">
      <c r="A688" s="42" t="s">
        <v>90</v>
      </c>
      <c r="B688" s="3"/>
      <c r="C688" s="3">
        <v>211</v>
      </c>
      <c r="D688" s="1"/>
      <c r="E688" s="12" t="s">
        <v>20</v>
      </c>
      <c r="F688" s="7" t="s">
        <v>15</v>
      </c>
      <c r="G688" s="7" t="s">
        <v>35</v>
      </c>
      <c r="H688" s="11">
        <v>16.579999999999998</v>
      </c>
      <c r="I688" s="8">
        <v>8.3000000000000007</v>
      </c>
      <c r="J688" s="19">
        <v>4</v>
      </c>
      <c r="K688" s="13">
        <v>0.55045600000000006</v>
      </c>
      <c r="L688" s="7" t="s">
        <v>477</v>
      </c>
    </row>
    <row r="689" spans="1:12">
      <c r="A689" s="42" t="s">
        <v>90</v>
      </c>
      <c r="B689" s="3"/>
      <c r="C689" s="3">
        <v>215</v>
      </c>
      <c r="D689" s="1"/>
      <c r="E689" s="12" t="s">
        <v>20</v>
      </c>
      <c r="F689" s="7" t="s">
        <v>15</v>
      </c>
      <c r="G689" s="7" t="s">
        <v>43</v>
      </c>
      <c r="H689" s="11">
        <v>15.04</v>
      </c>
      <c r="I689" s="8">
        <v>5.7</v>
      </c>
      <c r="J689" s="19">
        <v>1</v>
      </c>
      <c r="K689" s="13">
        <v>8.5727999999999999E-2</v>
      </c>
      <c r="L689" s="7" t="s">
        <v>477</v>
      </c>
    </row>
    <row r="690" spans="1:12">
      <c r="A690" s="42" t="s">
        <v>90</v>
      </c>
      <c r="B690" s="3"/>
      <c r="C690" s="3">
        <v>216</v>
      </c>
      <c r="D690" s="1"/>
      <c r="E690" s="12" t="s">
        <v>20</v>
      </c>
      <c r="F690" s="7" t="s">
        <v>15</v>
      </c>
      <c r="G690" s="7" t="s">
        <v>47</v>
      </c>
      <c r="H690" s="11">
        <v>15</v>
      </c>
      <c r="I690" s="8">
        <v>11.3</v>
      </c>
      <c r="J690" s="19">
        <v>1</v>
      </c>
      <c r="K690" s="13">
        <v>0.16950000000000001</v>
      </c>
      <c r="L690" s="7" t="s">
        <v>477</v>
      </c>
    </row>
    <row r="691" spans="1:12">
      <c r="A691" s="42" t="s">
        <v>90</v>
      </c>
      <c r="B691" s="3"/>
      <c r="C691" s="3">
        <v>216</v>
      </c>
      <c r="D691" s="1"/>
      <c r="E691" s="12" t="s">
        <v>20</v>
      </c>
      <c r="F691" s="7" t="s">
        <v>15</v>
      </c>
      <c r="G691" s="7" t="s">
        <v>47</v>
      </c>
      <c r="H691" s="11">
        <v>15</v>
      </c>
      <c r="I691" s="8">
        <v>8.3000000000000007</v>
      </c>
      <c r="J691" s="19">
        <v>1</v>
      </c>
      <c r="K691" s="13">
        <v>0.12450000000000001</v>
      </c>
      <c r="L691" s="7" t="s">
        <v>477</v>
      </c>
    </row>
    <row r="692" spans="1:12">
      <c r="A692" s="42" t="s">
        <v>90</v>
      </c>
      <c r="B692" s="3"/>
      <c r="C692" s="3">
        <v>216</v>
      </c>
      <c r="D692" s="1"/>
      <c r="E692" s="12" t="s">
        <v>20</v>
      </c>
      <c r="F692" s="7" t="s">
        <v>15</v>
      </c>
      <c r="G692" s="7" t="s">
        <v>47</v>
      </c>
      <c r="H692" s="11">
        <v>15</v>
      </c>
      <c r="I692" s="8">
        <v>9.8000000000000007</v>
      </c>
      <c r="J692" s="19">
        <v>1</v>
      </c>
      <c r="K692" s="13">
        <v>0.14699999999999999</v>
      </c>
      <c r="L692" s="7" t="s">
        <v>477</v>
      </c>
    </row>
    <row r="693" spans="1:12">
      <c r="A693" s="42" t="s">
        <v>90</v>
      </c>
      <c r="B693" s="3"/>
      <c r="C693" s="3">
        <v>216</v>
      </c>
      <c r="D693" s="1"/>
      <c r="E693" s="12" t="s">
        <v>20</v>
      </c>
      <c r="F693" s="7" t="s">
        <v>15</v>
      </c>
      <c r="G693" s="7" t="s">
        <v>47</v>
      </c>
      <c r="H693" s="11">
        <v>15</v>
      </c>
      <c r="I693" s="8">
        <v>8</v>
      </c>
      <c r="J693" s="19">
        <v>1</v>
      </c>
      <c r="K693" s="13">
        <v>0.12</v>
      </c>
      <c r="L693" s="7" t="s">
        <v>477</v>
      </c>
    </row>
    <row r="694" spans="1:12">
      <c r="A694" s="42" t="s">
        <v>90</v>
      </c>
      <c r="B694" s="3"/>
      <c r="C694" s="3">
        <v>217</v>
      </c>
      <c r="D694" s="1"/>
      <c r="E694" s="12" t="s">
        <v>20</v>
      </c>
      <c r="F694" s="7" t="s">
        <v>15</v>
      </c>
      <c r="G694" s="7" t="s">
        <v>22</v>
      </c>
      <c r="H694" s="11">
        <v>10.73</v>
      </c>
      <c r="I694" s="8">
        <v>7.4</v>
      </c>
      <c r="J694" s="19">
        <v>1</v>
      </c>
      <c r="K694" s="13">
        <v>7.9402E-2</v>
      </c>
      <c r="L694" s="7" t="s">
        <v>477</v>
      </c>
    </row>
    <row r="695" spans="1:12">
      <c r="A695" s="42" t="s">
        <v>90</v>
      </c>
      <c r="B695" s="3"/>
      <c r="C695" s="3">
        <v>218</v>
      </c>
      <c r="D695" s="1"/>
      <c r="E695" s="12" t="s">
        <v>20</v>
      </c>
      <c r="F695" s="7" t="s">
        <v>15</v>
      </c>
      <c r="G695" s="7" t="s">
        <v>35</v>
      </c>
      <c r="H695" s="11">
        <v>16.579999999999998</v>
      </c>
      <c r="I695" s="8">
        <v>12</v>
      </c>
      <c r="J695" s="19">
        <v>2</v>
      </c>
      <c r="K695" s="53">
        <v>0.39791999999999994</v>
      </c>
      <c r="L695" s="7" t="s">
        <v>477</v>
      </c>
    </row>
    <row r="696" spans="1:12">
      <c r="A696" s="42" t="s">
        <v>90</v>
      </c>
      <c r="B696" s="3"/>
      <c r="C696" s="3">
        <v>218</v>
      </c>
      <c r="D696" s="1"/>
      <c r="E696" s="12" t="s">
        <v>20</v>
      </c>
      <c r="F696" s="7" t="s">
        <v>15</v>
      </c>
      <c r="G696" s="7" t="s">
        <v>35</v>
      </c>
      <c r="H696" s="11">
        <v>16.579999999999998</v>
      </c>
      <c r="I696" s="8">
        <v>6.2</v>
      </c>
      <c r="J696" s="19">
        <v>1</v>
      </c>
      <c r="K696" s="13">
        <v>0.102796</v>
      </c>
      <c r="L696" s="7" t="s">
        <v>477</v>
      </c>
    </row>
    <row r="697" spans="1:12">
      <c r="A697" s="42" t="s">
        <v>90</v>
      </c>
      <c r="B697" s="3"/>
      <c r="C697" s="3">
        <v>227</v>
      </c>
      <c r="D697" s="1"/>
      <c r="E697" s="12" t="s">
        <v>106</v>
      </c>
      <c r="F697" s="7" t="s">
        <v>15</v>
      </c>
      <c r="G697" s="7" t="s">
        <v>30</v>
      </c>
      <c r="H697" s="11">
        <v>9.26</v>
      </c>
      <c r="I697" s="184">
        <v>10.75</v>
      </c>
      <c r="J697" s="19">
        <v>3</v>
      </c>
      <c r="K697" s="13">
        <v>0.29863499999999998</v>
      </c>
      <c r="L697" s="7" t="s">
        <v>477</v>
      </c>
    </row>
    <row r="698" spans="1:12">
      <c r="A698" s="42" t="s">
        <v>90</v>
      </c>
      <c r="B698" s="3"/>
      <c r="C698" s="3">
        <v>228</v>
      </c>
      <c r="D698" s="1" t="s">
        <v>98</v>
      </c>
      <c r="E698" s="12" t="s">
        <v>107</v>
      </c>
      <c r="F698" s="7" t="s">
        <v>15</v>
      </c>
      <c r="G698" s="7" t="s">
        <v>43</v>
      </c>
      <c r="H698" s="11">
        <v>15.04</v>
      </c>
      <c r="I698" s="8">
        <v>10</v>
      </c>
      <c r="J698" s="19">
        <v>1</v>
      </c>
      <c r="K698" s="13">
        <v>0.15039999999999998</v>
      </c>
      <c r="L698" s="7" t="s">
        <v>477</v>
      </c>
    </row>
    <row r="699" spans="1:12">
      <c r="A699" s="42" t="s">
        <v>90</v>
      </c>
      <c r="B699" s="3"/>
      <c r="C699" s="3">
        <v>228</v>
      </c>
      <c r="D699" s="1" t="s">
        <v>98</v>
      </c>
      <c r="E699" s="12" t="s">
        <v>107</v>
      </c>
      <c r="F699" s="7" t="s">
        <v>15</v>
      </c>
      <c r="G699" s="7" t="s">
        <v>43</v>
      </c>
      <c r="H699" s="11">
        <v>15.04</v>
      </c>
      <c r="I699" s="8">
        <v>11.9</v>
      </c>
      <c r="J699" s="19">
        <v>1</v>
      </c>
      <c r="K699" s="13">
        <v>0.178976</v>
      </c>
      <c r="L699" s="7" t="s">
        <v>477</v>
      </c>
    </row>
    <row r="700" spans="1:12">
      <c r="A700" s="42" t="s">
        <v>90</v>
      </c>
      <c r="B700" s="3"/>
      <c r="C700" s="3">
        <v>229</v>
      </c>
      <c r="D700" s="1"/>
      <c r="E700" s="12" t="s">
        <v>19</v>
      </c>
      <c r="F700" s="7" t="s">
        <v>14</v>
      </c>
      <c r="G700" s="7" t="s">
        <v>22</v>
      </c>
      <c r="H700" s="11">
        <v>10.73</v>
      </c>
      <c r="I700" s="8">
        <v>5.3</v>
      </c>
      <c r="J700" s="19">
        <v>1</v>
      </c>
      <c r="K700" s="13">
        <v>5.6869000000000003E-2</v>
      </c>
      <c r="L700" s="7" t="s">
        <v>477</v>
      </c>
    </row>
    <row r="701" spans="1:12">
      <c r="A701" s="42" t="s">
        <v>90</v>
      </c>
      <c r="B701" s="3"/>
      <c r="C701" s="3">
        <v>229</v>
      </c>
      <c r="D701" s="1"/>
      <c r="E701" s="12" t="s">
        <v>19</v>
      </c>
      <c r="F701" s="7" t="s">
        <v>14</v>
      </c>
      <c r="G701" s="7" t="s">
        <v>22</v>
      </c>
      <c r="H701" s="11">
        <v>10.73</v>
      </c>
      <c r="I701" s="8">
        <v>5</v>
      </c>
      <c r="J701" s="19">
        <v>1</v>
      </c>
      <c r="K701" s="13">
        <v>5.3650000000000003E-2</v>
      </c>
      <c r="L701" s="7" t="s">
        <v>477</v>
      </c>
    </row>
    <row r="702" spans="1:12">
      <c r="A702" s="42" t="s">
        <v>90</v>
      </c>
      <c r="B702" s="3"/>
      <c r="C702" s="3">
        <v>230</v>
      </c>
      <c r="D702" s="1"/>
      <c r="E702" s="12" t="s">
        <v>19</v>
      </c>
      <c r="F702" s="7" t="s">
        <v>14</v>
      </c>
      <c r="G702" s="7" t="s">
        <v>45</v>
      </c>
      <c r="H702" s="11">
        <v>13.6</v>
      </c>
      <c r="I702" s="8">
        <v>7.8</v>
      </c>
      <c r="J702" s="19">
        <v>9</v>
      </c>
      <c r="K702" s="13">
        <v>0.95472000000000001</v>
      </c>
      <c r="L702" s="7" t="s">
        <v>477</v>
      </c>
    </row>
    <row r="703" spans="1:12">
      <c r="A703" s="42" t="s">
        <v>90</v>
      </c>
      <c r="B703" s="3"/>
      <c r="C703" s="3">
        <v>230</v>
      </c>
      <c r="D703" s="1"/>
      <c r="E703" s="12" t="s">
        <v>19</v>
      </c>
      <c r="F703" s="7" t="s">
        <v>14</v>
      </c>
      <c r="G703" s="7" t="s">
        <v>45</v>
      </c>
      <c r="H703" s="11">
        <v>13.6</v>
      </c>
      <c r="I703" s="8">
        <v>6.5</v>
      </c>
      <c r="J703" s="19">
        <v>1</v>
      </c>
      <c r="K703" s="13">
        <v>8.8399999999999992E-2</v>
      </c>
      <c r="L703" s="7" t="s">
        <v>477</v>
      </c>
    </row>
    <row r="704" spans="1:12">
      <c r="A704" s="42" t="s">
        <v>90</v>
      </c>
      <c r="B704" s="3"/>
      <c r="C704" s="3">
        <v>230</v>
      </c>
      <c r="D704" s="1"/>
      <c r="E704" s="12" t="s">
        <v>19</v>
      </c>
      <c r="F704" s="7" t="s">
        <v>14</v>
      </c>
      <c r="G704" s="7" t="s">
        <v>45</v>
      </c>
      <c r="H704" s="11">
        <v>13.6</v>
      </c>
      <c r="I704" s="8">
        <v>7.4</v>
      </c>
      <c r="J704" s="19">
        <v>1</v>
      </c>
      <c r="K704" s="13">
        <v>0.10064000000000001</v>
      </c>
      <c r="L704" s="7" t="s">
        <v>477</v>
      </c>
    </row>
    <row r="705" spans="1:12">
      <c r="A705" s="42" t="s">
        <v>90</v>
      </c>
      <c r="B705" s="3"/>
      <c r="C705" s="3">
        <v>230</v>
      </c>
      <c r="D705" s="1"/>
      <c r="E705" s="12" t="s">
        <v>19</v>
      </c>
      <c r="F705" s="7" t="s">
        <v>14</v>
      </c>
      <c r="G705" s="7" t="s">
        <v>45</v>
      </c>
      <c r="H705" s="11">
        <v>13.6</v>
      </c>
      <c r="I705" s="8">
        <v>9</v>
      </c>
      <c r="J705" s="19">
        <v>1</v>
      </c>
      <c r="K705" s="13">
        <v>0.12239999999999999</v>
      </c>
      <c r="L705" s="7" t="s">
        <v>477</v>
      </c>
    </row>
    <row r="706" spans="1:12">
      <c r="A706" s="42" t="s">
        <v>90</v>
      </c>
      <c r="B706" s="3"/>
      <c r="C706" s="3">
        <v>230</v>
      </c>
      <c r="D706" s="1"/>
      <c r="E706" s="12" t="s">
        <v>19</v>
      </c>
      <c r="F706" s="7" t="s">
        <v>14</v>
      </c>
      <c r="G706" s="7" t="s">
        <v>45</v>
      </c>
      <c r="H706" s="11">
        <v>13.6</v>
      </c>
      <c r="I706" s="8">
        <v>6.4</v>
      </c>
      <c r="J706" s="19">
        <v>1</v>
      </c>
      <c r="K706" s="13">
        <v>8.7040000000000006E-2</v>
      </c>
      <c r="L706" s="7" t="s">
        <v>477</v>
      </c>
    </row>
    <row r="707" spans="1:12">
      <c r="A707" s="42" t="s">
        <v>90</v>
      </c>
      <c r="B707" s="3"/>
      <c r="C707" s="3">
        <v>232</v>
      </c>
      <c r="D707" s="1"/>
      <c r="E707" s="12" t="s">
        <v>20</v>
      </c>
      <c r="F707" s="7" t="s">
        <v>15</v>
      </c>
      <c r="G707" s="7" t="s">
        <v>45</v>
      </c>
      <c r="H707" s="11">
        <v>13.6</v>
      </c>
      <c r="I707" s="8">
        <v>6.5</v>
      </c>
      <c r="J707" s="19">
        <v>1</v>
      </c>
      <c r="K707" s="13">
        <v>8.8399999999999992E-2</v>
      </c>
      <c r="L707" s="7" t="s">
        <v>477</v>
      </c>
    </row>
    <row r="708" spans="1:12">
      <c r="A708" s="42" t="s">
        <v>90</v>
      </c>
      <c r="B708" s="3"/>
      <c r="C708" s="3">
        <v>233</v>
      </c>
      <c r="D708" s="1"/>
      <c r="E708" s="12" t="s">
        <v>20</v>
      </c>
      <c r="F708" s="7" t="s">
        <v>15</v>
      </c>
      <c r="G708" s="7" t="s">
        <v>31</v>
      </c>
      <c r="H708" s="11">
        <v>9.65</v>
      </c>
      <c r="I708" s="8">
        <v>6.5</v>
      </c>
      <c r="J708" s="19">
        <v>1</v>
      </c>
      <c r="K708" s="13">
        <v>6.2725000000000003E-2</v>
      </c>
      <c r="L708" s="7" t="s">
        <v>477</v>
      </c>
    </row>
    <row r="709" spans="1:12">
      <c r="A709" s="42" t="s">
        <v>90</v>
      </c>
      <c r="B709" s="3"/>
      <c r="C709" s="3">
        <v>234</v>
      </c>
      <c r="D709" s="1"/>
      <c r="E709" s="12" t="s">
        <v>19</v>
      </c>
      <c r="F709" s="7" t="s">
        <v>14</v>
      </c>
      <c r="G709" s="7" t="s">
        <v>45</v>
      </c>
      <c r="H709" s="11">
        <v>13.6</v>
      </c>
      <c r="I709" s="8">
        <v>6.3</v>
      </c>
      <c r="J709" s="19">
        <v>1</v>
      </c>
      <c r="K709" s="13">
        <v>8.5679999999999992E-2</v>
      </c>
      <c r="L709" s="7" t="s">
        <v>477</v>
      </c>
    </row>
    <row r="710" spans="1:12">
      <c r="A710" s="42" t="s">
        <v>90</v>
      </c>
      <c r="B710" s="3"/>
      <c r="C710" s="3">
        <v>234</v>
      </c>
      <c r="D710" s="1"/>
      <c r="E710" s="12" t="s">
        <v>19</v>
      </c>
      <c r="F710" s="7" t="s">
        <v>14</v>
      </c>
      <c r="G710" s="7" t="s">
        <v>45</v>
      </c>
      <c r="H710" s="11">
        <v>13.6</v>
      </c>
      <c r="I710" s="8">
        <v>8.6999999999999993</v>
      </c>
      <c r="J710" s="19">
        <v>1</v>
      </c>
      <c r="K710" s="13">
        <v>0.11831999999999999</v>
      </c>
      <c r="L710" s="7" t="s">
        <v>477</v>
      </c>
    </row>
    <row r="711" spans="1:12">
      <c r="A711" s="42" t="s">
        <v>90</v>
      </c>
      <c r="B711" s="3"/>
      <c r="C711" s="3">
        <v>234</v>
      </c>
      <c r="D711" s="1"/>
      <c r="E711" s="12" t="s">
        <v>19</v>
      </c>
      <c r="F711" s="7" t="s">
        <v>14</v>
      </c>
      <c r="G711" s="7" t="s">
        <v>45</v>
      </c>
      <c r="H711" s="11">
        <v>13.6</v>
      </c>
      <c r="I711" s="8">
        <v>7</v>
      </c>
      <c r="J711" s="19">
        <v>2</v>
      </c>
      <c r="K711" s="13">
        <v>0.19040000000000001</v>
      </c>
      <c r="L711" s="7" t="s">
        <v>477</v>
      </c>
    </row>
    <row r="712" spans="1:12">
      <c r="A712" s="42" t="s">
        <v>90</v>
      </c>
      <c r="B712" s="3"/>
      <c r="C712" s="3">
        <v>234</v>
      </c>
      <c r="D712" s="1"/>
      <c r="E712" s="12" t="s">
        <v>19</v>
      </c>
      <c r="F712" s="7" t="s">
        <v>14</v>
      </c>
      <c r="G712" s="7" t="s">
        <v>45</v>
      </c>
      <c r="H712" s="11">
        <v>13.6</v>
      </c>
      <c r="I712" s="8">
        <v>7.2</v>
      </c>
      <c r="J712" s="19">
        <v>1</v>
      </c>
      <c r="K712" s="13">
        <v>9.7920000000000007E-2</v>
      </c>
      <c r="L712" s="7" t="s">
        <v>477</v>
      </c>
    </row>
    <row r="713" spans="1:12">
      <c r="A713" s="42" t="s">
        <v>90</v>
      </c>
      <c r="B713" s="3"/>
      <c r="C713" s="3">
        <v>234</v>
      </c>
      <c r="D713" s="1"/>
      <c r="E713" s="12" t="s">
        <v>19</v>
      </c>
      <c r="F713" s="7" t="s">
        <v>14</v>
      </c>
      <c r="G713" s="7" t="s">
        <v>45</v>
      </c>
      <c r="H713" s="11">
        <v>13.6</v>
      </c>
      <c r="I713" s="8">
        <v>7.5</v>
      </c>
      <c r="J713" s="19">
        <v>1</v>
      </c>
      <c r="K713" s="13">
        <v>0.10199999999999999</v>
      </c>
      <c r="L713" s="7" t="s">
        <v>477</v>
      </c>
    </row>
    <row r="714" spans="1:12">
      <c r="A714" s="42" t="s">
        <v>90</v>
      </c>
      <c r="B714" s="3"/>
      <c r="C714" s="3">
        <v>234</v>
      </c>
      <c r="D714" s="1"/>
      <c r="E714" s="12" t="s">
        <v>19</v>
      </c>
      <c r="F714" s="7" t="s">
        <v>14</v>
      </c>
      <c r="G714" s="7" t="s">
        <v>45</v>
      </c>
      <c r="H714" s="11">
        <v>13.6</v>
      </c>
      <c r="I714" s="8">
        <v>6</v>
      </c>
      <c r="J714" s="19">
        <v>1</v>
      </c>
      <c r="K714" s="13">
        <v>8.1599999999999992E-2</v>
      </c>
      <c r="L714" s="7" t="s">
        <v>477</v>
      </c>
    </row>
    <row r="715" spans="1:12">
      <c r="A715" s="42" t="s">
        <v>90</v>
      </c>
      <c r="B715" s="3"/>
      <c r="C715" s="3">
        <v>237</v>
      </c>
      <c r="D715" s="1" t="s">
        <v>98</v>
      </c>
      <c r="E715" s="12" t="s">
        <v>20</v>
      </c>
      <c r="F715" s="7" t="s">
        <v>15</v>
      </c>
      <c r="G715" s="7" t="s">
        <v>33</v>
      </c>
      <c r="H715" s="11">
        <v>15.92</v>
      </c>
      <c r="I715" s="8">
        <v>9.1</v>
      </c>
      <c r="J715" s="19">
        <v>1</v>
      </c>
      <c r="K715" s="13">
        <v>0.14487199999999997</v>
      </c>
      <c r="L715" s="7" t="s">
        <v>477</v>
      </c>
    </row>
    <row r="716" spans="1:12">
      <c r="A716" s="42" t="s">
        <v>90</v>
      </c>
      <c r="B716" s="3"/>
      <c r="C716" s="3">
        <v>237</v>
      </c>
      <c r="D716" s="1" t="s">
        <v>98</v>
      </c>
      <c r="E716" s="12" t="s">
        <v>20</v>
      </c>
      <c r="F716" s="7" t="s">
        <v>15</v>
      </c>
      <c r="G716" s="7" t="s">
        <v>33</v>
      </c>
      <c r="H716" s="11">
        <v>15.92</v>
      </c>
      <c r="I716" s="8">
        <v>8.58</v>
      </c>
      <c r="J716" s="19">
        <v>1</v>
      </c>
      <c r="K716" s="13">
        <v>0.13659360000000001</v>
      </c>
      <c r="L716" s="7" t="s">
        <v>477</v>
      </c>
    </row>
    <row r="717" spans="1:12">
      <c r="A717" s="42" t="s">
        <v>90</v>
      </c>
      <c r="B717" s="3"/>
      <c r="C717" s="3">
        <v>244</v>
      </c>
      <c r="D717" s="1"/>
      <c r="E717" s="12" t="s">
        <v>88</v>
      </c>
      <c r="F717" s="7" t="s">
        <v>15</v>
      </c>
      <c r="G717" s="7" t="s">
        <v>49</v>
      </c>
      <c r="H717" s="11">
        <v>17.82</v>
      </c>
      <c r="I717" s="8">
        <v>6.6</v>
      </c>
      <c r="J717" s="19">
        <v>15</v>
      </c>
      <c r="K717" s="13">
        <v>1.7641800000000001</v>
      </c>
      <c r="L717" s="7" t="s">
        <v>477</v>
      </c>
    </row>
    <row r="718" spans="1:12">
      <c r="A718" s="47" t="s">
        <v>147</v>
      </c>
      <c r="B718" s="48" t="s">
        <v>148</v>
      </c>
      <c r="C718" s="7">
        <v>257</v>
      </c>
      <c r="D718" s="7"/>
      <c r="E718" s="48" t="s">
        <v>89</v>
      </c>
      <c r="F718" s="48" t="s">
        <v>160</v>
      </c>
      <c r="G718" s="48" t="s">
        <v>29</v>
      </c>
      <c r="H718" s="11">
        <v>10.92</v>
      </c>
      <c r="I718" s="52">
        <v>11.7</v>
      </c>
      <c r="J718" s="19">
        <v>2</v>
      </c>
      <c r="K718" s="13">
        <v>0.25552799999999998</v>
      </c>
      <c r="L718" s="7" t="s">
        <v>477</v>
      </c>
    </row>
    <row r="719" spans="1:12">
      <c r="A719" s="47" t="s">
        <v>147</v>
      </c>
      <c r="B719" s="48" t="s">
        <v>148</v>
      </c>
      <c r="C719" s="7">
        <v>269</v>
      </c>
      <c r="D719" s="7"/>
      <c r="E719" s="48" t="s">
        <v>19</v>
      </c>
      <c r="F719" s="48" t="s">
        <v>14</v>
      </c>
      <c r="G719" s="48" t="s">
        <v>22</v>
      </c>
      <c r="H719" s="11">
        <v>10.73</v>
      </c>
      <c r="I719" s="8">
        <v>6.3</v>
      </c>
      <c r="J719" s="19">
        <v>9</v>
      </c>
      <c r="K719" s="13">
        <v>0.60839100000000002</v>
      </c>
      <c r="L719" s="7" t="s">
        <v>477</v>
      </c>
    </row>
    <row r="720" spans="1:12">
      <c r="A720" s="47" t="s">
        <v>147</v>
      </c>
      <c r="B720" s="48" t="s">
        <v>148</v>
      </c>
      <c r="C720" s="7">
        <v>270</v>
      </c>
      <c r="D720" s="7" t="s">
        <v>93</v>
      </c>
      <c r="E720" s="48" t="s">
        <v>89</v>
      </c>
      <c r="F720" s="48" t="s">
        <v>160</v>
      </c>
      <c r="G720" s="48" t="s">
        <v>47</v>
      </c>
      <c r="H720" s="11">
        <v>15</v>
      </c>
      <c r="I720" s="52">
        <v>8.1999999999999993</v>
      </c>
      <c r="J720" s="19">
        <v>13</v>
      </c>
      <c r="K720" s="13">
        <v>1.599</v>
      </c>
      <c r="L720" s="7" t="s">
        <v>477</v>
      </c>
    </row>
    <row r="721" spans="1:12">
      <c r="A721" s="47" t="s">
        <v>147</v>
      </c>
      <c r="B721" s="48" t="s">
        <v>148</v>
      </c>
      <c r="C721" s="7">
        <v>270</v>
      </c>
      <c r="D721" s="7" t="s">
        <v>93</v>
      </c>
      <c r="E721" s="48" t="s">
        <v>89</v>
      </c>
      <c r="F721" s="48" t="s">
        <v>160</v>
      </c>
      <c r="G721" s="48" t="s">
        <v>47</v>
      </c>
      <c r="H721" s="11">
        <v>15</v>
      </c>
      <c r="I721" s="52">
        <v>6.9</v>
      </c>
      <c r="J721" s="19">
        <v>6</v>
      </c>
      <c r="K721" s="13">
        <v>0.62100000000000011</v>
      </c>
      <c r="L721" s="7" t="s">
        <v>477</v>
      </c>
    </row>
    <row r="722" spans="1:12">
      <c r="A722" s="47" t="s">
        <v>147</v>
      </c>
      <c r="B722" s="48" t="s">
        <v>148</v>
      </c>
      <c r="C722" s="7">
        <v>270</v>
      </c>
      <c r="D722" s="7" t="s">
        <v>93</v>
      </c>
      <c r="E722" s="48" t="s">
        <v>89</v>
      </c>
      <c r="F722" s="48" t="s">
        <v>160</v>
      </c>
      <c r="G722" s="48" t="s">
        <v>47</v>
      </c>
      <c r="H722" s="11">
        <v>15</v>
      </c>
      <c r="I722" s="52">
        <v>12</v>
      </c>
      <c r="J722" s="19">
        <v>7</v>
      </c>
      <c r="K722" s="13">
        <v>1.26</v>
      </c>
      <c r="L722" s="7" t="s">
        <v>477</v>
      </c>
    </row>
    <row r="723" spans="1:12">
      <c r="A723" s="47" t="s">
        <v>147</v>
      </c>
      <c r="B723" s="48" t="s">
        <v>148</v>
      </c>
      <c r="C723" s="7">
        <v>271</v>
      </c>
      <c r="D723" s="7"/>
      <c r="E723" s="48" t="s">
        <v>19</v>
      </c>
      <c r="F723" s="48" t="s">
        <v>14</v>
      </c>
      <c r="G723" s="48" t="s">
        <v>44</v>
      </c>
      <c r="H723" s="11">
        <v>13.4</v>
      </c>
      <c r="I723" s="52">
        <v>11.5</v>
      </c>
      <c r="J723" s="19">
        <v>2</v>
      </c>
      <c r="K723" s="13">
        <v>0.30819999999999997</v>
      </c>
      <c r="L723" s="7" t="s">
        <v>477</v>
      </c>
    </row>
    <row r="724" spans="1:12">
      <c r="A724" s="47" t="s">
        <v>147</v>
      </c>
      <c r="B724" s="48" t="s">
        <v>148</v>
      </c>
      <c r="C724" s="7">
        <v>271</v>
      </c>
      <c r="D724" s="7"/>
      <c r="E724" s="48" t="s">
        <v>19</v>
      </c>
      <c r="F724" s="48" t="s">
        <v>14</v>
      </c>
      <c r="G724" s="48" t="s">
        <v>44</v>
      </c>
      <c r="H724" s="11">
        <v>13.4</v>
      </c>
      <c r="I724" s="52">
        <v>11</v>
      </c>
      <c r="J724" s="19">
        <v>1</v>
      </c>
      <c r="K724" s="13">
        <v>0.1474</v>
      </c>
      <c r="L724" s="7" t="s">
        <v>477</v>
      </c>
    </row>
    <row r="725" spans="1:12">
      <c r="A725" s="47" t="s">
        <v>147</v>
      </c>
      <c r="B725" s="48" t="s">
        <v>148</v>
      </c>
      <c r="C725" s="7">
        <v>276</v>
      </c>
      <c r="D725" s="7"/>
      <c r="E725" s="48" t="s">
        <v>24</v>
      </c>
      <c r="F725" s="48" t="s">
        <v>14</v>
      </c>
      <c r="G725" s="48" t="s">
        <v>32</v>
      </c>
      <c r="H725" s="11">
        <v>8.3000000000000007</v>
      </c>
      <c r="I725" s="52">
        <v>6.1</v>
      </c>
      <c r="J725" s="19">
        <v>2</v>
      </c>
      <c r="K725" s="13">
        <v>0.10126</v>
      </c>
      <c r="L725" s="7" t="s">
        <v>477</v>
      </c>
    </row>
    <row r="726" spans="1:12">
      <c r="A726" s="47" t="s">
        <v>147</v>
      </c>
      <c r="B726" s="48" t="s">
        <v>148</v>
      </c>
      <c r="C726" s="7">
        <v>292</v>
      </c>
      <c r="D726" s="7" t="s">
        <v>142</v>
      </c>
      <c r="E726" s="12" t="s">
        <v>75</v>
      </c>
      <c r="F726" s="48" t="s">
        <v>15</v>
      </c>
      <c r="G726" s="48" t="s">
        <v>32</v>
      </c>
      <c r="H726" s="11">
        <v>8.3000000000000007</v>
      </c>
      <c r="I726" s="52">
        <v>10.8</v>
      </c>
      <c r="J726" s="19">
        <v>2</v>
      </c>
      <c r="K726" s="13">
        <v>0.17928000000000002</v>
      </c>
      <c r="L726" s="7" t="s">
        <v>477</v>
      </c>
    </row>
    <row r="727" spans="1:12">
      <c r="A727" s="47" t="s">
        <v>147</v>
      </c>
      <c r="B727" s="48" t="s">
        <v>148</v>
      </c>
      <c r="C727" s="7">
        <v>304</v>
      </c>
      <c r="D727" s="7"/>
      <c r="E727" s="48" t="s">
        <v>17</v>
      </c>
      <c r="F727" s="48" t="s">
        <v>160</v>
      </c>
      <c r="G727" s="48" t="s">
        <v>30</v>
      </c>
      <c r="H727" s="11">
        <v>9.26</v>
      </c>
      <c r="I727" s="184">
        <v>6.8</v>
      </c>
      <c r="J727" s="19">
        <v>3</v>
      </c>
      <c r="K727" s="13">
        <v>0.18890399999999999</v>
      </c>
      <c r="L727" s="7" t="s">
        <v>477</v>
      </c>
    </row>
    <row r="728" spans="1:12">
      <c r="A728" s="47" t="s">
        <v>147</v>
      </c>
      <c r="B728" s="48" t="s">
        <v>148</v>
      </c>
      <c r="C728" s="7">
        <v>315</v>
      </c>
      <c r="D728" s="7"/>
      <c r="E728" s="48" t="s">
        <v>161</v>
      </c>
      <c r="F728" s="48" t="s">
        <v>14</v>
      </c>
      <c r="G728" s="48" t="s">
        <v>23</v>
      </c>
      <c r="H728" s="11">
        <v>9</v>
      </c>
      <c r="I728" s="52">
        <v>11.55</v>
      </c>
      <c r="J728" s="19">
        <v>1</v>
      </c>
      <c r="K728" s="13">
        <v>0.10395</v>
      </c>
      <c r="L728" s="7" t="s">
        <v>477</v>
      </c>
    </row>
    <row r="729" spans="1:12">
      <c r="A729" s="47" t="s">
        <v>147</v>
      </c>
      <c r="B729" s="48" t="s">
        <v>148</v>
      </c>
      <c r="C729" s="7">
        <v>315</v>
      </c>
      <c r="D729" s="7"/>
      <c r="E729" s="48" t="s">
        <v>161</v>
      </c>
      <c r="F729" s="48" t="s">
        <v>14</v>
      </c>
      <c r="G729" s="48" t="s">
        <v>23</v>
      </c>
      <c r="H729" s="11">
        <v>9</v>
      </c>
      <c r="I729" s="52">
        <v>10.75</v>
      </c>
      <c r="J729" s="19">
        <v>1</v>
      </c>
      <c r="K729" s="13">
        <v>9.6750000000000003E-2</v>
      </c>
      <c r="L729" s="7" t="s">
        <v>477</v>
      </c>
    </row>
    <row r="730" spans="1:12">
      <c r="A730" s="47" t="s">
        <v>147</v>
      </c>
      <c r="B730" s="48" t="s">
        <v>148</v>
      </c>
      <c r="C730" s="7">
        <v>315</v>
      </c>
      <c r="D730" s="7"/>
      <c r="E730" s="48" t="s">
        <v>161</v>
      </c>
      <c r="F730" s="48" t="s">
        <v>14</v>
      </c>
      <c r="G730" s="48" t="s">
        <v>23</v>
      </c>
      <c r="H730" s="11">
        <v>9</v>
      </c>
      <c r="I730" s="52">
        <v>9.5</v>
      </c>
      <c r="J730" s="19">
        <v>3</v>
      </c>
      <c r="K730" s="13">
        <v>0.25650000000000001</v>
      </c>
      <c r="L730" s="7" t="s">
        <v>477</v>
      </c>
    </row>
    <row r="731" spans="1:12">
      <c r="A731" s="47" t="s">
        <v>147</v>
      </c>
      <c r="B731" s="48" t="s">
        <v>148</v>
      </c>
      <c r="C731" s="7">
        <v>315</v>
      </c>
      <c r="D731" s="7"/>
      <c r="E731" s="48" t="s">
        <v>161</v>
      </c>
      <c r="F731" s="48" t="s">
        <v>14</v>
      </c>
      <c r="G731" s="48" t="s">
        <v>23</v>
      </c>
      <c r="H731" s="11">
        <v>9</v>
      </c>
      <c r="I731" s="52">
        <v>9</v>
      </c>
      <c r="J731" s="19">
        <v>1</v>
      </c>
      <c r="K731" s="13">
        <v>8.1000000000000003E-2</v>
      </c>
      <c r="L731" s="7" t="s">
        <v>477</v>
      </c>
    </row>
    <row r="732" spans="1:12">
      <c r="A732" s="47" t="s">
        <v>147</v>
      </c>
      <c r="B732" s="48" t="s">
        <v>148</v>
      </c>
      <c r="C732" s="7">
        <v>315</v>
      </c>
      <c r="D732" s="7"/>
      <c r="E732" s="48" t="s">
        <v>161</v>
      </c>
      <c r="F732" s="48" t="s">
        <v>14</v>
      </c>
      <c r="G732" s="48" t="s">
        <v>23</v>
      </c>
      <c r="H732" s="11">
        <v>9</v>
      </c>
      <c r="I732" s="52">
        <v>8.1</v>
      </c>
      <c r="J732" s="19">
        <v>1</v>
      </c>
      <c r="K732" s="13">
        <v>7.2899999999999993E-2</v>
      </c>
      <c r="L732" s="7" t="s">
        <v>477</v>
      </c>
    </row>
    <row r="733" spans="1:12">
      <c r="A733" s="47" t="s">
        <v>147</v>
      </c>
      <c r="B733" s="48" t="s">
        <v>148</v>
      </c>
      <c r="C733" s="7">
        <v>316</v>
      </c>
      <c r="D733" s="7"/>
      <c r="E733" s="48" t="s">
        <v>161</v>
      </c>
      <c r="F733" s="48" t="s">
        <v>14</v>
      </c>
      <c r="G733" s="48" t="s">
        <v>18</v>
      </c>
      <c r="H733" s="11">
        <v>6.86</v>
      </c>
      <c r="I733" s="52">
        <v>7.5</v>
      </c>
      <c r="J733" s="19">
        <v>1</v>
      </c>
      <c r="K733" s="13">
        <v>5.1450000000000003E-2</v>
      </c>
      <c r="L733" s="7" t="s">
        <v>477</v>
      </c>
    </row>
    <row r="734" spans="1:12">
      <c r="A734" s="47" t="s">
        <v>147</v>
      </c>
      <c r="B734" s="48" t="s">
        <v>148</v>
      </c>
      <c r="C734" s="7">
        <v>318</v>
      </c>
      <c r="D734" s="7"/>
      <c r="E734" s="48" t="s">
        <v>161</v>
      </c>
      <c r="F734" s="48" t="s">
        <v>14</v>
      </c>
      <c r="G734" s="48" t="s">
        <v>23</v>
      </c>
      <c r="H734" s="11">
        <v>9</v>
      </c>
      <c r="I734" s="52">
        <v>6.52</v>
      </c>
      <c r="J734" s="19">
        <v>28</v>
      </c>
      <c r="K734" s="13">
        <v>1.6430400000000001</v>
      </c>
      <c r="L734" s="7" t="s">
        <v>477</v>
      </c>
    </row>
    <row r="735" spans="1:12">
      <c r="A735" s="47" t="s">
        <v>147</v>
      </c>
      <c r="B735" s="48" t="s">
        <v>148</v>
      </c>
      <c r="C735" s="7">
        <v>319</v>
      </c>
      <c r="D735" s="7"/>
      <c r="E735" s="48" t="s">
        <v>161</v>
      </c>
      <c r="F735" s="48" t="s">
        <v>14</v>
      </c>
      <c r="G735" s="48" t="s">
        <v>23</v>
      </c>
      <c r="H735" s="11">
        <v>9</v>
      </c>
      <c r="I735" s="52">
        <v>8</v>
      </c>
      <c r="J735" s="19">
        <v>2</v>
      </c>
      <c r="K735" s="13">
        <v>0.14399999999999999</v>
      </c>
      <c r="L735" s="7" t="s">
        <v>477</v>
      </c>
    </row>
    <row r="736" spans="1:12">
      <c r="A736" s="47" t="s">
        <v>147</v>
      </c>
      <c r="B736" s="48" t="s">
        <v>148</v>
      </c>
      <c r="C736" s="7">
        <v>319</v>
      </c>
      <c r="D736" s="7"/>
      <c r="E736" s="48" t="s">
        <v>161</v>
      </c>
      <c r="F736" s="48" t="s">
        <v>14</v>
      </c>
      <c r="G736" s="48" t="s">
        <v>23</v>
      </c>
      <c r="H736" s="11">
        <v>9</v>
      </c>
      <c r="I736" s="52">
        <v>8.5</v>
      </c>
      <c r="J736" s="19">
        <v>4</v>
      </c>
      <c r="K736" s="13">
        <v>0.30599999999999999</v>
      </c>
      <c r="L736" s="7" t="s">
        <v>477</v>
      </c>
    </row>
    <row r="737" spans="1:12">
      <c r="A737" s="47" t="s">
        <v>147</v>
      </c>
      <c r="B737" s="48" t="s">
        <v>148</v>
      </c>
      <c r="C737" s="7">
        <v>319</v>
      </c>
      <c r="D737" s="7"/>
      <c r="E737" s="48" t="s">
        <v>161</v>
      </c>
      <c r="F737" s="48" t="s">
        <v>14</v>
      </c>
      <c r="G737" s="48" t="s">
        <v>23</v>
      </c>
      <c r="H737" s="11">
        <v>9</v>
      </c>
      <c r="I737" s="52">
        <v>9</v>
      </c>
      <c r="J737" s="19">
        <v>2</v>
      </c>
      <c r="K737" s="13">
        <v>0.16200000000000001</v>
      </c>
      <c r="L737" s="7" t="s">
        <v>477</v>
      </c>
    </row>
    <row r="738" spans="1:12">
      <c r="A738" s="47" t="s">
        <v>147</v>
      </c>
      <c r="B738" s="48" t="s">
        <v>148</v>
      </c>
      <c r="C738" s="7" t="s">
        <v>162</v>
      </c>
      <c r="D738" s="7"/>
      <c r="E738" s="48" t="s">
        <v>17</v>
      </c>
      <c r="F738" s="48" t="s">
        <v>160</v>
      </c>
      <c r="G738" s="48" t="s">
        <v>30</v>
      </c>
      <c r="H738" s="11">
        <v>9.26</v>
      </c>
      <c r="I738" s="184">
        <v>6.95</v>
      </c>
      <c r="J738" s="19">
        <v>3</v>
      </c>
      <c r="K738" s="13">
        <v>0.19307099999999999</v>
      </c>
      <c r="L738" s="7" t="s">
        <v>477</v>
      </c>
    </row>
    <row r="739" spans="1:12">
      <c r="A739" s="47" t="s">
        <v>147</v>
      </c>
      <c r="B739" s="48" t="s">
        <v>148</v>
      </c>
      <c r="C739" s="7">
        <v>344</v>
      </c>
      <c r="D739" s="7"/>
      <c r="E739" s="48" t="s">
        <v>19</v>
      </c>
      <c r="F739" s="48" t="s">
        <v>14</v>
      </c>
      <c r="G739" s="48" t="s">
        <v>16</v>
      </c>
      <c r="H739" s="11">
        <v>5.77</v>
      </c>
      <c r="I739" s="52">
        <v>6</v>
      </c>
      <c r="J739" s="19">
        <v>2</v>
      </c>
      <c r="K739" s="13">
        <v>6.9239999999999996E-2</v>
      </c>
      <c r="L739" s="7" t="s">
        <v>477</v>
      </c>
    </row>
    <row r="740" spans="1:12">
      <c r="A740" s="47" t="s">
        <v>147</v>
      </c>
      <c r="B740" s="48" t="s">
        <v>148</v>
      </c>
      <c r="C740" s="7">
        <v>350</v>
      </c>
      <c r="D740" s="7"/>
      <c r="E740" s="48" t="s">
        <v>20</v>
      </c>
      <c r="F740" s="48" t="s">
        <v>160</v>
      </c>
      <c r="G740" s="48" t="s">
        <v>35</v>
      </c>
      <c r="H740" s="11">
        <v>16.579999999999998</v>
      </c>
      <c r="I740" s="52">
        <v>8.15</v>
      </c>
      <c r="J740" s="19">
        <v>17</v>
      </c>
      <c r="K740" s="13">
        <v>2.2971590000000002</v>
      </c>
      <c r="L740" s="7" t="s">
        <v>477</v>
      </c>
    </row>
    <row r="741" spans="1:12">
      <c r="A741" s="47" t="s">
        <v>147</v>
      </c>
      <c r="B741" s="48" t="s">
        <v>148</v>
      </c>
      <c r="C741" s="7">
        <v>352</v>
      </c>
      <c r="D741" s="7"/>
      <c r="E741" s="12" t="s">
        <v>75</v>
      </c>
      <c r="F741" s="48" t="s">
        <v>160</v>
      </c>
      <c r="G741" s="48" t="s">
        <v>25</v>
      </c>
      <c r="H741" s="11">
        <v>7.34</v>
      </c>
      <c r="I741" s="52">
        <v>9.5</v>
      </c>
      <c r="J741" s="19">
        <v>1</v>
      </c>
      <c r="K741" s="13">
        <v>6.973E-2</v>
      </c>
      <c r="L741" s="7" t="s">
        <v>477</v>
      </c>
    </row>
    <row r="742" spans="1:12">
      <c r="A742" s="47" t="s">
        <v>147</v>
      </c>
      <c r="B742" s="48" t="s">
        <v>148</v>
      </c>
      <c r="C742" s="7">
        <v>352</v>
      </c>
      <c r="D742" s="7"/>
      <c r="E742" s="12" t="s">
        <v>75</v>
      </c>
      <c r="F742" s="48" t="s">
        <v>160</v>
      </c>
      <c r="G742" s="48" t="s">
        <v>25</v>
      </c>
      <c r="H742" s="11">
        <v>7.34</v>
      </c>
      <c r="I742" s="52">
        <v>9.8000000000000007</v>
      </c>
      <c r="J742" s="19">
        <v>1</v>
      </c>
      <c r="K742" s="13">
        <v>7.1931999999999996E-2</v>
      </c>
      <c r="L742" s="7" t="s">
        <v>477</v>
      </c>
    </row>
    <row r="743" spans="1:12">
      <c r="A743" s="47" t="s">
        <v>147</v>
      </c>
      <c r="B743" s="48" t="s">
        <v>148</v>
      </c>
      <c r="C743" s="7">
        <v>354</v>
      </c>
      <c r="D743" s="7"/>
      <c r="E743" s="48" t="s">
        <v>163</v>
      </c>
      <c r="F743" s="48" t="s">
        <v>160</v>
      </c>
      <c r="G743" s="48" t="s">
        <v>25</v>
      </c>
      <c r="H743" s="11">
        <v>7.34</v>
      </c>
      <c r="I743" s="8">
        <v>10.9</v>
      </c>
      <c r="J743" s="19">
        <v>1</v>
      </c>
      <c r="K743" s="13">
        <v>8.0005999999999994E-2</v>
      </c>
      <c r="L743" s="7" t="s">
        <v>477</v>
      </c>
    </row>
    <row r="744" spans="1:12">
      <c r="A744" s="47" t="s">
        <v>147</v>
      </c>
      <c r="B744" s="48" t="s">
        <v>148</v>
      </c>
      <c r="C744" s="7">
        <v>362</v>
      </c>
      <c r="D744" s="7"/>
      <c r="E744" s="48" t="s">
        <v>163</v>
      </c>
      <c r="F744" s="48" t="s">
        <v>160</v>
      </c>
      <c r="G744" s="48" t="s">
        <v>149</v>
      </c>
      <c r="H744" s="53">
        <v>6.39</v>
      </c>
      <c r="I744" s="52">
        <v>6.5</v>
      </c>
      <c r="J744" s="19">
        <v>1</v>
      </c>
      <c r="K744" s="13">
        <v>4.1534999999999996E-2</v>
      </c>
      <c r="L744" s="7" t="s">
        <v>477</v>
      </c>
    </row>
    <row r="745" spans="1:12">
      <c r="A745" s="47" t="s">
        <v>147</v>
      </c>
      <c r="B745" s="48" t="s">
        <v>148</v>
      </c>
      <c r="C745" s="7">
        <v>362</v>
      </c>
      <c r="D745" s="7"/>
      <c r="E745" s="48" t="s">
        <v>163</v>
      </c>
      <c r="F745" s="48" t="s">
        <v>160</v>
      </c>
      <c r="G745" s="48" t="s">
        <v>149</v>
      </c>
      <c r="H745" s="53">
        <v>6.39</v>
      </c>
      <c r="I745" s="52">
        <v>8</v>
      </c>
      <c r="J745" s="19">
        <v>1</v>
      </c>
      <c r="K745" s="13">
        <v>5.1119999999999999E-2</v>
      </c>
      <c r="L745" s="7" t="s">
        <v>477</v>
      </c>
    </row>
    <row r="746" spans="1:12">
      <c r="A746" s="47" t="s">
        <v>147</v>
      </c>
      <c r="B746" s="48" t="s">
        <v>148</v>
      </c>
      <c r="C746" s="7">
        <v>362</v>
      </c>
      <c r="D746" s="7"/>
      <c r="E746" s="48" t="s">
        <v>163</v>
      </c>
      <c r="F746" s="48" t="s">
        <v>160</v>
      </c>
      <c r="G746" s="48" t="s">
        <v>149</v>
      </c>
      <c r="H746" s="53">
        <v>6.39</v>
      </c>
      <c r="I746" s="52">
        <v>9</v>
      </c>
      <c r="J746" s="19">
        <v>1</v>
      </c>
      <c r="K746" s="13">
        <v>5.7509999999999999E-2</v>
      </c>
      <c r="L746" s="7" t="s">
        <v>477</v>
      </c>
    </row>
    <row r="747" spans="1:12">
      <c r="A747" s="47" t="s">
        <v>147</v>
      </c>
      <c r="B747" s="48" t="s">
        <v>148</v>
      </c>
      <c r="C747" s="7">
        <v>362</v>
      </c>
      <c r="D747" s="7"/>
      <c r="E747" s="48" t="s">
        <v>163</v>
      </c>
      <c r="F747" s="48" t="s">
        <v>160</v>
      </c>
      <c r="G747" s="48" t="s">
        <v>149</v>
      </c>
      <c r="H747" s="53">
        <v>6.39</v>
      </c>
      <c r="I747" s="52">
        <v>10.5</v>
      </c>
      <c r="J747" s="19">
        <v>2</v>
      </c>
      <c r="K747" s="13">
        <v>0.13419</v>
      </c>
      <c r="L747" s="7" t="s">
        <v>477</v>
      </c>
    </row>
    <row r="748" spans="1:12">
      <c r="A748" s="47" t="s">
        <v>147</v>
      </c>
      <c r="B748" s="48" t="s">
        <v>148</v>
      </c>
      <c r="C748" s="7">
        <v>362</v>
      </c>
      <c r="D748" s="7"/>
      <c r="E748" s="48" t="s">
        <v>163</v>
      </c>
      <c r="F748" s="48" t="s">
        <v>160</v>
      </c>
      <c r="G748" s="48" t="s">
        <v>149</v>
      </c>
      <c r="H748" s="53">
        <v>6.39</v>
      </c>
      <c r="I748" s="52">
        <v>12</v>
      </c>
      <c r="J748" s="19">
        <v>2</v>
      </c>
      <c r="K748" s="13">
        <v>0.15336</v>
      </c>
      <c r="L748" s="7" t="s">
        <v>477</v>
      </c>
    </row>
    <row r="749" spans="1:12">
      <c r="A749" s="47" t="s">
        <v>147</v>
      </c>
      <c r="B749" s="48" t="s">
        <v>148</v>
      </c>
      <c r="C749" s="7">
        <v>365</v>
      </c>
      <c r="D749" s="7" t="s">
        <v>142</v>
      </c>
      <c r="E749" s="48" t="s">
        <v>163</v>
      </c>
      <c r="F749" s="48" t="s">
        <v>160</v>
      </c>
      <c r="G749" s="48" t="s">
        <v>144</v>
      </c>
      <c r="H749" s="53">
        <v>5.38</v>
      </c>
      <c r="I749" s="52">
        <v>10</v>
      </c>
      <c r="J749" s="19">
        <v>6</v>
      </c>
      <c r="K749" s="13">
        <v>0.32280000000000003</v>
      </c>
      <c r="L749" s="7" t="s">
        <v>477</v>
      </c>
    </row>
    <row r="750" spans="1:12">
      <c r="A750" s="47" t="s">
        <v>147</v>
      </c>
      <c r="B750" s="48" t="s">
        <v>148</v>
      </c>
      <c r="C750" s="7">
        <v>365</v>
      </c>
      <c r="D750" s="7" t="s">
        <v>142</v>
      </c>
      <c r="E750" s="48" t="s">
        <v>89</v>
      </c>
      <c r="F750" s="48" t="s">
        <v>160</v>
      </c>
      <c r="G750" s="48" t="s">
        <v>144</v>
      </c>
      <c r="H750" s="53">
        <v>5.38</v>
      </c>
      <c r="I750" s="52">
        <v>9.5</v>
      </c>
      <c r="J750" s="19">
        <v>4</v>
      </c>
      <c r="K750" s="13">
        <v>0.20444000000000001</v>
      </c>
      <c r="L750" s="7" t="s">
        <v>477</v>
      </c>
    </row>
    <row r="751" spans="1:12">
      <c r="A751" s="47" t="s">
        <v>147</v>
      </c>
      <c r="B751" s="48" t="s">
        <v>148</v>
      </c>
      <c r="C751" s="7">
        <v>365</v>
      </c>
      <c r="D751" s="7" t="s">
        <v>142</v>
      </c>
      <c r="E751" s="48" t="s">
        <v>89</v>
      </c>
      <c r="F751" s="48" t="s">
        <v>160</v>
      </c>
      <c r="G751" s="48" t="s">
        <v>144</v>
      </c>
      <c r="H751" s="53">
        <v>5.38</v>
      </c>
      <c r="I751" s="52">
        <v>9</v>
      </c>
      <c r="J751" s="19">
        <v>3</v>
      </c>
      <c r="K751" s="13">
        <v>0.14526</v>
      </c>
      <c r="L751" s="7" t="s">
        <v>477</v>
      </c>
    </row>
    <row r="752" spans="1:12">
      <c r="A752" s="47" t="s">
        <v>147</v>
      </c>
      <c r="B752" s="48" t="s">
        <v>148</v>
      </c>
      <c r="C752" s="7">
        <v>365</v>
      </c>
      <c r="D752" s="7" t="s">
        <v>142</v>
      </c>
      <c r="E752" s="48" t="s">
        <v>89</v>
      </c>
      <c r="F752" s="48" t="s">
        <v>160</v>
      </c>
      <c r="G752" s="48" t="s">
        <v>144</v>
      </c>
      <c r="H752" s="53">
        <v>5.38</v>
      </c>
      <c r="I752" s="52">
        <v>8.5</v>
      </c>
      <c r="J752" s="19">
        <v>1</v>
      </c>
      <c r="K752" s="13">
        <v>4.573E-2</v>
      </c>
      <c r="L752" s="7" t="s">
        <v>477</v>
      </c>
    </row>
    <row r="753" spans="1:12">
      <c r="A753" s="47" t="s">
        <v>147</v>
      </c>
      <c r="B753" s="48" t="s">
        <v>148</v>
      </c>
      <c r="C753" s="7">
        <v>365</v>
      </c>
      <c r="D753" s="7" t="s">
        <v>142</v>
      </c>
      <c r="E753" s="48" t="s">
        <v>89</v>
      </c>
      <c r="F753" s="48" t="s">
        <v>160</v>
      </c>
      <c r="G753" s="48" t="s">
        <v>144</v>
      </c>
      <c r="H753" s="53">
        <v>5.38</v>
      </c>
      <c r="I753" s="52">
        <v>7.8</v>
      </c>
      <c r="J753" s="19">
        <v>1</v>
      </c>
      <c r="K753" s="13">
        <v>4.1964000000000001E-2</v>
      </c>
      <c r="L753" s="7" t="s">
        <v>477</v>
      </c>
    </row>
    <row r="754" spans="1:12">
      <c r="A754" s="47" t="s">
        <v>147</v>
      </c>
      <c r="B754" s="48" t="s">
        <v>148</v>
      </c>
      <c r="C754" s="7">
        <v>362</v>
      </c>
      <c r="D754" s="7"/>
      <c r="E754" s="48" t="s">
        <v>24</v>
      </c>
      <c r="F754" s="48" t="s">
        <v>14</v>
      </c>
      <c r="G754" s="48" t="s">
        <v>44</v>
      </c>
      <c r="H754" s="11">
        <v>13.4</v>
      </c>
      <c r="I754" s="8">
        <v>10.199999999999999</v>
      </c>
      <c r="J754" s="19">
        <v>3</v>
      </c>
      <c r="K754" s="13">
        <v>0.41003999999999996</v>
      </c>
      <c r="L754" s="7" t="s">
        <v>477</v>
      </c>
    </row>
    <row r="755" spans="1:12">
      <c r="A755" s="47" t="s">
        <v>147</v>
      </c>
      <c r="B755" s="48" t="s">
        <v>148</v>
      </c>
      <c r="C755" s="7">
        <v>364</v>
      </c>
      <c r="D755" s="7" t="s">
        <v>142</v>
      </c>
      <c r="E755" s="48" t="s">
        <v>89</v>
      </c>
      <c r="F755" s="48" t="s">
        <v>160</v>
      </c>
      <c r="G755" s="48" t="s">
        <v>18</v>
      </c>
      <c r="H755" s="11">
        <v>6.86</v>
      </c>
      <c r="I755" s="52">
        <v>9.5</v>
      </c>
      <c r="J755" s="19">
        <v>2</v>
      </c>
      <c r="K755" s="13">
        <v>0.13034000000000001</v>
      </c>
      <c r="L755" s="7" t="s">
        <v>477</v>
      </c>
    </row>
    <row r="756" spans="1:12">
      <c r="A756" s="47" t="s">
        <v>147</v>
      </c>
      <c r="B756" s="48" t="s">
        <v>148</v>
      </c>
      <c r="C756" s="7">
        <v>368</v>
      </c>
      <c r="D756" s="7"/>
      <c r="E756" s="48" t="s">
        <v>159</v>
      </c>
      <c r="F756" s="48" t="s">
        <v>14</v>
      </c>
      <c r="G756" s="48" t="s">
        <v>29</v>
      </c>
      <c r="H756" s="11">
        <v>10.92</v>
      </c>
      <c r="I756" s="52">
        <v>9.8000000000000007</v>
      </c>
      <c r="J756" s="19">
        <v>1</v>
      </c>
      <c r="K756" s="13">
        <v>0.107016</v>
      </c>
      <c r="L756" s="7" t="s">
        <v>477</v>
      </c>
    </row>
    <row r="757" spans="1:12">
      <c r="A757" s="47" t="s">
        <v>147</v>
      </c>
      <c r="B757" s="48" t="s">
        <v>148</v>
      </c>
      <c r="C757" s="7">
        <v>368</v>
      </c>
      <c r="D757" s="7"/>
      <c r="E757" s="48" t="s">
        <v>159</v>
      </c>
      <c r="F757" s="48" t="s">
        <v>14</v>
      </c>
      <c r="G757" s="48" t="s">
        <v>29</v>
      </c>
      <c r="H757" s="11">
        <v>10.92</v>
      </c>
      <c r="I757" s="52">
        <v>9.6</v>
      </c>
      <c r="J757" s="19">
        <v>2</v>
      </c>
      <c r="K757" s="13">
        <v>0.20966399999999999</v>
      </c>
      <c r="L757" s="7" t="s">
        <v>477</v>
      </c>
    </row>
    <row r="758" spans="1:12">
      <c r="A758" s="47" t="s">
        <v>147</v>
      </c>
      <c r="B758" s="48" t="s">
        <v>148</v>
      </c>
      <c r="C758" s="7">
        <v>368</v>
      </c>
      <c r="D758" s="7"/>
      <c r="E758" s="48" t="s">
        <v>159</v>
      </c>
      <c r="F758" s="48" t="s">
        <v>14</v>
      </c>
      <c r="G758" s="48" t="s">
        <v>29</v>
      </c>
      <c r="H758" s="11">
        <v>10.92</v>
      </c>
      <c r="I758" s="52">
        <v>9.4</v>
      </c>
      <c r="J758" s="19">
        <v>1</v>
      </c>
      <c r="K758" s="13">
        <v>0.10264799999999999</v>
      </c>
      <c r="L758" s="7" t="s">
        <v>477</v>
      </c>
    </row>
    <row r="759" spans="1:12">
      <c r="A759" s="47" t="s">
        <v>147</v>
      </c>
      <c r="B759" s="48" t="s">
        <v>148</v>
      </c>
      <c r="C759" s="7">
        <v>364</v>
      </c>
      <c r="D759" s="7"/>
      <c r="E759" s="48" t="s">
        <v>159</v>
      </c>
      <c r="F759" s="48" t="s">
        <v>14</v>
      </c>
      <c r="G759" s="48" t="s">
        <v>32</v>
      </c>
      <c r="H759" s="11">
        <v>8.3000000000000007</v>
      </c>
      <c r="I759" s="52">
        <v>9.5</v>
      </c>
      <c r="J759" s="19">
        <v>2</v>
      </c>
      <c r="K759" s="13">
        <v>0.15770000000000001</v>
      </c>
      <c r="L759" s="7" t="s">
        <v>477</v>
      </c>
    </row>
    <row r="760" spans="1:12">
      <c r="A760" s="47" t="s">
        <v>147</v>
      </c>
      <c r="B760" s="48" t="s">
        <v>148</v>
      </c>
      <c r="C760" s="7">
        <v>364</v>
      </c>
      <c r="D760" s="7"/>
      <c r="E760" s="48" t="s">
        <v>159</v>
      </c>
      <c r="F760" s="48" t="s">
        <v>14</v>
      </c>
      <c r="G760" s="48" t="s">
        <v>32</v>
      </c>
      <c r="H760" s="11">
        <v>8.3000000000000007</v>
      </c>
      <c r="I760" s="52">
        <v>10</v>
      </c>
      <c r="J760" s="19">
        <v>2</v>
      </c>
      <c r="K760" s="13">
        <v>0.16600000000000001</v>
      </c>
      <c r="L760" s="7" t="s">
        <v>477</v>
      </c>
    </row>
    <row r="761" spans="1:12">
      <c r="A761" s="47" t="s">
        <v>147</v>
      </c>
      <c r="B761" s="48" t="s">
        <v>148</v>
      </c>
      <c r="C761" s="7">
        <v>367</v>
      </c>
      <c r="D761" s="7"/>
      <c r="E761" s="48" t="s">
        <v>19</v>
      </c>
      <c r="F761" s="48" t="s">
        <v>14</v>
      </c>
      <c r="G761" s="48" t="s">
        <v>39</v>
      </c>
      <c r="H761" s="11">
        <v>14.66</v>
      </c>
      <c r="I761" s="52">
        <v>8.4</v>
      </c>
      <c r="J761" s="19">
        <v>10</v>
      </c>
      <c r="K761" s="13">
        <v>1.2314400000000001</v>
      </c>
      <c r="L761" s="7" t="s">
        <v>477</v>
      </c>
    </row>
    <row r="762" spans="1:12">
      <c r="A762" s="47" t="s">
        <v>147</v>
      </c>
      <c r="B762" s="48" t="s">
        <v>148</v>
      </c>
      <c r="C762" s="7">
        <v>370</v>
      </c>
      <c r="D762" s="7"/>
      <c r="E762" s="48" t="s">
        <v>106</v>
      </c>
      <c r="F762" s="48" t="s">
        <v>160</v>
      </c>
      <c r="G762" s="48" t="s">
        <v>40</v>
      </c>
      <c r="H762" s="11">
        <v>16.5</v>
      </c>
      <c r="I762" s="8">
        <v>7.5</v>
      </c>
      <c r="J762" s="19">
        <v>2</v>
      </c>
      <c r="K762" s="13">
        <v>0.2475</v>
      </c>
      <c r="L762" s="7" t="s">
        <v>477</v>
      </c>
    </row>
    <row r="763" spans="1:12">
      <c r="A763" s="47" t="s">
        <v>147</v>
      </c>
      <c r="B763" s="48" t="s">
        <v>148</v>
      </c>
      <c r="C763" s="7">
        <v>370</v>
      </c>
      <c r="D763" s="7"/>
      <c r="E763" s="48" t="s">
        <v>106</v>
      </c>
      <c r="F763" s="48" t="s">
        <v>160</v>
      </c>
      <c r="G763" s="48" t="s">
        <v>40</v>
      </c>
      <c r="H763" s="11">
        <v>16.5</v>
      </c>
      <c r="I763" s="8">
        <v>7.3</v>
      </c>
      <c r="J763" s="19">
        <v>1</v>
      </c>
      <c r="K763" s="13">
        <v>0.12045</v>
      </c>
      <c r="L763" s="7" t="s">
        <v>477</v>
      </c>
    </row>
    <row r="764" spans="1:12">
      <c r="A764" s="47" t="s">
        <v>147</v>
      </c>
      <c r="B764" s="48" t="s">
        <v>148</v>
      </c>
      <c r="C764" s="7">
        <v>370</v>
      </c>
      <c r="D764" s="7"/>
      <c r="E764" s="48" t="s">
        <v>106</v>
      </c>
      <c r="F764" s="48" t="s">
        <v>160</v>
      </c>
      <c r="G764" s="48" t="s">
        <v>40</v>
      </c>
      <c r="H764" s="11">
        <v>16.5</v>
      </c>
      <c r="I764" s="8">
        <v>7.4</v>
      </c>
      <c r="J764" s="19">
        <v>1</v>
      </c>
      <c r="K764" s="13">
        <v>0.12210000000000001</v>
      </c>
      <c r="L764" s="7" t="s">
        <v>477</v>
      </c>
    </row>
    <row r="765" spans="1:12">
      <c r="A765" s="47" t="s">
        <v>147</v>
      </c>
      <c r="B765" s="48" t="s">
        <v>148</v>
      </c>
      <c r="C765" s="7">
        <v>274</v>
      </c>
      <c r="D765" s="7"/>
      <c r="E765" s="48" t="s">
        <v>17</v>
      </c>
      <c r="F765" s="48" t="s">
        <v>160</v>
      </c>
      <c r="G765" s="48" t="s">
        <v>27</v>
      </c>
      <c r="H765" s="11">
        <v>6.17</v>
      </c>
      <c r="I765" s="8">
        <v>7.6</v>
      </c>
      <c r="J765" s="19">
        <v>1</v>
      </c>
      <c r="K765" s="13">
        <v>4.6891999999999996E-2</v>
      </c>
      <c r="L765" s="7" t="s">
        <v>477</v>
      </c>
    </row>
    <row r="766" spans="1:12">
      <c r="A766" s="47" t="s">
        <v>147</v>
      </c>
      <c r="B766" s="48" t="s">
        <v>148</v>
      </c>
      <c r="C766" s="7">
        <v>274</v>
      </c>
      <c r="D766" s="7"/>
      <c r="E766" s="48" t="s">
        <v>17</v>
      </c>
      <c r="F766" s="48" t="s">
        <v>160</v>
      </c>
      <c r="G766" s="48" t="s">
        <v>27</v>
      </c>
      <c r="H766" s="11">
        <v>6.17</v>
      </c>
      <c r="I766" s="8">
        <v>9.9</v>
      </c>
      <c r="J766" s="19">
        <v>1</v>
      </c>
      <c r="K766" s="13">
        <v>6.1082999999999998E-2</v>
      </c>
      <c r="L766" s="7" t="s">
        <v>477</v>
      </c>
    </row>
    <row r="767" spans="1:12">
      <c r="A767" s="47" t="s">
        <v>147</v>
      </c>
      <c r="B767" s="48" t="s">
        <v>148</v>
      </c>
      <c r="C767" s="7">
        <v>274</v>
      </c>
      <c r="D767" s="7"/>
      <c r="E767" s="48" t="s">
        <v>17</v>
      </c>
      <c r="F767" s="48" t="s">
        <v>160</v>
      </c>
      <c r="G767" s="48" t="s">
        <v>27</v>
      </c>
      <c r="H767" s="11">
        <v>6.17</v>
      </c>
      <c r="I767" s="8">
        <v>9.6</v>
      </c>
      <c r="J767" s="19">
        <v>1</v>
      </c>
      <c r="K767" s="13">
        <v>5.9232E-2</v>
      </c>
      <c r="L767" s="7" t="s">
        <v>477</v>
      </c>
    </row>
    <row r="768" spans="1:12">
      <c r="A768" s="47" t="s">
        <v>147</v>
      </c>
      <c r="B768" s="48" t="s">
        <v>148</v>
      </c>
      <c r="C768" s="7">
        <v>276</v>
      </c>
      <c r="D768" s="7"/>
      <c r="E768" s="48" t="s">
        <v>24</v>
      </c>
      <c r="F768" s="48" t="s">
        <v>14</v>
      </c>
      <c r="G768" s="48" t="s">
        <v>40</v>
      </c>
      <c r="H768" s="11">
        <v>16.5</v>
      </c>
      <c r="I768" s="52">
        <v>9.35</v>
      </c>
      <c r="J768" s="19">
        <v>1</v>
      </c>
      <c r="K768" s="13">
        <v>0.154275</v>
      </c>
      <c r="L768" s="7" t="s">
        <v>477</v>
      </c>
    </row>
    <row r="769" spans="1:12">
      <c r="A769" s="47" t="s">
        <v>147</v>
      </c>
      <c r="B769" s="48" t="s">
        <v>148</v>
      </c>
      <c r="C769" s="7">
        <v>278</v>
      </c>
      <c r="D769" s="7"/>
      <c r="E769" s="48" t="s">
        <v>24</v>
      </c>
      <c r="F769" s="48" t="s">
        <v>14</v>
      </c>
      <c r="G769" s="48" t="s">
        <v>16</v>
      </c>
      <c r="H769" s="11">
        <v>5.77</v>
      </c>
      <c r="I769" s="52">
        <v>11.65</v>
      </c>
      <c r="J769" s="19">
        <v>1</v>
      </c>
      <c r="K769" s="13">
        <v>6.7220500000000002E-2</v>
      </c>
      <c r="L769" s="7" t="s">
        <v>477</v>
      </c>
    </row>
    <row r="770" spans="1:12">
      <c r="A770" s="47" t="s">
        <v>147</v>
      </c>
      <c r="B770" s="48" t="s">
        <v>148</v>
      </c>
      <c r="C770" s="7">
        <v>279</v>
      </c>
      <c r="D770" s="7"/>
      <c r="E770" s="48" t="s">
        <v>19</v>
      </c>
      <c r="F770" s="48" t="s">
        <v>14</v>
      </c>
      <c r="G770" s="48" t="s">
        <v>27</v>
      </c>
      <c r="H770" s="11">
        <v>6.17</v>
      </c>
      <c r="I770" s="52">
        <v>6.25</v>
      </c>
      <c r="J770" s="19">
        <v>1</v>
      </c>
      <c r="K770" s="13">
        <v>3.85625E-2</v>
      </c>
      <c r="L770" s="7" t="s">
        <v>477</v>
      </c>
    </row>
    <row r="771" spans="1:12">
      <c r="A771" s="47" t="s">
        <v>147</v>
      </c>
      <c r="B771" s="48" t="s">
        <v>148</v>
      </c>
      <c r="C771" s="7">
        <v>279</v>
      </c>
      <c r="D771" s="7"/>
      <c r="E771" s="48" t="s">
        <v>19</v>
      </c>
      <c r="F771" s="48" t="s">
        <v>14</v>
      </c>
      <c r="G771" s="48" t="s">
        <v>27</v>
      </c>
      <c r="H771" s="11">
        <v>6.17</v>
      </c>
      <c r="I771" s="52">
        <v>10.5</v>
      </c>
      <c r="J771" s="19">
        <v>1</v>
      </c>
      <c r="K771" s="13">
        <v>6.4784999999999995E-2</v>
      </c>
      <c r="L771" s="7" t="s">
        <v>477</v>
      </c>
    </row>
    <row r="772" spans="1:12">
      <c r="A772" s="47" t="s">
        <v>147</v>
      </c>
      <c r="B772" s="48" t="s">
        <v>148</v>
      </c>
      <c r="C772" s="7">
        <v>280</v>
      </c>
      <c r="D772" s="7"/>
      <c r="E772" s="69" t="s">
        <v>20</v>
      </c>
      <c r="F772" s="69" t="s">
        <v>160</v>
      </c>
      <c r="G772" s="69" t="s">
        <v>49</v>
      </c>
      <c r="H772" s="61">
        <v>17.82</v>
      </c>
      <c r="I772" s="70">
        <v>6.4</v>
      </c>
      <c r="J772" s="64">
        <v>1</v>
      </c>
      <c r="K772" s="65">
        <v>0.114048</v>
      </c>
      <c r="L772" s="7" t="s">
        <v>477</v>
      </c>
    </row>
    <row r="773" spans="1:12">
      <c r="A773" s="47" t="s">
        <v>147</v>
      </c>
      <c r="B773" s="48" t="s">
        <v>148</v>
      </c>
      <c r="C773" s="7">
        <v>280</v>
      </c>
      <c r="D773" s="7"/>
      <c r="E773" s="69" t="s">
        <v>20</v>
      </c>
      <c r="F773" s="69" t="s">
        <v>160</v>
      </c>
      <c r="G773" s="69" t="s">
        <v>44</v>
      </c>
      <c r="H773" s="61">
        <v>13.4</v>
      </c>
      <c r="I773" s="70">
        <v>7.8</v>
      </c>
      <c r="J773" s="64">
        <v>1</v>
      </c>
      <c r="K773" s="65">
        <v>0.10452</v>
      </c>
      <c r="L773" s="7" t="s">
        <v>477</v>
      </c>
    </row>
    <row r="774" spans="1:12">
      <c r="A774" s="47" t="s">
        <v>147</v>
      </c>
      <c r="B774" s="48" t="s">
        <v>148</v>
      </c>
      <c r="C774" s="7">
        <v>280</v>
      </c>
      <c r="D774" s="7"/>
      <c r="E774" s="69" t="s">
        <v>20</v>
      </c>
      <c r="F774" s="69" t="s">
        <v>160</v>
      </c>
      <c r="G774" s="69" t="s">
        <v>44</v>
      </c>
      <c r="H774" s="61">
        <v>13.4</v>
      </c>
      <c r="I774" s="70">
        <v>10.9</v>
      </c>
      <c r="J774" s="64">
        <v>1</v>
      </c>
      <c r="K774" s="65">
        <v>0.14606</v>
      </c>
      <c r="L774" s="7" t="s">
        <v>477</v>
      </c>
    </row>
    <row r="775" spans="1:12">
      <c r="A775" s="47" t="s">
        <v>147</v>
      </c>
      <c r="B775" s="48" t="s">
        <v>148</v>
      </c>
      <c r="C775" s="7">
        <v>281</v>
      </c>
      <c r="D775" s="7"/>
      <c r="E775" s="48" t="s">
        <v>19</v>
      </c>
      <c r="F775" s="48" t="s">
        <v>14</v>
      </c>
      <c r="G775" s="48" t="s">
        <v>40</v>
      </c>
      <c r="H775" s="11">
        <v>16.5</v>
      </c>
      <c r="I775" s="52">
        <v>11.9</v>
      </c>
      <c r="J775" s="19">
        <v>1</v>
      </c>
      <c r="K775" s="13">
        <v>0.19635</v>
      </c>
      <c r="L775" s="7" t="s">
        <v>477</v>
      </c>
    </row>
    <row r="776" spans="1:12">
      <c r="A776" s="47" t="s">
        <v>147</v>
      </c>
      <c r="B776" s="48" t="s">
        <v>148</v>
      </c>
      <c r="C776" s="7">
        <v>282</v>
      </c>
      <c r="D776" s="7"/>
      <c r="E776" s="69" t="s">
        <v>19</v>
      </c>
      <c r="F776" s="69" t="s">
        <v>14</v>
      </c>
      <c r="G776" s="69" t="s">
        <v>30</v>
      </c>
      <c r="H776" s="61">
        <v>9.26</v>
      </c>
      <c r="I776" s="21">
        <v>12</v>
      </c>
      <c r="J776" s="19">
        <v>1</v>
      </c>
      <c r="K776" s="13">
        <v>0.11112000000000001</v>
      </c>
      <c r="L776" s="7" t="s">
        <v>477</v>
      </c>
    </row>
    <row r="777" spans="1:12">
      <c r="A777" s="47" t="s">
        <v>147</v>
      </c>
      <c r="B777" s="48" t="s">
        <v>148</v>
      </c>
      <c r="C777" s="7">
        <v>283</v>
      </c>
      <c r="D777" s="7"/>
      <c r="E777" s="48" t="s">
        <v>159</v>
      </c>
      <c r="F777" s="48" t="s">
        <v>14</v>
      </c>
      <c r="G777" s="48" t="s">
        <v>31</v>
      </c>
      <c r="H777" s="11">
        <v>9.65</v>
      </c>
      <c r="I777" s="8">
        <v>12.2</v>
      </c>
      <c r="J777" s="19">
        <v>1</v>
      </c>
      <c r="K777" s="13">
        <v>0.11773</v>
      </c>
      <c r="L777" s="7" t="s">
        <v>477</v>
      </c>
    </row>
    <row r="778" spans="1:12">
      <c r="A778" s="47" t="s">
        <v>147</v>
      </c>
      <c r="B778" s="48" t="s">
        <v>148</v>
      </c>
      <c r="C778" s="7">
        <v>283</v>
      </c>
      <c r="D778" s="7"/>
      <c r="E778" s="48" t="s">
        <v>159</v>
      </c>
      <c r="F778" s="48" t="s">
        <v>14</v>
      </c>
      <c r="G778" s="48" t="s">
        <v>31</v>
      </c>
      <c r="H778" s="11">
        <v>9.65</v>
      </c>
      <c r="I778" s="8">
        <v>11.8</v>
      </c>
      <c r="J778" s="19">
        <v>1</v>
      </c>
      <c r="K778" s="13">
        <v>0.11387</v>
      </c>
      <c r="L778" s="7" t="s">
        <v>477</v>
      </c>
    </row>
    <row r="779" spans="1:12">
      <c r="A779" s="47" t="s">
        <v>147</v>
      </c>
      <c r="B779" s="48" t="s">
        <v>148</v>
      </c>
      <c r="C779" s="7">
        <v>284</v>
      </c>
      <c r="D779" s="7"/>
      <c r="E779" s="69" t="s">
        <v>19</v>
      </c>
      <c r="F779" s="69" t="s">
        <v>14</v>
      </c>
      <c r="G779" s="69" t="s">
        <v>16</v>
      </c>
      <c r="H779" s="61">
        <v>5.77</v>
      </c>
      <c r="I779" s="109">
        <v>12</v>
      </c>
      <c r="J779" s="64">
        <v>1</v>
      </c>
      <c r="K779" s="65">
        <v>6.9239999999999996E-2</v>
      </c>
      <c r="L779" s="7" t="s">
        <v>477</v>
      </c>
    </row>
    <row r="780" spans="1:12">
      <c r="A780" s="47" t="s">
        <v>147</v>
      </c>
      <c r="B780" s="48" t="s">
        <v>148</v>
      </c>
      <c r="C780" s="7">
        <v>285</v>
      </c>
      <c r="D780" s="7"/>
      <c r="E780" s="48" t="s">
        <v>159</v>
      </c>
      <c r="F780" s="48" t="s">
        <v>14</v>
      </c>
      <c r="G780" s="48" t="s">
        <v>25</v>
      </c>
      <c r="H780" s="11">
        <v>7.34</v>
      </c>
      <c r="I780" s="52">
        <v>10</v>
      </c>
      <c r="J780" s="19">
        <v>1</v>
      </c>
      <c r="K780" s="13">
        <v>7.3400000000000007E-2</v>
      </c>
      <c r="L780" s="7" t="s">
        <v>477</v>
      </c>
    </row>
    <row r="781" spans="1:12">
      <c r="A781" s="47" t="s">
        <v>147</v>
      </c>
      <c r="B781" s="48" t="s">
        <v>148</v>
      </c>
      <c r="C781" s="7">
        <v>288</v>
      </c>
      <c r="D781" s="7"/>
      <c r="E781" s="48" t="s">
        <v>19</v>
      </c>
      <c r="F781" s="48" t="s">
        <v>14</v>
      </c>
      <c r="G781" s="48" t="s">
        <v>39</v>
      </c>
      <c r="H781" s="11">
        <v>14.66</v>
      </c>
      <c r="I781" s="52">
        <v>9.4</v>
      </c>
      <c r="J781" s="19">
        <v>1</v>
      </c>
      <c r="K781" s="13">
        <v>0.13780400000000001</v>
      </c>
      <c r="L781" s="7" t="s">
        <v>477</v>
      </c>
    </row>
    <row r="782" spans="1:12">
      <c r="A782" s="47" t="s">
        <v>147</v>
      </c>
      <c r="B782" s="48" t="s">
        <v>148</v>
      </c>
      <c r="C782" s="7">
        <v>289</v>
      </c>
      <c r="D782" s="7"/>
      <c r="E782" s="69" t="s">
        <v>20</v>
      </c>
      <c r="F782" s="69" t="s">
        <v>160</v>
      </c>
      <c r="G782" s="69" t="s">
        <v>35</v>
      </c>
      <c r="H782" s="61">
        <v>16.579999999999998</v>
      </c>
      <c r="I782" s="70">
        <v>11.4</v>
      </c>
      <c r="J782" s="64">
        <v>1</v>
      </c>
      <c r="K782" s="65">
        <v>0.18901200000000001</v>
      </c>
      <c r="L782" s="7" t="s">
        <v>477</v>
      </c>
    </row>
    <row r="783" spans="1:12">
      <c r="A783" s="47" t="s">
        <v>147</v>
      </c>
      <c r="B783" s="48" t="s">
        <v>148</v>
      </c>
      <c r="C783" s="7">
        <v>289</v>
      </c>
      <c r="D783" s="7"/>
      <c r="E783" s="48" t="s">
        <v>17</v>
      </c>
      <c r="F783" s="48" t="s">
        <v>160</v>
      </c>
      <c r="G783" s="48" t="s">
        <v>33</v>
      </c>
      <c r="H783" s="11">
        <v>15.92</v>
      </c>
      <c r="I783" s="52">
        <v>7.75</v>
      </c>
      <c r="J783" s="19">
        <v>1</v>
      </c>
      <c r="K783" s="13">
        <v>0.12337999999999999</v>
      </c>
      <c r="L783" s="7" t="s">
        <v>477</v>
      </c>
    </row>
    <row r="784" spans="1:12">
      <c r="A784" s="47" t="s">
        <v>147</v>
      </c>
      <c r="B784" s="48" t="s">
        <v>148</v>
      </c>
      <c r="C784" s="7">
        <v>289</v>
      </c>
      <c r="D784" s="7" t="s">
        <v>102</v>
      </c>
      <c r="E784" s="48" t="s">
        <v>20</v>
      </c>
      <c r="F784" s="48" t="s">
        <v>160</v>
      </c>
      <c r="G784" s="48" t="s">
        <v>49</v>
      </c>
      <c r="H784" s="11">
        <v>17.82</v>
      </c>
      <c r="I784" s="52">
        <v>9.5</v>
      </c>
      <c r="J784" s="19">
        <v>1</v>
      </c>
      <c r="K784" s="13">
        <v>0.16929</v>
      </c>
      <c r="L784" s="7" t="s">
        <v>477</v>
      </c>
    </row>
    <row r="785" spans="1:12">
      <c r="A785" s="47" t="s">
        <v>147</v>
      </c>
      <c r="B785" s="48" t="s">
        <v>148</v>
      </c>
      <c r="C785" s="7">
        <v>290</v>
      </c>
      <c r="D785" s="7"/>
      <c r="E785" s="48" t="s">
        <v>159</v>
      </c>
      <c r="F785" s="48" t="s">
        <v>14</v>
      </c>
      <c r="G785" s="48" t="s">
        <v>23</v>
      </c>
      <c r="H785" s="11">
        <v>9</v>
      </c>
      <c r="I785" s="52">
        <v>10.5</v>
      </c>
      <c r="J785" s="19">
        <v>1</v>
      </c>
      <c r="K785" s="13">
        <v>9.4500000000000001E-2</v>
      </c>
      <c r="L785" s="7" t="s">
        <v>477</v>
      </c>
    </row>
    <row r="786" spans="1:12">
      <c r="A786" s="47" t="s">
        <v>147</v>
      </c>
      <c r="B786" s="48" t="s">
        <v>148</v>
      </c>
      <c r="C786" s="7">
        <v>290</v>
      </c>
      <c r="D786" s="7"/>
      <c r="E786" s="48" t="s">
        <v>19</v>
      </c>
      <c r="F786" s="48" t="s">
        <v>14</v>
      </c>
      <c r="G786" s="48" t="s">
        <v>39</v>
      </c>
      <c r="H786" s="11">
        <v>14.66</v>
      </c>
      <c r="I786" s="52">
        <v>11.6</v>
      </c>
      <c r="J786" s="19">
        <v>1</v>
      </c>
      <c r="K786" s="13">
        <v>0.17005599999999998</v>
      </c>
      <c r="L786" s="7" t="s">
        <v>477</v>
      </c>
    </row>
    <row r="787" spans="1:12">
      <c r="A787" s="47" t="s">
        <v>147</v>
      </c>
      <c r="B787" s="48" t="s">
        <v>148</v>
      </c>
      <c r="C787" s="7">
        <v>290</v>
      </c>
      <c r="D787" s="7"/>
      <c r="E787" s="48" t="s">
        <v>19</v>
      </c>
      <c r="F787" s="48" t="s">
        <v>14</v>
      </c>
      <c r="G787" s="48" t="s">
        <v>39</v>
      </c>
      <c r="H787" s="11">
        <v>14.66</v>
      </c>
      <c r="I787" s="52">
        <v>7.4</v>
      </c>
      <c r="J787" s="19">
        <v>1</v>
      </c>
      <c r="K787" s="13">
        <v>0.10848400000000001</v>
      </c>
      <c r="L787" s="7" t="s">
        <v>477</v>
      </c>
    </row>
    <row r="788" spans="1:12">
      <c r="A788" s="47" t="s">
        <v>147</v>
      </c>
      <c r="B788" s="48" t="s">
        <v>148</v>
      </c>
      <c r="C788" s="7">
        <v>291</v>
      </c>
      <c r="D788" s="7"/>
      <c r="E788" s="48" t="s">
        <v>20</v>
      </c>
      <c r="F788" s="48" t="s">
        <v>160</v>
      </c>
      <c r="G788" s="48" t="s">
        <v>45</v>
      </c>
      <c r="H788" s="11">
        <v>13.6</v>
      </c>
      <c r="I788" s="52">
        <v>12</v>
      </c>
      <c r="J788" s="19">
        <v>2</v>
      </c>
      <c r="K788" s="13">
        <v>0.32639999999999997</v>
      </c>
      <c r="L788" s="7" t="s">
        <v>477</v>
      </c>
    </row>
    <row r="789" spans="1:12">
      <c r="A789" s="47" t="s">
        <v>147</v>
      </c>
      <c r="B789" s="48" t="s">
        <v>148</v>
      </c>
      <c r="C789" s="7">
        <v>291</v>
      </c>
      <c r="D789" s="7"/>
      <c r="E789" s="48" t="s">
        <v>20</v>
      </c>
      <c r="F789" s="48" t="s">
        <v>160</v>
      </c>
      <c r="G789" s="48" t="s">
        <v>45</v>
      </c>
      <c r="H789" s="11">
        <v>13.6</v>
      </c>
      <c r="I789" s="52">
        <v>11</v>
      </c>
      <c r="J789" s="19">
        <v>1</v>
      </c>
      <c r="K789" s="13">
        <v>0.14959999999999998</v>
      </c>
      <c r="L789" s="7" t="s">
        <v>477</v>
      </c>
    </row>
    <row r="790" spans="1:12">
      <c r="A790" s="47" t="s">
        <v>147</v>
      </c>
      <c r="B790" s="48" t="s">
        <v>148</v>
      </c>
      <c r="C790" s="7">
        <v>292</v>
      </c>
      <c r="D790" s="7"/>
      <c r="E790" s="48" t="s">
        <v>159</v>
      </c>
      <c r="F790" s="48" t="s">
        <v>14</v>
      </c>
      <c r="G790" s="48" t="s">
        <v>30</v>
      </c>
      <c r="H790" s="11">
        <v>9.26</v>
      </c>
      <c r="I790" s="52">
        <v>8</v>
      </c>
      <c r="J790" s="19">
        <v>1</v>
      </c>
      <c r="K790" s="13">
        <v>7.4079999999999993E-2</v>
      </c>
      <c r="L790" s="7" t="s">
        <v>477</v>
      </c>
    </row>
    <row r="791" spans="1:12">
      <c r="A791" s="47" t="s">
        <v>147</v>
      </c>
      <c r="B791" s="48" t="s">
        <v>148</v>
      </c>
      <c r="C791" s="7">
        <v>293</v>
      </c>
      <c r="D791" s="7"/>
      <c r="E791" s="48" t="s">
        <v>186</v>
      </c>
      <c r="F791" s="48" t="s">
        <v>160</v>
      </c>
      <c r="G791" s="48" t="s">
        <v>41</v>
      </c>
      <c r="H791" s="11">
        <v>11.8</v>
      </c>
      <c r="I791" s="52">
        <v>12</v>
      </c>
      <c r="J791" s="19">
        <v>2</v>
      </c>
      <c r="K791" s="13">
        <v>0.28320000000000006</v>
      </c>
      <c r="L791" s="7" t="s">
        <v>477</v>
      </c>
    </row>
    <row r="792" spans="1:12">
      <c r="A792" s="47" t="s">
        <v>147</v>
      </c>
      <c r="B792" s="48" t="s">
        <v>148</v>
      </c>
      <c r="C792" s="7">
        <v>293</v>
      </c>
      <c r="D792" s="7"/>
      <c r="E792" s="48" t="s">
        <v>186</v>
      </c>
      <c r="F792" s="48" t="s">
        <v>160</v>
      </c>
      <c r="G792" s="48" t="s">
        <v>41</v>
      </c>
      <c r="H792" s="11">
        <v>11.8</v>
      </c>
      <c r="I792" s="52">
        <v>7</v>
      </c>
      <c r="J792" s="19">
        <v>3</v>
      </c>
      <c r="K792" s="13">
        <v>0.24780000000000002</v>
      </c>
      <c r="L792" s="7" t="s">
        <v>477</v>
      </c>
    </row>
    <row r="793" spans="1:12">
      <c r="A793" s="47" t="s">
        <v>147</v>
      </c>
      <c r="B793" s="48" t="s">
        <v>148</v>
      </c>
      <c r="C793" s="7">
        <v>293</v>
      </c>
      <c r="D793" s="7"/>
      <c r="E793" s="48" t="s">
        <v>186</v>
      </c>
      <c r="F793" s="48" t="s">
        <v>160</v>
      </c>
      <c r="G793" s="48" t="s">
        <v>41</v>
      </c>
      <c r="H793" s="11">
        <v>11.8</v>
      </c>
      <c r="I793" s="52">
        <v>6</v>
      </c>
      <c r="J793" s="19">
        <v>1</v>
      </c>
      <c r="K793" s="13">
        <v>7.0800000000000016E-2</v>
      </c>
      <c r="L793" s="7" t="s">
        <v>477</v>
      </c>
    </row>
    <row r="794" spans="1:12">
      <c r="A794" s="47" t="s">
        <v>147</v>
      </c>
      <c r="B794" s="48" t="s">
        <v>148</v>
      </c>
      <c r="C794" s="7">
        <v>293</v>
      </c>
      <c r="D794" s="7"/>
      <c r="E794" s="48" t="s">
        <v>186</v>
      </c>
      <c r="F794" s="48" t="s">
        <v>160</v>
      </c>
      <c r="G794" s="48" t="s">
        <v>41</v>
      </c>
      <c r="H794" s="11">
        <v>11.8</v>
      </c>
      <c r="I794" s="52">
        <v>6.2</v>
      </c>
      <c r="J794" s="19">
        <v>4</v>
      </c>
      <c r="K794" s="13">
        <v>0.29264000000000007</v>
      </c>
      <c r="L794" s="7" t="s">
        <v>477</v>
      </c>
    </row>
    <row r="795" spans="1:12">
      <c r="A795" s="47" t="s">
        <v>147</v>
      </c>
      <c r="B795" s="48" t="s">
        <v>148</v>
      </c>
      <c r="C795" s="7">
        <v>296</v>
      </c>
      <c r="D795" s="7"/>
      <c r="E795" s="48" t="s">
        <v>159</v>
      </c>
      <c r="F795" s="48" t="s">
        <v>14</v>
      </c>
      <c r="G795" s="48" t="s">
        <v>30</v>
      </c>
      <c r="H795" s="11">
        <v>9.26</v>
      </c>
      <c r="I795" s="52">
        <v>10.5</v>
      </c>
      <c r="J795" s="19">
        <v>11</v>
      </c>
      <c r="K795" s="13">
        <v>1.0695299999999999</v>
      </c>
      <c r="L795" s="7" t="s">
        <v>477</v>
      </c>
    </row>
    <row r="796" spans="1:12">
      <c r="A796" s="47" t="s">
        <v>147</v>
      </c>
      <c r="B796" s="48" t="s">
        <v>148</v>
      </c>
      <c r="C796" s="7">
        <v>297</v>
      </c>
      <c r="D796" s="7"/>
      <c r="E796" s="48" t="s">
        <v>159</v>
      </c>
      <c r="F796" s="48" t="s">
        <v>14</v>
      </c>
      <c r="G796" s="48" t="s">
        <v>30</v>
      </c>
      <c r="H796" s="11">
        <v>9.26</v>
      </c>
      <c r="I796" s="52">
        <v>11.8</v>
      </c>
      <c r="J796" s="19">
        <v>10</v>
      </c>
      <c r="K796" s="13">
        <v>1.0926800000000001</v>
      </c>
      <c r="L796" s="7" t="s">
        <v>477</v>
      </c>
    </row>
    <row r="797" spans="1:12">
      <c r="A797" s="47" t="s">
        <v>147</v>
      </c>
      <c r="B797" s="48" t="s">
        <v>148</v>
      </c>
      <c r="C797" s="7">
        <v>297</v>
      </c>
      <c r="D797" s="7"/>
      <c r="E797" s="48" t="s">
        <v>159</v>
      </c>
      <c r="F797" s="48" t="s">
        <v>14</v>
      </c>
      <c r="G797" s="48" t="s">
        <v>30</v>
      </c>
      <c r="H797" s="11">
        <v>9.26</v>
      </c>
      <c r="I797" s="52">
        <v>12</v>
      </c>
      <c r="J797" s="19">
        <v>2</v>
      </c>
      <c r="K797" s="13">
        <v>0.22224000000000002</v>
      </c>
      <c r="L797" s="7" t="s">
        <v>477</v>
      </c>
    </row>
    <row r="798" spans="1:12">
      <c r="A798" s="47" t="s">
        <v>147</v>
      </c>
      <c r="B798" s="48" t="s">
        <v>148</v>
      </c>
      <c r="C798" s="7">
        <v>297</v>
      </c>
      <c r="D798" s="7"/>
      <c r="E798" s="48" t="s">
        <v>159</v>
      </c>
      <c r="F798" s="48" t="s">
        <v>14</v>
      </c>
      <c r="G798" s="48" t="s">
        <v>30</v>
      </c>
      <c r="H798" s="11">
        <v>9.26</v>
      </c>
      <c r="I798" s="52">
        <v>10</v>
      </c>
      <c r="J798" s="19">
        <v>3</v>
      </c>
      <c r="K798" s="13">
        <v>0.27779999999999999</v>
      </c>
      <c r="L798" s="7" t="s">
        <v>477</v>
      </c>
    </row>
    <row r="799" spans="1:12">
      <c r="A799" s="47" t="s">
        <v>147</v>
      </c>
      <c r="B799" s="48" t="s">
        <v>148</v>
      </c>
      <c r="C799" s="7">
        <v>301</v>
      </c>
      <c r="D799" s="7"/>
      <c r="E799" s="48" t="s">
        <v>20</v>
      </c>
      <c r="F799" s="48" t="s">
        <v>160</v>
      </c>
      <c r="G799" s="48" t="s">
        <v>25</v>
      </c>
      <c r="H799" s="11">
        <v>7.34</v>
      </c>
      <c r="I799" s="52">
        <v>10.5</v>
      </c>
      <c r="J799" s="19">
        <v>1</v>
      </c>
      <c r="K799" s="13">
        <v>7.707E-2</v>
      </c>
      <c r="L799" s="7" t="s">
        <v>477</v>
      </c>
    </row>
    <row r="800" spans="1:12">
      <c r="A800" s="47" t="s">
        <v>147</v>
      </c>
      <c r="B800" s="48" t="s">
        <v>148</v>
      </c>
      <c r="C800" s="7">
        <v>305</v>
      </c>
      <c r="D800" s="7"/>
      <c r="E800" s="48" t="s">
        <v>24</v>
      </c>
      <c r="F800" s="48" t="s">
        <v>14</v>
      </c>
      <c r="G800" s="48" t="s">
        <v>32</v>
      </c>
      <c r="H800" s="11">
        <v>8.3000000000000007</v>
      </c>
      <c r="I800" s="52">
        <v>6.3</v>
      </c>
      <c r="J800" s="19">
        <v>1</v>
      </c>
      <c r="K800" s="13">
        <v>5.2290000000000003E-2</v>
      </c>
      <c r="L800" s="7" t="s">
        <v>477</v>
      </c>
    </row>
    <row r="801" spans="1:12">
      <c r="A801" s="47" t="s">
        <v>147</v>
      </c>
      <c r="B801" s="48" t="s">
        <v>148</v>
      </c>
      <c r="C801" s="7">
        <v>305</v>
      </c>
      <c r="D801" s="7"/>
      <c r="E801" s="48" t="s">
        <v>24</v>
      </c>
      <c r="F801" s="48" t="s">
        <v>14</v>
      </c>
      <c r="G801" s="48" t="s">
        <v>32</v>
      </c>
      <c r="H801" s="11">
        <v>8.3000000000000007</v>
      </c>
      <c r="I801" s="52">
        <v>6.5</v>
      </c>
      <c r="J801" s="19">
        <v>1</v>
      </c>
      <c r="K801" s="13">
        <v>5.3950000000000005E-2</v>
      </c>
      <c r="L801" s="7" t="s">
        <v>477</v>
      </c>
    </row>
    <row r="802" spans="1:12">
      <c r="A802" s="47" t="s">
        <v>147</v>
      </c>
      <c r="B802" s="48" t="s">
        <v>148</v>
      </c>
      <c r="C802" s="7">
        <v>305</v>
      </c>
      <c r="D802" s="7"/>
      <c r="E802" s="48" t="s">
        <v>24</v>
      </c>
      <c r="F802" s="48" t="s">
        <v>14</v>
      </c>
      <c r="G802" s="48" t="s">
        <v>32</v>
      </c>
      <c r="H802" s="11">
        <v>8.3000000000000007</v>
      </c>
      <c r="I802" s="52">
        <v>6.9</v>
      </c>
      <c r="J802" s="19">
        <v>1</v>
      </c>
      <c r="K802" s="13">
        <v>5.7270000000000008E-2</v>
      </c>
      <c r="L802" s="7" t="s">
        <v>477</v>
      </c>
    </row>
    <row r="803" spans="1:12">
      <c r="A803" s="47" t="s">
        <v>147</v>
      </c>
      <c r="B803" s="48" t="s">
        <v>148</v>
      </c>
      <c r="C803" s="7">
        <v>322</v>
      </c>
      <c r="D803" s="7"/>
      <c r="E803" s="48" t="s">
        <v>17</v>
      </c>
      <c r="F803" s="48" t="s">
        <v>160</v>
      </c>
      <c r="G803" s="48" t="s">
        <v>29</v>
      </c>
      <c r="H803" s="11">
        <v>10.92</v>
      </c>
      <c r="I803" s="52">
        <v>6.3</v>
      </c>
      <c r="J803" s="19">
        <v>1</v>
      </c>
      <c r="K803" s="13">
        <v>6.8795999999999996E-2</v>
      </c>
      <c r="L803" s="7" t="s">
        <v>477</v>
      </c>
    </row>
    <row r="804" spans="1:12">
      <c r="A804" s="47" t="s">
        <v>147</v>
      </c>
      <c r="B804" s="48" t="s">
        <v>148</v>
      </c>
      <c r="C804" s="7">
        <v>322</v>
      </c>
      <c r="D804" s="7"/>
      <c r="E804" s="48" t="s">
        <v>17</v>
      </c>
      <c r="F804" s="48" t="s">
        <v>160</v>
      </c>
      <c r="G804" s="48" t="s">
        <v>29</v>
      </c>
      <c r="H804" s="11">
        <v>10.92</v>
      </c>
      <c r="I804" s="52">
        <v>9.4</v>
      </c>
      <c r="J804" s="19">
        <v>1</v>
      </c>
      <c r="K804" s="13">
        <v>0.10264799999999999</v>
      </c>
      <c r="L804" s="7" t="s">
        <v>477</v>
      </c>
    </row>
    <row r="805" spans="1:12">
      <c r="A805" s="42" t="s">
        <v>78</v>
      </c>
      <c r="B805" s="3" t="s">
        <v>80</v>
      </c>
      <c r="C805" s="3">
        <v>1</v>
      </c>
      <c r="D805" s="1"/>
      <c r="E805" s="12" t="s">
        <v>63</v>
      </c>
      <c r="F805" s="7" t="s">
        <v>15</v>
      </c>
      <c r="G805" s="7" t="s">
        <v>42</v>
      </c>
      <c r="H805" s="11">
        <v>19.72</v>
      </c>
      <c r="I805" s="8">
        <v>6</v>
      </c>
      <c r="J805" s="19">
        <v>1</v>
      </c>
      <c r="K805" s="13">
        <v>0.11831999999999999</v>
      </c>
      <c r="L805" s="7" t="s">
        <v>477</v>
      </c>
    </row>
    <row r="806" spans="1:12">
      <c r="A806" s="42" t="s">
        <v>78</v>
      </c>
      <c r="B806" s="3" t="s">
        <v>80</v>
      </c>
      <c r="C806" s="3">
        <v>7</v>
      </c>
      <c r="D806" s="1"/>
      <c r="E806" s="12" t="s">
        <v>19</v>
      </c>
      <c r="F806" s="7" t="s">
        <v>14</v>
      </c>
      <c r="G806" s="7" t="s">
        <v>42</v>
      </c>
      <c r="H806" s="11">
        <v>19.72</v>
      </c>
      <c r="I806" s="8">
        <v>11.8</v>
      </c>
      <c r="J806" s="19">
        <v>1</v>
      </c>
      <c r="K806" s="13">
        <v>0.23269599999999999</v>
      </c>
      <c r="L806" s="7" t="s">
        <v>477</v>
      </c>
    </row>
    <row r="807" spans="1:12">
      <c r="A807" s="375" t="s">
        <v>78</v>
      </c>
      <c r="B807" s="3" t="s">
        <v>80</v>
      </c>
      <c r="C807" s="3">
        <v>1</v>
      </c>
      <c r="D807" s="1"/>
      <c r="E807" s="12" t="s">
        <v>20</v>
      </c>
      <c r="F807" s="7" t="s">
        <v>15</v>
      </c>
      <c r="G807" s="7" t="s">
        <v>60</v>
      </c>
      <c r="H807" s="11">
        <v>22.93</v>
      </c>
      <c r="I807" s="8">
        <v>12</v>
      </c>
      <c r="J807" s="19">
        <v>1</v>
      </c>
      <c r="K807" s="13">
        <v>0.27515999999999996</v>
      </c>
      <c r="L807" s="7" t="s">
        <v>477</v>
      </c>
    </row>
    <row r="808" spans="1:12">
      <c r="A808" s="375" t="s">
        <v>78</v>
      </c>
      <c r="B808" s="3" t="s">
        <v>80</v>
      </c>
      <c r="C808" s="3">
        <v>2</v>
      </c>
      <c r="D808" s="1"/>
      <c r="E808" s="12" t="s">
        <v>20</v>
      </c>
      <c r="F808" s="7" t="s">
        <v>15</v>
      </c>
      <c r="G808" s="7" t="s">
        <v>66</v>
      </c>
      <c r="H808" s="11">
        <v>29.5</v>
      </c>
      <c r="I808" s="8">
        <v>11</v>
      </c>
      <c r="J808" s="19">
        <v>1</v>
      </c>
      <c r="K808" s="13">
        <v>0.32450000000000001</v>
      </c>
      <c r="L808" s="7" t="s">
        <v>477</v>
      </c>
    </row>
    <row r="809" spans="1:12">
      <c r="A809" s="375" t="s">
        <v>78</v>
      </c>
      <c r="B809" s="3" t="s">
        <v>80</v>
      </c>
      <c r="C809" s="3">
        <v>3</v>
      </c>
      <c r="D809" s="1"/>
      <c r="E809" s="12" t="s">
        <v>91</v>
      </c>
      <c r="F809" s="7" t="s">
        <v>15</v>
      </c>
      <c r="G809" s="7" t="s">
        <v>57</v>
      </c>
      <c r="H809" s="11">
        <v>33.72</v>
      </c>
      <c r="I809" s="8">
        <v>7.5</v>
      </c>
      <c r="J809" s="19">
        <v>4</v>
      </c>
      <c r="K809" s="13">
        <v>1.0115999999999998</v>
      </c>
      <c r="L809" s="7" t="s">
        <v>477</v>
      </c>
    </row>
    <row r="810" spans="1:12">
      <c r="A810" s="375" t="s">
        <v>78</v>
      </c>
      <c r="B810" s="3" t="s">
        <v>80</v>
      </c>
      <c r="C810" s="3">
        <v>6</v>
      </c>
      <c r="D810" s="1"/>
      <c r="E810" s="12" t="s">
        <v>20</v>
      </c>
      <c r="F810" s="7" t="s">
        <v>15</v>
      </c>
      <c r="G810" s="7" t="s">
        <v>35</v>
      </c>
      <c r="H810" s="11">
        <v>16.579999999999998</v>
      </c>
      <c r="I810" s="8">
        <v>7.3</v>
      </c>
      <c r="J810" s="19">
        <v>1</v>
      </c>
      <c r="K810" s="13">
        <v>0.12103399999999997</v>
      </c>
      <c r="L810" s="7" t="s">
        <v>477</v>
      </c>
    </row>
    <row r="811" spans="1:12">
      <c r="A811" s="375" t="s">
        <v>78</v>
      </c>
      <c r="B811" s="3" t="s">
        <v>80</v>
      </c>
      <c r="C811" s="3">
        <v>6</v>
      </c>
      <c r="D811" s="1"/>
      <c r="E811" s="12" t="s">
        <v>20</v>
      </c>
      <c r="F811" s="7" t="s">
        <v>15</v>
      </c>
      <c r="G811" s="7" t="s">
        <v>35</v>
      </c>
      <c r="H811" s="11">
        <v>16.579999999999998</v>
      </c>
      <c r="I811" s="8">
        <v>8.1999999999999993</v>
      </c>
      <c r="J811" s="19">
        <v>1</v>
      </c>
      <c r="K811" s="13">
        <v>0.13595599999999997</v>
      </c>
      <c r="L811" s="7" t="s">
        <v>477</v>
      </c>
    </row>
    <row r="812" spans="1:12">
      <c r="A812" s="375" t="s">
        <v>78</v>
      </c>
      <c r="B812" s="3" t="s">
        <v>80</v>
      </c>
      <c r="C812" s="3">
        <v>7</v>
      </c>
      <c r="D812" s="1"/>
      <c r="E812" s="12" t="s">
        <v>17</v>
      </c>
      <c r="F812" s="7" t="s">
        <v>15</v>
      </c>
      <c r="G812" s="7" t="s">
        <v>56</v>
      </c>
      <c r="H812" s="11">
        <v>25.2</v>
      </c>
      <c r="I812" s="8">
        <v>10.5</v>
      </c>
      <c r="J812" s="19">
        <v>1</v>
      </c>
      <c r="K812" s="13">
        <v>0.26459999999999995</v>
      </c>
      <c r="L812" s="7" t="s">
        <v>477</v>
      </c>
    </row>
    <row r="813" spans="1:12">
      <c r="A813" s="375" t="s">
        <v>78</v>
      </c>
      <c r="B813" s="3" t="s">
        <v>80</v>
      </c>
      <c r="C813" s="3">
        <v>7</v>
      </c>
      <c r="D813" s="1"/>
      <c r="E813" s="12" t="s">
        <v>17</v>
      </c>
      <c r="F813" s="7" t="s">
        <v>15</v>
      </c>
      <c r="G813" s="7" t="s">
        <v>56</v>
      </c>
      <c r="H813" s="11">
        <v>25.2</v>
      </c>
      <c r="I813" s="8">
        <v>11.6</v>
      </c>
      <c r="J813" s="19">
        <v>2</v>
      </c>
      <c r="K813" s="13">
        <v>0.58463999999999994</v>
      </c>
      <c r="L813" s="7" t="s">
        <v>477</v>
      </c>
    </row>
    <row r="814" spans="1:12">
      <c r="A814" s="375" t="s">
        <v>78</v>
      </c>
      <c r="B814" s="3" t="s">
        <v>80</v>
      </c>
      <c r="C814" s="3">
        <v>8</v>
      </c>
      <c r="D814" s="1"/>
      <c r="E814" s="12" t="s">
        <v>91</v>
      </c>
      <c r="F814" s="7" t="s">
        <v>15</v>
      </c>
      <c r="G814" s="7" t="s">
        <v>66</v>
      </c>
      <c r="H814" s="11">
        <v>29.5</v>
      </c>
      <c r="I814" s="8">
        <v>6.8</v>
      </c>
      <c r="J814" s="19">
        <v>3</v>
      </c>
      <c r="K814" s="13">
        <v>0.6018</v>
      </c>
      <c r="L814" s="7" t="s">
        <v>477</v>
      </c>
    </row>
    <row r="815" spans="1:12">
      <c r="A815" s="375" t="s">
        <v>78</v>
      </c>
      <c r="B815" s="3" t="s">
        <v>80</v>
      </c>
      <c r="C815" s="3">
        <v>8</v>
      </c>
      <c r="D815" s="1"/>
      <c r="E815" s="12" t="s">
        <v>91</v>
      </c>
      <c r="F815" s="7" t="s">
        <v>15</v>
      </c>
      <c r="G815" s="7" t="s">
        <v>66</v>
      </c>
      <c r="H815" s="11">
        <v>29.5</v>
      </c>
      <c r="I815" s="8">
        <v>6.5</v>
      </c>
      <c r="J815" s="19">
        <v>1</v>
      </c>
      <c r="K815" s="13">
        <v>0.19175</v>
      </c>
      <c r="L815" s="7" t="s">
        <v>477</v>
      </c>
    </row>
    <row r="816" spans="1:12">
      <c r="A816" s="375" t="s">
        <v>78</v>
      </c>
      <c r="B816" s="3" t="s">
        <v>80</v>
      </c>
      <c r="C816" s="3">
        <v>8</v>
      </c>
      <c r="D816" s="1"/>
      <c r="E816" s="12" t="s">
        <v>91</v>
      </c>
      <c r="F816" s="7" t="s">
        <v>15</v>
      </c>
      <c r="G816" s="7" t="s">
        <v>66</v>
      </c>
      <c r="H816" s="11">
        <v>29.5</v>
      </c>
      <c r="I816" s="8">
        <v>10.3</v>
      </c>
      <c r="J816" s="19">
        <v>1</v>
      </c>
      <c r="K816" s="13">
        <v>0.30385000000000001</v>
      </c>
      <c r="L816" s="7" t="s">
        <v>477</v>
      </c>
    </row>
    <row r="817" spans="1:12">
      <c r="A817" s="375" t="s">
        <v>78</v>
      </c>
      <c r="B817" s="3" t="s">
        <v>80</v>
      </c>
      <c r="C817" s="3">
        <v>8</v>
      </c>
      <c r="D817" s="1"/>
      <c r="E817" s="12" t="s">
        <v>91</v>
      </c>
      <c r="F817" s="7" t="s">
        <v>15</v>
      </c>
      <c r="G817" s="7" t="s">
        <v>66</v>
      </c>
      <c r="H817" s="11">
        <v>29.5</v>
      </c>
      <c r="I817" s="8">
        <v>12</v>
      </c>
      <c r="J817" s="19">
        <v>1</v>
      </c>
      <c r="K817" s="13">
        <v>0.35399999999999998</v>
      </c>
      <c r="L817" s="7" t="s">
        <v>477</v>
      </c>
    </row>
    <row r="818" spans="1:12">
      <c r="A818" s="375" t="s">
        <v>78</v>
      </c>
      <c r="B818" s="3" t="s">
        <v>80</v>
      </c>
      <c r="C818" s="3">
        <v>9</v>
      </c>
      <c r="D818" s="1"/>
      <c r="E818" s="12" t="s">
        <v>20</v>
      </c>
      <c r="F818" s="7" t="s">
        <v>15</v>
      </c>
      <c r="G818" s="7" t="s">
        <v>29</v>
      </c>
      <c r="H818" s="11">
        <v>10.92</v>
      </c>
      <c r="I818" s="8">
        <v>7.5</v>
      </c>
      <c r="J818" s="19">
        <v>1</v>
      </c>
      <c r="K818" s="13">
        <v>8.1900000000000001E-2</v>
      </c>
      <c r="L818" s="7" t="s">
        <v>477</v>
      </c>
    </row>
    <row r="819" spans="1:12">
      <c r="A819" s="375" t="s">
        <v>78</v>
      </c>
      <c r="B819" s="3" t="s">
        <v>80</v>
      </c>
      <c r="C819" s="3">
        <v>9</v>
      </c>
      <c r="D819" s="1"/>
      <c r="E819" s="12" t="s">
        <v>20</v>
      </c>
      <c r="F819" s="7" t="s">
        <v>15</v>
      </c>
      <c r="G819" s="7" t="s">
        <v>29</v>
      </c>
      <c r="H819" s="11">
        <v>10.92</v>
      </c>
      <c r="I819" s="8">
        <v>9.1999999999999993</v>
      </c>
      <c r="J819" s="19">
        <v>1</v>
      </c>
      <c r="K819" s="13">
        <v>0.100464</v>
      </c>
      <c r="L819" s="7" t="s">
        <v>477</v>
      </c>
    </row>
    <row r="820" spans="1:12">
      <c r="A820" s="375" t="s">
        <v>78</v>
      </c>
      <c r="B820" s="3" t="s">
        <v>80</v>
      </c>
      <c r="C820" s="3">
        <v>10</v>
      </c>
      <c r="D820" s="1"/>
      <c r="E820" s="12" t="s">
        <v>76</v>
      </c>
      <c r="F820" s="7" t="s">
        <v>15</v>
      </c>
      <c r="G820" s="7" t="s">
        <v>21</v>
      </c>
      <c r="H820" s="11">
        <v>6.97</v>
      </c>
      <c r="I820" s="8">
        <v>8.4</v>
      </c>
      <c r="J820" s="19">
        <v>1</v>
      </c>
      <c r="K820" s="13">
        <v>5.8548000000000003E-2</v>
      </c>
      <c r="L820" s="7" t="s">
        <v>477</v>
      </c>
    </row>
    <row r="821" spans="1:12">
      <c r="A821" s="375" t="s">
        <v>78</v>
      </c>
      <c r="B821" s="3" t="s">
        <v>80</v>
      </c>
      <c r="C821" s="3">
        <v>11</v>
      </c>
      <c r="D821" s="1"/>
      <c r="E821" s="12" t="s">
        <v>76</v>
      </c>
      <c r="F821" s="7" t="s">
        <v>15</v>
      </c>
      <c r="G821" s="7" t="s">
        <v>25</v>
      </c>
      <c r="H821" s="11">
        <v>7.34</v>
      </c>
      <c r="I821" s="8">
        <v>10.3</v>
      </c>
      <c r="J821" s="19">
        <v>3</v>
      </c>
      <c r="K821" s="13">
        <v>0.22680600000000001</v>
      </c>
      <c r="L821" s="7" t="s">
        <v>477</v>
      </c>
    </row>
    <row r="822" spans="1:12">
      <c r="A822" s="375" t="s">
        <v>78</v>
      </c>
      <c r="B822" s="3" t="s">
        <v>80</v>
      </c>
      <c r="C822" s="3">
        <v>13</v>
      </c>
      <c r="D822" s="1"/>
      <c r="E822" s="12" t="s">
        <v>76</v>
      </c>
      <c r="F822" s="7" t="s">
        <v>15</v>
      </c>
      <c r="G822" s="7" t="s">
        <v>44</v>
      </c>
      <c r="H822" s="11">
        <v>13.4</v>
      </c>
      <c r="I822" s="8">
        <v>8.6999999999999993</v>
      </c>
      <c r="J822" s="19">
        <v>3</v>
      </c>
      <c r="K822" s="13">
        <v>0.34974</v>
      </c>
      <c r="L822" s="7" t="s">
        <v>477</v>
      </c>
    </row>
    <row r="823" spans="1:12">
      <c r="A823" s="375" t="s">
        <v>78</v>
      </c>
      <c r="B823" s="3" t="s">
        <v>80</v>
      </c>
      <c r="C823" s="3">
        <v>13</v>
      </c>
      <c r="D823" s="1"/>
      <c r="E823" s="12" t="s">
        <v>76</v>
      </c>
      <c r="F823" s="7" t="s">
        <v>15</v>
      </c>
      <c r="G823" s="7" t="s">
        <v>44</v>
      </c>
      <c r="H823" s="11">
        <v>13.4</v>
      </c>
      <c r="I823" s="8">
        <v>8.5</v>
      </c>
      <c r="J823" s="19">
        <v>1</v>
      </c>
      <c r="K823" s="13">
        <v>0.1139</v>
      </c>
      <c r="L823" s="7" t="s">
        <v>477</v>
      </c>
    </row>
    <row r="824" spans="1:12">
      <c r="A824" s="375" t="s">
        <v>78</v>
      </c>
      <c r="B824" s="3" t="s">
        <v>80</v>
      </c>
      <c r="C824" s="3">
        <v>13</v>
      </c>
      <c r="D824" s="1"/>
      <c r="E824" s="12" t="s">
        <v>76</v>
      </c>
      <c r="F824" s="7" t="s">
        <v>15</v>
      </c>
      <c r="G824" s="7" t="s">
        <v>44</v>
      </c>
      <c r="H824" s="11">
        <v>13.4</v>
      </c>
      <c r="I824" s="8">
        <v>8.3000000000000007</v>
      </c>
      <c r="J824" s="19">
        <v>2</v>
      </c>
      <c r="K824" s="13">
        <v>0.22244000000000003</v>
      </c>
      <c r="L824" s="7" t="s">
        <v>477</v>
      </c>
    </row>
    <row r="825" spans="1:12">
      <c r="A825" s="375" t="s">
        <v>78</v>
      </c>
      <c r="B825" s="3" t="s">
        <v>80</v>
      </c>
      <c r="C825" s="3">
        <v>13</v>
      </c>
      <c r="D825" s="1"/>
      <c r="E825" s="12" t="s">
        <v>76</v>
      </c>
      <c r="F825" s="7" t="s">
        <v>15</v>
      </c>
      <c r="G825" s="7" t="s">
        <v>44</v>
      </c>
      <c r="H825" s="11">
        <v>13.4</v>
      </c>
      <c r="I825" s="8">
        <v>8.1</v>
      </c>
      <c r="J825" s="19">
        <v>2</v>
      </c>
      <c r="K825" s="13">
        <v>0.21708</v>
      </c>
      <c r="L825" s="7" t="s">
        <v>477</v>
      </c>
    </row>
    <row r="826" spans="1:12">
      <c r="A826" s="375" t="s">
        <v>78</v>
      </c>
      <c r="B826" s="3" t="s">
        <v>80</v>
      </c>
      <c r="C826" s="3">
        <v>13</v>
      </c>
      <c r="D826" s="1"/>
      <c r="E826" s="12" t="s">
        <v>76</v>
      </c>
      <c r="F826" s="7" t="s">
        <v>15</v>
      </c>
      <c r="G826" s="7" t="s">
        <v>44</v>
      </c>
      <c r="H826" s="11">
        <v>13.4</v>
      </c>
      <c r="I826" s="8">
        <v>6.4</v>
      </c>
      <c r="J826" s="19">
        <v>1</v>
      </c>
      <c r="K826" s="13">
        <v>8.5760000000000003E-2</v>
      </c>
      <c r="L826" s="7" t="s">
        <v>477</v>
      </c>
    </row>
    <row r="827" spans="1:12">
      <c r="A827" s="375" t="s">
        <v>78</v>
      </c>
      <c r="B827" s="3" t="s">
        <v>80</v>
      </c>
      <c r="C827" s="3">
        <v>2</v>
      </c>
      <c r="D827" s="1"/>
      <c r="E827" s="12" t="s">
        <v>17</v>
      </c>
      <c r="F827" s="7" t="s">
        <v>15</v>
      </c>
      <c r="G827" s="7" t="s">
        <v>16</v>
      </c>
      <c r="H827" s="11">
        <v>5.77</v>
      </c>
      <c r="I827" s="8">
        <v>10</v>
      </c>
      <c r="J827" s="19">
        <v>1</v>
      </c>
      <c r="K827" s="13">
        <v>5.7699999999999994E-2</v>
      </c>
      <c r="L827" s="7" t="s">
        <v>477</v>
      </c>
    </row>
    <row r="828" spans="1:12">
      <c r="A828" s="375" t="s">
        <v>78</v>
      </c>
      <c r="B828" s="3" t="s">
        <v>80</v>
      </c>
      <c r="C828" s="3">
        <v>3</v>
      </c>
      <c r="D828" s="1"/>
      <c r="E828" s="12" t="s">
        <v>81</v>
      </c>
      <c r="F828" s="7" t="s">
        <v>14</v>
      </c>
      <c r="G828" s="7" t="s">
        <v>108</v>
      </c>
      <c r="H828" s="11">
        <v>16.399999999999999</v>
      </c>
      <c r="I828" s="8">
        <v>12</v>
      </c>
      <c r="J828" s="19">
        <v>1</v>
      </c>
      <c r="K828" s="13">
        <v>0.19679999999999997</v>
      </c>
      <c r="L828" s="7" t="s">
        <v>477</v>
      </c>
    </row>
    <row r="829" spans="1:12">
      <c r="A829" s="375" t="s">
        <v>78</v>
      </c>
      <c r="B829" s="3" t="s">
        <v>80</v>
      </c>
      <c r="C829" s="3">
        <v>3</v>
      </c>
      <c r="D829" s="1"/>
      <c r="E829" s="12" t="s">
        <v>81</v>
      </c>
      <c r="F829" s="7" t="s">
        <v>14</v>
      </c>
      <c r="G829" s="7" t="s">
        <v>108</v>
      </c>
      <c r="H829" s="11">
        <v>16.399999999999999</v>
      </c>
      <c r="I829" s="8">
        <v>11</v>
      </c>
      <c r="J829" s="19">
        <v>1</v>
      </c>
      <c r="K829" s="13">
        <v>0.18039999999999998</v>
      </c>
      <c r="L829" s="7" t="s">
        <v>477</v>
      </c>
    </row>
    <row r="830" spans="1:12">
      <c r="A830" s="375" t="s">
        <v>78</v>
      </c>
      <c r="B830" s="3" t="s">
        <v>80</v>
      </c>
      <c r="C830" s="3">
        <v>5</v>
      </c>
      <c r="D830" s="1"/>
      <c r="E830" s="12" t="s">
        <v>19</v>
      </c>
      <c r="F830" s="7" t="s">
        <v>14</v>
      </c>
      <c r="G830" s="7" t="s">
        <v>43</v>
      </c>
      <c r="H830" s="11">
        <v>15.04</v>
      </c>
      <c r="I830" s="8">
        <v>10.4</v>
      </c>
      <c r="J830" s="19">
        <v>1</v>
      </c>
      <c r="K830" s="13">
        <v>0.156416</v>
      </c>
      <c r="L830" s="7" t="s">
        <v>477</v>
      </c>
    </row>
    <row r="831" spans="1:12">
      <c r="A831" s="375" t="s">
        <v>78</v>
      </c>
      <c r="B831" s="3" t="s">
        <v>80</v>
      </c>
      <c r="C831" s="3">
        <v>6</v>
      </c>
      <c r="D831" s="1"/>
      <c r="E831" s="12" t="s">
        <v>19</v>
      </c>
      <c r="F831" s="7" t="s">
        <v>14</v>
      </c>
      <c r="G831" s="7" t="s">
        <v>28</v>
      </c>
      <c r="H831" s="11">
        <v>12.18</v>
      </c>
      <c r="I831" s="8">
        <v>5.4</v>
      </c>
      <c r="J831" s="19">
        <v>1</v>
      </c>
      <c r="K831" s="13">
        <v>6.5772000000000011E-2</v>
      </c>
      <c r="L831" s="7" t="s">
        <v>477</v>
      </c>
    </row>
    <row r="832" spans="1:12">
      <c r="A832" s="375" t="s">
        <v>78</v>
      </c>
      <c r="B832" s="3" t="s">
        <v>80</v>
      </c>
      <c r="C832" s="3"/>
      <c r="D832" s="1"/>
      <c r="E832" s="12"/>
      <c r="F832" s="7" t="s">
        <v>14</v>
      </c>
      <c r="G832" s="7" t="s">
        <v>28</v>
      </c>
      <c r="H832" s="11">
        <v>12.18</v>
      </c>
      <c r="I832" s="8">
        <v>6.75</v>
      </c>
      <c r="J832" s="19">
        <v>1</v>
      </c>
      <c r="K832" s="13">
        <v>8.221500000000001E-2</v>
      </c>
      <c r="L832" s="7" t="s">
        <v>477</v>
      </c>
    </row>
    <row r="833" spans="1:12">
      <c r="A833" s="375" t="s">
        <v>78</v>
      </c>
      <c r="B833" s="3" t="s">
        <v>80</v>
      </c>
      <c r="C833" s="3">
        <v>7</v>
      </c>
      <c r="D833" s="1"/>
      <c r="E833" s="12" t="s">
        <v>20</v>
      </c>
      <c r="F833" s="7" t="s">
        <v>15</v>
      </c>
      <c r="G833" s="7" t="s">
        <v>43</v>
      </c>
      <c r="H833" s="11">
        <v>15.04</v>
      </c>
      <c r="I833" s="8">
        <v>7.6</v>
      </c>
      <c r="J833" s="19">
        <v>2</v>
      </c>
      <c r="K833" s="13">
        <v>0.22860799999999998</v>
      </c>
      <c r="L833" s="7" t="s">
        <v>477</v>
      </c>
    </row>
    <row r="834" spans="1:12">
      <c r="A834" s="375" t="s">
        <v>78</v>
      </c>
      <c r="B834" s="3" t="s">
        <v>80</v>
      </c>
      <c r="C834" s="3">
        <v>13</v>
      </c>
      <c r="D834" s="1"/>
      <c r="E834" s="12" t="s">
        <v>19</v>
      </c>
      <c r="F834" s="7" t="s">
        <v>14</v>
      </c>
      <c r="G834" s="7" t="s">
        <v>39</v>
      </c>
      <c r="H834" s="11">
        <v>14.66</v>
      </c>
      <c r="I834" s="8">
        <v>10.6</v>
      </c>
      <c r="J834" s="19">
        <v>1</v>
      </c>
      <c r="K834" s="13">
        <v>0.15539599999999998</v>
      </c>
      <c r="L834" s="7" t="s">
        <v>477</v>
      </c>
    </row>
    <row r="835" spans="1:12">
      <c r="A835" s="375" t="s">
        <v>78</v>
      </c>
      <c r="B835" s="3" t="s">
        <v>80</v>
      </c>
      <c r="C835" s="3">
        <v>1</v>
      </c>
      <c r="D835" s="1"/>
      <c r="E835" s="12" t="s">
        <v>20</v>
      </c>
      <c r="F835" s="7" t="s">
        <v>15</v>
      </c>
      <c r="G835" s="7" t="s">
        <v>49</v>
      </c>
      <c r="H835" s="11">
        <v>17.82</v>
      </c>
      <c r="I835" s="8">
        <v>11</v>
      </c>
      <c r="J835" s="19">
        <v>1</v>
      </c>
      <c r="K835" s="13">
        <v>0.19602</v>
      </c>
      <c r="L835" s="7" t="s">
        <v>477</v>
      </c>
    </row>
    <row r="836" spans="1:12">
      <c r="A836" s="375" t="s">
        <v>78</v>
      </c>
      <c r="B836" s="3" t="s">
        <v>80</v>
      </c>
      <c r="C836" s="3">
        <v>5</v>
      </c>
      <c r="D836" s="1"/>
      <c r="E836" s="12" t="s">
        <v>75</v>
      </c>
      <c r="F836" s="7" t="s">
        <v>15</v>
      </c>
      <c r="G836" s="7" t="s">
        <v>55</v>
      </c>
      <c r="H836" s="11">
        <v>4.6500000000000004</v>
      </c>
      <c r="I836" s="8">
        <v>9</v>
      </c>
      <c r="J836" s="19">
        <v>1</v>
      </c>
      <c r="K836" s="13">
        <v>4.1849999999999998E-2</v>
      </c>
      <c r="L836" s="7" t="s">
        <v>477</v>
      </c>
    </row>
    <row r="837" spans="1:12">
      <c r="A837" s="375" t="s">
        <v>78</v>
      </c>
      <c r="B837" s="3" t="s">
        <v>80</v>
      </c>
      <c r="C837" s="3">
        <v>5</v>
      </c>
      <c r="D837" s="1"/>
      <c r="E837" s="12" t="s">
        <v>75</v>
      </c>
      <c r="F837" s="7" t="s">
        <v>15</v>
      </c>
      <c r="G837" s="7" t="s">
        <v>55</v>
      </c>
      <c r="H837" s="11">
        <v>4.6500000000000004</v>
      </c>
      <c r="I837" s="8">
        <v>8</v>
      </c>
      <c r="J837" s="19">
        <v>1</v>
      </c>
      <c r="K837" s="13">
        <v>3.7200000000000004E-2</v>
      </c>
      <c r="L837" s="7" t="s">
        <v>477</v>
      </c>
    </row>
    <row r="838" spans="1:12">
      <c r="A838" s="375" t="s">
        <v>78</v>
      </c>
      <c r="B838" s="3" t="s">
        <v>80</v>
      </c>
      <c r="C838" s="3">
        <v>7</v>
      </c>
      <c r="D838" s="1"/>
      <c r="E838" s="12" t="s">
        <v>81</v>
      </c>
      <c r="F838" s="7" t="s">
        <v>14</v>
      </c>
      <c r="G838" s="7" t="s">
        <v>22</v>
      </c>
      <c r="H838" s="11">
        <v>10.73</v>
      </c>
      <c r="I838" s="8">
        <v>8</v>
      </c>
      <c r="J838" s="19">
        <v>2</v>
      </c>
      <c r="K838" s="13">
        <v>0.17168</v>
      </c>
      <c r="L838" s="7" t="s">
        <v>477</v>
      </c>
    </row>
    <row r="839" spans="1:12">
      <c r="A839" s="375" t="s">
        <v>78</v>
      </c>
      <c r="B839" s="3" t="s">
        <v>80</v>
      </c>
      <c r="C839" s="3">
        <v>7</v>
      </c>
      <c r="D839" s="1"/>
      <c r="E839" s="12" t="s">
        <v>81</v>
      </c>
      <c r="F839" s="7" t="s">
        <v>14</v>
      </c>
      <c r="G839" s="7" t="s">
        <v>22</v>
      </c>
      <c r="H839" s="11">
        <v>10.73</v>
      </c>
      <c r="I839" s="52">
        <v>11</v>
      </c>
      <c r="J839" s="19">
        <v>1</v>
      </c>
      <c r="K839" s="13">
        <v>0.11803</v>
      </c>
      <c r="L839" s="7" t="s">
        <v>477</v>
      </c>
    </row>
    <row r="840" spans="1:12">
      <c r="A840" s="375" t="s">
        <v>78</v>
      </c>
      <c r="B840" s="7" t="s">
        <v>109</v>
      </c>
      <c r="C840" s="3">
        <v>3</v>
      </c>
      <c r="D840" s="1"/>
      <c r="E840" s="12" t="s">
        <v>20</v>
      </c>
      <c r="F840" s="7" t="s">
        <v>15</v>
      </c>
      <c r="G840" s="7" t="s">
        <v>44</v>
      </c>
      <c r="H840" s="11">
        <v>13.4</v>
      </c>
      <c r="I840" s="8">
        <v>7.6</v>
      </c>
      <c r="J840" s="19">
        <v>2</v>
      </c>
      <c r="K840" s="13">
        <v>0.20368</v>
      </c>
      <c r="L840" s="7" t="s">
        <v>477</v>
      </c>
    </row>
    <row r="841" spans="1:12">
      <c r="A841" s="375" t="s">
        <v>78</v>
      </c>
      <c r="B841" s="7" t="s">
        <v>109</v>
      </c>
      <c r="C841" s="3">
        <v>3</v>
      </c>
      <c r="D841" s="1"/>
      <c r="E841" s="12" t="s">
        <v>20</v>
      </c>
      <c r="F841" s="7" t="s">
        <v>15</v>
      </c>
      <c r="G841" s="7" t="s">
        <v>44</v>
      </c>
      <c r="H841" s="11">
        <v>13.4</v>
      </c>
      <c r="I841" s="8">
        <v>6.8</v>
      </c>
      <c r="J841" s="19">
        <v>1</v>
      </c>
      <c r="K841" s="13">
        <v>9.1120000000000007E-2</v>
      </c>
      <c r="L841" s="7" t="s">
        <v>477</v>
      </c>
    </row>
    <row r="842" spans="1:12">
      <c r="A842" s="375" t="s">
        <v>78</v>
      </c>
      <c r="B842" s="7" t="s">
        <v>109</v>
      </c>
      <c r="C842" s="3">
        <v>7</v>
      </c>
      <c r="D842" s="1"/>
      <c r="E842" s="12" t="s">
        <v>19</v>
      </c>
      <c r="F842" s="7" t="s">
        <v>14</v>
      </c>
      <c r="G842" s="7" t="s">
        <v>110</v>
      </c>
      <c r="H842" s="11">
        <v>8.49</v>
      </c>
      <c r="I842" s="52">
        <v>7.7</v>
      </c>
      <c r="J842" s="19">
        <v>1</v>
      </c>
      <c r="K842" s="13">
        <v>6.5373000000000001E-2</v>
      </c>
      <c r="L842" s="7" t="s">
        <v>477</v>
      </c>
    </row>
    <row r="843" spans="1:12">
      <c r="A843" s="375" t="s">
        <v>78</v>
      </c>
      <c r="B843" s="7" t="s">
        <v>109</v>
      </c>
      <c r="C843" s="3">
        <v>9</v>
      </c>
      <c r="D843" s="1"/>
      <c r="E843" s="12" t="s">
        <v>19</v>
      </c>
      <c r="F843" s="7" t="s">
        <v>14</v>
      </c>
      <c r="G843" s="7" t="s">
        <v>55</v>
      </c>
      <c r="H843" s="11">
        <v>4.6500000000000004</v>
      </c>
      <c r="I843" s="52">
        <v>11</v>
      </c>
      <c r="J843" s="19">
        <v>1</v>
      </c>
      <c r="K843" s="13">
        <v>5.1150000000000008E-2</v>
      </c>
      <c r="L843" s="7" t="s">
        <v>477</v>
      </c>
    </row>
    <row r="844" spans="1:12">
      <c r="A844" s="375" t="s">
        <v>78</v>
      </c>
      <c r="B844" s="7" t="s">
        <v>111</v>
      </c>
      <c r="C844" s="3">
        <v>1</v>
      </c>
      <c r="D844" s="1"/>
      <c r="E844" s="12" t="s">
        <v>128</v>
      </c>
      <c r="F844" s="7" t="s">
        <v>15</v>
      </c>
      <c r="G844" s="7" t="s">
        <v>53</v>
      </c>
      <c r="H844" s="11">
        <v>35.840000000000003</v>
      </c>
      <c r="I844" s="8">
        <v>6.5</v>
      </c>
      <c r="J844" s="19">
        <v>1</v>
      </c>
      <c r="K844" s="13">
        <v>0.23296000000000003</v>
      </c>
      <c r="L844" s="7" t="s">
        <v>477</v>
      </c>
    </row>
    <row r="845" spans="1:12">
      <c r="A845" s="375" t="s">
        <v>78</v>
      </c>
      <c r="B845" s="7" t="s">
        <v>111</v>
      </c>
      <c r="C845" s="3">
        <v>2</v>
      </c>
      <c r="D845" s="1"/>
      <c r="E845" s="12" t="s">
        <v>20</v>
      </c>
      <c r="F845" s="7" t="s">
        <v>15</v>
      </c>
      <c r="G845" s="7" t="s">
        <v>35</v>
      </c>
      <c r="H845" s="11">
        <v>16.579999999999998</v>
      </c>
      <c r="I845" s="52">
        <v>7.8</v>
      </c>
      <c r="J845" s="19">
        <v>2</v>
      </c>
      <c r="K845" s="13">
        <v>0.25864799999999999</v>
      </c>
      <c r="L845" s="7" t="s">
        <v>477</v>
      </c>
    </row>
    <row r="846" spans="1:12">
      <c r="A846" s="375" t="s">
        <v>78</v>
      </c>
      <c r="B846" s="7" t="s">
        <v>111</v>
      </c>
      <c r="C846" s="3">
        <v>2</v>
      </c>
      <c r="D846" s="1"/>
      <c r="E846" s="12" t="s">
        <v>20</v>
      </c>
      <c r="F846" s="7" t="s">
        <v>15</v>
      </c>
      <c r="G846" s="7" t="s">
        <v>35</v>
      </c>
      <c r="H846" s="11">
        <v>16.579999999999998</v>
      </c>
      <c r="I846" s="52">
        <v>8.3000000000000007</v>
      </c>
      <c r="J846" s="19">
        <v>3</v>
      </c>
      <c r="K846" s="13">
        <v>0.41284199999999999</v>
      </c>
      <c r="L846" s="7" t="s">
        <v>477</v>
      </c>
    </row>
    <row r="847" spans="1:12">
      <c r="A847" s="375" t="s">
        <v>78</v>
      </c>
      <c r="B847" s="7" t="s">
        <v>111</v>
      </c>
      <c r="C847" s="3">
        <v>4</v>
      </c>
      <c r="D847" s="1"/>
      <c r="E847" s="12" t="s">
        <v>20</v>
      </c>
      <c r="F847" s="7" t="s">
        <v>15</v>
      </c>
      <c r="G847" s="7" t="s">
        <v>47</v>
      </c>
      <c r="H847" s="11">
        <v>15</v>
      </c>
      <c r="I847" s="52">
        <v>7.6</v>
      </c>
      <c r="J847" s="19">
        <v>1</v>
      </c>
      <c r="K847" s="13">
        <v>0.114</v>
      </c>
      <c r="L847" s="7" t="s">
        <v>477</v>
      </c>
    </row>
    <row r="848" spans="1:12">
      <c r="A848" s="375" t="s">
        <v>78</v>
      </c>
      <c r="B848" s="7" t="s">
        <v>111</v>
      </c>
      <c r="C848" s="3">
        <v>4</v>
      </c>
      <c r="D848" s="1"/>
      <c r="E848" s="12" t="s">
        <v>20</v>
      </c>
      <c r="F848" s="7" t="s">
        <v>15</v>
      </c>
      <c r="G848" s="7" t="s">
        <v>47</v>
      </c>
      <c r="H848" s="11">
        <v>15</v>
      </c>
      <c r="I848" s="52">
        <v>12</v>
      </c>
      <c r="J848" s="19">
        <v>1</v>
      </c>
      <c r="K848" s="13">
        <v>0.18</v>
      </c>
      <c r="L848" s="7" t="s">
        <v>477</v>
      </c>
    </row>
    <row r="849" spans="1:12">
      <c r="A849" s="375" t="s">
        <v>78</v>
      </c>
      <c r="B849" s="7" t="s">
        <v>111</v>
      </c>
      <c r="C849" s="3">
        <v>5</v>
      </c>
      <c r="D849" s="1"/>
      <c r="E849" s="12" t="s">
        <v>20</v>
      </c>
      <c r="F849" s="7" t="s">
        <v>15</v>
      </c>
      <c r="G849" s="7" t="s">
        <v>65</v>
      </c>
      <c r="H849" s="11">
        <v>44.12</v>
      </c>
      <c r="I849" s="52">
        <v>8.1</v>
      </c>
      <c r="J849" s="19">
        <v>1</v>
      </c>
      <c r="K849" s="13">
        <v>0.35737199999999997</v>
      </c>
      <c r="L849" s="7" t="s">
        <v>477</v>
      </c>
    </row>
    <row r="850" spans="1:12">
      <c r="A850" s="375" t="s">
        <v>78</v>
      </c>
      <c r="B850" s="7" t="s">
        <v>111</v>
      </c>
      <c r="C850" s="3">
        <v>6</v>
      </c>
      <c r="D850" s="1"/>
      <c r="E850" s="12" t="s">
        <v>20</v>
      </c>
      <c r="F850" s="7" t="s">
        <v>15</v>
      </c>
      <c r="G850" s="7" t="s">
        <v>50</v>
      </c>
      <c r="H850" s="11">
        <v>21.7</v>
      </c>
      <c r="I850" s="52">
        <v>8.9</v>
      </c>
      <c r="J850" s="19">
        <v>1</v>
      </c>
      <c r="K850" s="13">
        <v>0.19313</v>
      </c>
      <c r="L850" s="7" t="s">
        <v>477</v>
      </c>
    </row>
    <row r="851" spans="1:12">
      <c r="A851" s="375" t="s">
        <v>78</v>
      </c>
      <c r="B851" s="7" t="s">
        <v>111</v>
      </c>
      <c r="C851" s="3">
        <v>6</v>
      </c>
      <c r="D851" s="1"/>
      <c r="E851" s="12" t="s">
        <v>20</v>
      </c>
      <c r="F851" s="7" t="s">
        <v>15</v>
      </c>
      <c r="G851" s="7" t="s">
        <v>50</v>
      </c>
      <c r="H851" s="11">
        <v>21.7</v>
      </c>
      <c r="I851" s="52">
        <v>9.5</v>
      </c>
      <c r="J851" s="19">
        <v>1</v>
      </c>
      <c r="K851" s="13">
        <v>0.20615</v>
      </c>
      <c r="L851" s="7" t="s">
        <v>477</v>
      </c>
    </row>
    <row r="852" spans="1:12">
      <c r="A852" s="375" t="s">
        <v>78</v>
      </c>
      <c r="B852" s="7" t="s">
        <v>111</v>
      </c>
      <c r="C852" s="3">
        <v>6</v>
      </c>
      <c r="D852" s="1"/>
      <c r="E852" s="12" t="s">
        <v>20</v>
      </c>
      <c r="F852" s="7" t="s">
        <v>15</v>
      </c>
      <c r="G852" s="7" t="s">
        <v>50</v>
      </c>
      <c r="H852" s="11">
        <v>21.7</v>
      </c>
      <c r="I852" s="52">
        <v>11.1</v>
      </c>
      <c r="J852" s="19">
        <v>1</v>
      </c>
      <c r="K852" s="13">
        <v>0.24086999999999997</v>
      </c>
      <c r="L852" s="7" t="s">
        <v>477</v>
      </c>
    </row>
    <row r="853" spans="1:12">
      <c r="A853" s="375" t="s">
        <v>78</v>
      </c>
      <c r="B853" s="7" t="s">
        <v>111</v>
      </c>
      <c r="C853" s="3">
        <v>6</v>
      </c>
      <c r="D853" s="1"/>
      <c r="E853" s="12" t="s">
        <v>20</v>
      </c>
      <c r="F853" s="7" t="s">
        <v>15</v>
      </c>
      <c r="G853" s="7" t="s">
        <v>50</v>
      </c>
      <c r="H853" s="11">
        <v>21.7</v>
      </c>
      <c r="I853" s="52">
        <v>11.3</v>
      </c>
      <c r="J853" s="19">
        <v>1</v>
      </c>
      <c r="K853" s="13">
        <v>0.24521000000000001</v>
      </c>
      <c r="L853" s="7" t="s">
        <v>477</v>
      </c>
    </row>
    <row r="854" spans="1:12">
      <c r="A854" s="375" t="s">
        <v>78</v>
      </c>
      <c r="B854" s="7" t="s">
        <v>111</v>
      </c>
      <c r="C854" s="3">
        <v>7</v>
      </c>
      <c r="D854" s="1"/>
      <c r="E854" s="12" t="s">
        <v>20</v>
      </c>
      <c r="F854" s="7" t="s">
        <v>15</v>
      </c>
      <c r="G854" s="7" t="s">
        <v>64</v>
      </c>
      <c r="H854" s="11">
        <v>40.1</v>
      </c>
      <c r="I854" s="52">
        <v>8.5</v>
      </c>
      <c r="J854" s="19">
        <v>1</v>
      </c>
      <c r="K854" s="13">
        <v>0.34085000000000004</v>
      </c>
      <c r="L854" s="7" t="s">
        <v>477</v>
      </c>
    </row>
    <row r="855" spans="1:12">
      <c r="A855" s="375" t="s">
        <v>78</v>
      </c>
      <c r="B855" s="7" t="s">
        <v>80</v>
      </c>
      <c r="C855" s="3">
        <v>9</v>
      </c>
      <c r="D855" s="7"/>
      <c r="E855" s="12" t="s">
        <v>94</v>
      </c>
      <c r="F855" s="7" t="s">
        <v>15</v>
      </c>
      <c r="G855" s="7" t="s">
        <v>21</v>
      </c>
      <c r="H855" s="11">
        <v>6.97</v>
      </c>
      <c r="I855" s="8">
        <v>9</v>
      </c>
      <c r="J855" s="19">
        <v>8</v>
      </c>
      <c r="K855" s="13">
        <v>0.50183999999999995</v>
      </c>
      <c r="L855" s="7" t="s">
        <v>477</v>
      </c>
    </row>
    <row r="856" spans="1:12">
      <c r="A856" s="375" t="s">
        <v>78</v>
      </c>
      <c r="B856" s="7" t="s">
        <v>80</v>
      </c>
      <c r="C856" s="3">
        <v>2</v>
      </c>
      <c r="D856" s="7"/>
      <c r="E856" s="12" t="s">
        <v>75</v>
      </c>
      <c r="F856" s="7" t="s">
        <v>15</v>
      </c>
      <c r="G856" s="7" t="s">
        <v>32</v>
      </c>
      <c r="H856" s="11">
        <v>8.3000000000000007</v>
      </c>
      <c r="I856" s="52">
        <v>11.1</v>
      </c>
      <c r="J856" s="19">
        <v>2</v>
      </c>
      <c r="K856" s="13">
        <v>0.18426000000000001</v>
      </c>
      <c r="L856" s="7" t="s">
        <v>477</v>
      </c>
    </row>
    <row r="857" spans="1:12">
      <c r="A857" s="375" t="s">
        <v>78</v>
      </c>
      <c r="B857" s="7" t="s">
        <v>80</v>
      </c>
      <c r="C857" s="3">
        <v>3</v>
      </c>
      <c r="D857" s="7"/>
      <c r="E857" s="12" t="s">
        <v>75</v>
      </c>
      <c r="F857" s="7" t="s">
        <v>15</v>
      </c>
      <c r="G857" s="7" t="s">
        <v>32</v>
      </c>
      <c r="H857" s="11">
        <v>8.3000000000000007</v>
      </c>
      <c r="I857" s="52">
        <v>10.5</v>
      </c>
      <c r="J857" s="19">
        <v>4</v>
      </c>
      <c r="K857" s="13">
        <v>0.34860000000000002</v>
      </c>
      <c r="L857" s="7" t="s">
        <v>477</v>
      </c>
    </row>
    <row r="858" spans="1:12">
      <c r="A858" s="375" t="s">
        <v>78</v>
      </c>
      <c r="B858" s="7" t="s">
        <v>80</v>
      </c>
      <c r="C858" s="3">
        <v>3</v>
      </c>
      <c r="D858" s="7"/>
      <c r="E858" s="12" t="s">
        <v>75</v>
      </c>
      <c r="F858" s="7" t="s">
        <v>15</v>
      </c>
      <c r="G858" s="7" t="s">
        <v>32</v>
      </c>
      <c r="H858" s="11">
        <v>8.3000000000000007</v>
      </c>
      <c r="I858" s="52">
        <v>10.8</v>
      </c>
      <c r="J858" s="19">
        <v>1</v>
      </c>
      <c r="K858" s="13">
        <v>8.9640000000000011E-2</v>
      </c>
      <c r="L858" s="7" t="s">
        <v>477</v>
      </c>
    </row>
    <row r="859" spans="1:12">
      <c r="A859" s="375" t="s">
        <v>78</v>
      </c>
      <c r="B859" s="7" t="s">
        <v>80</v>
      </c>
      <c r="C859" s="3">
        <v>1</v>
      </c>
      <c r="D859" s="7"/>
      <c r="E859" s="12" t="s">
        <v>91</v>
      </c>
      <c r="F859" s="7" t="s">
        <v>15</v>
      </c>
      <c r="G859" s="7" t="s">
        <v>58</v>
      </c>
      <c r="H859" s="11">
        <v>27.29</v>
      </c>
      <c r="I859" s="52">
        <v>11.2</v>
      </c>
      <c r="J859" s="19">
        <v>1</v>
      </c>
      <c r="K859" s="13">
        <v>0.30564799999999998</v>
      </c>
      <c r="L859" s="7" t="s">
        <v>477</v>
      </c>
    </row>
    <row r="860" spans="1:12">
      <c r="A860" s="375" t="s">
        <v>78</v>
      </c>
      <c r="B860" s="7" t="s">
        <v>80</v>
      </c>
      <c r="C860" s="3">
        <v>1</v>
      </c>
      <c r="D860" s="7"/>
      <c r="E860" s="12" t="s">
        <v>91</v>
      </c>
      <c r="F860" s="7" t="s">
        <v>15</v>
      </c>
      <c r="G860" s="7" t="s">
        <v>58</v>
      </c>
      <c r="H860" s="11">
        <v>27.29</v>
      </c>
      <c r="I860" s="52">
        <v>9.1999999999999993</v>
      </c>
      <c r="J860" s="19">
        <v>3</v>
      </c>
      <c r="K860" s="13">
        <v>0.75320399999999998</v>
      </c>
      <c r="L860" s="7" t="s">
        <v>477</v>
      </c>
    </row>
    <row r="861" spans="1:12">
      <c r="A861" s="375" t="s">
        <v>78</v>
      </c>
      <c r="B861" s="7" t="s">
        <v>80</v>
      </c>
      <c r="C861" s="3">
        <v>1</v>
      </c>
      <c r="D861" s="7"/>
      <c r="E861" s="12" t="s">
        <v>91</v>
      </c>
      <c r="F861" s="7" t="s">
        <v>15</v>
      </c>
      <c r="G861" s="7" t="s">
        <v>42</v>
      </c>
      <c r="H861" s="11">
        <v>19.72</v>
      </c>
      <c r="I861" s="52">
        <v>7.5</v>
      </c>
      <c r="J861" s="19">
        <v>2</v>
      </c>
      <c r="K861" s="13">
        <v>0.29579999999999995</v>
      </c>
      <c r="L861" s="7" t="s">
        <v>477</v>
      </c>
    </row>
    <row r="862" spans="1:12">
      <c r="A862" s="375" t="s">
        <v>78</v>
      </c>
      <c r="B862" s="7" t="s">
        <v>80</v>
      </c>
      <c r="C862" s="3">
        <v>1</v>
      </c>
      <c r="D862" s="7"/>
      <c r="E862" s="12" t="s">
        <v>91</v>
      </c>
      <c r="F862" s="7" t="s">
        <v>15</v>
      </c>
      <c r="G862" s="7" t="s">
        <v>42</v>
      </c>
      <c r="H862" s="11">
        <v>19.72</v>
      </c>
      <c r="I862" s="52">
        <v>8.3000000000000007</v>
      </c>
      <c r="J862" s="19">
        <v>1</v>
      </c>
      <c r="K862" s="13">
        <v>0.16367600000000002</v>
      </c>
      <c r="L862" s="7" t="s">
        <v>477</v>
      </c>
    </row>
    <row r="863" spans="1:12">
      <c r="A863" s="375" t="s">
        <v>78</v>
      </c>
      <c r="B863" s="7" t="s">
        <v>80</v>
      </c>
      <c r="C863" s="3">
        <v>1</v>
      </c>
      <c r="D863" s="7"/>
      <c r="E863" s="38" t="s">
        <v>17</v>
      </c>
      <c r="F863" s="7" t="s">
        <v>15</v>
      </c>
      <c r="G863" s="7" t="s">
        <v>56</v>
      </c>
      <c r="H863" s="11">
        <v>25.2</v>
      </c>
      <c r="I863" s="8">
        <v>5.5</v>
      </c>
      <c r="J863" s="19">
        <v>3</v>
      </c>
      <c r="K863" s="13">
        <v>0.4158</v>
      </c>
      <c r="L863" s="7" t="s">
        <v>477</v>
      </c>
    </row>
    <row r="864" spans="1:12">
      <c r="A864" s="375" t="s">
        <v>78</v>
      </c>
      <c r="B864" s="7" t="s">
        <v>80</v>
      </c>
      <c r="C864" s="3">
        <v>1</v>
      </c>
      <c r="D864" s="7"/>
      <c r="E864" s="38" t="s">
        <v>17</v>
      </c>
      <c r="F864" s="7" t="s">
        <v>15</v>
      </c>
      <c r="G864" s="7" t="s">
        <v>56</v>
      </c>
      <c r="H864" s="11">
        <v>25.2</v>
      </c>
      <c r="I864" s="8">
        <v>6</v>
      </c>
      <c r="J864" s="19">
        <v>2</v>
      </c>
      <c r="K864" s="13">
        <v>0.3024</v>
      </c>
      <c r="L864" s="7" t="s">
        <v>477</v>
      </c>
    </row>
    <row r="865" spans="1:12">
      <c r="A865" s="375" t="s">
        <v>78</v>
      </c>
      <c r="B865" s="7" t="s">
        <v>80</v>
      </c>
      <c r="C865" s="3">
        <v>1</v>
      </c>
      <c r="D865" s="7"/>
      <c r="E865" s="12" t="s">
        <v>88</v>
      </c>
      <c r="F865" s="7" t="s">
        <v>15</v>
      </c>
      <c r="G865" s="7" t="s">
        <v>57</v>
      </c>
      <c r="H865" s="11">
        <v>33.72</v>
      </c>
      <c r="I865" s="52">
        <v>9.6999999999999993</v>
      </c>
      <c r="J865" s="106">
        <v>2</v>
      </c>
      <c r="K865" s="13">
        <v>0.65416799999999986</v>
      </c>
      <c r="L865" s="7" t="s">
        <v>477</v>
      </c>
    </row>
    <row r="866" spans="1:12">
      <c r="A866" s="375" t="s">
        <v>78</v>
      </c>
      <c r="B866" s="7" t="s">
        <v>80</v>
      </c>
      <c r="C866" s="3">
        <v>1</v>
      </c>
      <c r="D866" s="7"/>
      <c r="E866" s="12" t="s">
        <v>88</v>
      </c>
      <c r="F866" s="7" t="s">
        <v>15</v>
      </c>
      <c r="G866" s="7" t="s">
        <v>57</v>
      </c>
      <c r="H866" s="11">
        <v>33.72</v>
      </c>
      <c r="I866" s="52">
        <v>9.1</v>
      </c>
      <c r="J866" s="106">
        <v>1</v>
      </c>
      <c r="K866" s="13">
        <v>0.30685199999999996</v>
      </c>
      <c r="L866" s="7" t="s">
        <v>477</v>
      </c>
    </row>
    <row r="867" spans="1:12">
      <c r="A867" s="375" t="s">
        <v>78</v>
      </c>
      <c r="B867" s="7" t="s">
        <v>80</v>
      </c>
      <c r="C867" s="3">
        <v>1</v>
      </c>
      <c r="D867" s="7"/>
      <c r="E867" s="12" t="s">
        <v>88</v>
      </c>
      <c r="F867" s="7" t="s">
        <v>15</v>
      </c>
      <c r="G867" s="7" t="s">
        <v>57</v>
      </c>
      <c r="H867" s="11">
        <v>33.72</v>
      </c>
      <c r="I867" s="52">
        <v>7.5</v>
      </c>
      <c r="J867" s="106">
        <v>3</v>
      </c>
      <c r="K867" s="13">
        <v>0.75869999999999993</v>
      </c>
      <c r="L867" s="7" t="s">
        <v>477</v>
      </c>
    </row>
    <row r="868" spans="1:12">
      <c r="A868" s="375" t="s">
        <v>78</v>
      </c>
      <c r="B868" s="7" t="s">
        <v>80</v>
      </c>
      <c r="C868" s="3">
        <v>1</v>
      </c>
      <c r="D868" s="7"/>
      <c r="E868" s="12" t="s">
        <v>114</v>
      </c>
      <c r="F868" s="7" t="s">
        <v>15</v>
      </c>
      <c r="G868" s="7" t="s">
        <v>32</v>
      </c>
      <c r="H868" s="11">
        <v>8.3000000000000007</v>
      </c>
      <c r="I868" s="52">
        <v>6</v>
      </c>
      <c r="J868" s="19">
        <v>2</v>
      </c>
      <c r="K868" s="13">
        <v>9.9600000000000008E-2</v>
      </c>
      <c r="L868" s="7" t="s">
        <v>477</v>
      </c>
    </row>
    <row r="869" spans="1:12">
      <c r="A869" s="375" t="s">
        <v>78</v>
      </c>
      <c r="B869" s="7" t="s">
        <v>80</v>
      </c>
      <c r="C869" s="3">
        <v>1</v>
      </c>
      <c r="D869" s="7"/>
      <c r="E869" s="12" t="s">
        <v>20</v>
      </c>
      <c r="F869" s="7" t="s">
        <v>15</v>
      </c>
      <c r="G869" s="7" t="s">
        <v>27</v>
      </c>
      <c r="H869" s="11">
        <v>6.17</v>
      </c>
      <c r="I869" s="8">
        <v>8.1</v>
      </c>
      <c r="J869" s="19">
        <v>1</v>
      </c>
      <c r="K869" s="13">
        <v>4.9976999999999994E-2</v>
      </c>
      <c r="L869" s="7" t="s">
        <v>477</v>
      </c>
    </row>
    <row r="870" spans="1:12">
      <c r="A870" s="375" t="s">
        <v>78</v>
      </c>
      <c r="B870" s="7" t="s">
        <v>80</v>
      </c>
      <c r="C870" s="3">
        <v>1</v>
      </c>
      <c r="D870" s="7"/>
      <c r="E870" s="12" t="s">
        <v>20</v>
      </c>
      <c r="F870" s="7" t="s">
        <v>15</v>
      </c>
      <c r="G870" s="7" t="s">
        <v>27</v>
      </c>
      <c r="H870" s="11">
        <v>6.17</v>
      </c>
      <c r="I870" s="8">
        <v>8.9</v>
      </c>
      <c r="J870" s="19">
        <v>3</v>
      </c>
      <c r="K870" s="13">
        <v>0.164739</v>
      </c>
      <c r="L870" s="7" t="s">
        <v>477</v>
      </c>
    </row>
    <row r="871" spans="1:12">
      <c r="A871" s="375" t="s">
        <v>78</v>
      </c>
      <c r="B871" s="7" t="s">
        <v>80</v>
      </c>
      <c r="C871" s="3">
        <v>1</v>
      </c>
      <c r="D871" s="7"/>
      <c r="E871" s="12" t="s">
        <v>20</v>
      </c>
      <c r="F871" s="7" t="s">
        <v>15</v>
      </c>
      <c r="G871" s="7" t="s">
        <v>27</v>
      </c>
      <c r="H871" s="11">
        <v>6.17</v>
      </c>
      <c r="I871" s="8">
        <v>9.5</v>
      </c>
      <c r="J871" s="19">
        <v>2</v>
      </c>
      <c r="K871" s="13">
        <v>0.11723</v>
      </c>
      <c r="L871" s="7" t="s">
        <v>477</v>
      </c>
    </row>
    <row r="872" spans="1:12">
      <c r="A872" s="362" t="s">
        <v>136</v>
      </c>
      <c r="B872" s="7" t="s">
        <v>137</v>
      </c>
      <c r="C872" s="3">
        <v>1</v>
      </c>
      <c r="D872" s="7"/>
      <c r="E872" s="12" t="s">
        <v>88</v>
      </c>
      <c r="F872" s="7" t="s">
        <v>15</v>
      </c>
      <c r="G872" s="7" t="s">
        <v>53</v>
      </c>
      <c r="H872" s="11">
        <v>35.840000000000003</v>
      </c>
      <c r="I872" s="52">
        <v>7.5</v>
      </c>
      <c r="J872" s="19">
        <v>1</v>
      </c>
      <c r="K872" s="13">
        <v>0.26880000000000004</v>
      </c>
      <c r="L872" s="7" t="s">
        <v>477</v>
      </c>
    </row>
    <row r="873" spans="1:12">
      <c r="A873" s="362" t="s">
        <v>136</v>
      </c>
      <c r="B873" s="7" t="s">
        <v>137</v>
      </c>
      <c r="C873" s="3">
        <v>1</v>
      </c>
      <c r="D873" s="7"/>
      <c r="E873" s="12" t="s">
        <v>88</v>
      </c>
      <c r="F873" s="7" t="s">
        <v>15</v>
      </c>
      <c r="G873" s="7" t="s">
        <v>58</v>
      </c>
      <c r="H873" s="11">
        <v>27.29</v>
      </c>
      <c r="I873" s="52">
        <v>6</v>
      </c>
      <c r="J873" s="19">
        <v>1</v>
      </c>
      <c r="K873" s="13">
        <v>0.16374</v>
      </c>
      <c r="L873" s="7" t="s">
        <v>477</v>
      </c>
    </row>
    <row r="874" spans="1:12">
      <c r="A874" s="362" t="s">
        <v>136</v>
      </c>
      <c r="B874" s="7" t="s">
        <v>137</v>
      </c>
      <c r="C874" s="3">
        <v>3</v>
      </c>
      <c r="D874" s="7"/>
      <c r="E874" s="12" t="s">
        <v>138</v>
      </c>
      <c r="F874" s="7" t="s">
        <v>15</v>
      </c>
      <c r="G874" s="7" t="s">
        <v>50</v>
      </c>
      <c r="H874" s="11">
        <v>21.7</v>
      </c>
      <c r="I874" s="52">
        <v>8.5</v>
      </c>
      <c r="J874" s="19">
        <v>1</v>
      </c>
      <c r="K874" s="13">
        <v>0.18444999999999998</v>
      </c>
      <c r="L874" s="7" t="s">
        <v>477</v>
      </c>
    </row>
    <row r="875" spans="1:12">
      <c r="A875" s="362" t="s">
        <v>136</v>
      </c>
      <c r="B875" s="7" t="s">
        <v>137</v>
      </c>
      <c r="C875" s="3">
        <v>4</v>
      </c>
      <c r="D875" s="7"/>
      <c r="E875" s="12" t="s">
        <v>139</v>
      </c>
      <c r="F875" s="7" t="s">
        <v>15</v>
      </c>
      <c r="G875" s="7" t="s">
        <v>49</v>
      </c>
      <c r="H875" s="11">
        <v>17.82</v>
      </c>
      <c r="I875" s="52">
        <v>6.2</v>
      </c>
      <c r="J875" s="19">
        <v>6</v>
      </c>
      <c r="K875" s="13">
        <v>0.66290400000000016</v>
      </c>
      <c r="L875" s="7" t="s">
        <v>477</v>
      </c>
    </row>
    <row r="876" spans="1:12">
      <c r="A876" s="362" t="s">
        <v>136</v>
      </c>
      <c r="B876" s="7" t="s">
        <v>137</v>
      </c>
      <c r="C876" s="3">
        <v>4</v>
      </c>
      <c r="D876" s="7"/>
      <c r="E876" s="12" t="s">
        <v>139</v>
      </c>
      <c r="F876" s="7" t="s">
        <v>15</v>
      </c>
      <c r="G876" s="7" t="s">
        <v>49</v>
      </c>
      <c r="H876" s="11">
        <v>17.82</v>
      </c>
      <c r="I876" s="52">
        <v>6.8</v>
      </c>
      <c r="J876" s="19">
        <v>2</v>
      </c>
      <c r="K876" s="13">
        <v>0.24235200000000001</v>
      </c>
      <c r="L876" s="7" t="s">
        <v>477</v>
      </c>
    </row>
    <row r="877" spans="1:12">
      <c r="A877" s="362" t="s">
        <v>136</v>
      </c>
      <c r="B877" s="7" t="s">
        <v>137</v>
      </c>
      <c r="C877" s="3">
        <v>4</v>
      </c>
      <c r="D877" s="7"/>
      <c r="E877" s="59" t="s">
        <v>139</v>
      </c>
      <c r="F877" s="60" t="s">
        <v>15</v>
      </c>
      <c r="G877" s="60" t="s">
        <v>49</v>
      </c>
      <c r="H877" s="61">
        <v>17.82</v>
      </c>
      <c r="I877" s="70">
        <v>7.2</v>
      </c>
      <c r="J877" s="64">
        <v>1</v>
      </c>
      <c r="K877" s="65">
        <v>0.128304</v>
      </c>
      <c r="L877" s="7" t="s">
        <v>477</v>
      </c>
    </row>
    <row r="878" spans="1:12">
      <c r="A878" s="362" t="s">
        <v>136</v>
      </c>
      <c r="B878" s="7" t="s">
        <v>137</v>
      </c>
      <c r="C878" s="3">
        <v>4</v>
      </c>
      <c r="D878" s="7"/>
      <c r="E878" s="12" t="s">
        <v>139</v>
      </c>
      <c r="F878" s="7" t="s">
        <v>15</v>
      </c>
      <c r="G878" s="7" t="s">
        <v>49</v>
      </c>
      <c r="H878" s="11">
        <v>17.82</v>
      </c>
      <c r="I878" s="52">
        <v>7.4</v>
      </c>
      <c r="J878" s="19">
        <v>1</v>
      </c>
      <c r="K878" s="13">
        <v>0.13186799999999999</v>
      </c>
      <c r="L878" s="7" t="s">
        <v>477</v>
      </c>
    </row>
    <row r="879" spans="1:12">
      <c r="A879" s="362" t="s">
        <v>136</v>
      </c>
      <c r="B879" s="7" t="s">
        <v>137</v>
      </c>
      <c r="C879" s="3">
        <v>5</v>
      </c>
      <c r="D879" s="7"/>
      <c r="E879" s="12" t="s">
        <v>20</v>
      </c>
      <c r="F879" s="7" t="s">
        <v>15</v>
      </c>
      <c r="G879" s="7" t="s">
        <v>49</v>
      </c>
      <c r="H879" s="11">
        <v>17.82</v>
      </c>
      <c r="I879" s="52">
        <v>6.2</v>
      </c>
      <c r="J879" s="19">
        <v>1</v>
      </c>
      <c r="K879" s="13">
        <v>0.11048400000000001</v>
      </c>
      <c r="L879" s="7" t="s">
        <v>477</v>
      </c>
    </row>
    <row r="880" spans="1:12">
      <c r="A880" s="362" t="s">
        <v>136</v>
      </c>
      <c r="B880" s="7" t="s">
        <v>137</v>
      </c>
      <c r="C880" s="3">
        <v>5</v>
      </c>
      <c r="D880" s="7"/>
      <c r="E880" s="12" t="s">
        <v>20</v>
      </c>
      <c r="F880" s="7" t="s">
        <v>15</v>
      </c>
      <c r="G880" s="7" t="s">
        <v>50</v>
      </c>
      <c r="H880" s="11">
        <v>21.7</v>
      </c>
      <c r="I880" s="52">
        <v>6.5</v>
      </c>
      <c r="J880" s="19">
        <v>1</v>
      </c>
      <c r="K880" s="13">
        <v>0.14104999999999998</v>
      </c>
      <c r="L880" s="7" t="s">
        <v>477</v>
      </c>
    </row>
    <row r="881" spans="1:12">
      <c r="A881" s="362" t="s">
        <v>136</v>
      </c>
      <c r="B881" s="7" t="s">
        <v>137</v>
      </c>
      <c r="C881" s="3">
        <v>6</v>
      </c>
      <c r="D881" s="7"/>
      <c r="E881" s="12" t="s">
        <v>19</v>
      </c>
      <c r="F881" s="7" t="s">
        <v>14</v>
      </c>
      <c r="G881" s="7" t="s">
        <v>49</v>
      </c>
      <c r="H881" s="11">
        <v>17.82</v>
      </c>
      <c r="I881" s="52">
        <v>7</v>
      </c>
      <c r="J881" s="19">
        <v>1</v>
      </c>
      <c r="K881" s="13">
        <v>0.12474</v>
      </c>
      <c r="L881" s="7" t="s">
        <v>477</v>
      </c>
    </row>
    <row r="882" spans="1:12">
      <c r="A882" s="362" t="s">
        <v>136</v>
      </c>
      <c r="B882" s="7" t="s">
        <v>137</v>
      </c>
      <c r="C882" s="3">
        <v>6</v>
      </c>
      <c r="D882" s="7"/>
      <c r="E882" s="12" t="s">
        <v>19</v>
      </c>
      <c r="F882" s="7" t="s">
        <v>14</v>
      </c>
      <c r="G882" s="7" t="s">
        <v>49</v>
      </c>
      <c r="H882" s="11">
        <v>17.82</v>
      </c>
      <c r="I882" s="52">
        <v>7.6</v>
      </c>
      <c r="J882" s="19">
        <v>2</v>
      </c>
      <c r="K882" s="13">
        <v>0.27086399999999999</v>
      </c>
      <c r="L882" s="7" t="s">
        <v>477</v>
      </c>
    </row>
    <row r="883" spans="1:12">
      <c r="A883" s="362" t="s">
        <v>136</v>
      </c>
      <c r="B883" s="7" t="s">
        <v>137</v>
      </c>
      <c r="C883" s="3">
        <v>6</v>
      </c>
      <c r="D883" s="7"/>
      <c r="E883" s="12" t="s">
        <v>19</v>
      </c>
      <c r="F883" s="7" t="s">
        <v>14</v>
      </c>
      <c r="G883" s="7" t="s">
        <v>49</v>
      </c>
      <c r="H883" s="11">
        <v>17.82</v>
      </c>
      <c r="I883" s="52">
        <v>8.1</v>
      </c>
      <c r="J883" s="19">
        <v>2</v>
      </c>
      <c r="K883" s="13">
        <v>0.288684</v>
      </c>
      <c r="L883" s="7" t="s">
        <v>477</v>
      </c>
    </row>
    <row r="884" spans="1:12">
      <c r="A884" s="362" t="s">
        <v>136</v>
      </c>
      <c r="B884" s="7" t="s">
        <v>137</v>
      </c>
      <c r="C884" s="3">
        <v>1</v>
      </c>
      <c r="D884" s="7"/>
      <c r="E884" s="12" t="s">
        <v>96</v>
      </c>
      <c r="F884" s="7" t="s">
        <v>15</v>
      </c>
      <c r="G884" s="7" t="s">
        <v>64</v>
      </c>
      <c r="H884" s="11">
        <v>40.1</v>
      </c>
      <c r="I884" s="52">
        <v>6</v>
      </c>
      <c r="J884" s="19">
        <v>1</v>
      </c>
      <c r="K884" s="13">
        <v>0.24060000000000004</v>
      </c>
      <c r="L884" s="7" t="s">
        <v>477</v>
      </c>
    </row>
    <row r="885" spans="1:12">
      <c r="A885" s="362" t="s">
        <v>136</v>
      </c>
      <c r="B885" s="7" t="s">
        <v>137</v>
      </c>
      <c r="C885" s="3">
        <v>1</v>
      </c>
      <c r="D885" s="7"/>
      <c r="E885" s="12" t="s">
        <v>96</v>
      </c>
      <c r="F885" s="7" t="s">
        <v>15</v>
      </c>
      <c r="G885" s="7" t="s">
        <v>64</v>
      </c>
      <c r="H885" s="11">
        <v>40.1</v>
      </c>
      <c r="I885" s="52">
        <v>6.6</v>
      </c>
      <c r="J885" s="19">
        <v>2</v>
      </c>
      <c r="K885" s="13">
        <v>0.5293199999999999</v>
      </c>
      <c r="L885" s="7" t="s">
        <v>477</v>
      </c>
    </row>
    <row r="886" spans="1:12">
      <c r="A886" s="362" t="s">
        <v>136</v>
      </c>
      <c r="B886" s="7" t="s">
        <v>137</v>
      </c>
      <c r="C886" s="3">
        <v>2</v>
      </c>
      <c r="D886" s="7"/>
      <c r="E886" s="12" t="s">
        <v>89</v>
      </c>
      <c r="F886" s="7" t="s">
        <v>15</v>
      </c>
      <c r="G886" s="7" t="s">
        <v>64</v>
      </c>
      <c r="H886" s="11">
        <v>40.1</v>
      </c>
      <c r="I886" s="52">
        <v>9.8000000000000007</v>
      </c>
      <c r="J886" s="19">
        <v>1</v>
      </c>
      <c r="K886" s="13">
        <v>0.39298</v>
      </c>
      <c r="L886" s="7" t="s">
        <v>477</v>
      </c>
    </row>
    <row r="887" spans="1:12">
      <c r="A887" s="362" t="s">
        <v>136</v>
      </c>
      <c r="B887" s="7" t="s">
        <v>137</v>
      </c>
      <c r="C887" s="3">
        <v>1</v>
      </c>
      <c r="D887" s="7"/>
      <c r="E887" s="12" t="s">
        <v>20</v>
      </c>
      <c r="F887" s="7" t="s">
        <v>15</v>
      </c>
      <c r="G887" s="7" t="s">
        <v>66</v>
      </c>
      <c r="H887" s="11">
        <v>29.5</v>
      </c>
      <c r="I887" s="52">
        <v>9.3000000000000007</v>
      </c>
      <c r="J887" s="19">
        <v>1</v>
      </c>
      <c r="K887" s="13">
        <v>0.27435000000000004</v>
      </c>
      <c r="L887" s="7" t="s">
        <v>477</v>
      </c>
    </row>
    <row r="888" spans="1:12">
      <c r="A888" s="362" t="s">
        <v>136</v>
      </c>
      <c r="B888" s="7" t="s">
        <v>137</v>
      </c>
      <c r="C888" s="3">
        <v>3</v>
      </c>
      <c r="D888" s="7"/>
      <c r="E888" s="12" t="s">
        <v>20</v>
      </c>
      <c r="F888" s="7" t="s">
        <v>15</v>
      </c>
      <c r="G888" s="7" t="s">
        <v>64</v>
      </c>
      <c r="H888" s="11">
        <v>40.1</v>
      </c>
      <c r="I888" s="52">
        <v>9</v>
      </c>
      <c r="J888" s="19">
        <v>1</v>
      </c>
      <c r="K888" s="13">
        <v>0.36090000000000005</v>
      </c>
      <c r="L888" s="7" t="s">
        <v>477</v>
      </c>
    </row>
    <row r="889" spans="1:12">
      <c r="A889" s="362" t="s">
        <v>136</v>
      </c>
      <c r="B889" s="7" t="s">
        <v>137</v>
      </c>
      <c r="C889" s="3">
        <v>1</v>
      </c>
      <c r="D889" s="7"/>
      <c r="E889" s="12" t="s">
        <v>20</v>
      </c>
      <c r="F889" s="7" t="s">
        <v>15</v>
      </c>
      <c r="G889" s="7" t="s">
        <v>64</v>
      </c>
      <c r="H889" s="11">
        <v>40.1</v>
      </c>
      <c r="I889" s="52">
        <v>5</v>
      </c>
      <c r="J889" s="19">
        <v>1</v>
      </c>
      <c r="K889" s="13">
        <v>0.20050000000000001</v>
      </c>
      <c r="L889" s="7" t="s">
        <v>477</v>
      </c>
    </row>
    <row r="890" spans="1:12">
      <c r="A890" s="362" t="s">
        <v>136</v>
      </c>
      <c r="B890" s="7" t="s">
        <v>137</v>
      </c>
      <c r="C890" s="3">
        <v>2</v>
      </c>
      <c r="D890" s="7"/>
      <c r="E890" s="12" t="s">
        <v>106</v>
      </c>
      <c r="F890" s="7" t="s">
        <v>15</v>
      </c>
      <c r="G890" s="7" t="s">
        <v>57</v>
      </c>
      <c r="H890" s="11">
        <v>33.72</v>
      </c>
      <c r="I890" s="52">
        <v>8.6</v>
      </c>
      <c r="J890" s="19">
        <v>1</v>
      </c>
      <c r="K890" s="13">
        <v>0.28999199999999997</v>
      </c>
      <c r="L890" s="7" t="s">
        <v>477</v>
      </c>
    </row>
    <row r="891" spans="1:12">
      <c r="A891" s="362" t="s">
        <v>136</v>
      </c>
      <c r="B891" s="7" t="s">
        <v>137</v>
      </c>
      <c r="C891" s="3">
        <v>5</v>
      </c>
      <c r="D891" s="7"/>
      <c r="E891" s="38" t="s">
        <v>17</v>
      </c>
      <c r="F891" s="7" t="s">
        <v>15</v>
      </c>
      <c r="G891" s="7" t="s">
        <v>38</v>
      </c>
      <c r="H891" s="11">
        <v>12.9</v>
      </c>
      <c r="I891" s="52">
        <v>6.5</v>
      </c>
      <c r="J891" s="19">
        <v>1</v>
      </c>
      <c r="K891" s="13">
        <v>8.3850000000000008E-2</v>
      </c>
      <c r="L891" s="7" t="s">
        <v>477</v>
      </c>
    </row>
    <row r="892" spans="1:12">
      <c r="A892" s="362" t="s">
        <v>136</v>
      </c>
      <c r="B892" s="7" t="s">
        <v>137</v>
      </c>
      <c r="C892" s="3">
        <v>5</v>
      </c>
      <c r="D892" s="7"/>
      <c r="E892" s="38" t="s">
        <v>17</v>
      </c>
      <c r="F892" s="7" t="s">
        <v>15</v>
      </c>
      <c r="G892" s="7" t="s">
        <v>38</v>
      </c>
      <c r="H892" s="11">
        <v>12.9</v>
      </c>
      <c r="I892" s="52">
        <v>6.9</v>
      </c>
      <c r="J892" s="19">
        <v>1</v>
      </c>
      <c r="K892" s="13">
        <v>8.9010000000000006E-2</v>
      </c>
      <c r="L892" s="7" t="s">
        <v>477</v>
      </c>
    </row>
    <row r="893" spans="1:12">
      <c r="A893" s="362" t="s">
        <v>136</v>
      </c>
      <c r="B893" s="7" t="s">
        <v>137</v>
      </c>
      <c r="C893" s="3">
        <v>5</v>
      </c>
      <c r="D893" s="7"/>
      <c r="E893" s="38" t="s">
        <v>17</v>
      </c>
      <c r="F893" s="7" t="s">
        <v>15</v>
      </c>
      <c r="G893" s="7" t="s">
        <v>38</v>
      </c>
      <c r="H893" s="11">
        <v>12.9</v>
      </c>
      <c r="I893" s="52">
        <v>8.9</v>
      </c>
      <c r="J893" s="19">
        <v>1</v>
      </c>
      <c r="K893" s="13">
        <v>0.11481</v>
      </c>
      <c r="L893" s="7" t="s">
        <v>477</v>
      </c>
    </row>
    <row r="894" spans="1:12">
      <c r="A894" s="362" t="s">
        <v>136</v>
      </c>
      <c r="B894" s="7" t="s">
        <v>137</v>
      </c>
      <c r="C894" s="3">
        <v>5</v>
      </c>
      <c r="D894" s="7"/>
      <c r="E894" s="38" t="s">
        <v>17</v>
      </c>
      <c r="F894" s="7" t="s">
        <v>15</v>
      </c>
      <c r="G894" s="7" t="s">
        <v>38</v>
      </c>
      <c r="H894" s="11">
        <v>12.9</v>
      </c>
      <c r="I894" s="52">
        <v>9.6</v>
      </c>
      <c r="J894" s="19">
        <v>2</v>
      </c>
      <c r="K894" s="13">
        <v>0.24768000000000001</v>
      </c>
      <c r="L894" s="7" t="s">
        <v>477</v>
      </c>
    </row>
    <row r="895" spans="1:12">
      <c r="A895" s="362" t="s">
        <v>136</v>
      </c>
      <c r="B895" s="7" t="s">
        <v>137</v>
      </c>
      <c r="C895" s="3">
        <v>5</v>
      </c>
      <c r="D895" s="7"/>
      <c r="E895" s="38" t="s">
        <v>17</v>
      </c>
      <c r="F895" s="7" t="s">
        <v>15</v>
      </c>
      <c r="G895" s="7" t="s">
        <v>38</v>
      </c>
      <c r="H895" s="11">
        <v>12.9</v>
      </c>
      <c r="I895" s="52">
        <v>9.8000000000000007</v>
      </c>
      <c r="J895" s="19">
        <v>2</v>
      </c>
      <c r="K895" s="13">
        <v>0.25284000000000001</v>
      </c>
      <c r="L895" s="7" t="s">
        <v>477</v>
      </c>
    </row>
    <row r="896" spans="1:12">
      <c r="A896" s="362" t="s">
        <v>136</v>
      </c>
      <c r="B896" s="7" t="s">
        <v>137</v>
      </c>
      <c r="C896" s="3">
        <v>7</v>
      </c>
      <c r="D896" s="7"/>
      <c r="E896" s="12" t="s">
        <v>20</v>
      </c>
      <c r="F896" s="7" t="s">
        <v>15</v>
      </c>
      <c r="G896" s="7" t="s">
        <v>42</v>
      </c>
      <c r="H896" s="11">
        <v>19.72</v>
      </c>
      <c r="I896" s="8">
        <v>6.2</v>
      </c>
      <c r="J896" s="19">
        <v>2</v>
      </c>
      <c r="K896" s="13">
        <v>0.244528</v>
      </c>
      <c r="L896" s="7" t="s">
        <v>477</v>
      </c>
    </row>
    <row r="897" spans="1:12">
      <c r="A897" s="362" t="s">
        <v>136</v>
      </c>
      <c r="B897" s="7" t="s">
        <v>137</v>
      </c>
      <c r="C897" s="3">
        <v>8</v>
      </c>
      <c r="D897" s="7"/>
      <c r="E897" s="12" t="s">
        <v>106</v>
      </c>
      <c r="F897" s="7" t="s">
        <v>15</v>
      </c>
      <c r="G897" s="7" t="s">
        <v>60</v>
      </c>
      <c r="H897" s="11">
        <v>22.93</v>
      </c>
      <c r="I897" s="52">
        <v>5.8</v>
      </c>
      <c r="J897" s="19">
        <v>1</v>
      </c>
      <c r="K897" s="13">
        <v>0.132994</v>
      </c>
      <c r="L897" s="7" t="s">
        <v>477</v>
      </c>
    </row>
    <row r="898" spans="1:12">
      <c r="A898" s="362" t="s">
        <v>136</v>
      </c>
      <c r="B898" s="7" t="s">
        <v>137</v>
      </c>
      <c r="C898" s="3">
        <v>8</v>
      </c>
      <c r="D898" s="7"/>
      <c r="E898" s="12" t="s">
        <v>106</v>
      </c>
      <c r="F898" s="7" t="s">
        <v>15</v>
      </c>
      <c r="G898" s="7" t="s">
        <v>60</v>
      </c>
      <c r="H898" s="11">
        <v>22.93</v>
      </c>
      <c r="I898" s="52">
        <v>6.1</v>
      </c>
      <c r="J898" s="19">
        <v>2</v>
      </c>
      <c r="K898" s="13">
        <v>0.27974599999999999</v>
      </c>
      <c r="L898" s="7" t="s">
        <v>477</v>
      </c>
    </row>
    <row r="899" spans="1:12">
      <c r="A899" s="362" t="s">
        <v>136</v>
      </c>
      <c r="B899" s="7" t="s">
        <v>137</v>
      </c>
      <c r="C899" s="3">
        <v>9</v>
      </c>
      <c r="D899" s="7"/>
      <c r="E899" s="12" t="s">
        <v>106</v>
      </c>
      <c r="F899" s="7" t="s">
        <v>15</v>
      </c>
      <c r="G899" s="7" t="s">
        <v>58</v>
      </c>
      <c r="H899" s="11">
        <v>27.29</v>
      </c>
      <c r="I899" s="52">
        <v>6</v>
      </c>
      <c r="J899" s="19">
        <v>1</v>
      </c>
      <c r="K899" s="13">
        <v>0.16374</v>
      </c>
      <c r="L899" s="7" t="s">
        <v>477</v>
      </c>
    </row>
    <row r="900" spans="1:12">
      <c r="A900" s="362" t="s">
        <v>136</v>
      </c>
      <c r="B900" s="7" t="s">
        <v>137</v>
      </c>
      <c r="C900" s="3">
        <v>9</v>
      </c>
      <c r="D900" s="7"/>
      <c r="E900" s="12" t="s">
        <v>106</v>
      </c>
      <c r="F900" s="7" t="s">
        <v>15</v>
      </c>
      <c r="G900" s="7" t="s">
        <v>58</v>
      </c>
      <c r="H900" s="11">
        <v>27.29</v>
      </c>
      <c r="I900" s="52">
        <v>6.5</v>
      </c>
      <c r="J900" s="19">
        <v>1</v>
      </c>
      <c r="K900" s="13">
        <v>0.17738499999999999</v>
      </c>
      <c r="L900" s="7" t="s">
        <v>477</v>
      </c>
    </row>
    <row r="901" spans="1:12">
      <c r="A901" s="362" t="s">
        <v>136</v>
      </c>
      <c r="B901" s="7" t="s">
        <v>137</v>
      </c>
      <c r="C901" s="3">
        <v>12</v>
      </c>
      <c r="D901" s="7" t="s">
        <v>142</v>
      </c>
      <c r="E901" s="12" t="s">
        <v>89</v>
      </c>
      <c r="F901" s="7" t="s">
        <v>15</v>
      </c>
      <c r="G901" s="7" t="s">
        <v>25</v>
      </c>
      <c r="H901" s="11">
        <v>7.34</v>
      </c>
      <c r="I901" s="8">
        <v>8.8000000000000007</v>
      </c>
      <c r="J901" s="19">
        <v>1</v>
      </c>
      <c r="K901" s="13">
        <v>6.4591999999999997E-2</v>
      </c>
      <c r="L901" s="7" t="s">
        <v>477</v>
      </c>
    </row>
    <row r="902" spans="1:12">
      <c r="A902" s="362" t="s">
        <v>136</v>
      </c>
      <c r="B902" s="7" t="s">
        <v>137</v>
      </c>
      <c r="C902" s="3">
        <v>12</v>
      </c>
      <c r="D902" s="7" t="s">
        <v>142</v>
      </c>
      <c r="E902" s="12" t="s">
        <v>89</v>
      </c>
      <c r="F902" s="7" t="s">
        <v>15</v>
      </c>
      <c r="G902" s="7" t="s">
        <v>25</v>
      </c>
      <c r="H902" s="11">
        <v>7.34</v>
      </c>
      <c r="I902" s="8">
        <v>9</v>
      </c>
      <c r="J902" s="19">
        <v>1</v>
      </c>
      <c r="K902" s="13">
        <v>6.6060000000000008E-2</v>
      </c>
      <c r="L902" s="7" t="s">
        <v>477</v>
      </c>
    </row>
    <row r="903" spans="1:12">
      <c r="A903" s="362" t="s">
        <v>136</v>
      </c>
      <c r="B903" s="7" t="s">
        <v>137</v>
      </c>
      <c r="C903" s="3">
        <v>12</v>
      </c>
      <c r="D903" s="7" t="s">
        <v>142</v>
      </c>
      <c r="E903" s="12" t="s">
        <v>89</v>
      </c>
      <c r="F903" s="7" t="s">
        <v>15</v>
      </c>
      <c r="G903" s="7" t="s">
        <v>25</v>
      </c>
      <c r="H903" s="11">
        <v>7.34</v>
      </c>
      <c r="I903" s="8">
        <v>9.4</v>
      </c>
      <c r="J903" s="19">
        <v>4</v>
      </c>
      <c r="K903" s="13">
        <v>0.27598400000000001</v>
      </c>
      <c r="L903" s="7" t="s">
        <v>477</v>
      </c>
    </row>
    <row r="904" spans="1:12">
      <c r="A904" s="362" t="s">
        <v>136</v>
      </c>
      <c r="B904" s="7" t="s">
        <v>137</v>
      </c>
      <c r="C904" s="3">
        <v>12</v>
      </c>
      <c r="D904" s="7" t="s">
        <v>142</v>
      </c>
      <c r="E904" s="12" t="s">
        <v>89</v>
      </c>
      <c r="F904" s="7" t="s">
        <v>15</v>
      </c>
      <c r="G904" s="7" t="s">
        <v>25</v>
      </c>
      <c r="H904" s="11">
        <v>7.34</v>
      </c>
      <c r="I904" s="8">
        <v>9.5</v>
      </c>
      <c r="J904" s="19">
        <v>1</v>
      </c>
      <c r="K904" s="13">
        <v>6.973E-2</v>
      </c>
      <c r="L904" s="7" t="s">
        <v>477</v>
      </c>
    </row>
    <row r="905" spans="1:12">
      <c r="A905" s="362" t="s">
        <v>136</v>
      </c>
      <c r="B905" s="7" t="s">
        <v>137</v>
      </c>
      <c r="C905" s="3">
        <v>12</v>
      </c>
      <c r="D905" s="7" t="s">
        <v>142</v>
      </c>
      <c r="E905" s="12" t="s">
        <v>89</v>
      </c>
      <c r="F905" s="7" t="s">
        <v>15</v>
      </c>
      <c r="G905" s="7" t="s">
        <v>25</v>
      </c>
      <c r="H905" s="11">
        <v>7.34</v>
      </c>
      <c r="I905" s="8">
        <v>9.6</v>
      </c>
      <c r="J905" s="19">
        <v>5</v>
      </c>
      <c r="K905" s="13">
        <v>0.35231999999999997</v>
      </c>
      <c r="L905" s="7" t="s">
        <v>477</v>
      </c>
    </row>
    <row r="906" spans="1:12">
      <c r="A906" s="362" t="s">
        <v>136</v>
      </c>
      <c r="B906" s="7" t="s">
        <v>137</v>
      </c>
      <c r="C906" s="3">
        <v>13</v>
      </c>
      <c r="D906" s="7"/>
      <c r="E906" s="38" t="s">
        <v>24</v>
      </c>
      <c r="F906" s="7" t="s">
        <v>14</v>
      </c>
      <c r="G906" s="7" t="s">
        <v>38</v>
      </c>
      <c r="H906" s="11">
        <v>12.9</v>
      </c>
      <c r="I906" s="52">
        <v>10.3</v>
      </c>
      <c r="J906" s="19">
        <v>1</v>
      </c>
      <c r="K906" s="13">
        <v>0.13287000000000002</v>
      </c>
      <c r="L906" s="7" t="s">
        <v>477</v>
      </c>
    </row>
    <row r="907" spans="1:12">
      <c r="A907" s="362" t="s">
        <v>136</v>
      </c>
      <c r="B907" s="7" t="s">
        <v>137</v>
      </c>
      <c r="C907" s="3">
        <v>13</v>
      </c>
      <c r="D907" s="7"/>
      <c r="E907" s="38" t="s">
        <v>24</v>
      </c>
      <c r="F907" s="7" t="s">
        <v>14</v>
      </c>
      <c r="G907" s="7" t="s">
        <v>38</v>
      </c>
      <c r="H907" s="11">
        <v>12.9</v>
      </c>
      <c r="I907" s="52">
        <v>11</v>
      </c>
      <c r="J907" s="19">
        <v>1</v>
      </c>
      <c r="K907" s="13">
        <v>0.1419</v>
      </c>
      <c r="L907" s="7" t="s">
        <v>477</v>
      </c>
    </row>
    <row r="908" spans="1:12">
      <c r="A908" s="362" t="s">
        <v>136</v>
      </c>
      <c r="B908" s="7" t="s">
        <v>137</v>
      </c>
      <c r="C908" s="3">
        <v>16</v>
      </c>
      <c r="D908" s="7"/>
      <c r="E908" s="12" t="s">
        <v>139</v>
      </c>
      <c r="F908" s="7" t="s">
        <v>15</v>
      </c>
      <c r="G908" s="7" t="s">
        <v>50</v>
      </c>
      <c r="H908" s="11">
        <v>21.7</v>
      </c>
      <c r="I908" s="52">
        <v>5.7</v>
      </c>
      <c r="J908" s="19">
        <v>1</v>
      </c>
      <c r="K908" s="13">
        <v>0.12368999999999999</v>
      </c>
      <c r="L908" s="7" t="s">
        <v>477</v>
      </c>
    </row>
    <row r="909" spans="1:12">
      <c r="A909" s="362" t="s">
        <v>136</v>
      </c>
      <c r="B909" s="7" t="s">
        <v>137</v>
      </c>
      <c r="C909" s="3">
        <v>16</v>
      </c>
      <c r="D909" s="7"/>
      <c r="E909" s="12" t="s">
        <v>139</v>
      </c>
      <c r="F909" s="7" t="s">
        <v>15</v>
      </c>
      <c r="G909" s="7" t="s">
        <v>50</v>
      </c>
      <c r="H909" s="11">
        <v>21.7</v>
      </c>
      <c r="I909" s="52">
        <v>6.5</v>
      </c>
      <c r="J909" s="19">
        <v>3</v>
      </c>
      <c r="K909" s="13">
        <v>0.42314999999999997</v>
      </c>
      <c r="L909" s="7" t="s">
        <v>477</v>
      </c>
    </row>
    <row r="910" spans="1:12">
      <c r="A910" s="362" t="s">
        <v>136</v>
      </c>
      <c r="B910" s="7" t="s">
        <v>137</v>
      </c>
      <c r="C910" s="3">
        <v>17</v>
      </c>
      <c r="D910" s="7"/>
      <c r="E910" s="12" t="s">
        <v>106</v>
      </c>
      <c r="F910" s="7" t="s">
        <v>15</v>
      </c>
      <c r="G910" s="7" t="s">
        <v>57</v>
      </c>
      <c r="H910" s="11">
        <v>33.72</v>
      </c>
      <c r="I910" s="52">
        <v>6</v>
      </c>
      <c r="J910" s="19">
        <v>2</v>
      </c>
      <c r="K910" s="13">
        <v>0.40464</v>
      </c>
      <c r="L910" s="7" t="s">
        <v>477</v>
      </c>
    </row>
    <row r="911" spans="1:12">
      <c r="A911" s="362" t="s">
        <v>136</v>
      </c>
      <c r="B911" s="7" t="s">
        <v>137</v>
      </c>
      <c r="C911" s="3">
        <v>17</v>
      </c>
      <c r="D911" s="7"/>
      <c r="E911" s="12" t="s">
        <v>106</v>
      </c>
      <c r="F911" s="7" t="s">
        <v>15</v>
      </c>
      <c r="G911" s="7" t="s">
        <v>57</v>
      </c>
      <c r="H911" s="11">
        <v>33.72</v>
      </c>
      <c r="I911" s="52">
        <v>6.6</v>
      </c>
      <c r="J911" s="19">
        <v>3</v>
      </c>
      <c r="K911" s="13">
        <v>0.66765599999999981</v>
      </c>
      <c r="L911" s="7" t="s">
        <v>477</v>
      </c>
    </row>
    <row r="912" spans="1:12">
      <c r="A912" s="362" t="s">
        <v>136</v>
      </c>
      <c r="B912" s="7" t="s">
        <v>137</v>
      </c>
      <c r="C912" s="3">
        <v>18</v>
      </c>
      <c r="D912" s="7"/>
      <c r="E912" s="12" t="s">
        <v>106</v>
      </c>
      <c r="F912" s="7" t="s">
        <v>15</v>
      </c>
      <c r="G912" s="7" t="s">
        <v>57</v>
      </c>
      <c r="H912" s="11">
        <v>33.72</v>
      </c>
      <c r="I912" s="52">
        <v>6.5</v>
      </c>
      <c r="J912" s="19">
        <v>2</v>
      </c>
      <c r="K912" s="13">
        <v>0.43836000000000003</v>
      </c>
      <c r="L912" s="7" t="s">
        <v>477</v>
      </c>
    </row>
    <row r="913" spans="1:12">
      <c r="A913" s="362" t="s">
        <v>136</v>
      </c>
      <c r="B913" s="7" t="s">
        <v>137</v>
      </c>
      <c r="C913" s="3">
        <v>18</v>
      </c>
      <c r="D913" s="7"/>
      <c r="E913" s="12" t="s">
        <v>106</v>
      </c>
      <c r="F913" s="7" t="s">
        <v>15</v>
      </c>
      <c r="G913" s="7" t="s">
        <v>57</v>
      </c>
      <c r="H913" s="11">
        <v>33.72</v>
      </c>
      <c r="I913" s="52">
        <v>7</v>
      </c>
      <c r="J913" s="19">
        <v>2</v>
      </c>
      <c r="K913" s="13">
        <v>0.47208</v>
      </c>
      <c r="L913" s="7" t="s">
        <v>477</v>
      </c>
    </row>
    <row r="914" spans="1:12">
      <c r="A914" s="362" t="s">
        <v>136</v>
      </c>
      <c r="B914" s="7" t="s">
        <v>137</v>
      </c>
      <c r="C914" s="3">
        <v>20</v>
      </c>
      <c r="D914" s="7"/>
      <c r="E914" s="12" t="s">
        <v>106</v>
      </c>
      <c r="F914" s="7" t="s">
        <v>15</v>
      </c>
      <c r="G914" s="7" t="s">
        <v>57</v>
      </c>
      <c r="H914" s="11">
        <v>33.72</v>
      </c>
      <c r="I914" s="52">
        <v>6.5</v>
      </c>
      <c r="J914" s="19">
        <v>3</v>
      </c>
      <c r="K914" s="13">
        <v>0.65754000000000001</v>
      </c>
      <c r="L914" s="7" t="s">
        <v>477</v>
      </c>
    </row>
    <row r="915" spans="1:12">
      <c r="A915" s="362" t="s">
        <v>136</v>
      </c>
      <c r="B915" s="7" t="s">
        <v>137</v>
      </c>
      <c r="C915" s="3">
        <v>20</v>
      </c>
      <c r="D915" s="7"/>
      <c r="E915" s="12" t="s">
        <v>106</v>
      </c>
      <c r="F915" s="7" t="s">
        <v>15</v>
      </c>
      <c r="G915" s="7" t="s">
        <v>57</v>
      </c>
      <c r="H915" s="11">
        <v>33.72</v>
      </c>
      <c r="I915" s="52">
        <v>7</v>
      </c>
      <c r="J915" s="19">
        <v>2</v>
      </c>
      <c r="K915" s="13">
        <v>0.47208</v>
      </c>
      <c r="L915" s="7" t="s">
        <v>477</v>
      </c>
    </row>
    <row r="916" spans="1:12">
      <c r="A916" s="362" t="s">
        <v>136</v>
      </c>
      <c r="B916" s="7" t="s">
        <v>137</v>
      </c>
      <c r="C916" s="3">
        <v>22</v>
      </c>
      <c r="D916" s="7"/>
      <c r="E916" s="12" t="s">
        <v>106</v>
      </c>
      <c r="F916" s="7" t="s">
        <v>15</v>
      </c>
      <c r="G916" s="7" t="s">
        <v>48</v>
      </c>
      <c r="H916" s="11">
        <v>23.6</v>
      </c>
      <c r="I916" s="52">
        <v>10.7</v>
      </c>
      <c r="J916" s="19">
        <v>1</v>
      </c>
      <c r="K916" s="13">
        <v>0.25252000000000002</v>
      </c>
      <c r="L916" s="7" t="s">
        <v>477</v>
      </c>
    </row>
    <row r="917" spans="1:12">
      <c r="A917" s="362" t="s">
        <v>136</v>
      </c>
      <c r="B917" s="7" t="s">
        <v>137</v>
      </c>
      <c r="C917" s="3">
        <v>24</v>
      </c>
      <c r="D917" s="7"/>
      <c r="E917" s="12" t="s">
        <v>20</v>
      </c>
      <c r="F917" s="7" t="s">
        <v>15</v>
      </c>
      <c r="G917" s="7" t="s">
        <v>56</v>
      </c>
      <c r="H917" s="11">
        <v>25.2</v>
      </c>
      <c r="I917" s="8">
        <v>5.2</v>
      </c>
      <c r="J917" s="19">
        <v>1</v>
      </c>
      <c r="K917" s="13">
        <v>0.13103999999999999</v>
      </c>
      <c r="L917" s="7" t="s">
        <v>477</v>
      </c>
    </row>
    <row r="918" spans="1:12">
      <c r="A918" s="362" t="s">
        <v>136</v>
      </c>
      <c r="B918" s="7" t="s">
        <v>137</v>
      </c>
      <c r="C918" s="3">
        <v>26</v>
      </c>
      <c r="D918" s="7"/>
      <c r="E918" s="12" t="s">
        <v>20</v>
      </c>
      <c r="F918" s="7" t="s">
        <v>15</v>
      </c>
      <c r="G918" s="7" t="s">
        <v>112</v>
      </c>
      <c r="H918" s="11">
        <v>25.4</v>
      </c>
      <c r="I918" s="52">
        <v>7.1</v>
      </c>
      <c r="J918" s="106">
        <v>4</v>
      </c>
      <c r="K918" s="13">
        <v>0.72135999999999989</v>
      </c>
      <c r="L918" s="7" t="s">
        <v>477</v>
      </c>
    </row>
    <row r="919" spans="1:12">
      <c r="A919" s="362" t="s">
        <v>136</v>
      </c>
      <c r="B919" s="7" t="s">
        <v>137</v>
      </c>
      <c r="C919" s="3">
        <v>27</v>
      </c>
      <c r="D919" s="7"/>
      <c r="E919" s="12" t="s">
        <v>88</v>
      </c>
      <c r="F919" s="7" t="s">
        <v>15</v>
      </c>
      <c r="G919" s="7" t="s">
        <v>57</v>
      </c>
      <c r="H919" s="11">
        <v>33.72</v>
      </c>
      <c r="I919" s="52">
        <v>7</v>
      </c>
      <c r="J919" s="19">
        <v>2</v>
      </c>
      <c r="K919" s="13">
        <v>0.47208</v>
      </c>
      <c r="L919" s="7" t="s">
        <v>477</v>
      </c>
    </row>
    <row r="920" spans="1:12">
      <c r="A920" s="362" t="s">
        <v>136</v>
      </c>
      <c r="B920" s="7" t="s">
        <v>137</v>
      </c>
      <c r="C920" s="3">
        <v>28</v>
      </c>
      <c r="D920" s="7"/>
      <c r="E920" s="12" t="s">
        <v>20</v>
      </c>
      <c r="F920" s="7" t="s">
        <v>15</v>
      </c>
      <c r="G920" s="7" t="s">
        <v>58</v>
      </c>
      <c r="H920" s="11">
        <v>27.29</v>
      </c>
      <c r="I920" s="8">
        <v>6</v>
      </c>
      <c r="J920" s="19">
        <v>2</v>
      </c>
      <c r="K920" s="13">
        <v>0.32747999999999999</v>
      </c>
      <c r="L920" s="7" t="s">
        <v>477</v>
      </c>
    </row>
    <row r="921" spans="1:12">
      <c r="A921" s="362" t="s">
        <v>136</v>
      </c>
      <c r="B921" s="7" t="s">
        <v>137</v>
      </c>
      <c r="C921" s="3">
        <v>29</v>
      </c>
      <c r="D921" s="7"/>
      <c r="E921" s="12" t="s">
        <v>20</v>
      </c>
      <c r="F921" s="7" t="s">
        <v>15</v>
      </c>
      <c r="G921" s="7" t="s">
        <v>58</v>
      </c>
      <c r="H921" s="11">
        <v>27.29</v>
      </c>
      <c r="I921" s="8">
        <v>5.6</v>
      </c>
      <c r="J921" s="19">
        <v>1</v>
      </c>
      <c r="K921" s="13">
        <v>0.15282399999999999</v>
      </c>
      <c r="L921" s="7" t="s">
        <v>477</v>
      </c>
    </row>
    <row r="922" spans="1:12">
      <c r="A922" s="362" t="s">
        <v>136</v>
      </c>
      <c r="B922" s="7" t="s">
        <v>137</v>
      </c>
      <c r="C922" s="3">
        <v>29</v>
      </c>
      <c r="D922" s="7"/>
      <c r="E922" s="12" t="s">
        <v>20</v>
      </c>
      <c r="F922" s="7" t="s">
        <v>15</v>
      </c>
      <c r="G922" s="7" t="s">
        <v>58</v>
      </c>
      <c r="H922" s="11">
        <v>27.29</v>
      </c>
      <c r="I922" s="8">
        <v>6</v>
      </c>
      <c r="J922" s="19">
        <v>1</v>
      </c>
      <c r="K922" s="13">
        <v>0.16374</v>
      </c>
      <c r="L922" s="7" t="s">
        <v>477</v>
      </c>
    </row>
    <row r="923" spans="1:12">
      <c r="A923" s="362" t="s">
        <v>136</v>
      </c>
      <c r="B923" s="7" t="s">
        <v>137</v>
      </c>
      <c r="C923" s="3">
        <v>31</v>
      </c>
      <c r="D923" s="7"/>
      <c r="E923" s="12" t="s">
        <v>75</v>
      </c>
      <c r="F923" s="7" t="s">
        <v>15</v>
      </c>
      <c r="G923" s="7" t="s">
        <v>21</v>
      </c>
      <c r="H923" s="11">
        <v>6.97</v>
      </c>
      <c r="I923" s="8">
        <v>6.15</v>
      </c>
      <c r="J923" s="19">
        <v>3</v>
      </c>
      <c r="K923" s="13">
        <v>0.12859650000000003</v>
      </c>
      <c r="L923" s="7" t="s">
        <v>477</v>
      </c>
    </row>
    <row r="924" spans="1:12">
      <c r="A924" s="362" t="s">
        <v>136</v>
      </c>
      <c r="B924" s="7" t="s">
        <v>137</v>
      </c>
      <c r="C924" s="3">
        <v>31</v>
      </c>
      <c r="D924" s="7"/>
      <c r="E924" s="12" t="s">
        <v>75</v>
      </c>
      <c r="F924" s="7" t="s">
        <v>15</v>
      </c>
      <c r="G924" s="7" t="s">
        <v>21</v>
      </c>
      <c r="H924" s="11">
        <v>6.97</v>
      </c>
      <c r="I924" s="8">
        <v>7.6</v>
      </c>
      <c r="J924" s="19">
        <v>1</v>
      </c>
      <c r="K924" s="13">
        <v>5.2971999999999991E-2</v>
      </c>
      <c r="L924" s="7" t="s">
        <v>477</v>
      </c>
    </row>
    <row r="925" spans="1:12">
      <c r="A925" s="362" t="s">
        <v>136</v>
      </c>
      <c r="B925" s="7" t="s">
        <v>137</v>
      </c>
      <c r="C925" s="3">
        <v>35</v>
      </c>
      <c r="D925" s="7"/>
      <c r="E925" s="12" t="s">
        <v>113</v>
      </c>
      <c r="F925" s="7" t="s">
        <v>15</v>
      </c>
      <c r="G925" s="7" t="s">
        <v>28</v>
      </c>
      <c r="H925" s="11">
        <v>12.18</v>
      </c>
      <c r="I925" s="52">
        <v>6</v>
      </c>
      <c r="J925" s="19">
        <v>1</v>
      </c>
      <c r="K925" s="13">
        <v>7.3079999999999992E-2</v>
      </c>
      <c r="L925" s="7" t="s">
        <v>477</v>
      </c>
    </row>
    <row r="926" spans="1:12">
      <c r="A926" s="362" t="s">
        <v>136</v>
      </c>
      <c r="B926" s="7" t="s">
        <v>137</v>
      </c>
      <c r="C926" s="3">
        <v>35</v>
      </c>
      <c r="D926" s="7"/>
      <c r="E926" s="12" t="s">
        <v>113</v>
      </c>
      <c r="F926" s="7" t="s">
        <v>15</v>
      </c>
      <c r="G926" s="7" t="s">
        <v>28</v>
      </c>
      <c r="H926" s="11">
        <v>12.18</v>
      </c>
      <c r="I926" s="52">
        <v>6.3</v>
      </c>
      <c r="J926" s="19">
        <v>2</v>
      </c>
      <c r="K926" s="13">
        <v>0.15346799999999999</v>
      </c>
      <c r="L926" s="7" t="s">
        <v>477</v>
      </c>
    </row>
    <row r="927" spans="1:12">
      <c r="A927" s="362" t="s">
        <v>136</v>
      </c>
      <c r="B927" s="7" t="s">
        <v>137</v>
      </c>
      <c r="C927" s="3">
        <v>37</v>
      </c>
      <c r="D927" s="7"/>
      <c r="E927" s="12" t="s">
        <v>89</v>
      </c>
      <c r="F927" s="7" t="s">
        <v>15</v>
      </c>
      <c r="G927" s="7" t="s">
        <v>56</v>
      </c>
      <c r="H927" s="11">
        <v>25.2</v>
      </c>
      <c r="I927" s="8">
        <v>6.7</v>
      </c>
      <c r="J927" s="19">
        <v>3</v>
      </c>
      <c r="K927" s="13">
        <v>0.50652000000000008</v>
      </c>
      <c r="L927" s="7" t="s">
        <v>477</v>
      </c>
    </row>
    <row r="928" spans="1:12">
      <c r="A928" s="362" t="s">
        <v>136</v>
      </c>
      <c r="B928" s="7" t="s">
        <v>137</v>
      </c>
      <c r="C928" s="3">
        <v>37</v>
      </c>
      <c r="D928" s="7"/>
      <c r="E928" s="12" t="s">
        <v>89</v>
      </c>
      <c r="F928" s="7" t="s">
        <v>15</v>
      </c>
      <c r="G928" s="7" t="s">
        <v>56</v>
      </c>
      <c r="H928" s="11">
        <v>25.2</v>
      </c>
      <c r="I928" s="8">
        <v>8</v>
      </c>
      <c r="J928" s="19">
        <v>1</v>
      </c>
      <c r="K928" s="13">
        <v>0.2016</v>
      </c>
      <c r="L928" s="7" t="s">
        <v>477</v>
      </c>
    </row>
    <row r="929" spans="1:12">
      <c r="A929" s="362" t="s">
        <v>136</v>
      </c>
      <c r="B929" s="7" t="s">
        <v>137</v>
      </c>
      <c r="C929" s="3">
        <v>37</v>
      </c>
      <c r="D929" s="7"/>
      <c r="E929" s="12" t="s">
        <v>89</v>
      </c>
      <c r="F929" s="7" t="s">
        <v>15</v>
      </c>
      <c r="G929" s="7" t="s">
        <v>56</v>
      </c>
      <c r="H929" s="11">
        <v>25.2</v>
      </c>
      <c r="I929" s="8">
        <v>9</v>
      </c>
      <c r="J929" s="19">
        <v>1</v>
      </c>
      <c r="K929" s="13">
        <v>0.22679999999999997</v>
      </c>
      <c r="L929" s="7" t="s">
        <v>477</v>
      </c>
    </row>
    <row r="930" spans="1:12">
      <c r="A930" s="362" t="s">
        <v>136</v>
      </c>
      <c r="B930" s="7" t="s">
        <v>137</v>
      </c>
      <c r="C930" s="3">
        <v>37</v>
      </c>
      <c r="D930" s="7"/>
      <c r="E930" s="12" t="s">
        <v>89</v>
      </c>
      <c r="F930" s="7" t="s">
        <v>15</v>
      </c>
      <c r="G930" s="7" t="s">
        <v>56</v>
      </c>
      <c r="H930" s="11">
        <v>25.2</v>
      </c>
      <c r="I930" s="8">
        <v>7</v>
      </c>
      <c r="J930" s="19">
        <v>1</v>
      </c>
      <c r="K930" s="13">
        <v>0.1764</v>
      </c>
      <c r="L930" s="7" t="s">
        <v>477</v>
      </c>
    </row>
    <row r="931" spans="1:12">
      <c r="A931" s="362" t="s">
        <v>136</v>
      </c>
      <c r="B931" s="7" t="s">
        <v>137</v>
      </c>
      <c r="C931" s="3">
        <v>37</v>
      </c>
      <c r="D931" s="7"/>
      <c r="E931" s="12" t="s">
        <v>89</v>
      </c>
      <c r="F931" s="7" t="s">
        <v>15</v>
      </c>
      <c r="G931" s="7" t="s">
        <v>56</v>
      </c>
      <c r="H931" s="11">
        <v>25.2</v>
      </c>
      <c r="I931" s="8">
        <v>6.5</v>
      </c>
      <c r="J931" s="19">
        <v>1</v>
      </c>
      <c r="K931" s="13">
        <v>0.16379999999999997</v>
      </c>
      <c r="L931" s="7" t="s">
        <v>477</v>
      </c>
    </row>
    <row r="932" spans="1:12">
      <c r="A932" s="362" t="s">
        <v>136</v>
      </c>
      <c r="B932" s="7" t="s">
        <v>137</v>
      </c>
      <c r="C932" s="3">
        <v>37</v>
      </c>
      <c r="D932" s="7"/>
      <c r="E932" s="12" t="s">
        <v>89</v>
      </c>
      <c r="F932" s="7" t="s">
        <v>15</v>
      </c>
      <c r="G932" s="7" t="s">
        <v>56</v>
      </c>
      <c r="H932" s="11">
        <v>25.2</v>
      </c>
      <c r="I932" s="8">
        <v>6</v>
      </c>
      <c r="J932" s="19">
        <v>1</v>
      </c>
      <c r="K932" s="13">
        <v>0.1512</v>
      </c>
      <c r="L932" s="7" t="s">
        <v>477</v>
      </c>
    </row>
    <row r="933" spans="1:12">
      <c r="A933" s="362" t="s">
        <v>136</v>
      </c>
      <c r="B933" s="7" t="s">
        <v>137</v>
      </c>
      <c r="C933" s="3">
        <v>38</v>
      </c>
      <c r="D933" s="7"/>
      <c r="E933" s="12" t="s">
        <v>113</v>
      </c>
      <c r="F933" s="7" t="s">
        <v>15</v>
      </c>
      <c r="G933" s="7" t="s">
        <v>112</v>
      </c>
      <c r="H933" s="11">
        <v>25.4</v>
      </c>
      <c r="I933" s="52">
        <v>8.1</v>
      </c>
      <c r="J933" s="106">
        <v>1</v>
      </c>
      <c r="K933" s="13">
        <v>0.20573999999999998</v>
      </c>
      <c r="L933" s="7" t="s">
        <v>477</v>
      </c>
    </row>
    <row r="934" spans="1:12">
      <c r="A934" s="362" t="s">
        <v>136</v>
      </c>
      <c r="B934" s="7" t="s">
        <v>137</v>
      </c>
      <c r="C934" s="3">
        <v>41</v>
      </c>
      <c r="D934" s="7"/>
      <c r="E934" s="12" t="s">
        <v>19</v>
      </c>
      <c r="F934" s="7" t="s">
        <v>14</v>
      </c>
      <c r="G934" s="7" t="s">
        <v>37</v>
      </c>
      <c r="H934" s="11">
        <v>18.149999999999999</v>
      </c>
      <c r="I934" s="52">
        <v>9.4</v>
      </c>
      <c r="J934" s="19">
        <v>2</v>
      </c>
      <c r="K934" s="13">
        <v>0.34121999999999997</v>
      </c>
      <c r="L934" s="7" t="s">
        <v>477</v>
      </c>
    </row>
    <row r="935" spans="1:12">
      <c r="A935" s="362" t="s">
        <v>136</v>
      </c>
      <c r="B935" s="7" t="s">
        <v>137</v>
      </c>
      <c r="C935" s="3">
        <v>43</v>
      </c>
      <c r="D935" s="7"/>
      <c r="E935" s="12" t="s">
        <v>19</v>
      </c>
      <c r="F935" s="7" t="s">
        <v>14</v>
      </c>
      <c r="G935" s="7" t="s">
        <v>37</v>
      </c>
      <c r="H935" s="11">
        <v>18.149999999999999</v>
      </c>
      <c r="I935" s="52">
        <v>12</v>
      </c>
      <c r="J935" s="19">
        <v>2</v>
      </c>
      <c r="K935" s="13">
        <v>0.43559999999999999</v>
      </c>
      <c r="L935" s="7" t="s">
        <v>477</v>
      </c>
    </row>
    <row r="936" spans="1:12">
      <c r="A936" s="362" t="s">
        <v>136</v>
      </c>
      <c r="B936" s="7" t="s">
        <v>137</v>
      </c>
      <c r="C936" s="3">
        <v>43</v>
      </c>
      <c r="D936" s="7"/>
      <c r="E936" s="12" t="s">
        <v>19</v>
      </c>
      <c r="F936" s="7" t="s">
        <v>14</v>
      </c>
      <c r="G936" s="7" t="s">
        <v>37</v>
      </c>
      <c r="H936" s="11">
        <v>18.149999999999999</v>
      </c>
      <c r="I936" s="52">
        <v>9.4</v>
      </c>
      <c r="J936" s="19">
        <v>1</v>
      </c>
      <c r="K936" s="13">
        <v>0.17060999999999998</v>
      </c>
      <c r="L936" s="7" t="s">
        <v>477</v>
      </c>
    </row>
    <row r="937" spans="1:12">
      <c r="A937" s="362" t="s">
        <v>136</v>
      </c>
      <c r="B937" s="7" t="s">
        <v>137</v>
      </c>
      <c r="C937" s="3">
        <v>44</v>
      </c>
      <c r="D937" s="7"/>
      <c r="E937" s="12" t="s">
        <v>17</v>
      </c>
      <c r="F937" s="7" t="s">
        <v>15</v>
      </c>
      <c r="G937" s="7" t="s">
        <v>49</v>
      </c>
      <c r="H937" s="11">
        <v>17.82</v>
      </c>
      <c r="I937" s="52">
        <v>8.3000000000000007</v>
      </c>
      <c r="J937" s="19">
        <v>1</v>
      </c>
      <c r="K937" s="13">
        <v>0.14790600000000001</v>
      </c>
      <c r="L937" s="7" t="s">
        <v>477</v>
      </c>
    </row>
    <row r="938" spans="1:12">
      <c r="A938" s="362" t="s">
        <v>136</v>
      </c>
      <c r="B938" s="7" t="s">
        <v>137</v>
      </c>
      <c r="C938" s="3">
        <v>44</v>
      </c>
      <c r="D938" s="7"/>
      <c r="E938" s="12" t="s">
        <v>17</v>
      </c>
      <c r="F938" s="7" t="s">
        <v>15</v>
      </c>
      <c r="G938" s="7" t="s">
        <v>49</v>
      </c>
      <c r="H938" s="11">
        <v>17.82</v>
      </c>
      <c r="I938" s="8">
        <v>11.1</v>
      </c>
      <c r="J938" s="19">
        <v>2</v>
      </c>
      <c r="K938" s="13">
        <v>0.39560400000000001</v>
      </c>
      <c r="L938" s="7" t="s">
        <v>477</v>
      </c>
    </row>
    <row r="939" spans="1:12">
      <c r="A939" s="362" t="s">
        <v>136</v>
      </c>
      <c r="B939" s="7" t="s">
        <v>137</v>
      </c>
      <c r="C939" s="3">
        <v>45</v>
      </c>
      <c r="D939" s="7"/>
      <c r="E939" s="59" t="s">
        <v>113</v>
      </c>
      <c r="F939" s="60" t="s">
        <v>15</v>
      </c>
      <c r="G939" s="60" t="s">
        <v>35</v>
      </c>
      <c r="H939" s="61">
        <v>16.579999999999998</v>
      </c>
      <c r="I939" s="70">
        <v>7.3</v>
      </c>
      <c r="J939" s="64">
        <v>1</v>
      </c>
      <c r="K939" s="65">
        <v>0.12103399999999997</v>
      </c>
      <c r="L939" s="7" t="s">
        <v>477</v>
      </c>
    </row>
    <row r="940" spans="1:12">
      <c r="A940" s="362" t="s">
        <v>136</v>
      </c>
      <c r="B940" s="7" t="s">
        <v>137</v>
      </c>
      <c r="C940" s="3">
        <v>45</v>
      </c>
      <c r="D940" s="7"/>
      <c r="E940" s="59" t="s">
        <v>113</v>
      </c>
      <c r="F940" s="60" t="s">
        <v>15</v>
      </c>
      <c r="G940" s="60" t="s">
        <v>35</v>
      </c>
      <c r="H940" s="61">
        <v>16.579999999999998</v>
      </c>
      <c r="I940" s="70">
        <v>9.6999999999999993</v>
      </c>
      <c r="J940" s="64">
        <v>1</v>
      </c>
      <c r="K940" s="65">
        <v>0.16082599999999997</v>
      </c>
      <c r="L940" s="7" t="s">
        <v>477</v>
      </c>
    </row>
    <row r="941" spans="1:12">
      <c r="A941" s="362" t="s">
        <v>136</v>
      </c>
      <c r="B941" s="7" t="s">
        <v>137</v>
      </c>
      <c r="C941" s="3">
        <v>47</v>
      </c>
      <c r="D941" s="7"/>
      <c r="E941" s="12" t="s">
        <v>106</v>
      </c>
      <c r="F941" s="7" t="s">
        <v>15</v>
      </c>
      <c r="G941" s="7" t="s">
        <v>54</v>
      </c>
      <c r="H941" s="11">
        <v>31.6</v>
      </c>
      <c r="I941" s="52">
        <v>9.3000000000000007</v>
      </c>
      <c r="J941" s="19">
        <v>1</v>
      </c>
      <c r="K941" s="13">
        <v>0.29388000000000003</v>
      </c>
      <c r="L941" s="7" t="s">
        <v>477</v>
      </c>
    </row>
    <row r="942" spans="1:12">
      <c r="A942" s="362" t="s">
        <v>136</v>
      </c>
      <c r="B942" s="7" t="s">
        <v>137</v>
      </c>
      <c r="C942" s="3">
        <v>47</v>
      </c>
      <c r="D942" s="7"/>
      <c r="E942" s="12" t="s">
        <v>106</v>
      </c>
      <c r="F942" s="7" t="s">
        <v>15</v>
      </c>
      <c r="G942" s="7" t="s">
        <v>54</v>
      </c>
      <c r="H942" s="11">
        <v>31.6</v>
      </c>
      <c r="I942" s="52">
        <v>7.4</v>
      </c>
      <c r="J942" s="19">
        <v>1</v>
      </c>
      <c r="K942" s="13">
        <v>0.23384000000000002</v>
      </c>
      <c r="L942" s="7" t="s">
        <v>477</v>
      </c>
    </row>
    <row r="943" spans="1:12">
      <c r="A943" s="362" t="s">
        <v>136</v>
      </c>
      <c r="B943" s="7" t="s">
        <v>137</v>
      </c>
      <c r="C943" s="3">
        <v>47</v>
      </c>
      <c r="D943" s="7"/>
      <c r="E943" s="12" t="s">
        <v>106</v>
      </c>
      <c r="F943" s="7" t="s">
        <v>15</v>
      </c>
      <c r="G943" s="7" t="s">
        <v>54</v>
      </c>
      <c r="H943" s="11">
        <v>31.6</v>
      </c>
      <c r="I943" s="52">
        <v>7.2</v>
      </c>
      <c r="J943" s="19">
        <v>1</v>
      </c>
      <c r="K943" s="13">
        <v>0.22752</v>
      </c>
      <c r="L943" s="7" t="s">
        <v>477</v>
      </c>
    </row>
    <row r="944" spans="1:12">
      <c r="A944" s="362" t="s">
        <v>136</v>
      </c>
      <c r="B944" s="7" t="s">
        <v>137</v>
      </c>
      <c r="C944" s="3">
        <v>48</v>
      </c>
      <c r="D944" s="7"/>
      <c r="E944" s="12" t="s">
        <v>20</v>
      </c>
      <c r="F944" s="7" t="s">
        <v>15</v>
      </c>
      <c r="G944" s="7" t="s">
        <v>35</v>
      </c>
      <c r="H944" s="11">
        <v>16.579999999999998</v>
      </c>
      <c r="I944" s="52">
        <v>6.7</v>
      </c>
      <c r="J944" s="19">
        <v>1</v>
      </c>
      <c r="K944" s="13">
        <v>0.111086</v>
      </c>
      <c r="L944" s="7" t="s">
        <v>477</v>
      </c>
    </row>
    <row r="945" spans="1:12">
      <c r="A945" s="362" t="s">
        <v>136</v>
      </c>
      <c r="B945" s="7" t="s">
        <v>137</v>
      </c>
      <c r="C945" s="3">
        <v>48</v>
      </c>
      <c r="D945" s="7"/>
      <c r="E945" s="12" t="s">
        <v>20</v>
      </c>
      <c r="F945" s="7" t="s">
        <v>15</v>
      </c>
      <c r="G945" s="7" t="s">
        <v>35</v>
      </c>
      <c r="H945" s="11">
        <v>16.579999999999998</v>
      </c>
      <c r="I945" s="52">
        <v>6.9</v>
      </c>
      <c r="J945" s="19">
        <v>1</v>
      </c>
      <c r="K945" s="13">
        <v>0.114402</v>
      </c>
      <c r="L945" s="7" t="s">
        <v>477</v>
      </c>
    </row>
    <row r="946" spans="1:12">
      <c r="A946" s="362" t="s">
        <v>136</v>
      </c>
      <c r="B946" s="7" t="s">
        <v>137</v>
      </c>
      <c r="C946" s="3">
        <v>48</v>
      </c>
      <c r="D946" s="7"/>
      <c r="E946" s="12" t="s">
        <v>20</v>
      </c>
      <c r="F946" s="7" t="s">
        <v>15</v>
      </c>
      <c r="G946" s="7" t="s">
        <v>35</v>
      </c>
      <c r="H946" s="11">
        <v>16.579999999999998</v>
      </c>
      <c r="I946" s="52">
        <v>10</v>
      </c>
      <c r="J946" s="19">
        <v>1</v>
      </c>
      <c r="K946" s="13">
        <v>0.16579999999999998</v>
      </c>
      <c r="L946" s="7" t="s">
        <v>477</v>
      </c>
    </row>
    <row r="947" spans="1:12">
      <c r="A947" s="362" t="s">
        <v>136</v>
      </c>
      <c r="B947" s="7" t="s">
        <v>137</v>
      </c>
      <c r="C947" s="3">
        <v>49</v>
      </c>
      <c r="D947" s="257" t="s">
        <v>143</v>
      </c>
      <c r="E947" s="12" t="s">
        <v>89</v>
      </c>
      <c r="F947" s="7" t="s">
        <v>15</v>
      </c>
      <c r="G947" s="7" t="s">
        <v>144</v>
      </c>
      <c r="H947" s="53">
        <v>5.38</v>
      </c>
      <c r="I947" s="52">
        <v>9.5</v>
      </c>
      <c r="J947" s="19">
        <v>14</v>
      </c>
      <c r="K947" s="13">
        <v>0.71553999999999995</v>
      </c>
      <c r="L947" s="7" t="s">
        <v>477</v>
      </c>
    </row>
    <row r="948" spans="1:12">
      <c r="A948" s="362" t="s">
        <v>136</v>
      </c>
      <c r="B948" s="7" t="s">
        <v>137</v>
      </c>
      <c r="C948" s="3">
        <v>49</v>
      </c>
      <c r="D948" s="257" t="s">
        <v>143</v>
      </c>
      <c r="E948" s="12" t="s">
        <v>89</v>
      </c>
      <c r="F948" s="7" t="s">
        <v>15</v>
      </c>
      <c r="G948" s="7" t="s">
        <v>144</v>
      </c>
      <c r="H948" s="53">
        <v>5.38</v>
      </c>
      <c r="I948" s="52">
        <v>9.3000000000000007</v>
      </c>
      <c r="J948" s="19">
        <v>1</v>
      </c>
      <c r="K948" s="13">
        <v>5.0034000000000009E-2</v>
      </c>
      <c r="L948" s="7" t="s">
        <v>477</v>
      </c>
    </row>
    <row r="949" spans="1:12">
      <c r="A949" s="362" t="s">
        <v>136</v>
      </c>
      <c r="B949" s="7" t="s">
        <v>137</v>
      </c>
      <c r="C949" s="3">
        <v>49</v>
      </c>
      <c r="D949" s="257" t="s">
        <v>143</v>
      </c>
      <c r="E949" s="12" t="s">
        <v>89</v>
      </c>
      <c r="F949" s="7" t="s">
        <v>15</v>
      </c>
      <c r="G949" s="7" t="s">
        <v>144</v>
      </c>
      <c r="H949" s="53">
        <v>5.38</v>
      </c>
      <c r="I949" s="52">
        <v>9</v>
      </c>
      <c r="J949" s="19">
        <v>1</v>
      </c>
      <c r="K949" s="13">
        <v>4.8420000000000005E-2</v>
      </c>
      <c r="L949" s="7" t="s">
        <v>477</v>
      </c>
    </row>
    <row r="950" spans="1:12">
      <c r="A950" s="362" t="s">
        <v>136</v>
      </c>
      <c r="B950" s="7" t="s">
        <v>137</v>
      </c>
      <c r="C950" s="3">
        <v>49</v>
      </c>
      <c r="D950" s="257" t="s">
        <v>143</v>
      </c>
      <c r="E950" s="12" t="s">
        <v>89</v>
      </c>
      <c r="F950" s="7" t="s">
        <v>15</v>
      </c>
      <c r="G950" s="7" t="s">
        <v>144</v>
      </c>
      <c r="H950" s="53">
        <v>5.38</v>
      </c>
      <c r="I950" s="52">
        <v>8.9</v>
      </c>
      <c r="J950" s="19">
        <v>2</v>
      </c>
      <c r="K950" s="13">
        <v>9.5764000000000002E-2</v>
      </c>
      <c r="L950" s="7" t="s">
        <v>477</v>
      </c>
    </row>
    <row r="951" spans="1:12">
      <c r="A951" s="362" t="s">
        <v>136</v>
      </c>
      <c r="B951" s="7" t="s">
        <v>137</v>
      </c>
      <c r="C951" s="3">
        <v>50</v>
      </c>
      <c r="D951" s="7"/>
      <c r="E951" s="12" t="s">
        <v>20</v>
      </c>
      <c r="F951" s="7" t="s">
        <v>15</v>
      </c>
      <c r="G951" s="7" t="s">
        <v>30</v>
      </c>
      <c r="H951" s="11">
        <v>9.26</v>
      </c>
      <c r="I951" s="184">
        <v>10.9</v>
      </c>
      <c r="J951" s="19">
        <v>1</v>
      </c>
      <c r="K951" s="13">
        <v>0.100934</v>
      </c>
      <c r="L951" s="7" t="s">
        <v>477</v>
      </c>
    </row>
    <row r="952" spans="1:12">
      <c r="A952" s="362" t="s">
        <v>136</v>
      </c>
      <c r="B952" s="7" t="s">
        <v>137</v>
      </c>
      <c r="C952" s="3">
        <v>51</v>
      </c>
      <c r="D952" s="7"/>
      <c r="E952" s="12" t="s">
        <v>106</v>
      </c>
      <c r="F952" s="7" t="s">
        <v>15</v>
      </c>
      <c r="G952" s="7" t="s">
        <v>25</v>
      </c>
      <c r="H952" s="11">
        <v>7.34</v>
      </c>
      <c r="I952" s="184">
        <v>12</v>
      </c>
      <c r="J952" s="19">
        <v>4</v>
      </c>
      <c r="K952" s="13">
        <v>0.35231999999999997</v>
      </c>
      <c r="L952" s="7" t="s">
        <v>477</v>
      </c>
    </row>
    <row r="953" spans="1:12">
      <c r="A953" s="362" t="s">
        <v>136</v>
      </c>
      <c r="B953" s="7" t="s">
        <v>137</v>
      </c>
      <c r="C953" s="3">
        <v>53</v>
      </c>
      <c r="D953" s="7"/>
      <c r="E953" s="38" t="s">
        <v>24</v>
      </c>
      <c r="F953" s="7" t="s">
        <v>14</v>
      </c>
      <c r="G953" s="7" t="s">
        <v>28</v>
      </c>
      <c r="H953" s="11">
        <v>12.18</v>
      </c>
      <c r="I953" s="52">
        <v>12</v>
      </c>
      <c r="J953" s="19">
        <v>3</v>
      </c>
      <c r="K953" s="13">
        <v>0.43848000000000004</v>
      </c>
      <c r="L953" s="7" t="s">
        <v>477</v>
      </c>
    </row>
    <row r="954" spans="1:12">
      <c r="A954" s="362" t="s">
        <v>136</v>
      </c>
      <c r="B954" s="7" t="s">
        <v>137</v>
      </c>
      <c r="C954" s="3">
        <v>54</v>
      </c>
      <c r="D954" s="7"/>
      <c r="E954" s="12" t="s">
        <v>20</v>
      </c>
      <c r="F954" s="7" t="s">
        <v>15</v>
      </c>
      <c r="G954" s="7" t="s">
        <v>44</v>
      </c>
      <c r="H954" s="11">
        <v>13.4</v>
      </c>
      <c r="I954" s="8">
        <v>6.5</v>
      </c>
      <c r="J954" s="19">
        <v>1</v>
      </c>
      <c r="K954" s="13">
        <v>8.7100000000000011E-2</v>
      </c>
      <c r="L954" s="7" t="s">
        <v>477</v>
      </c>
    </row>
    <row r="955" spans="1:12">
      <c r="A955" s="362" t="s">
        <v>136</v>
      </c>
      <c r="B955" s="7" t="s">
        <v>137</v>
      </c>
      <c r="C955" s="3">
        <v>56</v>
      </c>
      <c r="D955" s="7"/>
      <c r="E955" s="12" t="s">
        <v>20</v>
      </c>
      <c r="F955" s="7" t="s">
        <v>15</v>
      </c>
      <c r="G955" s="7" t="s">
        <v>42</v>
      </c>
      <c r="H955" s="11">
        <v>19.72</v>
      </c>
      <c r="I955" s="8">
        <v>6.9</v>
      </c>
      <c r="J955" s="19">
        <v>1</v>
      </c>
      <c r="K955" s="13">
        <v>0.13606800000000002</v>
      </c>
      <c r="L955" s="7" t="s">
        <v>477</v>
      </c>
    </row>
    <row r="956" spans="1:12">
      <c r="A956" s="362" t="s">
        <v>136</v>
      </c>
      <c r="B956" s="7" t="s">
        <v>137</v>
      </c>
      <c r="C956" s="3">
        <v>57</v>
      </c>
      <c r="D956" s="7"/>
      <c r="E956" s="12" t="s">
        <v>20</v>
      </c>
      <c r="F956" s="7" t="s">
        <v>15</v>
      </c>
      <c r="G956" s="7" t="s">
        <v>30</v>
      </c>
      <c r="H956" s="11">
        <v>9.26</v>
      </c>
      <c r="I956" s="184">
        <v>10.9</v>
      </c>
      <c r="J956" s="19">
        <v>2</v>
      </c>
      <c r="K956" s="13">
        <v>0.20186799999999999</v>
      </c>
      <c r="L956" s="7" t="s">
        <v>477</v>
      </c>
    </row>
    <row r="957" spans="1:12">
      <c r="A957" s="362" t="s">
        <v>136</v>
      </c>
      <c r="B957" s="7" t="s">
        <v>137</v>
      </c>
      <c r="C957" s="3">
        <v>57</v>
      </c>
      <c r="D957" s="7"/>
      <c r="E957" s="12" t="s">
        <v>20</v>
      </c>
      <c r="F957" s="7" t="s">
        <v>15</v>
      </c>
      <c r="G957" s="7" t="s">
        <v>30</v>
      </c>
      <c r="H957" s="11">
        <v>9.26</v>
      </c>
      <c r="I957" s="184">
        <v>9.6</v>
      </c>
      <c r="J957" s="19">
        <v>1</v>
      </c>
      <c r="K957" s="13">
        <v>8.8896000000000003E-2</v>
      </c>
      <c r="L957" s="7" t="s">
        <v>477</v>
      </c>
    </row>
    <row r="958" spans="1:12">
      <c r="A958" s="362" t="s">
        <v>136</v>
      </c>
      <c r="B958" s="7" t="s">
        <v>137</v>
      </c>
      <c r="C958" s="3">
        <v>57</v>
      </c>
      <c r="D958" s="7"/>
      <c r="E958" s="12" t="s">
        <v>20</v>
      </c>
      <c r="F958" s="7" t="s">
        <v>15</v>
      </c>
      <c r="G958" s="7" t="s">
        <v>30</v>
      </c>
      <c r="H958" s="11">
        <v>9.26</v>
      </c>
      <c r="I958" s="184">
        <v>8.6</v>
      </c>
      <c r="J958" s="19">
        <v>1</v>
      </c>
      <c r="K958" s="13">
        <v>7.9635999999999998E-2</v>
      </c>
      <c r="L958" s="7" t="s">
        <v>477</v>
      </c>
    </row>
    <row r="959" spans="1:12">
      <c r="A959" s="362" t="s">
        <v>136</v>
      </c>
      <c r="B959" s="7" t="s">
        <v>137</v>
      </c>
      <c r="C959" s="3">
        <v>57</v>
      </c>
      <c r="D959" s="7"/>
      <c r="E959" s="12" t="s">
        <v>20</v>
      </c>
      <c r="F959" s="7" t="s">
        <v>15</v>
      </c>
      <c r="G959" s="7" t="s">
        <v>30</v>
      </c>
      <c r="H959" s="11">
        <v>9.26</v>
      </c>
      <c r="I959" s="184">
        <v>10</v>
      </c>
      <c r="J959" s="19">
        <v>1</v>
      </c>
      <c r="K959" s="13">
        <v>9.2599999999999988E-2</v>
      </c>
      <c r="L959" s="7" t="s">
        <v>477</v>
      </c>
    </row>
    <row r="960" spans="1:12">
      <c r="A960" s="362" t="s">
        <v>136</v>
      </c>
      <c r="B960" s="7" t="s">
        <v>137</v>
      </c>
      <c r="C960" s="3">
        <v>59</v>
      </c>
      <c r="D960" s="7"/>
      <c r="E960" s="12" t="s">
        <v>20</v>
      </c>
      <c r="F960" s="7" t="s">
        <v>15</v>
      </c>
      <c r="G960" s="7" t="s">
        <v>64</v>
      </c>
      <c r="H960" s="11">
        <v>40.1</v>
      </c>
      <c r="I960" s="52">
        <v>8</v>
      </c>
      <c r="J960" s="19">
        <v>1</v>
      </c>
      <c r="K960" s="13">
        <v>0.32080000000000003</v>
      </c>
      <c r="L960" s="7" t="s">
        <v>477</v>
      </c>
    </row>
    <row r="961" spans="1:12">
      <c r="A961" s="362" t="s">
        <v>136</v>
      </c>
      <c r="B961" s="7" t="s">
        <v>137</v>
      </c>
      <c r="C961" s="3">
        <v>59</v>
      </c>
      <c r="D961" s="7"/>
      <c r="E961" s="12" t="s">
        <v>20</v>
      </c>
      <c r="F961" s="7" t="s">
        <v>15</v>
      </c>
      <c r="G961" s="7" t="s">
        <v>64</v>
      </c>
      <c r="H961" s="11">
        <v>40.1</v>
      </c>
      <c r="I961" s="52">
        <v>8.3000000000000007</v>
      </c>
      <c r="J961" s="19">
        <v>1</v>
      </c>
      <c r="K961" s="13">
        <v>0.33283000000000001</v>
      </c>
      <c r="L961" s="7" t="s">
        <v>477</v>
      </c>
    </row>
    <row r="962" spans="1:12">
      <c r="A962" s="362" t="s">
        <v>136</v>
      </c>
      <c r="B962" s="7" t="s">
        <v>137</v>
      </c>
      <c r="C962" s="3">
        <v>61</v>
      </c>
      <c r="D962" s="7"/>
      <c r="E962" s="12" t="s">
        <v>20</v>
      </c>
      <c r="F962" s="7" t="s">
        <v>15</v>
      </c>
      <c r="G962" s="7" t="s">
        <v>64</v>
      </c>
      <c r="H962" s="11">
        <v>40.1</v>
      </c>
      <c r="I962" s="52">
        <v>9.5</v>
      </c>
      <c r="J962" s="19">
        <v>1</v>
      </c>
      <c r="K962" s="13">
        <v>0.38095000000000001</v>
      </c>
      <c r="L962" s="7" t="s">
        <v>477</v>
      </c>
    </row>
    <row r="963" spans="1:12">
      <c r="A963" s="362" t="s">
        <v>136</v>
      </c>
      <c r="B963" s="7" t="s">
        <v>137</v>
      </c>
      <c r="C963" s="3">
        <v>62</v>
      </c>
      <c r="D963" s="7"/>
      <c r="E963" s="12" t="s">
        <v>20</v>
      </c>
      <c r="F963" s="7" t="s">
        <v>15</v>
      </c>
      <c r="G963" s="7" t="s">
        <v>30</v>
      </c>
      <c r="H963" s="11">
        <v>9.26</v>
      </c>
      <c r="I963" s="184">
        <v>9.3000000000000007</v>
      </c>
      <c r="J963" s="19">
        <v>1</v>
      </c>
      <c r="K963" s="13">
        <v>8.6118000000000014E-2</v>
      </c>
      <c r="L963" s="7" t="s">
        <v>477</v>
      </c>
    </row>
    <row r="964" spans="1:12">
      <c r="A964" s="362" t="s">
        <v>136</v>
      </c>
      <c r="B964" s="7" t="s">
        <v>137</v>
      </c>
      <c r="C964" s="3">
        <v>62</v>
      </c>
      <c r="D964" s="7"/>
      <c r="E964" s="12" t="s">
        <v>20</v>
      </c>
      <c r="F964" s="7" t="s">
        <v>15</v>
      </c>
      <c r="G964" s="7" t="s">
        <v>30</v>
      </c>
      <c r="H964" s="11">
        <v>9.26</v>
      </c>
      <c r="I964" s="184">
        <v>9.6</v>
      </c>
      <c r="J964" s="19">
        <v>1</v>
      </c>
      <c r="K964" s="13">
        <v>8.8896000000000003E-2</v>
      </c>
      <c r="L964" s="7" t="s">
        <v>477</v>
      </c>
    </row>
    <row r="965" spans="1:12">
      <c r="A965" s="362" t="s">
        <v>136</v>
      </c>
      <c r="B965" s="7" t="s">
        <v>137</v>
      </c>
      <c r="C965" s="3">
        <v>63</v>
      </c>
      <c r="D965" s="7"/>
      <c r="E965" s="12" t="s">
        <v>20</v>
      </c>
      <c r="F965" s="7" t="s">
        <v>15</v>
      </c>
      <c r="G965" s="7" t="s">
        <v>22</v>
      </c>
      <c r="H965" s="11">
        <v>10.73</v>
      </c>
      <c r="I965" s="52">
        <v>7.5</v>
      </c>
      <c r="J965" s="19">
        <v>1</v>
      </c>
      <c r="K965" s="13">
        <v>8.0475000000000005E-2</v>
      </c>
      <c r="L965" s="7" t="s">
        <v>477</v>
      </c>
    </row>
    <row r="966" spans="1:12">
      <c r="A966" s="362" t="s">
        <v>136</v>
      </c>
      <c r="B966" s="7" t="s">
        <v>137</v>
      </c>
      <c r="C966" s="3">
        <v>64</v>
      </c>
      <c r="D966" s="7"/>
      <c r="E966" s="12" t="s">
        <v>20</v>
      </c>
      <c r="F966" s="7" t="s">
        <v>15</v>
      </c>
      <c r="G966" s="7" t="s">
        <v>47</v>
      </c>
      <c r="H966" s="11">
        <v>15</v>
      </c>
      <c r="I966" s="52">
        <v>8.5</v>
      </c>
      <c r="J966" s="19">
        <v>2</v>
      </c>
      <c r="K966" s="13">
        <v>0.255</v>
      </c>
      <c r="L966" s="7" t="s">
        <v>477</v>
      </c>
    </row>
    <row r="967" spans="1:12">
      <c r="A967" s="362" t="s">
        <v>136</v>
      </c>
      <c r="B967" s="7" t="s">
        <v>137</v>
      </c>
      <c r="C967" s="3">
        <v>66</v>
      </c>
      <c r="D967" s="7"/>
      <c r="E967" s="12" t="s">
        <v>20</v>
      </c>
      <c r="F967" s="7" t="s">
        <v>15</v>
      </c>
      <c r="G967" s="7" t="s">
        <v>50</v>
      </c>
      <c r="H967" s="11">
        <v>21.7</v>
      </c>
      <c r="I967" s="52">
        <v>12</v>
      </c>
      <c r="J967" s="19">
        <v>1</v>
      </c>
      <c r="K967" s="13">
        <v>0.26039999999999996</v>
      </c>
      <c r="L967" s="7" t="s">
        <v>477</v>
      </c>
    </row>
    <row r="968" spans="1:12">
      <c r="A968" s="362" t="s">
        <v>136</v>
      </c>
      <c r="B968" s="7" t="s">
        <v>137</v>
      </c>
      <c r="C968" s="3">
        <v>66</v>
      </c>
      <c r="D968" s="7"/>
      <c r="E968" s="12" t="s">
        <v>20</v>
      </c>
      <c r="F968" s="7" t="s">
        <v>15</v>
      </c>
      <c r="G968" s="7" t="s">
        <v>49</v>
      </c>
      <c r="H968" s="11">
        <v>17.82</v>
      </c>
      <c r="I968" s="52">
        <v>9.5</v>
      </c>
      <c r="J968" s="19">
        <v>1</v>
      </c>
      <c r="K968" s="13">
        <v>0.16929</v>
      </c>
      <c r="L968" s="7" t="s">
        <v>477</v>
      </c>
    </row>
    <row r="969" spans="1:12">
      <c r="A969" s="362" t="s">
        <v>136</v>
      </c>
      <c r="B969" s="7" t="s">
        <v>137</v>
      </c>
      <c r="C969" s="3">
        <v>67</v>
      </c>
      <c r="D969" s="7"/>
      <c r="E969" s="12" t="s">
        <v>145</v>
      </c>
      <c r="F969" s="7" t="s">
        <v>14</v>
      </c>
      <c r="G969" s="7" t="s">
        <v>44</v>
      </c>
      <c r="H969" s="11">
        <v>13.4</v>
      </c>
      <c r="I969" s="52">
        <v>8.4</v>
      </c>
      <c r="J969" s="106">
        <v>1</v>
      </c>
      <c r="K969" s="13">
        <v>0.11256000000000001</v>
      </c>
      <c r="L969" s="7" t="s">
        <v>477</v>
      </c>
    </row>
    <row r="970" spans="1:12">
      <c r="A970" s="362" t="s">
        <v>136</v>
      </c>
      <c r="B970" s="7" t="s">
        <v>137</v>
      </c>
      <c r="C970" s="3">
        <v>67</v>
      </c>
      <c r="D970" s="7"/>
      <c r="E970" s="12" t="s">
        <v>145</v>
      </c>
      <c r="F970" s="7" t="s">
        <v>14</v>
      </c>
      <c r="G970" s="7" t="s">
        <v>44</v>
      </c>
      <c r="H970" s="11">
        <v>13.4</v>
      </c>
      <c r="I970" s="52">
        <v>7.1</v>
      </c>
      <c r="J970" s="106">
        <v>1</v>
      </c>
      <c r="K970" s="13">
        <v>9.5140000000000002E-2</v>
      </c>
      <c r="L970" s="7" t="s">
        <v>477</v>
      </c>
    </row>
    <row r="971" spans="1:12">
      <c r="A971" s="362" t="s">
        <v>136</v>
      </c>
      <c r="B971" s="7" t="s">
        <v>137</v>
      </c>
      <c r="C971" s="3">
        <v>67</v>
      </c>
      <c r="D971" s="7"/>
      <c r="E971" s="12" t="s">
        <v>145</v>
      </c>
      <c r="F971" s="7" t="s">
        <v>14</v>
      </c>
      <c r="G971" s="7" t="s">
        <v>44</v>
      </c>
      <c r="H971" s="11">
        <v>13.4</v>
      </c>
      <c r="I971" s="52">
        <v>7</v>
      </c>
      <c r="J971" s="106">
        <v>2</v>
      </c>
      <c r="K971" s="13">
        <v>0.18759999999999999</v>
      </c>
      <c r="L971" s="7" t="s">
        <v>477</v>
      </c>
    </row>
    <row r="972" spans="1:12">
      <c r="A972" s="362" t="s">
        <v>136</v>
      </c>
      <c r="B972" s="7" t="s">
        <v>137</v>
      </c>
      <c r="C972" s="3">
        <v>74</v>
      </c>
      <c r="D972" s="7"/>
      <c r="E972" s="12" t="s">
        <v>20</v>
      </c>
      <c r="F972" s="7" t="s">
        <v>15</v>
      </c>
      <c r="G972" s="7" t="s">
        <v>66</v>
      </c>
      <c r="H972" s="11">
        <v>29.5</v>
      </c>
      <c r="I972" s="52">
        <v>8.8000000000000007</v>
      </c>
      <c r="J972" s="19">
        <v>1</v>
      </c>
      <c r="K972" s="13">
        <v>0.2596</v>
      </c>
      <c r="L972" s="7" t="s">
        <v>477</v>
      </c>
    </row>
    <row r="973" spans="1:12">
      <c r="A973" s="362" t="s">
        <v>136</v>
      </c>
      <c r="B973" s="7" t="s">
        <v>137</v>
      </c>
      <c r="C973" s="3">
        <v>74</v>
      </c>
      <c r="D973" s="7"/>
      <c r="E973" s="12" t="s">
        <v>20</v>
      </c>
      <c r="F973" s="7" t="s">
        <v>15</v>
      </c>
      <c r="G973" s="7" t="s">
        <v>66</v>
      </c>
      <c r="H973" s="11">
        <v>29.5</v>
      </c>
      <c r="I973" s="52">
        <v>9</v>
      </c>
      <c r="J973" s="19">
        <v>1</v>
      </c>
      <c r="K973" s="13">
        <v>0.26550000000000001</v>
      </c>
      <c r="L973" s="7" t="s">
        <v>477</v>
      </c>
    </row>
    <row r="974" spans="1:12">
      <c r="A974" s="362" t="s">
        <v>136</v>
      </c>
      <c r="B974" s="7" t="s">
        <v>137</v>
      </c>
      <c r="C974" s="3">
        <v>75</v>
      </c>
      <c r="D974" s="7"/>
      <c r="E974" s="12" t="s">
        <v>20</v>
      </c>
      <c r="F974" s="7" t="s">
        <v>15</v>
      </c>
      <c r="G974" s="7" t="s">
        <v>53</v>
      </c>
      <c r="H974" s="11">
        <v>35.840000000000003</v>
      </c>
      <c r="I974" s="8">
        <v>6.15</v>
      </c>
      <c r="J974" s="19">
        <v>2</v>
      </c>
      <c r="K974" s="13">
        <v>0.44083200000000006</v>
      </c>
      <c r="L974" s="7" t="s">
        <v>477</v>
      </c>
    </row>
    <row r="975" spans="1:12">
      <c r="A975" s="362" t="s">
        <v>136</v>
      </c>
      <c r="B975" s="7" t="s">
        <v>137</v>
      </c>
      <c r="C975" s="3">
        <v>75</v>
      </c>
      <c r="D975" s="7"/>
      <c r="E975" s="12" t="s">
        <v>20</v>
      </c>
      <c r="F975" s="7" t="s">
        <v>15</v>
      </c>
      <c r="G975" s="7" t="s">
        <v>53</v>
      </c>
      <c r="H975" s="11">
        <v>35.840000000000003</v>
      </c>
      <c r="I975" s="8">
        <v>6.5</v>
      </c>
      <c r="J975" s="19">
        <v>1</v>
      </c>
      <c r="K975" s="13">
        <v>0.23296000000000003</v>
      </c>
      <c r="L975" s="7" t="s">
        <v>477</v>
      </c>
    </row>
    <row r="976" spans="1:12">
      <c r="A976" s="362" t="s">
        <v>136</v>
      </c>
      <c r="B976" s="7" t="s">
        <v>137</v>
      </c>
      <c r="C976" s="3">
        <v>77</v>
      </c>
      <c r="D976" s="7"/>
      <c r="E976" s="12" t="s">
        <v>20</v>
      </c>
      <c r="F976" s="7" t="s">
        <v>15</v>
      </c>
      <c r="G976" s="7" t="s">
        <v>64</v>
      </c>
      <c r="H976" s="11">
        <v>40.1</v>
      </c>
      <c r="I976" s="52">
        <v>8.6999999999999993</v>
      </c>
      <c r="J976" s="19">
        <v>1</v>
      </c>
      <c r="K976" s="13">
        <v>0.34887000000000001</v>
      </c>
      <c r="L976" s="7" t="s">
        <v>477</v>
      </c>
    </row>
    <row r="977" spans="1:12">
      <c r="A977" s="362" t="s">
        <v>136</v>
      </c>
      <c r="B977" s="7" t="s">
        <v>137</v>
      </c>
      <c r="C977" s="3">
        <v>78</v>
      </c>
      <c r="D977" s="7"/>
      <c r="E977" s="12" t="s">
        <v>113</v>
      </c>
      <c r="F977" s="7" t="s">
        <v>15</v>
      </c>
      <c r="G977" s="7" t="s">
        <v>50</v>
      </c>
      <c r="H977" s="11">
        <v>21.7</v>
      </c>
      <c r="I977" s="52">
        <v>11.2</v>
      </c>
      <c r="J977" s="19">
        <v>1</v>
      </c>
      <c r="K977" s="13">
        <v>0.24303999999999995</v>
      </c>
      <c r="L977" s="7" t="s">
        <v>477</v>
      </c>
    </row>
    <row r="978" spans="1:12">
      <c r="A978" s="362" t="s">
        <v>136</v>
      </c>
      <c r="B978" s="7" t="s">
        <v>137</v>
      </c>
      <c r="C978" s="3">
        <v>78</v>
      </c>
      <c r="D978" s="7"/>
      <c r="E978" s="12" t="s">
        <v>113</v>
      </c>
      <c r="F978" s="7" t="s">
        <v>15</v>
      </c>
      <c r="G978" s="7" t="s">
        <v>50</v>
      </c>
      <c r="H978" s="11">
        <v>21.7</v>
      </c>
      <c r="I978" s="52">
        <v>11.3</v>
      </c>
      <c r="J978" s="19">
        <v>1</v>
      </c>
      <c r="K978" s="13">
        <v>0.24521000000000001</v>
      </c>
      <c r="L978" s="7" t="s">
        <v>477</v>
      </c>
    </row>
    <row r="979" spans="1:12">
      <c r="A979" s="362" t="s">
        <v>136</v>
      </c>
      <c r="B979" s="7" t="s">
        <v>137</v>
      </c>
      <c r="C979" s="3">
        <v>79</v>
      </c>
      <c r="D979" s="7"/>
      <c r="E979" s="12" t="s">
        <v>113</v>
      </c>
      <c r="F979" s="7" t="s">
        <v>15</v>
      </c>
      <c r="G979" s="7" t="s">
        <v>30</v>
      </c>
      <c r="H979" s="11">
        <v>9.26</v>
      </c>
      <c r="I979" s="184">
        <v>11.6</v>
      </c>
      <c r="J979" s="19">
        <v>1</v>
      </c>
      <c r="K979" s="13">
        <v>0.107416</v>
      </c>
      <c r="L979" s="7" t="s">
        <v>477</v>
      </c>
    </row>
    <row r="980" spans="1:12">
      <c r="A980" s="362" t="s">
        <v>136</v>
      </c>
      <c r="B980" s="7" t="s">
        <v>137</v>
      </c>
      <c r="C980" s="3">
        <v>80</v>
      </c>
      <c r="D980" s="7"/>
      <c r="E980" s="12" t="s">
        <v>89</v>
      </c>
      <c r="F980" s="7" t="s">
        <v>15</v>
      </c>
      <c r="G980" s="7" t="s">
        <v>58</v>
      </c>
      <c r="H980" s="11">
        <v>27.29</v>
      </c>
      <c r="I980" s="8">
        <v>6</v>
      </c>
      <c r="J980" s="19">
        <v>1</v>
      </c>
      <c r="K980" s="13">
        <v>0.16374</v>
      </c>
      <c r="L980" s="7" t="s">
        <v>477</v>
      </c>
    </row>
    <row r="981" spans="1:12">
      <c r="A981" s="362" t="s">
        <v>136</v>
      </c>
      <c r="B981" s="7" t="s">
        <v>137</v>
      </c>
      <c r="C981" s="3">
        <v>80</v>
      </c>
      <c r="D981" s="7"/>
      <c r="E981" s="12" t="s">
        <v>89</v>
      </c>
      <c r="F981" s="7" t="s">
        <v>15</v>
      </c>
      <c r="G981" s="7" t="s">
        <v>58</v>
      </c>
      <c r="H981" s="11">
        <v>27.29</v>
      </c>
      <c r="I981" s="8">
        <v>6.2</v>
      </c>
      <c r="J981" s="19">
        <v>1</v>
      </c>
      <c r="K981" s="13">
        <v>0.16919800000000002</v>
      </c>
      <c r="L981" s="7" t="s">
        <v>477</v>
      </c>
    </row>
    <row r="982" spans="1:12">
      <c r="A982" s="362" t="s">
        <v>136</v>
      </c>
      <c r="B982" s="7" t="s">
        <v>137</v>
      </c>
      <c r="C982" s="3">
        <v>81</v>
      </c>
      <c r="D982" s="7"/>
      <c r="E982" s="38" t="s">
        <v>17</v>
      </c>
      <c r="F982" s="7" t="s">
        <v>15</v>
      </c>
      <c r="G982" s="7" t="s">
        <v>60</v>
      </c>
      <c r="H982" s="11">
        <v>22.93</v>
      </c>
      <c r="I982" s="52">
        <v>11.8</v>
      </c>
      <c r="J982" s="19">
        <v>1</v>
      </c>
      <c r="K982" s="13">
        <v>0.27057400000000004</v>
      </c>
      <c r="L982" s="7" t="s">
        <v>477</v>
      </c>
    </row>
    <row r="983" spans="1:12">
      <c r="A983" s="362" t="s">
        <v>136</v>
      </c>
      <c r="B983" s="7" t="s">
        <v>137</v>
      </c>
      <c r="C983" s="3">
        <v>83</v>
      </c>
      <c r="D983" s="7"/>
      <c r="E983" s="12" t="s">
        <v>20</v>
      </c>
      <c r="F983" s="7" t="s">
        <v>15</v>
      </c>
      <c r="G983" s="7" t="s">
        <v>39</v>
      </c>
      <c r="H983" s="11">
        <v>14.66</v>
      </c>
      <c r="I983" s="8">
        <v>8</v>
      </c>
      <c r="J983" s="19">
        <v>1</v>
      </c>
      <c r="K983" s="13">
        <v>0.11728</v>
      </c>
      <c r="L983" s="7" t="s">
        <v>477</v>
      </c>
    </row>
    <row r="984" spans="1:12">
      <c r="A984" s="362" t="s">
        <v>136</v>
      </c>
      <c r="B984" s="7" t="s">
        <v>137</v>
      </c>
      <c r="C984" s="3">
        <v>84</v>
      </c>
      <c r="D984" s="7"/>
      <c r="E984" s="12" t="s">
        <v>20</v>
      </c>
      <c r="F984" s="7" t="s">
        <v>15</v>
      </c>
      <c r="G984" s="7" t="s">
        <v>27</v>
      </c>
      <c r="H984" s="11">
        <v>6.17</v>
      </c>
      <c r="I984" s="8">
        <v>11.5</v>
      </c>
      <c r="J984" s="19">
        <v>1</v>
      </c>
      <c r="K984" s="13">
        <v>7.0955000000000004E-2</v>
      </c>
      <c r="L984" s="7" t="s">
        <v>477</v>
      </c>
    </row>
    <row r="985" spans="1:12">
      <c r="A985" s="362" t="s">
        <v>136</v>
      </c>
      <c r="B985" s="7" t="s">
        <v>137</v>
      </c>
      <c r="C985" s="3">
        <v>84</v>
      </c>
      <c r="D985" s="7"/>
      <c r="E985" s="12" t="s">
        <v>20</v>
      </c>
      <c r="F985" s="7" t="s">
        <v>15</v>
      </c>
      <c r="G985" s="7" t="s">
        <v>27</v>
      </c>
      <c r="H985" s="11">
        <v>6.17</v>
      </c>
      <c r="I985" s="8">
        <v>12</v>
      </c>
      <c r="J985" s="19">
        <v>1</v>
      </c>
      <c r="K985" s="13">
        <v>7.4039999999999995E-2</v>
      </c>
      <c r="L985" s="7" t="s">
        <v>477</v>
      </c>
    </row>
    <row r="986" spans="1:12">
      <c r="A986" s="362" t="s">
        <v>136</v>
      </c>
      <c r="B986" s="7" t="s">
        <v>137</v>
      </c>
      <c r="C986" s="3">
        <v>85</v>
      </c>
      <c r="D986" s="7"/>
      <c r="E986" s="12" t="s">
        <v>20</v>
      </c>
      <c r="F986" s="7" t="s">
        <v>15</v>
      </c>
      <c r="G986" s="7" t="s">
        <v>50</v>
      </c>
      <c r="H986" s="11">
        <v>21.7</v>
      </c>
      <c r="I986" s="52">
        <v>6.4</v>
      </c>
      <c r="J986" s="19">
        <v>1</v>
      </c>
      <c r="K986" s="13">
        <v>0.13888</v>
      </c>
      <c r="L986" s="7" t="s">
        <v>477</v>
      </c>
    </row>
    <row r="987" spans="1:12">
      <c r="A987" s="362" t="s">
        <v>136</v>
      </c>
      <c r="B987" s="7" t="s">
        <v>137</v>
      </c>
      <c r="C987" s="3">
        <v>85</v>
      </c>
      <c r="D987" s="7"/>
      <c r="E987" s="12" t="s">
        <v>20</v>
      </c>
      <c r="F987" s="7" t="s">
        <v>15</v>
      </c>
      <c r="G987" s="7" t="s">
        <v>50</v>
      </c>
      <c r="H987" s="11">
        <v>21.7</v>
      </c>
      <c r="I987" s="52">
        <v>6.7</v>
      </c>
      <c r="J987" s="19">
        <v>1</v>
      </c>
      <c r="K987" s="13">
        <v>0.14538999999999999</v>
      </c>
      <c r="L987" s="7" t="s">
        <v>477</v>
      </c>
    </row>
    <row r="988" spans="1:12">
      <c r="A988" s="362" t="s">
        <v>136</v>
      </c>
      <c r="B988" s="7" t="s">
        <v>137</v>
      </c>
      <c r="C988" s="3">
        <v>85</v>
      </c>
      <c r="D988" s="7"/>
      <c r="E988" s="12" t="s">
        <v>20</v>
      </c>
      <c r="F988" s="7" t="s">
        <v>15</v>
      </c>
      <c r="G988" s="7" t="s">
        <v>50</v>
      </c>
      <c r="H988" s="11">
        <v>21.7</v>
      </c>
      <c r="I988" s="52">
        <v>7.5</v>
      </c>
      <c r="J988" s="19">
        <v>1</v>
      </c>
      <c r="K988" s="13">
        <v>0.16275000000000001</v>
      </c>
      <c r="L988" s="7" t="s">
        <v>477</v>
      </c>
    </row>
    <row r="989" spans="1:12">
      <c r="A989" s="362" t="s">
        <v>136</v>
      </c>
      <c r="B989" s="7" t="s">
        <v>137</v>
      </c>
      <c r="C989" s="3">
        <v>85</v>
      </c>
      <c r="D989" s="7"/>
      <c r="E989" s="12" t="s">
        <v>20</v>
      </c>
      <c r="F989" s="7" t="s">
        <v>15</v>
      </c>
      <c r="G989" s="7" t="s">
        <v>50</v>
      </c>
      <c r="H989" s="11">
        <v>21.7</v>
      </c>
      <c r="I989" s="52">
        <v>10.1</v>
      </c>
      <c r="J989" s="19">
        <v>1</v>
      </c>
      <c r="K989" s="13">
        <v>0.21916999999999998</v>
      </c>
      <c r="L989" s="7" t="s">
        <v>477</v>
      </c>
    </row>
    <row r="990" spans="1:12">
      <c r="A990" s="362" t="s">
        <v>136</v>
      </c>
      <c r="B990" s="7" t="s">
        <v>137</v>
      </c>
      <c r="C990" s="3">
        <v>86</v>
      </c>
      <c r="D990" s="7"/>
      <c r="E990" s="12" t="s">
        <v>20</v>
      </c>
      <c r="F990" s="7" t="s">
        <v>15</v>
      </c>
      <c r="G990" s="7" t="s">
        <v>56</v>
      </c>
      <c r="H990" s="11">
        <v>25.2</v>
      </c>
      <c r="I990" s="8">
        <v>6.6</v>
      </c>
      <c r="J990" s="19">
        <v>1</v>
      </c>
      <c r="K990" s="13">
        <v>0.16632</v>
      </c>
      <c r="L990" s="7" t="s">
        <v>477</v>
      </c>
    </row>
    <row r="991" spans="1:12">
      <c r="A991" s="362" t="s">
        <v>136</v>
      </c>
      <c r="B991" s="7" t="s">
        <v>137</v>
      </c>
      <c r="C991" s="3">
        <v>87</v>
      </c>
      <c r="D991" s="7"/>
      <c r="E991" s="12" t="s">
        <v>19</v>
      </c>
      <c r="F991" s="7" t="s">
        <v>14</v>
      </c>
      <c r="G991" s="7" t="s">
        <v>39</v>
      </c>
      <c r="H991" s="11">
        <v>14.66</v>
      </c>
      <c r="I991" s="52">
        <v>6.5</v>
      </c>
      <c r="J991" s="19">
        <v>1</v>
      </c>
      <c r="K991" s="13">
        <v>9.529E-2</v>
      </c>
      <c r="L991" s="7" t="s">
        <v>477</v>
      </c>
    </row>
    <row r="992" spans="1:12">
      <c r="A992" s="362" t="s">
        <v>136</v>
      </c>
      <c r="B992" s="7" t="s">
        <v>137</v>
      </c>
      <c r="C992" s="3">
        <v>87</v>
      </c>
      <c r="D992" s="7"/>
      <c r="E992" s="12" t="s">
        <v>19</v>
      </c>
      <c r="F992" s="7" t="s">
        <v>14</v>
      </c>
      <c r="G992" s="7" t="s">
        <v>39</v>
      </c>
      <c r="H992" s="11">
        <v>14.66</v>
      </c>
      <c r="I992" s="52">
        <v>6.7</v>
      </c>
      <c r="J992" s="19">
        <v>1</v>
      </c>
      <c r="K992" s="13">
        <v>9.8222000000000004E-2</v>
      </c>
      <c r="L992" s="7" t="s">
        <v>477</v>
      </c>
    </row>
    <row r="993" spans="1:12">
      <c r="A993" s="362" t="s">
        <v>136</v>
      </c>
      <c r="B993" s="7" t="s">
        <v>137</v>
      </c>
      <c r="C993" s="3">
        <v>87</v>
      </c>
      <c r="D993" s="7"/>
      <c r="E993" s="12" t="s">
        <v>19</v>
      </c>
      <c r="F993" s="7" t="s">
        <v>14</v>
      </c>
      <c r="G993" s="7" t="s">
        <v>39</v>
      </c>
      <c r="H993" s="11">
        <v>14.66</v>
      </c>
      <c r="I993" s="52">
        <v>7.2</v>
      </c>
      <c r="J993" s="19">
        <v>1</v>
      </c>
      <c r="K993" s="13">
        <v>0.10555200000000001</v>
      </c>
      <c r="L993" s="7" t="s">
        <v>477</v>
      </c>
    </row>
    <row r="994" spans="1:12">
      <c r="A994" s="362" t="s">
        <v>136</v>
      </c>
      <c r="B994" s="7" t="s">
        <v>137</v>
      </c>
      <c r="C994" s="3">
        <v>87</v>
      </c>
      <c r="D994" s="7"/>
      <c r="E994" s="12" t="s">
        <v>19</v>
      </c>
      <c r="F994" s="7" t="s">
        <v>14</v>
      </c>
      <c r="G994" s="7" t="s">
        <v>39</v>
      </c>
      <c r="H994" s="11">
        <v>14.66</v>
      </c>
      <c r="I994" s="52">
        <v>8.4</v>
      </c>
      <c r="J994" s="19">
        <v>1</v>
      </c>
      <c r="K994" s="13">
        <v>0.123144</v>
      </c>
      <c r="L994" s="7" t="s">
        <v>477</v>
      </c>
    </row>
    <row r="995" spans="1:12">
      <c r="A995" s="362" t="s">
        <v>136</v>
      </c>
      <c r="B995" s="7" t="s">
        <v>137</v>
      </c>
      <c r="C995" s="3">
        <v>87</v>
      </c>
      <c r="D995" s="7"/>
      <c r="E995" s="12" t="s">
        <v>19</v>
      </c>
      <c r="F995" s="7" t="s">
        <v>14</v>
      </c>
      <c r="G995" s="7" t="s">
        <v>39</v>
      </c>
      <c r="H995" s="11">
        <v>14.66</v>
      </c>
      <c r="I995" s="52">
        <v>10.9</v>
      </c>
      <c r="J995" s="19">
        <v>1</v>
      </c>
      <c r="K995" s="13">
        <v>0.15979400000000002</v>
      </c>
      <c r="L995" s="7" t="s">
        <v>477</v>
      </c>
    </row>
    <row r="996" spans="1:12">
      <c r="A996" s="362" t="s">
        <v>136</v>
      </c>
      <c r="B996" s="7" t="s">
        <v>137</v>
      </c>
      <c r="C996" s="3">
        <v>87</v>
      </c>
      <c r="D996" s="7"/>
      <c r="E996" s="12" t="s">
        <v>19</v>
      </c>
      <c r="F996" s="7" t="s">
        <v>14</v>
      </c>
      <c r="G996" s="7" t="s">
        <v>39</v>
      </c>
      <c r="H996" s="11">
        <v>14.66</v>
      </c>
      <c r="I996" s="52">
        <v>11.1</v>
      </c>
      <c r="J996" s="19">
        <v>1</v>
      </c>
      <c r="K996" s="13">
        <v>0.16272600000000001</v>
      </c>
      <c r="L996" s="7" t="s">
        <v>477</v>
      </c>
    </row>
    <row r="997" spans="1:12">
      <c r="A997" s="362" t="s">
        <v>136</v>
      </c>
      <c r="B997" s="7" t="s">
        <v>137</v>
      </c>
      <c r="C997" s="3">
        <v>88</v>
      </c>
      <c r="D997" s="7"/>
      <c r="E997" s="12" t="s">
        <v>19</v>
      </c>
      <c r="F997" s="7" t="s">
        <v>14</v>
      </c>
      <c r="G997" s="7" t="s">
        <v>39</v>
      </c>
      <c r="H997" s="11">
        <v>14.66</v>
      </c>
      <c r="I997" s="52">
        <v>6.4</v>
      </c>
      <c r="J997" s="19">
        <v>1</v>
      </c>
      <c r="K997" s="13">
        <v>9.3824000000000018E-2</v>
      </c>
      <c r="L997" s="7" t="s">
        <v>477</v>
      </c>
    </row>
    <row r="998" spans="1:12">
      <c r="A998" s="362" t="s">
        <v>136</v>
      </c>
      <c r="B998" s="7" t="s">
        <v>137</v>
      </c>
      <c r="C998" s="3">
        <v>88</v>
      </c>
      <c r="D998" s="7"/>
      <c r="E998" s="12" t="s">
        <v>19</v>
      </c>
      <c r="F998" s="7" t="s">
        <v>14</v>
      </c>
      <c r="G998" s="7" t="s">
        <v>39</v>
      </c>
      <c r="H998" s="11">
        <v>14.66</v>
      </c>
      <c r="I998" s="52">
        <v>7.7</v>
      </c>
      <c r="J998" s="19">
        <v>1</v>
      </c>
      <c r="K998" s="13">
        <v>0.11288200000000001</v>
      </c>
      <c r="L998" s="7" t="s">
        <v>477</v>
      </c>
    </row>
    <row r="999" spans="1:12">
      <c r="A999" s="362" t="s">
        <v>136</v>
      </c>
      <c r="B999" s="7" t="s">
        <v>137</v>
      </c>
      <c r="C999" s="3">
        <v>88</v>
      </c>
      <c r="D999" s="7"/>
      <c r="E999" s="12" t="s">
        <v>19</v>
      </c>
      <c r="F999" s="7" t="s">
        <v>14</v>
      </c>
      <c r="G999" s="7" t="s">
        <v>39</v>
      </c>
      <c r="H999" s="11">
        <v>14.66</v>
      </c>
      <c r="I999" s="52">
        <v>8</v>
      </c>
      <c r="J999" s="19">
        <v>2</v>
      </c>
      <c r="K999" s="13">
        <v>0.23455999999999999</v>
      </c>
      <c r="L999" s="7" t="s">
        <v>477</v>
      </c>
    </row>
    <row r="1000" spans="1:12">
      <c r="A1000" s="362" t="s">
        <v>136</v>
      </c>
      <c r="B1000" s="7" t="s">
        <v>137</v>
      </c>
      <c r="C1000" s="3">
        <v>88</v>
      </c>
      <c r="D1000" s="7"/>
      <c r="E1000" s="12" t="s">
        <v>19</v>
      </c>
      <c r="F1000" s="7" t="s">
        <v>14</v>
      </c>
      <c r="G1000" s="7" t="s">
        <v>39</v>
      </c>
      <c r="H1000" s="11">
        <v>14.66</v>
      </c>
      <c r="I1000" s="52">
        <v>8.1</v>
      </c>
      <c r="J1000" s="19">
        <v>1</v>
      </c>
      <c r="K1000" s="13">
        <v>0.11874599999999999</v>
      </c>
      <c r="L1000" s="7" t="s">
        <v>477</v>
      </c>
    </row>
    <row r="1001" spans="1:12">
      <c r="A1001" s="362" t="s">
        <v>136</v>
      </c>
      <c r="B1001" s="7" t="s">
        <v>137</v>
      </c>
      <c r="C1001" s="3">
        <v>89</v>
      </c>
      <c r="D1001" s="7"/>
      <c r="E1001" s="12" t="s">
        <v>19</v>
      </c>
      <c r="F1001" s="7" t="s">
        <v>14</v>
      </c>
      <c r="G1001" s="7" t="s">
        <v>39</v>
      </c>
      <c r="H1001" s="11">
        <v>14.66</v>
      </c>
      <c r="I1001" s="52">
        <v>8.8000000000000007</v>
      </c>
      <c r="J1001" s="19">
        <v>3</v>
      </c>
      <c r="K1001" s="13">
        <v>0.38702400000000003</v>
      </c>
      <c r="L1001" s="7" t="s">
        <v>477</v>
      </c>
    </row>
    <row r="1002" spans="1:12">
      <c r="A1002" s="362" t="s">
        <v>136</v>
      </c>
      <c r="B1002" s="7" t="s">
        <v>137</v>
      </c>
      <c r="C1002" s="3">
        <v>90</v>
      </c>
      <c r="D1002" s="7"/>
      <c r="E1002" s="12" t="s">
        <v>20</v>
      </c>
      <c r="F1002" s="7" t="s">
        <v>15</v>
      </c>
      <c r="G1002" s="7" t="s">
        <v>49</v>
      </c>
      <c r="H1002" s="11">
        <v>17.82</v>
      </c>
      <c r="I1002" s="52">
        <v>7</v>
      </c>
      <c r="J1002" s="19">
        <v>1</v>
      </c>
      <c r="K1002" s="13">
        <v>0.12474</v>
      </c>
      <c r="L1002" s="7" t="s">
        <v>477</v>
      </c>
    </row>
    <row r="1003" spans="1:12">
      <c r="A1003" s="362" t="s">
        <v>136</v>
      </c>
      <c r="B1003" s="7" t="s">
        <v>137</v>
      </c>
      <c r="C1003" s="3">
        <v>90</v>
      </c>
      <c r="D1003" s="7"/>
      <c r="E1003" s="12" t="s">
        <v>139</v>
      </c>
      <c r="F1003" s="7" t="s">
        <v>15</v>
      </c>
      <c r="G1003" s="7" t="s">
        <v>50</v>
      </c>
      <c r="H1003" s="11">
        <v>21.7</v>
      </c>
      <c r="I1003" s="52">
        <v>7.2</v>
      </c>
      <c r="J1003" s="19">
        <v>1</v>
      </c>
      <c r="K1003" s="13">
        <v>0.15624000000000002</v>
      </c>
      <c r="L1003" s="7" t="s">
        <v>477</v>
      </c>
    </row>
    <row r="1004" spans="1:12">
      <c r="A1004" s="362" t="s">
        <v>136</v>
      </c>
      <c r="B1004" s="7" t="s">
        <v>137</v>
      </c>
      <c r="C1004" s="3">
        <v>90</v>
      </c>
      <c r="D1004" s="7"/>
      <c r="E1004" s="12" t="s">
        <v>139</v>
      </c>
      <c r="F1004" s="7" t="s">
        <v>15</v>
      </c>
      <c r="G1004" s="7" t="s">
        <v>50</v>
      </c>
      <c r="H1004" s="11">
        <v>21.7</v>
      </c>
      <c r="I1004" s="52">
        <v>12</v>
      </c>
      <c r="J1004" s="19">
        <v>1</v>
      </c>
      <c r="K1004" s="13">
        <v>0.26039999999999996</v>
      </c>
      <c r="L1004" s="7" t="s">
        <v>477</v>
      </c>
    </row>
    <row r="1005" spans="1:12">
      <c r="A1005" s="362" t="s">
        <v>136</v>
      </c>
      <c r="B1005" s="7" t="s">
        <v>137</v>
      </c>
      <c r="C1005" s="3">
        <v>93</v>
      </c>
      <c r="D1005" s="7"/>
      <c r="E1005" s="12" t="s">
        <v>20</v>
      </c>
      <c r="F1005" s="7" t="s">
        <v>15</v>
      </c>
      <c r="G1005" s="7" t="s">
        <v>50</v>
      </c>
      <c r="H1005" s="11">
        <v>21.7</v>
      </c>
      <c r="I1005" s="52">
        <v>7</v>
      </c>
      <c r="J1005" s="19">
        <v>1</v>
      </c>
      <c r="K1005" s="13">
        <v>0.15190000000000001</v>
      </c>
      <c r="L1005" s="7" t="s">
        <v>477</v>
      </c>
    </row>
    <row r="1006" spans="1:12">
      <c r="A1006" s="362" t="s">
        <v>136</v>
      </c>
      <c r="B1006" s="7" t="s">
        <v>137</v>
      </c>
      <c r="C1006" s="3">
        <v>93</v>
      </c>
      <c r="D1006" s="7"/>
      <c r="E1006" s="12" t="s">
        <v>20</v>
      </c>
      <c r="F1006" s="7" t="s">
        <v>15</v>
      </c>
      <c r="G1006" s="7" t="s">
        <v>50</v>
      </c>
      <c r="H1006" s="11">
        <v>21.7</v>
      </c>
      <c r="I1006" s="52">
        <v>6.2</v>
      </c>
      <c r="J1006" s="19">
        <v>1</v>
      </c>
      <c r="K1006" s="13">
        <v>0.13453999999999999</v>
      </c>
      <c r="L1006" s="7" t="s">
        <v>477</v>
      </c>
    </row>
    <row r="1007" spans="1:12">
      <c r="A1007" s="362" t="s">
        <v>136</v>
      </c>
      <c r="B1007" s="7" t="s">
        <v>137</v>
      </c>
      <c r="C1007" s="3">
        <v>93</v>
      </c>
      <c r="D1007" s="7"/>
      <c r="E1007" s="12" t="s">
        <v>20</v>
      </c>
      <c r="F1007" s="7" t="s">
        <v>15</v>
      </c>
      <c r="G1007" s="7" t="s">
        <v>50</v>
      </c>
      <c r="H1007" s="11">
        <v>21.7</v>
      </c>
      <c r="I1007" s="52">
        <v>6.7</v>
      </c>
      <c r="J1007" s="19">
        <v>1</v>
      </c>
      <c r="K1007" s="13">
        <v>0.14538999999999999</v>
      </c>
      <c r="L1007" s="7" t="s">
        <v>477</v>
      </c>
    </row>
    <row r="1008" spans="1:12">
      <c r="A1008" s="362" t="s">
        <v>136</v>
      </c>
      <c r="B1008" s="7" t="s">
        <v>137</v>
      </c>
      <c r="C1008" s="3">
        <v>93</v>
      </c>
      <c r="D1008" s="7"/>
      <c r="E1008" s="12" t="s">
        <v>20</v>
      </c>
      <c r="F1008" s="7" t="s">
        <v>15</v>
      </c>
      <c r="G1008" s="7" t="s">
        <v>50</v>
      </c>
      <c r="H1008" s="11">
        <v>21.7</v>
      </c>
      <c r="I1008" s="52">
        <v>7.1</v>
      </c>
      <c r="J1008" s="19">
        <v>1</v>
      </c>
      <c r="K1008" s="13">
        <v>0.15406999999999998</v>
      </c>
      <c r="L1008" s="7" t="s">
        <v>477</v>
      </c>
    </row>
    <row r="1009" spans="1:12">
      <c r="A1009" s="362" t="s">
        <v>136</v>
      </c>
      <c r="B1009" s="7" t="s">
        <v>137</v>
      </c>
      <c r="C1009" s="3">
        <v>93</v>
      </c>
      <c r="D1009" s="7"/>
      <c r="E1009" s="12" t="s">
        <v>20</v>
      </c>
      <c r="F1009" s="7" t="s">
        <v>15</v>
      </c>
      <c r="G1009" s="7" t="s">
        <v>50</v>
      </c>
      <c r="H1009" s="11">
        <v>21.7</v>
      </c>
      <c r="I1009" s="52">
        <v>7.2</v>
      </c>
      <c r="J1009" s="19">
        <v>2</v>
      </c>
      <c r="K1009" s="13">
        <v>0.31248000000000004</v>
      </c>
      <c r="L1009" s="7" t="s">
        <v>477</v>
      </c>
    </row>
    <row r="1010" spans="1:12">
      <c r="A1010" s="362" t="s">
        <v>136</v>
      </c>
      <c r="B1010" s="7" t="s">
        <v>137</v>
      </c>
      <c r="C1010" s="3">
        <v>94</v>
      </c>
      <c r="D1010" s="7"/>
      <c r="E1010" s="12" t="s">
        <v>20</v>
      </c>
      <c r="F1010" s="7" t="s">
        <v>15</v>
      </c>
      <c r="G1010" s="7" t="s">
        <v>146</v>
      </c>
      <c r="H1010" s="373">
        <v>32.6</v>
      </c>
      <c r="I1010" s="52">
        <v>9</v>
      </c>
      <c r="J1010" s="19">
        <v>3</v>
      </c>
      <c r="K1010" s="13">
        <v>0.88020000000000009</v>
      </c>
      <c r="L1010" s="7" t="s">
        <v>477</v>
      </c>
    </row>
    <row r="1011" spans="1:12">
      <c r="A1011" s="362" t="s">
        <v>136</v>
      </c>
      <c r="B1011" s="7" t="s">
        <v>137</v>
      </c>
      <c r="C1011" s="3">
        <v>94</v>
      </c>
      <c r="D1011" s="7"/>
      <c r="E1011" s="12" t="s">
        <v>20</v>
      </c>
      <c r="F1011" s="7" t="s">
        <v>15</v>
      </c>
      <c r="G1011" s="7" t="s">
        <v>146</v>
      </c>
      <c r="H1011" s="373">
        <v>32.6</v>
      </c>
      <c r="I1011" s="52">
        <v>9.6999999999999993</v>
      </c>
      <c r="J1011" s="19">
        <v>1</v>
      </c>
      <c r="K1011" s="13">
        <v>0.31621999999999995</v>
      </c>
      <c r="L1011" s="7" t="s">
        <v>477</v>
      </c>
    </row>
    <row r="1012" spans="1:12">
      <c r="A1012" s="362" t="s">
        <v>136</v>
      </c>
      <c r="B1012" s="7" t="s">
        <v>137</v>
      </c>
      <c r="C1012" s="3">
        <v>96</v>
      </c>
      <c r="D1012" s="7"/>
      <c r="E1012" s="12" t="s">
        <v>20</v>
      </c>
      <c r="F1012" s="7" t="s">
        <v>15</v>
      </c>
      <c r="G1012" s="7" t="s">
        <v>60</v>
      </c>
      <c r="H1012" s="11">
        <v>22.93</v>
      </c>
      <c r="I1012" s="52">
        <v>6</v>
      </c>
      <c r="J1012" s="19">
        <v>1</v>
      </c>
      <c r="K1012" s="13">
        <v>0.13757999999999998</v>
      </c>
      <c r="L1012" s="7" t="s">
        <v>477</v>
      </c>
    </row>
    <row r="1013" spans="1:12">
      <c r="A1013" s="362" t="s">
        <v>136</v>
      </c>
      <c r="B1013" s="7" t="s">
        <v>137</v>
      </c>
      <c r="C1013" s="3">
        <v>96</v>
      </c>
      <c r="D1013" s="7"/>
      <c r="E1013" s="12" t="s">
        <v>20</v>
      </c>
      <c r="F1013" s="7" t="s">
        <v>15</v>
      </c>
      <c r="G1013" s="7" t="s">
        <v>37</v>
      </c>
      <c r="H1013" s="11">
        <v>18.149999999999999</v>
      </c>
      <c r="I1013" s="8">
        <v>6.1</v>
      </c>
      <c r="J1013" s="19">
        <v>1</v>
      </c>
      <c r="K1013" s="13">
        <v>0.11071499999999999</v>
      </c>
      <c r="L1013" s="7" t="s">
        <v>477</v>
      </c>
    </row>
    <row r="1014" spans="1:12">
      <c r="A1014" s="362" t="s">
        <v>136</v>
      </c>
      <c r="B1014" s="7" t="s">
        <v>137</v>
      </c>
      <c r="C1014" s="3">
        <v>98</v>
      </c>
      <c r="D1014" s="7"/>
      <c r="E1014" s="12" t="s">
        <v>113</v>
      </c>
      <c r="F1014" s="7" t="s">
        <v>15</v>
      </c>
      <c r="G1014" s="7" t="s">
        <v>49</v>
      </c>
      <c r="H1014" s="11">
        <v>17.82</v>
      </c>
      <c r="I1014" s="8">
        <v>12</v>
      </c>
      <c r="J1014" s="19">
        <v>1</v>
      </c>
      <c r="K1014" s="13">
        <v>0.21384</v>
      </c>
      <c r="L1014" s="7" t="s">
        <v>477</v>
      </c>
    </row>
    <row r="1015" spans="1:12">
      <c r="A1015" s="362" t="s">
        <v>136</v>
      </c>
      <c r="B1015" s="7" t="s">
        <v>137</v>
      </c>
      <c r="C1015" s="3">
        <v>99</v>
      </c>
      <c r="D1015" s="7"/>
      <c r="E1015" s="12" t="s">
        <v>20</v>
      </c>
      <c r="F1015" s="7" t="s">
        <v>15</v>
      </c>
      <c r="G1015" s="7" t="s">
        <v>42</v>
      </c>
      <c r="H1015" s="11">
        <v>19.72</v>
      </c>
      <c r="I1015" s="8">
        <v>5.4</v>
      </c>
      <c r="J1015" s="19">
        <v>1</v>
      </c>
      <c r="K1015" s="13">
        <v>0.106488</v>
      </c>
      <c r="L1015" s="7" t="s">
        <v>477</v>
      </c>
    </row>
    <row r="1016" spans="1:12">
      <c r="A1016" s="362" t="s">
        <v>136</v>
      </c>
      <c r="B1016" s="7" t="s">
        <v>137</v>
      </c>
      <c r="C1016" s="7">
        <v>100</v>
      </c>
      <c r="D1016" s="7"/>
      <c r="E1016" s="12" t="s">
        <v>20</v>
      </c>
      <c r="F1016" s="7" t="s">
        <v>15</v>
      </c>
      <c r="G1016" s="7" t="s">
        <v>146</v>
      </c>
      <c r="H1016" s="373">
        <v>32.6</v>
      </c>
      <c r="I1016" s="8">
        <v>8.1</v>
      </c>
      <c r="J1016" s="106">
        <v>3</v>
      </c>
      <c r="K1016" s="13">
        <v>0.79218</v>
      </c>
      <c r="L1016" s="7" t="s">
        <v>477</v>
      </c>
    </row>
    <row r="1017" spans="1:12">
      <c r="A1017" s="362" t="s">
        <v>136</v>
      </c>
      <c r="B1017" s="7" t="s">
        <v>137</v>
      </c>
      <c r="C1017" s="7">
        <v>105</v>
      </c>
      <c r="D1017" s="7"/>
      <c r="E1017" s="38" t="s">
        <v>94</v>
      </c>
      <c r="F1017" s="46" t="s">
        <v>15</v>
      </c>
      <c r="G1017" s="7" t="s">
        <v>42</v>
      </c>
      <c r="H1017" s="11">
        <v>19.72</v>
      </c>
      <c r="I1017" s="8">
        <v>11</v>
      </c>
      <c r="J1017" s="19">
        <v>1</v>
      </c>
      <c r="K1017" s="13">
        <v>0.21691999999999997</v>
      </c>
      <c r="L1017" s="7" t="s">
        <v>477</v>
      </c>
    </row>
    <row r="1018" spans="1:12">
      <c r="A1018" s="362" t="s">
        <v>136</v>
      </c>
      <c r="B1018" s="7" t="s">
        <v>137</v>
      </c>
      <c r="C1018" s="7">
        <v>105</v>
      </c>
      <c r="D1018" s="7"/>
      <c r="E1018" s="38" t="s">
        <v>94</v>
      </c>
      <c r="F1018" s="46" t="s">
        <v>15</v>
      </c>
      <c r="G1018" s="7" t="s">
        <v>42</v>
      </c>
      <c r="H1018" s="11">
        <v>19.72</v>
      </c>
      <c r="I1018" s="8">
        <v>11.3</v>
      </c>
      <c r="J1018" s="19">
        <v>5</v>
      </c>
      <c r="K1018" s="13">
        <v>1.1141799999999997</v>
      </c>
      <c r="L1018" s="7" t="s">
        <v>477</v>
      </c>
    </row>
    <row r="1019" spans="1:12">
      <c r="A1019" s="362" t="s">
        <v>136</v>
      </c>
      <c r="B1019" s="48" t="s">
        <v>171</v>
      </c>
      <c r="C1019" s="7">
        <v>107</v>
      </c>
      <c r="D1019" s="7"/>
      <c r="E1019" s="48" t="s">
        <v>19</v>
      </c>
      <c r="F1019" s="48" t="s">
        <v>14</v>
      </c>
      <c r="G1019" s="48" t="s">
        <v>37</v>
      </c>
      <c r="H1019" s="11">
        <v>18.149999999999999</v>
      </c>
      <c r="I1019" s="52">
        <v>11.6</v>
      </c>
      <c r="J1019" s="19">
        <v>1</v>
      </c>
      <c r="K1019" s="13">
        <v>0.21053999999999998</v>
      </c>
      <c r="L1019" s="7" t="s">
        <v>477</v>
      </c>
    </row>
    <row r="1020" spans="1:12">
      <c r="A1020" s="362" t="s">
        <v>136</v>
      </c>
      <c r="B1020" s="48" t="s">
        <v>171</v>
      </c>
      <c r="C1020" s="7">
        <v>107</v>
      </c>
      <c r="D1020" s="7"/>
      <c r="E1020" s="48" t="s">
        <v>19</v>
      </c>
      <c r="F1020" s="48" t="s">
        <v>14</v>
      </c>
      <c r="G1020" s="48" t="s">
        <v>37</v>
      </c>
      <c r="H1020" s="11">
        <v>18.149999999999999</v>
      </c>
      <c r="I1020" s="52">
        <v>12</v>
      </c>
      <c r="J1020" s="19">
        <v>10</v>
      </c>
      <c r="K1020" s="13">
        <v>2.1779999999999999</v>
      </c>
      <c r="L1020" s="7" t="s">
        <v>477</v>
      </c>
    </row>
    <row r="1021" spans="1:12">
      <c r="A1021" s="362" t="s">
        <v>136</v>
      </c>
      <c r="B1021" s="48" t="s">
        <v>171</v>
      </c>
      <c r="C1021" s="7">
        <v>108</v>
      </c>
      <c r="D1021" s="7"/>
      <c r="E1021" s="48" t="s">
        <v>24</v>
      </c>
      <c r="F1021" s="48" t="s">
        <v>14</v>
      </c>
      <c r="G1021" s="48" t="s">
        <v>38</v>
      </c>
      <c r="H1021" s="11">
        <v>12.9</v>
      </c>
      <c r="I1021" s="52">
        <v>11.6</v>
      </c>
      <c r="J1021" s="19">
        <v>1</v>
      </c>
      <c r="K1021" s="13">
        <v>0.14964</v>
      </c>
      <c r="L1021" s="7" t="s">
        <v>477</v>
      </c>
    </row>
    <row r="1022" spans="1:12">
      <c r="A1022" s="362" t="s">
        <v>136</v>
      </c>
      <c r="B1022" s="48" t="s">
        <v>171</v>
      </c>
      <c r="C1022" s="7">
        <v>109</v>
      </c>
      <c r="D1022" s="7"/>
      <c r="E1022" s="48" t="s">
        <v>106</v>
      </c>
      <c r="F1022" s="48" t="s">
        <v>15</v>
      </c>
      <c r="G1022" s="48" t="s">
        <v>57</v>
      </c>
      <c r="H1022" s="11">
        <v>33.72</v>
      </c>
      <c r="I1022" s="52">
        <v>8</v>
      </c>
      <c r="J1022" s="19">
        <v>1</v>
      </c>
      <c r="K1022" s="13">
        <v>0.26976</v>
      </c>
      <c r="L1022" s="7" t="s">
        <v>477</v>
      </c>
    </row>
    <row r="1023" spans="1:12">
      <c r="A1023" s="362" t="s">
        <v>136</v>
      </c>
      <c r="B1023" s="48" t="s">
        <v>171</v>
      </c>
      <c r="C1023" s="7">
        <v>109</v>
      </c>
      <c r="D1023" s="7"/>
      <c r="E1023" s="48" t="s">
        <v>106</v>
      </c>
      <c r="F1023" s="48" t="s">
        <v>15</v>
      </c>
      <c r="G1023" s="48" t="s">
        <v>57</v>
      </c>
      <c r="H1023" s="11">
        <v>33.72</v>
      </c>
      <c r="I1023" s="52">
        <v>11</v>
      </c>
      <c r="J1023" s="19">
        <v>1</v>
      </c>
      <c r="K1023" s="13">
        <v>0.37091999999999997</v>
      </c>
      <c r="L1023" s="7" t="s">
        <v>477</v>
      </c>
    </row>
    <row r="1024" spans="1:12">
      <c r="A1024" s="362" t="s">
        <v>136</v>
      </c>
      <c r="B1024" s="48" t="s">
        <v>171</v>
      </c>
      <c r="C1024" s="7">
        <v>109</v>
      </c>
      <c r="D1024" s="7"/>
      <c r="E1024" s="48" t="s">
        <v>106</v>
      </c>
      <c r="F1024" s="48" t="s">
        <v>15</v>
      </c>
      <c r="G1024" s="48" t="s">
        <v>57</v>
      </c>
      <c r="H1024" s="11">
        <v>33.72</v>
      </c>
      <c r="I1024" s="52">
        <v>11.2</v>
      </c>
      <c r="J1024" s="19">
        <v>2</v>
      </c>
      <c r="K1024" s="13">
        <v>0.755328</v>
      </c>
      <c r="L1024" s="7" t="s">
        <v>477</v>
      </c>
    </row>
    <row r="1025" spans="1:12">
      <c r="A1025" s="362" t="s">
        <v>136</v>
      </c>
      <c r="B1025" s="48" t="s">
        <v>171</v>
      </c>
      <c r="C1025" s="7">
        <v>110</v>
      </c>
      <c r="D1025" s="7"/>
      <c r="E1025" s="48" t="s">
        <v>141</v>
      </c>
      <c r="F1025" s="48" t="s">
        <v>15</v>
      </c>
      <c r="G1025" s="48" t="s">
        <v>172</v>
      </c>
      <c r="H1025" s="53">
        <v>21.57</v>
      </c>
      <c r="I1025" s="52">
        <v>11.2</v>
      </c>
      <c r="J1025" s="19">
        <v>2</v>
      </c>
      <c r="K1025" s="13">
        <v>0.48316799999999993</v>
      </c>
      <c r="L1025" s="7" t="s">
        <v>477</v>
      </c>
    </row>
    <row r="1026" spans="1:12">
      <c r="A1026" s="362" t="s">
        <v>136</v>
      </c>
      <c r="B1026" s="48" t="s">
        <v>171</v>
      </c>
      <c r="C1026" s="7">
        <v>112</v>
      </c>
      <c r="D1026" s="7"/>
      <c r="E1026" s="48" t="s">
        <v>20</v>
      </c>
      <c r="F1026" s="48" t="s">
        <v>15</v>
      </c>
      <c r="G1026" s="48" t="s">
        <v>18</v>
      </c>
      <c r="H1026" s="11">
        <v>6.86</v>
      </c>
      <c r="I1026" s="52">
        <v>12</v>
      </c>
      <c r="J1026" s="19">
        <v>3</v>
      </c>
      <c r="K1026" s="13">
        <v>0.24696000000000001</v>
      </c>
      <c r="L1026" s="7" t="s">
        <v>477</v>
      </c>
    </row>
    <row r="1027" spans="1:12">
      <c r="A1027" s="362" t="s">
        <v>136</v>
      </c>
      <c r="B1027" s="48" t="s">
        <v>171</v>
      </c>
      <c r="C1027" s="7">
        <v>113</v>
      </c>
      <c r="D1027" s="7"/>
      <c r="E1027" s="69" t="s">
        <v>173</v>
      </c>
      <c r="F1027" s="69" t="s">
        <v>15</v>
      </c>
      <c r="G1027" s="69" t="s">
        <v>34</v>
      </c>
      <c r="H1027" s="61">
        <v>9.61</v>
      </c>
      <c r="I1027" s="70">
        <v>9.1999999999999993</v>
      </c>
      <c r="J1027" s="64">
        <v>1</v>
      </c>
      <c r="K1027" s="65">
        <v>8.8411999999999991E-2</v>
      </c>
      <c r="L1027" s="7" t="s">
        <v>477</v>
      </c>
    </row>
    <row r="1028" spans="1:12">
      <c r="A1028" s="362" t="s">
        <v>136</v>
      </c>
      <c r="B1028" s="48" t="s">
        <v>171</v>
      </c>
      <c r="C1028" s="7">
        <v>113</v>
      </c>
      <c r="D1028" s="7"/>
      <c r="E1028" s="69" t="s">
        <v>173</v>
      </c>
      <c r="F1028" s="69" t="s">
        <v>15</v>
      </c>
      <c r="G1028" s="69" t="s">
        <v>34</v>
      </c>
      <c r="H1028" s="61">
        <v>9.61</v>
      </c>
      <c r="I1028" s="70">
        <v>5.5</v>
      </c>
      <c r="J1028" s="64">
        <v>1</v>
      </c>
      <c r="K1028" s="65">
        <v>5.2854999999999999E-2</v>
      </c>
      <c r="L1028" s="7" t="s">
        <v>477</v>
      </c>
    </row>
    <row r="1029" spans="1:12">
      <c r="A1029" s="362" t="s">
        <v>136</v>
      </c>
      <c r="B1029" s="48" t="s">
        <v>171</v>
      </c>
      <c r="C1029" s="7">
        <v>116</v>
      </c>
      <c r="D1029" s="7"/>
      <c r="E1029" s="48" t="s">
        <v>96</v>
      </c>
      <c r="F1029" s="48" t="s">
        <v>15</v>
      </c>
      <c r="G1029" s="48" t="s">
        <v>42</v>
      </c>
      <c r="H1029" s="11">
        <v>19.72</v>
      </c>
      <c r="I1029" s="8">
        <v>11</v>
      </c>
      <c r="J1029" s="19">
        <v>1</v>
      </c>
      <c r="K1029" s="13">
        <v>0.21691999999999997</v>
      </c>
      <c r="L1029" s="7" t="s">
        <v>477</v>
      </c>
    </row>
    <row r="1030" spans="1:12">
      <c r="A1030" s="362" t="s">
        <v>136</v>
      </c>
      <c r="B1030" s="48" t="s">
        <v>171</v>
      </c>
      <c r="C1030" s="7">
        <v>119</v>
      </c>
      <c r="D1030" s="7"/>
      <c r="E1030" s="48" t="s">
        <v>106</v>
      </c>
      <c r="F1030" s="48" t="s">
        <v>15</v>
      </c>
      <c r="G1030" s="48" t="s">
        <v>56</v>
      </c>
      <c r="H1030" s="11">
        <v>25.2</v>
      </c>
      <c r="I1030" s="8">
        <v>8.4</v>
      </c>
      <c r="J1030" s="19">
        <v>1</v>
      </c>
      <c r="K1030" s="13">
        <v>0.21168000000000001</v>
      </c>
      <c r="L1030" s="7" t="s">
        <v>477</v>
      </c>
    </row>
    <row r="1031" spans="1:12">
      <c r="A1031" s="362" t="s">
        <v>136</v>
      </c>
      <c r="B1031" s="48" t="s">
        <v>171</v>
      </c>
      <c r="C1031" s="7">
        <v>119</v>
      </c>
      <c r="D1031" s="7"/>
      <c r="E1031" s="48" t="s">
        <v>106</v>
      </c>
      <c r="F1031" s="48" t="s">
        <v>15</v>
      </c>
      <c r="G1031" s="48" t="s">
        <v>56</v>
      </c>
      <c r="H1031" s="11">
        <v>25.2</v>
      </c>
      <c r="I1031" s="8">
        <v>9.6999999999999993</v>
      </c>
      <c r="J1031" s="19">
        <v>1</v>
      </c>
      <c r="K1031" s="13">
        <v>0.24443999999999996</v>
      </c>
      <c r="L1031" s="7" t="s">
        <v>477</v>
      </c>
    </row>
    <row r="1032" spans="1:12">
      <c r="A1032" s="362" t="s">
        <v>136</v>
      </c>
      <c r="B1032" s="48" t="s">
        <v>171</v>
      </c>
      <c r="C1032" s="7">
        <v>119</v>
      </c>
      <c r="D1032" s="7"/>
      <c r="E1032" s="48" t="s">
        <v>106</v>
      </c>
      <c r="F1032" s="48" t="s">
        <v>15</v>
      </c>
      <c r="G1032" s="48" t="s">
        <v>56</v>
      </c>
      <c r="H1032" s="11">
        <v>25.2</v>
      </c>
      <c r="I1032" s="8">
        <v>10.199999999999999</v>
      </c>
      <c r="J1032" s="19">
        <v>1</v>
      </c>
      <c r="K1032" s="13">
        <v>0.25703999999999999</v>
      </c>
      <c r="L1032" s="7" t="s">
        <v>477</v>
      </c>
    </row>
    <row r="1033" spans="1:12">
      <c r="A1033" s="362" t="s">
        <v>136</v>
      </c>
      <c r="B1033" s="48" t="s">
        <v>171</v>
      </c>
      <c r="C1033" s="7">
        <v>119</v>
      </c>
      <c r="D1033" s="7"/>
      <c r="E1033" s="48" t="s">
        <v>106</v>
      </c>
      <c r="F1033" s="48" t="s">
        <v>15</v>
      </c>
      <c r="G1033" s="48" t="s">
        <v>56</v>
      </c>
      <c r="H1033" s="11">
        <v>25.2</v>
      </c>
      <c r="I1033" s="8">
        <v>10.6</v>
      </c>
      <c r="J1033" s="19">
        <v>1</v>
      </c>
      <c r="K1033" s="13">
        <v>0.26712000000000002</v>
      </c>
      <c r="L1033" s="7" t="s">
        <v>477</v>
      </c>
    </row>
    <row r="1034" spans="1:12">
      <c r="A1034" s="362" t="s">
        <v>136</v>
      </c>
      <c r="B1034" s="48" t="s">
        <v>171</v>
      </c>
      <c r="C1034" s="7">
        <v>121</v>
      </c>
      <c r="D1034" s="7"/>
      <c r="E1034" s="48" t="s">
        <v>106</v>
      </c>
      <c r="F1034" s="48" t="s">
        <v>15</v>
      </c>
      <c r="G1034" s="48" t="s">
        <v>58</v>
      </c>
      <c r="H1034" s="11">
        <v>27.29</v>
      </c>
      <c r="I1034" s="52">
        <v>5.8</v>
      </c>
      <c r="J1034" s="19">
        <v>1</v>
      </c>
      <c r="K1034" s="13">
        <v>0.15828199999999998</v>
      </c>
      <c r="L1034" s="7" t="s">
        <v>477</v>
      </c>
    </row>
    <row r="1035" spans="1:12">
      <c r="A1035" s="362" t="s">
        <v>136</v>
      </c>
      <c r="B1035" s="48" t="s">
        <v>171</v>
      </c>
      <c r="C1035" s="7">
        <v>121</v>
      </c>
      <c r="D1035" s="7"/>
      <c r="E1035" s="48" t="s">
        <v>106</v>
      </c>
      <c r="F1035" s="48" t="s">
        <v>15</v>
      </c>
      <c r="G1035" s="48" t="s">
        <v>58</v>
      </c>
      <c r="H1035" s="11">
        <v>27.29</v>
      </c>
      <c r="I1035" s="52">
        <v>5.9</v>
      </c>
      <c r="J1035" s="19">
        <v>1</v>
      </c>
      <c r="K1035" s="13">
        <v>0.16101099999999999</v>
      </c>
      <c r="L1035" s="7" t="s">
        <v>477</v>
      </c>
    </row>
    <row r="1036" spans="1:12">
      <c r="A1036" s="362" t="s">
        <v>136</v>
      </c>
      <c r="B1036" s="48" t="s">
        <v>171</v>
      </c>
      <c r="C1036" s="7">
        <v>123</v>
      </c>
      <c r="D1036" s="7"/>
      <c r="E1036" s="48" t="s">
        <v>175</v>
      </c>
      <c r="F1036" s="48" t="s">
        <v>15</v>
      </c>
      <c r="G1036" s="48" t="s">
        <v>42</v>
      </c>
      <c r="H1036" s="11">
        <v>19.72</v>
      </c>
      <c r="I1036" s="8">
        <v>11</v>
      </c>
      <c r="J1036" s="19">
        <v>4</v>
      </c>
      <c r="K1036" s="13">
        <v>0.8676799999999999</v>
      </c>
      <c r="L1036" s="7" t="s">
        <v>477</v>
      </c>
    </row>
    <row r="1037" spans="1:12">
      <c r="A1037" s="362" t="s">
        <v>136</v>
      </c>
      <c r="B1037" s="48" t="s">
        <v>171</v>
      </c>
      <c r="C1037" s="7">
        <v>129</v>
      </c>
      <c r="D1037" s="7"/>
      <c r="E1037" s="48" t="s">
        <v>106</v>
      </c>
      <c r="F1037" s="48" t="s">
        <v>15</v>
      </c>
      <c r="G1037" s="48" t="s">
        <v>57</v>
      </c>
      <c r="H1037" s="11">
        <v>33.72</v>
      </c>
      <c r="I1037" s="52">
        <v>7.2</v>
      </c>
      <c r="J1037" s="19">
        <v>1</v>
      </c>
      <c r="K1037" s="13">
        <v>0.242784</v>
      </c>
      <c r="L1037" s="7" t="s">
        <v>477</v>
      </c>
    </row>
    <row r="1038" spans="1:12">
      <c r="A1038" s="362" t="s">
        <v>136</v>
      </c>
      <c r="B1038" s="48" t="s">
        <v>171</v>
      </c>
      <c r="C1038" s="7">
        <v>129</v>
      </c>
      <c r="D1038" s="7"/>
      <c r="E1038" s="48" t="s">
        <v>106</v>
      </c>
      <c r="F1038" s="48" t="s">
        <v>15</v>
      </c>
      <c r="G1038" s="48" t="s">
        <v>57</v>
      </c>
      <c r="H1038" s="11">
        <v>33.72</v>
      </c>
      <c r="I1038" s="52">
        <v>7.5</v>
      </c>
      <c r="J1038" s="19">
        <v>3</v>
      </c>
      <c r="K1038" s="13">
        <v>0.75869999999999993</v>
      </c>
      <c r="L1038" s="7" t="s">
        <v>477</v>
      </c>
    </row>
    <row r="1039" spans="1:12">
      <c r="A1039" s="362" t="s">
        <v>136</v>
      </c>
      <c r="B1039" s="48" t="s">
        <v>171</v>
      </c>
      <c r="C1039" s="7">
        <v>129</v>
      </c>
      <c r="D1039" s="7"/>
      <c r="E1039" s="48" t="s">
        <v>106</v>
      </c>
      <c r="F1039" s="48" t="s">
        <v>15</v>
      </c>
      <c r="G1039" s="48" t="s">
        <v>57</v>
      </c>
      <c r="H1039" s="11">
        <v>33.72</v>
      </c>
      <c r="I1039" s="52">
        <v>7.8</v>
      </c>
      <c r="J1039" s="19">
        <v>4</v>
      </c>
      <c r="K1039" s="13">
        <v>1.0520639999999999</v>
      </c>
      <c r="L1039" s="7" t="s">
        <v>477</v>
      </c>
    </row>
    <row r="1040" spans="1:12">
      <c r="A1040" s="362" t="s">
        <v>136</v>
      </c>
      <c r="B1040" s="48" t="s">
        <v>171</v>
      </c>
      <c r="C1040" s="7">
        <v>129</v>
      </c>
      <c r="D1040" s="7"/>
      <c r="E1040" s="48" t="s">
        <v>106</v>
      </c>
      <c r="F1040" s="48" t="s">
        <v>15</v>
      </c>
      <c r="G1040" s="48" t="s">
        <v>57</v>
      </c>
      <c r="H1040" s="11">
        <v>33.72</v>
      </c>
      <c r="I1040" s="52">
        <v>10</v>
      </c>
      <c r="J1040" s="19">
        <v>3</v>
      </c>
      <c r="K1040" s="13">
        <v>1.0115999999999998</v>
      </c>
      <c r="L1040" s="7" t="s">
        <v>477</v>
      </c>
    </row>
    <row r="1041" spans="1:12">
      <c r="A1041" s="362" t="s">
        <v>136</v>
      </c>
      <c r="B1041" s="48" t="s">
        <v>171</v>
      </c>
      <c r="C1041" s="7">
        <v>131</v>
      </c>
      <c r="D1041" s="7"/>
      <c r="E1041" s="48" t="s">
        <v>19</v>
      </c>
      <c r="F1041" s="48" t="s">
        <v>14</v>
      </c>
      <c r="G1041" s="48" t="s">
        <v>16</v>
      </c>
      <c r="H1041" s="11">
        <v>5.77</v>
      </c>
      <c r="I1041" s="52">
        <v>6.3</v>
      </c>
      <c r="J1041" s="19">
        <v>1</v>
      </c>
      <c r="K1041" s="13">
        <v>3.6351000000000001E-2</v>
      </c>
      <c r="L1041" s="7" t="s">
        <v>477</v>
      </c>
    </row>
    <row r="1042" spans="1:12">
      <c r="A1042" s="362" t="s">
        <v>136</v>
      </c>
      <c r="B1042" s="48" t="s">
        <v>171</v>
      </c>
      <c r="C1042" s="7">
        <v>134</v>
      </c>
      <c r="D1042" s="7"/>
      <c r="E1042" s="48" t="s">
        <v>20</v>
      </c>
      <c r="F1042" s="48" t="s">
        <v>15</v>
      </c>
      <c r="G1042" s="48" t="s">
        <v>55</v>
      </c>
      <c r="H1042" s="11">
        <v>4.6500000000000004</v>
      </c>
      <c r="I1042" s="8">
        <v>10.3</v>
      </c>
      <c r="J1042" s="19">
        <v>2</v>
      </c>
      <c r="K1042" s="13">
        <v>9.5790000000000014E-2</v>
      </c>
      <c r="L1042" s="7" t="s">
        <v>477</v>
      </c>
    </row>
    <row r="1043" spans="1:12">
      <c r="A1043" s="362" t="s">
        <v>136</v>
      </c>
      <c r="B1043" s="48" t="s">
        <v>171</v>
      </c>
      <c r="C1043" s="7">
        <v>134</v>
      </c>
      <c r="D1043" s="7"/>
      <c r="E1043" s="48" t="s">
        <v>20</v>
      </c>
      <c r="F1043" s="48" t="s">
        <v>15</v>
      </c>
      <c r="G1043" s="48" t="s">
        <v>55</v>
      </c>
      <c r="H1043" s="11">
        <v>4.6500000000000004</v>
      </c>
      <c r="I1043" s="8">
        <v>7.3</v>
      </c>
      <c r="J1043" s="19">
        <v>1</v>
      </c>
      <c r="K1043" s="13">
        <v>3.3945000000000003E-2</v>
      </c>
      <c r="L1043" s="7" t="s">
        <v>477</v>
      </c>
    </row>
    <row r="1044" spans="1:12">
      <c r="A1044" s="362" t="s">
        <v>136</v>
      </c>
      <c r="B1044" s="48" t="s">
        <v>171</v>
      </c>
      <c r="C1044" s="7">
        <v>135</v>
      </c>
      <c r="D1044" s="7"/>
      <c r="E1044" s="48" t="s">
        <v>20</v>
      </c>
      <c r="F1044" s="48" t="s">
        <v>15</v>
      </c>
      <c r="G1044" s="48" t="s">
        <v>29</v>
      </c>
      <c r="H1044" s="11">
        <v>10.92</v>
      </c>
      <c r="I1044" s="52">
        <v>10.5</v>
      </c>
      <c r="J1044" s="19">
        <v>1</v>
      </c>
      <c r="K1044" s="13">
        <v>0.11466</v>
      </c>
      <c r="L1044" s="7" t="s">
        <v>477</v>
      </c>
    </row>
    <row r="1045" spans="1:12">
      <c r="A1045" s="362" t="s">
        <v>136</v>
      </c>
      <c r="B1045" s="48" t="s">
        <v>171</v>
      </c>
      <c r="C1045" s="7">
        <v>135</v>
      </c>
      <c r="D1045" s="7"/>
      <c r="E1045" s="48" t="s">
        <v>20</v>
      </c>
      <c r="F1045" s="48" t="s">
        <v>15</v>
      </c>
      <c r="G1045" s="48" t="s">
        <v>29</v>
      </c>
      <c r="H1045" s="11">
        <v>10.92</v>
      </c>
      <c r="I1045" s="52">
        <v>11.4</v>
      </c>
      <c r="J1045" s="19">
        <v>1</v>
      </c>
      <c r="K1045" s="13">
        <v>0.124488</v>
      </c>
      <c r="L1045" s="7" t="s">
        <v>477</v>
      </c>
    </row>
    <row r="1046" spans="1:12">
      <c r="A1046" s="362" t="s">
        <v>136</v>
      </c>
      <c r="B1046" s="48" t="s">
        <v>171</v>
      </c>
      <c r="C1046" s="7">
        <v>136</v>
      </c>
      <c r="D1046" s="7"/>
      <c r="E1046" s="48" t="s">
        <v>20</v>
      </c>
      <c r="F1046" s="48" t="s">
        <v>15</v>
      </c>
      <c r="G1046" s="48" t="s">
        <v>55</v>
      </c>
      <c r="H1046" s="11">
        <v>4.6500000000000004</v>
      </c>
      <c r="I1046" s="8">
        <v>9.9</v>
      </c>
      <c r="J1046" s="19">
        <v>1</v>
      </c>
      <c r="K1046" s="13">
        <v>4.6035000000000006E-2</v>
      </c>
      <c r="L1046" s="7" t="s">
        <v>477</v>
      </c>
    </row>
    <row r="1047" spans="1:12">
      <c r="A1047" s="362" t="s">
        <v>136</v>
      </c>
      <c r="B1047" s="48" t="s">
        <v>171</v>
      </c>
      <c r="C1047" s="7">
        <v>136</v>
      </c>
      <c r="D1047" s="7"/>
      <c r="E1047" s="48" t="s">
        <v>20</v>
      </c>
      <c r="F1047" s="48" t="s">
        <v>15</v>
      </c>
      <c r="G1047" s="48" t="s">
        <v>55</v>
      </c>
      <c r="H1047" s="11">
        <v>4.6500000000000004</v>
      </c>
      <c r="I1047" s="8">
        <v>9.6999999999999993</v>
      </c>
      <c r="J1047" s="19">
        <v>1</v>
      </c>
      <c r="K1047" s="13">
        <v>4.5104999999999999E-2</v>
      </c>
      <c r="L1047" s="7" t="s">
        <v>477</v>
      </c>
    </row>
    <row r="1048" spans="1:12">
      <c r="A1048" s="362" t="s">
        <v>136</v>
      </c>
      <c r="B1048" s="48" t="s">
        <v>171</v>
      </c>
      <c r="C1048" s="7">
        <v>136</v>
      </c>
      <c r="D1048" s="7"/>
      <c r="E1048" s="48" t="s">
        <v>20</v>
      </c>
      <c r="F1048" s="48" t="s">
        <v>15</v>
      </c>
      <c r="G1048" s="48" t="s">
        <v>55</v>
      </c>
      <c r="H1048" s="11">
        <v>4.6500000000000004</v>
      </c>
      <c r="I1048" s="8">
        <v>8.3000000000000007</v>
      </c>
      <c r="J1048" s="19">
        <v>1</v>
      </c>
      <c r="K1048" s="13">
        <v>3.8595000000000004E-2</v>
      </c>
      <c r="L1048" s="7" t="s">
        <v>477</v>
      </c>
    </row>
    <row r="1049" spans="1:12">
      <c r="A1049" s="362" t="s">
        <v>136</v>
      </c>
      <c r="B1049" s="48" t="s">
        <v>171</v>
      </c>
      <c r="C1049" s="7">
        <v>136</v>
      </c>
      <c r="D1049" s="7"/>
      <c r="E1049" s="48" t="s">
        <v>20</v>
      </c>
      <c r="F1049" s="48" t="s">
        <v>15</v>
      </c>
      <c r="G1049" s="48" t="s">
        <v>55</v>
      </c>
      <c r="H1049" s="11">
        <v>4.6500000000000004</v>
      </c>
      <c r="I1049" s="8">
        <v>8.6999999999999993</v>
      </c>
      <c r="J1049" s="19">
        <v>1</v>
      </c>
      <c r="K1049" s="13">
        <v>4.0454999999999998E-2</v>
      </c>
      <c r="L1049" s="7" t="s">
        <v>477</v>
      </c>
    </row>
    <row r="1050" spans="1:12">
      <c r="A1050" s="362" t="s">
        <v>136</v>
      </c>
      <c r="B1050" s="48" t="s">
        <v>171</v>
      </c>
      <c r="C1050" s="7">
        <v>136</v>
      </c>
      <c r="D1050" s="7"/>
      <c r="E1050" s="48" t="s">
        <v>20</v>
      </c>
      <c r="F1050" s="48" t="s">
        <v>15</v>
      </c>
      <c r="G1050" s="48" t="s">
        <v>55</v>
      </c>
      <c r="H1050" s="11">
        <v>4.6500000000000004</v>
      </c>
      <c r="I1050" s="8">
        <v>7.8</v>
      </c>
      <c r="J1050" s="19">
        <v>1</v>
      </c>
      <c r="K1050" s="13">
        <v>3.6270000000000004E-2</v>
      </c>
      <c r="L1050" s="7" t="s">
        <v>477</v>
      </c>
    </row>
    <row r="1051" spans="1:12">
      <c r="A1051" s="362" t="s">
        <v>136</v>
      </c>
      <c r="B1051" s="48" t="s">
        <v>171</v>
      </c>
      <c r="C1051" s="7">
        <v>136</v>
      </c>
      <c r="D1051" s="7"/>
      <c r="E1051" s="48" t="s">
        <v>20</v>
      </c>
      <c r="F1051" s="48" t="s">
        <v>15</v>
      </c>
      <c r="G1051" s="48" t="s">
        <v>55</v>
      </c>
      <c r="H1051" s="11">
        <v>4.6500000000000004</v>
      </c>
      <c r="I1051" s="8">
        <v>6.9</v>
      </c>
      <c r="J1051" s="19">
        <v>1</v>
      </c>
      <c r="K1051" s="13">
        <v>3.2085000000000002E-2</v>
      </c>
      <c r="L1051" s="7" t="s">
        <v>477</v>
      </c>
    </row>
    <row r="1052" spans="1:12">
      <c r="A1052" s="362" t="s">
        <v>136</v>
      </c>
      <c r="B1052" s="48" t="s">
        <v>171</v>
      </c>
      <c r="C1052" s="7">
        <v>138</v>
      </c>
      <c r="D1052" s="7"/>
      <c r="E1052" s="48" t="s">
        <v>20</v>
      </c>
      <c r="F1052" s="48" t="s">
        <v>15</v>
      </c>
      <c r="G1052" s="48" t="s">
        <v>25</v>
      </c>
      <c r="H1052" s="11">
        <v>7.34</v>
      </c>
      <c r="I1052" s="8">
        <v>6.8</v>
      </c>
      <c r="J1052" s="19">
        <v>1</v>
      </c>
      <c r="K1052" s="13">
        <v>4.9911999999999998E-2</v>
      </c>
      <c r="L1052" s="7" t="s">
        <v>477</v>
      </c>
    </row>
    <row r="1053" spans="1:12">
      <c r="A1053" s="362" t="s">
        <v>136</v>
      </c>
      <c r="B1053" s="48" t="s">
        <v>171</v>
      </c>
      <c r="C1053" s="7">
        <v>141</v>
      </c>
      <c r="D1053" s="7" t="s">
        <v>142</v>
      </c>
      <c r="E1053" s="48" t="s">
        <v>89</v>
      </c>
      <c r="F1053" s="48" t="s">
        <v>15</v>
      </c>
      <c r="G1053" s="48" t="s">
        <v>16</v>
      </c>
      <c r="H1053" s="11">
        <v>5.77</v>
      </c>
      <c r="I1053" s="52">
        <v>8.9</v>
      </c>
      <c r="J1053" s="19">
        <v>1</v>
      </c>
      <c r="K1053" s="13">
        <v>5.1353000000000003E-2</v>
      </c>
      <c r="L1053" s="7" t="s">
        <v>477</v>
      </c>
    </row>
    <row r="1054" spans="1:12">
      <c r="A1054" s="362" t="s">
        <v>136</v>
      </c>
      <c r="B1054" s="48" t="s">
        <v>171</v>
      </c>
      <c r="C1054" s="7">
        <v>141</v>
      </c>
      <c r="D1054" s="7" t="s">
        <v>142</v>
      </c>
      <c r="E1054" s="48" t="s">
        <v>89</v>
      </c>
      <c r="F1054" s="48" t="s">
        <v>15</v>
      </c>
      <c r="G1054" s="48" t="s">
        <v>16</v>
      </c>
      <c r="H1054" s="11">
        <v>5.77</v>
      </c>
      <c r="I1054" s="52">
        <v>10</v>
      </c>
      <c r="J1054" s="19">
        <v>1</v>
      </c>
      <c r="K1054" s="13">
        <v>5.7699999999999994E-2</v>
      </c>
      <c r="L1054" s="7" t="s">
        <v>477</v>
      </c>
    </row>
    <row r="1055" spans="1:12">
      <c r="A1055" s="362" t="s">
        <v>136</v>
      </c>
      <c r="B1055" s="48" t="s">
        <v>171</v>
      </c>
      <c r="C1055" s="7">
        <v>141</v>
      </c>
      <c r="D1055" s="7" t="s">
        <v>142</v>
      </c>
      <c r="E1055" s="48" t="s">
        <v>89</v>
      </c>
      <c r="F1055" s="48" t="s">
        <v>15</v>
      </c>
      <c r="G1055" s="48" t="s">
        <v>16</v>
      </c>
      <c r="H1055" s="11">
        <v>5.77</v>
      </c>
      <c r="I1055" s="52">
        <v>10.5</v>
      </c>
      <c r="J1055" s="19">
        <v>1</v>
      </c>
      <c r="K1055" s="13">
        <v>6.0584999999999993E-2</v>
      </c>
      <c r="L1055" s="7" t="s">
        <v>477</v>
      </c>
    </row>
    <row r="1056" spans="1:12">
      <c r="A1056" s="362" t="s">
        <v>136</v>
      </c>
      <c r="B1056" s="48" t="s">
        <v>171</v>
      </c>
      <c r="C1056" s="7">
        <v>142</v>
      </c>
      <c r="D1056" s="7"/>
      <c r="E1056" s="48" t="s">
        <v>94</v>
      </c>
      <c r="F1056" s="48" t="s">
        <v>15</v>
      </c>
      <c r="G1056" s="48" t="s">
        <v>55</v>
      </c>
      <c r="H1056" s="11">
        <v>4.6500000000000004</v>
      </c>
      <c r="I1056" s="8">
        <v>10.5</v>
      </c>
      <c r="J1056" s="19">
        <v>1</v>
      </c>
      <c r="K1056" s="13">
        <v>4.8825E-2</v>
      </c>
      <c r="L1056" s="7" t="s">
        <v>477</v>
      </c>
    </row>
    <row r="1057" spans="1:12">
      <c r="A1057" s="362" t="s">
        <v>136</v>
      </c>
      <c r="B1057" s="48" t="s">
        <v>171</v>
      </c>
      <c r="C1057" s="7">
        <v>145</v>
      </c>
      <c r="D1057" s="7"/>
      <c r="E1057" s="48" t="s">
        <v>106</v>
      </c>
      <c r="F1057" s="48" t="s">
        <v>15</v>
      </c>
      <c r="G1057" s="48" t="s">
        <v>18</v>
      </c>
      <c r="H1057" s="11">
        <v>6.86</v>
      </c>
      <c r="I1057" s="8">
        <v>9</v>
      </c>
      <c r="J1057" s="19">
        <v>2</v>
      </c>
      <c r="K1057" s="13">
        <v>0.12348000000000001</v>
      </c>
      <c r="L1057" s="7" t="s">
        <v>477</v>
      </c>
    </row>
    <row r="1058" spans="1:12">
      <c r="A1058" s="362" t="s">
        <v>136</v>
      </c>
      <c r="B1058" s="48" t="s">
        <v>171</v>
      </c>
      <c r="C1058" s="7">
        <v>145</v>
      </c>
      <c r="D1058" s="7"/>
      <c r="E1058" s="48" t="s">
        <v>106</v>
      </c>
      <c r="F1058" s="48" t="s">
        <v>15</v>
      </c>
      <c r="G1058" s="48" t="s">
        <v>18</v>
      </c>
      <c r="H1058" s="11">
        <v>6.86</v>
      </c>
      <c r="I1058" s="9">
        <v>9.5</v>
      </c>
      <c r="J1058" s="19">
        <v>2</v>
      </c>
      <c r="K1058" s="13">
        <v>0.13034000000000001</v>
      </c>
      <c r="L1058" s="7" t="s">
        <v>477</v>
      </c>
    </row>
    <row r="1059" spans="1:12">
      <c r="A1059" s="362" t="s">
        <v>136</v>
      </c>
      <c r="B1059" s="48" t="s">
        <v>171</v>
      </c>
      <c r="C1059" s="7">
        <v>145</v>
      </c>
      <c r="D1059" s="7"/>
      <c r="E1059" s="48" t="s">
        <v>106</v>
      </c>
      <c r="F1059" s="48" t="s">
        <v>15</v>
      </c>
      <c r="G1059" s="48" t="s">
        <v>18</v>
      </c>
      <c r="H1059" s="11">
        <v>6.86</v>
      </c>
      <c r="I1059" s="9">
        <v>9.6999999999999993</v>
      </c>
      <c r="J1059" s="19">
        <v>5</v>
      </c>
      <c r="K1059" s="13">
        <v>0.33271000000000006</v>
      </c>
      <c r="L1059" s="7" t="s">
        <v>477</v>
      </c>
    </row>
    <row r="1060" spans="1:12">
      <c r="A1060" s="362" t="s">
        <v>136</v>
      </c>
      <c r="B1060" s="48" t="s">
        <v>171</v>
      </c>
      <c r="C1060" s="7">
        <v>148</v>
      </c>
      <c r="D1060" s="7"/>
      <c r="E1060" s="48" t="s">
        <v>89</v>
      </c>
      <c r="F1060" s="48" t="s">
        <v>15</v>
      </c>
      <c r="G1060" s="48" t="s">
        <v>42</v>
      </c>
      <c r="H1060" s="11">
        <v>19.72</v>
      </c>
      <c r="I1060" s="9">
        <v>11.2</v>
      </c>
      <c r="J1060" s="19">
        <v>1</v>
      </c>
      <c r="K1060" s="13">
        <v>0.22086399999999998</v>
      </c>
      <c r="L1060" s="7" t="s">
        <v>477</v>
      </c>
    </row>
    <row r="1061" spans="1:12">
      <c r="A1061" s="362" t="s">
        <v>136</v>
      </c>
      <c r="B1061" s="48" t="s">
        <v>171</v>
      </c>
      <c r="C1061" s="7">
        <v>149</v>
      </c>
      <c r="D1061" s="7"/>
      <c r="E1061" s="48" t="s">
        <v>94</v>
      </c>
      <c r="F1061" s="48" t="s">
        <v>15</v>
      </c>
      <c r="G1061" s="48" t="s">
        <v>30</v>
      </c>
      <c r="H1061" s="11">
        <v>9.26</v>
      </c>
      <c r="I1061" s="10">
        <v>11</v>
      </c>
      <c r="J1061" s="19">
        <v>4</v>
      </c>
      <c r="K1061" s="13">
        <v>0.40744000000000002</v>
      </c>
      <c r="L1061" s="7" t="s">
        <v>477</v>
      </c>
    </row>
    <row r="1062" spans="1:12">
      <c r="A1062" s="362" t="s">
        <v>136</v>
      </c>
      <c r="B1062" s="48" t="s">
        <v>171</v>
      </c>
      <c r="C1062" s="7">
        <v>153</v>
      </c>
      <c r="D1062" s="7"/>
      <c r="E1062" s="48" t="s">
        <v>89</v>
      </c>
      <c r="F1062" s="48" t="s">
        <v>15</v>
      </c>
      <c r="G1062" s="48" t="s">
        <v>27</v>
      </c>
      <c r="H1062" s="11">
        <v>6.17</v>
      </c>
      <c r="I1062" s="9">
        <v>8</v>
      </c>
      <c r="J1062" s="19">
        <v>1</v>
      </c>
      <c r="K1062" s="13">
        <v>4.9360000000000001E-2</v>
      </c>
      <c r="L1062" s="7" t="s">
        <v>477</v>
      </c>
    </row>
    <row r="1063" spans="1:12">
      <c r="A1063" s="362" t="s">
        <v>136</v>
      </c>
      <c r="B1063" s="48" t="s">
        <v>171</v>
      </c>
      <c r="C1063" s="7">
        <v>153</v>
      </c>
      <c r="D1063" s="7"/>
      <c r="E1063" s="48" t="s">
        <v>89</v>
      </c>
      <c r="F1063" s="48" t="s">
        <v>15</v>
      </c>
      <c r="G1063" s="48" t="s">
        <v>27</v>
      </c>
      <c r="H1063" s="11">
        <v>6.17</v>
      </c>
      <c r="I1063" s="9">
        <v>8.1</v>
      </c>
      <c r="J1063" s="19">
        <v>1</v>
      </c>
      <c r="K1063" s="13">
        <v>4.9976999999999994E-2</v>
      </c>
      <c r="L1063" s="7" t="s">
        <v>477</v>
      </c>
    </row>
    <row r="1064" spans="1:12">
      <c r="A1064" s="362" t="s">
        <v>136</v>
      </c>
      <c r="B1064" s="48" t="s">
        <v>171</v>
      </c>
      <c r="C1064" s="7">
        <v>153</v>
      </c>
      <c r="D1064" s="7"/>
      <c r="E1064" s="48" t="s">
        <v>89</v>
      </c>
      <c r="F1064" s="48" t="s">
        <v>15</v>
      </c>
      <c r="G1064" s="48" t="s">
        <v>27</v>
      </c>
      <c r="H1064" s="11">
        <v>6.17</v>
      </c>
      <c r="I1064" s="9">
        <v>8.9</v>
      </c>
      <c r="J1064" s="19">
        <v>1</v>
      </c>
      <c r="K1064" s="13">
        <v>5.4913000000000003E-2</v>
      </c>
      <c r="L1064" s="7" t="s">
        <v>477</v>
      </c>
    </row>
    <row r="1065" spans="1:12">
      <c r="A1065" s="362" t="s">
        <v>136</v>
      </c>
      <c r="B1065" s="48" t="s">
        <v>171</v>
      </c>
      <c r="C1065" s="7">
        <v>155</v>
      </c>
      <c r="D1065" s="7"/>
      <c r="E1065" s="48" t="s">
        <v>19</v>
      </c>
      <c r="F1065" s="48" t="s">
        <v>14</v>
      </c>
      <c r="G1065" s="48" t="s">
        <v>55</v>
      </c>
      <c r="H1065" s="11">
        <v>4.6500000000000004</v>
      </c>
      <c r="I1065" s="9">
        <v>11.5</v>
      </c>
      <c r="J1065" s="19">
        <v>19</v>
      </c>
      <c r="K1065" s="13">
        <v>1.0160250000000002</v>
      </c>
      <c r="L1065" s="7" t="s">
        <v>477</v>
      </c>
    </row>
    <row r="1066" spans="1:12">
      <c r="A1066" s="362" t="s">
        <v>136</v>
      </c>
      <c r="B1066" s="48" t="s">
        <v>171</v>
      </c>
      <c r="C1066" s="7">
        <v>156</v>
      </c>
      <c r="D1066" s="7"/>
      <c r="E1066" s="48" t="s">
        <v>178</v>
      </c>
      <c r="F1066" s="48" t="s">
        <v>14</v>
      </c>
      <c r="G1066" s="48" t="s">
        <v>18</v>
      </c>
      <c r="H1066" s="11">
        <v>6.86</v>
      </c>
      <c r="I1066" s="9">
        <v>4.3</v>
      </c>
      <c r="J1066" s="19">
        <v>1</v>
      </c>
      <c r="K1066" s="13">
        <v>2.9498E-2</v>
      </c>
      <c r="L1066" s="7" t="s">
        <v>477</v>
      </c>
    </row>
    <row r="1067" spans="1:12">
      <c r="A1067" s="362" t="s">
        <v>136</v>
      </c>
      <c r="B1067" s="48" t="s">
        <v>171</v>
      </c>
      <c r="C1067" s="7">
        <v>157</v>
      </c>
      <c r="D1067" s="7"/>
      <c r="E1067" s="48" t="s">
        <v>178</v>
      </c>
      <c r="F1067" s="48" t="s">
        <v>14</v>
      </c>
      <c r="G1067" s="48" t="s">
        <v>55</v>
      </c>
      <c r="H1067" s="11">
        <v>4.6500000000000004</v>
      </c>
      <c r="I1067" s="9">
        <v>8.5</v>
      </c>
      <c r="J1067" s="19">
        <v>1</v>
      </c>
      <c r="K1067" s="13">
        <v>3.9525000000000005E-2</v>
      </c>
      <c r="L1067" s="7" t="s">
        <v>477</v>
      </c>
    </row>
    <row r="1068" spans="1:12">
      <c r="A1068" s="362" t="s">
        <v>136</v>
      </c>
      <c r="B1068" s="48" t="s">
        <v>171</v>
      </c>
      <c r="C1068" s="7">
        <v>157</v>
      </c>
      <c r="D1068" s="7"/>
      <c r="E1068" s="48" t="s">
        <v>178</v>
      </c>
      <c r="F1068" s="48" t="s">
        <v>14</v>
      </c>
      <c r="G1068" s="48" t="s">
        <v>55</v>
      </c>
      <c r="H1068" s="11">
        <v>4.6500000000000004</v>
      </c>
      <c r="I1068" s="9">
        <v>9</v>
      </c>
      <c r="J1068" s="19">
        <v>1</v>
      </c>
      <c r="K1068" s="13">
        <v>4.1849999999999998E-2</v>
      </c>
      <c r="L1068" s="7" t="s">
        <v>477</v>
      </c>
    </row>
    <row r="1069" spans="1:12">
      <c r="A1069" s="362" t="s">
        <v>136</v>
      </c>
      <c r="B1069" s="48" t="s">
        <v>171</v>
      </c>
      <c r="C1069" s="7">
        <v>157</v>
      </c>
      <c r="D1069" s="7"/>
      <c r="E1069" s="48" t="s">
        <v>178</v>
      </c>
      <c r="F1069" s="48" t="s">
        <v>14</v>
      </c>
      <c r="G1069" s="48" t="s">
        <v>55</v>
      </c>
      <c r="H1069" s="11">
        <v>4.6500000000000004</v>
      </c>
      <c r="I1069" s="9">
        <v>9.6999999999999993</v>
      </c>
      <c r="J1069" s="19">
        <v>2</v>
      </c>
      <c r="K1069" s="13">
        <v>9.0209999999999999E-2</v>
      </c>
      <c r="L1069" s="7" t="s">
        <v>477</v>
      </c>
    </row>
    <row r="1070" spans="1:12">
      <c r="A1070" s="362" t="s">
        <v>136</v>
      </c>
      <c r="B1070" s="48" t="s">
        <v>171</v>
      </c>
      <c r="C1070" s="7">
        <v>157</v>
      </c>
      <c r="D1070" s="7"/>
      <c r="E1070" s="48" t="s">
        <v>178</v>
      </c>
      <c r="F1070" s="48" t="s">
        <v>14</v>
      </c>
      <c r="G1070" s="48" t="s">
        <v>55</v>
      </c>
      <c r="H1070" s="11">
        <v>4.6500000000000004</v>
      </c>
      <c r="I1070" s="9">
        <v>10</v>
      </c>
      <c r="J1070" s="19">
        <v>1</v>
      </c>
      <c r="K1070" s="13">
        <v>4.65E-2</v>
      </c>
      <c r="L1070" s="7" t="s">
        <v>477</v>
      </c>
    </row>
    <row r="1071" spans="1:12">
      <c r="A1071" s="362" t="s">
        <v>136</v>
      </c>
      <c r="B1071" s="48" t="s">
        <v>171</v>
      </c>
      <c r="C1071" s="7">
        <v>157</v>
      </c>
      <c r="D1071" s="7"/>
      <c r="E1071" s="48" t="s">
        <v>178</v>
      </c>
      <c r="F1071" s="48" t="s">
        <v>14</v>
      </c>
      <c r="G1071" s="48" t="s">
        <v>55</v>
      </c>
      <c r="H1071" s="11">
        <v>4.6500000000000004</v>
      </c>
      <c r="I1071" s="9">
        <v>10.4</v>
      </c>
      <c r="J1071" s="19">
        <v>1</v>
      </c>
      <c r="K1071" s="13">
        <v>4.8360000000000007E-2</v>
      </c>
      <c r="L1071" s="7" t="s">
        <v>477</v>
      </c>
    </row>
    <row r="1072" spans="1:12">
      <c r="A1072" s="362" t="s">
        <v>136</v>
      </c>
      <c r="B1072" s="48" t="s">
        <v>171</v>
      </c>
      <c r="C1072" s="7">
        <v>157</v>
      </c>
      <c r="D1072" s="7"/>
      <c r="E1072" s="48" t="s">
        <v>178</v>
      </c>
      <c r="F1072" s="48" t="s">
        <v>14</v>
      </c>
      <c r="G1072" s="48" t="s">
        <v>55</v>
      </c>
      <c r="H1072" s="11">
        <v>4.6500000000000004</v>
      </c>
      <c r="I1072" s="9">
        <v>10.5</v>
      </c>
      <c r="J1072" s="19">
        <v>2</v>
      </c>
      <c r="K1072" s="13">
        <v>9.7650000000000001E-2</v>
      </c>
      <c r="L1072" s="7" t="s">
        <v>477</v>
      </c>
    </row>
    <row r="1073" spans="1:12">
      <c r="A1073" s="362" t="s">
        <v>136</v>
      </c>
      <c r="B1073" s="48" t="s">
        <v>171</v>
      </c>
      <c r="C1073" s="7">
        <v>157</v>
      </c>
      <c r="D1073" s="7"/>
      <c r="E1073" s="48" t="s">
        <v>178</v>
      </c>
      <c r="F1073" s="48" t="s">
        <v>14</v>
      </c>
      <c r="G1073" s="48" t="s">
        <v>55</v>
      </c>
      <c r="H1073" s="11">
        <v>4.6500000000000004</v>
      </c>
      <c r="I1073" s="9">
        <v>11</v>
      </c>
      <c r="J1073" s="19">
        <v>1</v>
      </c>
      <c r="K1073" s="13">
        <v>5.1150000000000008E-2</v>
      </c>
      <c r="L1073" s="7" t="s">
        <v>477</v>
      </c>
    </row>
    <row r="1074" spans="1:12">
      <c r="A1074" s="362" t="s">
        <v>136</v>
      </c>
      <c r="B1074" s="48" t="s">
        <v>171</v>
      </c>
      <c r="C1074" s="7">
        <v>157</v>
      </c>
      <c r="D1074" s="7"/>
      <c r="E1074" s="48" t="s">
        <v>178</v>
      </c>
      <c r="F1074" s="48" t="s">
        <v>14</v>
      </c>
      <c r="G1074" s="48" t="s">
        <v>55</v>
      </c>
      <c r="H1074" s="11">
        <v>4.6500000000000004</v>
      </c>
      <c r="I1074" s="9">
        <v>11.8</v>
      </c>
      <c r="J1074" s="19">
        <v>1</v>
      </c>
      <c r="K1074" s="13">
        <v>5.4870000000000002E-2</v>
      </c>
      <c r="L1074" s="7" t="s">
        <v>477</v>
      </c>
    </row>
    <row r="1075" spans="1:12">
      <c r="A1075" s="362" t="s">
        <v>136</v>
      </c>
      <c r="B1075" s="48" t="s">
        <v>171</v>
      </c>
      <c r="C1075" s="7">
        <v>159</v>
      </c>
      <c r="D1075" s="7"/>
      <c r="E1075" s="48" t="s">
        <v>89</v>
      </c>
      <c r="F1075" s="48" t="s">
        <v>15</v>
      </c>
      <c r="G1075" s="48" t="s">
        <v>42</v>
      </c>
      <c r="H1075" s="11">
        <v>19.72</v>
      </c>
      <c r="I1075" s="8">
        <v>9.5</v>
      </c>
      <c r="J1075" s="19">
        <v>1</v>
      </c>
      <c r="K1075" s="13">
        <v>0.18733999999999998</v>
      </c>
      <c r="L1075" s="7" t="s">
        <v>477</v>
      </c>
    </row>
    <row r="1076" spans="1:12">
      <c r="A1076" s="362" t="s">
        <v>136</v>
      </c>
      <c r="B1076" s="48" t="s">
        <v>171</v>
      </c>
      <c r="C1076" s="7">
        <v>159</v>
      </c>
      <c r="D1076" s="7"/>
      <c r="E1076" s="48" t="s">
        <v>89</v>
      </c>
      <c r="F1076" s="48" t="s">
        <v>15</v>
      </c>
      <c r="G1076" s="48" t="s">
        <v>42</v>
      </c>
      <c r="H1076" s="11">
        <v>19.72</v>
      </c>
      <c r="I1076" s="8">
        <v>10.5</v>
      </c>
      <c r="J1076" s="19">
        <v>1</v>
      </c>
      <c r="K1076" s="13">
        <v>0.20705999999999999</v>
      </c>
      <c r="L1076" s="7" t="s">
        <v>477</v>
      </c>
    </row>
    <row r="1077" spans="1:12">
      <c r="A1077" s="362" t="s">
        <v>136</v>
      </c>
      <c r="B1077" s="48" t="s">
        <v>171</v>
      </c>
      <c r="C1077" s="7">
        <v>159</v>
      </c>
      <c r="D1077" s="7"/>
      <c r="E1077" s="48" t="s">
        <v>89</v>
      </c>
      <c r="F1077" s="48" t="s">
        <v>15</v>
      </c>
      <c r="G1077" s="48" t="s">
        <v>42</v>
      </c>
      <c r="H1077" s="11">
        <v>19.72</v>
      </c>
      <c r="I1077" s="8">
        <v>11.3</v>
      </c>
      <c r="J1077" s="19">
        <v>1</v>
      </c>
      <c r="K1077" s="13">
        <v>0.22283600000000001</v>
      </c>
      <c r="L1077" s="7" t="s">
        <v>477</v>
      </c>
    </row>
    <row r="1078" spans="1:12">
      <c r="A1078" s="362" t="s">
        <v>136</v>
      </c>
      <c r="B1078" s="48" t="s">
        <v>171</v>
      </c>
      <c r="C1078" s="7">
        <v>161</v>
      </c>
      <c r="D1078" s="7"/>
      <c r="E1078" s="48" t="s">
        <v>19</v>
      </c>
      <c r="F1078" s="48" t="s">
        <v>14</v>
      </c>
      <c r="G1078" s="48" t="s">
        <v>35</v>
      </c>
      <c r="H1078" s="11">
        <v>16.579999999999998</v>
      </c>
      <c r="I1078" s="52">
        <v>8.3000000000000007</v>
      </c>
      <c r="J1078" s="19">
        <v>2</v>
      </c>
      <c r="K1078" s="13">
        <v>0.27522800000000003</v>
      </c>
      <c r="L1078" s="7" t="s">
        <v>477</v>
      </c>
    </row>
    <row r="1079" spans="1:12">
      <c r="A1079" s="362" t="s">
        <v>136</v>
      </c>
      <c r="B1079" s="48" t="s">
        <v>171</v>
      </c>
      <c r="C1079" s="7">
        <v>162</v>
      </c>
      <c r="D1079" s="7"/>
      <c r="E1079" s="48" t="s">
        <v>94</v>
      </c>
      <c r="F1079" s="48" t="s">
        <v>15</v>
      </c>
      <c r="G1079" s="48" t="s">
        <v>22</v>
      </c>
      <c r="H1079" s="11">
        <v>10.73</v>
      </c>
      <c r="I1079" s="52">
        <v>6.1</v>
      </c>
      <c r="J1079" s="19">
        <v>1</v>
      </c>
      <c r="K1079" s="13">
        <v>6.5452999999999997E-2</v>
      </c>
      <c r="L1079" s="7" t="s">
        <v>477</v>
      </c>
    </row>
    <row r="1080" spans="1:12">
      <c r="A1080" s="362" t="s">
        <v>136</v>
      </c>
      <c r="B1080" s="48" t="s">
        <v>171</v>
      </c>
      <c r="C1080" s="7">
        <v>162</v>
      </c>
      <c r="D1080" s="7"/>
      <c r="E1080" s="48" t="s">
        <v>94</v>
      </c>
      <c r="F1080" s="48" t="s">
        <v>15</v>
      </c>
      <c r="G1080" s="48" t="s">
        <v>22</v>
      </c>
      <c r="H1080" s="11">
        <v>10.73</v>
      </c>
      <c r="I1080" s="52">
        <v>6.3</v>
      </c>
      <c r="J1080" s="19">
        <v>1</v>
      </c>
      <c r="K1080" s="13">
        <v>6.7599000000000006E-2</v>
      </c>
      <c r="L1080" s="7" t="s">
        <v>477</v>
      </c>
    </row>
    <row r="1081" spans="1:12">
      <c r="A1081" s="7"/>
      <c r="B1081" s="7"/>
      <c r="C1081" s="7"/>
      <c r="D1081" s="7"/>
      <c r="E1081" s="7"/>
      <c r="F1081" s="7"/>
      <c r="G1081" s="7"/>
      <c r="H1081" s="373"/>
      <c r="I1081" s="7"/>
      <c r="J1081" s="7"/>
      <c r="K1081" s="7"/>
      <c r="L1081" s="7"/>
    </row>
    <row r="1082" spans="1:12">
      <c r="A1082" s="7"/>
      <c r="B1082" s="381" t="s">
        <v>231</v>
      </c>
      <c r="C1082" s="3" t="s">
        <v>232</v>
      </c>
      <c r="D1082" s="2" t="s">
        <v>228</v>
      </c>
      <c r="E1082" s="382" t="s">
        <v>24</v>
      </c>
      <c r="F1082" s="114" t="s">
        <v>14</v>
      </c>
      <c r="G1082" s="383" t="s">
        <v>16</v>
      </c>
      <c r="H1082" s="384">
        <v>5.77</v>
      </c>
      <c r="I1082" s="376">
        <v>10.5</v>
      </c>
      <c r="J1082" s="19">
        <v>0</v>
      </c>
      <c r="K1082" s="13">
        <v>0</v>
      </c>
      <c r="L1082" s="7" t="s">
        <v>483</v>
      </c>
    </row>
    <row r="1083" spans="1:12">
      <c r="A1083" s="7"/>
      <c r="B1083" s="381" t="s">
        <v>231</v>
      </c>
      <c r="C1083" s="3" t="s">
        <v>232</v>
      </c>
      <c r="D1083" s="2" t="s">
        <v>228</v>
      </c>
      <c r="E1083" s="382" t="s">
        <v>24</v>
      </c>
      <c r="F1083" s="114" t="s">
        <v>14</v>
      </c>
      <c r="G1083" s="383" t="s">
        <v>16</v>
      </c>
      <c r="H1083" s="384">
        <v>5.77</v>
      </c>
      <c r="I1083" s="376">
        <v>12</v>
      </c>
      <c r="J1083" s="19">
        <v>0</v>
      </c>
      <c r="K1083" s="13">
        <v>0</v>
      </c>
      <c r="L1083" s="7" t="s">
        <v>483</v>
      </c>
    </row>
    <row r="1084" spans="1:12">
      <c r="A1084" s="7"/>
      <c r="B1084" s="381" t="s">
        <v>231</v>
      </c>
      <c r="C1084" s="3" t="s">
        <v>232</v>
      </c>
      <c r="D1084" s="2" t="s">
        <v>228</v>
      </c>
      <c r="E1084" s="382" t="s">
        <v>24</v>
      </c>
      <c r="F1084" s="114" t="s">
        <v>14</v>
      </c>
      <c r="G1084" s="383" t="s">
        <v>16</v>
      </c>
      <c r="H1084" s="384">
        <v>5.77</v>
      </c>
      <c r="I1084" s="376">
        <v>10</v>
      </c>
      <c r="J1084" s="19">
        <v>0</v>
      </c>
      <c r="K1084" s="13">
        <v>0</v>
      </c>
      <c r="L1084" s="7" t="s">
        <v>483</v>
      </c>
    </row>
    <row r="1085" spans="1:12">
      <c r="A1085" s="7"/>
      <c r="B1085" s="381" t="s">
        <v>231</v>
      </c>
      <c r="C1085" s="3" t="s">
        <v>232</v>
      </c>
      <c r="D1085" s="2" t="s">
        <v>228</v>
      </c>
      <c r="E1085" s="382" t="s">
        <v>24</v>
      </c>
      <c r="F1085" s="114" t="s">
        <v>14</v>
      </c>
      <c r="G1085" s="383" t="s">
        <v>16</v>
      </c>
      <c r="H1085" s="384">
        <v>5.77</v>
      </c>
      <c r="I1085" s="376">
        <v>11.5</v>
      </c>
      <c r="J1085" s="19">
        <v>0</v>
      </c>
      <c r="K1085" s="13">
        <v>0</v>
      </c>
      <c r="L1085" s="7" t="s">
        <v>483</v>
      </c>
    </row>
    <row r="1086" spans="1:12">
      <c r="A1086" s="7"/>
      <c r="B1086" s="381" t="s">
        <v>231</v>
      </c>
      <c r="C1086" s="3" t="s">
        <v>232</v>
      </c>
      <c r="D1086" s="2" t="s">
        <v>228</v>
      </c>
      <c r="E1086" s="382" t="s">
        <v>24</v>
      </c>
      <c r="F1086" s="114" t="s">
        <v>14</v>
      </c>
      <c r="G1086" s="383" t="s">
        <v>16</v>
      </c>
      <c r="H1086" s="384">
        <v>5.77</v>
      </c>
      <c r="I1086" s="376">
        <v>9</v>
      </c>
      <c r="J1086" s="19">
        <v>1</v>
      </c>
      <c r="K1086" s="13">
        <v>5.192999999999999E-2</v>
      </c>
      <c r="L1086" s="7" t="s">
        <v>483</v>
      </c>
    </row>
    <row r="1087" spans="1:12">
      <c r="A1087" s="7"/>
      <c r="B1087" s="381" t="s">
        <v>231</v>
      </c>
      <c r="C1087" s="3" t="s">
        <v>232</v>
      </c>
      <c r="D1087" s="2" t="s">
        <v>228</v>
      </c>
      <c r="E1087" s="382" t="s">
        <v>24</v>
      </c>
      <c r="F1087" s="114" t="s">
        <v>14</v>
      </c>
      <c r="G1087" s="383" t="s">
        <v>16</v>
      </c>
      <c r="H1087" s="384">
        <v>5.77</v>
      </c>
      <c r="I1087" s="376">
        <v>10</v>
      </c>
      <c r="J1087" s="19">
        <v>0</v>
      </c>
      <c r="K1087" s="13">
        <v>0</v>
      </c>
      <c r="L1087" s="7" t="s">
        <v>483</v>
      </c>
    </row>
    <row r="1088" spans="1:12">
      <c r="A1088" s="7"/>
      <c r="B1088" s="381" t="s">
        <v>231</v>
      </c>
      <c r="C1088" s="3" t="s">
        <v>232</v>
      </c>
      <c r="D1088" s="2" t="s">
        <v>228</v>
      </c>
      <c r="E1088" s="382" t="s">
        <v>24</v>
      </c>
      <c r="F1088" s="114" t="s">
        <v>14</v>
      </c>
      <c r="G1088" s="383" t="s">
        <v>16</v>
      </c>
      <c r="H1088" s="384">
        <v>5.77</v>
      </c>
      <c r="I1088" s="376">
        <v>10.5</v>
      </c>
      <c r="J1088" s="19">
        <v>0</v>
      </c>
      <c r="K1088" s="13">
        <v>0</v>
      </c>
      <c r="L1088" s="7" t="s">
        <v>483</v>
      </c>
    </row>
    <row r="1089" spans="1:12">
      <c r="A1089" s="7"/>
      <c r="B1089" s="381" t="s">
        <v>231</v>
      </c>
      <c r="C1089" s="3" t="s">
        <v>232</v>
      </c>
      <c r="D1089" s="2" t="s">
        <v>228</v>
      </c>
      <c r="E1089" s="382" t="s">
        <v>24</v>
      </c>
      <c r="F1089" s="114" t="s">
        <v>14</v>
      </c>
      <c r="G1089" s="383" t="s">
        <v>16</v>
      </c>
      <c r="H1089" s="384">
        <v>5.77</v>
      </c>
      <c r="I1089" s="376">
        <v>11.8</v>
      </c>
      <c r="J1089" s="19">
        <v>0</v>
      </c>
      <c r="K1089" s="13">
        <v>0</v>
      </c>
      <c r="L1089" s="7" t="s">
        <v>483</v>
      </c>
    </row>
    <row r="1090" spans="1:12">
      <c r="A1090" s="7"/>
      <c r="B1090" s="381" t="s">
        <v>231</v>
      </c>
      <c r="C1090" s="3" t="s">
        <v>232</v>
      </c>
      <c r="D1090" s="2" t="s">
        <v>228</v>
      </c>
      <c r="E1090" s="382" t="s">
        <v>24</v>
      </c>
      <c r="F1090" s="114" t="s">
        <v>14</v>
      </c>
      <c r="G1090" s="383" t="s">
        <v>16</v>
      </c>
      <c r="H1090" s="384">
        <v>5.77</v>
      </c>
      <c r="I1090" s="11">
        <v>12</v>
      </c>
      <c r="J1090" s="19">
        <v>0</v>
      </c>
      <c r="K1090" s="13">
        <v>0</v>
      </c>
      <c r="L1090" s="7" t="s">
        <v>483</v>
      </c>
    </row>
    <row r="1091" spans="1:12">
      <c r="A1091" s="7"/>
      <c r="B1091" s="381" t="s">
        <v>231</v>
      </c>
      <c r="C1091" s="3" t="s">
        <v>232</v>
      </c>
      <c r="D1091" s="2" t="s">
        <v>228</v>
      </c>
      <c r="E1091" s="382" t="s">
        <v>24</v>
      </c>
      <c r="F1091" s="114" t="s">
        <v>14</v>
      </c>
      <c r="G1091" s="383" t="s">
        <v>16</v>
      </c>
      <c r="H1091" s="384">
        <v>5.77</v>
      </c>
      <c r="I1091" s="376">
        <v>11.5</v>
      </c>
      <c r="J1091" s="19">
        <v>0</v>
      </c>
      <c r="K1091" s="13">
        <v>0</v>
      </c>
      <c r="L1091" s="7" t="s">
        <v>483</v>
      </c>
    </row>
    <row r="1092" spans="1:12">
      <c r="A1092" s="7"/>
      <c r="B1092" s="381" t="s">
        <v>231</v>
      </c>
      <c r="C1092" s="3" t="s">
        <v>232</v>
      </c>
      <c r="D1092" s="2" t="s">
        <v>228</v>
      </c>
      <c r="E1092" s="382" t="s">
        <v>86</v>
      </c>
      <c r="F1092" s="114" t="s">
        <v>14</v>
      </c>
      <c r="G1092" s="383" t="s">
        <v>23</v>
      </c>
      <c r="H1092" s="384">
        <v>9</v>
      </c>
      <c r="I1092" s="376">
        <v>12</v>
      </c>
      <c r="J1092" s="19">
        <v>5</v>
      </c>
      <c r="K1092" s="13">
        <v>0.54</v>
      </c>
      <c r="L1092" s="7" t="s">
        <v>483</v>
      </c>
    </row>
    <row r="1093" spans="1:12">
      <c r="A1093" s="7"/>
      <c r="B1093" s="381" t="s">
        <v>231</v>
      </c>
      <c r="C1093" s="3" t="s">
        <v>232</v>
      </c>
      <c r="D1093" s="2" t="s">
        <v>228</v>
      </c>
      <c r="E1093" s="382" t="s">
        <v>86</v>
      </c>
      <c r="F1093" s="114" t="s">
        <v>14</v>
      </c>
      <c r="G1093" s="383" t="s">
        <v>23</v>
      </c>
      <c r="H1093" s="384">
        <v>9</v>
      </c>
      <c r="I1093" s="376">
        <v>10.199999999999999</v>
      </c>
      <c r="J1093" s="19">
        <v>1</v>
      </c>
      <c r="K1093" s="13">
        <v>9.1799999999999993E-2</v>
      </c>
      <c r="L1093" s="7" t="s">
        <v>483</v>
      </c>
    </row>
    <row r="1094" spans="1:12">
      <c r="A1094" s="7"/>
      <c r="B1094" s="381" t="s">
        <v>231</v>
      </c>
      <c r="C1094" s="3" t="s">
        <v>232</v>
      </c>
      <c r="D1094" s="2" t="s">
        <v>228</v>
      </c>
      <c r="E1094" s="382" t="s">
        <v>86</v>
      </c>
      <c r="F1094" s="114" t="s">
        <v>14</v>
      </c>
      <c r="G1094" s="383" t="s">
        <v>23</v>
      </c>
      <c r="H1094" s="384">
        <v>9</v>
      </c>
      <c r="I1094" s="376">
        <v>7</v>
      </c>
      <c r="J1094" s="19">
        <v>1</v>
      </c>
      <c r="K1094" s="13">
        <v>6.3E-2</v>
      </c>
      <c r="L1094" s="7" t="s">
        <v>483</v>
      </c>
    </row>
    <row r="1095" spans="1:12">
      <c r="A1095" s="7"/>
      <c r="B1095" s="381" t="s">
        <v>231</v>
      </c>
      <c r="C1095" s="3" t="s">
        <v>232</v>
      </c>
      <c r="D1095" s="2" t="s">
        <v>228</v>
      </c>
      <c r="E1095" s="382" t="s">
        <v>86</v>
      </c>
      <c r="F1095" s="114" t="s">
        <v>14</v>
      </c>
      <c r="G1095" s="383" t="s">
        <v>23</v>
      </c>
      <c r="H1095" s="384">
        <v>9</v>
      </c>
      <c r="I1095" s="376">
        <v>12</v>
      </c>
      <c r="J1095" s="19">
        <v>1</v>
      </c>
      <c r="K1095" s="13">
        <v>0.108</v>
      </c>
      <c r="L1095" s="7" t="s">
        <v>483</v>
      </c>
    </row>
    <row r="1096" spans="1:12">
      <c r="A1096" s="7"/>
      <c r="B1096" s="381" t="s">
        <v>231</v>
      </c>
      <c r="C1096" s="3" t="s">
        <v>232</v>
      </c>
      <c r="D1096" s="2" t="s">
        <v>228</v>
      </c>
      <c r="E1096" s="382" t="s">
        <v>86</v>
      </c>
      <c r="F1096" s="114" t="s">
        <v>14</v>
      </c>
      <c r="G1096" s="383" t="s">
        <v>23</v>
      </c>
      <c r="H1096" s="384">
        <v>9</v>
      </c>
      <c r="I1096" s="376">
        <v>11.5</v>
      </c>
      <c r="J1096" s="19">
        <v>2</v>
      </c>
      <c r="K1096" s="13">
        <v>0.20699999999999999</v>
      </c>
      <c r="L1096" s="7" t="s">
        <v>483</v>
      </c>
    </row>
    <row r="1097" spans="1:12">
      <c r="A1097" s="7"/>
      <c r="B1097" s="381" t="s">
        <v>238</v>
      </c>
      <c r="C1097" s="3" t="s">
        <v>232</v>
      </c>
      <c r="D1097" s="2" t="s">
        <v>228</v>
      </c>
      <c r="E1097" s="382" t="s">
        <v>236</v>
      </c>
      <c r="F1097" s="114" t="s">
        <v>15</v>
      </c>
      <c r="G1097" s="383" t="s">
        <v>18</v>
      </c>
      <c r="H1097" s="384">
        <v>6.86</v>
      </c>
      <c r="I1097" s="376">
        <v>11.1</v>
      </c>
      <c r="J1097" s="19">
        <v>0</v>
      </c>
      <c r="K1097" s="13">
        <v>0</v>
      </c>
      <c r="L1097" s="7" t="s">
        <v>483</v>
      </c>
    </row>
    <row r="1098" spans="1:12">
      <c r="A1098" s="7"/>
      <c r="B1098" s="381" t="s">
        <v>238</v>
      </c>
      <c r="C1098" s="3" t="s">
        <v>232</v>
      </c>
      <c r="D1098" s="2" t="s">
        <v>228</v>
      </c>
      <c r="E1098" s="382" t="s">
        <v>236</v>
      </c>
      <c r="F1098" s="114" t="s">
        <v>15</v>
      </c>
      <c r="G1098" s="383" t="s">
        <v>18</v>
      </c>
      <c r="H1098" s="384">
        <v>6.86</v>
      </c>
      <c r="I1098" s="376">
        <v>11.5</v>
      </c>
      <c r="J1098" s="19">
        <v>0</v>
      </c>
      <c r="K1098" s="13">
        <v>0</v>
      </c>
      <c r="L1098" s="7" t="s">
        <v>483</v>
      </c>
    </row>
    <row r="1099" spans="1:12">
      <c r="A1099" s="7"/>
      <c r="B1099" s="381" t="s">
        <v>238</v>
      </c>
      <c r="C1099" s="3" t="s">
        <v>232</v>
      </c>
      <c r="D1099" s="2" t="s">
        <v>228</v>
      </c>
      <c r="E1099" s="382" t="s">
        <v>236</v>
      </c>
      <c r="F1099" s="114" t="s">
        <v>15</v>
      </c>
      <c r="G1099" s="383" t="s">
        <v>18</v>
      </c>
      <c r="H1099" s="384">
        <v>6.86</v>
      </c>
      <c r="I1099" s="376">
        <v>9</v>
      </c>
      <c r="J1099" s="19">
        <v>0</v>
      </c>
      <c r="K1099" s="13">
        <v>0</v>
      </c>
      <c r="L1099" s="7" t="s">
        <v>483</v>
      </c>
    </row>
    <row r="1100" spans="1:12">
      <c r="A1100" s="7"/>
      <c r="B1100" s="381" t="s">
        <v>238</v>
      </c>
      <c r="C1100" s="3" t="s">
        <v>232</v>
      </c>
      <c r="D1100" s="2" t="s">
        <v>228</v>
      </c>
      <c r="E1100" s="382" t="s">
        <v>236</v>
      </c>
      <c r="F1100" s="114" t="s">
        <v>15</v>
      </c>
      <c r="G1100" s="383" t="s">
        <v>18</v>
      </c>
      <c r="H1100" s="384">
        <v>6.86</v>
      </c>
      <c r="I1100" s="376">
        <v>7.1</v>
      </c>
      <c r="J1100" s="19">
        <v>8</v>
      </c>
      <c r="K1100" s="13">
        <v>0.38964800000000005</v>
      </c>
      <c r="L1100" s="7" t="s">
        <v>483</v>
      </c>
    </row>
    <row r="1101" spans="1:12">
      <c r="A1101" s="7"/>
      <c r="B1101" s="381" t="s">
        <v>238</v>
      </c>
      <c r="C1101" s="3" t="s">
        <v>232</v>
      </c>
      <c r="D1101" s="2" t="s">
        <v>228</v>
      </c>
      <c r="E1101" s="382" t="s">
        <v>236</v>
      </c>
      <c r="F1101" s="114" t="s">
        <v>15</v>
      </c>
      <c r="G1101" s="383" t="s">
        <v>18</v>
      </c>
      <c r="H1101" s="384">
        <v>6.86</v>
      </c>
      <c r="I1101" s="376">
        <v>8.9499999999999993</v>
      </c>
      <c r="J1101" s="19">
        <v>0</v>
      </c>
      <c r="K1101" s="13">
        <v>0</v>
      </c>
      <c r="L1101" s="7" t="s">
        <v>483</v>
      </c>
    </row>
    <row r="1102" spans="1:12">
      <c r="A1102" s="7"/>
      <c r="B1102" s="381" t="s">
        <v>238</v>
      </c>
      <c r="C1102" s="3" t="s">
        <v>232</v>
      </c>
      <c r="D1102" s="2" t="s">
        <v>228</v>
      </c>
      <c r="E1102" s="382" t="s">
        <v>236</v>
      </c>
      <c r="F1102" s="114" t="s">
        <v>15</v>
      </c>
      <c r="G1102" s="383" t="s">
        <v>18</v>
      </c>
      <c r="H1102" s="384">
        <v>6.86</v>
      </c>
      <c r="I1102" s="376">
        <v>11.2</v>
      </c>
      <c r="J1102" s="19">
        <v>0</v>
      </c>
      <c r="K1102" s="13">
        <v>0</v>
      </c>
      <c r="L1102" s="7" t="s">
        <v>483</v>
      </c>
    </row>
    <row r="1103" spans="1:12">
      <c r="A1103" s="7"/>
      <c r="B1103" s="381" t="s">
        <v>238</v>
      </c>
      <c r="C1103" s="3" t="s">
        <v>232</v>
      </c>
      <c r="D1103" s="2" t="s">
        <v>228</v>
      </c>
      <c r="E1103" s="382" t="s">
        <v>236</v>
      </c>
      <c r="F1103" s="114" t="s">
        <v>15</v>
      </c>
      <c r="G1103" s="383" t="s">
        <v>18</v>
      </c>
      <c r="H1103" s="384">
        <v>6.86</v>
      </c>
      <c r="I1103" s="376">
        <v>10.5</v>
      </c>
      <c r="J1103" s="19">
        <v>0</v>
      </c>
      <c r="K1103" s="13">
        <v>0</v>
      </c>
      <c r="L1103" s="7" t="s">
        <v>483</v>
      </c>
    </row>
    <row r="1104" spans="1:12">
      <c r="A1104" s="7"/>
      <c r="B1104" s="381" t="s">
        <v>238</v>
      </c>
      <c r="C1104" s="3" t="s">
        <v>232</v>
      </c>
      <c r="D1104" s="2" t="s">
        <v>228</v>
      </c>
      <c r="E1104" s="382" t="s">
        <v>236</v>
      </c>
      <c r="F1104" s="114" t="s">
        <v>15</v>
      </c>
      <c r="G1104" s="383" t="s">
        <v>18</v>
      </c>
      <c r="H1104" s="384">
        <v>6.86</v>
      </c>
      <c r="I1104" s="376">
        <v>11.5</v>
      </c>
      <c r="J1104" s="19">
        <v>0</v>
      </c>
      <c r="K1104" s="13">
        <v>0</v>
      </c>
      <c r="L1104" s="7" t="s">
        <v>483</v>
      </c>
    </row>
    <row r="1105" spans="1:12">
      <c r="A1105" s="7"/>
      <c r="B1105" s="381" t="s">
        <v>238</v>
      </c>
      <c r="C1105" s="3" t="s">
        <v>232</v>
      </c>
      <c r="D1105" s="2" t="s">
        <v>228</v>
      </c>
      <c r="E1105" s="382" t="s">
        <v>236</v>
      </c>
      <c r="F1105" s="114" t="s">
        <v>15</v>
      </c>
      <c r="G1105" s="383" t="s">
        <v>18</v>
      </c>
      <c r="H1105" s="384">
        <v>6.86</v>
      </c>
      <c r="I1105" s="11">
        <v>12</v>
      </c>
      <c r="J1105" s="19">
        <v>0</v>
      </c>
      <c r="K1105" s="13">
        <v>0</v>
      </c>
      <c r="L1105" s="7" t="s">
        <v>483</v>
      </c>
    </row>
    <row r="1106" spans="1:12">
      <c r="A1106" s="7"/>
      <c r="B1106" s="381" t="s">
        <v>238</v>
      </c>
      <c r="C1106" s="3" t="s">
        <v>232</v>
      </c>
      <c r="D1106" s="2" t="s">
        <v>228</v>
      </c>
      <c r="E1106" s="382" t="s">
        <v>236</v>
      </c>
      <c r="F1106" s="114" t="s">
        <v>15</v>
      </c>
      <c r="G1106" s="383" t="s">
        <v>18</v>
      </c>
      <c r="H1106" s="384">
        <v>6.86</v>
      </c>
      <c r="I1106" s="376">
        <v>6.5</v>
      </c>
      <c r="J1106" s="19">
        <v>1</v>
      </c>
      <c r="K1106" s="13">
        <v>4.4590000000000005E-2</v>
      </c>
      <c r="L1106" s="7" t="s">
        <v>483</v>
      </c>
    </row>
    <row r="1107" spans="1:12">
      <c r="A1107" s="7"/>
      <c r="B1107" s="381" t="s">
        <v>238</v>
      </c>
      <c r="C1107" s="3" t="s">
        <v>232</v>
      </c>
      <c r="D1107" s="2" t="s">
        <v>228</v>
      </c>
      <c r="E1107" s="382" t="s">
        <v>236</v>
      </c>
      <c r="F1107" s="114" t="s">
        <v>15</v>
      </c>
      <c r="G1107" s="383" t="s">
        <v>18</v>
      </c>
      <c r="H1107" s="384">
        <v>6.86</v>
      </c>
      <c r="I1107" s="376">
        <v>6.8</v>
      </c>
      <c r="J1107" s="19">
        <v>1</v>
      </c>
      <c r="K1107" s="13">
        <v>4.6648000000000002E-2</v>
      </c>
      <c r="L1107" s="7" t="s">
        <v>483</v>
      </c>
    </row>
    <row r="1108" spans="1:12">
      <c r="A1108" s="7"/>
      <c r="B1108" s="381" t="s">
        <v>238</v>
      </c>
      <c r="C1108" s="3" t="s">
        <v>232</v>
      </c>
      <c r="D1108" s="2" t="s">
        <v>228</v>
      </c>
      <c r="E1108" s="382" t="s">
        <v>236</v>
      </c>
      <c r="F1108" s="114" t="s">
        <v>15</v>
      </c>
      <c r="G1108" s="383" t="s">
        <v>18</v>
      </c>
      <c r="H1108" s="384">
        <v>6.86</v>
      </c>
      <c r="I1108" s="376">
        <v>8.3000000000000007</v>
      </c>
      <c r="J1108" s="19">
        <v>0</v>
      </c>
      <c r="K1108" s="13">
        <v>0</v>
      </c>
      <c r="L1108" s="7" t="s">
        <v>483</v>
      </c>
    </row>
    <row r="1109" spans="1:12">
      <c r="A1109" s="7"/>
      <c r="B1109" s="381" t="s">
        <v>238</v>
      </c>
      <c r="C1109" s="3" t="s">
        <v>232</v>
      </c>
      <c r="D1109" s="2" t="s">
        <v>228</v>
      </c>
      <c r="E1109" s="382" t="s">
        <v>236</v>
      </c>
      <c r="F1109" s="114" t="s">
        <v>15</v>
      </c>
      <c r="G1109" s="383" t="s">
        <v>18</v>
      </c>
      <c r="H1109" s="384">
        <v>6.86</v>
      </c>
      <c r="I1109" s="376">
        <v>8.5</v>
      </c>
      <c r="J1109" s="19">
        <v>0</v>
      </c>
      <c r="K1109" s="13">
        <v>0</v>
      </c>
      <c r="L1109" s="7" t="s">
        <v>483</v>
      </c>
    </row>
    <row r="1110" spans="1:12">
      <c r="A1110" s="7"/>
      <c r="B1110" s="381" t="s">
        <v>238</v>
      </c>
      <c r="C1110" s="3" t="s">
        <v>232</v>
      </c>
      <c r="D1110" s="2" t="s">
        <v>228</v>
      </c>
      <c r="E1110" s="382" t="s">
        <v>236</v>
      </c>
      <c r="F1110" s="114" t="s">
        <v>15</v>
      </c>
      <c r="G1110" s="383" t="s">
        <v>18</v>
      </c>
      <c r="H1110" s="384">
        <v>6.86</v>
      </c>
      <c r="I1110" s="376">
        <v>10.3</v>
      </c>
      <c r="J1110" s="19">
        <v>0</v>
      </c>
      <c r="K1110" s="13">
        <v>0</v>
      </c>
      <c r="L1110" s="7" t="s">
        <v>483</v>
      </c>
    </row>
    <row r="1111" spans="1:12">
      <c r="A1111" s="7"/>
      <c r="B1111" s="381" t="s">
        <v>238</v>
      </c>
      <c r="C1111" s="3" t="s">
        <v>232</v>
      </c>
      <c r="D1111" s="2" t="s">
        <v>228</v>
      </c>
      <c r="E1111" s="382" t="s">
        <v>236</v>
      </c>
      <c r="F1111" s="114" t="s">
        <v>15</v>
      </c>
      <c r="G1111" s="383" t="s">
        <v>18</v>
      </c>
      <c r="H1111" s="384">
        <v>6.86</v>
      </c>
      <c r="I1111" s="376">
        <v>10.5</v>
      </c>
      <c r="J1111" s="19">
        <v>0</v>
      </c>
      <c r="K1111" s="13">
        <v>0</v>
      </c>
      <c r="L1111" s="7" t="s">
        <v>483</v>
      </c>
    </row>
    <row r="1112" spans="1:12">
      <c r="A1112" s="7"/>
      <c r="B1112" s="381" t="s">
        <v>238</v>
      </c>
      <c r="C1112" s="3" t="s">
        <v>232</v>
      </c>
      <c r="D1112" s="2" t="s">
        <v>228</v>
      </c>
      <c r="E1112" s="382" t="s">
        <v>236</v>
      </c>
      <c r="F1112" s="114" t="s">
        <v>15</v>
      </c>
      <c r="G1112" s="383" t="s">
        <v>18</v>
      </c>
      <c r="H1112" s="384">
        <v>6.86</v>
      </c>
      <c r="I1112" s="376">
        <v>11.5</v>
      </c>
      <c r="J1112" s="19">
        <v>0</v>
      </c>
      <c r="K1112" s="13">
        <v>0</v>
      </c>
      <c r="L1112" s="7" t="s">
        <v>483</v>
      </c>
    </row>
    <row r="1113" spans="1:12">
      <c r="A1113" s="7"/>
      <c r="B1113" s="381" t="s">
        <v>238</v>
      </c>
      <c r="C1113" s="3" t="s">
        <v>232</v>
      </c>
      <c r="D1113" s="2" t="s">
        <v>228</v>
      </c>
      <c r="E1113" s="382" t="s">
        <v>236</v>
      </c>
      <c r="F1113" s="114" t="s">
        <v>15</v>
      </c>
      <c r="G1113" s="383" t="s">
        <v>18</v>
      </c>
      <c r="H1113" s="384">
        <v>6.86</v>
      </c>
      <c r="I1113" s="376">
        <v>12</v>
      </c>
      <c r="J1113" s="19">
        <v>0</v>
      </c>
      <c r="K1113" s="13">
        <v>0</v>
      </c>
      <c r="L1113" s="7" t="s">
        <v>483</v>
      </c>
    </row>
    <row r="1114" spans="1:12">
      <c r="A1114" s="7"/>
      <c r="B1114" s="381" t="s">
        <v>238</v>
      </c>
      <c r="C1114" s="3" t="s">
        <v>232</v>
      </c>
      <c r="D1114" s="2" t="s">
        <v>228</v>
      </c>
      <c r="E1114" s="382" t="s">
        <v>236</v>
      </c>
      <c r="F1114" s="114" t="s">
        <v>15</v>
      </c>
      <c r="G1114" s="383" t="s">
        <v>18</v>
      </c>
      <c r="H1114" s="384">
        <v>6.86</v>
      </c>
      <c r="I1114" s="376">
        <v>12</v>
      </c>
      <c r="J1114" s="19">
        <v>0</v>
      </c>
      <c r="K1114" s="13">
        <v>0</v>
      </c>
      <c r="L1114" s="7" t="s">
        <v>483</v>
      </c>
    </row>
    <row r="1115" spans="1:12">
      <c r="A1115" s="7"/>
      <c r="B1115" s="381" t="s">
        <v>238</v>
      </c>
      <c r="C1115" s="3" t="s">
        <v>232</v>
      </c>
      <c r="D1115" s="2" t="s">
        <v>228</v>
      </c>
      <c r="E1115" s="382" t="s">
        <v>236</v>
      </c>
      <c r="F1115" s="114" t="s">
        <v>15</v>
      </c>
      <c r="G1115" s="383" t="s">
        <v>18</v>
      </c>
      <c r="H1115" s="384">
        <v>6.86</v>
      </c>
      <c r="I1115" s="376">
        <v>11.5</v>
      </c>
      <c r="J1115" s="19">
        <v>0</v>
      </c>
      <c r="K1115" s="13">
        <v>0</v>
      </c>
      <c r="L1115" s="7" t="s">
        <v>483</v>
      </c>
    </row>
    <row r="1116" spans="1:12">
      <c r="A1116" s="7"/>
      <c r="B1116" s="381" t="s">
        <v>238</v>
      </c>
      <c r="C1116" s="3" t="s">
        <v>232</v>
      </c>
      <c r="D1116" s="2" t="s">
        <v>228</v>
      </c>
      <c r="E1116" s="382" t="s">
        <v>236</v>
      </c>
      <c r="F1116" s="114" t="s">
        <v>15</v>
      </c>
      <c r="G1116" s="383" t="s">
        <v>18</v>
      </c>
      <c r="H1116" s="384">
        <v>6.86</v>
      </c>
      <c r="I1116" s="376">
        <v>11</v>
      </c>
      <c r="J1116" s="19">
        <v>0</v>
      </c>
      <c r="K1116" s="13">
        <v>0</v>
      </c>
      <c r="L1116" s="7" t="s">
        <v>483</v>
      </c>
    </row>
    <row r="1117" spans="1:12">
      <c r="A1117" s="7"/>
      <c r="B1117" s="381" t="s">
        <v>238</v>
      </c>
      <c r="C1117" s="3" t="s">
        <v>232</v>
      </c>
      <c r="D1117" s="2" t="s">
        <v>228</v>
      </c>
      <c r="E1117" s="382" t="s">
        <v>236</v>
      </c>
      <c r="F1117" s="114" t="s">
        <v>15</v>
      </c>
      <c r="G1117" s="383" t="s">
        <v>18</v>
      </c>
      <c r="H1117" s="384">
        <v>6.86</v>
      </c>
      <c r="I1117" s="376">
        <v>10.5</v>
      </c>
      <c r="J1117" s="19">
        <v>0</v>
      </c>
      <c r="K1117" s="13">
        <v>0</v>
      </c>
      <c r="L1117" s="7" t="s">
        <v>483</v>
      </c>
    </row>
    <row r="1118" spans="1:12">
      <c r="A1118" s="7"/>
      <c r="B1118" s="381" t="s">
        <v>238</v>
      </c>
      <c r="C1118" s="3" t="s">
        <v>232</v>
      </c>
      <c r="D1118" s="2" t="s">
        <v>228</v>
      </c>
      <c r="E1118" s="382" t="s">
        <v>236</v>
      </c>
      <c r="F1118" s="114" t="s">
        <v>15</v>
      </c>
      <c r="G1118" s="383" t="s">
        <v>18</v>
      </c>
      <c r="H1118" s="384">
        <v>6.86</v>
      </c>
      <c r="I1118" s="376">
        <v>10</v>
      </c>
      <c r="J1118" s="19">
        <v>0</v>
      </c>
      <c r="K1118" s="13">
        <v>0</v>
      </c>
      <c r="L1118" s="7" t="s">
        <v>483</v>
      </c>
    </row>
    <row r="1119" spans="1:12">
      <c r="A1119" s="7"/>
      <c r="B1119" s="381" t="s">
        <v>238</v>
      </c>
      <c r="C1119" s="3" t="s">
        <v>232</v>
      </c>
      <c r="D1119" s="2" t="s">
        <v>228</v>
      </c>
      <c r="E1119" s="382" t="s">
        <v>236</v>
      </c>
      <c r="F1119" s="114" t="s">
        <v>15</v>
      </c>
      <c r="G1119" s="383" t="s">
        <v>18</v>
      </c>
      <c r="H1119" s="384">
        <v>6.86</v>
      </c>
      <c r="I1119" s="376">
        <v>8.5</v>
      </c>
      <c r="J1119" s="19">
        <v>0</v>
      </c>
      <c r="K1119" s="13">
        <v>0</v>
      </c>
      <c r="L1119" s="7" t="s">
        <v>483</v>
      </c>
    </row>
    <row r="1120" spans="1:12">
      <c r="A1120" s="7"/>
      <c r="B1120" s="381" t="s">
        <v>238</v>
      </c>
      <c r="C1120" s="3" t="s">
        <v>232</v>
      </c>
      <c r="D1120" s="2" t="s">
        <v>228</v>
      </c>
      <c r="E1120" s="382" t="s">
        <v>236</v>
      </c>
      <c r="F1120" s="114" t="s">
        <v>15</v>
      </c>
      <c r="G1120" s="383" t="s">
        <v>18</v>
      </c>
      <c r="H1120" s="384">
        <v>6.86</v>
      </c>
      <c r="I1120" s="376">
        <v>8</v>
      </c>
      <c r="J1120" s="19">
        <v>0</v>
      </c>
      <c r="K1120" s="13">
        <v>0</v>
      </c>
      <c r="L1120" s="7" t="s">
        <v>483</v>
      </c>
    </row>
    <row r="1121" spans="1:12">
      <c r="A1121" s="7"/>
      <c r="B1121" s="381" t="s">
        <v>238</v>
      </c>
      <c r="C1121" s="3" t="s">
        <v>232</v>
      </c>
      <c r="D1121" s="2" t="s">
        <v>228</v>
      </c>
      <c r="E1121" s="382" t="s">
        <v>236</v>
      </c>
      <c r="F1121" s="114" t="s">
        <v>15</v>
      </c>
      <c r="G1121" s="383" t="s">
        <v>18</v>
      </c>
      <c r="H1121" s="384">
        <v>6.86</v>
      </c>
      <c r="I1121" s="376">
        <v>10.5</v>
      </c>
      <c r="J1121" s="19">
        <v>0</v>
      </c>
      <c r="K1121" s="13">
        <v>0</v>
      </c>
      <c r="L1121" s="7" t="s">
        <v>483</v>
      </c>
    </row>
    <row r="1122" spans="1:12">
      <c r="A1122" s="7"/>
      <c r="B1122" s="381" t="s">
        <v>238</v>
      </c>
      <c r="C1122" s="3" t="s">
        <v>232</v>
      </c>
      <c r="D1122" s="2" t="s">
        <v>228</v>
      </c>
      <c r="E1122" s="382" t="s">
        <v>236</v>
      </c>
      <c r="F1122" s="114" t="s">
        <v>15</v>
      </c>
      <c r="G1122" s="383" t="s">
        <v>18</v>
      </c>
      <c r="H1122" s="384">
        <v>6.86</v>
      </c>
      <c r="I1122" s="376">
        <v>11</v>
      </c>
      <c r="J1122" s="19">
        <v>0</v>
      </c>
      <c r="K1122" s="13">
        <v>0</v>
      </c>
      <c r="L1122" s="7" t="s">
        <v>483</v>
      </c>
    </row>
    <row r="1123" spans="1:12">
      <c r="A1123" s="7"/>
      <c r="B1123" s="381" t="s">
        <v>238</v>
      </c>
      <c r="C1123" s="3" t="s">
        <v>232</v>
      </c>
      <c r="D1123" s="2" t="s">
        <v>228</v>
      </c>
      <c r="E1123" s="382" t="s">
        <v>236</v>
      </c>
      <c r="F1123" s="114" t="s">
        <v>15</v>
      </c>
      <c r="G1123" s="383" t="s">
        <v>18</v>
      </c>
      <c r="H1123" s="384">
        <v>6.86</v>
      </c>
      <c r="I1123" s="376">
        <v>10.8</v>
      </c>
      <c r="J1123" s="19">
        <v>0</v>
      </c>
      <c r="K1123" s="13">
        <v>0</v>
      </c>
      <c r="L1123" s="7" t="s">
        <v>483</v>
      </c>
    </row>
    <row r="1124" spans="1:12">
      <c r="A1124" s="7"/>
      <c r="B1124" s="381" t="s">
        <v>238</v>
      </c>
      <c r="C1124" s="3" t="s">
        <v>232</v>
      </c>
      <c r="D1124" s="2" t="s">
        <v>228</v>
      </c>
      <c r="E1124" s="382" t="s">
        <v>236</v>
      </c>
      <c r="F1124" s="114" t="s">
        <v>15</v>
      </c>
      <c r="G1124" s="383" t="s">
        <v>18</v>
      </c>
      <c r="H1124" s="384">
        <v>6.86</v>
      </c>
      <c r="I1124" s="376">
        <v>10</v>
      </c>
      <c r="J1124" s="19">
        <v>0</v>
      </c>
      <c r="K1124" s="13">
        <v>0</v>
      </c>
      <c r="L1124" s="7" t="s">
        <v>483</v>
      </c>
    </row>
    <row r="1125" spans="1:12">
      <c r="A1125" s="7"/>
      <c r="B1125" s="381" t="s">
        <v>238</v>
      </c>
      <c r="C1125" s="3" t="s">
        <v>232</v>
      </c>
      <c r="D1125" s="2" t="s">
        <v>228</v>
      </c>
      <c r="E1125" s="382" t="s">
        <v>236</v>
      </c>
      <c r="F1125" s="114" t="s">
        <v>15</v>
      </c>
      <c r="G1125" s="383" t="s">
        <v>18</v>
      </c>
      <c r="H1125" s="384">
        <v>6.86</v>
      </c>
      <c r="I1125" s="376">
        <v>8.6999999999999993</v>
      </c>
      <c r="J1125" s="19">
        <v>0</v>
      </c>
      <c r="K1125" s="13">
        <v>0</v>
      </c>
      <c r="L1125" s="7" t="s">
        <v>483</v>
      </c>
    </row>
    <row r="1126" spans="1:12">
      <c r="A1126" s="7"/>
      <c r="B1126" s="381" t="s">
        <v>238</v>
      </c>
      <c r="C1126" s="3" t="s">
        <v>232</v>
      </c>
      <c r="D1126" s="2" t="s">
        <v>228</v>
      </c>
      <c r="E1126" s="382" t="s">
        <v>236</v>
      </c>
      <c r="F1126" s="114" t="s">
        <v>15</v>
      </c>
      <c r="G1126" s="383" t="s">
        <v>18</v>
      </c>
      <c r="H1126" s="384">
        <v>6.86</v>
      </c>
      <c r="I1126" s="376">
        <v>8.65</v>
      </c>
      <c r="J1126" s="19">
        <v>0</v>
      </c>
      <c r="K1126" s="13">
        <v>0</v>
      </c>
      <c r="L1126" s="7" t="s">
        <v>483</v>
      </c>
    </row>
    <row r="1127" spans="1:12">
      <c r="A1127" s="7"/>
      <c r="B1127" s="381" t="s">
        <v>238</v>
      </c>
      <c r="C1127" s="3" t="s">
        <v>232</v>
      </c>
      <c r="D1127" s="2" t="s">
        <v>228</v>
      </c>
      <c r="E1127" s="382" t="s">
        <v>236</v>
      </c>
      <c r="F1127" s="114" t="s">
        <v>15</v>
      </c>
      <c r="G1127" s="383" t="s">
        <v>18</v>
      </c>
      <c r="H1127" s="384">
        <v>6.86</v>
      </c>
      <c r="I1127" s="376">
        <v>8.5</v>
      </c>
      <c r="J1127" s="19">
        <v>0</v>
      </c>
      <c r="K1127" s="13">
        <v>0</v>
      </c>
      <c r="L1127" s="7" t="s">
        <v>483</v>
      </c>
    </row>
    <row r="1128" spans="1:12">
      <c r="A1128" s="7"/>
      <c r="B1128" s="381" t="s">
        <v>238</v>
      </c>
      <c r="C1128" s="3" t="s">
        <v>232</v>
      </c>
      <c r="D1128" s="2" t="s">
        <v>228</v>
      </c>
      <c r="E1128" s="382" t="s">
        <v>236</v>
      </c>
      <c r="F1128" s="114" t="s">
        <v>15</v>
      </c>
      <c r="G1128" s="383" t="s">
        <v>18</v>
      </c>
      <c r="H1128" s="384">
        <v>6.86</v>
      </c>
      <c r="I1128" s="376">
        <v>8</v>
      </c>
      <c r="J1128" s="19">
        <v>0</v>
      </c>
      <c r="K1128" s="13">
        <v>0</v>
      </c>
      <c r="L1128" s="7" t="s">
        <v>483</v>
      </c>
    </row>
    <row r="1129" spans="1:12">
      <c r="A1129" s="7"/>
      <c r="B1129" s="381" t="s">
        <v>238</v>
      </c>
      <c r="C1129" s="3" t="s">
        <v>232</v>
      </c>
      <c r="D1129" s="2" t="s">
        <v>228</v>
      </c>
      <c r="E1129" s="382" t="s">
        <v>236</v>
      </c>
      <c r="F1129" s="114" t="s">
        <v>15</v>
      </c>
      <c r="G1129" s="383" t="s">
        <v>18</v>
      </c>
      <c r="H1129" s="384">
        <v>6.86</v>
      </c>
      <c r="I1129" s="376">
        <v>7</v>
      </c>
      <c r="J1129" s="19">
        <v>1</v>
      </c>
      <c r="K1129" s="13">
        <v>4.802E-2</v>
      </c>
      <c r="L1129" s="7" t="s">
        <v>483</v>
      </c>
    </row>
    <row r="1130" spans="1:12">
      <c r="A1130" s="7"/>
      <c r="B1130" s="381" t="s">
        <v>238</v>
      </c>
      <c r="C1130" s="3" t="s">
        <v>232</v>
      </c>
      <c r="D1130" s="2" t="s">
        <v>228</v>
      </c>
      <c r="E1130" s="382" t="s">
        <v>236</v>
      </c>
      <c r="F1130" s="114" t="s">
        <v>15</v>
      </c>
      <c r="G1130" s="383" t="s">
        <v>18</v>
      </c>
      <c r="H1130" s="384">
        <v>6.86</v>
      </c>
      <c r="I1130" s="376">
        <v>11.5</v>
      </c>
      <c r="J1130" s="19">
        <v>0</v>
      </c>
      <c r="K1130" s="13">
        <v>0</v>
      </c>
      <c r="L1130" s="7" t="s">
        <v>483</v>
      </c>
    </row>
    <row r="1131" spans="1:12">
      <c r="A1131" s="7"/>
      <c r="B1131" s="381" t="s">
        <v>238</v>
      </c>
      <c r="C1131" s="3" t="s">
        <v>232</v>
      </c>
      <c r="D1131" s="2" t="s">
        <v>228</v>
      </c>
      <c r="E1131" s="382" t="s">
        <v>236</v>
      </c>
      <c r="F1131" s="114" t="s">
        <v>15</v>
      </c>
      <c r="G1131" s="383" t="s">
        <v>18</v>
      </c>
      <c r="H1131" s="384">
        <v>6.86</v>
      </c>
      <c r="I1131" s="376">
        <v>11.2</v>
      </c>
      <c r="J1131" s="19">
        <v>0</v>
      </c>
      <c r="K1131" s="13">
        <v>0</v>
      </c>
      <c r="L1131" s="7" t="s">
        <v>483</v>
      </c>
    </row>
    <row r="1132" spans="1:12">
      <c r="A1132" s="7"/>
      <c r="B1132" s="381" t="s">
        <v>238</v>
      </c>
      <c r="C1132" s="3" t="s">
        <v>232</v>
      </c>
      <c r="D1132" s="2" t="s">
        <v>228</v>
      </c>
      <c r="E1132" s="382" t="s">
        <v>236</v>
      </c>
      <c r="F1132" s="114" t="s">
        <v>15</v>
      </c>
      <c r="G1132" s="383" t="s">
        <v>18</v>
      </c>
      <c r="H1132" s="384">
        <v>6.86</v>
      </c>
      <c r="I1132" s="376">
        <v>11.1</v>
      </c>
      <c r="J1132" s="19">
        <v>0</v>
      </c>
      <c r="K1132" s="13">
        <v>0</v>
      </c>
      <c r="L1132" s="7" t="s">
        <v>483</v>
      </c>
    </row>
    <row r="1133" spans="1:12">
      <c r="A1133" s="7"/>
      <c r="B1133" s="381" t="s">
        <v>238</v>
      </c>
      <c r="C1133" s="3" t="s">
        <v>232</v>
      </c>
      <c r="D1133" s="2" t="s">
        <v>228</v>
      </c>
      <c r="E1133" s="382" t="s">
        <v>236</v>
      </c>
      <c r="F1133" s="114" t="s">
        <v>15</v>
      </c>
      <c r="G1133" s="383" t="s">
        <v>18</v>
      </c>
      <c r="H1133" s="384">
        <v>6.86</v>
      </c>
      <c r="I1133" s="376">
        <v>11</v>
      </c>
      <c r="J1133" s="19">
        <v>0</v>
      </c>
      <c r="K1133" s="13">
        <v>0</v>
      </c>
      <c r="L1133" s="7" t="s">
        <v>483</v>
      </c>
    </row>
    <row r="1134" spans="1:12">
      <c r="A1134" s="7"/>
      <c r="B1134" s="381" t="s">
        <v>238</v>
      </c>
      <c r="C1134" s="3" t="s">
        <v>239</v>
      </c>
      <c r="D1134" s="2" t="s">
        <v>228</v>
      </c>
      <c r="E1134" s="382" t="s">
        <v>75</v>
      </c>
      <c r="F1134" s="114" t="s">
        <v>15</v>
      </c>
      <c r="G1134" s="383" t="s">
        <v>18</v>
      </c>
      <c r="H1134" s="384">
        <v>6.85</v>
      </c>
      <c r="I1134" s="376">
        <v>11.5</v>
      </c>
      <c r="J1134" s="19">
        <v>0</v>
      </c>
      <c r="K1134" s="13">
        <v>0</v>
      </c>
      <c r="L1134" s="7" t="s">
        <v>483</v>
      </c>
    </row>
    <row r="1135" spans="1:12">
      <c r="A1135" s="7"/>
      <c r="B1135" s="381" t="s">
        <v>238</v>
      </c>
      <c r="C1135" s="3" t="s">
        <v>239</v>
      </c>
      <c r="D1135" s="2" t="s">
        <v>228</v>
      </c>
      <c r="E1135" s="382" t="s">
        <v>75</v>
      </c>
      <c r="F1135" s="114" t="s">
        <v>15</v>
      </c>
      <c r="G1135" s="383" t="s">
        <v>18</v>
      </c>
      <c r="H1135" s="384">
        <v>6.85</v>
      </c>
      <c r="I1135" s="376">
        <v>11</v>
      </c>
      <c r="J1135" s="19">
        <v>0</v>
      </c>
      <c r="K1135" s="13">
        <v>0</v>
      </c>
      <c r="L1135" s="7" t="s">
        <v>483</v>
      </c>
    </row>
    <row r="1136" spans="1:12">
      <c r="A1136" s="7"/>
      <c r="B1136" s="381" t="s">
        <v>238</v>
      </c>
      <c r="C1136" s="3" t="s">
        <v>239</v>
      </c>
      <c r="D1136" s="2" t="s">
        <v>228</v>
      </c>
      <c r="E1136" s="382" t="s">
        <v>75</v>
      </c>
      <c r="F1136" s="114" t="s">
        <v>15</v>
      </c>
      <c r="G1136" s="383" t="s">
        <v>18</v>
      </c>
      <c r="H1136" s="384">
        <v>6.85</v>
      </c>
      <c r="I1136" s="376">
        <v>10.5</v>
      </c>
      <c r="J1136" s="19">
        <v>0</v>
      </c>
      <c r="K1136" s="13">
        <v>0</v>
      </c>
      <c r="L1136" s="7" t="s">
        <v>483</v>
      </c>
    </row>
    <row r="1137" spans="1:12">
      <c r="A1137" s="7"/>
      <c r="B1137" s="381" t="s">
        <v>238</v>
      </c>
      <c r="C1137" s="3" t="s">
        <v>239</v>
      </c>
      <c r="D1137" s="2" t="s">
        <v>228</v>
      </c>
      <c r="E1137" s="382" t="s">
        <v>75</v>
      </c>
      <c r="F1137" s="114" t="s">
        <v>15</v>
      </c>
      <c r="G1137" s="383" t="s">
        <v>18</v>
      </c>
      <c r="H1137" s="384">
        <v>6.85</v>
      </c>
      <c r="I1137" s="376">
        <v>10</v>
      </c>
      <c r="J1137" s="19">
        <v>0</v>
      </c>
      <c r="K1137" s="13">
        <v>0</v>
      </c>
      <c r="L1137" s="7" t="s">
        <v>483</v>
      </c>
    </row>
    <row r="1138" spans="1:12">
      <c r="A1138" s="7"/>
      <c r="B1138" s="381" t="s">
        <v>238</v>
      </c>
      <c r="C1138" s="3" t="s">
        <v>239</v>
      </c>
      <c r="D1138" s="2" t="s">
        <v>228</v>
      </c>
      <c r="E1138" s="382" t="s">
        <v>75</v>
      </c>
      <c r="F1138" s="114" t="s">
        <v>15</v>
      </c>
      <c r="G1138" s="383" t="s">
        <v>18</v>
      </c>
      <c r="H1138" s="384">
        <v>6.85</v>
      </c>
      <c r="I1138" s="376">
        <v>9.8000000000000007</v>
      </c>
      <c r="J1138" s="19">
        <v>0</v>
      </c>
      <c r="K1138" s="13">
        <v>0</v>
      </c>
      <c r="L1138" s="7" t="s">
        <v>483</v>
      </c>
    </row>
    <row r="1139" spans="1:12">
      <c r="A1139" s="7"/>
      <c r="B1139" s="381" t="s">
        <v>238</v>
      </c>
      <c r="C1139" s="3" t="s">
        <v>239</v>
      </c>
      <c r="D1139" s="2" t="s">
        <v>228</v>
      </c>
      <c r="E1139" s="382" t="s">
        <v>75</v>
      </c>
      <c r="F1139" s="114" t="s">
        <v>15</v>
      </c>
      <c r="G1139" s="383" t="s">
        <v>18</v>
      </c>
      <c r="H1139" s="384">
        <v>6.85</v>
      </c>
      <c r="I1139" s="376">
        <v>11</v>
      </c>
      <c r="J1139" s="19">
        <v>0</v>
      </c>
      <c r="K1139" s="13">
        <v>0</v>
      </c>
      <c r="L1139" s="7" t="s">
        <v>483</v>
      </c>
    </row>
    <row r="1140" spans="1:12">
      <c r="A1140" s="7"/>
      <c r="B1140" s="381" t="s">
        <v>238</v>
      </c>
      <c r="C1140" s="3" t="s">
        <v>239</v>
      </c>
      <c r="D1140" s="2" t="s">
        <v>228</v>
      </c>
      <c r="E1140" s="382" t="s">
        <v>75</v>
      </c>
      <c r="F1140" s="114" t="s">
        <v>15</v>
      </c>
      <c r="G1140" s="383" t="s">
        <v>18</v>
      </c>
      <c r="H1140" s="384">
        <v>6.85</v>
      </c>
      <c r="I1140" s="376">
        <v>11.3</v>
      </c>
      <c r="J1140" s="19">
        <v>0</v>
      </c>
      <c r="K1140" s="13">
        <v>0</v>
      </c>
      <c r="L1140" s="7" t="s">
        <v>483</v>
      </c>
    </row>
    <row r="1141" spans="1:12">
      <c r="A1141" s="7"/>
      <c r="B1141" s="381" t="s">
        <v>231</v>
      </c>
      <c r="C1141" s="3" t="s">
        <v>227</v>
      </c>
      <c r="D1141" s="2" t="s">
        <v>228</v>
      </c>
      <c r="E1141" s="382" t="s">
        <v>94</v>
      </c>
      <c r="F1141" s="114" t="s">
        <v>15</v>
      </c>
      <c r="G1141" s="383" t="s">
        <v>55</v>
      </c>
      <c r="H1141" s="384">
        <v>4.6500000000000004</v>
      </c>
      <c r="I1141" s="376">
        <v>7.5</v>
      </c>
      <c r="J1141" s="19">
        <v>0</v>
      </c>
      <c r="K1141" s="13">
        <v>0</v>
      </c>
      <c r="L1141" s="7" t="s">
        <v>483</v>
      </c>
    </row>
    <row r="1142" spans="1:12">
      <c r="A1142" s="7"/>
      <c r="B1142" s="381" t="s">
        <v>231</v>
      </c>
      <c r="C1142" s="3" t="s">
        <v>227</v>
      </c>
      <c r="D1142" s="2" t="s">
        <v>228</v>
      </c>
      <c r="E1142" s="382" t="s">
        <v>94</v>
      </c>
      <c r="F1142" s="114" t="s">
        <v>15</v>
      </c>
      <c r="G1142" s="383" t="s">
        <v>55</v>
      </c>
      <c r="H1142" s="384">
        <v>4.6500000000000004</v>
      </c>
      <c r="I1142" s="376">
        <v>10.5</v>
      </c>
      <c r="J1142" s="19">
        <v>30</v>
      </c>
      <c r="K1142" s="13">
        <v>1.46475</v>
      </c>
      <c r="L1142" s="7" t="s">
        <v>483</v>
      </c>
    </row>
    <row r="1143" spans="1:12">
      <c r="A1143" s="7"/>
      <c r="B1143" s="381" t="s">
        <v>231</v>
      </c>
      <c r="C1143" s="3" t="s">
        <v>227</v>
      </c>
      <c r="D1143" s="2" t="s">
        <v>228</v>
      </c>
      <c r="E1143" s="382" t="s">
        <v>94</v>
      </c>
      <c r="F1143" s="114" t="s">
        <v>15</v>
      </c>
      <c r="G1143" s="383" t="s">
        <v>55</v>
      </c>
      <c r="H1143" s="384">
        <v>4.6500000000000004</v>
      </c>
      <c r="I1143" s="376">
        <v>11.5</v>
      </c>
      <c r="J1143" s="19">
        <v>0</v>
      </c>
      <c r="K1143" s="13">
        <v>0</v>
      </c>
      <c r="L1143" s="7" t="s">
        <v>483</v>
      </c>
    </row>
    <row r="1144" spans="1:12">
      <c r="A1144" s="7"/>
      <c r="B1144" s="381" t="s">
        <v>231</v>
      </c>
      <c r="C1144" s="3" t="s">
        <v>227</v>
      </c>
      <c r="D1144" s="2" t="s">
        <v>228</v>
      </c>
      <c r="E1144" s="382" t="s">
        <v>94</v>
      </c>
      <c r="F1144" s="114" t="s">
        <v>15</v>
      </c>
      <c r="G1144" s="383" t="s">
        <v>55</v>
      </c>
      <c r="H1144" s="384">
        <v>4.6500000000000004</v>
      </c>
      <c r="I1144" s="376">
        <v>12</v>
      </c>
      <c r="J1144" s="19">
        <v>3</v>
      </c>
      <c r="K1144" s="13">
        <v>0.16739999999999999</v>
      </c>
      <c r="L1144" s="7" t="s">
        <v>483</v>
      </c>
    </row>
    <row r="1145" spans="1:12">
      <c r="A1145" s="7"/>
      <c r="B1145" s="381" t="s">
        <v>231</v>
      </c>
      <c r="C1145" s="3" t="s">
        <v>227</v>
      </c>
      <c r="D1145" s="2" t="s">
        <v>228</v>
      </c>
      <c r="E1145" s="382" t="s">
        <v>94</v>
      </c>
      <c r="F1145" s="114" t="s">
        <v>15</v>
      </c>
      <c r="G1145" s="383" t="s">
        <v>55</v>
      </c>
      <c r="H1145" s="384">
        <v>4.6500000000000004</v>
      </c>
      <c r="I1145" s="376">
        <v>11.15</v>
      </c>
      <c r="J1145" s="19">
        <v>1</v>
      </c>
      <c r="K1145" s="13">
        <v>5.1847500000000005E-2</v>
      </c>
      <c r="L1145" s="7" t="s">
        <v>483</v>
      </c>
    </row>
    <row r="1146" spans="1:12">
      <c r="A1146" s="7"/>
      <c r="B1146" s="381" t="s">
        <v>231</v>
      </c>
      <c r="C1146" s="3" t="s">
        <v>227</v>
      </c>
      <c r="D1146" s="2" t="s">
        <v>228</v>
      </c>
      <c r="E1146" s="382" t="s">
        <v>94</v>
      </c>
      <c r="F1146" s="114" t="s">
        <v>15</v>
      </c>
      <c r="G1146" s="383" t="s">
        <v>55</v>
      </c>
      <c r="H1146" s="384">
        <v>4.6500000000000004</v>
      </c>
      <c r="I1146" s="376">
        <v>10.199999999999999</v>
      </c>
      <c r="J1146" s="19">
        <v>2</v>
      </c>
      <c r="K1146" s="13">
        <v>9.486E-2</v>
      </c>
      <c r="L1146" s="7" t="s">
        <v>483</v>
      </c>
    </row>
    <row r="1147" spans="1:12">
      <c r="A1147" s="7"/>
      <c r="B1147" s="381" t="s">
        <v>231</v>
      </c>
      <c r="C1147" s="3" t="s">
        <v>227</v>
      </c>
      <c r="D1147" s="2" t="s">
        <v>228</v>
      </c>
      <c r="E1147" s="382" t="s">
        <v>94</v>
      </c>
      <c r="F1147" s="114" t="s">
        <v>15</v>
      </c>
      <c r="G1147" s="383" t="s">
        <v>55</v>
      </c>
      <c r="H1147" s="384">
        <v>4.6500000000000004</v>
      </c>
      <c r="I1147" s="376">
        <v>10</v>
      </c>
      <c r="J1147" s="19">
        <v>12</v>
      </c>
      <c r="K1147" s="13">
        <v>0.55800000000000005</v>
      </c>
      <c r="L1147" s="7" t="s">
        <v>483</v>
      </c>
    </row>
    <row r="1148" spans="1:12">
      <c r="A1148" s="7"/>
      <c r="B1148" s="381" t="s">
        <v>231</v>
      </c>
      <c r="C1148" s="3" t="s">
        <v>227</v>
      </c>
      <c r="D1148" s="2" t="s">
        <v>228</v>
      </c>
      <c r="E1148" s="382" t="s">
        <v>94</v>
      </c>
      <c r="F1148" s="114" t="s">
        <v>15</v>
      </c>
      <c r="G1148" s="383" t="s">
        <v>55</v>
      </c>
      <c r="H1148" s="384">
        <v>4.6500000000000004</v>
      </c>
      <c r="I1148" s="376">
        <v>11.85</v>
      </c>
      <c r="J1148" s="19">
        <v>1</v>
      </c>
      <c r="K1148" s="13">
        <v>5.5102499999999999E-2</v>
      </c>
      <c r="L1148" s="7" t="s">
        <v>483</v>
      </c>
    </row>
    <row r="1149" spans="1:12">
      <c r="A1149" s="7"/>
      <c r="B1149" s="381" t="s">
        <v>231</v>
      </c>
      <c r="C1149" s="3" t="s">
        <v>227</v>
      </c>
      <c r="D1149" s="2" t="s">
        <v>228</v>
      </c>
      <c r="E1149" s="382" t="s">
        <v>94</v>
      </c>
      <c r="F1149" s="114" t="s">
        <v>15</v>
      </c>
      <c r="G1149" s="383" t="s">
        <v>55</v>
      </c>
      <c r="H1149" s="384">
        <v>4.6500000000000004</v>
      </c>
      <c r="I1149" s="376">
        <v>9.8000000000000007</v>
      </c>
      <c r="J1149" s="19">
        <v>0</v>
      </c>
      <c r="K1149" s="13">
        <v>0</v>
      </c>
      <c r="L1149" s="7" t="s">
        <v>483</v>
      </c>
    </row>
    <row r="1150" spans="1:12">
      <c r="A1150" s="7"/>
      <c r="B1150" s="381" t="s">
        <v>231</v>
      </c>
      <c r="C1150" s="3" t="s">
        <v>227</v>
      </c>
      <c r="D1150" s="2" t="s">
        <v>228</v>
      </c>
      <c r="E1150" s="382" t="s">
        <v>94</v>
      </c>
      <c r="F1150" s="114" t="s">
        <v>15</v>
      </c>
      <c r="G1150" s="383" t="s">
        <v>55</v>
      </c>
      <c r="H1150" s="384">
        <v>4.6500000000000004</v>
      </c>
      <c r="I1150" s="376">
        <v>9.6999999999999993</v>
      </c>
      <c r="J1150" s="19">
        <v>0</v>
      </c>
      <c r="K1150" s="13">
        <v>0</v>
      </c>
      <c r="L1150" s="7" t="s">
        <v>483</v>
      </c>
    </row>
    <row r="1151" spans="1:12">
      <c r="A1151" s="7"/>
      <c r="B1151" s="381" t="s">
        <v>231</v>
      </c>
      <c r="C1151" s="3" t="s">
        <v>227</v>
      </c>
      <c r="D1151" s="2" t="s">
        <v>228</v>
      </c>
      <c r="E1151" s="382" t="s">
        <v>94</v>
      </c>
      <c r="F1151" s="114" t="s">
        <v>15</v>
      </c>
      <c r="G1151" s="383" t="s">
        <v>55</v>
      </c>
      <c r="H1151" s="384">
        <v>4.6500000000000004</v>
      </c>
      <c r="I1151" s="376">
        <v>9.6</v>
      </c>
      <c r="J1151" s="19">
        <v>0</v>
      </c>
      <c r="K1151" s="13">
        <v>0</v>
      </c>
      <c r="L1151" s="7" t="s">
        <v>483</v>
      </c>
    </row>
    <row r="1152" spans="1:12">
      <c r="A1152" s="7"/>
      <c r="B1152" s="381" t="s">
        <v>231</v>
      </c>
      <c r="C1152" s="3" t="s">
        <v>227</v>
      </c>
      <c r="D1152" s="2" t="s">
        <v>228</v>
      </c>
      <c r="E1152" s="382" t="s">
        <v>94</v>
      </c>
      <c r="F1152" s="114" t="s">
        <v>15</v>
      </c>
      <c r="G1152" s="383" t="s">
        <v>55</v>
      </c>
      <c r="H1152" s="384">
        <v>4.6500000000000004</v>
      </c>
      <c r="I1152" s="376">
        <v>9.5</v>
      </c>
      <c r="J1152" s="19">
        <v>0</v>
      </c>
      <c r="K1152" s="13">
        <v>0</v>
      </c>
      <c r="L1152" s="7" t="s">
        <v>483</v>
      </c>
    </row>
    <row r="1153" spans="1:12">
      <c r="A1153" s="7"/>
      <c r="B1153" s="381" t="s">
        <v>231</v>
      </c>
      <c r="C1153" s="3" t="s">
        <v>227</v>
      </c>
      <c r="D1153" s="2" t="s">
        <v>228</v>
      </c>
      <c r="E1153" s="382" t="s">
        <v>94</v>
      </c>
      <c r="F1153" s="114" t="s">
        <v>15</v>
      </c>
      <c r="G1153" s="383" t="s">
        <v>55</v>
      </c>
      <c r="H1153" s="384">
        <v>4.6500000000000004</v>
      </c>
      <c r="I1153" s="376">
        <v>9</v>
      </c>
      <c r="J1153" s="19">
        <v>0</v>
      </c>
      <c r="K1153" s="13">
        <v>0</v>
      </c>
      <c r="L1153" s="7" t="s">
        <v>483</v>
      </c>
    </row>
    <row r="1154" spans="1:12">
      <c r="A1154" s="7"/>
      <c r="B1154" s="381" t="s">
        <v>231</v>
      </c>
      <c r="C1154" s="3" t="s">
        <v>227</v>
      </c>
      <c r="D1154" s="2" t="s">
        <v>228</v>
      </c>
      <c r="E1154" s="382" t="s">
        <v>94</v>
      </c>
      <c r="F1154" s="114" t="s">
        <v>15</v>
      </c>
      <c r="G1154" s="383" t="s">
        <v>55</v>
      </c>
      <c r="H1154" s="384">
        <v>4.6500000000000004</v>
      </c>
      <c r="I1154" s="376">
        <v>7.3</v>
      </c>
      <c r="J1154" s="19">
        <v>1</v>
      </c>
      <c r="K1154" s="13">
        <v>3.3945000000000003E-2</v>
      </c>
      <c r="L1154" s="7" t="s">
        <v>483</v>
      </c>
    </row>
    <row r="1155" spans="1:12">
      <c r="A1155" s="7"/>
      <c r="B1155" s="381" t="s">
        <v>231</v>
      </c>
      <c r="C1155" s="3" t="s">
        <v>227</v>
      </c>
      <c r="D1155" s="2" t="s">
        <v>228</v>
      </c>
      <c r="E1155" s="382" t="s">
        <v>94</v>
      </c>
      <c r="F1155" s="114" t="s">
        <v>15</v>
      </c>
      <c r="G1155" s="383" t="s">
        <v>55</v>
      </c>
      <c r="H1155" s="384">
        <v>4.6500000000000004</v>
      </c>
      <c r="I1155" s="376">
        <v>7.2</v>
      </c>
      <c r="J1155" s="19">
        <v>1</v>
      </c>
      <c r="K1155" s="13">
        <v>3.3480000000000003E-2</v>
      </c>
      <c r="L1155" s="7" t="s">
        <v>483</v>
      </c>
    </row>
    <row r="1156" spans="1:12">
      <c r="A1156" s="7"/>
      <c r="B1156" s="381" t="s">
        <v>231</v>
      </c>
      <c r="C1156" s="3" t="s">
        <v>227</v>
      </c>
      <c r="D1156" s="2" t="s">
        <v>228</v>
      </c>
      <c r="E1156" s="382" t="s">
        <v>94</v>
      </c>
      <c r="F1156" s="114" t="s">
        <v>15</v>
      </c>
      <c r="G1156" s="383" t="s">
        <v>55</v>
      </c>
      <c r="H1156" s="384">
        <v>4.6500000000000004</v>
      </c>
      <c r="I1156" s="376">
        <v>6.9</v>
      </c>
      <c r="J1156" s="19">
        <v>1</v>
      </c>
      <c r="K1156" s="13">
        <v>3.2085000000000002E-2</v>
      </c>
      <c r="L1156" s="7" t="s">
        <v>483</v>
      </c>
    </row>
    <row r="1157" spans="1:12">
      <c r="A1157" s="7"/>
      <c r="B1157" s="381" t="s">
        <v>231</v>
      </c>
      <c r="C1157" s="3" t="s">
        <v>227</v>
      </c>
      <c r="D1157" s="2" t="s">
        <v>228</v>
      </c>
      <c r="E1157" s="382" t="s">
        <v>94</v>
      </c>
      <c r="F1157" s="114" t="s">
        <v>15</v>
      </c>
      <c r="G1157" s="383" t="s">
        <v>55</v>
      </c>
      <c r="H1157" s="384">
        <v>4.6500000000000004</v>
      </c>
      <c r="I1157" s="376">
        <v>6.8</v>
      </c>
      <c r="J1157" s="19">
        <v>1</v>
      </c>
      <c r="K1157" s="13">
        <v>3.1620000000000002E-2</v>
      </c>
      <c r="L1157" s="7" t="s">
        <v>483</v>
      </c>
    </row>
    <row r="1158" spans="1:12">
      <c r="A1158" s="7"/>
      <c r="B1158" s="381" t="s">
        <v>231</v>
      </c>
      <c r="C1158" s="3" t="s">
        <v>227</v>
      </c>
      <c r="D1158" s="2" t="s">
        <v>228</v>
      </c>
      <c r="E1158" s="382" t="s">
        <v>94</v>
      </c>
      <c r="F1158" s="114" t="s">
        <v>15</v>
      </c>
      <c r="G1158" s="383" t="s">
        <v>55</v>
      </c>
      <c r="H1158" s="384">
        <v>4.6500000000000004</v>
      </c>
      <c r="I1158" s="376">
        <v>10</v>
      </c>
      <c r="J1158" s="19">
        <v>3</v>
      </c>
      <c r="K1158" s="13">
        <v>0.13950000000000001</v>
      </c>
      <c r="L1158" s="7" t="s">
        <v>483</v>
      </c>
    </row>
    <row r="1159" spans="1:12">
      <c r="A1159" s="7"/>
      <c r="B1159" s="381" t="s">
        <v>231</v>
      </c>
      <c r="C1159" s="3" t="s">
        <v>232</v>
      </c>
      <c r="D1159" s="2" t="s">
        <v>228</v>
      </c>
      <c r="E1159" s="382" t="s">
        <v>17</v>
      </c>
      <c r="F1159" s="114" t="s">
        <v>15</v>
      </c>
      <c r="G1159" s="383" t="s">
        <v>18</v>
      </c>
      <c r="H1159" s="384">
        <v>6.86</v>
      </c>
      <c r="I1159" s="376">
        <v>10</v>
      </c>
      <c r="J1159" s="19">
        <v>0</v>
      </c>
      <c r="K1159" s="13">
        <v>0</v>
      </c>
      <c r="L1159" s="7" t="s">
        <v>483</v>
      </c>
    </row>
    <row r="1160" spans="1:12">
      <c r="A1160" s="7"/>
      <c r="B1160" s="381" t="s">
        <v>231</v>
      </c>
      <c r="C1160" s="3" t="s">
        <v>232</v>
      </c>
      <c r="D1160" s="2" t="s">
        <v>228</v>
      </c>
      <c r="E1160" s="382" t="s">
        <v>17</v>
      </c>
      <c r="F1160" s="114" t="s">
        <v>15</v>
      </c>
      <c r="G1160" s="383" t="s">
        <v>18</v>
      </c>
      <c r="H1160" s="384">
        <v>6.86</v>
      </c>
      <c r="I1160" s="376">
        <v>10.5</v>
      </c>
      <c r="J1160" s="19">
        <v>0</v>
      </c>
      <c r="K1160" s="13">
        <v>0</v>
      </c>
      <c r="L1160" s="7" t="s">
        <v>483</v>
      </c>
    </row>
    <row r="1161" spans="1:12">
      <c r="A1161" s="7"/>
      <c r="B1161" s="381" t="s">
        <v>231</v>
      </c>
      <c r="C1161" s="3" t="s">
        <v>232</v>
      </c>
      <c r="D1161" s="2" t="s">
        <v>228</v>
      </c>
      <c r="E1161" s="382" t="s">
        <v>17</v>
      </c>
      <c r="F1161" s="114" t="s">
        <v>15</v>
      </c>
      <c r="G1161" s="383" t="s">
        <v>18</v>
      </c>
      <c r="H1161" s="384">
        <v>6.86</v>
      </c>
      <c r="I1161" s="376">
        <v>11</v>
      </c>
      <c r="J1161" s="19">
        <v>0</v>
      </c>
      <c r="K1161" s="13">
        <v>0</v>
      </c>
      <c r="L1161" s="7" t="s">
        <v>483</v>
      </c>
    </row>
    <row r="1162" spans="1:12">
      <c r="A1162" s="7"/>
      <c r="B1162" s="381" t="s">
        <v>231</v>
      </c>
      <c r="C1162" s="3" t="s">
        <v>232</v>
      </c>
      <c r="D1162" s="2" t="s">
        <v>228</v>
      </c>
      <c r="E1162" s="382" t="s">
        <v>17</v>
      </c>
      <c r="F1162" s="114" t="s">
        <v>15</v>
      </c>
      <c r="G1162" s="383" t="s">
        <v>18</v>
      </c>
      <c r="H1162" s="384">
        <v>6.86</v>
      </c>
      <c r="I1162" s="376">
        <v>11.4</v>
      </c>
      <c r="J1162" s="19">
        <v>0</v>
      </c>
      <c r="K1162" s="13">
        <v>0</v>
      </c>
      <c r="L1162" s="7" t="s">
        <v>483</v>
      </c>
    </row>
    <row r="1163" spans="1:12">
      <c r="A1163" s="7"/>
      <c r="B1163" s="381" t="s">
        <v>231</v>
      </c>
      <c r="C1163" s="3" t="s">
        <v>232</v>
      </c>
      <c r="D1163" s="2" t="s">
        <v>228</v>
      </c>
      <c r="E1163" s="382" t="s">
        <v>17</v>
      </c>
      <c r="F1163" s="114" t="s">
        <v>15</v>
      </c>
      <c r="G1163" s="383" t="s">
        <v>18</v>
      </c>
      <c r="H1163" s="384">
        <v>6.86</v>
      </c>
      <c r="I1163" s="376">
        <v>11.5</v>
      </c>
      <c r="J1163" s="19">
        <v>0</v>
      </c>
      <c r="K1163" s="13">
        <v>0</v>
      </c>
      <c r="L1163" s="7" t="s">
        <v>483</v>
      </c>
    </row>
    <row r="1164" spans="1:12">
      <c r="A1164" s="7"/>
      <c r="B1164" s="381" t="s">
        <v>231</v>
      </c>
      <c r="C1164" s="3" t="s">
        <v>232</v>
      </c>
      <c r="D1164" s="2" t="s">
        <v>228</v>
      </c>
      <c r="E1164" s="382" t="s">
        <v>17</v>
      </c>
      <c r="F1164" s="114" t="s">
        <v>15</v>
      </c>
      <c r="G1164" s="383" t="s">
        <v>18</v>
      </c>
      <c r="H1164" s="384">
        <v>6.86</v>
      </c>
      <c r="I1164" s="376">
        <v>12</v>
      </c>
      <c r="J1164" s="19">
        <v>0</v>
      </c>
      <c r="K1164" s="13">
        <v>0</v>
      </c>
      <c r="L1164" s="7" t="s">
        <v>483</v>
      </c>
    </row>
    <row r="1165" spans="1:12">
      <c r="A1165" s="7"/>
      <c r="B1165" s="381" t="s">
        <v>231</v>
      </c>
      <c r="C1165" s="3" t="s">
        <v>232</v>
      </c>
      <c r="D1165" s="2" t="s">
        <v>228</v>
      </c>
      <c r="E1165" s="382" t="s">
        <v>17</v>
      </c>
      <c r="F1165" s="114" t="s">
        <v>15</v>
      </c>
      <c r="G1165" s="383" t="s">
        <v>18</v>
      </c>
      <c r="H1165" s="384">
        <v>6.86</v>
      </c>
      <c r="I1165" s="376">
        <v>9.5</v>
      </c>
      <c r="J1165" s="19">
        <v>0</v>
      </c>
      <c r="K1165" s="13">
        <v>0</v>
      </c>
      <c r="L1165" s="7" t="s">
        <v>483</v>
      </c>
    </row>
    <row r="1166" spans="1:12">
      <c r="A1166" s="7"/>
      <c r="B1166" s="381" t="s">
        <v>231</v>
      </c>
      <c r="C1166" s="3" t="s">
        <v>232</v>
      </c>
      <c r="D1166" s="2" t="s">
        <v>228</v>
      </c>
      <c r="E1166" s="382" t="s">
        <v>17</v>
      </c>
      <c r="F1166" s="114" t="s">
        <v>15</v>
      </c>
      <c r="G1166" s="383" t="s">
        <v>18</v>
      </c>
      <c r="H1166" s="384">
        <v>6.86</v>
      </c>
      <c r="I1166" s="376">
        <v>12</v>
      </c>
      <c r="J1166" s="19">
        <v>0</v>
      </c>
      <c r="K1166" s="13">
        <v>0</v>
      </c>
      <c r="L1166" s="7" t="s">
        <v>483</v>
      </c>
    </row>
    <row r="1167" spans="1:12">
      <c r="A1167" s="7"/>
      <c r="B1167" s="381" t="s">
        <v>231</v>
      </c>
      <c r="C1167" s="3" t="s">
        <v>232</v>
      </c>
      <c r="D1167" s="2" t="s">
        <v>228</v>
      </c>
      <c r="E1167" s="382" t="s">
        <v>17</v>
      </c>
      <c r="F1167" s="114" t="s">
        <v>15</v>
      </c>
      <c r="G1167" s="383" t="s">
        <v>18</v>
      </c>
      <c r="H1167" s="384">
        <v>6.86</v>
      </c>
      <c r="I1167" s="376">
        <v>9</v>
      </c>
      <c r="J1167" s="19">
        <v>1</v>
      </c>
      <c r="K1167" s="13">
        <v>6.1740000000000003E-2</v>
      </c>
      <c r="L1167" s="7" t="s">
        <v>483</v>
      </c>
    </row>
    <row r="1168" spans="1:12">
      <c r="A1168" s="7"/>
      <c r="B1168" s="381" t="s">
        <v>262</v>
      </c>
      <c r="C1168" s="3" t="s">
        <v>232</v>
      </c>
      <c r="D1168" s="2" t="s">
        <v>228</v>
      </c>
      <c r="E1168" s="382" t="s">
        <v>236</v>
      </c>
      <c r="F1168" s="114" t="s">
        <v>15</v>
      </c>
      <c r="G1168" s="383" t="s">
        <v>16</v>
      </c>
      <c r="H1168" s="384">
        <v>5.77</v>
      </c>
      <c r="I1168" s="376">
        <v>12</v>
      </c>
      <c r="J1168" s="19">
        <v>0</v>
      </c>
      <c r="K1168" s="13">
        <v>0</v>
      </c>
      <c r="L1168" s="7" t="s">
        <v>483</v>
      </c>
    </row>
    <row r="1169" spans="1:12">
      <c r="A1169" s="7"/>
      <c r="B1169" s="381" t="s">
        <v>262</v>
      </c>
      <c r="C1169" s="3" t="s">
        <v>232</v>
      </c>
      <c r="D1169" s="2" t="s">
        <v>228</v>
      </c>
      <c r="E1169" s="382" t="s">
        <v>236</v>
      </c>
      <c r="F1169" s="114" t="s">
        <v>15</v>
      </c>
      <c r="G1169" s="383" t="s">
        <v>16</v>
      </c>
      <c r="H1169" s="384">
        <v>5.77</v>
      </c>
      <c r="I1169" s="376">
        <v>6.3</v>
      </c>
      <c r="J1169" s="19">
        <v>0</v>
      </c>
      <c r="K1169" s="13">
        <v>0</v>
      </c>
      <c r="L1169" s="7" t="s">
        <v>483</v>
      </c>
    </row>
    <row r="1170" spans="1:12">
      <c r="A1170" s="7"/>
      <c r="B1170" s="381" t="s">
        <v>262</v>
      </c>
      <c r="C1170" s="3" t="s">
        <v>232</v>
      </c>
      <c r="D1170" s="2" t="s">
        <v>228</v>
      </c>
      <c r="E1170" s="382" t="s">
        <v>236</v>
      </c>
      <c r="F1170" s="114" t="s">
        <v>15</v>
      </c>
      <c r="G1170" s="383" t="s">
        <v>16</v>
      </c>
      <c r="H1170" s="384">
        <v>5.77</v>
      </c>
      <c r="I1170" s="376">
        <v>10.5</v>
      </c>
      <c r="J1170" s="19">
        <v>4</v>
      </c>
      <c r="K1170" s="13">
        <v>0.24233999999999997</v>
      </c>
      <c r="L1170" s="7" t="s">
        <v>483</v>
      </c>
    </row>
    <row r="1171" spans="1:12">
      <c r="A1171" s="7"/>
      <c r="B1171" s="381" t="s">
        <v>262</v>
      </c>
      <c r="C1171" s="3" t="s">
        <v>232</v>
      </c>
      <c r="D1171" s="2" t="s">
        <v>228</v>
      </c>
      <c r="E1171" s="382" t="s">
        <v>236</v>
      </c>
      <c r="F1171" s="114" t="s">
        <v>15</v>
      </c>
      <c r="G1171" s="383" t="s">
        <v>16</v>
      </c>
      <c r="H1171" s="384">
        <v>5.77</v>
      </c>
      <c r="I1171" s="376">
        <v>11</v>
      </c>
      <c r="J1171" s="19">
        <v>0</v>
      </c>
      <c r="K1171" s="13">
        <v>0</v>
      </c>
      <c r="L1171" s="7" t="s">
        <v>483</v>
      </c>
    </row>
    <row r="1172" spans="1:12">
      <c r="A1172" s="7"/>
      <c r="B1172" s="381" t="s">
        <v>262</v>
      </c>
      <c r="C1172" s="3" t="s">
        <v>232</v>
      </c>
      <c r="D1172" s="2" t="s">
        <v>228</v>
      </c>
      <c r="E1172" s="382" t="s">
        <v>236</v>
      </c>
      <c r="F1172" s="114" t="s">
        <v>15</v>
      </c>
      <c r="G1172" s="383" t="s">
        <v>16</v>
      </c>
      <c r="H1172" s="384">
        <v>5.77</v>
      </c>
      <c r="I1172" s="376">
        <v>11.25</v>
      </c>
      <c r="J1172" s="19">
        <v>0</v>
      </c>
      <c r="K1172" s="13">
        <v>0</v>
      </c>
      <c r="L1172" s="7" t="s">
        <v>483</v>
      </c>
    </row>
    <row r="1173" spans="1:12">
      <c r="A1173" s="7"/>
      <c r="B1173" s="381" t="s">
        <v>262</v>
      </c>
      <c r="C1173" s="3" t="s">
        <v>232</v>
      </c>
      <c r="D1173" s="2" t="s">
        <v>228</v>
      </c>
      <c r="E1173" s="382" t="s">
        <v>236</v>
      </c>
      <c r="F1173" s="114" t="s">
        <v>15</v>
      </c>
      <c r="G1173" s="383" t="s">
        <v>16</v>
      </c>
      <c r="H1173" s="384">
        <v>5.77</v>
      </c>
      <c r="I1173" s="376">
        <v>12</v>
      </c>
      <c r="J1173" s="19">
        <v>0</v>
      </c>
      <c r="K1173" s="13">
        <v>0</v>
      </c>
      <c r="L1173" s="7" t="s">
        <v>483</v>
      </c>
    </row>
    <row r="1174" spans="1:12">
      <c r="A1174" s="7"/>
      <c r="B1174" s="381" t="s">
        <v>262</v>
      </c>
      <c r="C1174" s="3" t="s">
        <v>232</v>
      </c>
      <c r="D1174" s="2" t="s">
        <v>228</v>
      </c>
      <c r="E1174" s="382" t="s">
        <v>236</v>
      </c>
      <c r="F1174" s="114" t="s">
        <v>15</v>
      </c>
      <c r="G1174" s="383" t="s">
        <v>16</v>
      </c>
      <c r="H1174" s="384">
        <v>5.77</v>
      </c>
      <c r="I1174" s="376">
        <v>7.5</v>
      </c>
      <c r="J1174" s="19">
        <v>1</v>
      </c>
      <c r="K1174" s="13">
        <v>4.3275000000000001E-2</v>
      </c>
      <c r="L1174" s="7" t="s">
        <v>483</v>
      </c>
    </row>
    <row r="1175" spans="1:12">
      <c r="A1175" s="7"/>
      <c r="B1175" s="381" t="s">
        <v>262</v>
      </c>
      <c r="C1175" s="3" t="s">
        <v>232</v>
      </c>
      <c r="D1175" s="2" t="s">
        <v>228</v>
      </c>
      <c r="E1175" s="382" t="s">
        <v>236</v>
      </c>
      <c r="F1175" s="114" t="s">
        <v>15</v>
      </c>
      <c r="G1175" s="383" t="s">
        <v>16</v>
      </c>
      <c r="H1175" s="384">
        <v>5.77</v>
      </c>
      <c r="I1175" s="376">
        <v>9</v>
      </c>
      <c r="J1175" s="19">
        <v>1</v>
      </c>
      <c r="K1175" s="13">
        <v>5.192999999999999E-2</v>
      </c>
      <c r="L1175" s="7" t="s">
        <v>483</v>
      </c>
    </row>
    <row r="1176" spans="1:12">
      <c r="A1176" s="7"/>
      <c r="B1176" s="381" t="s">
        <v>262</v>
      </c>
      <c r="C1176" s="3" t="s">
        <v>232</v>
      </c>
      <c r="D1176" s="2" t="s">
        <v>228</v>
      </c>
      <c r="E1176" s="382" t="s">
        <v>236</v>
      </c>
      <c r="F1176" s="114" t="s">
        <v>15</v>
      </c>
      <c r="G1176" s="383" t="s">
        <v>16</v>
      </c>
      <c r="H1176" s="384">
        <v>5.77</v>
      </c>
      <c r="I1176" s="376">
        <v>9.5</v>
      </c>
      <c r="J1176" s="19">
        <v>2</v>
      </c>
      <c r="K1176" s="13">
        <v>0.10962999999999999</v>
      </c>
      <c r="L1176" s="7" t="s">
        <v>483</v>
      </c>
    </row>
    <row r="1177" spans="1:12">
      <c r="A1177" s="7"/>
      <c r="B1177" s="381" t="s">
        <v>262</v>
      </c>
      <c r="C1177" s="3" t="s">
        <v>232</v>
      </c>
      <c r="D1177" s="2" t="s">
        <v>228</v>
      </c>
      <c r="E1177" s="382" t="s">
        <v>236</v>
      </c>
      <c r="F1177" s="114" t="s">
        <v>15</v>
      </c>
      <c r="G1177" s="383" t="s">
        <v>16</v>
      </c>
      <c r="H1177" s="384">
        <v>5.77</v>
      </c>
      <c r="I1177" s="376">
        <v>10</v>
      </c>
      <c r="J1177" s="19">
        <v>0</v>
      </c>
      <c r="K1177" s="13">
        <v>0</v>
      </c>
      <c r="L1177" s="7" t="s">
        <v>483</v>
      </c>
    </row>
    <row r="1178" spans="1:12">
      <c r="A1178" s="7"/>
      <c r="B1178" s="381" t="s">
        <v>262</v>
      </c>
      <c r="C1178" s="3" t="s">
        <v>232</v>
      </c>
      <c r="D1178" s="2" t="s">
        <v>228</v>
      </c>
      <c r="E1178" s="382" t="s">
        <v>236</v>
      </c>
      <c r="F1178" s="114" t="s">
        <v>15</v>
      </c>
      <c r="G1178" s="383" t="s">
        <v>16</v>
      </c>
      <c r="H1178" s="384">
        <v>5.77</v>
      </c>
      <c r="I1178" s="376">
        <v>11.25</v>
      </c>
      <c r="J1178" s="19">
        <v>0</v>
      </c>
      <c r="K1178" s="13">
        <v>0</v>
      </c>
      <c r="L1178" s="7" t="s">
        <v>483</v>
      </c>
    </row>
    <row r="1179" spans="1:12">
      <c r="A1179" s="7"/>
      <c r="B1179" s="381" t="s">
        <v>262</v>
      </c>
      <c r="C1179" s="3" t="s">
        <v>232</v>
      </c>
      <c r="D1179" s="2" t="s">
        <v>228</v>
      </c>
      <c r="E1179" s="382" t="s">
        <v>236</v>
      </c>
      <c r="F1179" s="114" t="s">
        <v>15</v>
      </c>
      <c r="G1179" s="383" t="s">
        <v>16</v>
      </c>
      <c r="H1179" s="384">
        <v>5.77</v>
      </c>
      <c r="I1179" s="376">
        <v>10.3</v>
      </c>
      <c r="J1179" s="19">
        <v>0</v>
      </c>
      <c r="K1179" s="13">
        <v>0</v>
      </c>
      <c r="L1179" s="7" t="s">
        <v>483</v>
      </c>
    </row>
    <row r="1180" spans="1:12">
      <c r="A1180" s="7"/>
      <c r="B1180" s="381" t="s">
        <v>262</v>
      </c>
      <c r="C1180" s="3" t="s">
        <v>232</v>
      </c>
      <c r="D1180" s="2" t="s">
        <v>228</v>
      </c>
      <c r="E1180" s="382" t="s">
        <v>236</v>
      </c>
      <c r="F1180" s="114" t="s">
        <v>15</v>
      </c>
      <c r="G1180" s="383" t="s">
        <v>16</v>
      </c>
      <c r="H1180" s="384">
        <v>5.77</v>
      </c>
      <c r="I1180" s="376">
        <v>9.8000000000000007</v>
      </c>
      <c r="J1180" s="19">
        <v>1</v>
      </c>
      <c r="K1180" s="13">
        <v>5.6545999999999999E-2</v>
      </c>
      <c r="L1180" s="7" t="s">
        <v>483</v>
      </c>
    </row>
    <row r="1181" spans="1:12">
      <c r="A1181" s="7"/>
      <c r="B1181" s="381" t="s">
        <v>262</v>
      </c>
      <c r="C1181" s="3" t="s">
        <v>232</v>
      </c>
      <c r="D1181" s="2" t="s">
        <v>228</v>
      </c>
      <c r="E1181" s="382" t="s">
        <v>236</v>
      </c>
      <c r="F1181" s="114" t="s">
        <v>15</v>
      </c>
      <c r="G1181" s="383" t="s">
        <v>16</v>
      </c>
      <c r="H1181" s="384">
        <v>5.77</v>
      </c>
      <c r="I1181" s="376">
        <v>9.6999999999999993</v>
      </c>
      <c r="J1181" s="19">
        <v>9</v>
      </c>
      <c r="K1181" s="13">
        <v>0.50372099999999997</v>
      </c>
      <c r="L1181" s="7" t="s">
        <v>483</v>
      </c>
    </row>
    <row r="1182" spans="1:12">
      <c r="A1182" s="7"/>
      <c r="B1182" s="381" t="s">
        <v>262</v>
      </c>
      <c r="C1182" s="3" t="s">
        <v>232</v>
      </c>
      <c r="D1182" s="2" t="s">
        <v>228</v>
      </c>
      <c r="E1182" s="382" t="s">
        <v>236</v>
      </c>
      <c r="F1182" s="114" t="s">
        <v>15</v>
      </c>
      <c r="G1182" s="383" t="s">
        <v>16</v>
      </c>
      <c r="H1182" s="384">
        <v>5.77</v>
      </c>
      <c r="I1182" s="376">
        <v>9.3000000000000007</v>
      </c>
      <c r="J1182" s="19">
        <v>1</v>
      </c>
      <c r="K1182" s="13">
        <v>5.3661E-2</v>
      </c>
      <c r="L1182" s="7" t="s">
        <v>483</v>
      </c>
    </row>
    <row r="1183" spans="1:12">
      <c r="A1183" s="7"/>
      <c r="B1183" s="381" t="s">
        <v>262</v>
      </c>
      <c r="C1183" s="3" t="s">
        <v>232</v>
      </c>
      <c r="D1183" s="2" t="s">
        <v>228</v>
      </c>
      <c r="E1183" s="382" t="s">
        <v>236</v>
      </c>
      <c r="F1183" s="114" t="s">
        <v>15</v>
      </c>
      <c r="G1183" s="383" t="s">
        <v>16</v>
      </c>
      <c r="H1183" s="384">
        <v>5.77</v>
      </c>
      <c r="I1183" s="376">
        <v>9</v>
      </c>
      <c r="J1183" s="19">
        <v>1</v>
      </c>
      <c r="K1183" s="13">
        <v>5.192999999999999E-2</v>
      </c>
      <c r="L1183" s="7" t="s">
        <v>483</v>
      </c>
    </row>
    <row r="1184" spans="1:12">
      <c r="A1184" s="7"/>
      <c r="B1184" s="381" t="s">
        <v>262</v>
      </c>
      <c r="C1184" s="3" t="s">
        <v>232</v>
      </c>
      <c r="D1184" s="2" t="s">
        <v>228</v>
      </c>
      <c r="E1184" s="382" t="s">
        <v>236</v>
      </c>
      <c r="F1184" s="114" t="s">
        <v>15</v>
      </c>
      <c r="G1184" s="383" t="s">
        <v>16</v>
      </c>
      <c r="H1184" s="384">
        <v>5.77</v>
      </c>
      <c r="I1184" s="376">
        <v>6.3</v>
      </c>
      <c r="J1184" s="19">
        <v>0</v>
      </c>
      <c r="K1184" s="13">
        <v>0</v>
      </c>
      <c r="L1184" s="7" t="s">
        <v>483</v>
      </c>
    </row>
    <row r="1185" spans="1:12">
      <c r="A1185" s="7"/>
      <c r="B1185" s="381" t="s">
        <v>262</v>
      </c>
      <c r="C1185" s="3" t="s">
        <v>232</v>
      </c>
      <c r="D1185" s="2" t="s">
        <v>228</v>
      </c>
      <c r="E1185" s="382" t="s">
        <v>236</v>
      </c>
      <c r="F1185" s="114" t="s">
        <v>15</v>
      </c>
      <c r="G1185" s="383" t="s">
        <v>16</v>
      </c>
      <c r="H1185" s="384">
        <v>5.77</v>
      </c>
      <c r="I1185" s="376">
        <v>7.1</v>
      </c>
      <c r="J1185" s="19">
        <v>1</v>
      </c>
      <c r="K1185" s="13">
        <v>4.096699999999999E-2</v>
      </c>
      <c r="L1185" s="7" t="s">
        <v>483</v>
      </c>
    </row>
    <row r="1186" spans="1:12">
      <c r="A1186" s="7"/>
      <c r="B1186" s="381" t="s">
        <v>262</v>
      </c>
      <c r="C1186" s="3" t="s">
        <v>232</v>
      </c>
      <c r="D1186" s="2" t="s">
        <v>228</v>
      </c>
      <c r="E1186" s="382" t="s">
        <v>236</v>
      </c>
      <c r="F1186" s="114" t="s">
        <v>15</v>
      </c>
      <c r="G1186" s="383" t="s">
        <v>16</v>
      </c>
      <c r="H1186" s="384">
        <v>5.77</v>
      </c>
      <c r="I1186" s="376">
        <v>9.5</v>
      </c>
      <c r="J1186" s="19">
        <v>3</v>
      </c>
      <c r="K1186" s="13">
        <v>0.16444499999999998</v>
      </c>
      <c r="L1186" s="7" t="s">
        <v>483</v>
      </c>
    </row>
    <row r="1187" spans="1:12">
      <c r="A1187" s="7"/>
      <c r="B1187" s="381" t="s">
        <v>262</v>
      </c>
      <c r="C1187" s="3" t="s">
        <v>232</v>
      </c>
      <c r="D1187" s="2" t="s">
        <v>228</v>
      </c>
      <c r="E1187" s="382" t="s">
        <v>236</v>
      </c>
      <c r="F1187" s="114" t="s">
        <v>15</v>
      </c>
      <c r="G1187" s="383" t="s">
        <v>16</v>
      </c>
      <c r="H1187" s="384">
        <v>5.77</v>
      </c>
      <c r="I1187" s="376">
        <v>11.5</v>
      </c>
      <c r="J1187" s="19">
        <v>0</v>
      </c>
      <c r="K1187" s="13">
        <v>0</v>
      </c>
      <c r="L1187" s="7" t="s">
        <v>483</v>
      </c>
    </row>
    <row r="1188" spans="1:12">
      <c r="A1188" s="7"/>
      <c r="B1188" s="381" t="s">
        <v>262</v>
      </c>
      <c r="C1188" s="3" t="s">
        <v>232</v>
      </c>
      <c r="D1188" s="2" t="s">
        <v>228</v>
      </c>
      <c r="E1188" s="382" t="s">
        <v>236</v>
      </c>
      <c r="F1188" s="114" t="s">
        <v>15</v>
      </c>
      <c r="G1188" s="383" t="s">
        <v>16</v>
      </c>
      <c r="H1188" s="384">
        <v>5.77</v>
      </c>
      <c r="I1188" s="376">
        <v>12</v>
      </c>
      <c r="J1188" s="19">
        <v>0</v>
      </c>
      <c r="K1188" s="13">
        <v>0</v>
      </c>
      <c r="L1188" s="7" t="s">
        <v>483</v>
      </c>
    </row>
    <row r="1189" spans="1:12">
      <c r="A1189" s="7"/>
      <c r="B1189" s="381" t="s">
        <v>262</v>
      </c>
      <c r="C1189" s="3" t="s">
        <v>232</v>
      </c>
      <c r="D1189" s="2" t="s">
        <v>228</v>
      </c>
      <c r="E1189" s="382" t="s">
        <v>236</v>
      </c>
      <c r="F1189" s="114" t="s">
        <v>15</v>
      </c>
      <c r="G1189" s="383" t="s">
        <v>16</v>
      </c>
      <c r="H1189" s="384">
        <v>5.77</v>
      </c>
      <c r="I1189" s="376">
        <v>12.25</v>
      </c>
      <c r="J1189" s="19">
        <v>0</v>
      </c>
      <c r="K1189" s="13">
        <v>0</v>
      </c>
      <c r="L1189" s="7" t="s">
        <v>483</v>
      </c>
    </row>
    <row r="1190" spans="1:12">
      <c r="A1190" s="7"/>
      <c r="B1190" s="381" t="s">
        <v>262</v>
      </c>
      <c r="C1190" s="3" t="s">
        <v>232</v>
      </c>
      <c r="D1190" s="2" t="s">
        <v>228</v>
      </c>
      <c r="E1190" s="382" t="s">
        <v>236</v>
      </c>
      <c r="F1190" s="114" t="s">
        <v>15</v>
      </c>
      <c r="G1190" s="383" t="s">
        <v>16</v>
      </c>
      <c r="H1190" s="384">
        <v>5.77</v>
      </c>
      <c r="I1190" s="376">
        <v>7.5</v>
      </c>
      <c r="J1190" s="19">
        <v>2</v>
      </c>
      <c r="K1190" s="13">
        <v>8.6550000000000002E-2</v>
      </c>
      <c r="L1190" s="7" t="s">
        <v>483</v>
      </c>
    </row>
    <row r="1191" spans="1:12">
      <c r="A1191" s="7"/>
      <c r="B1191" s="381" t="s">
        <v>262</v>
      </c>
      <c r="C1191" s="3" t="s">
        <v>232</v>
      </c>
      <c r="D1191" s="2" t="s">
        <v>228</v>
      </c>
      <c r="E1191" s="382" t="s">
        <v>236</v>
      </c>
      <c r="F1191" s="114" t="s">
        <v>15</v>
      </c>
      <c r="G1191" s="383" t="s">
        <v>16</v>
      </c>
      <c r="H1191" s="384">
        <v>5.77</v>
      </c>
      <c r="I1191" s="376">
        <v>8</v>
      </c>
      <c r="J1191" s="19">
        <v>3</v>
      </c>
      <c r="K1191" s="13">
        <v>0.13847999999999999</v>
      </c>
      <c r="L1191" s="7" t="s">
        <v>483</v>
      </c>
    </row>
    <row r="1192" spans="1:12">
      <c r="A1192" s="7"/>
      <c r="B1192" s="381" t="s">
        <v>262</v>
      </c>
      <c r="C1192" s="3" t="s">
        <v>232</v>
      </c>
      <c r="D1192" s="2" t="s">
        <v>228</v>
      </c>
      <c r="E1192" s="382" t="s">
        <v>236</v>
      </c>
      <c r="F1192" s="114" t="s">
        <v>15</v>
      </c>
      <c r="G1192" s="383" t="s">
        <v>16</v>
      </c>
      <c r="H1192" s="384">
        <v>5.77</v>
      </c>
      <c r="I1192" s="376">
        <v>10</v>
      </c>
      <c r="J1192" s="19">
        <v>0</v>
      </c>
      <c r="K1192" s="13">
        <v>0</v>
      </c>
      <c r="L1192" s="7" t="s">
        <v>483</v>
      </c>
    </row>
    <row r="1193" spans="1:12">
      <c r="A1193" s="7"/>
      <c r="B1193" s="381" t="s">
        <v>262</v>
      </c>
      <c r="C1193" s="3" t="s">
        <v>232</v>
      </c>
      <c r="D1193" s="2" t="s">
        <v>228</v>
      </c>
      <c r="E1193" s="382" t="s">
        <v>236</v>
      </c>
      <c r="F1193" s="114" t="s">
        <v>15</v>
      </c>
      <c r="G1193" s="383" t="s">
        <v>16</v>
      </c>
      <c r="H1193" s="384">
        <v>5.77</v>
      </c>
      <c r="I1193" s="376">
        <v>11</v>
      </c>
      <c r="J1193" s="19">
        <v>0</v>
      </c>
      <c r="K1193" s="13">
        <v>0</v>
      </c>
      <c r="L1193" s="7" t="s">
        <v>483</v>
      </c>
    </row>
    <row r="1194" spans="1:12">
      <c r="A1194" s="7"/>
      <c r="B1194" s="381" t="s">
        <v>262</v>
      </c>
      <c r="C1194" s="3" t="s">
        <v>232</v>
      </c>
      <c r="D1194" s="2" t="s">
        <v>228</v>
      </c>
      <c r="E1194" s="382" t="s">
        <v>236</v>
      </c>
      <c r="F1194" s="114" t="s">
        <v>15</v>
      </c>
      <c r="G1194" s="383" t="s">
        <v>16</v>
      </c>
      <c r="H1194" s="384">
        <v>5.77</v>
      </c>
      <c r="I1194" s="376">
        <v>11.5</v>
      </c>
      <c r="J1194" s="19">
        <v>0</v>
      </c>
      <c r="K1194" s="13">
        <v>0</v>
      </c>
      <c r="L1194" s="7" t="s">
        <v>483</v>
      </c>
    </row>
    <row r="1195" spans="1:12">
      <c r="A1195" s="7"/>
      <c r="B1195" s="381" t="s">
        <v>262</v>
      </c>
      <c r="C1195" s="3" t="s">
        <v>232</v>
      </c>
      <c r="D1195" s="2" t="s">
        <v>228</v>
      </c>
      <c r="E1195" s="382" t="s">
        <v>236</v>
      </c>
      <c r="F1195" s="114" t="s">
        <v>15</v>
      </c>
      <c r="G1195" s="383" t="s">
        <v>16</v>
      </c>
      <c r="H1195" s="384">
        <v>5.77</v>
      </c>
      <c r="I1195" s="376">
        <v>12</v>
      </c>
      <c r="J1195" s="19">
        <v>0</v>
      </c>
      <c r="K1195" s="13">
        <v>0</v>
      </c>
      <c r="L1195" s="7" t="s">
        <v>483</v>
      </c>
    </row>
    <row r="1196" spans="1:12">
      <c r="A1196" s="7"/>
      <c r="B1196" s="381" t="s">
        <v>262</v>
      </c>
      <c r="C1196" s="3" t="s">
        <v>232</v>
      </c>
      <c r="D1196" s="2" t="s">
        <v>228</v>
      </c>
      <c r="E1196" s="382" t="s">
        <v>236</v>
      </c>
      <c r="F1196" s="114" t="s">
        <v>15</v>
      </c>
      <c r="G1196" s="383" t="s">
        <v>16</v>
      </c>
      <c r="H1196" s="384">
        <v>5.77</v>
      </c>
      <c r="I1196" s="376">
        <v>9.8000000000000007</v>
      </c>
      <c r="J1196" s="19">
        <v>1</v>
      </c>
      <c r="K1196" s="13">
        <v>5.6545999999999999E-2</v>
      </c>
      <c r="L1196" s="7" t="s">
        <v>483</v>
      </c>
    </row>
    <row r="1197" spans="1:12">
      <c r="A1197" s="7"/>
      <c r="B1197" s="381" t="s">
        <v>262</v>
      </c>
      <c r="C1197" s="3" t="s">
        <v>232</v>
      </c>
      <c r="D1197" s="2" t="s">
        <v>228</v>
      </c>
      <c r="E1197" s="382" t="s">
        <v>236</v>
      </c>
      <c r="F1197" s="114" t="s">
        <v>15</v>
      </c>
      <c r="G1197" s="383" t="s">
        <v>16</v>
      </c>
      <c r="H1197" s="384">
        <v>5.77</v>
      </c>
      <c r="I1197" s="376">
        <v>9.5</v>
      </c>
      <c r="J1197" s="19">
        <v>1</v>
      </c>
      <c r="K1197" s="13">
        <v>5.4814999999999996E-2</v>
      </c>
      <c r="L1197" s="7" t="s">
        <v>483</v>
      </c>
    </row>
    <row r="1198" spans="1:12">
      <c r="A1198" s="7"/>
      <c r="B1198" s="381" t="s">
        <v>262</v>
      </c>
      <c r="C1198" s="3" t="s">
        <v>232</v>
      </c>
      <c r="D1198" s="2" t="s">
        <v>228</v>
      </c>
      <c r="E1198" s="382" t="s">
        <v>236</v>
      </c>
      <c r="F1198" s="114" t="s">
        <v>15</v>
      </c>
      <c r="G1198" s="383" t="s">
        <v>16</v>
      </c>
      <c r="H1198" s="384">
        <v>5.77</v>
      </c>
      <c r="I1198" s="376">
        <v>8.8000000000000007</v>
      </c>
      <c r="J1198" s="19">
        <v>1</v>
      </c>
      <c r="K1198" s="13">
        <v>5.0776000000000002E-2</v>
      </c>
      <c r="L1198" s="7" t="s">
        <v>483</v>
      </c>
    </row>
    <row r="1199" spans="1:12">
      <c r="A1199" s="7"/>
      <c r="B1199" s="381" t="s">
        <v>262</v>
      </c>
      <c r="C1199" s="3" t="s">
        <v>232</v>
      </c>
      <c r="D1199" s="2" t="s">
        <v>228</v>
      </c>
      <c r="E1199" s="382" t="s">
        <v>236</v>
      </c>
      <c r="F1199" s="114" t="s">
        <v>15</v>
      </c>
      <c r="G1199" s="383" t="s">
        <v>16</v>
      </c>
      <c r="H1199" s="384">
        <v>5.77</v>
      </c>
      <c r="I1199" s="376">
        <v>7.5</v>
      </c>
      <c r="J1199" s="19">
        <v>0</v>
      </c>
      <c r="K1199" s="13">
        <v>0</v>
      </c>
      <c r="L1199" s="7" t="s">
        <v>483</v>
      </c>
    </row>
    <row r="1200" spans="1:12">
      <c r="A1200" s="7"/>
      <c r="B1200" s="381" t="s">
        <v>262</v>
      </c>
      <c r="C1200" s="3" t="s">
        <v>232</v>
      </c>
      <c r="D1200" s="2" t="s">
        <v>228</v>
      </c>
      <c r="E1200" s="382" t="s">
        <v>236</v>
      </c>
      <c r="F1200" s="114" t="s">
        <v>15</v>
      </c>
      <c r="G1200" s="383" t="s">
        <v>16</v>
      </c>
      <c r="H1200" s="384">
        <v>5.77</v>
      </c>
      <c r="I1200" s="376">
        <v>9.5</v>
      </c>
      <c r="J1200" s="19">
        <v>1</v>
      </c>
      <c r="K1200" s="13">
        <v>5.4814999999999996E-2</v>
      </c>
      <c r="L1200" s="7" t="s">
        <v>483</v>
      </c>
    </row>
    <row r="1201" spans="1:12">
      <c r="A1201" s="7"/>
      <c r="B1201" s="381" t="s">
        <v>262</v>
      </c>
      <c r="C1201" s="3" t="s">
        <v>232</v>
      </c>
      <c r="D1201" s="2" t="s">
        <v>228</v>
      </c>
      <c r="E1201" s="382" t="s">
        <v>236</v>
      </c>
      <c r="F1201" s="114" t="s">
        <v>15</v>
      </c>
      <c r="G1201" s="383" t="s">
        <v>16</v>
      </c>
      <c r="H1201" s="384">
        <v>5.77</v>
      </c>
      <c r="I1201" s="376">
        <v>9</v>
      </c>
      <c r="J1201" s="19">
        <v>1</v>
      </c>
      <c r="K1201" s="13">
        <v>5.192999999999999E-2</v>
      </c>
      <c r="L1201" s="7" t="s">
        <v>483</v>
      </c>
    </row>
    <row r="1202" spans="1:12">
      <c r="A1202" s="7"/>
      <c r="B1202" s="381" t="s">
        <v>262</v>
      </c>
      <c r="C1202" s="3" t="s">
        <v>232</v>
      </c>
      <c r="D1202" s="2" t="s">
        <v>228</v>
      </c>
      <c r="E1202" s="382" t="s">
        <v>236</v>
      </c>
      <c r="F1202" s="114" t="s">
        <v>15</v>
      </c>
      <c r="G1202" s="383" t="s">
        <v>16</v>
      </c>
      <c r="H1202" s="384">
        <v>5.77</v>
      </c>
      <c r="I1202" s="376">
        <v>8.5</v>
      </c>
      <c r="J1202" s="19">
        <v>0</v>
      </c>
      <c r="K1202" s="13">
        <v>0</v>
      </c>
      <c r="L1202" s="7" t="s">
        <v>483</v>
      </c>
    </row>
    <row r="1203" spans="1:12">
      <c r="A1203" s="7"/>
      <c r="B1203" s="381" t="s">
        <v>262</v>
      </c>
      <c r="C1203" s="3" t="s">
        <v>232</v>
      </c>
      <c r="D1203" s="2" t="s">
        <v>228</v>
      </c>
      <c r="E1203" s="382" t="s">
        <v>236</v>
      </c>
      <c r="F1203" s="114" t="s">
        <v>15</v>
      </c>
      <c r="G1203" s="383" t="s">
        <v>16</v>
      </c>
      <c r="H1203" s="384">
        <v>5.77</v>
      </c>
      <c r="I1203" s="376">
        <v>8</v>
      </c>
      <c r="J1203" s="19">
        <v>0</v>
      </c>
      <c r="K1203" s="13">
        <v>0</v>
      </c>
      <c r="L1203" s="7" t="s">
        <v>483</v>
      </c>
    </row>
    <row r="1204" spans="1:12">
      <c r="A1204" s="7"/>
      <c r="B1204" s="381" t="s">
        <v>262</v>
      </c>
      <c r="C1204" s="3" t="s">
        <v>232</v>
      </c>
      <c r="D1204" s="2" t="s">
        <v>228</v>
      </c>
      <c r="E1204" s="382" t="s">
        <v>236</v>
      </c>
      <c r="F1204" s="114" t="s">
        <v>15</v>
      </c>
      <c r="G1204" s="383" t="s">
        <v>16</v>
      </c>
      <c r="H1204" s="384">
        <v>5.77</v>
      </c>
      <c r="I1204" s="376">
        <v>8</v>
      </c>
      <c r="J1204" s="19">
        <v>0</v>
      </c>
      <c r="K1204" s="13">
        <v>0</v>
      </c>
      <c r="L1204" s="7" t="s">
        <v>483</v>
      </c>
    </row>
    <row r="1205" spans="1:12">
      <c r="A1205" s="7"/>
      <c r="B1205" s="381" t="s">
        <v>262</v>
      </c>
      <c r="C1205" s="3" t="s">
        <v>232</v>
      </c>
      <c r="D1205" s="2" t="s">
        <v>228</v>
      </c>
      <c r="E1205" s="382" t="s">
        <v>236</v>
      </c>
      <c r="F1205" s="114" t="s">
        <v>15</v>
      </c>
      <c r="G1205" s="383" t="s">
        <v>16</v>
      </c>
      <c r="H1205" s="384">
        <v>5.77</v>
      </c>
      <c r="I1205" s="376">
        <v>8.5</v>
      </c>
      <c r="J1205" s="19">
        <v>0</v>
      </c>
      <c r="K1205" s="13">
        <v>0</v>
      </c>
      <c r="L1205" s="7" t="s">
        <v>483</v>
      </c>
    </row>
    <row r="1206" spans="1:12">
      <c r="A1206" s="7"/>
      <c r="B1206" s="381" t="s">
        <v>262</v>
      </c>
      <c r="C1206" s="3" t="s">
        <v>232</v>
      </c>
      <c r="D1206" s="2" t="s">
        <v>228</v>
      </c>
      <c r="E1206" s="382" t="s">
        <v>236</v>
      </c>
      <c r="F1206" s="114" t="s">
        <v>15</v>
      </c>
      <c r="G1206" s="383" t="s">
        <v>16</v>
      </c>
      <c r="H1206" s="384">
        <v>5.77</v>
      </c>
      <c r="I1206" s="376">
        <v>9</v>
      </c>
      <c r="J1206" s="19">
        <v>3</v>
      </c>
      <c r="K1206" s="13">
        <v>0.15578999999999998</v>
      </c>
      <c r="L1206" s="7" t="s">
        <v>483</v>
      </c>
    </row>
    <row r="1207" spans="1:12">
      <c r="A1207" s="7"/>
      <c r="B1207" s="381" t="s">
        <v>262</v>
      </c>
      <c r="C1207" s="3" t="s">
        <v>232</v>
      </c>
      <c r="D1207" s="2" t="s">
        <v>228</v>
      </c>
      <c r="E1207" s="382" t="s">
        <v>236</v>
      </c>
      <c r="F1207" s="114" t="s">
        <v>15</v>
      </c>
      <c r="G1207" s="383" t="s">
        <v>16</v>
      </c>
      <c r="H1207" s="384">
        <v>5.77</v>
      </c>
      <c r="I1207" s="376">
        <v>9.5</v>
      </c>
      <c r="J1207" s="19">
        <v>1</v>
      </c>
      <c r="K1207" s="13">
        <v>5.4814999999999996E-2</v>
      </c>
      <c r="L1207" s="7" t="s">
        <v>483</v>
      </c>
    </row>
    <row r="1208" spans="1:12">
      <c r="A1208" s="7"/>
      <c r="B1208" s="381" t="s">
        <v>391</v>
      </c>
      <c r="C1208" s="3" t="s">
        <v>227</v>
      </c>
      <c r="D1208" s="2" t="s">
        <v>228</v>
      </c>
      <c r="E1208" s="382" t="s">
        <v>390</v>
      </c>
      <c r="F1208" s="114" t="s">
        <v>14</v>
      </c>
      <c r="G1208" s="383" t="s">
        <v>16</v>
      </c>
      <c r="H1208" s="384">
        <v>5.77</v>
      </c>
      <c r="I1208" s="376">
        <v>6.95</v>
      </c>
      <c r="J1208" s="19">
        <v>0</v>
      </c>
      <c r="K1208" s="13">
        <v>0</v>
      </c>
      <c r="L1208" s="7" t="s">
        <v>483</v>
      </c>
    </row>
    <row r="1209" spans="1:12">
      <c r="A1209" s="7"/>
      <c r="B1209" s="381" t="s">
        <v>391</v>
      </c>
      <c r="C1209" s="3" t="s">
        <v>227</v>
      </c>
      <c r="D1209" s="2" t="s">
        <v>228</v>
      </c>
      <c r="E1209" s="382" t="s">
        <v>390</v>
      </c>
      <c r="F1209" s="114" t="s">
        <v>14</v>
      </c>
      <c r="G1209" s="383" t="s">
        <v>16</v>
      </c>
      <c r="H1209" s="384">
        <v>5.77</v>
      </c>
      <c r="I1209" s="376">
        <v>7.1</v>
      </c>
      <c r="J1209" s="19">
        <v>0</v>
      </c>
      <c r="K1209" s="13">
        <v>0</v>
      </c>
      <c r="L1209" s="7" t="s">
        <v>483</v>
      </c>
    </row>
    <row r="1210" spans="1:12">
      <c r="A1210" s="7"/>
      <c r="B1210" s="381" t="s">
        <v>391</v>
      </c>
      <c r="C1210" s="3" t="s">
        <v>227</v>
      </c>
      <c r="D1210" s="2" t="s">
        <v>228</v>
      </c>
      <c r="E1210" s="382" t="s">
        <v>390</v>
      </c>
      <c r="F1210" s="114" t="s">
        <v>14</v>
      </c>
      <c r="G1210" s="383" t="s">
        <v>16</v>
      </c>
      <c r="H1210" s="384">
        <v>5.77</v>
      </c>
      <c r="I1210" s="376">
        <v>11</v>
      </c>
      <c r="J1210" s="19">
        <v>0</v>
      </c>
      <c r="K1210" s="13">
        <v>0</v>
      </c>
      <c r="L1210" s="7" t="s">
        <v>483</v>
      </c>
    </row>
    <row r="1211" spans="1:12">
      <c r="A1211" s="7"/>
      <c r="B1211" s="381" t="s">
        <v>391</v>
      </c>
      <c r="C1211" s="3" t="s">
        <v>227</v>
      </c>
      <c r="D1211" s="2" t="s">
        <v>228</v>
      </c>
      <c r="E1211" s="382" t="s">
        <v>390</v>
      </c>
      <c r="F1211" s="114" t="s">
        <v>14</v>
      </c>
      <c r="G1211" s="383" t="s">
        <v>16</v>
      </c>
      <c r="H1211" s="384">
        <v>5.77</v>
      </c>
      <c r="I1211" s="376">
        <v>12</v>
      </c>
      <c r="J1211" s="19">
        <v>0</v>
      </c>
      <c r="K1211" s="13">
        <v>0</v>
      </c>
      <c r="L1211" s="7" t="s">
        <v>483</v>
      </c>
    </row>
    <row r="1212" spans="1:12">
      <c r="A1212" s="7"/>
      <c r="B1212" s="381" t="s">
        <v>391</v>
      </c>
      <c r="C1212" s="3" t="s">
        <v>227</v>
      </c>
      <c r="D1212" s="2" t="s">
        <v>228</v>
      </c>
      <c r="E1212" s="382" t="s">
        <v>390</v>
      </c>
      <c r="F1212" s="114" t="s">
        <v>14</v>
      </c>
      <c r="G1212" s="383" t="s">
        <v>16</v>
      </c>
      <c r="H1212" s="384">
        <v>5.77</v>
      </c>
      <c r="I1212" s="376">
        <v>6.5</v>
      </c>
      <c r="J1212" s="19">
        <v>12</v>
      </c>
      <c r="K1212" s="13">
        <v>0.45005999999999996</v>
      </c>
      <c r="L1212" s="7" t="s">
        <v>483</v>
      </c>
    </row>
    <row r="1213" spans="1:12">
      <c r="A1213" s="7"/>
      <c r="B1213" s="381" t="s">
        <v>391</v>
      </c>
      <c r="C1213" s="3" t="s">
        <v>227</v>
      </c>
      <c r="D1213" s="2" t="s">
        <v>228</v>
      </c>
      <c r="E1213" s="382" t="s">
        <v>390</v>
      </c>
      <c r="F1213" s="114" t="s">
        <v>14</v>
      </c>
      <c r="G1213" s="383" t="s">
        <v>16</v>
      </c>
      <c r="H1213" s="384">
        <v>5.77</v>
      </c>
      <c r="I1213" s="376">
        <v>6</v>
      </c>
      <c r="J1213" s="19">
        <v>6</v>
      </c>
      <c r="K1213" s="13">
        <v>0.20771999999999996</v>
      </c>
      <c r="L1213" s="7" t="s">
        <v>483</v>
      </c>
    </row>
    <row r="1214" spans="1:12">
      <c r="A1214" s="7"/>
      <c r="B1214" s="381" t="s">
        <v>391</v>
      </c>
      <c r="C1214" s="3" t="s">
        <v>227</v>
      </c>
      <c r="D1214" s="2" t="s">
        <v>228</v>
      </c>
      <c r="E1214" s="382" t="s">
        <v>390</v>
      </c>
      <c r="F1214" s="114" t="s">
        <v>14</v>
      </c>
      <c r="G1214" s="383" t="s">
        <v>16</v>
      </c>
      <c r="H1214" s="384">
        <v>5.77</v>
      </c>
      <c r="I1214" s="376">
        <v>5.7</v>
      </c>
      <c r="J1214" s="19">
        <v>1</v>
      </c>
      <c r="K1214" s="13">
        <v>3.2888999999999995E-2</v>
      </c>
      <c r="L1214" s="7" t="s">
        <v>483</v>
      </c>
    </row>
    <row r="1215" spans="1:12">
      <c r="A1215" s="7"/>
      <c r="B1215" s="381" t="s">
        <v>391</v>
      </c>
      <c r="C1215" s="3" t="s">
        <v>227</v>
      </c>
      <c r="D1215" s="2" t="s">
        <v>228</v>
      </c>
      <c r="E1215" s="382" t="s">
        <v>390</v>
      </c>
      <c r="F1215" s="114" t="s">
        <v>14</v>
      </c>
      <c r="G1215" s="383" t="s">
        <v>16</v>
      </c>
      <c r="H1215" s="384">
        <v>5.77</v>
      </c>
      <c r="I1215" s="376">
        <v>10.5</v>
      </c>
      <c r="J1215" s="19">
        <v>0</v>
      </c>
      <c r="K1215" s="13">
        <v>0</v>
      </c>
      <c r="L1215" s="7" t="s">
        <v>483</v>
      </c>
    </row>
    <row r="1216" spans="1:12">
      <c r="A1216" s="7"/>
      <c r="B1216" s="381" t="s">
        <v>391</v>
      </c>
      <c r="C1216" s="3" t="s">
        <v>227</v>
      </c>
      <c r="D1216" s="2" t="s">
        <v>228</v>
      </c>
      <c r="E1216" s="382" t="s">
        <v>390</v>
      </c>
      <c r="F1216" s="114" t="s">
        <v>14</v>
      </c>
      <c r="G1216" s="383" t="s">
        <v>16</v>
      </c>
      <c r="H1216" s="384">
        <v>5.77</v>
      </c>
      <c r="I1216" s="376">
        <v>10</v>
      </c>
      <c r="J1216" s="19">
        <v>0</v>
      </c>
      <c r="K1216" s="13">
        <v>0</v>
      </c>
      <c r="L1216" s="7" t="s">
        <v>483</v>
      </c>
    </row>
    <row r="1217" spans="1:12">
      <c r="A1217" s="7"/>
      <c r="B1217" s="381" t="s">
        <v>391</v>
      </c>
      <c r="C1217" s="3" t="s">
        <v>227</v>
      </c>
      <c r="D1217" s="2" t="s">
        <v>228</v>
      </c>
      <c r="E1217" s="382" t="s">
        <v>390</v>
      </c>
      <c r="F1217" s="114" t="s">
        <v>14</v>
      </c>
      <c r="G1217" s="383" t="s">
        <v>16</v>
      </c>
      <c r="H1217" s="384">
        <v>5.77</v>
      </c>
      <c r="I1217" s="376">
        <v>9.6999999999999993</v>
      </c>
      <c r="J1217" s="19">
        <v>0</v>
      </c>
      <c r="K1217" s="13">
        <v>0</v>
      </c>
      <c r="L1217" s="7" t="s">
        <v>483</v>
      </c>
    </row>
    <row r="1218" spans="1:12">
      <c r="A1218" s="7"/>
      <c r="B1218" s="381" t="s">
        <v>391</v>
      </c>
      <c r="C1218" s="3" t="s">
        <v>227</v>
      </c>
      <c r="D1218" s="2" t="s">
        <v>228</v>
      </c>
      <c r="E1218" s="382" t="s">
        <v>390</v>
      </c>
      <c r="F1218" s="114" t="s">
        <v>14</v>
      </c>
      <c r="G1218" s="383" t="s">
        <v>16</v>
      </c>
      <c r="H1218" s="384">
        <v>5.77</v>
      </c>
      <c r="I1218" s="376">
        <v>9</v>
      </c>
      <c r="J1218" s="19">
        <v>0</v>
      </c>
      <c r="K1218" s="13">
        <v>0</v>
      </c>
      <c r="L1218" s="7" t="s">
        <v>483</v>
      </c>
    </row>
    <row r="1219" spans="1:12">
      <c r="A1219" s="7"/>
      <c r="B1219" s="381" t="s">
        <v>391</v>
      </c>
      <c r="C1219" s="3" t="s">
        <v>227</v>
      </c>
      <c r="D1219" s="2" t="s">
        <v>228</v>
      </c>
      <c r="E1219" s="382" t="s">
        <v>390</v>
      </c>
      <c r="F1219" s="114" t="s">
        <v>14</v>
      </c>
      <c r="G1219" s="383" t="s">
        <v>16</v>
      </c>
      <c r="H1219" s="384">
        <v>5.77</v>
      </c>
      <c r="I1219" s="376">
        <v>6.5</v>
      </c>
      <c r="J1219" s="19">
        <v>2</v>
      </c>
      <c r="K1219" s="13">
        <v>7.5009999999999993E-2</v>
      </c>
      <c r="L1219" s="7" t="s">
        <v>483</v>
      </c>
    </row>
    <row r="1220" spans="1:12">
      <c r="A1220" s="7"/>
      <c r="B1220" s="381" t="s">
        <v>391</v>
      </c>
      <c r="C1220" s="3" t="s">
        <v>227</v>
      </c>
      <c r="D1220" s="2" t="s">
        <v>228</v>
      </c>
      <c r="E1220" s="382" t="s">
        <v>390</v>
      </c>
      <c r="F1220" s="114" t="s">
        <v>14</v>
      </c>
      <c r="G1220" s="383" t="s">
        <v>16</v>
      </c>
      <c r="H1220" s="384">
        <v>5.77</v>
      </c>
      <c r="I1220" s="376">
        <v>6.6</v>
      </c>
      <c r="J1220" s="19">
        <v>1</v>
      </c>
      <c r="K1220" s="13">
        <v>3.8081999999999991E-2</v>
      </c>
      <c r="L1220" s="7" t="s">
        <v>483</v>
      </c>
    </row>
    <row r="1221" spans="1:12">
      <c r="A1221" s="7"/>
      <c r="B1221" s="381" t="s">
        <v>391</v>
      </c>
      <c r="C1221" s="3" t="s">
        <v>227</v>
      </c>
      <c r="D1221" s="2" t="s">
        <v>228</v>
      </c>
      <c r="E1221" s="382" t="s">
        <v>390</v>
      </c>
      <c r="F1221" s="114" t="s">
        <v>14</v>
      </c>
      <c r="G1221" s="383" t="s">
        <v>16</v>
      </c>
      <c r="H1221" s="384">
        <v>5.77</v>
      </c>
      <c r="I1221" s="376">
        <v>5.7</v>
      </c>
      <c r="J1221" s="19">
        <v>1</v>
      </c>
      <c r="K1221" s="13">
        <v>3.2888999999999995E-2</v>
      </c>
      <c r="L1221" s="7" t="s">
        <v>483</v>
      </c>
    </row>
    <row r="1222" spans="1:12">
      <c r="A1222" s="7"/>
      <c r="B1222" s="381" t="s">
        <v>391</v>
      </c>
      <c r="C1222" s="3" t="s">
        <v>227</v>
      </c>
      <c r="D1222" s="2" t="s">
        <v>228</v>
      </c>
      <c r="E1222" s="382" t="s">
        <v>390</v>
      </c>
      <c r="F1222" s="114" t="s">
        <v>14</v>
      </c>
      <c r="G1222" s="383" t="s">
        <v>16</v>
      </c>
      <c r="H1222" s="384">
        <v>5.77</v>
      </c>
      <c r="I1222" s="376">
        <v>6</v>
      </c>
      <c r="J1222" s="19">
        <v>1</v>
      </c>
      <c r="K1222" s="13">
        <v>3.4619999999999998E-2</v>
      </c>
      <c r="L1222" s="7" t="s">
        <v>483</v>
      </c>
    </row>
    <row r="1223" spans="1:12">
      <c r="A1223" s="7"/>
      <c r="B1223" s="381" t="s">
        <v>391</v>
      </c>
      <c r="C1223" s="3" t="s">
        <v>227</v>
      </c>
      <c r="D1223" s="2" t="s">
        <v>228</v>
      </c>
      <c r="E1223" s="382" t="s">
        <v>390</v>
      </c>
      <c r="F1223" s="114" t="s">
        <v>14</v>
      </c>
      <c r="G1223" s="383" t="s">
        <v>16</v>
      </c>
      <c r="H1223" s="384">
        <v>5.77</v>
      </c>
      <c r="I1223" s="376">
        <v>6.5</v>
      </c>
      <c r="J1223" s="19">
        <v>6</v>
      </c>
      <c r="K1223" s="13">
        <v>0.22502999999999998</v>
      </c>
      <c r="L1223" s="7" t="s">
        <v>483</v>
      </c>
    </row>
    <row r="1224" spans="1:12">
      <c r="A1224" s="7"/>
      <c r="B1224" s="381" t="s">
        <v>391</v>
      </c>
      <c r="C1224" s="3" t="s">
        <v>227</v>
      </c>
      <c r="D1224" s="2" t="s">
        <v>228</v>
      </c>
      <c r="E1224" s="382" t="s">
        <v>390</v>
      </c>
      <c r="F1224" s="114" t="s">
        <v>14</v>
      </c>
      <c r="G1224" s="383" t="s">
        <v>16</v>
      </c>
      <c r="H1224" s="384">
        <v>5.77</v>
      </c>
      <c r="I1224" s="376">
        <v>8.8000000000000007</v>
      </c>
      <c r="J1224" s="19">
        <v>0</v>
      </c>
      <c r="K1224" s="13">
        <v>0</v>
      </c>
      <c r="L1224" s="7" t="s">
        <v>483</v>
      </c>
    </row>
    <row r="1225" spans="1:12">
      <c r="A1225" s="7"/>
      <c r="B1225" s="381" t="s">
        <v>391</v>
      </c>
      <c r="C1225" s="3" t="s">
        <v>227</v>
      </c>
      <c r="D1225" s="2" t="s">
        <v>228</v>
      </c>
      <c r="E1225" s="382" t="s">
        <v>390</v>
      </c>
      <c r="F1225" s="114" t="s">
        <v>14</v>
      </c>
      <c r="G1225" s="383" t="s">
        <v>16</v>
      </c>
      <c r="H1225" s="384">
        <v>5.77</v>
      </c>
      <c r="I1225" s="376">
        <v>9</v>
      </c>
      <c r="J1225" s="19">
        <v>0</v>
      </c>
      <c r="K1225" s="13">
        <v>0</v>
      </c>
      <c r="L1225" s="7" t="s">
        <v>483</v>
      </c>
    </row>
    <row r="1226" spans="1:12">
      <c r="A1226" s="7"/>
      <c r="B1226" s="381" t="s">
        <v>391</v>
      </c>
      <c r="C1226" s="3" t="s">
        <v>227</v>
      </c>
      <c r="D1226" s="2" t="s">
        <v>228</v>
      </c>
      <c r="E1226" s="382" t="s">
        <v>390</v>
      </c>
      <c r="F1226" s="114" t="s">
        <v>14</v>
      </c>
      <c r="G1226" s="383" t="s">
        <v>16</v>
      </c>
      <c r="H1226" s="384">
        <v>5.77</v>
      </c>
      <c r="I1226" s="376">
        <v>9.5</v>
      </c>
      <c r="J1226" s="19">
        <v>0</v>
      </c>
      <c r="K1226" s="13">
        <v>0</v>
      </c>
      <c r="L1226" s="7" t="s">
        <v>483</v>
      </c>
    </row>
    <row r="1227" spans="1:12">
      <c r="A1227" s="7"/>
      <c r="B1227" s="381" t="s">
        <v>391</v>
      </c>
      <c r="C1227" s="3" t="s">
        <v>227</v>
      </c>
      <c r="D1227" s="2" t="s">
        <v>228</v>
      </c>
      <c r="E1227" s="382" t="s">
        <v>390</v>
      </c>
      <c r="F1227" s="114" t="s">
        <v>14</v>
      </c>
      <c r="G1227" s="383" t="s">
        <v>16</v>
      </c>
      <c r="H1227" s="384">
        <v>5.77</v>
      </c>
      <c r="I1227" s="376">
        <v>9.6999999999999993</v>
      </c>
      <c r="J1227" s="19">
        <v>0</v>
      </c>
      <c r="K1227" s="13">
        <v>0</v>
      </c>
      <c r="L1227" s="7" t="s">
        <v>483</v>
      </c>
    </row>
    <row r="1228" spans="1:12">
      <c r="A1228" s="7"/>
      <c r="B1228" s="381" t="s">
        <v>391</v>
      </c>
      <c r="C1228" s="3" t="s">
        <v>227</v>
      </c>
      <c r="D1228" s="2" t="s">
        <v>228</v>
      </c>
      <c r="E1228" s="382" t="s">
        <v>390</v>
      </c>
      <c r="F1228" s="114" t="s">
        <v>14</v>
      </c>
      <c r="G1228" s="383" t="s">
        <v>16</v>
      </c>
      <c r="H1228" s="384">
        <v>5.77</v>
      </c>
      <c r="I1228" s="376">
        <v>10.3</v>
      </c>
      <c r="J1228" s="19">
        <v>0</v>
      </c>
      <c r="K1228" s="13">
        <v>0</v>
      </c>
      <c r="L1228" s="7" t="s">
        <v>483</v>
      </c>
    </row>
    <row r="1229" spans="1:12">
      <c r="A1229" s="7"/>
      <c r="B1229" s="381" t="s">
        <v>391</v>
      </c>
      <c r="C1229" s="3" t="s">
        <v>227</v>
      </c>
      <c r="D1229" s="2" t="s">
        <v>228</v>
      </c>
      <c r="E1229" s="382" t="s">
        <v>390</v>
      </c>
      <c r="F1229" s="114" t="s">
        <v>14</v>
      </c>
      <c r="G1229" s="383" t="s">
        <v>16</v>
      </c>
      <c r="H1229" s="384">
        <v>5.77</v>
      </c>
      <c r="I1229" s="376">
        <v>10.5</v>
      </c>
      <c r="J1229" s="19">
        <v>0</v>
      </c>
      <c r="K1229" s="13">
        <v>0</v>
      </c>
      <c r="L1229" s="7" t="s">
        <v>483</v>
      </c>
    </row>
    <row r="1230" spans="1:12">
      <c r="A1230" s="7"/>
      <c r="B1230" s="381" t="s">
        <v>391</v>
      </c>
      <c r="C1230" s="3" t="s">
        <v>227</v>
      </c>
      <c r="D1230" s="2" t="s">
        <v>228</v>
      </c>
      <c r="E1230" s="382" t="s">
        <v>390</v>
      </c>
      <c r="F1230" s="114" t="s">
        <v>14</v>
      </c>
      <c r="G1230" s="383" t="s">
        <v>16</v>
      </c>
      <c r="H1230" s="384">
        <v>5.77</v>
      </c>
      <c r="I1230" s="376">
        <v>11.5</v>
      </c>
      <c r="J1230" s="19">
        <v>0</v>
      </c>
      <c r="K1230" s="13">
        <v>0</v>
      </c>
      <c r="L1230" s="7" t="s">
        <v>483</v>
      </c>
    </row>
    <row r="1231" spans="1:12">
      <c r="A1231" s="7"/>
      <c r="B1231" s="381" t="s">
        <v>391</v>
      </c>
      <c r="C1231" s="3" t="s">
        <v>227</v>
      </c>
      <c r="D1231" s="2" t="s">
        <v>228</v>
      </c>
      <c r="E1231" s="382" t="s">
        <v>24</v>
      </c>
      <c r="F1231" s="114" t="s">
        <v>14</v>
      </c>
      <c r="G1231" s="383" t="s">
        <v>18</v>
      </c>
      <c r="H1231" s="384">
        <v>6.86</v>
      </c>
      <c r="I1231" s="376">
        <v>12</v>
      </c>
      <c r="J1231" s="19">
        <v>0</v>
      </c>
      <c r="K1231" s="13">
        <v>0</v>
      </c>
      <c r="L1231" s="7" t="s">
        <v>483</v>
      </c>
    </row>
    <row r="1232" spans="1:12">
      <c r="A1232" s="7"/>
      <c r="B1232" s="381" t="s">
        <v>391</v>
      </c>
      <c r="C1232" s="3" t="s">
        <v>227</v>
      </c>
      <c r="D1232" s="2" t="s">
        <v>228</v>
      </c>
      <c r="E1232" s="382" t="s">
        <v>24</v>
      </c>
      <c r="F1232" s="114" t="s">
        <v>14</v>
      </c>
      <c r="G1232" s="383" t="s">
        <v>18</v>
      </c>
      <c r="H1232" s="384">
        <v>6.86</v>
      </c>
      <c r="I1232" s="376">
        <v>10</v>
      </c>
      <c r="J1232" s="19">
        <v>0</v>
      </c>
      <c r="K1232" s="13">
        <v>0</v>
      </c>
      <c r="L1232" s="7" t="s">
        <v>483</v>
      </c>
    </row>
    <row r="1233" spans="1:12">
      <c r="A1233" s="7"/>
      <c r="B1233" s="381" t="s">
        <v>391</v>
      </c>
      <c r="C1233" s="3" t="s">
        <v>227</v>
      </c>
      <c r="D1233" s="2" t="s">
        <v>228</v>
      </c>
      <c r="E1233" s="382" t="s">
        <v>24</v>
      </c>
      <c r="F1233" s="114" t="s">
        <v>14</v>
      </c>
      <c r="G1233" s="383" t="s">
        <v>18</v>
      </c>
      <c r="H1233" s="384">
        <v>6.86</v>
      </c>
      <c r="I1233" s="376">
        <v>7.75</v>
      </c>
      <c r="J1233" s="19">
        <v>0</v>
      </c>
      <c r="K1233" s="13">
        <v>0</v>
      </c>
      <c r="L1233" s="7" t="s">
        <v>483</v>
      </c>
    </row>
    <row r="1234" spans="1:12">
      <c r="A1234" s="7"/>
      <c r="B1234" s="381" t="s">
        <v>391</v>
      </c>
      <c r="C1234" s="3" t="s">
        <v>227</v>
      </c>
      <c r="D1234" s="2" t="s">
        <v>228</v>
      </c>
      <c r="E1234" s="382" t="s">
        <v>24</v>
      </c>
      <c r="F1234" s="114" t="s">
        <v>14</v>
      </c>
      <c r="G1234" s="383" t="s">
        <v>18</v>
      </c>
      <c r="H1234" s="384">
        <v>6.86</v>
      </c>
      <c r="I1234" s="376">
        <v>8</v>
      </c>
      <c r="J1234" s="19">
        <v>0</v>
      </c>
      <c r="K1234" s="13">
        <v>0</v>
      </c>
      <c r="L1234" s="7" t="s">
        <v>483</v>
      </c>
    </row>
    <row r="1235" spans="1:12">
      <c r="A1235" s="7"/>
      <c r="B1235" s="381" t="s">
        <v>391</v>
      </c>
      <c r="C1235" s="3" t="s">
        <v>227</v>
      </c>
      <c r="D1235" s="2" t="s">
        <v>228</v>
      </c>
      <c r="E1235" s="382" t="s">
        <v>24</v>
      </c>
      <c r="F1235" s="114" t="s">
        <v>14</v>
      </c>
      <c r="G1235" s="383" t="s">
        <v>18</v>
      </c>
      <c r="H1235" s="384">
        <v>6.86</v>
      </c>
      <c r="I1235" s="376">
        <v>12</v>
      </c>
      <c r="J1235" s="19">
        <v>0</v>
      </c>
      <c r="K1235" s="13">
        <v>0</v>
      </c>
      <c r="L1235" s="7" t="s">
        <v>483</v>
      </c>
    </row>
    <row r="1236" spans="1:12">
      <c r="A1236" s="7"/>
      <c r="B1236" s="381" t="s">
        <v>391</v>
      </c>
      <c r="C1236" s="3" t="s">
        <v>227</v>
      </c>
      <c r="D1236" s="2" t="s">
        <v>228</v>
      </c>
      <c r="E1236" s="382" t="s">
        <v>24</v>
      </c>
      <c r="F1236" s="114" t="s">
        <v>14</v>
      </c>
      <c r="G1236" s="383" t="s">
        <v>18</v>
      </c>
      <c r="H1236" s="384">
        <v>6.86</v>
      </c>
      <c r="I1236" s="376">
        <v>12</v>
      </c>
      <c r="J1236" s="19">
        <v>0</v>
      </c>
      <c r="K1236" s="13">
        <v>0</v>
      </c>
      <c r="L1236" s="7" t="s">
        <v>483</v>
      </c>
    </row>
    <row r="1237" spans="1:12">
      <c r="A1237" s="7"/>
      <c r="B1237" s="381" t="s">
        <v>391</v>
      </c>
      <c r="C1237" s="3" t="s">
        <v>227</v>
      </c>
      <c r="D1237" s="2" t="s">
        <v>228</v>
      </c>
      <c r="E1237" s="382" t="s">
        <v>24</v>
      </c>
      <c r="F1237" s="114" t="s">
        <v>14</v>
      </c>
      <c r="G1237" s="383" t="s">
        <v>18</v>
      </c>
      <c r="H1237" s="384">
        <v>6.86</v>
      </c>
      <c r="I1237" s="376">
        <v>12</v>
      </c>
      <c r="J1237" s="19">
        <v>0</v>
      </c>
      <c r="K1237" s="13">
        <v>0</v>
      </c>
      <c r="L1237" s="7" t="s">
        <v>483</v>
      </c>
    </row>
    <row r="1238" spans="1:12">
      <c r="A1238" s="7"/>
      <c r="B1238" s="381" t="s">
        <v>391</v>
      </c>
      <c r="C1238" s="3" t="s">
        <v>227</v>
      </c>
      <c r="D1238" s="2" t="s">
        <v>228</v>
      </c>
      <c r="E1238" s="382" t="s">
        <v>24</v>
      </c>
      <c r="F1238" s="114" t="s">
        <v>14</v>
      </c>
      <c r="G1238" s="383" t="s">
        <v>18</v>
      </c>
      <c r="H1238" s="384">
        <v>6.86</v>
      </c>
      <c r="I1238" s="376">
        <v>11.5</v>
      </c>
      <c r="J1238" s="19">
        <v>0</v>
      </c>
      <c r="K1238" s="13">
        <v>0</v>
      </c>
      <c r="L1238" s="7" t="s">
        <v>483</v>
      </c>
    </row>
    <row r="1239" spans="1:12">
      <c r="A1239" s="7"/>
      <c r="B1239" s="381" t="s">
        <v>391</v>
      </c>
      <c r="C1239" s="3" t="s">
        <v>227</v>
      </c>
      <c r="D1239" s="2" t="s">
        <v>228</v>
      </c>
      <c r="E1239" s="382" t="s">
        <v>24</v>
      </c>
      <c r="F1239" s="114" t="s">
        <v>14</v>
      </c>
      <c r="G1239" s="383" t="s">
        <v>18</v>
      </c>
      <c r="H1239" s="384">
        <v>6.86</v>
      </c>
      <c r="I1239" s="376">
        <v>11</v>
      </c>
      <c r="J1239" s="19">
        <v>1</v>
      </c>
      <c r="K1239" s="13">
        <v>7.5460000000000013E-2</v>
      </c>
      <c r="L1239" s="7" t="s">
        <v>483</v>
      </c>
    </row>
    <row r="1240" spans="1:12">
      <c r="A1240" s="7"/>
      <c r="B1240" s="381" t="s">
        <v>391</v>
      </c>
      <c r="C1240" s="3" t="s">
        <v>227</v>
      </c>
      <c r="D1240" s="2" t="s">
        <v>228</v>
      </c>
      <c r="E1240" s="382" t="s">
        <v>24</v>
      </c>
      <c r="F1240" s="114" t="s">
        <v>14</v>
      </c>
      <c r="G1240" s="383" t="s">
        <v>18</v>
      </c>
      <c r="H1240" s="384">
        <v>6.86</v>
      </c>
      <c r="I1240" s="376">
        <v>10</v>
      </c>
      <c r="J1240" s="19">
        <v>2</v>
      </c>
      <c r="K1240" s="13">
        <v>0.13720000000000002</v>
      </c>
      <c r="L1240" s="7" t="s">
        <v>483</v>
      </c>
    </row>
    <row r="1241" spans="1:12">
      <c r="A1241" s="7"/>
      <c r="B1241" s="381" t="s">
        <v>391</v>
      </c>
      <c r="C1241" s="3" t="s">
        <v>227</v>
      </c>
      <c r="D1241" s="2" t="s">
        <v>228</v>
      </c>
      <c r="E1241" s="382" t="s">
        <v>24</v>
      </c>
      <c r="F1241" s="114" t="s">
        <v>14</v>
      </c>
      <c r="G1241" s="383" t="s">
        <v>18</v>
      </c>
      <c r="H1241" s="384">
        <v>6.86</v>
      </c>
      <c r="I1241" s="376">
        <v>7.4</v>
      </c>
      <c r="J1241" s="19">
        <v>0</v>
      </c>
      <c r="K1241" s="13">
        <v>0</v>
      </c>
      <c r="L1241" s="7" t="s">
        <v>483</v>
      </c>
    </row>
    <row r="1242" spans="1:12">
      <c r="A1242" s="7"/>
      <c r="B1242" s="381" t="s">
        <v>391</v>
      </c>
      <c r="C1242" s="3" t="s">
        <v>227</v>
      </c>
      <c r="D1242" s="2" t="s">
        <v>228</v>
      </c>
      <c r="E1242" s="382" t="s">
        <v>24</v>
      </c>
      <c r="F1242" s="114" t="s">
        <v>14</v>
      </c>
      <c r="G1242" s="383" t="s">
        <v>18</v>
      </c>
      <c r="H1242" s="384">
        <v>6.86</v>
      </c>
      <c r="I1242" s="376">
        <v>6.8</v>
      </c>
      <c r="J1242" s="19">
        <v>0</v>
      </c>
      <c r="K1242" s="13">
        <v>0</v>
      </c>
      <c r="L1242" s="7" t="s">
        <v>483</v>
      </c>
    </row>
    <row r="1243" spans="1:12">
      <c r="A1243" s="7"/>
      <c r="B1243" s="381" t="s">
        <v>391</v>
      </c>
      <c r="C1243" s="3" t="s">
        <v>227</v>
      </c>
      <c r="D1243" s="2" t="s">
        <v>228</v>
      </c>
      <c r="E1243" s="382" t="s">
        <v>24</v>
      </c>
      <c r="F1243" s="114" t="s">
        <v>14</v>
      </c>
      <c r="G1243" s="383" t="s">
        <v>18</v>
      </c>
      <c r="H1243" s="384">
        <v>6.86</v>
      </c>
      <c r="I1243" s="376">
        <v>6.5</v>
      </c>
      <c r="J1243" s="19">
        <v>0</v>
      </c>
      <c r="K1243" s="13">
        <v>0</v>
      </c>
      <c r="L1243" s="7" t="s">
        <v>483</v>
      </c>
    </row>
    <row r="1244" spans="1:12">
      <c r="A1244" s="7"/>
      <c r="B1244" s="381" t="s">
        <v>391</v>
      </c>
      <c r="C1244" s="3" t="s">
        <v>227</v>
      </c>
      <c r="D1244" s="2" t="s">
        <v>228</v>
      </c>
      <c r="E1244" s="382" t="s">
        <v>24</v>
      </c>
      <c r="F1244" s="114" t="s">
        <v>14</v>
      </c>
      <c r="G1244" s="383" t="s">
        <v>18</v>
      </c>
      <c r="H1244" s="384">
        <v>6.86</v>
      </c>
      <c r="I1244" s="376">
        <v>12</v>
      </c>
      <c r="J1244" s="19">
        <v>2</v>
      </c>
      <c r="K1244" s="13">
        <v>0.16464000000000001</v>
      </c>
      <c r="L1244" s="7" t="s">
        <v>483</v>
      </c>
    </row>
    <row r="1245" spans="1:12">
      <c r="A1245" s="7"/>
      <c r="B1245" s="381" t="s">
        <v>391</v>
      </c>
      <c r="C1245" s="3" t="s">
        <v>227</v>
      </c>
      <c r="D1245" s="2" t="s">
        <v>430</v>
      </c>
      <c r="E1245" s="382" t="s">
        <v>24</v>
      </c>
      <c r="F1245" s="114" t="s">
        <v>14</v>
      </c>
      <c r="G1245" s="383" t="s">
        <v>16</v>
      </c>
      <c r="H1245" s="384">
        <v>5.77</v>
      </c>
      <c r="I1245" s="376">
        <v>11.5</v>
      </c>
      <c r="J1245" s="19">
        <v>0</v>
      </c>
      <c r="K1245" s="13">
        <v>0</v>
      </c>
      <c r="L1245" s="7" t="s">
        <v>483</v>
      </c>
    </row>
    <row r="1246" spans="1:12">
      <c r="A1246" s="7"/>
      <c r="B1246" s="381" t="s">
        <v>391</v>
      </c>
      <c r="C1246" s="3" t="s">
        <v>227</v>
      </c>
      <c r="D1246" s="2" t="s">
        <v>430</v>
      </c>
      <c r="E1246" s="382" t="s">
        <v>24</v>
      </c>
      <c r="F1246" s="114" t="s">
        <v>14</v>
      </c>
      <c r="G1246" s="383" t="s">
        <v>16</v>
      </c>
      <c r="H1246" s="384">
        <v>5.77</v>
      </c>
      <c r="I1246" s="376">
        <v>11</v>
      </c>
      <c r="J1246" s="19">
        <v>0</v>
      </c>
      <c r="K1246" s="13">
        <v>0</v>
      </c>
      <c r="L1246" s="7" t="s">
        <v>483</v>
      </c>
    </row>
    <row r="1247" spans="1:12">
      <c r="A1247" s="7"/>
      <c r="B1247" s="381" t="s">
        <v>391</v>
      </c>
      <c r="C1247" s="3" t="s">
        <v>227</v>
      </c>
      <c r="D1247" s="2" t="s">
        <v>430</v>
      </c>
      <c r="E1247" s="382" t="s">
        <v>24</v>
      </c>
      <c r="F1247" s="114" t="s">
        <v>14</v>
      </c>
      <c r="G1247" s="383" t="s">
        <v>16</v>
      </c>
      <c r="H1247" s="384">
        <v>5.77</v>
      </c>
      <c r="I1247" s="376">
        <v>10.5</v>
      </c>
      <c r="J1247" s="19">
        <v>0</v>
      </c>
      <c r="K1247" s="13">
        <v>0</v>
      </c>
      <c r="L1247" s="7" t="s">
        <v>483</v>
      </c>
    </row>
    <row r="1248" spans="1:12">
      <c r="A1248" s="7"/>
      <c r="B1248" s="381" t="s">
        <v>391</v>
      </c>
      <c r="C1248" s="3" t="s">
        <v>227</v>
      </c>
      <c r="D1248" s="2" t="s">
        <v>430</v>
      </c>
      <c r="E1248" s="382" t="s">
        <v>24</v>
      </c>
      <c r="F1248" s="114" t="s">
        <v>14</v>
      </c>
      <c r="G1248" s="383" t="s">
        <v>16</v>
      </c>
      <c r="H1248" s="384">
        <v>5.77</v>
      </c>
      <c r="I1248" s="376">
        <v>10</v>
      </c>
      <c r="J1248" s="19">
        <v>0</v>
      </c>
      <c r="K1248" s="13">
        <v>0</v>
      </c>
      <c r="L1248" s="7" t="s">
        <v>483</v>
      </c>
    </row>
    <row r="1249" spans="1:12">
      <c r="A1249" s="7"/>
      <c r="B1249" s="381" t="s">
        <v>391</v>
      </c>
      <c r="C1249" s="3" t="s">
        <v>227</v>
      </c>
      <c r="D1249" s="2" t="s">
        <v>430</v>
      </c>
      <c r="E1249" s="382" t="s">
        <v>24</v>
      </c>
      <c r="F1249" s="114" t="s">
        <v>14</v>
      </c>
      <c r="G1249" s="383" t="s">
        <v>16</v>
      </c>
      <c r="H1249" s="384">
        <v>5.77</v>
      </c>
      <c r="I1249" s="376">
        <v>10</v>
      </c>
      <c r="J1249" s="19">
        <v>0</v>
      </c>
      <c r="K1249" s="13">
        <v>0</v>
      </c>
      <c r="L1249" s="7" t="s">
        <v>483</v>
      </c>
    </row>
    <row r="1250" spans="1:12">
      <c r="A1250" s="7"/>
      <c r="B1250" s="381" t="s">
        <v>391</v>
      </c>
      <c r="C1250" s="3" t="s">
        <v>227</v>
      </c>
      <c r="D1250" s="2" t="s">
        <v>430</v>
      </c>
      <c r="E1250" s="382" t="s">
        <v>24</v>
      </c>
      <c r="F1250" s="114" t="s">
        <v>14</v>
      </c>
      <c r="G1250" s="383" t="s">
        <v>16</v>
      </c>
      <c r="H1250" s="384">
        <v>5.77</v>
      </c>
      <c r="I1250" s="376">
        <v>12</v>
      </c>
      <c r="J1250" s="19">
        <v>3</v>
      </c>
      <c r="K1250" s="13">
        <v>0.20771999999999996</v>
      </c>
      <c r="L1250" s="7" t="s">
        <v>483</v>
      </c>
    </row>
    <row r="1251" spans="1:12">
      <c r="A1251" s="7"/>
      <c r="B1251" s="381" t="s">
        <v>391</v>
      </c>
      <c r="C1251" s="3" t="s">
        <v>227</v>
      </c>
      <c r="D1251" s="2" t="s">
        <v>430</v>
      </c>
      <c r="E1251" s="382" t="s">
        <v>24</v>
      </c>
      <c r="F1251" s="114" t="s">
        <v>14</v>
      </c>
      <c r="G1251" s="383" t="s">
        <v>16</v>
      </c>
      <c r="H1251" s="384">
        <v>5.77</v>
      </c>
      <c r="I1251" s="376">
        <v>9.8000000000000007</v>
      </c>
      <c r="J1251" s="19">
        <v>1</v>
      </c>
      <c r="K1251" s="13">
        <v>5.6545999999999999E-2</v>
      </c>
      <c r="L1251" s="7" t="s">
        <v>483</v>
      </c>
    </row>
    <row r="1252" spans="1:12">
      <c r="A1252" s="7"/>
      <c r="B1252" s="381" t="s">
        <v>391</v>
      </c>
      <c r="C1252" s="3" t="s">
        <v>227</v>
      </c>
      <c r="D1252" s="2" t="s">
        <v>430</v>
      </c>
      <c r="E1252" s="382" t="s">
        <v>24</v>
      </c>
      <c r="F1252" s="114" t="s">
        <v>14</v>
      </c>
      <c r="G1252" s="383" t="s">
        <v>16</v>
      </c>
      <c r="H1252" s="384">
        <v>5.77</v>
      </c>
      <c r="I1252" s="376">
        <v>12</v>
      </c>
      <c r="J1252" s="19">
        <v>0</v>
      </c>
      <c r="K1252" s="13">
        <v>0</v>
      </c>
      <c r="L1252" s="7" t="s">
        <v>483</v>
      </c>
    </row>
    <row r="1253" spans="1:12">
      <c r="A1253" s="7"/>
      <c r="B1253" s="381" t="s">
        <v>391</v>
      </c>
      <c r="C1253" s="3" t="s">
        <v>227</v>
      </c>
      <c r="D1253" s="2" t="s">
        <v>430</v>
      </c>
      <c r="E1253" s="382" t="s">
        <v>24</v>
      </c>
      <c r="F1253" s="114" t="s">
        <v>14</v>
      </c>
      <c r="G1253" s="383" t="s">
        <v>16</v>
      </c>
      <c r="H1253" s="384">
        <v>5.77</v>
      </c>
      <c r="I1253" s="376">
        <v>10</v>
      </c>
      <c r="J1253" s="19">
        <v>0</v>
      </c>
      <c r="K1253" s="13">
        <v>0</v>
      </c>
      <c r="L1253" s="7" t="s">
        <v>483</v>
      </c>
    </row>
    <row r="1254" spans="1:12">
      <c r="A1254" s="7"/>
      <c r="B1254" s="381" t="s">
        <v>391</v>
      </c>
      <c r="C1254" s="3" t="s">
        <v>227</v>
      </c>
      <c r="D1254" s="2" t="s">
        <v>430</v>
      </c>
      <c r="E1254" s="382" t="s">
        <v>24</v>
      </c>
      <c r="F1254" s="114" t="s">
        <v>14</v>
      </c>
      <c r="G1254" s="383" t="s">
        <v>16</v>
      </c>
      <c r="H1254" s="384">
        <v>5.77</v>
      </c>
      <c r="I1254" s="376">
        <v>11</v>
      </c>
      <c r="J1254" s="19">
        <v>0</v>
      </c>
      <c r="K1254" s="13">
        <v>0</v>
      </c>
      <c r="L1254" s="7" t="s">
        <v>483</v>
      </c>
    </row>
    <row r="1255" spans="1:12">
      <c r="A1255" s="7"/>
      <c r="B1255" s="381" t="s">
        <v>391</v>
      </c>
      <c r="C1255" s="3" t="s">
        <v>227</v>
      </c>
      <c r="D1255" s="2" t="s">
        <v>430</v>
      </c>
      <c r="E1255" s="382" t="s">
        <v>24</v>
      </c>
      <c r="F1255" s="114" t="s">
        <v>14</v>
      </c>
      <c r="G1255" s="383" t="s">
        <v>16</v>
      </c>
      <c r="H1255" s="384">
        <v>5.77</v>
      </c>
      <c r="I1255" s="376">
        <v>10.5</v>
      </c>
      <c r="J1255" s="19">
        <v>0</v>
      </c>
      <c r="K1255" s="13">
        <v>0</v>
      </c>
      <c r="L1255" s="7" t="s">
        <v>483</v>
      </c>
    </row>
    <row r="1256" spans="1:12">
      <c r="A1256" s="7"/>
      <c r="B1256" s="381" t="s">
        <v>391</v>
      </c>
      <c r="C1256" s="3" t="s">
        <v>227</v>
      </c>
      <c r="D1256" s="2" t="s">
        <v>430</v>
      </c>
      <c r="E1256" s="382" t="s">
        <v>24</v>
      </c>
      <c r="F1256" s="114" t="s">
        <v>14</v>
      </c>
      <c r="G1256" s="383" t="s">
        <v>16</v>
      </c>
      <c r="H1256" s="384">
        <v>5.77</v>
      </c>
      <c r="I1256" s="376">
        <v>11.5</v>
      </c>
      <c r="J1256" s="19">
        <v>0</v>
      </c>
      <c r="K1256" s="13">
        <v>0</v>
      </c>
      <c r="L1256" s="7" t="s">
        <v>483</v>
      </c>
    </row>
    <row r="1257" spans="1:12">
      <c r="A1257" s="7"/>
      <c r="B1257" s="381" t="s">
        <v>391</v>
      </c>
      <c r="C1257" s="3" t="s">
        <v>227</v>
      </c>
      <c r="D1257" s="2" t="s">
        <v>430</v>
      </c>
      <c r="E1257" s="382" t="s">
        <v>24</v>
      </c>
      <c r="F1257" s="114" t="s">
        <v>14</v>
      </c>
      <c r="G1257" s="383" t="s">
        <v>16</v>
      </c>
      <c r="H1257" s="384">
        <v>5.77</v>
      </c>
      <c r="I1257" s="376">
        <v>12</v>
      </c>
      <c r="J1257" s="19">
        <v>3</v>
      </c>
      <c r="K1257" s="13">
        <v>0.20771999999999996</v>
      </c>
      <c r="L1257" s="7" t="s">
        <v>483</v>
      </c>
    </row>
    <row r="1258" spans="1:12">
      <c r="A1258" s="7"/>
      <c r="B1258" s="381" t="s">
        <v>248</v>
      </c>
      <c r="C1258" s="3" t="s">
        <v>227</v>
      </c>
      <c r="D1258" s="2" t="s">
        <v>228</v>
      </c>
      <c r="E1258" s="382" t="s">
        <v>94</v>
      </c>
      <c r="F1258" s="3" t="s">
        <v>15</v>
      </c>
      <c r="G1258" s="3" t="s">
        <v>30</v>
      </c>
      <c r="H1258" s="140">
        <v>9.26</v>
      </c>
      <c r="I1258" s="28">
        <v>11</v>
      </c>
      <c r="J1258" s="19">
        <v>0</v>
      </c>
      <c r="K1258" s="13">
        <v>0</v>
      </c>
      <c r="L1258" s="7" t="s">
        <v>483</v>
      </c>
    </row>
    <row r="1259" spans="1:12">
      <c r="A1259" s="7"/>
      <c r="B1259" s="381" t="s">
        <v>248</v>
      </c>
      <c r="C1259" s="3" t="s">
        <v>227</v>
      </c>
      <c r="D1259" s="2" t="s">
        <v>228</v>
      </c>
      <c r="E1259" s="382" t="s">
        <v>94</v>
      </c>
      <c r="F1259" s="3" t="s">
        <v>15</v>
      </c>
      <c r="G1259" s="3" t="s">
        <v>30</v>
      </c>
      <c r="H1259" s="140">
        <v>9.26</v>
      </c>
      <c r="I1259" s="28">
        <v>10.5</v>
      </c>
      <c r="J1259" s="19">
        <v>0</v>
      </c>
      <c r="K1259" s="13">
        <v>0</v>
      </c>
      <c r="L1259" s="7" t="s">
        <v>483</v>
      </c>
    </row>
    <row r="1260" spans="1:12">
      <c r="A1260" s="7"/>
      <c r="B1260" s="381" t="s">
        <v>248</v>
      </c>
      <c r="C1260" s="3" t="s">
        <v>227</v>
      </c>
      <c r="D1260" s="2" t="s">
        <v>228</v>
      </c>
      <c r="E1260" s="382" t="s">
        <v>94</v>
      </c>
      <c r="F1260" s="3" t="s">
        <v>15</v>
      </c>
      <c r="G1260" s="3" t="s">
        <v>30</v>
      </c>
      <c r="H1260" s="140">
        <v>9.26</v>
      </c>
      <c r="I1260" s="28">
        <v>10</v>
      </c>
      <c r="J1260" s="19">
        <v>0</v>
      </c>
      <c r="K1260" s="13">
        <v>0</v>
      </c>
      <c r="L1260" s="7" t="s">
        <v>483</v>
      </c>
    </row>
    <row r="1261" spans="1:12">
      <c r="A1261" s="7"/>
      <c r="B1261" s="381" t="s">
        <v>248</v>
      </c>
      <c r="C1261" s="3" t="s">
        <v>227</v>
      </c>
      <c r="D1261" s="2" t="s">
        <v>228</v>
      </c>
      <c r="E1261" s="382" t="s">
        <v>94</v>
      </c>
      <c r="F1261" s="3" t="s">
        <v>15</v>
      </c>
      <c r="G1261" s="3" t="s">
        <v>30</v>
      </c>
      <c r="H1261" s="140">
        <v>9.26</v>
      </c>
      <c r="I1261" s="28">
        <v>9.5</v>
      </c>
      <c r="J1261" s="19">
        <v>0</v>
      </c>
      <c r="K1261" s="13">
        <v>0</v>
      </c>
      <c r="L1261" s="7" t="s">
        <v>483</v>
      </c>
    </row>
    <row r="1262" spans="1:12">
      <c r="A1262" s="7"/>
      <c r="B1262" s="381" t="s">
        <v>248</v>
      </c>
      <c r="C1262" s="3" t="s">
        <v>227</v>
      </c>
      <c r="D1262" s="2" t="s">
        <v>228</v>
      </c>
      <c r="E1262" s="382" t="s">
        <v>94</v>
      </c>
      <c r="F1262" s="3" t="s">
        <v>15</v>
      </c>
      <c r="G1262" s="3" t="s">
        <v>30</v>
      </c>
      <c r="H1262" s="140">
        <v>9.26</v>
      </c>
      <c r="I1262" s="28">
        <v>8</v>
      </c>
      <c r="J1262" s="19">
        <v>0</v>
      </c>
      <c r="K1262" s="13">
        <v>0</v>
      </c>
      <c r="L1262" s="7" t="s">
        <v>483</v>
      </c>
    </row>
    <row r="1263" spans="1:12">
      <c r="A1263" s="7"/>
      <c r="B1263" s="381" t="s">
        <v>248</v>
      </c>
      <c r="C1263" s="3" t="s">
        <v>227</v>
      </c>
      <c r="D1263" s="2" t="s">
        <v>228</v>
      </c>
      <c r="E1263" s="382" t="s">
        <v>94</v>
      </c>
      <c r="F1263" s="3" t="s">
        <v>15</v>
      </c>
      <c r="G1263" s="3" t="s">
        <v>30</v>
      </c>
      <c r="H1263" s="140">
        <v>9.26</v>
      </c>
      <c r="I1263" s="28">
        <v>9</v>
      </c>
      <c r="J1263" s="19">
        <v>0</v>
      </c>
      <c r="K1263" s="13">
        <v>0</v>
      </c>
      <c r="L1263" s="7" t="s">
        <v>483</v>
      </c>
    </row>
    <row r="1264" spans="1:12">
      <c r="A1264" s="7"/>
      <c r="B1264" s="381" t="s">
        <v>248</v>
      </c>
      <c r="C1264" s="3" t="s">
        <v>227</v>
      </c>
      <c r="D1264" s="2" t="s">
        <v>228</v>
      </c>
      <c r="E1264" s="382" t="s">
        <v>94</v>
      </c>
      <c r="F1264" s="3" t="s">
        <v>15</v>
      </c>
      <c r="G1264" s="3" t="s">
        <v>30</v>
      </c>
      <c r="H1264" s="140">
        <v>9.26</v>
      </c>
      <c r="I1264" s="28">
        <v>8</v>
      </c>
      <c r="J1264" s="19">
        <v>1</v>
      </c>
      <c r="K1264" s="13">
        <v>7.4079999999999993E-2</v>
      </c>
      <c r="L1264" s="7" t="s">
        <v>483</v>
      </c>
    </row>
    <row r="1265" spans="1:12">
      <c r="A1265" s="7"/>
      <c r="B1265" s="381" t="s">
        <v>248</v>
      </c>
      <c r="C1265" s="3" t="s">
        <v>227</v>
      </c>
      <c r="D1265" s="2" t="s">
        <v>228</v>
      </c>
      <c r="E1265" s="382" t="s">
        <v>94</v>
      </c>
      <c r="F1265" s="3" t="s">
        <v>15</v>
      </c>
      <c r="G1265" s="3" t="s">
        <v>30</v>
      </c>
      <c r="H1265" s="140">
        <v>9.26</v>
      </c>
      <c r="I1265" s="28">
        <v>6.5</v>
      </c>
      <c r="J1265" s="19">
        <v>11</v>
      </c>
      <c r="K1265" s="13">
        <v>0.66209000000000007</v>
      </c>
      <c r="L1265" s="7" t="s">
        <v>483</v>
      </c>
    </row>
    <row r="1266" spans="1:12">
      <c r="A1266" s="7"/>
      <c r="B1266" s="381" t="s">
        <v>248</v>
      </c>
      <c r="C1266" s="3" t="s">
        <v>227</v>
      </c>
      <c r="D1266" s="2" t="s">
        <v>228</v>
      </c>
      <c r="E1266" s="382" t="s">
        <v>94</v>
      </c>
      <c r="F1266" s="3" t="s">
        <v>15</v>
      </c>
      <c r="G1266" s="3" t="s">
        <v>30</v>
      </c>
      <c r="H1266" s="140">
        <v>9.26</v>
      </c>
      <c r="I1266" s="28">
        <v>10</v>
      </c>
      <c r="J1266" s="19">
        <v>0</v>
      </c>
      <c r="K1266" s="13">
        <v>0</v>
      </c>
      <c r="L1266" s="7" t="s">
        <v>483</v>
      </c>
    </row>
    <row r="1267" spans="1:12">
      <c r="A1267" s="7"/>
      <c r="B1267" s="381" t="s">
        <v>248</v>
      </c>
      <c r="C1267" s="3" t="s">
        <v>227</v>
      </c>
      <c r="D1267" s="2" t="s">
        <v>228</v>
      </c>
      <c r="E1267" s="382" t="s">
        <v>94</v>
      </c>
      <c r="F1267" s="3" t="s">
        <v>15</v>
      </c>
      <c r="G1267" s="3" t="s">
        <v>30</v>
      </c>
      <c r="H1267" s="140">
        <v>9.26</v>
      </c>
      <c r="I1267" s="28">
        <v>10.3</v>
      </c>
      <c r="J1267" s="19">
        <v>0</v>
      </c>
      <c r="K1267" s="13">
        <v>0</v>
      </c>
      <c r="L1267" s="7" t="s">
        <v>483</v>
      </c>
    </row>
    <row r="1268" spans="1:12">
      <c r="A1268" s="7"/>
      <c r="B1268" s="381" t="s">
        <v>248</v>
      </c>
      <c r="C1268" s="3" t="s">
        <v>227</v>
      </c>
      <c r="D1268" s="2" t="s">
        <v>228</v>
      </c>
      <c r="E1268" s="382" t="s">
        <v>94</v>
      </c>
      <c r="F1268" s="3" t="s">
        <v>15</v>
      </c>
      <c r="G1268" s="3" t="s">
        <v>30</v>
      </c>
      <c r="H1268" s="140">
        <v>9.26</v>
      </c>
      <c r="I1268" s="28">
        <v>7</v>
      </c>
      <c r="J1268" s="19">
        <v>1</v>
      </c>
      <c r="K1268" s="13">
        <v>6.4819999999999989E-2</v>
      </c>
      <c r="L1268" s="7" t="s">
        <v>483</v>
      </c>
    </row>
    <row r="1269" spans="1:12">
      <c r="A1269" s="7"/>
      <c r="B1269" s="381" t="s">
        <v>248</v>
      </c>
      <c r="C1269" s="3" t="s">
        <v>227</v>
      </c>
      <c r="D1269" s="2" t="s">
        <v>228</v>
      </c>
      <c r="E1269" s="382" t="s">
        <v>94</v>
      </c>
      <c r="F1269" s="3" t="s">
        <v>15</v>
      </c>
      <c r="G1269" s="3" t="s">
        <v>30</v>
      </c>
      <c r="H1269" s="140">
        <v>9.26</v>
      </c>
      <c r="I1269" s="28">
        <v>7.5</v>
      </c>
      <c r="J1269" s="19">
        <v>1</v>
      </c>
      <c r="K1269" s="13">
        <v>6.9449999999999998E-2</v>
      </c>
      <c r="L1269" s="7" t="s">
        <v>483</v>
      </c>
    </row>
    <row r="1270" spans="1:12">
      <c r="A1270" s="7"/>
      <c r="B1270" s="381" t="s">
        <v>248</v>
      </c>
      <c r="C1270" s="3" t="s">
        <v>227</v>
      </c>
      <c r="D1270" s="2" t="s">
        <v>228</v>
      </c>
      <c r="E1270" s="382" t="s">
        <v>94</v>
      </c>
      <c r="F1270" s="3" t="s">
        <v>15</v>
      </c>
      <c r="G1270" s="3" t="s">
        <v>30</v>
      </c>
      <c r="H1270" s="140">
        <v>9.26</v>
      </c>
      <c r="I1270" s="28">
        <v>9</v>
      </c>
      <c r="J1270" s="19">
        <v>2</v>
      </c>
      <c r="K1270" s="13">
        <v>0.16667999999999999</v>
      </c>
      <c r="L1270" s="7" t="s">
        <v>483</v>
      </c>
    </row>
    <row r="1271" spans="1:12">
      <c r="A1271" s="7"/>
      <c r="B1271" s="381" t="s">
        <v>248</v>
      </c>
      <c r="C1271" s="3" t="s">
        <v>227</v>
      </c>
      <c r="D1271" s="2" t="s">
        <v>228</v>
      </c>
      <c r="E1271" s="382" t="s">
        <v>94</v>
      </c>
      <c r="F1271" s="3" t="s">
        <v>15</v>
      </c>
      <c r="G1271" s="3" t="s">
        <v>30</v>
      </c>
      <c r="H1271" s="140">
        <v>9.26</v>
      </c>
      <c r="I1271" s="28">
        <v>8</v>
      </c>
      <c r="J1271" s="19">
        <v>4</v>
      </c>
      <c r="K1271" s="13">
        <v>0.29631999999999997</v>
      </c>
      <c r="L1271" s="7" t="s">
        <v>483</v>
      </c>
    </row>
    <row r="1272" spans="1:12">
      <c r="A1272" s="7"/>
      <c r="B1272" s="381" t="s">
        <v>248</v>
      </c>
      <c r="C1272" s="3" t="s">
        <v>227</v>
      </c>
      <c r="D1272" s="2" t="s">
        <v>228</v>
      </c>
      <c r="E1272" s="382" t="s">
        <v>94</v>
      </c>
      <c r="F1272" s="3" t="s">
        <v>15</v>
      </c>
      <c r="G1272" s="3" t="s">
        <v>30</v>
      </c>
      <c r="H1272" s="140">
        <v>9.26</v>
      </c>
      <c r="I1272" s="28">
        <v>8.5</v>
      </c>
      <c r="J1272" s="19">
        <v>2</v>
      </c>
      <c r="K1272" s="13">
        <v>0.15741999999999998</v>
      </c>
      <c r="L1272" s="7" t="s">
        <v>483</v>
      </c>
    </row>
    <row r="1273" spans="1:12">
      <c r="A1273" s="7"/>
      <c r="B1273" s="381" t="s">
        <v>248</v>
      </c>
      <c r="C1273" s="3" t="s">
        <v>227</v>
      </c>
      <c r="D1273" s="2" t="s">
        <v>228</v>
      </c>
      <c r="E1273" s="382" t="s">
        <v>94</v>
      </c>
      <c r="F1273" s="3" t="s">
        <v>15</v>
      </c>
      <c r="G1273" s="3" t="s">
        <v>30</v>
      </c>
      <c r="H1273" s="140">
        <v>9.26</v>
      </c>
      <c r="I1273" s="28">
        <v>9.5</v>
      </c>
      <c r="J1273" s="19">
        <v>0</v>
      </c>
      <c r="K1273" s="13">
        <v>0</v>
      </c>
      <c r="L1273" s="7" t="s">
        <v>483</v>
      </c>
    </row>
    <row r="1274" spans="1:12">
      <c r="A1274" s="7"/>
      <c r="B1274" s="381" t="s">
        <v>248</v>
      </c>
      <c r="C1274" s="3" t="s">
        <v>227</v>
      </c>
      <c r="D1274" s="2" t="s">
        <v>228</v>
      </c>
      <c r="E1274" s="382" t="s">
        <v>94</v>
      </c>
      <c r="F1274" s="3" t="s">
        <v>15</v>
      </c>
      <c r="G1274" s="3" t="s">
        <v>30</v>
      </c>
      <c r="H1274" s="140">
        <v>9.26</v>
      </c>
      <c r="I1274" s="28">
        <v>11</v>
      </c>
      <c r="J1274" s="19">
        <v>0</v>
      </c>
      <c r="K1274" s="13">
        <v>0</v>
      </c>
      <c r="L1274" s="7" t="s">
        <v>483</v>
      </c>
    </row>
    <row r="1275" spans="1:12">
      <c r="A1275" s="7"/>
      <c r="B1275" s="381" t="s">
        <v>248</v>
      </c>
      <c r="C1275" s="3" t="s">
        <v>227</v>
      </c>
      <c r="D1275" s="2" t="s">
        <v>228</v>
      </c>
      <c r="E1275" s="382" t="s">
        <v>94</v>
      </c>
      <c r="F1275" s="3" t="s">
        <v>15</v>
      </c>
      <c r="G1275" s="3" t="s">
        <v>30</v>
      </c>
      <c r="H1275" s="140">
        <v>9.26</v>
      </c>
      <c r="I1275" s="28">
        <v>11.5</v>
      </c>
      <c r="J1275" s="19">
        <v>0</v>
      </c>
      <c r="K1275" s="13">
        <v>0</v>
      </c>
      <c r="L1275" s="7" t="s">
        <v>483</v>
      </c>
    </row>
    <row r="1276" spans="1:12">
      <c r="A1276" s="7"/>
      <c r="B1276" s="381" t="s">
        <v>248</v>
      </c>
      <c r="C1276" s="3" t="s">
        <v>227</v>
      </c>
      <c r="D1276" s="2" t="s">
        <v>228</v>
      </c>
      <c r="E1276" s="382" t="s">
        <v>94</v>
      </c>
      <c r="F1276" s="3" t="s">
        <v>15</v>
      </c>
      <c r="G1276" s="3" t="s">
        <v>30</v>
      </c>
      <c r="H1276" s="140">
        <v>9.26</v>
      </c>
      <c r="I1276" s="28">
        <v>12</v>
      </c>
      <c r="J1276" s="19">
        <v>0</v>
      </c>
      <c r="K1276" s="13">
        <v>0</v>
      </c>
      <c r="L1276" s="7" t="s">
        <v>483</v>
      </c>
    </row>
    <row r="1277" spans="1:12">
      <c r="A1277" s="7"/>
      <c r="B1277" s="381" t="s">
        <v>248</v>
      </c>
      <c r="C1277" s="3" t="s">
        <v>227</v>
      </c>
      <c r="D1277" s="2" t="s">
        <v>228</v>
      </c>
      <c r="E1277" s="382" t="s">
        <v>94</v>
      </c>
      <c r="F1277" s="3" t="s">
        <v>15</v>
      </c>
      <c r="G1277" s="3" t="s">
        <v>22</v>
      </c>
      <c r="H1277" s="140">
        <v>10.73</v>
      </c>
      <c r="I1277" s="28">
        <v>12</v>
      </c>
      <c r="J1277" s="19">
        <v>0</v>
      </c>
      <c r="K1277" s="13">
        <v>0</v>
      </c>
      <c r="L1277" s="7" t="s">
        <v>483</v>
      </c>
    </row>
    <row r="1278" spans="1:12">
      <c r="A1278" s="7"/>
      <c r="B1278" s="381" t="s">
        <v>248</v>
      </c>
      <c r="C1278" s="3" t="s">
        <v>227</v>
      </c>
      <c r="D1278" s="2" t="s">
        <v>228</v>
      </c>
      <c r="E1278" s="382" t="s">
        <v>94</v>
      </c>
      <c r="F1278" s="3" t="s">
        <v>15</v>
      </c>
      <c r="G1278" s="3" t="s">
        <v>22</v>
      </c>
      <c r="H1278" s="140">
        <v>10.73</v>
      </c>
      <c r="I1278" s="28">
        <v>11.5</v>
      </c>
      <c r="J1278" s="19">
        <v>0</v>
      </c>
      <c r="K1278" s="13">
        <v>0</v>
      </c>
      <c r="L1278" s="7" t="s">
        <v>483</v>
      </c>
    </row>
    <row r="1279" spans="1:12">
      <c r="A1279" s="7"/>
      <c r="B1279" s="381" t="s">
        <v>248</v>
      </c>
      <c r="C1279" s="3" t="s">
        <v>227</v>
      </c>
      <c r="D1279" s="2" t="s">
        <v>228</v>
      </c>
      <c r="E1279" s="382" t="s">
        <v>94</v>
      </c>
      <c r="F1279" s="3" t="s">
        <v>15</v>
      </c>
      <c r="G1279" s="3" t="s">
        <v>22</v>
      </c>
      <c r="H1279" s="140">
        <v>10.73</v>
      </c>
      <c r="I1279" s="28">
        <v>11</v>
      </c>
      <c r="J1279" s="19">
        <v>0</v>
      </c>
      <c r="K1279" s="13">
        <v>0</v>
      </c>
      <c r="L1279" s="7" t="s">
        <v>483</v>
      </c>
    </row>
    <row r="1280" spans="1:12">
      <c r="A1280" s="7"/>
      <c r="B1280" s="381" t="s">
        <v>248</v>
      </c>
      <c r="C1280" s="3" t="s">
        <v>227</v>
      </c>
      <c r="D1280" s="2" t="s">
        <v>228</v>
      </c>
      <c r="E1280" s="382" t="s">
        <v>94</v>
      </c>
      <c r="F1280" s="3" t="s">
        <v>15</v>
      </c>
      <c r="G1280" s="3" t="s">
        <v>22</v>
      </c>
      <c r="H1280" s="140">
        <v>10.73</v>
      </c>
      <c r="I1280" s="28">
        <v>10.5</v>
      </c>
      <c r="J1280" s="19">
        <v>0</v>
      </c>
      <c r="K1280" s="13">
        <v>0</v>
      </c>
      <c r="L1280" s="7" t="s">
        <v>483</v>
      </c>
    </row>
    <row r="1281" spans="1:12">
      <c r="A1281" s="7"/>
      <c r="B1281" s="381" t="s">
        <v>248</v>
      </c>
      <c r="C1281" s="3" t="s">
        <v>227</v>
      </c>
      <c r="D1281" s="2" t="s">
        <v>228</v>
      </c>
      <c r="E1281" s="382" t="s">
        <v>94</v>
      </c>
      <c r="F1281" s="3" t="s">
        <v>15</v>
      </c>
      <c r="G1281" s="3" t="s">
        <v>22</v>
      </c>
      <c r="H1281" s="140">
        <v>10.73</v>
      </c>
      <c r="I1281" s="28">
        <v>10</v>
      </c>
      <c r="J1281" s="19">
        <v>0</v>
      </c>
      <c r="K1281" s="13">
        <v>0</v>
      </c>
      <c r="L1281" s="7" t="s">
        <v>483</v>
      </c>
    </row>
    <row r="1282" spans="1:12">
      <c r="A1282" s="7"/>
      <c r="B1282" s="381" t="s">
        <v>248</v>
      </c>
      <c r="C1282" s="3" t="s">
        <v>227</v>
      </c>
      <c r="D1282" s="2" t="s">
        <v>228</v>
      </c>
      <c r="E1282" s="382" t="s">
        <v>94</v>
      </c>
      <c r="F1282" s="3" t="s">
        <v>15</v>
      </c>
      <c r="G1282" s="3" t="s">
        <v>22</v>
      </c>
      <c r="H1282" s="140">
        <v>10.73</v>
      </c>
      <c r="I1282" s="28">
        <v>9.5</v>
      </c>
      <c r="J1282" s="19">
        <v>0</v>
      </c>
      <c r="K1282" s="13">
        <v>0</v>
      </c>
      <c r="L1282" s="7" t="s">
        <v>483</v>
      </c>
    </row>
    <row r="1283" spans="1:12">
      <c r="A1283" s="7"/>
      <c r="B1283" s="381" t="s">
        <v>248</v>
      </c>
      <c r="C1283" s="3" t="s">
        <v>227</v>
      </c>
      <c r="D1283" s="2" t="s">
        <v>228</v>
      </c>
      <c r="E1283" s="382" t="s">
        <v>94</v>
      </c>
      <c r="F1283" s="3" t="s">
        <v>15</v>
      </c>
      <c r="G1283" s="3" t="s">
        <v>22</v>
      </c>
      <c r="H1283" s="140">
        <v>10.73</v>
      </c>
      <c r="I1283" s="28">
        <v>9</v>
      </c>
      <c r="J1283" s="19">
        <v>0</v>
      </c>
      <c r="K1283" s="13">
        <v>0</v>
      </c>
      <c r="L1283" s="7" t="s">
        <v>483</v>
      </c>
    </row>
    <row r="1284" spans="1:12">
      <c r="A1284" s="7"/>
      <c r="B1284" s="381" t="s">
        <v>248</v>
      </c>
      <c r="C1284" s="3" t="s">
        <v>227</v>
      </c>
      <c r="D1284" s="2" t="s">
        <v>228</v>
      </c>
      <c r="E1284" s="382" t="s">
        <v>94</v>
      </c>
      <c r="F1284" s="3" t="s">
        <v>15</v>
      </c>
      <c r="G1284" s="3" t="s">
        <v>22</v>
      </c>
      <c r="H1284" s="140">
        <v>10.73</v>
      </c>
      <c r="I1284" s="28">
        <v>8.5</v>
      </c>
      <c r="J1284" s="19">
        <v>0</v>
      </c>
      <c r="K1284" s="13">
        <v>0</v>
      </c>
      <c r="L1284" s="7" t="s">
        <v>483</v>
      </c>
    </row>
    <row r="1285" spans="1:12">
      <c r="A1285" s="7"/>
      <c r="B1285" s="381" t="s">
        <v>248</v>
      </c>
      <c r="C1285" s="3" t="s">
        <v>227</v>
      </c>
      <c r="D1285" s="2" t="s">
        <v>228</v>
      </c>
      <c r="E1285" s="382" t="s">
        <v>94</v>
      </c>
      <c r="F1285" s="3" t="s">
        <v>15</v>
      </c>
      <c r="G1285" s="3" t="s">
        <v>22</v>
      </c>
      <c r="H1285" s="140">
        <v>10.73</v>
      </c>
      <c r="I1285" s="28">
        <v>8</v>
      </c>
      <c r="J1285" s="19">
        <v>0</v>
      </c>
      <c r="K1285" s="13">
        <v>0</v>
      </c>
      <c r="L1285" s="7" t="s">
        <v>483</v>
      </c>
    </row>
    <row r="1286" spans="1:12">
      <c r="A1286" s="7"/>
      <c r="B1286" s="381" t="s">
        <v>248</v>
      </c>
      <c r="C1286" s="3" t="s">
        <v>227</v>
      </c>
      <c r="D1286" s="2" t="s">
        <v>228</v>
      </c>
      <c r="E1286" s="382" t="s">
        <v>94</v>
      </c>
      <c r="F1286" s="3" t="s">
        <v>15</v>
      </c>
      <c r="G1286" s="3" t="s">
        <v>22</v>
      </c>
      <c r="H1286" s="140">
        <v>10.73</v>
      </c>
      <c r="I1286" s="28">
        <v>7.2</v>
      </c>
      <c r="J1286" s="19">
        <v>1</v>
      </c>
      <c r="K1286" s="13">
        <v>7.7256000000000005E-2</v>
      </c>
      <c r="L1286" s="7" t="s">
        <v>483</v>
      </c>
    </row>
    <row r="1287" spans="1:12">
      <c r="A1287" s="7"/>
      <c r="B1287" s="381" t="s">
        <v>248</v>
      </c>
      <c r="C1287" s="3" t="s">
        <v>227</v>
      </c>
      <c r="D1287" s="2" t="s">
        <v>228</v>
      </c>
      <c r="E1287" s="382" t="s">
        <v>94</v>
      </c>
      <c r="F1287" s="3" t="s">
        <v>15</v>
      </c>
      <c r="G1287" s="3" t="s">
        <v>22</v>
      </c>
      <c r="H1287" s="140">
        <v>10.73</v>
      </c>
      <c r="I1287" s="28">
        <v>6</v>
      </c>
      <c r="J1287" s="19">
        <v>3</v>
      </c>
      <c r="K1287" s="13">
        <v>0.19314000000000001</v>
      </c>
      <c r="L1287" s="7" t="s">
        <v>483</v>
      </c>
    </row>
    <row r="1288" spans="1:12">
      <c r="A1288" s="7"/>
      <c r="B1288" s="381" t="s">
        <v>248</v>
      </c>
      <c r="C1288" s="3" t="s">
        <v>227</v>
      </c>
      <c r="D1288" s="2" t="s">
        <v>228</v>
      </c>
      <c r="E1288" s="382" t="s">
        <v>94</v>
      </c>
      <c r="F1288" s="3" t="s">
        <v>15</v>
      </c>
      <c r="G1288" s="3" t="s">
        <v>22</v>
      </c>
      <c r="H1288" s="140">
        <v>10.73</v>
      </c>
      <c r="I1288" s="28">
        <v>8</v>
      </c>
      <c r="J1288" s="19">
        <v>0</v>
      </c>
      <c r="K1288" s="13">
        <v>0</v>
      </c>
      <c r="L1288" s="7" t="s">
        <v>483</v>
      </c>
    </row>
    <row r="1289" spans="1:12">
      <c r="A1289" s="7"/>
      <c r="B1289" s="381" t="s">
        <v>248</v>
      </c>
      <c r="C1289" s="3" t="s">
        <v>227</v>
      </c>
      <c r="D1289" s="2" t="s">
        <v>228</v>
      </c>
      <c r="E1289" s="382" t="s">
        <v>94</v>
      </c>
      <c r="F1289" s="3" t="s">
        <v>15</v>
      </c>
      <c r="G1289" s="3" t="s">
        <v>22</v>
      </c>
      <c r="H1289" s="140">
        <v>10.73</v>
      </c>
      <c r="I1289" s="28">
        <v>12</v>
      </c>
      <c r="J1289" s="19">
        <v>0</v>
      </c>
      <c r="K1289" s="13">
        <v>0</v>
      </c>
      <c r="L1289" s="7" t="s">
        <v>483</v>
      </c>
    </row>
    <row r="1290" spans="1:12">
      <c r="A1290" s="7"/>
      <c r="B1290" s="381" t="s">
        <v>248</v>
      </c>
      <c r="C1290" s="3" t="s">
        <v>227</v>
      </c>
      <c r="D1290" s="2" t="s">
        <v>228</v>
      </c>
      <c r="E1290" s="382" t="s">
        <v>94</v>
      </c>
      <c r="F1290" s="3" t="s">
        <v>15</v>
      </c>
      <c r="G1290" s="3" t="s">
        <v>22</v>
      </c>
      <c r="H1290" s="140">
        <v>10.73</v>
      </c>
      <c r="I1290" s="28">
        <v>11</v>
      </c>
      <c r="J1290" s="19">
        <v>0</v>
      </c>
      <c r="K1290" s="13">
        <v>0</v>
      </c>
      <c r="L1290" s="7" t="s">
        <v>483</v>
      </c>
    </row>
    <row r="1291" spans="1:12">
      <c r="A1291" s="7"/>
      <c r="B1291" s="381" t="s">
        <v>248</v>
      </c>
      <c r="C1291" s="3" t="s">
        <v>227</v>
      </c>
      <c r="D1291" s="2" t="s">
        <v>228</v>
      </c>
      <c r="E1291" s="382" t="s">
        <v>94</v>
      </c>
      <c r="F1291" s="3" t="s">
        <v>15</v>
      </c>
      <c r="G1291" s="3" t="s">
        <v>22</v>
      </c>
      <c r="H1291" s="140">
        <v>10.73</v>
      </c>
      <c r="I1291" s="28">
        <v>7.5</v>
      </c>
      <c r="J1291" s="19">
        <v>1</v>
      </c>
      <c r="K1291" s="13">
        <v>8.0475000000000005E-2</v>
      </c>
      <c r="L1291" s="7" t="s">
        <v>483</v>
      </c>
    </row>
    <row r="1292" spans="1:12">
      <c r="A1292" s="7"/>
      <c r="B1292" s="381" t="s">
        <v>248</v>
      </c>
      <c r="C1292" s="3" t="s">
        <v>227</v>
      </c>
      <c r="D1292" s="2" t="s">
        <v>228</v>
      </c>
      <c r="E1292" s="382" t="s">
        <v>94</v>
      </c>
      <c r="F1292" s="3" t="s">
        <v>15</v>
      </c>
      <c r="G1292" s="3" t="s">
        <v>22</v>
      </c>
      <c r="H1292" s="140">
        <v>10.73</v>
      </c>
      <c r="I1292" s="28">
        <v>8.5</v>
      </c>
      <c r="J1292" s="19">
        <v>0</v>
      </c>
      <c r="K1292" s="13">
        <v>0</v>
      </c>
      <c r="L1292" s="7" t="s">
        <v>483</v>
      </c>
    </row>
    <row r="1293" spans="1:12">
      <c r="A1293" s="7"/>
      <c r="B1293" s="381" t="s">
        <v>248</v>
      </c>
      <c r="C1293" s="3" t="s">
        <v>227</v>
      </c>
      <c r="D1293" s="2" t="s">
        <v>228</v>
      </c>
      <c r="E1293" s="382" t="s">
        <v>94</v>
      </c>
      <c r="F1293" s="3" t="s">
        <v>15</v>
      </c>
      <c r="G1293" s="3" t="s">
        <v>22</v>
      </c>
      <c r="H1293" s="140">
        <v>10.73</v>
      </c>
      <c r="I1293" s="28">
        <v>11.5</v>
      </c>
      <c r="J1293" s="19">
        <v>0</v>
      </c>
      <c r="K1293" s="13">
        <v>0</v>
      </c>
      <c r="L1293" s="7" t="s">
        <v>483</v>
      </c>
    </row>
    <row r="1294" spans="1:12">
      <c r="A1294" s="7"/>
      <c r="B1294" s="381" t="s">
        <v>248</v>
      </c>
      <c r="C1294" s="3" t="s">
        <v>227</v>
      </c>
      <c r="D1294" s="2" t="s">
        <v>228</v>
      </c>
      <c r="E1294" s="382" t="s">
        <v>94</v>
      </c>
      <c r="F1294" s="3" t="s">
        <v>15</v>
      </c>
      <c r="G1294" s="3" t="s">
        <v>22</v>
      </c>
      <c r="H1294" s="140">
        <v>10.73</v>
      </c>
      <c r="I1294" s="28">
        <v>9</v>
      </c>
      <c r="J1294" s="19">
        <v>0</v>
      </c>
      <c r="K1294" s="13">
        <v>0</v>
      </c>
      <c r="L1294" s="7" t="s">
        <v>483</v>
      </c>
    </row>
    <row r="1295" spans="1:12">
      <c r="A1295" s="7"/>
      <c r="B1295" s="381" t="s">
        <v>248</v>
      </c>
      <c r="C1295" s="3" t="s">
        <v>227</v>
      </c>
      <c r="D1295" s="2" t="s">
        <v>228</v>
      </c>
      <c r="E1295" s="382" t="s">
        <v>94</v>
      </c>
      <c r="F1295" s="3" t="s">
        <v>15</v>
      </c>
      <c r="G1295" s="3" t="s">
        <v>22</v>
      </c>
      <c r="H1295" s="140">
        <v>10.73</v>
      </c>
      <c r="I1295" s="28">
        <v>9.5</v>
      </c>
      <c r="J1295" s="19">
        <v>0</v>
      </c>
      <c r="K1295" s="13">
        <v>0</v>
      </c>
      <c r="L1295" s="7" t="s">
        <v>483</v>
      </c>
    </row>
    <row r="1296" spans="1:12">
      <c r="A1296" s="7"/>
      <c r="B1296" s="381" t="s">
        <v>248</v>
      </c>
      <c r="C1296" s="3" t="s">
        <v>227</v>
      </c>
      <c r="D1296" s="2" t="s">
        <v>228</v>
      </c>
      <c r="E1296" s="382" t="s">
        <v>94</v>
      </c>
      <c r="F1296" s="3" t="s">
        <v>15</v>
      </c>
      <c r="G1296" s="3" t="s">
        <v>22</v>
      </c>
      <c r="H1296" s="140">
        <v>10.73</v>
      </c>
      <c r="I1296" s="28">
        <v>10</v>
      </c>
      <c r="J1296" s="19">
        <v>0</v>
      </c>
      <c r="K1296" s="13">
        <v>0</v>
      </c>
      <c r="L1296" s="7" t="s">
        <v>483</v>
      </c>
    </row>
    <row r="1297" spans="1:12">
      <c r="A1297" s="7"/>
      <c r="B1297" s="381" t="s">
        <v>248</v>
      </c>
      <c r="C1297" s="3" t="s">
        <v>227</v>
      </c>
      <c r="D1297" s="2" t="s">
        <v>228</v>
      </c>
      <c r="E1297" s="382" t="s">
        <v>94</v>
      </c>
      <c r="F1297" s="3" t="s">
        <v>15</v>
      </c>
      <c r="G1297" s="3" t="s">
        <v>22</v>
      </c>
      <c r="H1297" s="140">
        <v>10.73</v>
      </c>
      <c r="I1297" s="28">
        <v>10.5</v>
      </c>
      <c r="J1297" s="19">
        <v>0</v>
      </c>
      <c r="K1297" s="13">
        <v>0</v>
      </c>
      <c r="L1297" s="7" t="s">
        <v>483</v>
      </c>
    </row>
    <row r="1298" spans="1:12">
      <c r="A1298" s="7"/>
      <c r="B1298" s="381" t="s">
        <v>311</v>
      </c>
      <c r="C1298" s="3" t="s">
        <v>232</v>
      </c>
      <c r="D1298" s="2" t="s">
        <v>228</v>
      </c>
      <c r="E1298" s="382" t="s">
        <v>17</v>
      </c>
      <c r="F1298" s="3" t="s">
        <v>15</v>
      </c>
      <c r="G1298" s="3" t="s">
        <v>28</v>
      </c>
      <c r="H1298" s="140">
        <v>12.18</v>
      </c>
      <c r="I1298" s="28">
        <v>6.7</v>
      </c>
      <c r="J1298" s="19">
        <v>0</v>
      </c>
      <c r="K1298" s="13">
        <v>0</v>
      </c>
      <c r="L1298" s="7" t="s">
        <v>483</v>
      </c>
    </row>
    <row r="1299" spans="1:12">
      <c r="A1299" s="7"/>
      <c r="B1299" s="381" t="s">
        <v>311</v>
      </c>
      <c r="C1299" s="3" t="s">
        <v>232</v>
      </c>
      <c r="D1299" s="2" t="s">
        <v>228</v>
      </c>
      <c r="E1299" s="382" t="s">
        <v>17</v>
      </c>
      <c r="F1299" s="3" t="s">
        <v>15</v>
      </c>
      <c r="G1299" s="3" t="s">
        <v>28</v>
      </c>
      <c r="H1299" s="140">
        <v>12.18</v>
      </c>
      <c r="I1299" s="28">
        <v>7</v>
      </c>
      <c r="J1299" s="19">
        <v>0</v>
      </c>
      <c r="K1299" s="13">
        <v>0</v>
      </c>
      <c r="L1299" s="7" t="s">
        <v>483</v>
      </c>
    </row>
    <row r="1300" spans="1:12">
      <c r="A1300" s="7"/>
      <c r="B1300" s="381" t="s">
        <v>311</v>
      </c>
      <c r="C1300" s="3" t="s">
        <v>232</v>
      </c>
      <c r="D1300" s="2" t="s">
        <v>228</v>
      </c>
      <c r="E1300" s="382" t="s">
        <v>17</v>
      </c>
      <c r="F1300" s="3" t="s">
        <v>15</v>
      </c>
      <c r="G1300" s="3" t="s">
        <v>28</v>
      </c>
      <c r="H1300" s="140">
        <v>12.18</v>
      </c>
      <c r="I1300" s="28">
        <v>8.6999999999999993</v>
      </c>
      <c r="J1300" s="19">
        <v>1</v>
      </c>
      <c r="K1300" s="13">
        <v>0.10596599999999999</v>
      </c>
      <c r="L1300" s="7" t="s">
        <v>483</v>
      </c>
    </row>
    <row r="1301" spans="1:12">
      <c r="A1301" s="7"/>
      <c r="B1301" s="381" t="s">
        <v>311</v>
      </c>
      <c r="C1301" s="3" t="s">
        <v>232</v>
      </c>
      <c r="D1301" s="2" t="s">
        <v>228</v>
      </c>
      <c r="E1301" s="382" t="s">
        <v>17</v>
      </c>
      <c r="F1301" s="3" t="s">
        <v>15</v>
      </c>
      <c r="G1301" s="3" t="s">
        <v>28</v>
      </c>
      <c r="H1301" s="140">
        <v>12.18</v>
      </c>
      <c r="I1301" s="28">
        <v>11.3</v>
      </c>
      <c r="J1301" s="19">
        <v>0</v>
      </c>
      <c r="K1301" s="13">
        <v>0</v>
      </c>
      <c r="L1301" s="7" t="s">
        <v>483</v>
      </c>
    </row>
    <row r="1302" spans="1:12">
      <c r="A1302" s="7"/>
      <c r="B1302" s="381" t="s">
        <v>311</v>
      </c>
      <c r="C1302" s="3" t="s">
        <v>232</v>
      </c>
      <c r="D1302" s="2" t="s">
        <v>228</v>
      </c>
      <c r="E1302" s="382" t="s">
        <v>17</v>
      </c>
      <c r="F1302" s="3" t="s">
        <v>15</v>
      </c>
      <c r="G1302" s="3" t="s">
        <v>28</v>
      </c>
      <c r="H1302" s="140">
        <v>12.18</v>
      </c>
      <c r="I1302" s="28">
        <v>7</v>
      </c>
      <c r="J1302" s="19">
        <v>0</v>
      </c>
      <c r="K1302" s="13">
        <v>0</v>
      </c>
      <c r="L1302" s="7" t="s">
        <v>483</v>
      </c>
    </row>
    <row r="1303" spans="1:12">
      <c r="A1303" s="7"/>
      <c r="B1303" s="381" t="s">
        <v>311</v>
      </c>
      <c r="C1303" s="3" t="s">
        <v>232</v>
      </c>
      <c r="D1303" s="2" t="s">
        <v>228</v>
      </c>
      <c r="E1303" s="382" t="s">
        <v>17</v>
      </c>
      <c r="F1303" s="3" t="s">
        <v>15</v>
      </c>
      <c r="G1303" s="3" t="s">
        <v>28</v>
      </c>
      <c r="H1303" s="140">
        <v>12.18</v>
      </c>
      <c r="I1303" s="28">
        <v>10</v>
      </c>
      <c r="J1303" s="19">
        <v>0</v>
      </c>
      <c r="K1303" s="13">
        <v>0</v>
      </c>
      <c r="L1303" s="7" t="s">
        <v>483</v>
      </c>
    </row>
    <row r="1304" spans="1:12">
      <c r="A1304" s="7"/>
      <c r="B1304" s="381" t="s">
        <v>311</v>
      </c>
      <c r="C1304" s="3" t="s">
        <v>232</v>
      </c>
      <c r="D1304" s="2" t="s">
        <v>228</v>
      </c>
      <c r="E1304" s="382" t="s">
        <v>17</v>
      </c>
      <c r="F1304" s="3" t="s">
        <v>15</v>
      </c>
      <c r="G1304" s="3" t="s">
        <v>28</v>
      </c>
      <c r="H1304" s="140">
        <v>12.18</v>
      </c>
      <c r="I1304" s="28">
        <v>9</v>
      </c>
      <c r="J1304" s="19">
        <v>1</v>
      </c>
      <c r="K1304" s="13">
        <v>0.10962000000000001</v>
      </c>
      <c r="L1304" s="7" t="s">
        <v>483</v>
      </c>
    </row>
    <row r="1305" spans="1:12">
      <c r="A1305" s="7"/>
      <c r="B1305" s="381" t="s">
        <v>311</v>
      </c>
      <c r="C1305" s="3" t="s">
        <v>232</v>
      </c>
      <c r="D1305" s="2" t="s">
        <v>228</v>
      </c>
      <c r="E1305" s="382" t="s">
        <v>17</v>
      </c>
      <c r="F1305" s="3" t="s">
        <v>15</v>
      </c>
      <c r="G1305" s="3" t="s">
        <v>28</v>
      </c>
      <c r="H1305" s="140">
        <v>12.18</v>
      </c>
      <c r="I1305" s="28">
        <v>12</v>
      </c>
      <c r="J1305" s="19">
        <v>0</v>
      </c>
      <c r="K1305" s="13">
        <v>0</v>
      </c>
      <c r="L1305" s="7" t="s">
        <v>483</v>
      </c>
    </row>
    <row r="1306" spans="1:12">
      <c r="A1306" s="7"/>
      <c r="B1306" s="381" t="s">
        <v>311</v>
      </c>
      <c r="C1306" s="3" t="s">
        <v>232</v>
      </c>
      <c r="D1306" s="2" t="s">
        <v>228</v>
      </c>
      <c r="E1306" s="382" t="s">
        <v>17</v>
      </c>
      <c r="F1306" s="3" t="s">
        <v>15</v>
      </c>
      <c r="G1306" s="3" t="s">
        <v>28</v>
      </c>
      <c r="H1306" s="140">
        <v>12.18</v>
      </c>
      <c r="I1306" s="28">
        <v>10.5</v>
      </c>
      <c r="J1306" s="19">
        <v>0</v>
      </c>
      <c r="K1306" s="13">
        <v>0</v>
      </c>
      <c r="L1306" s="7" t="s">
        <v>483</v>
      </c>
    </row>
    <row r="1307" spans="1:12">
      <c r="A1307" s="7"/>
      <c r="B1307" s="381" t="s">
        <v>311</v>
      </c>
      <c r="C1307" s="3" t="s">
        <v>232</v>
      </c>
      <c r="D1307" s="2" t="s">
        <v>228</v>
      </c>
      <c r="E1307" s="382" t="s">
        <v>17</v>
      </c>
      <c r="F1307" s="3" t="s">
        <v>15</v>
      </c>
      <c r="G1307" s="3" t="s">
        <v>28</v>
      </c>
      <c r="H1307" s="140">
        <v>12.18</v>
      </c>
      <c r="I1307" s="28">
        <v>11.5</v>
      </c>
      <c r="J1307" s="19">
        <v>0</v>
      </c>
      <c r="K1307" s="13">
        <v>0</v>
      </c>
      <c r="L1307" s="7" t="s">
        <v>483</v>
      </c>
    </row>
    <row r="1308" spans="1:12">
      <c r="A1308" s="7"/>
      <c r="B1308" s="381" t="s">
        <v>311</v>
      </c>
      <c r="C1308" s="3" t="s">
        <v>232</v>
      </c>
      <c r="D1308" s="2" t="s">
        <v>228</v>
      </c>
      <c r="E1308" s="382" t="s">
        <v>17</v>
      </c>
      <c r="F1308" s="3" t="s">
        <v>15</v>
      </c>
      <c r="G1308" s="3" t="s">
        <v>28</v>
      </c>
      <c r="H1308" s="140">
        <v>12.18</v>
      </c>
      <c r="I1308" s="28">
        <v>12</v>
      </c>
      <c r="J1308" s="19">
        <v>0</v>
      </c>
      <c r="K1308" s="13">
        <v>0</v>
      </c>
      <c r="L1308" s="7" t="s">
        <v>483</v>
      </c>
    </row>
    <row r="1309" spans="1:12">
      <c r="A1309" s="7"/>
      <c r="B1309" s="381" t="s">
        <v>311</v>
      </c>
      <c r="C1309" s="3" t="s">
        <v>232</v>
      </c>
      <c r="D1309" s="2" t="s">
        <v>228</v>
      </c>
      <c r="E1309" s="382" t="s">
        <v>17</v>
      </c>
      <c r="F1309" s="3" t="s">
        <v>15</v>
      </c>
      <c r="G1309" s="3" t="s">
        <v>28</v>
      </c>
      <c r="H1309" s="140">
        <v>12.18</v>
      </c>
      <c r="I1309" s="28">
        <v>10</v>
      </c>
      <c r="J1309" s="19">
        <v>1</v>
      </c>
      <c r="K1309" s="13">
        <v>0.12179999999999999</v>
      </c>
      <c r="L1309" s="7" t="s">
        <v>483</v>
      </c>
    </row>
    <row r="1310" spans="1:12">
      <c r="A1310" s="7"/>
      <c r="B1310" s="381" t="s">
        <v>311</v>
      </c>
      <c r="C1310" s="3" t="s">
        <v>232</v>
      </c>
      <c r="D1310" s="2" t="s">
        <v>228</v>
      </c>
      <c r="E1310" s="382" t="s">
        <v>17</v>
      </c>
      <c r="F1310" s="3" t="s">
        <v>15</v>
      </c>
      <c r="G1310" s="3" t="s">
        <v>28</v>
      </c>
      <c r="H1310" s="140">
        <v>12.18</v>
      </c>
      <c r="I1310" s="28">
        <v>7</v>
      </c>
      <c r="J1310" s="19">
        <v>0</v>
      </c>
      <c r="K1310" s="13">
        <v>0</v>
      </c>
      <c r="L1310" s="7" t="s">
        <v>483</v>
      </c>
    </row>
    <row r="1311" spans="1:12">
      <c r="A1311" s="7"/>
      <c r="B1311" s="381" t="s">
        <v>311</v>
      </c>
      <c r="C1311" s="3" t="s">
        <v>232</v>
      </c>
      <c r="D1311" s="2" t="s">
        <v>228</v>
      </c>
      <c r="E1311" s="382" t="s">
        <v>17</v>
      </c>
      <c r="F1311" s="3" t="s">
        <v>15</v>
      </c>
      <c r="G1311" s="3" t="s">
        <v>28</v>
      </c>
      <c r="H1311" s="140">
        <v>12.18</v>
      </c>
      <c r="I1311" s="28">
        <v>6.7</v>
      </c>
      <c r="J1311" s="19">
        <v>0</v>
      </c>
      <c r="K1311" s="13">
        <v>0</v>
      </c>
      <c r="L1311" s="7" t="s">
        <v>483</v>
      </c>
    </row>
    <row r="1312" spans="1:12">
      <c r="A1312" s="7"/>
      <c r="B1312" s="381" t="s">
        <v>311</v>
      </c>
      <c r="C1312" s="3" t="s">
        <v>232</v>
      </c>
      <c r="D1312" s="2" t="s">
        <v>228</v>
      </c>
      <c r="E1312" s="382" t="s">
        <v>17</v>
      </c>
      <c r="F1312" s="3" t="s">
        <v>15</v>
      </c>
      <c r="G1312" s="3" t="s">
        <v>28</v>
      </c>
      <c r="H1312" s="140">
        <v>12.18</v>
      </c>
      <c r="I1312" s="28">
        <v>6.3</v>
      </c>
      <c r="J1312" s="19">
        <v>1</v>
      </c>
      <c r="K1312" s="13">
        <v>7.6733999999999997E-2</v>
      </c>
      <c r="L1312" s="7" t="s">
        <v>483</v>
      </c>
    </row>
    <row r="1313" spans="1:12">
      <c r="A1313" s="7"/>
      <c r="B1313" s="381" t="s">
        <v>311</v>
      </c>
      <c r="C1313" s="3" t="s">
        <v>232</v>
      </c>
      <c r="D1313" s="2" t="s">
        <v>228</v>
      </c>
      <c r="E1313" s="382" t="s">
        <v>17</v>
      </c>
      <c r="F1313" s="3" t="s">
        <v>15</v>
      </c>
      <c r="G1313" s="3" t="s">
        <v>28</v>
      </c>
      <c r="H1313" s="140">
        <v>12.18</v>
      </c>
      <c r="I1313" s="28">
        <v>8.3000000000000007</v>
      </c>
      <c r="J1313" s="19">
        <v>1</v>
      </c>
      <c r="K1313" s="13">
        <v>0.101094</v>
      </c>
      <c r="L1313" s="7" t="s">
        <v>483</v>
      </c>
    </row>
    <row r="1314" spans="1:12">
      <c r="A1314" s="7"/>
      <c r="B1314" s="381" t="s">
        <v>311</v>
      </c>
      <c r="C1314" s="3" t="s">
        <v>232</v>
      </c>
      <c r="D1314" s="2" t="s">
        <v>228</v>
      </c>
      <c r="E1314" s="382" t="s">
        <v>17</v>
      </c>
      <c r="F1314" s="3" t="s">
        <v>15</v>
      </c>
      <c r="G1314" s="3" t="s">
        <v>28</v>
      </c>
      <c r="H1314" s="140">
        <v>12.18</v>
      </c>
      <c r="I1314" s="28">
        <v>12</v>
      </c>
      <c r="J1314" s="19">
        <v>8</v>
      </c>
      <c r="K1314" s="13">
        <v>1.1692799999999999</v>
      </c>
      <c r="L1314" s="7" t="s">
        <v>483</v>
      </c>
    </row>
    <row r="1315" spans="1:12">
      <c r="A1315" s="7"/>
      <c r="B1315" s="381" t="s">
        <v>311</v>
      </c>
      <c r="C1315" s="3" t="s">
        <v>232</v>
      </c>
      <c r="D1315" s="2" t="s">
        <v>228</v>
      </c>
      <c r="E1315" s="382" t="s">
        <v>17</v>
      </c>
      <c r="F1315" s="3" t="s">
        <v>15</v>
      </c>
      <c r="G1315" s="3" t="s">
        <v>28</v>
      </c>
      <c r="H1315" s="140">
        <v>12.18</v>
      </c>
      <c r="I1315" s="28">
        <v>11.8</v>
      </c>
      <c r="J1315" s="19">
        <v>0</v>
      </c>
      <c r="K1315" s="13">
        <v>0</v>
      </c>
      <c r="L1315" s="7" t="s">
        <v>483</v>
      </c>
    </row>
    <row r="1316" spans="1:12">
      <c r="A1316" s="7"/>
      <c r="B1316" s="381" t="s">
        <v>311</v>
      </c>
      <c r="C1316" s="3" t="s">
        <v>232</v>
      </c>
      <c r="D1316" s="2" t="s">
        <v>228</v>
      </c>
      <c r="E1316" s="382" t="s">
        <v>17</v>
      </c>
      <c r="F1316" s="3" t="s">
        <v>15</v>
      </c>
      <c r="G1316" s="3" t="s">
        <v>28</v>
      </c>
      <c r="H1316" s="140">
        <v>12.18</v>
      </c>
      <c r="I1316" s="28">
        <v>11.5</v>
      </c>
      <c r="J1316" s="19">
        <v>0</v>
      </c>
      <c r="K1316" s="13">
        <v>0</v>
      </c>
      <c r="L1316" s="7" t="s">
        <v>483</v>
      </c>
    </row>
    <row r="1317" spans="1:12">
      <c r="A1317" s="7"/>
      <c r="B1317" s="381" t="s">
        <v>311</v>
      </c>
      <c r="C1317" s="3" t="s">
        <v>232</v>
      </c>
      <c r="D1317" s="2" t="s">
        <v>228</v>
      </c>
      <c r="E1317" s="382" t="s">
        <v>17</v>
      </c>
      <c r="F1317" s="3" t="s">
        <v>15</v>
      </c>
      <c r="G1317" s="3" t="s">
        <v>28</v>
      </c>
      <c r="H1317" s="140">
        <v>12.18</v>
      </c>
      <c r="I1317" s="28">
        <v>11.3</v>
      </c>
      <c r="J1317" s="19">
        <v>0</v>
      </c>
      <c r="K1317" s="13">
        <v>0</v>
      </c>
      <c r="L1317" s="7" t="s">
        <v>483</v>
      </c>
    </row>
    <row r="1318" spans="1:12">
      <c r="A1318" s="7"/>
      <c r="B1318" s="381" t="s">
        <v>311</v>
      </c>
      <c r="C1318" s="3" t="s">
        <v>232</v>
      </c>
      <c r="D1318" s="2" t="s">
        <v>228</v>
      </c>
      <c r="E1318" s="382" t="s">
        <v>17</v>
      </c>
      <c r="F1318" s="3" t="s">
        <v>15</v>
      </c>
      <c r="G1318" s="3" t="s">
        <v>28</v>
      </c>
      <c r="H1318" s="140">
        <v>12.18</v>
      </c>
      <c r="I1318" s="28">
        <v>10.5</v>
      </c>
      <c r="J1318" s="19">
        <v>0</v>
      </c>
      <c r="K1318" s="13">
        <v>0</v>
      </c>
      <c r="L1318" s="7" t="s">
        <v>483</v>
      </c>
    </row>
    <row r="1319" spans="1:12">
      <c r="A1319" s="7"/>
      <c r="B1319" s="381" t="s">
        <v>311</v>
      </c>
      <c r="C1319" s="3" t="s">
        <v>232</v>
      </c>
      <c r="D1319" s="2" t="s">
        <v>228</v>
      </c>
      <c r="E1319" s="382" t="s">
        <v>17</v>
      </c>
      <c r="F1319" s="3" t="s">
        <v>15</v>
      </c>
      <c r="G1319" s="3" t="s">
        <v>28</v>
      </c>
      <c r="H1319" s="140">
        <v>12.18</v>
      </c>
      <c r="I1319" s="28">
        <v>8.6999999999999993</v>
      </c>
      <c r="J1319" s="19">
        <v>1</v>
      </c>
      <c r="K1319" s="13">
        <v>0.10596599999999999</v>
      </c>
      <c r="L1319" s="7" t="s">
        <v>483</v>
      </c>
    </row>
    <row r="1320" spans="1:12">
      <c r="A1320" s="7"/>
      <c r="B1320" s="381" t="s">
        <v>311</v>
      </c>
      <c r="C1320" s="3" t="s">
        <v>232</v>
      </c>
      <c r="D1320" s="2" t="s">
        <v>228</v>
      </c>
      <c r="E1320" s="382" t="s">
        <v>17</v>
      </c>
      <c r="F1320" s="3" t="s">
        <v>15</v>
      </c>
      <c r="G1320" s="3" t="s">
        <v>22</v>
      </c>
      <c r="H1320" s="140">
        <v>10.73</v>
      </c>
      <c r="I1320" s="28">
        <v>6.3</v>
      </c>
      <c r="J1320" s="19">
        <v>0</v>
      </c>
      <c r="K1320" s="13">
        <v>0</v>
      </c>
      <c r="L1320" s="7" t="s">
        <v>483</v>
      </c>
    </row>
    <row r="1321" spans="1:12">
      <c r="A1321" s="7"/>
      <c r="B1321" s="381" t="s">
        <v>311</v>
      </c>
      <c r="C1321" s="3" t="s">
        <v>232</v>
      </c>
      <c r="D1321" s="2" t="s">
        <v>228</v>
      </c>
      <c r="E1321" s="382" t="s">
        <v>17</v>
      </c>
      <c r="F1321" s="3" t="s">
        <v>15</v>
      </c>
      <c r="G1321" s="3" t="s">
        <v>22</v>
      </c>
      <c r="H1321" s="140">
        <v>10.73</v>
      </c>
      <c r="I1321" s="28">
        <v>6.6</v>
      </c>
      <c r="J1321" s="19">
        <v>0</v>
      </c>
      <c r="K1321" s="13">
        <v>0</v>
      </c>
      <c r="L1321" s="7" t="s">
        <v>483</v>
      </c>
    </row>
    <row r="1322" spans="1:12">
      <c r="A1322" s="7"/>
      <c r="B1322" s="381" t="s">
        <v>311</v>
      </c>
      <c r="C1322" s="3" t="s">
        <v>232</v>
      </c>
      <c r="D1322" s="2" t="s">
        <v>228</v>
      </c>
      <c r="E1322" s="382" t="s">
        <v>17</v>
      </c>
      <c r="F1322" s="3" t="s">
        <v>15</v>
      </c>
      <c r="G1322" s="3" t="s">
        <v>22</v>
      </c>
      <c r="H1322" s="140">
        <v>10.73</v>
      </c>
      <c r="I1322" s="28">
        <v>6.8</v>
      </c>
      <c r="J1322" s="19">
        <v>0</v>
      </c>
      <c r="K1322" s="13">
        <v>0</v>
      </c>
      <c r="L1322" s="7" t="s">
        <v>483</v>
      </c>
    </row>
    <row r="1323" spans="1:12">
      <c r="A1323" s="7"/>
      <c r="B1323" s="381" t="s">
        <v>311</v>
      </c>
      <c r="C1323" s="3" t="s">
        <v>232</v>
      </c>
      <c r="D1323" s="2" t="s">
        <v>228</v>
      </c>
      <c r="E1323" s="382" t="s">
        <v>17</v>
      </c>
      <c r="F1323" s="3" t="s">
        <v>15</v>
      </c>
      <c r="G1323" s="3" t="s">
        <v>22</v>
      </c>
      <c r="H1323" s="140">
        <v>10.73</v>
      </c>
      <c r="I1323" s="28">
        <v>7.1</v>
      </c>
      <c r="J1323" s="19">
        <v>0</v>
      </c>
      <c r="K1323" s="13">
        <v>0</v>
      </c>
      <c r="L1323" s="7" t="s">
        <v>483</v>
      </c>
    </row>
    <row r="1324" spans="1:12">
      <c r="A1324" s="7"/>
      <c r="B1324" s="381" t="s">
        <v>311</v>
      </c>
      <c r="C1324" s="3" t="s">
        <v>232</v>
      </c>
      <c r="D1324" s="2" t="s">
        <v>228</v>
      </c>
      <c r="E1324" s="382" t="s">
        <v>17</v>
      </c>
      <c r="F1324" s="3" t="s">
        <v>15</v>
      </c>
      <c r="G1324" s="3" t="s">
        <v>22</v>
      </c>
      <c r="H1324" s="140">
        <v>10.73</v>
      </c>
      <c r="I1324" s="28">
        <v>7.45</v>
      </c>
      <c r="J1324" s="19">
        <v>0</v>
      </c>
      <c r="K1324" s="13">
        <v>0</v>
      </c>
      <c r="L1324" s="7" t="s">
        <v>483</v>
      </c>
    </row>
    <row r="1325" spans="1:12">
      <c r="A1325" s="7"/>
      <c r="B1325" s="381" t="s">
        <v>311</v>
      </c>
      <c r="C1325" s="3" t="s">
        <v>232</v>
      </c>
      <c r="D1325" s="2" t="s">
        <v>228</v>
      </c>
      <c r="E1325" s="382" t="s">
        <v>17</v>
      </c>
      <c r="F1325" s="3" t="s">
        <v>15</v>
      </c>
      <c r="G1325" s="3" t="s">
        <v>22</v>
      </c>
      <c r="H1325" s="140">
        <v>10.73</v>
      </c>
      <c r="I1325" s="28">
        <v>7.7</v>
      </c>
      <c r="J1325" s="19">
        <v>0</v>
      </c>
      <c r="K1325" s="13">
        <v>0</v>
      </c>
      <c r="L1325" s="7" t="s">
        <v>483</v>
      </c>
    </row>
    <row r="1326" spans="1:12">
      <c r="A1326" s="7"/>
      <c r="B1326" s="381" t="s">
        <v>311</v>
      </c>
      <c r="C1326" s="3" t="s">
        <v>232</v>
      </c>
      <c r="D1326" s="2" t="s">
        <v>228</v>
      </c>
      <c r="E1326" s="382" t="s">
        <v>17</v>
      </c>
      <c r="F1326" s="3" t="s">
        <v>15</v>
      </c>
      <c r="G1326" s="3" t="s">
        <v>22</v>
      </c>
      <c r="H1326" s="140">
        <v>10.73</v>
      </c>
      <c r="I1326" s="28">
        <v>8</v>
      </c>
      <c r="J1326" s="19">
        <v>0</v>
      </c>
      <c r="K1326" s="13">
        <v>0</v>
      </c>
      <c r="L1326" s="7" t="s">
        <v>483</v>
      </c>
    </row>
    <row r="1327" spans="1:12">
      <c r="A1327" s="7"/>
      <c r="B1327" s="381" t="s">
        <v>311</v>
      </c>
      <c r="C1327" s="3" t="s">
        <v>232</v>
      </c>
      <c r="D1327" s="2" t="s">
        <v>228</v>
      </c>
      <c r="E1327" s="382" t="s">
        <v>17</v>
      </c>
      <c r="F1327" s="3" t="s">
        <v>15</v>
      </c>
      <c r="G1327" s="3" t="s">
        <v>22</v>
      </c>
      <c r="H1327" s="140">
        <v>10.73</v>
      </c>
      <c r="I1327" s="28">
        <v>9.15</v>
      </c>
      <c r="J1327" s="19">
        <v>0</v>
      </c>
      <c r="K1327" s="13">
        <v>0</v>
      </c>
      <c r="L1327" s="7" t="s">
        <v>483</v>
      </c>
    </row>
    <row r="1328" spans="1:12">
      <c r="A1328" s="7"/>
      <c r="B1328" s="381" t="s">
        <v>311</v>
      </c>
      <c r="C1328" s="3" t="s">
        <v>232</v>
      </c>
      <c r="D1328" s="2" t="s">
        <v>228</v>
      </c>
      <c r="E1328" s="382" t="s">
        <v>17</v>
      </c>
      <c r="F1328" s="3" t="s">
        <v>15</v>
      </c>
      <c r="G1328" s="3" t="s">
        <v>22</v>
      </c>
      <c r="H1328" s="140">
        <v>10.73</v>
      </c>
      <c r="I1328" s="28">
        <v>11.4</v>
      </c>
      <c r="J1328" s="19">
        <v>0</v>
      </c>
      <c r="K1328" s="13">
        <v>0</v>
      </c>
      <c r="L1328" s="7" t="s">
        <v>483</v>
      </c>
    </row>
    <row r="1329" spans="1:12">
      <c r="A1329" s="7"/>
      <c r="B1329" s="381" t="s">
        <v>311</v>
      </c>
      <c r="C1329" s="3" t="s">
        <v>232</v>
      </c>
      <c r="D1329" s="2" t="s">
        <v>228</v>
      </c>
      <c r="E1329" s="382" t="s">
        <v>17</v>
      </c>
      <c r="F1329" s="3" t="s">
        <v>15</v>
      </c>
      <c r="G1329" s="3" t="s">
        <v>22</v>
      </c>
      <c r="H1329" s="140">
        <v>10.73</v>
      </c>
      <c r="I1329" s="28">
        <v>10.5</v>
      </c>
      <c r="J1329" s="19">
        <v>0</v>
      </c>
      <c r="K1329" s="13">
        <v>0</v>
      </c>
      <c r="L1329" s="7" t="s">
        <v>483</v>
      </c>
    </row>
    <row r="1330" spans="1:12">
      <c r="A1330" s="7"/>
      <c r="B1330" s="381" t="s">
        <v>311</v>
      </c>
      <c r="C1330" s="3" t="s">
        <v>232</v>
      </c>
      <c r="D1330" s="2" t="s">
        <v>228</v>
      </c>
      <c r="E1330" s="382" t="s">
        <v>17</v>
      </c>
      <c r="F1330" s="3" t="s">
        <v>15</v>
      </c>
      <c r="G1330" s="3" t="s">
        <v>22</v>
      </c>
      <c r="H1330" s="140">
        <v>10.73</v>
      </c>
      <c r="I1330" s="28">
        <v>11.4</v>
      </c>
      <c r="J1330" s="19">
        <v>0</v>
      </c>
      <c r="K1330" s="13">
        <v>0</v>
      </c>
      <c r="L1330" s="7" t="s">
        <v>483</v>
      </c>
    </row>
    <row r="1331" spans="1:12">
      <c r="A1331" s="7"/>
      <c r="B1331" s="381" t="s">
        <v>311</v>
      </c>
      <c r="C1331" s="3" t="s">
        <v>232</v>
      </c>
      <c r="D1331" s="2" t="s">
        <v>228</v>
      </c>
      <c r="E1331" s="382" t="s">
        <v>17</v>
      </c>
      <c r="F1331" s="3" t="s">
        <v>15</v>
      </c>
      <c r="G1331" s="3" t="s">
        <v>22</v>
      </c>
      <c r="H1331" s="140">
        <v>10.73</v>
      </c>
      <c r="I1331" s="28">
        <v>12</v>
      </c>
      <c r="J1331" s="19">
        <v>0</v>
      </c>
      <c r="K1331" s="13">
        <v>0</v>
      </c>
      <c r="L1331" s="7" t="s">
        <v>483</v>
      </c>
    </row>
    <row r="1332" spans="1:12">
      <c r="A1332" s="7"/>
      <c r="B1332" s="381" t="s">
        <v>311</v>
      </c>
      <c r="C1332" s="3" t="s">
        <v>232</v>
      </c>
      <c r="D1332" s="2" t="s">
        <v>228</v>
      </c>
      <c r="E1332" s="382" t="s">
        <v>17</v>
      </c>
      <c r="F1332" s="3" t="s">
        <v>15</v>
      </c>
      <c r="G1332" s="3" t="s">
        <v>22</v>
      </c>
      <c r="H1332" s="140">
        <v>10.73</v>
      </c>
      <c r="I1332" s="28">
        <v>11.6</v>
      </c>
      <c r="J1332" s="19">
        <v>1</v>
      </c>
      <c r="K1332" s="13">
        <v>0.12446800000000001</v>
      </c>
      <c r="L1332" s="7" t="s">
        <v>483</v>
      </c>
    </row>
    <row r="1333" spans="1:12">
      <c r="A1333" s="7"/>
      <c r="B1333" s="381" t="s">
        <v>311</v>
      </c>
      <c r="C1333" s="3" t="s">
        <v>232</v>
      </c>
      <c r="D1333" s="2" t="s">
        <v>228</v>
      </c>
      <c r="E1333" s="382" t="s">
        <v>17</v>
      </c>
      <c r="F1333" s="3" t="s">
        <v>15</v>
      </c>
      <c r="G1333" s="3" t="s">
        <v>22</v>
      </c>
      <c r="H1333" s="140">
        <v>10.73</v>
      </c>
      <c r="I1333" s="28">
        <v>11.1</v>
      </c>
      <c r="J1333" s="19">
        <v>1</v>
      </c>
      <c r="K1333" s="13">
        <v>0.119103</v>
      </c>
      <c r="L1333" s="7" t="s">
        <v>483</v>
      </c>
    </row>
    <row r="1334" spans="1:12">
      <c r="A1334" s="7"/>
      <c r="B1334" s="381" t="s">
        <v>311</v>
      </c>
      <c r="C1334" s="3" t="s">
        <v>232</v>
      </c>
      <c r="D1334" s="2" t="s">
        <v>228</v>
      </c>
      <c r="E1334" s="382" t="s">
        <v>17</v>
      </c>
      <c r="F1334" s="3" t="s">
        <v>15</v>
      </c>
      <c r="G1334" s="3" t="s">
        <v>22</v>
      </c>
      <c r="H1334" s="140">
        <v>10.73</v>
      </c>
      <c r="I1334" s="28">
        <v>7.7</v>
      </c>
      <c r="J1334" s="19">
        <v>0</v>
      </c>
      <c r="K1334" s="13">
        <v>0</v>
      </c>
      <c r="L1334" s="7" t="s">
        <v>483</v>
      </c>
    </row>
    <row r="1335" spans="1:12">
      <c r="A1335" s="7"/>
      <c r="B1335" s="381" t="s">
        <v>311</v>
      </c>
      <c r="C1335" s="3" t="s">
        <v>232</v>
      </c>
      <c r="D1335" s="2" t="s">
        <v>228</v>
      </c>
      <c r="E1335" s="382" t="s">
        <v>17</v>
      </c>
      <c r="F1335" s="3" t="s">
        <v>15</v>
      </c>
      <c r="G1335" s="3" t="s">
        <v>22</v>
      </c>
      <c r="H1335" s="140">
        <v>10.73</v>
      </c>
      <c r="I1335" s="28">
        <v>6.6</v>
      </c>
      <c r="J1335" s="19">
        <v>0</v>
      </c>
      <c r="K1335" s="13">
        <v>0</v>
      </c>
      <c r="L1335" s="7" t="s">
        <v>483</v>
      </c>
    </row>
    <row r="1336" spans="1:12">
      <c r="A1336" s="7"/>
      <c r="B1336" s="381" t="s">
        <v>311</v>
      </c>
      <c r="C1336" s="3" t="s">
        <v>232</v>
      </c>
      <c r="D1336" s="2" t="s">
        <v>228</v>
      </c>
      <c r="E1336" s="382" t="s">
        <v>17</v>
      </c>
      <c r="F1336" s="3" t="s">
        <v>15</v>
      </c>
      <c r="G1336" s="3" t="s">
        <v>22</v>
      </c>
      <c r="H1336" s="140">
        <v>10.73</v>
      </c>
      <c r="I1336" s="28">
        <v>6</v>
      </c>
      <c r="J1336" s="19">
        <v>4</v>
      </c>
      <c r="K1336" s="13">
        <v>0.25751999999999997</v>
      </c>
      <c r="L1336" s="7" t="s">
        <v>483</v>
      </c>
    </row>
    <row r="1337" spans="1:12">
      <c r="A1337" s="7"/>
      <c r="B1337" s="381" t="s">
        <v>311</v>
      </c>
      <c r="C1337" s="3" t="s">
        <v>232</v>
      </c>
      <c r="D1337" s="2" t="s">
        <v>228</v>
      </c>
      <c r="E1337" s="382" t="s">
        <v>17</v>
      </c>
      <c r="F1337" s="3" t="s">
        <v>15</v>
      </c>
      <c r="G1337" s="3" t="s">
        <v>22</v>
      </c>
      <c r="H1337" s="140">
        <v>10.73</v>
      </c>
      <c r="I1337" s="28">
        <v>12</v>
      </c>
      <c r="J1337" s="19">
        <v>1</v>
      </c>
      <c r="K1337" s="13">
        <v>0.12875999999999999</v>
      </c>
      <c r="L1337" s="7" t="s">
        <v>483</v>
      </c>
    </row>
    <row r="1338" spans="1:12">
      <c r="A1338" s="7"/>
      <c r="B1338" s="381" t="s">
        <v>311</v>
      </c>
      <c r="C1338" s="3" t="s">
        <v>232</v>
      </c>
      <c r="D1338" s="2" t="s">
        <v>228</v>
      </c>
      <c r="E1338" s="382" t="s">
        <v>17</v>
      </c>
      <c r="F1338" s="3" t="s">
        <v>15</v>
      </c>
      <c r="G1338" s="3" t="s">
        <v>22</v>
      </c>
      <c r="H1338" s="140">
        <v>10.73</v>
      </c>
      <c r="I1338" s="28">
        <v>11.4</v>
      </c>
      <c r="J1338" s="19">
        <v>0</v>
      </c>
      <c r="K1338" s="13">
        <v>0</v>
      </c>
      <c r="L1338" s="7" t="s">
        <v>483</v>
      </c>
    </row>
    <row r="1339" spans="1:12">
      <c r="A1339" s="7"/>
      <c r="B1339" s="381" t="s">
        <v>311</v>
      </c>
      <c r="C1339" s="3" t="s">
        <v>232</v>
      </c>
      <c r="D1339" s="2" t="s">
        <v>228</v>
      </c>
      <c r="E1339" s="382" t="s">
        <v>17</v>
      </c>
      <c r="F1339" s="3" t="s">
        <v>15</v>
      </c>
      <c r="G1339" s="3" t="s">
        <v>22</v>
      </c>
      <c r="H1339" s="140">
        <v>10.73</v>
      </c>
      <c r="I1339" s="28">
        <v>11.3</v>
      </c>
      <c r="J1339" s="19">
        <v>1</v>
      </c>
      <c r="K1339" s="13">
        <v>0.12124900000000001</v>
      </c>
      <c r="L1339" s="7" t="s">
        <v>483</v>
      </c>
    </row>
    <row r="1340" spans="1:12">
      <c r="A1340" s="7"/>
      <c r="B1340" s="381" t="s">
        <v>311</v>
      </c>
      <c r="C1340" s="3" t="s">
        <v>232</v>
      </c>
      <c r="D1340" s="2" t="s">
        <v>228</v>
      </c>
      <c r="E1340" s="382" t="s">
        <v>17</v>
      </c>
      <c r="F1340" s="3" t="s">
        <v>15</v>
      </c>
      <c r="G1340" s="3" t="s">
        <v>22</v>
      </c>
      <c r="H1340" s="140">
        <v>10.73</v>
      </c>
      <c r="I1340" s="28">
        <v>7.7</v>
      </c>
      <c r="J1340" s="19">
        <v>0</v>
      </c>
      <c r="K1340" s="13">
        <v>0</v>
      </c>
      <c r="L1340" s="7" t="s">
        <v>483</v>
      </c>
    </row>
    <row r="1341" spans="1:12">
      <c r="A1341" s="7"/>
      <c r="B1341" s="381" t="s">
        <v>311</v>
      </c>
      <c r="C1341" s="3" t="s">
        <v>232</v>
      </c>
      <c r="D1341" s="2" t="s">
        <v>228</v>
      </c>
      <c r="E1341" s="382" t="s">
        <v>17</v>
      </c>
      <c r="F1341" s="3" t="s">
        <v>15</v>
      </c>
      <c r="G1341" s="3" t="s">
        <v>22</v>
      </c>
      <c r="H1341" s="140">
        <v>10.73</v>
      </c>
      <c r="I1341" s="28">
        <v>7.1</v>
      </c>
      <c r="J1341" s="19">
        <v>0</v>
      </c>
      <c r="K1341" s="13">
        <v>0</v>
      </c>
      <c r="L1341" s="7" t="s">
        <v>483</v>
      </c>
    </row>
    <row r="1342" spans="1:12">
      <c r="A1342" s="7"/>
      <c r="B1342" s="381" t="s">
        <v>311</v>
      </c>
      <c r="C1342" s="3" t="s">
        <v>232</v>
      </c>
      <c r="D1342" s="2" t="s">
        <v>228</v>
      </c>
      <c r="E1342" s="382" t="s">
        <v>17</v>
      </c>
      <c r="F1342" s="3" t="s">
        <v>15</v>
      </c>
      <c r="G1342" s="3" t="s">
        <v>22</v>
      </c>
      <c r="H1342" s="140">
        <v>10.73</v>
      </c>
      <c r="I1342" s="28">
        <v>6.6</v>
      </c>
      <c r="J1342" s="19">
        <v>0</v>
      </c>
      <c r="K1342" s="13">
        <v>0</v>
      </c>
      <c r="L1342" s="7" t="s">
        <v>483</v>
      </c>
    </row>
    <row r="1343" spans="1:12">
      <c r="A1343" s="7"/>
      <c r="B1343" s="381" t="s">
        <v>311</v>
      </c>
      <c r="C1343" s="3" t="s">
        <v>232</v>
      </c>
      <c r="D1343" s="2" t="s">
        <v>228</v>
      </c>
      <c r="E1343" s="382" t="s">
        <v>17</v>
      </c>
      <c r="F1343" s="3" t="s">
        <v>15</v>
      </c>
      <c r="G1343" s="3" t="s">
        <v>22</v>
      </c>
      <c r="H1343" s="140">
        <v>10.73</v>
      </c>
      <c r="I1343" s="28">
        <v>12</v>
      </c>
      <c r="J1343" s="19">
        <v>0</v>
      </c>
      <c r="K1343" s="13">
        <v>0</v>
      </c>
      <c r="L1343" s="7" t="s">
        <v>483</v>
      </c>
    </row>
    <row r="1344" spans="1:12">
      <c r="A1344" s="7"/>
      <c r="B1344" s="381" t="s">
        <v>311</v>
      </c>
      <c r="C1344" s="3" t="s">
        <v>232</v>
      </c>
      <c r="D1344" s="2" t="s">
        <v>228</v>
      </c>
      <c r="E1344" s="382" t="s">
        <v>17</v>
      </c>
      <c r="F1344" s="3" t="s">
        <v>15</v>
      </c>
      <c r="G1344" s="3" t="s">
        <v>22</v>
      </c>
      <c r="H1344" s="140">
        <v>10.73</v>
      </c>
      <c r="I1344" s="28">
        <v>10</v>
      </c>
      <c r="J1344" s="19">
        <v>1</v>
      </c>
      <c r="K1344" s="13">
        <v>0.10730000000000001</v>
      </c>
      <c r="L1344" s="7" t="s">
        <v>483</v>
      </c>
    </row>
    <row r="1345" spans="1:12">
      <c r="A1345" s="7"/>
      <c r="B1345" s="381" t="s">
        <v>311</v>
      </c>
      <c r="C1345" s="3" t="s">
        <v>232</v>
      </c>
      <c r="D1345" s="2" t="s">
        <v>228</v>
      </c>
      <c r="E1345" s="382" t="s">
        <v>17</v>
      </c>
      <c r="F1345" s="3" t="s">
        <v>15</v>
      </c>
      <c r="G1345" s="3" t="s">
        <v>22</v>
      </c>
      <c r="H1345" s="140">
        <v>10.73</v>
      </c>
      <c r="I1345" s="28">
        <v>7.9</v>
      </c>
      <c r="J1345" s="19">
        <v>0</v>
      </c>
      <c r="K1345" s="13">
        <v>0</v>
      </c>
      <c r="L1345" s="7" t="s">
        <v>483</v>
      </c>
    </row>
    <row r="1346" spans="1:12">
      <c r="A1346" s="7"/>
      <c r="B1346" s="381" t="s">
        <v>311</v>
      </c>
      <c r="C1346" s="3" t="s">
        <v>232</v>
      </c>
      <c r="D1346" s="2" t="s">
        <v>228</v>
      </c>
      <c r="E1346" s="382" t="s">
        <v>17</v>
      </c>
      <c r="F1346" s="3" t="s">
        <v>15</v>
      </c>
      <c r="G1346" s="3" t="s">
        <v>22</v>
      </c>
      <c r="H1346" s="140">
        <v>10.73</v>
      </c>
      <c r="I1346" s="28">
        <v>7.1</v>
      </c>
      <c r="J1346" s="19">
        <v>0</v>
      </c>
      <c r="K1346" s="13">
        <v>0</v>
      </c>
      <c r="L1346" s="7" t="s">
        <v>483</v>
      </c>
    </row>
    <row r="1347" spans="1:12">
      <c r="A1347" s="7"/>
      <c r="B1347" s="381" t="s">
        <v>311</v>
      </c>
      <c r="C1347" s="3" t="s">
        <v>232</v>
      </c>
      <c r="D1347" s="2" t="s">
        <v>228</v>
      </c>
      <c r="E1347" s="382" t="s">
        <v>17</v>
      </c>
      <c r="F1347" s="3" t="s">
        <v>15</v>
      </c>
      <c r="G1347" s="3" t="s">
        <v>30</v>
      </c>
      <c r="H1347" s="140">
        <v>9.26</v>
      </c>
      <c r="I1347" s="28">
        <v>11.1</v>
      </c>
      <c r="J1347" s="19">
        <v>0</v>
      </c>
      <c r="K1347" s="13">
        <v>0</v>
      </c>
      <c r="L1347" s="7" t="s">
        <v>483</v>
      </c>
    </row>
    <row r="1348" spans="1:12">
      <c r="A1348" s="7"/>
      <c r="B1348" s="381" t="s">
        <v>311</v>
      </c>
      <c r="C1348" s="3" t="s">
        <v>232</v>
      </c>
      <c r="D1348" s="2" t="s">
        <v>228</v>
      </c>
      <c r="E1348" s="382" t="s">
        <v>17</v>
      </c>
      <c r="F1348" s="3" t="s">
        <v>15</v>
      </c>
      <c r="G1348" s="3" t="s">
        <v>30</v>
      </c>
      <c r="H1348" s="140">
        <v>9.26</v>
      </c>
      <c r="I1348" s="28">
        <v>12</v>
      </c>
      <c r="J1348" s="19">
        <v>0</v>
      </c>
      <c r="K1348" s="13">
        <v>0</v>
      </c>
      <c r="L1348" s="7" t="s">
        <v>483</v>
      </c>
    </row>
    <row r="1349" spans="1:12">
      <c r="A1349" s="7"/>
      <c r="B1349" s="381" t="s">
        <v>311</v>
      </c>
      <c r="C1349" s="3" t="s">
        <v>232</v>
      </c>
      <c r="D1349" s="2" t="s">
        <v>228</v>
      </c>
      <c r="E1349" s="382" t="s">
        <v>17</v>
      </c>
      <c r="F1349" s="3" t="s">
        <v>15</v>
      </c>
      <c r="G1349" s="3" t="s">
        <v>30</v>
      </c>
      <c r="H1349" s="140">
        <v>9.26</v>
      </c>
      <c r="I1349" s="28">
        <v>7.25</v>
      </c>
      <c r="J1349" s="19">
        <v>0</v>
      </c>
      <c r="K1349" s="13">
        <v>0</v>
      </c>
      <c r="L1349" s="7" t="s">
        <v>483</v>
      </c>
    </row>
    <row r="1350" spans="1:12">
      <c r="A1350" s="7"/>
      <c r="B1350" s="381" t="s">
        <v>311</v>
      </c>
      <c r="C1350" s="3" t="s">
        <v>232</v>
      </c>
      <c r="D1350" s="2" t="s">
        <v>228</v>
      </c>
      <c r="E1350" s="382" t="s">
        <v>17</v>
      </c>
      <c r="F1350" s="3" t="s">
        <v>15</v>
      </c>
      <c r="G1350" s="3" t="s">
        <v>30</v>
      </c>
      <c r="H1350" s="140">
        <v>9.26</v>
      </c>
      <c r="I1350" s="28">
        <v>8</v>
      </c>
      <c r="J1350" s="19">
        <v>0</v>
      </c>
      <c r="K1350" s="13">
        <v>0</v>
      </c>
      <c r="L1350" s="7" t="s">
        <v>483</v>
      </c>
    </row>
    <row r="1351" spans="1:12">
      <c r="A1351" s="7"/>
      <c r="B1351" s="381" t="s">
        <v>311</v>
      </c>
      <c r="C1351" s="3" t="s">
        <v>232</v>
      </c>
      <c r="D1351" s="2" t="s">
        <v>228</v>
      </c>
      <c r="E1351" s="382" t="s">
        <v>17</v>
      </c>
      <c r="F1351" s="3" t="s">
        <v>15</v>
      </c>
      <c r="G1351" s="3" t="s">
        <v>30</v>
      </c>
      <c r="H1351" s="140">
        <v>9.26</v>
      </c>
      <c r="I1351" s="28">
        <v>8.6999999999999993</v>
      </c>
      <c r="J1351" s="19">
        <v>0</v>
      </c>
      <c r="K1351" s="13">
        <v>0</v>
      </c>
      <c r="L1351" s="7" t="s">
        <v>483</v>
      </c>
    </row>
    <row r="1352" spans="1:12">
      <c r="A1352" s="7"/>
      <c r="B1352" s="381" t="s">
        <v>311</v>
      </c>
      <c r="C1352" s="3" t="s">
        <v>232</v>
      </c>
      <c r="D1352" s="2" t="s">
        <v>228</v>
      </c>
      <c r="E1352" s="382" t="s">
        <v>17</v>
      </c>
      <c r="F1352" s="3" t="s">
        <v>15</v>
      </c>
      <c r="G1352" s="3" t="s">
        <v>30</v>
      </c>
      <c r="H1352" s="140">
        <v>9.26</v>
      </c>
      <c r="I1352" s="28">
        <v>9</v>
      </c>
      <c r="J1352" s="19">
        <v>0</v>
      </c>
      <c r="K1352" s="13">
        <v>0</v>
      </c>
      <c r="L1352" s="7" t="s">
        <v>483</v>
      </c>
    </row>
    <row r="1353" spans="1:12">
      <c r="A1353" s="7"/>
      <c r="B1353" s="381" t="s">
        <v>311</v>
      </c>
      <c r="C1353" s="3" t="s">
        <v>232</v>
      </c>
      <c r="D1353" s="2" t="s">
        <v>228</v>
      </c>
      <c r="E1353" s="382" t="s">
        <v>17</v>
      </c>
      <c r="F1353" s="3" t="s">
        <v>15</v>
      </c>
      <c r="G1353" s="3" t="s">
        <v>30</v>
      </c>
      <c r="H1353" s="140">
        <v>9.26</v>
      </c>
      <c r="I1353" s="28">
        <v>10</v>
      </c>
      <c r="J1353" s="19">
        <v>0</v>
      </c>
      <c r="K1353" s="13">
        <v>0</v>
      </c>
      <c r="L1353" s="7" t="s">
        <v>483</v>
      </c>
    </row>
    <row r="1354" spans="1:12">
      <c r="A1354" s="7"/>
      <c r="B1354" s="381" t="s">
        <v>311</v>
      </c>
      <c r="C1354" s="3" t="s">
        <v>232</v>
      </c>
      <c r="D1354" s="2" t="s">
        <v>228</v>
      </c>
      <c r="E1354" s="382" t="s">
        <v>17</v>
      </c>
      <c r="F1354" s="3" t="s">
        <v>15</v>
      </c>
      <c r="G1354" s="3" t="s">
        <v>30</v>
      </c>
      <c r="H1354" s="140">
        <v>9.26</v>
      </c>
      <c r="I1354" s="28">
        <v>10.6</v>
      </c>
      <c r="J1354" s="19">
        <v>0</v>
      </c>
      <c r="K1354" s="13">
        <v>0</v>
      </c>
      <c r="L1354" s="7" t="s">
        <v>483</v>
      </c>
    </row>
    <row r="1355" spans="1:12">
      <c r="A1355" s="7"/>
      <c r="B1355" s="381" t="s">
        <v>311</v>
      </c>
      <c r="C1355" s="3" t="s">
        <v>232</v>
      </c>
      <c r="D1355" s="2" t="s">
        <v>228</v>
      </c>
      <c r="E1355" s="382" t="s">
        <v>17</v>
      </c>
      <c r="F1355" s="3" t="s">
        <v>15</v>
      </c>
      <c r="G1355" s="3" t="s">
        <v>30</v>
      </c>
      <c r="H1355" s="140">
        <v>9.26</v>
      </c>
      <c r="I1355" s="28">
        <v>11.1</v>
      </c>
      <c r="J1355" s="19">
        <v>0</v>
      </c>
      <c r="K1355" s="13">
        <v>0</v>
      </c>
      <c r="L1355" s="7" t="s">
        <v>483</v>
      </c>
    </row>
    <row r="1356" spans="1:12">
      <c r="A1356" s="7"/>
      <c r="B1356" s="381" t="s">
        <v>311</v>
      </c>
      <c r="C1356" s="3" t="s">
        <v>232</v>
      </c>
      <c r="D1356" s="2" t="s">
        <v>228</v>
      </c>
      <c r="E1356" s="382" t="s">
        <v>17</v>
      </c>
      <c r="F1356" s="3" t="s">
        <v>15</v>
      </c>
      <c r="G1356" s="3" t="s">
        <v>30</v>
      </c>
      <c r="H1356" s="140">
        <v>9.26</v>
      </c>
      <c r="I1356" s="28">
        <v>11.6</v>
      </c>
      <c r="J1356" s="19">
        <v>0</v>
      </c>
      <c r="K1356" s="13">
        <v>0</v>
      </c>
      <c r="L1356" s="7" t="s">
        <v>483</v>
      </c>
    </row>
    <row r="1357" spans="1:12">
      <c r="A1357" s="7"/>
      <c r="B1357" s="381" t="s">
        <v>311</v>
      </c>
      <c r="C1357" s="3" t="s">
        <v>232</v>
      </c>
      <c r="D1357" s="2" t="s">
        <v>228</v>
      </c>
      <c r="E1357" s="382" t="s">
        <v>17</v>
      </c>
      <c r="F1357" s="3" t="s">
        <v>15</v>
      </c>
      <c r="G1357" s="3" t="s">
        <v>30</v>
      </c>
      <c r="H1357" s="140">
        <v>9.26</v>
      </c>
      <c r="I1357" s="28">
        <v>12</v>
      </c>
      <c r="J1357" s="19">
        <v>0</v>
      </c>
      <c r="K1357" s="13">
        <v>0</v>
      </c>
      <c r="L1357" s="7" t="s">
        <v>483</v>
      </c>
    </row>
    <row r="1358" spans="1:12">
      <c r="A1358" s="7"/>
      <c r="B1358" s="381" t="s">
        <v>311</v>
      </c>
      <c r="C1358" s="3" t="s">
        <v>232</v>
      </c>
      <c r="D1358" s="2" t="s">
        <v>228</v>
      </c>
      <c r="E1358" s="382" t="s">
        <v>17</v>
      </c>
      <c r="F1358" s="3" t="s">
        <v>15</v>
      </c>
      <c r="G1358" s="3" t="s">
        <v>30</v>
      </c>
      <c r="H1358" s="140">
        <v>9.26</v>
      </c>
      <c r="I1358" s="28">
        <v>6.2</v>
      </c>
      <c r="J1358" s="19">
        <v>1</v>
      </c>
      <c r="K1358" s="13">
        <v>5.7411999999999998E-2</v>
      </c>
      <c r="L1358" s="7" t="s">
        <v>483</v>
      </c>
    </row>
    <row r="1359" spans="1:12">
      <c r="A1359" s="7"/>
      <c r="B1359" s="381" t="s">
        <v>311</v>
      </c>
      <c r="C1359" s="3" t="s">
        <v>232</v>
      </c>
      <c r="D1359" s="2" t="s">
        <v>228</v>
      </c>
      <c r="E1359" s="382" t="s">
        <v>17</v>
      </c>
      <c r="F1359" s="3" t="s">
        <v>15</v>
      </c>
      <c r="G1359" s="3" t="s">
        <v>30</v>
      </c>
      <c r="H1359" s="140">
        <v>9.26</v>
      </c>
      <c r="I1359" s="28">
        <v>6.6</v>
      </c>
      <c r="J1359" s="19">
        <v>1</v>
      </c>
      <c r="K1359" s="13">
        <v>6.111599999999999E-2</v>
      </c>
      <c r="L1359" s="7" t="s">
        <v>483</v>
      </c>
    </row>
    <row r="1360" spans="1:12">
      <c r="A1360" s="7"/>
      <c r="B1360" s="381" t="s">
        <v>311</v>
      </c>
      <c r="C1360" s="3" t="s">
        <v>232</v>
      </c>
      <c r="D1360" s="2" t="s">
        <v>228</v>
      </c>
      <c r="E1360" s="382" t="s">
        <v>17</v>
      </c>
      <c r="F1360" s="3" t="s">
        <v>15</v>
      </c>
      <c r="G1360" s="3" t="s">
        <v>30</v>
      </c>
      <c r="H1360" s="140">
        <v>9.26</v>
      </c>
      <c r="I1360" s="28">
        <v>8.6999999999999993</v>
      </c>
      <c r="J1360" s="19">
        <v>0</v>
      </c>
      <c r="K1360" s="13">
        <v>0</v>
      </c>
      <c r="L1360" s="7" t="s">
        <v>483</v>
      </c>
    </row>
    <row r="1361" spans="1:12">
      <c r="A1361" s="7"/>
      <c r="B1361" s="381" t="s">
        <v>311</v>
      </c>
      <c r="C1361" s="3" t="s">
        <v>232</v>
      </c>
      <c r="D1361" s="2" t="s">
        <v>228</v>
      </c>
      <c r="E1361" s="382" t="s">
        <v>17</v>
      </c>
      <c r="F1361" s="3" t="s">
        <v>15</v>
      </c>
      <c r="G1361" s="3" t="s">
        <v>30</v>
      </c>
      <c r="H1361" s="140">
        <v>9.26</v>
      </c>
      <c r="I1361" s="28">
        <v>11.6</v>
      </c>
      <c r="J1361" s="19">
        <v>0</v>
      </c>
      <c r="K1361" s="13">
        <v>0</v>
      </c>
      <c r="L1361" s="7" t="s">
        <v>483</v>
      </c>
    </row>
    <row r="1362" spans="1:12">
      <c r="A1362" s="7"/>
      <c r="B1362" s="381" t="s">
        <v>311</v>
      </c>
      <c r="C1362" s="3" t="s">
        <v>232</v>
      </c>
      <c r="D1362" s="2" t="s">
        <v>228</v>
      </c>
      <c r="E1362" s="382" t="s">
        <v>17</v>
      </c>
      <c r="F1362" s="3" t="s">
        <v>15</v>
      </c>
      <c r="G1362" s="3" t="s">
        <v>30</v>
      </c>
      <c r="H1362" s="140">
        <v>9.26</v>
      </c>
      <c r="I1362" s="28">
        <v>11.1</v>
      </c>
      <c r="J1362" s="19">
        <v>1</v>
      </c>
      <c r="K1362" s="13">
        <v>0.102786</v>
      </c>
      <c r="L1362" s="7" t="s">
        <v>483</v>
      </c>
    </row>
    <row r="1363" spans="1:12">
      <c r="A1363" s="7"/>
      <c r="B1363" s="381" t="s">
        <v>311</v>
      </c>
      <c r="C1363" s="3" t="s">
        <v>232</v>
      </c>
      <c r="D1363" s="2" t="s">
        <v>228</v>
      </c>
      <c r="E1363" s="382" t="s">
        <v>17</v>
      </c>
      <c r="F1363" s="3" t="s">
        <v>15</v>
      </c>
      <c r="G1363" s="3" t="s">
        <v>30</v>
      </c>
      <c r="H1363" s="140">
        <v>9.26</v>
      </c>
      <c r="I1363" s="28">
        <v>7.25</v>
      </c>
      <c r="J1363" s="19">
        <v>0</v>
      </c>
      <c r="K1363" s="13">
        <v>0</v>
      </c>
      <c r="L1363" s="7" t="s">
        <v>483</v>
      </c>
    </row>
    <row r="1364" spans="1:12">
      <c r="A1364" s="7"/>
      <c r="B1364" s="381" t="s">
        <v>311</v>
      </c>
      <c r="C1364" s="3" t="s">
        <v>232</v>
      </c>
      <c r="D1364" s="2" t="s">
        <v>228</v>
      </c>
      <c r="E1364" s="382" t="s">
        <v>17</v>
      </c>
      <c r="F1364" s="3" t="s">
        <v>15</v>
      </c>
      <c r="G1364" s="3" t="s">
        <v>30</v>
      </c>
      <c r="H1364" s="140">
        <v>9.26</v>
      </c>
      <c r="I1364" s="28">
        <v>10.5</v>
      </c>
      <c r="J1364" s="19">
        <v>0</v>
      </c>
      <c r="K1364" s="13">
        <v>0</v>
      </c>
      <c r="L1364" s="7" t="s">
        <v>483</v>
      </c>
    </row>
    <row r="1365" spans="1:12">
      <c r="A1365" s="7"/>
      <c r="B1365" s="381" t="s">
        <v>311</v>
      </c>
      <c r="C1365" s="3" t="s">
        <v>232</v>
      </c>
      <c r="D1365" s="2" t="s">
        <v>228</v>
      </c>
      <c r="E1365" s="382" t="s">
        <v>17</v>
      </c>
      <c r="F1365" s="3" t="s">
        <v>15</v>
      </c>
      <c r="G1365" s="3" t="s">
        <v>30</v>
      </c>
      <c r="H1365" s="140">
        <v>9.26</v>
      </c>
      <c r="I1365" s="28">
        <v>12</v>
      </c>
      <c r="J1365" s="19">
        <v>0</v>
      </c>
      <c r="K1365" s="13">
        <v>0</v>
      </c>
      <c r="L1365" s="7" t="s">
        <v>483</v>
      </c>
    </row>
    <row r="1366" spans="1:12">
      <c r="A1366" s="7"/>
      <c r="B1366" s="381" t="s">
        <v>311</v>
      </c>
      <c r="C1366" s="3" t="s">
        <v>232</v>
      </c>
      <c r="D1366" s="2" t="s">
        <v>228</v>
      </c>
      <c r="E1366" s="382" t="s">
        <v>17</v>
      </c>
      <c r="F1366" s="3" t="s">
        <v>15</v>
      </c>
      <c r="G1366" s="3" t="s">
        <v>30</v>
      </c>
      <c r="H1366" s="140">
        <v>9.26</v>
      </c>
      <c r="I1366" s="28">
        <v>7.1</v>
      </c>
      <c r="J1366" s="19">
        <v>2</v>
      </c>
      <c r="K1366" s="13">
        <v>0.131492</v>
      </c>
      <c r="L1366" s="7" t="s">
        <v>483</v>
      </c>
    </row>
    <row r="1367" spans="1:12">
      <c r="A1367" s="7"/>
      <c r="B1367" s="381" t="s">
        <v>311</v>
      </c>
      <c r="C1367" s="3" t="s">
        <v>232</v>
      </c>
      <c r="D1367" s="2" t="s">
        <v>228</v>
      </c>
      <c r="E1367" s="382" t="s">
        <v>17</v>
      </c>
      <c r="F1367" s="3" t="s">
        <v>15</v>
      </c>
      <c r="G1367" s="3" t="s">
        <v>30</v>
      </c>
      <c r="H1367" s="140">
        <v>9.26</v>
      </c>
      <c r="I1367" s="28">
        <v>7.7</v>
      </c>
      <c r="J1367" s="19">
        <v>0</v>
      </c>
      <c r="K1367" s="13">
        <v>0</v>
      </c>
      <c r="L1367" s="7" t="s">
        <v>483</v>
      </c>
    </row>
    <row r="1368" spans="1:12">
      <c r="A1368" s="7"/>
      <c r="B1368" s="381" t="s">
        <v>311</v>
      </c>
      <c r="C1368" s="3" t="s">
        <v>232</v>
      </c>
      <c r="D1368" s="2" t="s">
        <v>228</v>
      </c>
      <c r="E1368" s="382" t="s">
        <v>17</v>
      </c>
      <c r="F1368" s="3" t="s">
        <v>15</v>
      </c>
      <c r="G1368" s="3" t="s">
        <v>30</v>
      </c>
      <c r="H1368" s="140">
        <v>9.26</v>
      </c>
      <c r="I1368" s="28">
        <v>6.5</v>
      </c>
      <c r="J1368" s="19">
        <v>3</v>
      </c>
      <c r="K1368" s="13">
        <v>0.18056999999999998</v>
      </c>
      <c r="L1368" s="7" t="s">
        <v>483</v>
      </c>
    </row>
    <row r="1369" spans="1:12">
      <c r="A1369" s="7"/>
      <c r="B1369" s="381" t="s">
        <v>311</v>
      </c>
      <c r="C1369" s="3" t="s">
        <v>232</v>
      </c>
      <c r="D1369" s="2" t="s">
        <v>228</v>
      </c>
      <c r="E1369" s="382" t="s">
        <v>17</v>
      </c>
      <c r="F1369" s="3" t="s">
        <v>15</v>
      </c>
      <c r="G1369" s="3" t="s">
        <v>30</v>
      </c>
      <c r="H1369" s="140">
        <v>9.26</v>
      </c>
      <c r="I1369" s="28">
        <v>5.8</v>
      </c>
      <c r="J1369" s="19">
        <v>1</v>
      </c>
      <c r="K1369" s="13">
        <v>5.3707999999999999E-2</v>
      </c>
      <c r="L1369" s="7" t="s">
        <v>483</v>
      </c>
    </row>
    <row r="1370" spans="1:12">
      <c r="A1370" s="7"/>
      <c r="B1370" s="381" t="s">
        <v>311</v>
      </c>
      <c r="C1370" s="3" t="s">
        <v>232</v>
      </c>
      <c r="D1370" s="2" t="s">
        <v>228</v>
      </c>
      <c r="E1370" s="382" t="s">
        <v>152</v>
      </c>
      <c r="F1370" s="3" t="s">
        <v>15</v>
      </c>
      <c r="G1370" s="3" t="s">
        <v>30</v>
      </c>
      <c r="H1370" s="140">
        <v>9.26</v>
      </c>
      <c r="I1370" s="28">
        <v>7.4</v>
      </c>
      <c r="J1370" s="19">
        <v>1</v>
      </c>
      <c r="K1370" s="13">
        <v>6.8524000000000002E-2</v>
      </c>
      <c r="L1370" s="7" t="s">
        <v>483</v>
      </c>
    </row>
    <row r="1371" spans="1:12">
      <c r="A1371" s="7"/>
      <c r="B1371" s="381" t="s">
        <v>311</v>
      </c>
      <c r="C1371" s="3" t="s">
        <v>232</v>
      </c>
      <c r="D1371" s="2" t="s">
        <v>228</v>
      </c>
      <c r="E1371" s="382" t="s">
        <v>152</v>
      </c>
      <c r="F1371" s="3" t="s">
        <v>15</v>
      </c>
      <c r="G1371" s="3" t="s">
        <v>30</v>
      </c>
      <c r="H1371" s="140">
        <v>9.26</v>
      </c>
      <c r="I1371" s="28">
        <v>9</v>
      </c>
      <c r="J1371" s="19">
        <v>1</v>
      </c>
      <c r="K1371" s="13">
        <v>8.3339999999999997E-2</v>
      </c>
      <c r="L1371" s="7" t="s">
        <v>483</v>
      </c>
    </row>
    <row r="1372" spans="1:12">
      <c r="A1372" s="7"/>
      <c r="B1372" s="381" t="s">
        <v>311</v>
      </c>
      <c r="C1372" s="3" t="s">
        <v>232</v>
      </c>
      <c r="D1372" s="2" t="s">
        <v>228</v>
      </c>
      <c r="E1372" s="382" t="s">
        <v>152</v>
      </c>
      <c r="F1372" s="3" t="s">
        <v>15</v>
      </c>
      <c r="G1372" s="3" t="s">
        <v>30</v>
      </c>
      <c r="H1372" s="140">
        <v>9.26</v>
      </c>
      <c r="I1372" s="28">
        <v>9.3000000000000007</v>
      </c>
      <c r="J1372" s="19">
        <v>2</v>
      </c>
      <c r="K1372" s="13">
        <v>0.17223600000000003</v>
      </c>
      <c r="L1372" s="7" t="s">
        <v>483</v>
      </c>
    </row>
    <row r="1373" spans="1:12">
      <c r="A1373" s="7"/>
      <c r="B1373" s="381" t="s">
        <v>311</v>
      </c>
      <c r="C1373" s="3" t="s">
        <v>232</v>
      </c>
      <c r="D1373" s="2" t="s">
        <v>228</v>
      </c>
      <c r="E1373" s="382" t="s">
        <v>152</v>
      </c>
      <c r="F1373" s="3" t="s">
        <v>15</v>
      </c>
      <c r="G1373" s="3" t="s">
        <v>30</v>
      </c>
      <c r="H1373" s="140">
        <v>9.26</v>
      </c>
      <c r="I1373" s="28">
        <v>10</v>
      </c>
      <c r="J1373" s="19">
        <v>1</v>
      </c>
      <c r="K1373" s="13">
        <v>9.2599999999999988E-2</v>
      </c>
      <c r="L1373" s="7" t="s">
        <v>483</v>
      </c>
    </row>
    <row r="1374" spans="1:12">
      <c r="A1374" s="7"/>
      <c r="B1374" s="381" t="s">
        <v>311</v>
      </c>
      <c r="C1374" s="3" t="s">
        <v>232</v>
      </c>
      <c r="D1374" s="2" t="s">
        <v>228</v>
      </c>
      <c r="E1374" s="382" t="s">
        <v>152</v>
      </c>
      <c r="F1374" s="3" t="s">
        <v>15</v>
      </c>
      <c r="G1374" s="3" t="s">
        <v>30</v>
      </c>
      <c r="H1374" s="140">
        <v>9.26</v>
      </c>
      <c r="I1374" s="28">
        <v>11</v>
      </c>
      <c r="J1374" s="19">
        <v>0</v>
      </c>
      <c r="K1374" s="13">
        <v>0</v>
      </c>
      <c r="L1374" s="7" t="s">
        <v>483</v>
      </c>
    </row>
    <row r="1375" spans="1:12">
      <c r="A1375" s="7"/>
      <c r="B1375" s="381" t="s">
        <v>311</v>
      </c>
      <c r="C1375" s="3" t="s">
        <v>232</v>
      </c>
      <c r="D1375" s="2" t="s">
        <v>228</v>
      </c>
      <c r="E1375" s="382" t="s">
        <v>152</v>
      </c>
      <c r="F1375" s="3" t="s">
        <v>15</v>
      </c>
      <c r="G1375" s="3" t="s">
        <v>30</v>
      </c>
      <c r="H1375" s="140">
        <v>9.26</v>
      </c>
      <c r="I1375" s="28">
        <v>9.5</v>
      </c>
      <c r="J1375" s="19">
        <v>0</v>
      </c>
      <c r="K1375" s="13">
        <v>0</v>
      </c>
      <c r="L1375" s="7" t="s">
        <v>483</v>
      </c>
    </row>
    <row r="1376" spans="1:12">
      <c r="A1376" s="7"/>
      <c r="B1376" s="381" t="s">
        <v>311</v>
      </c>
      <c r="C1376" s="3" t="s">
        <v>232</v>
      </c>
      <c r="D1376" s="2" t="s">
        <v>228</v>
      </c>
      <c r="E1376" s="382" t="s">
        <v>152</v>
      </c>
      <c r="F1376" s="3" t="s">
        <v>15</v>
      </c>
      <c r="G1376" s="3" t="s">
        <v>30</v>
      </c>
      <c r="H1376" s="140">
        <v>9.26</v>
      </c>
      <c r="I1376" s="28">
        <v>10.5</v>
      </c>
      <c r="J1376" s="19">
        <v>0</v>
      </c>
      <c r="K1376" s="13">
        <v>0</v>
      </c>
      <c r="L1376" s="7" t="s">
        <v>483</v>
      </c>
    </row>
    <row r="1377" spans="1:12">
      <c r="A1377" s="7"/>
      <c r="B1377" s="381" t="s">
        <v>311</v>
      </c>
      <c r="C1377" s="3" t="s">
        <v>232</v>
      </c>
      <c r="D1377" s="2" t="s">
        <v>228</v>
      </c>
      <c r="E1377" s="382" t="s">
        <v>152</v>
      </c>
      <c r="F1377" s="3" t="s">
        <v>15</v>
      </c>
      <c r="G1377" s="3" t="s">
        <v>30</v>
      </c>
      <c r="H1377" s="140">
        <v>9.26</v>
      </c>
      <c r="I1377" s="28">
        <v>10.3</v>
      </c>
      <c r="J1377" s="19">
        <v>0</v>
      </c>
      <c r="K1377" s="13">
        <v>0</v>
      </c>
      <c r="L1377" s="7" t="s">
        <v>483</v>
      </c>
    </row>
    <row r="1378" spans="1:12">
      <c r="A1378" s="7"/>
      <c r="B1378" s="381" t="s">
        <v>311</v>
      </c>
      <c r="C1378" s="3" t="s">
        <v>232</v>
      </c>
      <c r="D1378" s="2" t="s">
        <v>228</v>
      </c>
      <c r="E1378" s="382" t="s">
        <v>152</v>
      </c>
      <c r="F1378" s="3" t="s">
        <v>15</v>
      </c>
      <c r="G1378" s="3" t="s">
        <v>30</v>
      </c>
      <c r="H1378" s="140">
        <v>9.26</v>
      </c>
      <c r="I1378" s="28">
        <v>11.3</v>
      </c>
      <c r="J1378" s="19">
        <v>0</v>
      </c>
      <c r="K1378" s="13">
        <v>0</v>
      </c>
      <c r="L1378" s="7" t="s">
        <v>483</v>
      </c>
    </row>
    <row r="1379" spans="1:12">
      <c r="A1379" s="7"/>
      <c r="B1379" s="381" t="s">
        <v>311</v>
      </c>
      <c r="C1379" s="3" t="s">
        <v>232</v>
      </c>
      <c r="D1379" s="2" t="s">
        <v>228</v>
      </c>
      <c r="E1379" s="382" t="s">
        <v>152</v>
      </c>
      <c r="F1379" s="3" t="s">
        <v>15</v>
      </c>
      <c r="G1379" s="3" t="s">
        <v>30</v>
      </c>
      <c r="H1379" s="140">
        <v>9.26</v>
      </c>
      <c r="I1379" s="28">
        <v>8.6999999999999993</v>
      </c>
      <c r="J1379" s="19">
        <v>1</v>
      </c>
      <c r="K1379" s="13">
        <v>8.0561999999999995E-2</v>
      </c>
      <c r="L1379" s="7" t="s">
        <v>483</v>
      </c>
    </row>
    <row r="1380" spans="1:12">
      <c r="A1380" s="7"/>
      <c r="B1380" s="381" t="s">
        <v>311</v>
      </c>
      <c r="C1380" s="3" t="s">
        <v>232</v>
      </c>
      <c r="D1380" s="2" t="s">
        <v>228</v>
      </c>
      <c r="E1380" s="382" t="s">
        <v>152</v>
      </c>
      <c r="F1380" s="3" t="s">
        <v>15</v>
      </c>
      <c r="G1380" s="3" t="s">
        <v>30</v>
      </c>
      <c r="H1380" s="140">
        <v>9.26</v>
      </c>
      <c r="I1380" s="28">
        <v>9.4</v>
      </c>
      <c r="J1380" s="19">
        <v>1</v>
      </c>
      <c r="K1380" s="13">
        <v>8.7043999999999996E-2</v>
      </c>
      <c r="L1380" s="7" t="s">
        <v>483</v>
      </c>
    </row>
    <row r="1381" spans="1:12">
      <c r="A1381" s="7"/>
      <c r="B1381" s="381" t="s">
        <v>311</v>
      </c>
      <c r="C1381" s="3" t="s">
        <v>232</v>
      </c>
      <c r="D1381" s="2" t="s">
        <v>228</v>
      </c>
      <c r="E1381" s="382" t="s">
        <v>152</v>
      </c>
      <c r="F1381" s="3" t="s">
        <v>15</v>
      </c>
      <c r="G1381" s="3" t="s">
        <v>30</v>
      </c>
      <c r="H1381" s="140">
        <v>9.26</v>
      </c>
      <c r="I1381" s="28">
        <v>11</v>
      </c>
      <c r="J1381" s="19">
        <v>0</v>
      </c>
      <c r="K1381" s="13">
        <v>0</v>
      </c>
      <c r="L1381" s="7" t="s">
        <v>483</v>
      </c>
    </row>
    <row r="1382" spans="1:12">
      <c r="A1382" s="7"/>
      <c r="B1382" s="381" t="s">
        <v>311</v>
      </c>
      <c r="C1382" s="3" t="s">
        <v>232</v>
      </c>
      <c r="D1382" s="2" t="s">
        <v>228</v>
      </c>
      <c r="E1382" s="382" t="s">
        <v>152</v>
      </c>
      <c r="F1382" s="3" t="s">
        <v>15</v>
      </c>
      <c r="G1382" s="3" t="s">
        <v>30</v>
      </c>
      <c r="H1382" s="140">
        <v>9.26</v>
      </c>
      <c r="I1382" s="28">
        <v>10.6</v>
      </c>
      <c r="J1382" s="19">
        <v>0</v>
      </c>
      <c r="K1382" s="13">
        <v>0</v>
      </c>
      <c r="L1382" s="7" t="s">
        <v>483</v>
      </c>
    </row>
    <row r="1383" spans="1:12">
      <c r="A1383" s="7"/>
      <c r="B1383" s="381" t="s">
        <v>311</v>
      </c>
      <c r="C1383" s="3" t="s">
        <v>232</v>
      </c>
      <c r="D1383" s="2" t="s">
        <v>228</v>
      </c>
      <c r="E1383" s="382" t="s">
        <v>152</v>
      </c>
      <c r="F1383" s="3" t="s">
        <v>15</v>
      </c>
      <c r="G1383" s="3" t="s">
        <v>30</v>
      </c>
      <c r="H1383" s="140">
        <v>9.26</v>
      </c>
      <c r="I1383" s="28">
        <v>11.2</v>
      </c>
      <c r="J1383" s="19">
        <v>0</v>
      </c>
      <c r="K1383" s="13">
        <v>0</v>
      </c>
      <c r="L1383" s="7" t="s">
        <v>483</v>
      </c>
    </row>
    <row r="1384" spans="1:12">
      <c r="A1384" s="7"/>
      <c r="B1384" s="381" t="s">
        <v>311</v>
      </c>
      <c r="C1384" s="3" t="s">
        <v>232</v>
      </c>
      <c r="D1384" s="2" t="s">
        <v>228</v>
      </c>
      <c r="E1384" s="382" t="s">
        <v>152</v>
      </c>
      <c r="F1384" s="3" t="s">
        <v>15</v>
      </c>
      <c r="G1384" s="3" t="s">
        <v>30</v>
      </c>
      <c r="H1384" s="140">
        <v>9.26</v>
      </c>
      <c r="I1384" s="28">
        <v>11.8</v>
      </c>
      <c r="J1384" s="19">
        <v>0</v>
      </c>
      <c r="K1384" s="13">
        <v>0</v>
      </c>
      <c r="L1384" s="7" t="s">
        <v>483</v>
      </c>
    </row>
    <row r="1385" spans="1:12">
      <c r="A1385" s="7"/>
      <c r="B1385" s="381" t="s">
        <v>311</v>
      </c>
      <c r="C1385" s="3" t="s">
        <v>232</v>
      </c>
      <c r="D1385" s="2" t="s">
        <v>228</v>
      </c>
      <c r="E1385" s="382" t="s">
        <v>152</v>
      </c>
      <c r="F1385" s="3" t="s">
        <v>15</v>
      </c>
      <c r="G1385" s="3" t="s">
        <v>30</v>
      </c>
      <c r="H1385" s="140">
        <v>9.26</v>
      </c>
      <c r="I1385" s="28">
        <v>11.3</v>
      </c>
      <c r="J1385" s="19">
        <v>2</v>
      </c>
      <c r="K1385" s="13">
        <v>0.20927600000000002</v>
      </c>
      <c r="L1385" s="7" t="s">
        <v>483</v>
      </c>
    </row>
    <row r="1386" spans="1:12">
      <c r="A1386" s="7"/>
      <c r="B1386" s="381" t="s">
        <v>311</v>
      </c>
      <c r="C1386" s="3" t="s">
        <v>232</v>
      </c>
      <c r="D1386" s="2" t="s">
        <v>228</v>
      </c>
      <c r="E1386" s="382" t="s">
        <v>152</v>
      </c>
      <c r="F1386" s="3" t="s">
        <v>15</v>
      </c>
      <c r="G1386" s="3" t="s">
        <v>22</v>
      </c>
      <c r="H1386" s="140">
        <v>10.73</v>
      </c>
      <c r="I1386" s="28">
        <v>7.8</v>
      </c>
      <c r="J1386" s="19">
        <v>0</v>
      </c>
      <c r="K1386" s="13">
        <v>0</v>
      </c>
      <c r="L1386" s="7" t="s">
        <v>483</v>
      </c>
    </row>
    <row r="1387" spans="1:12">
      <c r="A1387" s="7"/>
      <c r="B1387" s="381" t="s">
        <v>311</v>
      </c>
      <c r="C1387" s="3" t="s">
        <v>232</v>
      </c>
      <c r="D1387" s="2" t="s">
        <v>228</v>
      </c>
      <c r="E1387" s="382" t="s">
        <v>152</v>
      </c>
      <c r="F1387" s="3" t="s">
        <v>15</v>
      </c>
      <c r="G1387" s="3" t="s">
        <v>22</v>
      </c>
      <c r="H1387" s="140">
        <v>10.73</v>
      </c>
      <c r="I1387" s="28">
        <v>9.4</v>
      </c>
      <c r="J1387" s="19">
        <v>0</v>
      </c>
      <c r="K1387" s="13">
        <v>0</v>
      </c>
      <c r="L1387" s="7" t="s">
        <v>483</v>
      </c>
    </row>
    <row r="1388" spans="1:12">
      <c r="A1388" s="7"/>
      <c r="B1388" s="381" t="s">
        <v>311</v>
      </c>
      <c r="C1388" s="3" t="s">
        <v>232</v>
      </c>
      <c r="D1388" s="2" t="s">
        <v>228</v>
      </c>
      <c r="E1388" s="382" t="s">
        <v>152</v>
      </c>
      <c r="F1388" s="3" t="s">
        <v>15</v>
      </c>
      <c r="G1388" s="3" t="s">
        <v>22</v>
      </c>
      <c r="H1388" s="140">
        <v>10.73</v>
      </c>
      <c r="I1388" s="28">
        <v>10.4</v>
      </c>
      <c r="J1388" s="19">
        <v>0</v>
      </c>
      <c r="K1388" s="13">
        <v>0</v>
      </c>
      <c r="L1388" s="7" t="s">
        <v>483</v>
      </c>
    </row>
    <row r="1389" spans="1:12">
      <c r="A1389" s="7"/>
      <c r="B1389" s="381" t="s">
        <v>311</v>
      </c>
      <c r="C1389" s="3" t="s">
        <v>232</v>
      </c>
      <c r="D1389" s="2" t="s">
        <v>228</v>
      </c>
      <c r="E1389" s="382" t="s">
        <v>152</v>
      </c>
      <c r="F1389" s="3" t="s">
        <v>15</v>
      </c>
      <c r="G1389" s="3" t="s">
        <v>22</v>
      </c>
      <c r="H1389" s="140">
        <v>10.73</v>
      </c>
      <c r="I1389" s="28">
        <v>11.6</v>
      </c>
      <c r="J1389" s="19">
        <v>0</v>
      </c>
      <c r="K1389" s="13">
        <v>0</v>
      </c>
      <c r="L1389" s="7" t="s">
        <v>483</v>
      </c>
    </row>
    <row r="1390" spans="1:12">
      <c r="A1390" s="7"/>
      <c r="B1390" s="381" t="s">
        <v>311</v>
      </c>
      <c r="C1390" s="3" t="s">
        <v>232</v>
      </c>
      <c r="D1390" s="2" t="s">
        <v>228</v>
      </c>
      <c r="E1390" s="382" t="s">
        <v>152</v>
      </c>
      <c r="F1390" s="3" t="s">
        <v>15</v>
      </c>
      <c r="G1390" s="3" t="s">
        <v>22</v>
      </c>
      <c r="H1390" s="140">
        <v>10.73</v>
      </c>
      <c r="I1390" s="28">
        <v>12</v>
      </c>
      <c r="J1390" s="19">
        <v>0</v>
      </c>
      <c r="K1390" s="13">
        <v>0</v>
      </c>
      <c r="L1390" s="7" t="s">
        <v>483</v>
      </c>
    </row>
    <row r="1391" spans="1:12">
      <c r="A1391" s="7"/>
      <c r="B1391" s="381" t="s">
        <v>311</v>
      </c>
      <c r="C1391" s="3" t="s">
        <v>232</v>
      </c>
      <c r="D1391" s="2" t="s">
        <v>228</v>
      </c>
      <c r="E1391" s="382" t="s">
        <v>152</v>
      </c>
      <c r="F1391" s="3" t="s">
        <v>15</v>
      </c>
      <c r="G1391" s="3" t="s">
        <v>22</v>
      </c>
      <c r="H1391" s="140">
        <v>10.73</v>
      </c>
      <c r="I1391" s="28">
        <v>11.4</v>
      </c>
      <c r="J1391" s="19">
        <v>0</v>
      </c>
      <c r="K1391" s="13">
        <v>0</v>
      </c>
      <c r="L1391" s="7" t="s">
        <v>483</v>
      </c>
    </row>
    <row r="1392" spans="1:12">
      <c r="A1392" s="7"/>
      <c r="B1392" s="381" t="s">
        <v>311</v>
      </c>
      <c r="C1392" s="3" t="s">
        <v>232</v>
      </c>
      <c r="D1392" s="2" t="s">
        <v>228</v>
      </c>
      <c r="E1392" s="382" t="s">
        <v>152</v>
      </c>
      <c r="F1392" s="3" t="s">
        <v>15</v>
      </c>
      <c r="G1392" s="3" t="s">
        <v>22</v>
      </c>
      <c r="H1392" s="140">
        <v>10.73</v>
      </c>
      <c r="I1392" s="28">
        <v>11.2</v>
      </c>
      <c r="J1392" s="19">
        <v>0</v>
      </c>
      <c r="K1392" s="13">
        <v>0</v>
      </c>
      <c r="L1392" s="7" t="s">
        <v>483</v>
      </c>
    </row>
    <row r="1393" spans="1:12">
      <c r="A1393" s="7"/>
      <c r="B1393" s="381" t="s">
        <v>311</v>
      </c>
      <c r="C1393" s="3" t="s">
        <v>232</v>
      </c>
      <c r="D1393" s="2" t="s">
        <v>228</v>
      </c>
      <c r="E1393" s="382" t="s">
        <v>152</v>
      </c>
      <c r="F1393" s="3" t="s">
        <v>15</v>
      </c>
      <c r="G1393" s="3" t="s">
        <v>22</v>
      </c>
      <c r="H1393" s="140">
        <v>10.73</v>
      </c>
      <c r="I1393" s="28">
        <v>7.5</v>
      </c>
      <c r="J1393" s="19">
        <v>2</v>
      </c>
      <c r="K1393" s="13">
        <v>0.16095000000000001</v>
      </c>
      <c r="L1393" s="7" t="s">
        <v>483</v>
      </c>
    </row>
    <row r="1394" spans="1:12">
      <c r="A1394" s="7"/>
      <c r="B1394" s="381" t="s">
        <v>311</v>
      </c>
      <c r="C1394" s="3" t="s">
        <v>232</v>
      </c>
      <c r="D1394" s="2" t="s">
        <v>228</v>
      </c>
      <c r="E1394" s="382" t="s">
        <v>152</v>
      </c>
      <c r="F1394" s="3" t="s">
        <v>15</v>
      </c>
      <c r="G1394" s="3" t="s">
        <v>22</v>
      </c>
      <c r="H1394" s="140">
        <v>10.73</v>
      </c>
      <c r="I1394" s="28">
        <v>7.3</v>
      </c>
      <c r="J1394" s="19">
        <v>3</v>
      </c>
      <c r="K1394" s="13">
        <v>0.234987</v>
      </c>
      <c r="L1394" s="7" t="s">
        <v>483</v>
      </c>
    </row>
    <row r="1395" spans="1:12">
      <c r="A1395" s="7"/>
      <c r="B1395" s="381" t="s">
        <v>311</v>
      </c>
      <c r="C1395" s="3" t="s">
        <v>232</v>
      </c>
      <c r="D1395" s="2" t="s">
        <v>228</v>
      </c>
      <c r="E1395" s="382" t="s">
        <v>152</v>
      </c>
      <c r="F1395" s="3" t="s">
        <v>15</v>
      </c>
      <c r="G1395" s="3" t="s">
        <v>22</v>
      </c>
      <c r="H1395" s="140">
        <v>10.73</v>
      </c>
      <c r="I1395" s="28">
        <v>6.9</v>
      </c>
      <c r="J1395" s="19">
        <v>0</v>
      </c>
      <c r="K1395" s="13">
        <v>0</v>
      </c>
      <c r="L1395" s="7" t="s">
        <v>483</v>
      </c>
    </row>
    <row r="1396" spans="1:12">
      <c r="A1396" s="7"/>
      <c r="B1396" s="381" t="s">
        <v>311</v>
      </c>
      <c r="C1396" s="3" t="s">
        <v>232</v>
      </c>
      <c r="D1396" s="2" t="s">
        <v>228</v>
      </c>
      <c r="E1396" s="382" t="s">
        <v>152</v>
      </c>
      <c r="F1396" s="3" t="s">
        <v>15</v>
      </c>
      <c r="G1396" s="3" t="s">
        <v>22</v>
      </c>
      <c r="H1396" s="140">
        <v>10.73</v>
      </c>
      <c r="I1396" s="28">
        <v>7.1</v>
      </c>
      <c r="J1396" s="19">
        <v>1</v>
      </c>
      <c r="K1396" s="13">
        <v>7.6182999999999987E-2</v>
      </c>
      <c r="L1396" s="7" t="s">
        <v>483</v>
      </c>
    </row>
    <row r="1397" spans="1:12">
      <c r="A1397" s="7"/>
      <c r="B1397" s="381" t="s">
        <v>311</v>
      </c>
      <c r="C1397" s="3" t="s">
        <v>232</v>
      </c>
      <c r="D1397" s="2" t="s">
        <v>228</v>
      </c>
      <c r="E1397" s="382" t="s">
        <v>152</v>
      </c>
      <c r="F1397" s="3" t="s">
        <v>15</v>
      </c>
      <c r="G1397" s="3" t="s">
        <v>22</v>
      </c>
      <c r="H1397" s="140">
        <v>10.73</v>
      </c>
      <c r="I1397" s="28">
        <v>7.3</v>
      </c>
      <c r="J1397" s="19">
        <v>3</v>
      </c>
      <c r="K1397" s="13">
        <v>0.234987</v>
      </c>
      <c r="L1397" s="7" t="s">
        <v>483</v>
      </c>
    </row>
    <row r="1398" spans="1:12">
      <c r="A1398" s="7"/>
      <c r="B1398" s="381" t="s">
        <v>311</v>
      </c>
      <c r="C1398" s="3" t="s">
        <v>232</v>
      </c>
      <c r="D1398" s="2" t="s">
        <v>228</v>
      </c>
      <c r="E1398" s="382" t="s">
        <v>152</v>
      </c>
      <c r="F1398" s="3" t="s">
        <v>15</v>
      </c>
      <c r="G1398" s="3" t="s">
        <v>22</v>
      </c>
      <c r="H1398" s="140">
        <v>10.73</v>
      </c>
      <c r="I1398" s="28">
        <v>8.6</v>
      </c>
      <c r="J1398" s="19">
        <v>2</v>
      </c>
      <c r="K1398" s="13">
        <v>0.184556</v>
      </c>
      <c r="L1398" s="7" t="s">
        <v>483</v>
      </c>
    </row>
    <row r="1399" spans="1:12">
      <c r="A1399" s="7"/>
      <c r="B1399" s="381" t="s">
        <v>311</v>
      </c>
      <c r="C1399" s="3" t="s">
        <v>232</v>
      </c>
      <c r="D1399" s="2" t="s">
        <v>228</v>
      </c>
      <c r="E1399" s="382" t="s">
        <v>152</v>
      </c>
      <c r="F1399" s="3" t="s">
        <v>15</v>
      </c>
      <c r="G1399" s="3" t="s">
        <v>22</v>
      </c>
      <c r="H1399" s="140">
        <v>10.73</v>
      </c>
      <c r="I1399" s="28">
        <v>9</v>
      </c>
      <c r="J1399" s="19">
        <v>3</v>
      </c>
      <c r="K1399" s="13">
        <v>0.28971000000000002</v>
      </c>
      <c r="L1399" s="7" t="s">
        <v>483</v>
      </c>
    </row>
    <row r="1400" spans="1:12">
      <c r="A1400" s="7"/>
      <c r="B1400" s="381" t="s">
        <v>311</v>
      </c>
      <c r="C1400" s="3" t="s">
        <v>232</v>
      </c>
      <c r="D1400" s="2" t="s">
        <v>228</v>
      </c>
      <c r="E1400" s="382" t="s">
        <v>152</v>
      </c>
      <c r="F1400" s="3" t="s">
        <v>15</v>
      </c>
      <c r="G1400" s="3" t="s">
        <v>22</v>
      </c>
      <c r="H1400" s="140">
        <v>10.73</v>
      </c>
      <c r="I1400" s="28">
        <v>7.5</v>
      </c>
      <c r="J1400" s="19">
        <v>14</v>
      </c>
      <c r="K1400" s="13">
        <v>1.1266500000000002</v>
      </c>
      <c r="L1400" s="7" t="s">
        <v>483</v>
      </c>
    </row>
    <row r="1401" spans="1:12">
      <c r="A1401" s="7"/>
      <c r="B1401" s="381" t="s">
        <v>311</v>
      </c>
      <c r="C1401" s="3" t="s">
        <v>232</v>
      </c>
      <c r="D1401" s="2" t="s">
        <v>228</v>
      </c>
      <c r="E1401" s="382" t="s">
        <v>152</v>
      </c>
      <c r="F1401" s="3" t="s">
        <v>15</v>
      </c>
      <c r="G1401" s="3" t="s">
        <v>22</v>
      </c>
      <c r="H1401" s="140">
        <v>10.73</v>
      </c>
      <c r="I1401" s="28">
        <v>11.4</v>
      </c>
      <c r="J1401" s="19">
        <v>0</v>
      </c>
      <c r="K1401" s="13">
        <v>0</v>
      </c>
      <c r="L1401" s="7" t="s">
        <v>483</v>
      </c>
    </row>
    <row r="1402" spans="1:12">
      <c r="A1402" s="7"/>
      <c r="B1402" s="381" t="s">
        <v>311</v>
      </c>
      <c r="C1402" s="3" t="s">
        <v>232</v>
      </c>
      <c r="D1402" s="2" t="s">
        <v>228</v>
      </c>
      <c r="E1402" s="382" t="s">
        <v>152</v>
      </c>
      <c r="F1402" s="3" t="s">
        <v>15</v>
      </c>
      <c r="G1402" s="3" t="s">
        <v>22</v>
      </c>
      <c r="H1402" s="140">
        <v>10.73</v>
      </c>
      <c r="I1402" s="28">
        <v>11.2</v>
      </c>
      <c r="J1402" s="19">
        <v>0</v>
      </c>
      <c r="K1402" s="13">
        <v>0</v>
      </c>
      <c r="L1402" s="7" t="s">
        <v>483</v>
      </c>
    </row>
    <row r="1403" spans="1:12">
      <c r="A1403" s="7"/>
      <c r="B1403" s="381" t="s">
        <v>311</v>
      </c>
      <c r="C1403" s="3" t="s">
        <v>232</v>
      </c>
      <c r="D1403" s="2" t="s">
        <v>228</v>
      </c>
      <c r="E1403" s="382" t="s">
        <v>152</v>
      </c>
      <c r="F1403" s="3" t="s">
        <v>15</v>
      </c>
      <c r="G1403" s="3" t="s">
        <v>22</v>
      </c>
      <c r="H1403" s="140">
        <v>10.73</v>
      </c>
      <c r="I1403" s="28">
        <v>12</v>
      </c>
      <c r="J1403" s="19">
        <v>0</v>
      </c>
      <c r="K1403" s="13">
        <v>0</v>
      </c>
      <c r="L1403" s="7" t="s">
        <v>483</v>
      </c>
    </row>
    <row r="1404" spans="1:12">
      <c r="A1404" s="7"/>
      <c r="B1404" s="381" t="s">
        <v>311</v>
      </c>
      <c r="C1404" s="3" t="s">
        <v>232</v>
      </c>
      <c r="D1404" s="2" t="s">
        <v>228</v>
      </c>
      <c r="E1404" s="382" t="s">
        <v>152</v>
      </c>
      <c r="F1404" s="3" t="s">
        <v>15</v>
      </c>
      <c r="G1404" s="3" t="s">
        <v>22</v>
      </c>
      <c r="H1404" s="140">
        <v>10.73</v>
      </c>
      <c r="I1404" s="28">
        <v>11.4</v>
      </c>
      <c r="J1404" s="19">
        <v>0</v>
      </c>
      <c r="K1404" s="13">
        <v>0</v>
      </c>
      <c r="L1404" s="7" t="s">
        <v>483</v>
      </c>
    </row>
    <row r="1405" spans="1:12">
      <c r="A1405" s="7"/>
      <c r="B1405" s="381" t="s">
        <v>311</v>
      </c>
      <c r="C1405" s="3" t="s">
        <v>232</v>
      </c>
      <c r="D1405" s="2" t="s">
        <v>228</v>
      </c>
      <c r="E1405" s="382" t="s">
        <v>152</v>
      </c>
      <c r="F1405" s="3" t="s">
        <v>15</v>
      </c>
      <c r="G1405" s="3" t="s">
        <v>22</v>
      </c>
      <c r="H1405" s="140">
        <v>10.73</v>
      </c>
      <c r="I1405" s="28">
        <v>10.4</v>
      </c>
      <c r="J1405" s="19">
        <v>0</v>
      </c>
      <c r="K1405" s="13">
        <v>0</v>
      </c>
      <c r="L1405" s="7" t="s">
        <v>483</v>
      </c>
    </row>
    <row r="1406" spans="1:12">
      <c r="A1406" s="7"/>
      <c r="B1406" s="381" t="s">
        <v>311</v>
      </c>
      <c r="C1406" s="3" t="s">
        <v>232</v>
      </c>
      <c r="D1406" s="2" t="s">
        <v>228</v>
      </c>
      <c r="E1406" s="382" t="s">
        <v>152</v>
      </c>
      <c r="F1406" s="3" t="s">
        <v>15</v>
      </c>
      <c r="G1406" s="3" t="s">
        <v>22</v>
      </c>
      <c r="H1406" s="140">
        <v>10.73</v>
      </c>
      <c r="I1406" s="28">
        <v>9.5</v>
      </c>
      <c r="J1406" s="19">
        <v>1</v>
      </c>
      <c r="K1406" s="13">
        <v>0.101935</v>
      </c>
      <c r="L1406" s="7" t="s">
        <v>483</v>
      </c>
    </row>
    <row r="1407" spans="1:12">
      <c r="A1407" s="7"/>
      <c r="B1407" s="381" t="s">
        <v>311</v>
      </c>
      <c r="C1407" s="3" t="s">
        <v>232</v>
      </c>
      <c r="D1407" s="2" t="s">
        <v>228</v>
      </c>
      <c r="E1407" s="382" t="s">
        <v>152</v>
      </c>
      <c r="F1407" s="3" t="s">
        <v>15</v>
      </c>
      <c r="G1407" s="3" t="s">
        <v>22</v>
      </c>
      <c r="H1407" s="140">
        <v>10.73</v>
      </c>
      <c r="I1407" s="28">
        <v>9.4</v>
      </c>
      <c r="J1407" s="19">
        <v>0</v>
      </c>
      <c r="K1407" s="13">
        <v>0</v>
      </c>
      <c r="L1407" s="7" t="s">
        <v>483</v>
      </c>
    </row>
    <row r="1408" spans="1:12">
      <c r="A1408" s="7"/>
      <c r="B1408" s="381" t="s">
        <v>311</v>
      </c>
      <c r="C1408" s="3" t="s">
        <v>232</v>
      </c>
      <c r="D1408" s="2" t="s">
        <v>228</v>
      </c>
      <c r="E1408" s="382" t="s">
        <v>152</v>
      </c>
      <c r="F1408" s="3" t="s">
        <v>15</v>
      </c>
      <c r="G1408" s="3" t="s">
        <v>22</v>
      </c>
      <c r="H1408" s="140">
        <v>10.73</v>
      </c>
      <c r="I1408" s="28">
        <v>9</v>
      </c>
      <c r="J1408" s="19">
        <v>1</v>
      </c>
      <c r="K1408" s="13">
        <v>9.6570000000000003E-2</v>
      </c>
      <c r="L1408" s="7" t="s">
        <v>483</v>
      </c>
    </row>
    <row r="1409" spans="1:12">
      <c r="A1409" s="7"/>
      <c r="B1409" s="381" t="s">
        <v>311</v>
      </c>
      <c r="C1409" s="3" t="s">
        <v>232</v>
      </c>
      <c r="D1409" s="2" t="s">
        <v>228</v>
      </c>
      <c r="E1409" s="382" t="s">
        <v>152</v>
      </c>
      <c r="F1409" s="3" t="s">
        <v>15</v>
      </c>
      <c r="G1409" s="3" t="s">
        <v>22</v>
      </c>
      <c r="H1409" s="140">
        <v>10.73</v>
      </c>
      <c r="I1409" s="28">
        <v>9.4</v>
      </c>
      <c r="J1409" s="19">
        <v>0</v>
      </c>
      <c r="K1409" s="13">
        <v>0</v>
      </c>
      <c r="L1409" s="7" t="s">
        <v>483</v>
      </c>
    </row>
    <row r="1410" spans="1:12">
      <c r="A1410" s="7"/>
      <c r="B1410" s="381" t="s">
        <v>311</v>
      </c>
      <c r="C1410" s="3" t="s">
        <v>232</v>
      </c>
      <c r="D1410" s="2" t="s">
        <v>228</v>
      </c>
      <c r="E1410" s="382" t="s">
        <v>152</v>
      </c>
      <c r="F1410" s="3" t="s">
        <v>15</v>
      </c>
      <c r="G1410" s="3" t="s">
        <v>22</v>
      </c>
      <c r="H1410" s="140">
        <v>10.73</v>
      </c>
      <c r="I1410" s="28">
        <v>11.6</v>
      </c>
      <c r="J1410" s="19">
        <v>0</v>
      </c>
      <c r="K1410" s="13">
        <v>0</v>
      </c>
      <c r="L1410" s="7" t="s">
        <v>483</v>
      </c>
    </row>
    <row r="1411" spans="1:12">
      <c r="A1411" s="7"/>
      <c r="B1411" s="381" t="s">
        <v>311</v>
      </c>
      <c r="C1411" s="3" t="s">
        <v>232</v>
      </c>
      <c r="D1411" s="2" t="s">
        <v>228</v>
      </c>
      <c r="E1411" s="382" t="s">
        <v>152</v>
      </c>
      <c r="F1411" s="3" t="s">
        <v>15</v>
      </c>
      <c r="G1411" s="3" t="s">
        <v>22</v>
      </c>
      <c r="H1411" s="140">
        <v>10.73</v>
      </c>
      <c r="I1411" s="28">
        <v>12</v>
      </c>
      <c r="J1411" s="19">
        <v>0</v>
      </c>
      <c r="K1411" s="13">
        <v>0</v>
      </c>
      <c r="L1411" s="7" t="s">
        <v>483</v>
      </c>
    </row>
    <row r="1412" spans="1:12">
      <c r="A1412" s="7"/>
      <c r="B1412" s="381" t="s">
        <v>311</v>
      </c>
      <c r="C1412" s="3" t="s">
        <v>232</v>
      </c>
      <c r="D1412" s="2" t="s">
        <v>228</v>
      </c>
      <c r="E1412" s="382" t="s">
        <v>152</v>
      </c>
      <c r="F1412" s="3" t="s">
        <v>15</v>
      </c>
      <c r="G1412" s="3" t="s">
        <v>22</v>
      </c>
      <c r="H1412" s="140">
        <v>10.73</v>
      </c>
      <c r="I1412" s="28">
        <v>12</v>
      </c>
      <c r="J1412" s="19">
        <v>0</v>
      </c>
      <c r="K1412" s="13">
        <v>0</v>
      </c>
      <c r="L1412" s="7" t="s">
        <v>483</v>
      </c>
    </row>
    <row r="1413" spans="1:12">
      <c r="A1413" s="7"/>
      <c r="B1413" s="381" t="s">
        <v>311</v>
      </c>
      <c r="C1413" s="3" t="s">
        <v>232</v>
      </c>
      <c r="D1413" s="2" t="s">
        <v>228</v>
      </c>
      <c r="E1413" s="382" t="s">
        <v>152</v>
      </c>
      <c r="F1413" s="3" t="s">
        <v>15</v>
      </c>
      <c r="G1413" s="3" t="s">
        <v>22</v>
      </c>
      <c r="H1413" s="140">
        <v>10.73</v>
      </c>
      <c r="I1413" s="28">
        <v>11.9</v>
      </c>
      <c r="J1413" s="19">
        <v>0</v>
      </c>
      <c r="K1413" s="13">
        <v>0</v>
      </c>
      <c r="L1413" s="7" t="s">
        <v>483</v>
      </c>
    </row>
    <row r="1414" spans="1:12">
      <c r="A1414" s="7"/>
      <c r="B1414" s="381" t="s">
        <v>311</v>
      </c>
      <c r="C1414" s="3" t="s">
        <v>232</v>
      </c>
      <c r="D1414" s="2" t="s">
        <v>228</v>
      </c>
      <c r="E1414" s="382" t="s">
        <v>152</v>
      </c>
      <c r="F1414" s="3" t="s">
        <v>15</v>
      </c>
      <c r="G1414" s="3" t="s">
        <v>22</v>
      </c>
      <c r="H1414" s="140">
        <v>10.73</v>
      </c>
      <c r="I1414" s="28">
        <v>11.5</v>
      </c>
      <c r="J1414" s="19">
        <v>0</v>
      </c>
      <c r="K1414" s="13">
        <v>0</v>
      </c>
      <c r="L1414" s="7" t="s">
        <v>483</v>
      </c>
    </row>
    <row r="1415" spans="1:12">
      <c r="A1415" s="7"/>
      <c r="B1415" s="381" t="s">
        <v>311</v>
      </c>
      <c r="C1415" s="3" t="s">
        <v>232</v>
      </c>
      <c r="D1415" s="2" t="s">
        <v>228</v>
      </c>
      <c r="E1415" s="382" t="s">
        <v>152</v>
      </c>
      <c r="F1415" s="3" t="s">
        <v>15</v>
      </c>
      <c r="G1415" s="3" t="s">
        <v>22</v>
      </c>
      <c r="H1415" s="140">
        <v>10.73</v>
      </c>
      <c r="I1415" s="28">
        <v>10.5</v>
      </c>
      <c r="J1415" s="19">
        <v>0</v>
      </c>
      <c r="K1415" s="13">
        <v>0</v>
      </c>
      <c r="L1415" s="7" t="s">
        <v>483</v>
      </c>
    </row>
    <row r="1416" spans="1:12">
      <c r="A1416" s="7"/>
      <c r="B1416" s="381" t="s">
        <v>311</v>
      </c>
      <c r="C1416" s="3" t="s">
        <v>232</v>
      </c>
      <c r="D1416" s="2" t="s">
        <v>228</v>
      </c>
      <c r="E1416" s="382" t="s">
        <v>152</v>
      </c>
      <c r="F1416" s="3" t="s">
        <v>15</v>
      </c>
      <c r="G1416" s="3" t="s">
        <v>22</v>
      </c>
      <c r="H1416" s="140">
        <v>10.73</v>
      </c>
      <c r="I1416" s="28">
        <v>7.8</v>
      </c>
      <c r="J1416" s="19">
        <v>0</v>
      </c>
      <c r="K1416" s="13">
        <v>0</v>
      </c>
      <c r="L1416" s="7" t="s">
        <v>483</v>
      </c>
    </row>
    <row r="1417" spans="1:12">
      <c r="A1417" s="7"/>
      <c r="B1417" s="381" t="s">
        <v>311</v>
      </c>
      <c r="C1417" s="3" t="s">
        <v>232</v>
      </c>
      <c r="D1417" s="2" t="s">
        <v>228</v>
      </c>
      <c r="E1417" s="382" t="s">
        <v>152</v>
      </c>
      <c r="F1417" s="3" t="s">
        <v>15</v>
      </c>
      <c r="G1417" s="3" t="s">
        <v>22</v>
      </c>
      <c r="H1417" s="140">
        <v>10.73</v>
      </c>
      <c r="I1417" s="28">
        <v>9</v>
      </c>
      <c r="J1417" s="19">
        <v>1</v>
      </c>
      <c r="K1417" s="13">
        <v>9.6570000000000003E-2</v>
      </c>
      <c r="L1417" s="7" t="s">
        <v>483</v>
      </c>
    </row>
    <row r="1418" spans="1:12">
      <c r="A1418" s="7"/>
      <c r="B1418" s="381" t="s">
        <v>311</v>
      </c>
      <c r="C1418" s="3" t="s">
        <v>232</v>
      </c>
      <c r="D1418" s="2" t="s">
        <v>228</v>
      </c>
      <c r="E1418" s="382" t="s">
        <v>152</v>
      </c>
      <c r="F1418" s="3" t="s">
        <v>15</v>
      </c>
      <c r="G1418" s="3" t="s">
        <v>22</v>
      </c>
      <c r="H1418" s="140">
        <v>10.73</v>
      </c>
      <c r="I1418" s="28">
        <v>10.4</v>
      </c>
      <c r="J1418" s="19">
        <v>0</v>
      </c>
      <c r="K1418" s="13">
        <v>0</v>
      </c>
      <c r="L1418" s="7" t="s">
        <v>483</v>
      </c>
    </row>
    <row r="1419" spans="1:12">
      <c r="A1419" s="7"/>
      <c r="B1419" s="381" t="s">
        <v>311</v>
      </c>
      <c r="C1419" s="3" t="s">
        <v>232</v>
      </c>
      <c r="D1419" s="2" t="s">
        <v>228</v>
      </c>
      <c r="E1419" s="382" t="s">
        <v>152</v>
      </c>
      <c r="F1419" s="3" t="s">
        <v>15</v>
      </c>
      <c r="G1419" s="3" t="s">
        <v>22</v>
      </c>
      <c r="H1419" s="140">
        <v>10.73</v>
      </c>
      <c r="I1419" s="28">
        <v>11</v>
      </c>
      <c r="J1419" s="19">
        <v>0</v>
      </c>
      <c r="K1419" s="13">
        <v>0</v>
      </c>
      <c r="L1419" s="7" t="s">
        <v>483</v>
      </c>
    </row>
    <row r="1420" spans="1:12">
      <c r="A1420" s="7"/>
      <c r="B1420" s="381" t="s">
        <v>311</v>
      </c>
      <c r="C1420" s="3" t="s">
        <v>232</v>
      </c>
      <c r="D1420" s="2" t="s">
        <v>228</v>
      </c>
      <c r="E1420" s="382" t="s">
        <v>152</v>
      </c>
      <c r="F1420" s="3" t="s">
        <v>15</v>
      </c>
      <c r="G1420" s="3" t="s">
        <v>22</v>
      </c>
      <c r="H1420" s="140">
        <v>10.73</v>
      </c>
      <c r="I1420" s="28">
        <v>11.6</v>
      </c>
      <c r="J1420" s="19">
        <v>0</v>
      </c>
      <c r="K1420" s="13">
        <v>0</v>
      </c>
      <c r="L1420" s="7" t="s">
        <v>483</v>
      </c>
    </row>
    <row r="1421" spans="1:12">
      <c r="A1421" s="7"/>
      <c r="B1421" s="381" t="s">
        <v>311</v>
      </c>
      <c r="C1421" s="3" t="s">
        <v>232</v>
      </c>
      <c r="D1421" s="2" t="s">
        <v>228</v>
      </c>
      <c r="E1421" s="382" t="s">
        <v>152</v>
      </c>
      <c r="F1421" s="3" t="s">
        <v>15</v>
      </c>
      <c r="G1421" s="3" t="s">
        <v>22</v>
      </c>
      <c r="H1421" s="140">
        <v>10.73</v>
      </c>
      <c r="I1421" s="28">
        <v>6.8</v>
      </c>
      <c r="J1421" s="19">
        <v>1</v>
      </c>
      <c r="K1421" s="13">
        <v>7.2964000000000001E-2</v>
      </c>
      <c r="L1421" s="7" t="s">
        <v>483</v>
      </c>
    </row>
    <row r="1422" spans="1:12">
      <c r="A1422" s="7"/>
      <c r="B1422" s="381" t="s">
        <v>311</v>
      </c>
      <c r="C1422" s="3" t="s">
        <v>232</v>
      </c>
      <c r="D1422" s="2" t="s">
        <v>228</v>
      </c>
      <c r="E1422" s="382" t="s">
        <v>152</v>
      </c>
      <c r="F1422" s="3" t="s">
        <v>15</v>
      </c>
      <c r="G1422" s="3" t="s">
        <v>22</v>
      </c>
      <c r="H1422" s="140">
        <v>10.73</v>
      </c>
      <c r="I1422" s="28">
        <v>6.9</v>
      </c>
      <c r="J1422" s="19">
        <v>1</v>
      </c>
      <c r="K1422" s="13">
        <v>7.4037000000000006E-2</v>
      </c>
      <c r="L1422" s="7" t="s">
        <v>483</v>
      </c>
    </row>
    <row r="1423" spans="1:12">
      <c r="A1423" s="7"/>
      <c r="B1423" s="381" t="s">
        <v>311</v>
      </c>
      <c r="C1423" s="3" t="s">
        <v>232</v>
      </c>
      <c r="D1423" s="2" t="s">
        <v>228</v>
      </c>
      <c r="E1423" s="382" t="s">
        <v>152</v>
      </c>
      <c r="F1423" s="3" t="s">
        <v>15</v>
      </c>
      <c r="G1423" s="3" t="s">
        <v>22</v>
      </c>
      <c r="H1423" s="140">
        <v>10.73</v>
      </c>
      <c r="I1423" s="28">
        <v>11</v>
      </c>
      <c r="J1423" s="19">
        <v>0</v>
      </c>
      <c r="K1423" s="13">
        <v>0</v>
      </c>
      <c r="L1423" s="7" t="s">
        <v>483</v>
      </c>
    </row>
    <row r="1424" spans="1:12">
      <c r="A1424" s="7"/>
      <c r="B1424" s="381" t="s">
        <v>311</v>
      </c>
      <c r="C1424" s="3" t="s">
        <v>232</v>
      </c>
      <c r="D1424" s="2" t="s">
        <v>228</v>
      </c>
      <c r="E1424" s="382" t="s">
        <v>152</v>
      </c>
      <c r="F1424" s="3" t="s">
        <v>15</v>
      </c>
      <c r="G1424" s="3" t="s">
        <v>22</v>
      </c>
      <c r="H1424" s="140">
        <v>10.73</v>
      </c>
      <c r="I1424" s="28">
        <v>11.3</v>
      </c>
      <c r="J1424" s="19">
        <v>0</v>
      </c>
      <c r="K1424" s="13">
        <v>0</v>
      </c>
      <c r="L1424" s="7" t="s">
        <v>483</v>
      </c>
    </row>
    <row r="1425" spans="1:12">
      <c r="A1425" s="7"/>
      <c r="B1425" s="381" t="s">
        <v>311</v>
      </c>
      <c r="C1425" s="3" t="s">
        <v>232</v>
      </c>
      <c r="D1425" s="2" t="s">
        <v>228</v>
      </c>
      <c r="E1425" s="382" t="s">
        <v>152</v>
      </c>
      <c r="F1425" s="3" t="s">
        <v>15</v>
      </c>
      <c r="G1425" s="3" t="s">
        <v>22</v>
      </c>
      <c r="H1425" s="140">
        <v>10.73</v>
      </c>
      <c r="I1425" s="28">
        <v>7.2</v>
      </c>
      <c r="J1425" s="19">
        <v>1</v>
      </c>
      <c r="K1425" s="13">
        <v>7.7256000000000005E-2</v>
      </c>
      <c r="L1425" s="7" t="s">
        <v>483</v>
      </c>
    </row>
    <row r="1426" spans="1:12">
      <c r="A1426" s="7"/>
      <c r="B1426" s="381" t="s">
        <v>311</v>
      </c>
      <c r="C1426" s="3" t="s">
        <v>232</v>
      </c>
      <c r="D1426" s="2" t="s">
        <v>228</v>
      </c>
      <c r="E1426" s="382" t="s">
        <v>152</v>
      </c>
      <c r="F1426" s="3" t="s">
        <v>15</v>
      </c>
      <c r="G1426" s="3" t="s">
        <v>22</v>
      </c>
      <c r="H1426" s="140">
        <v>10.73</v>
      </c>
      <c r="I1426" s="28">
        <v>7.4</v>
      </c>
      <c r="J1426" s="19">
        <v>1</v>
      </c>
      <c r="K1426" s="13">
        <v>7.9402E-2</v>
      </c>
      <c r="L1426" s="7" t="s">
        <v>483</v>
      </c>
    </row>
    <row r="1427" spans="1:12">
      <c r="A1427" s="7"/>
      <c r="B1427" s="381" t="s">
        <v>311</v>
      </c>
      <c r="C1427" s="3" t="s">
        <v>232</v>
      </c>
      <c r="D1427" s="2" t="s">
        <v>228</v>
      </c>
      <c r="E1427" s="382" t="s">
        <v>152</v>
      </c>
      <c r="F1427" s="3" t="s">
        <v>15</v>
      </c>
      <c r="G1427" s="3" t="s">
        <v>22</v>
      </c>
      <c r="H1427" s="140">
        <v>10.73</v>
      </c>
      <c r="I1427" s="28">
        <v>7.5</v>
      </c>
      <c r="J1427" s="19">
        <v>4</v>
      </c>
      <c r="K1427" s="13">
        <v>0.32190000000000002</v>
      </c>
      <c r="L1427" s="7" t="s">
        <v>483</v>
      </c>
    </row>
    <row r="1428" spans="1:12">
      <c r="A1428" s="7"/>
      <c r="B1428" s="381" t="s">
        <v>311</v>
      </c>
      <c r="C1428" s="3" t="s">
        <v>232</v>
      </c>
      <c r="D1428" s="2" t="s">
        <v>228</v>
      </c>
      <c r="E1428" s="382" t="s">
        <v>152</v>
      </c>
      <c r="F1428" s="3" t="s">
        <v>15</v>
      </c>
      <c r="G1428" s="3" t="s">
        <v>22</v>
      </c>
      <c r="H1428" s="140">
        <v>10.73</v>
      </c>
      <c r="I1428" s="28">
        <v>7.6</v>
      </c>
      <c r="J1428" s="19">
        <v>14</v>
      </c>
      <c r="K1428" s="13">
        <v>1.141672</v>
      </c>
      <c r="L1428" s="7" t="s">
        <v>483</v>
      </c>
    </row>
    <row r="1429" spans="1:12">
      <c r="A1429" s="7"/>
      <c r="B1429" s="381" t="s">
        <v>311</v>
      </c>
      <c r="C1429" s="3" t="s">
        <v>232</v>
      </c>
      <c r="D1429" s="2" t="s">
        <v>228</v>
      </c>
      <c r="E1429" s="382" t="s">
        <v>152</v>
      </c>
      <c r="F1429" s="3" t="s">
        <v>15</v>
      </c>
      <c r="G1429" s="3" t="s">
        <v>22</v>
      </c>
      <c r="H1429" s="140">
        <v>10.73</v>
      </c>
      <c r="I1429" s="28">
        <v>9</v>
      </c>
      <c r="J1429" s="19">
        <v>3</v>
      </c>
      <c r="K1429" s="13">
        <v>0.28971000000000002</v>
      </c>
      <c r="L1429" s="7" t="s">
        <v>483</v>
      </c>
    </row>
    <row r="1430" spans="1:12">
      <c r="A1430" s="7"/>
      <c r="B1430" s="381" t="s">
        <v>311</v>
      </c>
      <c r="C1430" s="3" t="s">
        <v>232</v>
      </c>
      <c r="D1430" s="2" t="s">
        <v>228</v>
      </c>
      <c r="E1430" s="382" t="s">
        <v>152</v>
      </c>
      <c r="F1430" s="3" t="s">
        <v>15</v>
      </c>
      <c r="G1430" s="3" t="s">
        <v>22</v>
      </c>
      <c r="H1430" s="140">
        <v>10.73</v>
      </c>
      <c r="I1430" s="28">
        <v>11</v>
      </c>
      <c r="J1430" s="19">
        <v>0</v>
      </c>
      <c r="K1430" s="13">
        <v>0</v>
      </c>
      <c r="L1430" s="7" t="s">
        <v>483</v>
      </c>
    </row>
    <row r="1431" spans="1:12">
      <c r="A1431" s="7"/>
      <c r="B1431" s="381" t="s">
        <v>311</v>
      </c>
      <c r="C1431" s="3" t="s">
        <v>232</v>
      </c>
      <c r="D1431" s="2" t="s">
        <v>228</v>
      </c>
      <c r="E1431" s="382" t="s">
        <v>152</v>
      </c>
      <c r="F1431" s="3" t="s">
        <v>15</v>
      </c>
      <c r="G1431" s="3" t="s">
        <v>22</v>
      </c>
      <c r="H1431" s="140">
        <v>10.73</v>
      </c>
      <c r="I1431" s="28">
        <v>11.4</v>
      </c>
      <c r="J1431" s="19">
        <v>0</v>
      </c>
      <c r="K1431" s="13">
        <v>0</v>
      </c>
      <c r="L1431" s="7" t="s">
        <v>483</v>
      </c>
    </row>
    <row r="1432" spans="1:12">
      <c r="A1432" s="7"/>
      <c r="B1432" s="381" t="s">
        <v>311</v>
      </c>
      <c r="C1432" s="3" t="s">
        <v>232</v>
      </c>
      <c r="D1432" s="2" t="s">
        <v>228</v>
      </c>
      <c r="E1432" s="382" t="s">
        <v>152</v>
      </c>
      <c r="F1432" s="3" t="s">
        <v>15</v>
      </c>
      <c r="G1432" s="3" t="s">
        <v>22</v>
      </c>
      <c r="H1432" s="140">
        <v>10.73</v>
      </c>
      <c r="I1432" s="28">
        <v>9.4</v>
      </c>
      <c r="J1432" s="19">
        <v>0</v>
      </c>
      <c r="K1432" s="13">
        <v>0</v>
      </c>
      <c r="L1432" s="7" t="s">
        <v>483</v>
      </c>
    </row>
    <row r="1433" spans="1:12">
      <c r="A1433" s="7"/>
      <c r="B1433" s="381" t="s">
        <v>311</v>
      </c>
      <c r="C1433" s="3" t="s">
        <v>232</v>
      </c>
      <c r="D1433" s="2" t="s">
        <v>228</v>
      </c>
      <c r="E1433" s="382" t="s">
        <v>152</v>
      </c>
      <c r="F1433" s="3" t="s">
        <v>15</v>
      </c>
      <c r="G1433" s="3" t="s">
        <v>22</v>
      </c>
      <c r="H1433" s="140">
        <v>10.73</v>
      </c>
      <c r="I1433" s="28">
        <v>10.4</v>
      </c>
      <c r="J1433" s="19">
        <v>0</v>
      </c>
      <c r="K1433" s="13">
        <v>0</v>
      </c>
      <c r="L1433" s="7" t="s">
        <v>483</v>
      </c>
    </row>
    <row r="1434" spans="1:12">
      <c r="A1434" s="7"/>
      <c r="B1434" s="381" t="s">
        <v>311</v>
      </c>
      <c r="C1434" s="3" t="s">
        <v>232</v>
      </c>
      <c r="D1434" s="2" t="s">
        <v>228</v>
      </c>
      <c r="E1434" s="382" t="s">
        <v>152</v>
      </c>
      <c r="F1434" s="3" t="s">
        <v>15</v>
      </c>
      <c r="G1434" s="3" t="s">
        <v>22</v>
      </c>
      <c r="H1434" s="140">
        <v>10.73</v>
      </c>
      <c r="I1434" s="28">
        <v>12</v>
      </c>
      <c r="J1434" s="19">
        <v>0</v>
      </c>
      <c r="K1434" s="13">
        <v>0</v>
      </c>
      <c r="L1434" s="7" t="s">
        <v>483</v>
      </c>
    </row>
    <row r="1435" spans="1:12">
      <c r="A1435" s="7"/>
      <c r="B1435" s="381" t="s">
        <v>311</v>
      </c>
      <c r="C1435" s="3" t="s">
        <v>232</v>
      </c>
      <c r="D1435" s="2" t="s">
        <v>228</v>
      </c>
      <c r="E1435" s="382" t="s">
        <v>152</v>
      </c>
      <c r="F1435" s="3" t="s">
        <v>15</v>
      </c>
      <c r="G1435" s="3" t="s">
        <v>22</v>
      </c>
      <c r="H1435" s="140">
        <v>10.73</v>
      </c>
      <c r="I1435" s="28">
        <v>7.6</v>
      </c>
      <c r="J1435" s="19">
        <v>2</v>
      </c>
      <c r="K1435" s="13">
        <v>0.16309599999999999</v>
      </c>
      <c r="L1435" s="7" t="s">
        <v>483</v>
      </c>
    </row>
    <row r="1436" spans="1:12">
      <c r="A1436" s="7"/>
      <c r="B1436" s="381" t="s">
        <v>311</v>
      </c>
      <c r="C1436" s="3" t="s">
        <v>232</v>
      </c>
      <c r="D1436" s="2" t="s">
        <v>228</v>
      </c>
      <c r="E1436" s="382" t="s">
        <v>152</v>
      </c>
      <c r="F1436" s="3" t="s">
        <v>15</v>
      </c>
      <c r="G1436" s="3" t="s">
        <v>22</v>
      </c>
      <c r="H1436" s="140">
        <v>10.73</v>
      </c>
      <c r="I1436" s="28">
        <v>7.8</v>
      </c>
      <c r="J1436" s="19">
        <v>0</v>
      </c>
      <c r="K1436" s="13">
        <v>0</v>
      </c>
      <c r="L1436" s="7" t="s">
        <v>483</v>
      </c>
    </row>
    <row r="1437" spans="1:12">
      <c r="A1437" s="7"/>
      <c r="B1437" s="381" t="s">
        <v>311</v>
      </c>
      <c r="C1437" s="3" t="s">
        <v>232</v>
      </c>
      <c r="D1437" s="2" t="s">
        <v>228</v>
      </c>
      <c r="E1437" s="382" t="s">
        <v>152</v>
      </c>
      <c r="F1437" s="3" t="s">
        <v>15</v>
      </c>
      <c r="G1437" s="3" t="s">
        <v>22</v>
      </c>
      <c r="H1437" s="140">
        <v>10.73</v>
      </c>
      <c r="I1437" s="28">
        <v>9.4</v>
      </c>
      <c r="J1437" s="19">
        <v>0</v>
      </c>
      <c r="K1437" s="13">
        <v>0</v>
      </c>
      <c r="L1437" s="7" t="s">
        <v>483</v>
      </c>
    </row>
    <row r="1438" spans="1:12">
      <c r="A1438" s="7"/>
      <c r="B1438" s="381" t="s">
        <v>311</v>
      </c>
      <c r="C1438" s="3" t="s">
        <v>232</v>
      </c>
      <c r="D1438" s="2" t="s">
        <v>228</v>
      </c>
      <c r="E1438" s="382" t="s">
        <v>152</v>
      </c>
      <c r="F1438" s="3" t="s">
        <v>15</v>
      </c>
      <c r="G1438" s="3" t="s">
        <v>22</v>
      </c>
      <c r="H1438" s="140">
        <v>10.73</v>
      </c>
      <c r="I1438" s="28">
        <v>10.4</v>
      </c>
      <c r="J1438" s="19">
        <v>0</v>
      </c>
      <c r="K1438" s="13">
        <v>0</v>
      </c>
      <c r="L1438" s="7" t="s">
        <v>483</v>
      </c>
    </row>
    <row r="1439" spans="1:12">
      <c r="A1439" s="7"/>
      <c r="B1439" s="381" t="s">
        <v>311</v>
      </c>
      <c r="C1439" s="3" t="s">
        <v>232</v>
      </c>
      <c r="D1439" s="2" t="s">
        <v>228</v>
      </c>
      <c r="E1439" s="382" t="s">
        <v>152</v>
      </c>
      <c r="F1439" s="3" t="s">
        <v>15</v>
      </c>
      <c r="G1439" s="3" t="s">
        <v>22</v>
      </c>
      <c r="H1439" s="140">
        <v>10.73</v>
      </c>
      <c r="I1439" s="28">
        <v>11.6</v>
      </c>
      <c r="J1439" s="19">
        <v>0</v>
      </c>
      <c r="K1439" s="13">
        <v>0</v>
      </c>
      <c r="L1439" s="7" t="s">
        <v>483</v>
      </c>
    </row>
    <row r="1440" spans="1:12">
      <c r="A1440" s="7"/>
      <c r="B1440" s="381" t="s">
        <v>311</v>
      </c>
      <c r="C1440" s="3" t="s">
        <v>232</v>
      </c>
      <c r="D1440" s="2" t="s">
        <v>228</v>
      </c>
      <c r="E1440" s="382" t="s">
        <v>152</v>
      </c>
      <c r="F1440" s="3" t="s">
        <v>15</v>
      </c>
      <c r="G1440" s="3" t="s">
        <v>22</v>
      </c>
      <c r="H1440" s="140">
        <v>10.73</v>
      </c>
      <c r="I1440" s="28">
        <v>12</v>
      </c>
      <c r="J1440" s="19">
        <v>0</v>
      </c>
      <c r="K1440" s="13">
        <v>0</v>
      </c>
      <c r="L1440" s="7" t="s">
        <v>483</v>
      </c>
    </row>
    <row r="1441" spans="1:12">
      <c r="A1441" s="7"/>
      <c r="B1441" s="381"/>
      <c r="C1441" s="3"/>
      <c r="D1441" s="2"/>
      <c r="E1441" s="382"/>
      <c r="F1441" s="3"/>
      <c r="G1441" s="3"/>
      <c r="H1441" s="140"/>
      <c r="I1441" s="28"/>
      <c r="J1441" s="19"/>
      <c r="K1441" s="13"/>
      <c r="L1441" s="7" t="s">
        <v>483</v>
      </c>
    </row>
    <row r="1442" spans="1:12">
      <c r="A1442" s="7"/>
      <c r="B1442" s="381" t="s">
        <v>311</v>
      </c>
      <c r="C1442" s="3" t="s">
        <v>232</v>
      </c>
      <c r="D1442" s="2" t="s">
        <v>228</v>
      </c>
      <c r="E1442" s="382" t="s">
        <v>152</v>
      </c>
      <c r="F1442" s="3" t="s">
        <v>15</v>
      </c>
      <c r="G1442" s="3" t="s">
        <v>22</v>
      </c>
      <c r="H1442" s="140">
        <v>10.73</v>
      </c>
      <c r="I1442" s="28">
        <v>7.8</v>
      </c>
      <c r="J1442" s="19">
        <v>0</v>
      </c>
      <c r="K1442" s="13">
        <v>0</v>
      </c>
      <c r="L1442" s="7" t="s">
        <v>483</v>
      </c>
    </row>
    <row r="1443" spans="1:12">
      <c r="A1443" s="7"/>
      <c r="B1443" s="381" t="s">
        <v>311</v>
      </c>
      <c r="C1443" s="3" t="s">
        <v>232</v>
      </c>
      <c r="D1443" s="2" t="s">
        <v>228</v>
      </c>
      <c r="E1443" s="382" t="s">
        <v>152</v>
      </c>
      <c r="F1443" s="3" t="s">
        <v>15</v>
      </c>
      <c r="G1443" s="3" t="s">
        <v>22</v>
      </c>
      <c r="H1443" s="140">
        <v>10.73</v>
      </c>
      <c r="I1443" s="28">
        <v>11.6</v>
      </c>
      <c r="J1443" s="19">
        <v>0</v>
      </c>
      <c r="K1443" s="13">
        <v>0</v>
      </c>
      <c r="L1443" s="7" t="s">
        <v>483</v>
      </c>
    </row>
    <row r="1444" spans="1:12">
      <c r="A1444" s="7"/>
      <c r="B1444" s="381" t="s">
        <v>311</v>
      </c>
      <c r="C1444" s="3" t="s">
        <v>232</v>
      </c>
      <c r="D1444" s="2" t="s">
        <v>228</v>
      </c>
      <c r="E1444" s="382" t="s">
        <v>152</v>
      </c>
      <c r="F1444" s="3" t="s">
        <v>15</v>
      </c>
      <c r="G1444" s="3" t="s">
        <v>22</v>
      </c>
      <c r="H1444" s="140">
        <v>10.73</v>
      </c>
      <c r="I1444" s="28">
        <v>12</v>
      </c>
      <c r="J1444" s="19">
        <v>1</v>
      </c>
      <c r="K1444" s="13">
        <v>0.12875999999999999</v>
      </c>
      <c r="L1444" s="7" t="s">
        <v>483</v>
      </c>
    </row>
    <row r="1445" spans="1:12">
      <c r="A1445" s="7"/>
      <c r="B1445" s="381" t="s">
        <v>324</v>
      </c>
      <c r="C1445" s="3" t="s">
        <v>232</v>
      </c>
      <c r="D1445" s="2" t="s">
        <v>228</v>
      </c>
      <c r="E1445" s="382" t="s">
        <v>24</v>
      </c>
      <c r="F1445" s="3" t="s">
        <v>14</v>
      </c>
      <c r="G1445" s="3" t="s">
        <v>30</v>
      </c>
      <c r="H1445" s="140">
        <v>9.26</v>
      </c>
      <c r="I1445" s="28">
        <v>12</v>
      </c>
      <c r="J1445" s="19">
        <v>0</v>
      </c>
      <c r="K1445" s="13">
        <v>0</v>
      </c>
      <c r="L1445" s="7" t="s">
        <v>483</v>
      </c>
    </row>
    <row r="1446" spans="1:12">
      <c r="A1446" s="7"/>
      <c r="B1446" s="381" t="s">
        <v>324</v>
      </c>
      <c r="C1446" s="3" t="s">
        <v>232</v>
      </c>
      <c r="D1446" s="2" t="s">
        <v>228</v>
      </c>
      <c r="E1446" s="382" t="s">
        <v>24</v>
      </c>
      <c r="F1446" s="3" t="s">
        <v>14</v>
      </c>
      <c r="G1446" s="3" t="s">
        <v>30</v>
      </c>
      <c r="H1446" s="140">
        <v>9.26</v>
      </c>
      <c r="I1446" s="28">
        <v>7.75</v>
      </c>
      <c r="J1446" s="19">
        <v>1</v>
      </c>
      <c r="K1446" s="13">
        <v>7.1764999999999995E-2</v>
      </c>
      <c r="L1446" s="7" t="s">
        <v>483</v>
      </c>
    </row>
    <row r="1447" spans="1:12">
      <c r="A1447" s="7"/>
      <c r="B1447" s="381" t="s">
        <v>324</v>
      </c>
      <c r="C1447" s="3" t="s">
        <v>232</v>
      </c>
      <c r="D1447" s="2" t="s">
        <v>228</v>
      </c>
      <c r="E1447" s="382" t="s">
        <v>24</v>
      </c>
      <c r="F1447" s="3" t="s">
        <v>14</v>
      </c>
      <c r="G1447" s="3" t="s">
        <v>30</v>
      </c>
      <c r="H1447" s="140">
        <v>9.26</v>
      </c>
      <c r="I1447" s="28">
        <v>11</v>
      </c>
      <c r="J1447" s="19">
        <v>0</v>
      </c>
      <c r="K1447" s="13">
        <v>0</v>
      </c>
      <c r="L1447" s="7" t="s">
        <v>483</v>
      </c>
    </row>
    <row r="1448" spans="1:12">
      <c r="A1448" s="7"/>
      <c r="B1448" s="381" t="s">
        <v>324</v>
      </c>
      <c r="C1448" s="3" t="s">
        <v>232</v>
      </c>
      <c r="D1448" s="2" t="s">
        <v>228</v>
      </c>
      <c r="E1448" s="382" t="s">
        <v>24</v>
      </c>
      <c r="F1448" s="3" t="s">
        <v>14</v>
      </c>
      <c r="G1448" s="3" t="s">
        <v>30</v>
      </c>
      <c r="H1448" s="140">
        <v>9.26</v>
      </c>
      <c r="I1448" s="28">
        <v>7.75</v>
      </c>
      <c r="J1448" s="19">
        <v>0</v>
      </c>
      <c r="K1448" s="13">
        <v>0</v>
      </c>
      <c r="L1448" s="7" t="s">
        <v>483</v>
      </c>
    </row>
    <row r="1449" spans="1:12">
      <c r="A1449" s="7"/>
      <c r="B1449" s="381" t="s">
        <v>324</v>
      </c>
      <c r="C1449" s="3" t="s">
        <v>232</v>
      </c>
      <c r="D1449" s="2" t="s">
        <v>228</v>
      </c>
      <c r="E1449" s="382" t="s">
        <v>24</v>
      </c>
      <c r="F1449" s="3" t="s">
        <v>14</v>
      </c>
      <c r="G1449" s="3" t="s">
        <v>30</v>
      </c>
      <c r="H1449" s="140">
        <v>9.26</v>
      </c>
      <c r="I1449" s="28">
        <v>9.5</v>
      </c>
      <c r="J1449" s="19">
        <v>0</v>
      </c>
      <c r="K1449" s="13">
        <v>0</v>
      </c>
      <c r="L1449" s="7" t="s">
        <v>483</v>
      </c>
    </row>
    <row r="1450" spans="1:12">
      <c r="A1450" s="7"/>
      <c r="B1450" s="381" t="s">
        <v>324</v>
      </c>
      <c r="C1450" s="3" t="s">
        <v>232</v>
      </c>
      <c r="D1450" s="2" t="s">
        <v>228</v>
      </c>
      <c r="E1450" s="382" t="s">
        <v>24</v>
      </c>
      <c r="F1450" s="3" t="s">
        <v>14</v>
      </c>
      <c r="G1450" s="3" t="s">
        <v>30</v>
      </c>
      <c r="H1450" s="140">
        <v>9.26</v>
      </c>
      <c r="I1450" s="28">
        <v>10</v>
      </c>
      <c r="J1450" s="19">
        <v>0</v>
      </c>
      <c r="K1450" s="13">
        <v>0</v>
      </c>
      <c r="L1450" s="7" t="s">
        <v>483</v>
      </c>
    </row>
    <row r="1451" spans="1:12">
      <c r="A1451" s="7"/>
      <c r="B1451" s="381" t="s">
        <v>324</v>
      </c>
      <c r="C1451" s="3" t="s">
        <v>232</v>
      </c>
      <c r="D1451" s="2" t="s">
        <v>228</v>
      </c>
      <c r="E1451" s="382" t="s">
        <v>24</v>
      </c>
      <c r="F1451" s="3" t="s">
        <v>14</v>
      </c>
      <c r="G1451" s="3" t="s">
        <v>30</v>
      </c>
      <c r="H1451" s="140">
        <v>9.26</v>
      </c>
      <c r="I1451" s="28">
        <v>12</v>
      </c>
      <c r="J1451" s="19">
        <v>0</v>
      </c>
      <c r="K1451" s="13">
        <v>0</v>
      </c>
      <c r="L1451" s="7" t="s">
        <v>483</v>
      </c>
    </row>
    <row r="1452" spans="1:12">
      <c r="A1452" s="7"/>
      <c r="B1452" s="381" t="s">
        <v>324</v>
      </c>
      <c r="C1452" s="3" t="s">
        <v>232</v>
      </c>
      <c r="D1452" s="2" t="s">
        <v>228</v>
      </c>
      <c r="E1452" s="382" t="s">
        <v>24</v>
      </c>
      <c r="F1452" s="3" t="s">
        <v>14</v>
      </c>
      <c r="G1452" s="3" t="s">
        <v>30</v>
      </c>
      <c r="H1452" s="140">
        <v>9.26</v>
      </c>
      <c r="I1452" s="28">
        <v>11.5</v>
      </c>
      <c r="J1452" s="19">
        <v>0</v>
      </c>
      <c r="K1452" s="13">
        <v>0</v>
      </c>
      <c r="L1452" s="7" t="s">
        <v>483</v>
      </c>
    </row>
    <row r="1453" spans="1:12">
      <c r="A1453" s="7"/>
      <c r="B1453" s="381" t="s">
        <v>324</v>
      </c>
      <c r="C1453" s="3" t="s">
        <v>232</v>
      </c>
      <c r="D1453" s="2" t="s">
        <v>228</v>
      </c>
      <c r="E1453" s="382" t="s">
        <v>24</v>
      </c>
      <c r="F1453" s="3" t="s">
        <v>14</v>
      </c>
      <c r="G1453" s="3" t="s">
        <v>30</v>
      </c>
      <c r="H1453" s="140">
        <v>9.26</v>
      </c>
      <c r="I1453" s="28">
        <v>12</v>
      </c>
      <c r="J1453" s="19">
        <v>0</v>
      </c>
      <c r="K1453" s="13">
        <v>0</v>
      </c>
      <c r="L1453" s="7" t="s">
        <v>483</v>
      </c>
    </row>
    <row r="1454" spans="1:12">
      <c r="A1454" s="7"/>
      <c r="B1454" s="381" t="s">
        <v>324</v>
      </c>
      <c r="C1454" s="3" t="s">
        <v>232</v>
      </c>
      <c r="D1454" s="2" t="s">
        <v>228</v>
      </c>
      <c r="E1454" s="382" t="s">
        <v>24</v>
      </c>
      <c r="F1454" s="3" t="s">
        <v>14</v>
      </c>
      <c r="G1454" s="3" t="s">
        <v>30</v>
      </c>
      <c r="H1454" s="140">
        <v>9.26</v>
      </c>
      <c r="I1454" s="28">
        <v>12</v>
      </c>
      <c r="J1454" s="19">
        <v>0</v>
      </c>
      <c r="K1454" s="13">
        <v>0</v>
      </c>
      <c r="L1454" s="7" t="s">
        <v>483</v>
      </c>
    </row>
    <row r="1455" spans="1:12">
      <c r="A1455" s="7"/>
      <c r="B1455" s="381" t="s">
        <v>324</v>
      </c>
      <c r="C1455" s="3" t="s">
        <v>232</v>
      </c>
      <c r="D1455" s="2" t="s">
        <v>228</v>
      </c>
      <c r="E1455" s="382" t="s">
        <v>24</v>
      </c>
      <c r="F1455" s="3" t="s">
        <v>14</v>
      </c>
      <c r="G1455" s="3" t="s">
        <v>30</v>
      </c>
      <c r="H1455" s="140">
        <v>9.26</v>
      </c>
      <c r="I1455" s="28">
        <v>7.5</v>
      </c>
      <c r="J1455" s="19">
        <v>2</v>
      </c>
      <c r="K1455" s="13">
        <v>0.1389</v>
      </c>
      <c r="L1455" s="7" t="s">
        <v>483</v>
      </c>
    </row>
    <row r="1456" spans="1:12">
      <c r="A1456" s="7"/>
      <c r="B1456" s="381" t="s">
        <v>324</v>
      </c>
      <c r="C1456" s="3" t="s">
        <v>232</v>
      </c>
      <c r="D1456" s="2" t="s">
        <v>228</v>
      </c>
      <c r="E1456" s="382" t="s">
        <v>24</v>
      </c>
      <c r="F1456" s="3" t="s">
        <v>14</v>
      </c>
      <c r="G1456" s="3" t="s">
        <v>30</v>
      </c>
      <c r="H1456" s="140">
        <v>9.26</v>
      </c>
      <c r="I1456" s="28">
        <v>6.6</v>
      </c>
      <c r="J1456" s="19">
        <v>1</v>
      </c>
      <c r="K1456" s="13">
        <v>6.111599999999999E-2</v>
      </c>
      <c r="L1456" s="7" t="s">
        <v>483</v>
      </c>
    </row>
    <row r="1457" spans="1:12">
      <c r="A1457" s="7"/>
      <c r="B1457" s="381" t="s">
        <v>324</v>
      </c>
      <c r="C1457" s="3" t="s">
        <v>232</v>
      </c>
      <c r="D1457" s="2" t="s">
        <v>228</v>
      </c>
      <c r="E1457" s="382" t="s">
        <v>24</v>
      </c>
      <c r="F1457" s="3" t="s">
        <v>14</v>
      </c>
      <c r="G1457" s="3" t="s">
        <v>30</v>
      </c>
      <c r="H1457" s="140">
        <v>9.26</v>
      </c>
      <c r="I1457" s="28">
        <v>6.8</v>
      </c>
      <c r="J1457" s="19">
        <v>1</v>
      </c>
      <c r="K1457" s="13">
        <v>6.2967999999999996E-2</v>
      </c>
      <c r="L1457" s="7" t="s">
        <v>483</v>
      </c>
    </row>
    <row r="1458" spans="1:12">
      <c r="A1458" s="7"/>
      <c r="B1458" s="381" t="s">
        <v>324</v>
      </c>
      <c r="C1458" s="3" t="s">
        <v>232</v>
      </c>
      <c r="D1458" s="2" t="s">
        <v>228</v>
      </c>
      <c r="E1458" s="382" t="s">
        <v>24</v>
      </c>
      <c r="F1458" s="3" t="s">
        <v>14</v>
      </c>
      <c r="G1458" s="3" t="s">
        <v>30</v>
      </c>
      <c r="H1458" s="140">
        <v>9.26</v>
      </c>
      <c r="I1458" s="28">
        <v>10</v>
      </c>
      <c r="J1458" s="19">
        <v>0</v>
      </c>
      <c r="K1458" s="13">
        <v>0</v>
      </c>
      <c r="L1458" s="7" t="s">
        <v>483</v>
      </c>
    </row>
    <row r="1459" spans="1:12">
      <c r="A1459" s="7"/>
      <c r="B1459" s="381" t="s">
        <v>324</v>
      </c>
      <c r="C1459" s="3" t="s">
        <v>232</v>
      </c>
      <c r="D1459" s="2" t="s">
        <v>228</v>
      </c>
      <c r="E1459" s="382" t="s">
        <v>24</v>
      </c>
      <c r="F1459" s="3" t="s">
        <v>14</v>
      </c>
      <c r="G1459" s="3" t="s">
        <v>22</v>
      </c>
      <c r="H1459" s="140">
        <v>10.73</v>
      </c>
      <c r="I1459" s="28">
        <v>11.5</v>
      </c>
      <c r="J1459" s="19">
        <v>0</v>
      </c>
      <c r="K1459" s="13">
        <v>0</v>
      </c>
      <c r="L1459" s="7" t="s">
        <v>483</v>
      </c>
    </row>
    <row r="1460" spans="1:12">
      <c r="A1460" s="7"/>
      <c r="B1460" s="381" t="s">
        <v>324</v>
      </c>
      <c r="C1460" s="3" t="s">
        <v>232</v>
      </c>
      <c r="D1460" s="2" t="s">
        <v>228</v>
      </c>
      <c r="E1460" s="382" t="s">
        <v>24</v>
      </c>
      <c r="F1460" s="3" t="s">
        <v>14</v>
      </c>
      <c r="G1460" s="3" t="s">
        <v>22</v>
      </c>
      <c r="H1460" s="140">
        <v>10.73</v>
      </c>
      <c r="I1460" s="28">
        <v>5</v>
      </c>
      <c r="J1460" s="19">
        <v>1</v>
      </c>
      <c r="K1460" s="13">
        <v>5.3650000000000003E-2</v>
      </c>
      <c r="L1460" s="7" t="s">
        <v>483</v>
      </c>
    </row>
    <row r="1461" spans="1:12">
      <c r="A1461" s="7"/>
      <c r="B1461" s="381" t="s">
        <v>324</v>
      </c>
      <c r="C1461" s="3" t="s">
        <v>232</v>
      </c>
      <c r="D1461" s="2" t="s">
        <v>228</v>
      </c>
      <c r="E1461" s="382" t="s">
        <v>24</v>
      </c>
      <c r="F1461" s="3" t="s">
        <v>14</v>
      </c>
      <c r="G1461" s="3" t="s">
        <v>22</v>
      </c>
      <c r="H1461" s="140">
        <v>10.73</v>
      </c>
      <c r="I1461" s="28">
        <v>8</v>
      </c>
      <c r="J1461" s="19">
        <v>0</v>
      </c>
      <c r="K1461" s="13">
        <v>0</v>
      </c>
      <c r="L1461" s="7" t="s">
        <v>483</v>
      </c>
    </row>
    <row r="1462" spans="1:12">
      <c r="A1462" s="7"/>
      <c r="B1462" s="381" t="s">
        <v>324</v>
      </c>
      <c r="C1462" s="3" t="s">
        <v>232</v>
      </c>
      <c r="D1462" s="2" t="s">
        <v>228</v>
      </c>
      <c r="E1462" s="382" t="s">
        <v>24</v>
      </c>
      <c r="F1462" s="3" t="s">
        <v>14</v>
      </c>
      <c r="G1462" s="3" t="s">
        <v>22</v>
      </c>
      <c r="H1462" s="140">
        <v>10.73</v>
      </c>
      <c r="I1462" s="28">
        <v>9</v>
      </c>
      <c r="J1462" s="19">
        <v>0</v>
      </c>
      <c r="K1462" s="13">
        <v>0</v>
      </c>
      <c r="L1462" s="7" t="s">
        <v>483</v>
      </c>
    </row>
    <row r="1463" spans="1:12">
      <c r="A1463" s="7"/>
      <c r="B1463" s="381" t="s">
        <v>324</v>
      </c>
      <c r="C1463" s="3" t="s">
        <v>232</v>
      </c>
      <c r="D1463" s="2" t="s">
        <v>228</v>
      </c>
      <c r="E1463" s="382" t="s">
        <v>24</v>
      </c>
      <c r="F1463" s="3" t="s">
        <v>14</v>
      </c>
      <c r="G1463" s="3" t="s">
        <v>22</v>
      </c>
      <c r="H1463" s="140">
        <v>10.73</v>
      </c>
      <c r="I1463" s="28">
        <v>10.5</v>
      </c>
      <c r="J1463" s="19">
        <v>0</v>
      </c>
      <c r="K1463" s="13">
        <v>0</v>
      </c>
      <c r="L1463" s="7" t="s">
        <v>483</v>
      </c>
    </row>
    <row r="1464" spans="1:12">
      <c r="A1464" s="7"/>
      <c r="B1464" s="381" t="s">
        <v>324</v>
      </c>
      <c r="C1464" s="3" t="s">
        <v>232</v>
      </c>
      <c r="D1464" s="2" t="s">
        <v>228</v>
      </c>
      <c r="E1464" s="382" t="s">
        <v>24</v>
      </c>
      <c r="F1464" s="3" t="s">
        <v>14</v>
      </c>
      <c r="G1464" s="3" t="s">
        <v>22</v>
      </c>
      <c r="H1464" s="140">
        <v>10.73</v>
      </c>
      <c r="I1464" s="28">
        <v>9</v>
      </c>
      <c r="J1464" s="19">
        <v>0</v>
      </c>
      <c r="K1464" s="13">
        <v>0</v>
      </c>
      <c r="L1464" s="7" t="s">
        <v>483</v>
      </c>
    </row>
    <row r="1465" spans="1:12">
      <c r="A1465" s="7"/>
      <c r="B1465" s="381" t="s">
        <v>324</v>
      </c>
      <c r="C1465" s="3" t="s">
        <v>232</v>
      </c>
      <c r="D1465" s="2" t="s">
        <v>228</v>
      </c>
      <c r="E1465" s="382" t="s">
        <v>24</v>
      </c>
      <c r="F1465" s="3" t="s">
        <v>14</v>
      </c>
      <c r="G1465" s="3" t="s">
        <v>22</v>
      </c>
      <c r="H1465" s="140">
        <v>10.73</v>
      </c>
      <c r="I1465" s="28">
        <v>9.75</v>
      </c>
      <c r="J1465" s="19">
        <v>0</v>
      </c>
      <c r="K1465" s="13">
        <v>0</v>
      </c>
      <c r="L1465" s="7" t="s">
        <v>483</v>
      </c>
    </row>
    <row r="1466" spans="1:12">
      <c r="A1466" s="7"/>
      <c r="B1466" s="381" t="s">
        <v>324</v>
      </c>
      <c r="C1466" s="3" t="s">
        <v>232</v>
      </c>
      <c r="D1466" s="2" t="s">
        <v>228</v>
      </c>
      <c r="E1466" s="382" t="s">
        <v>326</v>
      </c>
      <c r="F1466" s="3" t="s">
        <v>14</v>
      </c>
      <c r="G1466" s="3" t="s">
        <v>22</v>
      </c>
      <c r="H1466" s="140">
        <v>10.7</v>
      </c>
      <c r="I1466" s="28">
        <v>6.5</v>
      </c>
      <c r="J1466" s="19">
        <v>0</v>
      </c>
      <c r="K1466" s="13">
        <v>0</v>
      </c>
      <c r="L1466" s="7" t="s">
        <v>483</v>
      </c>
    </row>
    <row r="1467" spans="1:12">
      <c r="A1467" s="7"/>
      <c r="B1467" s="381" t="s">
        <v>324</v>
      </c>
      <c r="C1467" s="3" t="s">
        <v>232</v>
      </c>
      <c r="D1467" s="2" t="s">
        <v>228</v>
      </c>
      <c r="E1467" s="382" t="s">
        <v>326</v>
      </c>
      <c r="F1467" s="3" t="s">
        <v>14</v>
      </c>
      <c r="G1467" s="3" t="s">
        <v>22</v>
      </c>
      <c r="H1467" s="140">
        <v>10.7</v>
      </c>
      <c r="I1467" s="28">
        <v>6.3</v>
      </c>
      <c r="J1467" s="19">
        <v>2</v>
      </c>
      <c r="K1467" s="13">
        <v>0.13482</v>
      </c>
      <c r="L1467" s="7" t="s">
        <v>483</v>
      </c>
    </row>
    <row r="1468" spans="1:12">
      <c r="A1468" s="7"/>
      <c r="B1468" s="381" t="s">
        <v>324</v>
      </c>
      <c r="C1468" s="3" t="s">
        <v>232</v>
      </c>
      <c r="D1468" s="2" t="s">
        <v>228</v>
      </c>
      <c r="E1468" s="382" t="s">
        <v>326</v>
      </c>
      <c r="F1468" s="3" t="s">
        <v>14</v>
      </c>
      <c r="G1468" s="3" t="s">
        <v>22</v>
      </c>
      <c r="H1468" s="140">
        <v>10.7</v>
      </c>
      <c r="I1468" s="28">
        <v>6.1</v>
      </c>
      <c r="J1468" s="19">
        <v>3</v>
      </c>
      <c r="K1468" s="13">
        <v>0.19580999999999996</v>
      </c>
      <c r="L1468" s="7" t="s">
        <v>483</v>
      </c>
    </row>
    <row r="1469" spans="1:12">
      <c r="A1469" s="7"/>
      <c r="B1469" s="381" t="s">
        <v>324</v>
      </c>
      <c r="C1469" s="3" t="s">
        <v>232</v>
      </c>
      <c r="D1469" s="2" t="s">
        <v>228</v>
      </c>
      <c r="E1469" s="382" t="s">
        <v>24</v>
      </c>
      <c r="F1469" s="3" t="s">
        <v>14</v>
      </c>
      <c r="G1469" s="3" t="s">
        <v>28</v>
      </c>
      <c r="H1469" s="140">
        <v>12.18</v>
      </c>
      <c r="I1469" s="28">
        <v>8</v>
      </c>
      <c r="J1469" s="19">
        <v>0</v>
      </c>
      <c r="K1469" s="13">
        <v>0</v>
      </c>
      <c r="L1469" s="7" t="s">
        <v>483</v>
      </c>
    </row>
    <row r="1470" spans="1:12">
      <c r="A1470" s="7"/>
      <c r="B1470" s="381" t="s">
        <v>324</v>
      </c>
      <c r="C1470" s="3" t="s">
        <v>232</v>
      </c>
      <c r="D1470" s="2" t="s">
        <v>228</v>
      </c>
      <c r="E1470" s="382" t="s">
        <v>24</v>
      </c>
      <c r="F1470" s="3" t="s">
        <v>14</v>
      </c>
      <c r="G1470" s="3" t="s">
        <v>28</v>
      </c>
      <c r="H1470" s="140">
        <v>12.18</v>
      </c>
      <c r="I1470" s="28">
        <v>9.5</v>
      </c>
      <c r="J1470" s="19">
        <v>0</v>
      </c>
      <c r="K1470" s="13">
        <v>0</v>
      </c>
      <c r="L1470" s="7" t="s">
        <v>483</v>
      </c>
    </row>
    <row r="1471" spans="1:12">
      <c r="A1471" s="7"/>
      <c r="B1471" s="381" t="s">
        <v>324</v>
      </c>
      <c r="C1471" s="3" t="s">
        <v>232</v>
      </c>
      <c r="D1471" s="2" t="s">
        <v>228</v>
      </c>
      <c r="E1471" s="382" t="s">
        <v>24</v>
      </c>
      <c r="F1471" s="3" t="s">
        <v>14</v>
      </c>
      <c r="G1471" s="3" t="s">
        <v>28</v>
      </c>
      <c r="H1471" s="140">
        <v>12.18</v>
      </c>
      <c r="I1471" s="28">
        <v>10.75</v>
      </c>
      <c r="J1471" s="19">
        <v>0</v>
      </c>
      <c r="K1471" s="13">
        <v>0</v>
      </c>
      <c r="L1471" s="7" t="s">
        <v>483</v>
      </c>
    </row>
    <row r="1472" spans="1:12">
      <c r="A1472" s="7"/>
      <c r="B1472" s="381" t="s">
        <v>324</v>
      </c>
      <c r="C1472" s="3" t="s">
        <v>232</v>
      </c>
      <c r="D1472" s="2" t="s">
        <v>228</v>
      </c>
      <c r="E1472" s="382" t="s">
        <v>24</v>
      </c>
      <c r="F1472" s="3" t="s">
        <v>14</v>
      </c>
      <c r="G1472" s="3" t="s">
        <v>28</v>
      </c>
      <c r="H1472" s="140">
        <v>12.18</v>
      </c>
      <c r="I1472" s="28">
        <v>11.5</v>
      </c>
      <c r="J1472" s="19">
        <v>0</v>
      </c>
      <c r="K1472" s="13">
        <v>0</v>
      </c>
      <c r="L1472" s="7" t="s">
        <v>483</v>
      </c>
    </row>
    <row r="1473" spans="1:12">
      <c r="A1473" s="7"/>
      <c r="B1473" s="381" t="s">
        <v>324</v>
      </c>
      <c r="C1473" s="3" t="s">
        <v>232</v>
      </c>
      <c r="D1473" s="2" t="s">
        <v>228</v>
      </c>
      <c r="E1473" s="382" t="s">
        <v>24</v>
      </c>
      <c r="F1473" s="3" t="s">
        <v>14</v>
      </c>
      <c r="G1473" s="3" t="s">
        <v>28</v>
      </c>
      <c r="H1473" s="140">
        <v>12.18</v>
      </c>
      <c r="I1473" s="28">
        <v>8</v>
      </c>
      <c r="J1473" s="19">
        <v>1</v>
      </c>
      <c r="K1473" s="13">
        <v>9.7439999999999999E-2</v>
      </c>
      <c r="L1473" s="7" t="s">
        <v>483</v>
      </c>
    </row>
    <row r="1474" spans="1:12">
      <c r="A1474" s="7"/>
      <c r="B1474" s="381" t="s">
        <v>324</v>
      </c>
      <c r="C1474" s="3" t="s">
        <v>232</v>
      </c>
      <c r="D1474" s="2" t="s">
        <v>228</v>
      </c>
      <c r="E1474" s="382" t="s">
        <v>24</v>
      </c>
      <c r="F1474" s="3" t="s">
        <v>14</v>
      </c>
      <c r="G1474" s="3" t="s">
        <v>28</v>
      </c>
      <c r="H1474" s="140">
        <v>12.18</v>
      </c>
      <c r="I1474" s="28">
        <v>12</v>
      </c>
      <c r="J1474" s="19">
        <v>3</v>
      </c>
      <c r="K1474" s="13">
        <v>0.43848000000000004</v>
      </c>
      <c r="L1474" s="7" t="s">
        <v>483</v>
      </c>
    </row>
    <row r="1475" spans="1:12">
      <c r="A1475" s="7"/>
      <c r="B1475" s="381" t="s">
        <v>324</v>
      </c>
      <c r="C1475" s="3" t="s">
        <v>232</v>
      </c>
      <c r="D1475" s="2" t="s">
        <v>228</v>
      </c>
      <c r="E1475" s="382" t="s">
        <v>326</v>
      </c>
      <c r="F1475" s="3" t="s">
        <v>14</v>
      </c>
      <c r="G1475" s="3" t="s">
        <v>30</v>
      </c>
      <c r="H1475" s="140">
        <v>9.26</v>
      </c>
      <c r="I1475" s="28">
        <v>9.15</v>
      </c>
      <c r="J1475" s="19">
        <v>0</v>
      </c>
      <c r="K1475" s="13">
        <v>0</v>
      </c>
      <c r="L1475" s="7" t="s">
        <v>483</v>
      </c>
    </row>
    <row r="1476" spans="1:12">
      <c r="A1476" s="7"/>
      <c r="B1476" s="381" t="s">
        <v>324</v>
      </c>
      <c r="C1476" s="3" t="s">
        <v>232</v>
      </c>
      <c r="D1476" s="2" t="s">
        <v>228</v>
      </c>
      <c r="E1476" s="382" t="s">
        <v>326</v>
      </c>
      <c r="F1476" s="3" t="s">
        <v>14</v>
      </c>
      <c r="G1476" s="3" t="s">
        <v>30</v>
      </c>
      <c r="H1476" s="140">
        <v>9.26</v>
      </c>
      <c r="I1476" s="28">
        <v>6.35</v>
      </c>
      <c r="J1476" s="19">
        <v>0</v>
      </c>
      <c r="K1476" s="13">
        <v>0</v>
      </c>
      <c r="L1476" s="7" t="s">
        <v>483</v>
      </c>
    </row>
    <row r="1477" spans="1:12">
      <c r="A1477" s="7"/>
      <c r="B1477" s="381" t="s">
        <v>324</v>
      </c>
      <c r="C1477" s="3" t="s">
        <v>232</v>
      </c>
      <c r="D1477" s="2" t="s">
        <v>228</v>
      </c>
      <c r="E1477" s="382" t="s">
        <v>326</v>
      </c>
      <c r="F1477" s="3" t="s">
        <v>14</v>
      </c>
      <c r="G1477" s="3" t="s">
        <v>30</v>
      </c>
      <c r="H1477" s="140">
        <v>9.26</v>
      </c>
      <c r="I1477" s="28">
        <v>6.5</v>
      </c>
      <c r="J1477" s="19">
        <v>0</v>
      </c>
      <c r="K1477" s="13">
        <v>0</v>
      </c>
      <c r="L1477" s="7" t="s">
        <v>483</v>
      </c>
    </row>
    <row r="1478" spans="1:12">
      <c r="A1478" s="7"/>
      <c r="B1478" s="381" t="s">
        <v>324</v>
      </c>
      <c r="C1478" s="3" t="s">
        <v>232</v>
      </c>
      <c r="D1478" s="2" t="s">
        <v>228</v>
      </c>
      <c r="E1478" s="382" t="s">
        <v>326</v>
      </c>
      <c r="F1478" s="3" t="s">
        <v>14</v>
      </c>
      <c r="G1478" s="3" t="s">
        <v>30</v>
      </c>
      <c r="H1478" s="140">
        <v>9.26</v>
      </c>
      <c r="I1478" s="28">
        <v>6.2</v>
      </c>
      <c r="J1478" s="19">
        <v>1</v>
      </c>
      <c r="K1478" s="13">
        <v>5.7411999999999998E-2</v>
      </c>
      <c r="L1478" s="7" t="s">
        <v>483</v>
      </c>
    </row>
    <row r="1479" spans="1:12">
      <c r="A1479" s="7"/>
      <c r="B1479" s="381" t="s">
        <v>324</v>
      </c>
      <c r="C1479" s="3" t="s">
        <v>232</v>
      </c>
      <c r="D1479" s="2" t="s">
        <v>228</v>
      </c>
      <c r="E1479" s="382" t="s">
        <v>326</v>
      </c>
      <c r="F1479" s="3" t="s">
        <v>14</v>
      </c>
      <c r="G1479" s="3" t="s">
        <v>30</v>
      </c>
      <c r="H1479" s="140">
        <v>9.26</v>
      </c>
      <c r="I1479" s="28">
        <v>7.4</v>
      </c>
      <c r="J1479" s="19">
        <v>0</v>
      </c>
      <c r="K1479" s="13">
        <v>0</v>
      </c>
      <c r="L1479" s="7" t="s">
        <v>483</v>
      </c>
    </row>
    <row r="1480" spans="1:12">
      <c r="A1480" s="7"/>
      <c r="B1480" s="381" t="s">
        <v>324</v>
      </c>
      <c r="C1480" s="3" t="s">
        <v>232</v>
      </c>
      <c r="D1480" s="2" t="s">
        <v>228</v>
      </c>
      <c r="E1480" s="382" t="s">
        <v>326</v>
      </c>
      <c r="F1480" s="3" t="s">
        <v>14</v>
      </c>
      <c r="G1480" s="3" t="s">
        <v>30</v>
      </c>
      <c r="H1480" s="140">
        <v>9.26</v>
      </c>
      <c r="I1480" s="28">
        <v>7.6</v>
      </c>
      <c r="J1480" s="19">
        <v>0</v>
      </c>
      <c r="K1480" s="13">
        <v>0</v>
      </c>
      <c r="L1480" s="7" t="s">
        <v>483</v>
      </c>
    </row>
    <row r="1481" spans="1:12">
      <c r="A1481" s="7"/>
      <c r="B1481" s="381" t="s">
        <v>324</v>
      </c>
      <c r="C1481" s="3" t="s">
        <v>232</v>
      </c>
      <c r="D1481" s="2" t="s">
        <v>228</v>
      </c>
      <c r="E1481" s="382" t="s">
        <v>326</v>
      </c>
      <c r="F1481" s="3" t="s">
        <v>14</v>
      </c>
      <c r="G1481" s="3" t="s">
        <v>30</v>
      </c>
      <c r="H1481" s="140">
        <v>9.26</v>
      </c>
      <c r="I1481" s="28">
        <v>8</v>
      </c>
      <c r="J1481" s="19">
        <v>0</v>
      </c>
      <c r="K1481" s="13">
        <v>0</v>
      </c>
      <c r="L1481" s="7" t="s">
        <v>483</v>
      </c>
    </row>
    <row r="1482" spans="1:12">
      <c r="A1482" s="7"/>
      <c r="B1482" s="381" t="s">
        <v>324</v>
      </c>
      <c r="C1482" s="3" t="s">
        <v>232</v>
      </c>
      <c r="D1482" s="2" t="s">
        <v>228</v>
      </c>
      <c r="E1482" s="382" t="s">
        <v>326</v>
      </c>
      <c r="F1482" s="3" t="s">
        <v>14</v>
      </c>
      <c r="G1482" s="3" t="s">
        <v>30</v>
      </c>
      <c r="H1482" s="140">
        <v>9.26</v>
      </c>
      <c r="I1482" s="28">
        <v>8.5</v>
      </c>
      <c r="J1482" s="19">
        <v>0</v>
      </c>
      <c r="K1482" s="13">
        <v>0</v>
      </c>
      <c r="L1482" s="7" t="s">
        <v>483</v>
      </c>
    </row>
    <row r="1483" spans="1:12">
      <c r="A1483" s="7"/>
      <c r="B1483" s="381" t="s">
        <v>324</v>
      </c>
      <c r="C1483" s="3" t="s">
        <v>232</v>
      </c>
      <c r="D1483" s="2" t="s">
        <v>228</v>
      </c>
      <c r="E1483" s="382" t="s">
        <v>326</v>
      </c>
      <c r="F1483" s="3" t="s">
        <v>14</v>
      </c>
      <c r="G1483" s="3" t="s">
        <v>30</v>
      </c>
      <c r="H1483" s="140">
        <v>9.26</v>
      </c>
      <c r="I1483" s="28">
        <v>5.9</v>
      </c>
      <c r="J1483" s="19">
        <v>1</v>
      </c>
      <c r="K1483" s="13">
        <v>5.4634000000000002E-2</v>
      </c>
      <c r="L1483" s="7" t="s">
        <v>483</v>
      </c>
    </row>
    <row r="1484" spans="1:12">
      <c r="A1484" s="7"/>
      <c r="B1484" s="381" t="s">
        <v>324</v>
      </c>
      <c r="C1484" s="3" t="s">
        <v>232</v>
      </c>
      <c r="D1484" s="2" t="s">
        <v>228</v>
      </c>
      <c r="E1484" s="382" t="s">
        <v>326</v>
      </c>
      <c r="F1484" s="3" t="s">
        <v>14</v>
      </c>
      <c r="G1484" s="3" t="s">
        <v>30</v>
      </c>
      <c r="H1484" s="140">
        <v>9.26</v>
      </c>
      <c r="I1484" s="28">
        <v>6</v>
      </c>
      <c r="J1484" s="19">
        <v>1</v>
      </c>
      <c r="K1484" s="13">
        <v>5.5560000000000005E-2</v>
      </c>
      <c r="L1484" s="7" t="s">
        <v>483</v>
      </c>
    </row>
    <row r="1485" spans="1:12">
      <c r="A1485" s="7"/>
      <c r="B1485" s="381" t="s">
        <v>324</v>
      </c>
      <c r="C1485" s="3" t="s">
        <v>232</v>
      </c>
      <c r="D1485" s="2" t="s">
        <v>228</v>
      </c>
      <c r="E1485" s="382" t="s">
        <v>326</v>
      </c>
      <c r="F1485" s="3" t="s">
        <v>14</v>
      </c>
      <c r="G1485" s="3" t="s">
        <v>30</v>
      </c>
      <c r="H1485" s="140">
        <v>9.26</v>
      </c>
      <c r="I1485" s="28">
        <v>6.1</v>
      </c>
      <c r="J1485" s="19">
        <v>3</v>
      </c>
      <c r="K1485" s="13">
        <v>0.16945799999999997</v>
      </c>
      <c r="L1485" s="7" t="s">
        <v>483</v>
      </c>
    </row>
    <row r="1486" spans="1:12">
      <c r="A1486" s="7"/>
      <c r="B1486" s="381" t="s">
        <v>324</v>
      </c>
      <c r="C1486" s="3" t="s">
        <v>232</v>
      </c>
      <c r="D1486" s="2" t="s">
        <v>228</v>
      </c>
      <c r="E1486" s="382" t="s">
        <v>326</v>
      </c>
      <c r="F1486" s="3" t="s">
        <v>14</v>
      </c>
      <c r="G1486" s="3" t="s">
        <v>30</v>
      </c>
      <c r="H1486" s="140">
        <v>9.26</v>
      </c>
      <c r="I1486" s="28">
        <v>7</v>
      </c>
      <c r="J1486" s="19">
        <v>0</v>
      </c>
      <c r="K1486" s="13">
        <v>0</v>
      </c>
      <c r="L1486" s="7" t="s">
        <v>483</v>
      </c>
    </row>
    <row r="1487" spans="1:12">
      <c r="A1487" s="7"/>
      <c r="B1487" s="381" t="s">
        <v>324</v>
      </c>
      <c r="C1487" s="3" t="s">
        <v>232</v>
      </c>
      <c r="D1487" s="2" t="s">
        <v>228</v>
      </c>
      <c r="E1487" s="382" t="s">
        <v>326</v>
      </c>
      <c r="F1487" s="3" t="s">
        <v>14</v>
      </c>
      <c r="G1487" s="3" t="s">
        <v>30</v>
      </c>
      <c r="H1487" s="140">
        <v>9.26</v>
      </c>
      <c r="I1487" s="28">
        <v>8.6</v>
      </c>
      <c r="J1487" s="19">
        <v>0</v>
      </c>
      <c r="K1487" s="13">
        <v>0</v>
      </c>
      <c r="L1487" s="7" t="s">
        <v>483</v>
      </c>
    </row>
    <row r="1488" spans="1:12">
      <c r="A1488" s="7"/>
      <c r="B1488" s="381" t="s">
        <v>324</v>
      </c>
      <c r="C1488" s="3" t="s">
        <v>232</v>
      </c>
      <c r="D1488" s="2" t="s">
        <v>228</v>
      </c>
      <c r="E1488" s="382" t="s">
        <v>326</v>
      </c>
      <c r="F1488" s="3" t="s">
        <v>14</v>
      </c>
      <c r="G1488" s="3" t="s">
        <v>30</v>
      </c>
      <c r="H1488" s="140">
        <v>9.26</v>
      </c>
      <c r="I1488" s="28">
        <v>8.8000000000000007</v>
      </c>
      <c r="J1488" s="19">
        <v>0</v>
      </c>
      <c r="K1488" s="13">
        <v>0</v>
      </c>
      <c r="L1488" s="7" t="s">
        <v>483</v>
      </c>
    </row>
    <row r="1489" spans="1:12">
      <c r="A1489" s="7"/>
      <c r="B1489" s="381" t="s">
        <v>324</v>
      </c>
      <c r="C1489" s="3" t="s">
        <v>232</v>
      </c>
      <c r="D1489" s="2" t="s">
        <v>228</v>
      </c>
      <c r="E1489" s="382" t="s">
        <v>326</v>
      </c>
      <c r="F1489" s="3" t="s">
        <v>14</v>
      </c>
      <c r="G1489" s="3" t="s">
        <v>30</v>
      </c>
      <c r="H1489" s="140">
        <v>9.26</v>
      </c>
      <c r="I1489" s="28">
        <v>12</v>
      </c>
      <c r="J1489" s="19">
        <v>0</v>
      </c>
      <c r="K1489" s="13">
        <v>0</v>
      </c>
      <c r="L1489" s="7" t="s">
        <v>483</v>
      </c>
    </row>
    <row r="1490" spans="1:12">
      <c r="A1490" s="7"/>
      <c r="B1490" s="381" t="s">
        <v>324</v>
      </c>
      <c r="C1490" s="3" t="s">
        <v>232</v>
      </c>
      <c r="D1490" s="2" t="s">
        <v>228</v>
      </c>
      <c r="E1490" s="382" t="s">
        <v>326</v>
      </c>
      <c r="F1490" s="3" t="s">
        <v>14</v>
      </c>
      <c r="G1490" s="3" t="s">
        <v>30</v>
      </c>
      <c r="H1490" s="140">
        <v>9.26</v>
      </c>
      <c r="I1490" s="28">
        <v>7.6</v>
      </c>
      <c r="J1490" s="19">
        <v>0</v>
      </c>
      <c r="K1490" s="13">
        <v>0</v>
      </c>
      <c r="L1490" s="7" t="s">
        <v>483</v>
      </c>
    </row>
    <row r="1491" spans="1:12">
      <c r="A1491" s="7"/>
      <c r="B1491" s="381" t="s">
        <v>324</v>
      </c>
      <c r="C1491" s="3" t="s">
        <v>232</v>
      </c>
      <c r="D1491" s="2" t="s">
        <v>228</v>
      </c>
      <c r="E1491" s="382" t="s">
        <v>326</v>
      </c>
      <c r="F1491" s="3" t="s">
        <v>14</v>
      </c>
      <c r="G1491" s="3" t="s">
        <v>30</v>
      </c>
      <c r="H1491" s="140">
        <v>9.26</v>
      </c>
      <c r="I1491" s="28">
        <v>10.5</v>
      </c>
      <c r="J1491" s="19">
        <v>0</v>
      </c>
      <c r="K1491" s="13">
        <v>0</v>
      </c>
      <c r="L1491" s="7" t="s">
        <v>483</v>
      </c>
    </row>
    <row r="1492" spans="1:12">
      <c r="A1492" s="7"/>
      <c r="B1492" s="381" t="s">
        <v>324</v>
      </c>
      <c r="C1492" s="3" t="s">
        <v>232</v>
      </c>
      <c r="D1492" s="2" t="s">
        <v>228</v>
      </c>
      <c r="E1492" s="382" t="s">
        <v>326</v>
      </c>
      <c r="F1492" s="3" t="s">
        <v>14</v>
      </c>
      <c r="G1492" s="3" t="s">
        <v>30</v>
      </c>
      <c r="H1492" s="140">
        <v>9.26</v>
      </c>
      <c r="I1492" s="28">
        <v>11</v>
      </c>
      <c r="J1492" s="19">
        <v>0</v>
      </c>
      <c r="K1492" s="13">
        <v>0</v>
      </c>
      <c r="L1492" s="7" t="s">
        <v>483</v>
      </c>
    </row>
    <row r="1493" spans="1:12">
      <c r="A1493" s="7"/>
      <c r="B1493" s="381" t="s">
        <v>324</v>
      </c>
      <c r="C1493" s="3" t="s">
        <v>232</v>
      </c>
      <c r="D1493" s="2" t="s">
        <v>228</v>
      </c>
      <c r="E1493" s="382" t="s">
        <v>326</v>
      </c>
      <c r="F1493" s="3" t="s">
        <v>14</v>
      </c>
      <c r="G1493" s="3" t="s">
        <v>30</v>
      </c>
      <c r="H1493" s="140">
        <v>9.26</v>
      </c>
      <c r="I1493" s="28">
        <v>9.1999999999999993</v>
      </c>
      <c r="J1493" s="19">
        <v>0</v>
      </c>
      <c r="K1493" s="13">
        <v>0</v>
      </c>
      <c r="L1493" s="7" t="s">
        <v>483</v>
      </c>
    </row>
    <row r="1494" spans="1:12">
      <c r="A1494" s="7"/>
      <c r="B1494" s="381" t="s">
        <v>311</v>
      </c>
      <c r="C1494" s="3" t="s">
        <v>232</v>
      </c>
      <c r="D1494" s="2" t="s">
        <v>228</v>
      </c>
      <c r="E1494" s="382" t="s">
        <v>152</v>
      </c>
      <c r="F1494" s="3" t="s">
        <v>15</v>
      </c>
      <c r="G1494" s="3" t="s">
        <v>28</v>
      </c>
      <c r="H1494" s="140">
        <v>12.2</v>
      </c>
      <c r="I1494" s="28">
        <v>11.5</v>
      </c>
      <c r="J1494" s="19">
        <v>0</v>
      </c>
      <c r="K1494" s="13">
        <v>0</v>
      </c>
      <c r="L1494" s="7" t="s">
        <v>483</v>
      </c>
    </row>
    <row r="1495" spans="1:12">
      <c r="A1495" s="7"/>
      <c r="B1495" s="381" t="s">
        <v>311</v>
      </c>
      <c r="C1495" s="3" t="s">
        <v>232</v>
      </c>
      <c r="D1495" s="2" t="s">
        <v>228</v>
      </c>
      <c r="E1495" s="382" t="s">
        <v>152</v>
      </c>
      <c r="F1495" s="3" t="s">
        <v>15</v>
      </c>
      <c r="G1495" s="3" t="s">
        <v>28</v>
      </c>
      <c r="H1495" s="140">
        <v>12.2</v>
      </c>
      <c r="I1495" s="28">
        <v>11.25</v>
      </c>
      <c r="J1495" s="19">
        <v>0</v>
      </c>
      <c r="K1495" s="13">
        <v>0</v>
      </c>
      <c r="L1495" s="7" t="s">
        <v>483</v>
      </c>
    </row>
    <row r="1496" spans="1:12">
      <c r="A1496" s="7"/>
      <c r="B1496" s="381" t="s">
        <v>311</v>
      </c>
      <c r="C1496" s="3" t="s">
        <v>232</v>
      </c>
      <c r="D1496" s="2" t="s">
        <v>228</v>
      </c>
      <c r="E1496" s="382" t="s">
        <v>152</v>
      </c>
      <c r="F1496" s="3" t="s">
        <v>15</v>
      </c>
      <c r="G1496" s="3" t="s">
        <v>28</v>
      </c>
      <c r="H1496" s="140">
        <v>12.2</v>
      </c>
      <c r="I1496" s="28">
        <v>10.3</v>
      </c>
      <c r="J1496" s="19">
        <v>0</v>
      </c>
      <c r="K1496" s="13">
        <v>0</v>
      </c>
      <c r="L1496" s="7" t="s">
        <v>483</v>
      </c>
    </row>
    <row r="1497" spans="1:12">
      <c r="A1497" s="7"/>
      <c r="B1497" s="381" t="s">
        <v>311</v>
      </c>
      <c r="C1497" s="3" t="s">
        <v>232</v>
      </c>
      <c r="D1497" s="2" t="s">
        <v>228</v>
      </c>
      <c r="E1497" s="382" t="s">
        <v>152</v>
      </c>
      <c r="F1497" s="3" t="s">
        <v>15</v>
      </c>
      <c r="G1497" s="3" t="s">
        <v>28</v>
      </c>
      <c r="H1497" s="140">
        <v>12.2</v>
      </c>
      <c r="I1497" s="28">
        <v>10.1</v>
      </c>
      <c r="J1497" s="19">
        <v>0</v>
      </c>
      <c r="K1497" s="13">
        <v>0</v>
      </c>
      <c r="L1497" s="7" t="s">
        <v>483</v>
      </c>
    </row>
    <row r="1498" spans="1:12">
      <c r="A1498" s="7"/>
      <c r="B1498" s="381" t="s">
        <v>311</v>
      </c>
      <c r="C1498" s="3" t="s">
        <v>232</v>
      </c>
      <c r="D1498" s="2" t="s">
        <v>228</v>
      </c>
      <c r="E1498" s="382" t="s">
        <v>152</v>
      </c>
      <c r="F1498" s="3" t="s">
        <v>15</v>
      </c>
      <c r="G1498" s="3" t="s">
        <v>28</v>
      </c>
      <c r="H1498" s="140">
        <v>12.2</v>
      </c>
      <c r="I1498" s="28">
        <v>10</v>
      </c>
      <c r="J1498" s="19">
        <v>0</v>
      </c>
      <c r="K1498" s="13">
        <v>0</v>
      </c>
      <c r="L1498" s="7" t="s">
        <v>483</v>
      </c>
    </row>
    <row r="1499" spans="1:12">
      <c r="A1499" s="7"/>
      <c r="B1499" s="381" t="s">
        <v>311</v>
      </c>
      <c r="C1499" s="3" t="s">
        <v>232</v>
      </c>
      <c r="D1499" s="2" t="s">
        <v>228</v>
      </c>
      <c r="E1499" s="382" t="s">
        <v>152</v>
      </c>
      <c r="F1499" s="3" t="s">
        <v>15</v>
      </c>
      <c r="G1499" s="3" t="s">
        <v>28</v>
      </c>
      <c r="H1499" s="140">
        <v>12.2</v>
      </c>
      <c r="I1499" s="28">
        <v>9.5</v>
      </c>
      <c r="J1499" s="19">
        <v>0</v>
      </c>
      <c r="K1499" s="13">
        <v>0</v>
      </c>
      <c r="L1499" s="7" t="s">
        <v>483</v>
      </c>
    </row>
    <row r="1500" spans="1:12">
      <c r="A1500" s="7"/>
      <c r="B1500" s="381" t="s">
        <v>311</v>
      </c>
      <c r="C1500" s="3" t="s">
        <v>232</v>
      </c>
      <c r="D1500" s="2" t="s">
        <v>228</v>
      </c>
      <c r="E1500" s="382" t="s">
        <v>152</v>
      </c>
      <c r="F1500" s="3" t="s">
        <v>15</v>
      </c>
      <c r="G1500" s="3" t="s">
        <v>28</v>
      </c>
      <c r="H1500" s="140">
        <v>12.2</v>
      </c>
      <c r="I1500" s="28">
        <v>9.4</v>
      </c>
      <c r="J1500" s="19">
        <v>0</v>
      </c>
      <c r="K1500" s="13">
        <v>0</v>
      </c>
      <c r="L1500" s="7" t="s">
        <v>483</v>
      </c>
    </row>
    <row r="1501" spans="1:12">
      <c r="A1501" s="7"/>
      <c r="B1501" s="381" t="s">
        <v>311</v>
      </c>
      <c r="C1501" s="3" t="s">
        <v>232</v>
      </c>
      <c r="D1501" s="2" t="s">
        <v>228</v>
      </c>
      <c r="E1501" s="382" t="s">
        <v>152</v>
      </c>
      <c r="F1501" s="3" t="s">
        <v>15</v>
      </c>
      <c r="G1501" s="3" t="s">
        <v>28</v>
      </c>
      <c r="H1501" s="140">
        <v>12.2</v>
      </c>
      <c r="I1501" s="28">
        <v>11.5</v>
      </c>
      <c r="J1501" s="19">
        <v>0</v>
      </c>
      <c r="K1501" s="13">
        <v>0</v>
      </c>
      <c r="L1501" s="7" t="s">
        <v>483</v>
      </c>
    </row>
    <row r="1502" spans="1:12">
      <c r="A1502" s="7"/>
      <c r="B1502" s="381" t="s">
        <v>311</v>
      </c>
      <c r="C1502" s="3" t="s">
        <v>232</v>
      </c>
      <c r="D1502" s="2" t="s">
        <v>228</v>
      </c>
      <c r="E1502" s="382" t="s">
        <v>152</v>
      </c>
      <c r="F1502" s="3" t="s">
        <v>15</v>
      </c>
      <c r="G1502" s="3" t="s">
        <v>28</v>
      </c>
      <c r="H1502" s="140">
        <v>12.2</v>
      </c>
      <c r="I1502" s="28">
        <v>10.5</v>
      </c>
      <c r="J1502" s="19">
        <v>0</v>
      </c>
      <c r="K1502" s="13">
        <v>0</v>
      </c>
      <c r="L1502" s="7" t="s">
        <v>483</v>
      </c>
    </row>
    <row r="1503" spans="1:12">
      <c r="A1503" s="7"/>
      <c r="B1503" s="381" t="s">
        <v>311</v>
      </c>
      <c r="C1503" s="3" t="s">
        <v>232</v>
      </c>
      <c r="D1503" s="2" t="s">
        <v>228</v>
      </c>
      <c r="E1503" s="382" t="s">
        <v>152</v>
      </c>
      <c r="F1503" s="3" t="s">
        <v>15</v>
      </c>
      <c r="G1503" s="3" t="s">
        <v>28</v>
      </c>
      <c r="H1503" s="140">
        <v>12.2</v>
      </c>
      <c r="I1503" s="28">
        <v>8.4</v>
      </c>
      <c r="J1503" s="19">
        <v>0</v>
      </c>
      <c r="K1503" s="13">
        <v>0</v>
      </c>
      <c r="L1503" s="7" t="s">
        <v>483</v>
      </c>
    </row>
    <row r="1504" spans="1:12">
      <c r="A1504" s="7"/>
      <c r="B1504" s="381" t="s">
        <v>311</v>
      </c>
      <c r="C1504" s="3" t="s">
        <v>232</v>
      </c>
      <c r="D1504" s="2" t="s">
        <v>228</v>
      </c>
      <c r="E1504" s="382" t="s">
        <v>152</v>
      </c>
      <c r="F1504" s="3" t="s">
        <v>15</v>
      </c>
      <c r="G1504" s="3" t="s">
        <v>28</v>
      </c>
      <c r="H1504" s="140">
        <v>12.2</v>
      </c>
      <c r="I1504" s="28">
        <v>8.5</v>
      </c>
      <c r="J1504" s="19">
        <v>0</v>
      </c>
      <c r="K1504" s="13">
        <v>0</v>
      </c>
      <c r="L1504" s="7" t="s">
        <v>483</v>
      </c>
    </row>
    <row r="1505" spans="1:12">
      <c r="A1505" s="7"/>
      <c r="B1505" s="381" t="s">
        <v>311</v>
      </c>
      <c r="C1505" s="3" t="s">
        <v>232</v>
      </c>
      <c r="D1505" s="2" t="s">
        <v>228</v>
      </c>
      <c r="E1505" s="382" t="s">
        <v>152</v>
      </c>
      <c r="F1505" s="3" t="s">
        <v>15</v>
      </c>
      <c r="G1505" s="3" t="s">
        <v>28</v>
      </c>
      <c r="H1505" s="140">
        <v>12.2</v>
      </c>
      <c r="I1505" s="28">
        <v>8.9</v>
      </c>
      <c r="J1505" s="19">
        <v>0</v>
      </c>
      <c r="K1505" s="13">
        <v>0</v>
      </c>
      <c r="L1505" s="7" t="s">
        <v>483</v>
      </c>
    </row>
    <row r="1506" spans="1:12">
      <c r="A1506" s="7"/>
      <c r="B1506" s="381" t="s">
        <v>311</v>
      </c>
      <c r="C1506" s="3" t="s">
        <v>232</v>
      </c>
      <c r="D1506" s="2" t="s">
        <v>228</v>
      </c>
      <c r="E1506" s="382" t="s">
        <v>152</v>
      </c>
      <c r="F1506" s="3" t="s">
        <v>15</v>
      </c>
      <c r="G1506" s="3" t="s">
        <v>28</v>
      </c>
      <c r="H1506" s="140">
        <v>12.2</v>
      </c>
      <c r="I1506" s="28">
        <v>9.3000000000000007</v>
      </c>
      <c r="J1506" s="19">
        <v>0</v>
      </c>
      <c r="K1506" s="13">
        <v>0</v>
      </c>
      <c r="L1506" s="7" t="s">
        <v>483</v>
      </c>
    </row>
    <row r="1507" spans="1:12">
      <c r="A1507" s="7"/>
      <c r="B1507" s="381" t="s">
        <v>311</v>
      </c>
      <c r="C1507" s="3" t="s">
        <v>232</v>
      </c>
      <c r="D1507" s="2" t="s">
        <v>228</v>
      </c>
      <c r="E1507" s="382" t="s">
        <v>152</v>
      </c>
      <c r="F1507" s="3" t="s">
        <v>15</v>
      </c>
      <c r="G1507" s="3" t="s">
        <v>28</v>
      </c>
      <c r="H1507" s="140">
        <v>12.2</v>
      </c>
      <c r="I1507" s="28">
        <v>9.5</v>
      </c>
      <c r="J1507" s="19">
        <v>0</v>
      </c>
      <c r="K1507" s="13">
        <v>0</v>
      </c>
      <c r="L1507" s="7" t="s">
        <v>483</v>
      </c>
    </row>
    <row r="1508" spans="1:12">
      <c r="A1508" s="7"/>
      <c r="B1508" s="381" t="s">
        <v>311</v>
      </c>
      <c r="C1508" s="3" t="s">
        <v>232</v>
      </c>
      <c r="D1508" s="2" t="s">
        <v>228</v>
      </c>
      <c r="E1508" s="382" t="s">
        <v>152</v>
      </c>
      <c r="F1508" s="3" t="s">
        <v>15</v>
      </c>
      <c r="G1508" s="3" t="s">
        <v>28</v>
      </c>
      <c r="H1508" s="140">
        <v>12.2</v>
      </c>
      <c r="I1508" s="28">
        <v>10</v>
      </c>
      <c r="J1508" s="19">
        <v>0</v>
      </c>
      <c r="K1508" s="13">
        <v>0</v>
      </c>
      <c r="L1508" s="7" t="s">
        <v>483</v>
      </c>
    </row>
    <row r="1509" spans="1:12">
      <c r="A1509" s="7"/>
      <c r="B1509" s="381" t="s">
        <v>311</v>
      </c>
      <c r="C1509" s="3" t="s">
        <v>232</v>
      </c>
      <c r="D1509" s="2" t="s">
        <v>228</v>
      </c>
      <c r="E1509" s="382" t="s">
        <v>152</v>
      </c>
      <c r="F1509" s="3" t="s">
        <v>15</v>
      </c>
      <c r="G1509" s="3" t="s">
        <v>28</v>
      </c>
      <c r="H1509" s="140">
        <v>12.2</v>
      </c>
      <c r="I1509" s="28">
        <v>10.199999999999999</v>
      </c>
      <c r="J1509" s="19">
        <v>0</v>
      </c>
      <c r="K1509" s="13">
        <v>0</v>
      </c>
      <c r="L1509" s="7" t="s">
        <v>483</v>
      </c>
    </row>
    <row r="1510" spans="1:12">
      <c r="A1510" s="7"/>
      <c r="B1510" s="381" t="s">
        <v>311</v>
      </c>
      <c r="C1510" s="3" t="s">
        <v>232</v>
      </c>
      <c r="D1510" s="2" t="s">
        <v>228</v>
      </c>
      <c r="E1510" s="382" t="s">
        <v>152</v>
      </c>
      <c r="F1510" s="3" t="s">
        <v>15</v>
      </c>
      <c r="G1510" s="3" t="s">
        <v>28</v>
      </c>
      <c r="H1510" s="140">
        <v>12.2</v>
      </c>
      <c r="I1510" s="28">
        <v>10.4</v>
      </c>
      <c r="J1510" s="19">
        <v>0</v>
      </c>
      <c r="K1510" s="13">
        <v>0</v>
      </c>
      <c r="L1510" s="7" t="s">
        <v>483</v>
      </c>
    </row>
    <row r="1511" spans="1:12">
      <c r="A1511" s="7"/>
      <c r="B1511" s="381" t="s">
        <v>311</v>
      </c>
      <c r="C1511" s="3" t="s">
        <v>232</v>
      </c>
      <c r="D1511" s="2" t="s">
        <v>228</v>
      </c>
      <c r="E1511" s="382" t="s">
        <v>152</v>
      </c>
      <c r="F1511" s="3" t="s">
        <v>15</v>
      </c>
      <c r="G1511" s="3" t="s">
        <v>28</v>
      </c>
      <c r="H1511" s="140">
        <v>12.2</v>
      </c>
      <c r="I1511" s="28">
        <v>11.5</v>
      </c>
      <c r="J1511" s="19">
        <v>0</v>
      </c>
      <c r="K1511" s="13">
        <v>0</v>
      </c>
      <c r="L1511" s="7" t="s">
        <v>483</v>
      </c>
    </row>
    <row r="1512" spans="1:12">
      <c r="A1512" s="7"/>
      <c r="B1512" s="7"/>
      <c r="C1512" s="3" t="s">
        <v>232</v>
      </c>
      <c r="D1512" s="2" t="s">
        <v>228</v>
      </c>
      <c r="E1512" s="382" t="s">
        <v>152</v>
      </c>
      <c r="F1512" s="3" t="s">
        <v>15</v>
      </c>
      <c r="G1512" s="3" t="s">
        <v>28</v>
      </c>
      <c r="H1512" s="140">
        <v>12.2</v>
      </c>
      <c r="I1512" s="28">
        <v>10.5</v>
      </c>
      <c r="J1512" s="19">
        <v>0</v>
      </c>
      <c r="K1512" s="13">
        <v>0</v>
      </c>
      <c r="L1512" s="7" t="s">
        <v>483</v>
      </c>
    </row>
    <row r="1513" spans="1:12">
      <c r="A1513" s="7"/>
      <c r="B1513" s="381" t="s">
        <v>327</v>
      </c>
      <c r="C1513" s="3" t="s">
        <v>232</v>
      </c>
      <c r="D1513" s="2" t="s">
        <v>228</v>
      </c>
      <c r="E1513" s="382" t="s">
        <v>152</v>
      </c>
      <c r="F1513" s="3" t="s">
        <v>15</v>
      </c>
      <c r="G1513" s="3" t="s">
        <v>45</v>
      </c>
      <c r="H1513" s="140">
        <v>13.6</v>
      </c>
      <c r="I1513" s="28">
        <v>6.6</v>
      </c>
      <c r="J1513" s="19">
        <v>2</v>
      </c>
      <c r="K1513" s="13">
        <v>0.17951999999999999</v>
      </c>
      <c r="L1513" s="7" t="s">
        <v>483</v>
      </c>
    </row>
    <row r="1514" spans="1:12">
      <c r="A1514" s="7"/>
      <c r="B1514" s="381" t="s">
        <v>327</v>
      </c>
      <c r="C1514" s="3" t="s">
        <v>232</v>
      </c>
      <c r="D1514" s="2" t="s">
        <v>228</v>
      </c>
      <c r="E1514" s="382" t="s">
        <v>152</v>
      </c>
      <c r="F1514" s="3" t="s">
        <v>15</v>
      </c>
      <c r="G1514" s="3" t="s">
        <v>45</v>
      </c>
      <c r="H1514" s="140">
        <v>13.6</v>
      </c>
      <c r="I1514" s="28">
        <v>6.1</v>
      </c>
      <c r="J1514" s="19">
        <v>1</v>
      </c>
      <c r="K1514" s="13">
        <v>8.2959999999999992E-2</v>
      </c>
      <c r="L1514" s="7" t="s">
        <v>483</v>
      </c>
    </row>
    <row r="1515" spans="1:12">
      <c r="A1515" s="7"/>
      <c r="B1515" s="381" t="s">
        <v>324</v>
      </c>
      <c r="C1515" s="3" t="s">
        <v>232</v>
      </c>
      <c r="D1515" s="2" t="s">
        <v>228</v>
      </c>
      <c r="E1515" s="382" t="s">
        <v>326</v>
      </c>
      <c r="F1515" s="3" t="s">
        <v>14</v>
      </c>
      <c r="G1515" s="3" t="s">
        <v>28</v>
      </c>
      <c r="H1515" s="140">
        <v>12.2</v>
      </c>
      <c r="I1515" s="28">
        <v>11.9</v>
      </c>
      <c r="J1515" s="19">
        <v>0</v>
      </c>
      <c r="K1515" s="13">
        <v>0</v>
      </c>
      <c r="L1515" s="7" t="s">
        <v>483</v>
      </c>
    </row>
    <row r="1516" spans="1:12">
      <c r="A1516" s="7"/>
      <c r="B1516" s="381" t="s">
        <v>324</v>
      </c>
      <c r="C1516" s="3" t="s">
        <v>232</v>
      </c>
      <c r="D1516" s="2" t="s">
        <v>228</v>
      </c>
      <c r="E1516" s="382" t="s">
        <v>326</v>
      </c>
      <c r="F1516" s="3" t="s">
        <v>14</v>
      </c>
      <c r="G1516" s="3" t="s">
        <v>28</v>
      </c>
      <c r="H1516" s="140">
        <v>12.2</v>
      </c>
      <c r="I1516" s="28">
        <v>8</v>
      </c>
      <c r="J1516" s="19">
        <v>1</v>
      </c>
      <c r="K1516" s="13">
        <v>9.7599999999999992E-2</v>
      </c>
      <c r="L1516" s="7" t="s">
        <v>483</v>
      </c>
    </row>
    <row r="1517" spans="1:12">
      <c r="A1517" s="7"/>
      <c r="B1517" s="381" t="s">
        <v>324</v>
      </c>
      <c r="C1517" s="3" t="s">
        <v>232</v>
      </c>
      <c r="D1517" s="2" t="s">
        <v>228</v>
      </c>
      <c r="E1517" s="382" t="s">
        <v>326</v>
      </c>
      <c r="F1517" s="3" t="s">
        <v>14</v>
      </c>
      <c r="G1517" s="3" t="s">
        <v>28</v>
      </c>
      <c r="H1517" s="140">
        <v>12.2</v>
      </c>
      <c r="I1517" s="28">
        <v>10.5</v>
      </c>
      <c r="J1517" s="19">
        <v>1</v>
      </c>
      <c r="K1517" s="13">
        <v>0.12809999999999999</v>
      </c>
      <c r="L1517" s="7" t="s">
        <v>483</v>
      </c>
    </row>
    <row r="1518" spans="1:12">
      <c r="A1518" s="7"/>
      <c r="B1518" s="381" t="s">
        <v>324</v>
      </c>
      <c r="C1518" s="3" t="s">
        <v>232</v>
      </c>
      <c r="D1518" s="2" t="s">
        <v>228</v>
      </c>
      <c r="E1518" s="382" t="s">
        <v>326</v>
      </c>
      <c r="F1518" s="3" t="s">
        <v>14</v>
      </c>
      <c r="G1518" s="3" t="s">
        <v>28</v>
      </c>
      <c r="H1518" s="140">
        <v>12.2</v>
      </c>
      <c r="I1518" s="28">
        <v>11.5</v>
      </c>
      <c r="J1518" s="19">
        <v>1</v>
      </c>
      <c r="K1518" s="13">
        <v>0.14029999999999998</v>
      </c>
      <c r="L1518" s="7" t="s">
        <v>483</v>
      </c>
    </row>
    <row r="1519" spans="1:12">
      <c r="A1519" s="7"/>
      <c r="B1519" s="381" t="s">
        <v>324</v>
      </c>
      <c r="C1519" s="3" t="s">
        <v>232</v>
      </c>
      <c r="D1519" s="2" t="s">
        <v>228</v>
      </c>
      <c r="E1519" s="382" t="s">
        <v>326</v>
      </c>
      <c r="F1519" s="3" t="s">
        <v>14</v>
      </c>
      <c r="G1519" s="3" t="s">
        <v>28</v>
      </c>
      <c r="H1519" s="140">
        <v>12.2</v>
      </c>
      <c r="I1519" s="28">
        <v>8</v>
      </c>
      <c r="J1519" s="19">
        <v>0</v>
      </c>
      <c r="K1519" s="13">
        <v>0</v>
      </c>
      <c r="L1519" s="7" t="s">
        <v>483</v>
      </c>
    </row>
    <row r="1520" spans="1:12">
      <c r="A1520" s="7"/>
      <c r="B1520" s="381" t="s">
        <v>324</v>
      </c>
      <c r="C1520" s="3" t="s">
        <v>232</v>
      </c>
      <c r="D1520" s="2" t="s">
        <v>228</v>
      </c>
      <c r="E1520" s="382" t="s">
        <v>326</v>
      </c>
      <c r="F1520" s="3" t="s">
        <v>14</v>
      </c>
      <c r="G1520" s="3" t="s">
        <v>28</v>
      </c>
      <c r="H1520" s="140">
        <v>12.2</v>
      </c>
      <c r="I1520" s="28">
        <v>12</v>
      </c>
      <c r="J1520" s="19">
        <v>0</v>
      </c>
      <c r="K1520" s="13">
        <v>0</v>
      </c>
      <c r="L1520" s="7" t="s">
        <v>483</v>
      </c>
    </row>
    <row r="1521" spans="1:12">
      <c r="A1521" s="7"/>
      <c r="B1521" s="381" t="s">
        <v>324</v>
      </c>
      <c r="C1521" s="3" t="s">
        <v>232</v>
      </c>
      <c r="D1521" s="2" t="s">
        <v>228</v>
      </c>
      <c r="E1521" s="382" t="s">
        <v>24</v>
      </c>
      <c r="F1521" s="3" t="s">
        <v>14</v>
      </c>
      <c r="G1521" s="3" t="s">
        <v>43</v>
      </c>
      <c r="H1521" s="140">
        <v>15.04</v>
      </c>
      <c r="I1521" s="28">
        <v>11</v>
      </c>
      <c r="J1521" s="19">
        <v>0</v>
      </c>
      <c r="K1521" s="13">
        <v>0</v>
      </c>
      <c r="L1521" s="7" t="s">
        <v>483</v>
      </c>
    </row>
    <row r="1522" spans="1:12">
      <c r="A1522" s="7"/>
      <c r="B1522" s="381" t="s">
        <v>324</v>
      </c>
      <c r="C1522" s="3" t="s">
        <v>232</v>
      </c>
      <c r="D1522" s="2" t="s">
        <v>228</v>
      </c>
      <c r="E1522" s="382" t="s">
        <v>24</v>
      </c>
      <c r="F1522" s="3" t="s">
        <v>14</v>
      </c>
      <c r="G1522" s="3" t="s">
        <v>43</v>
      </c>
      <c r="H1522" s="140">
        <v>15.04</v>
      </c>
      <c r="I1522" s="28">
        <v>12</v>
      </c>
      <c r="J1522" s="19">
        <v>15</v>
      </c>
      <c r="K1522" s="13">
        <v>2.7071999999999998</v>
      </c>
      <c r="L1522" s="7" t="s">
        <v>483</v>
      </c>
    </row>
    <row r="1523" spans="1:12">
      <c r="A1523" s="7"/>
      <c r="B1523" s="381" t="s">
        <v>324</v>
      </c>
      <c r="C1523" s="3" t="s">
        <v>232</v>
      </c>
      <c r="D1523" s="2" t="s">
        <v>228</v>
      </c>
      <c r="E1523" s="382" t="s">
        <v>24</v>
      </c>
      <c r="F1523" s="3" t="s">
        <v>14</v>
      </c>
      <c r="G1523" s="3" t="s">
        <v>43</v>
      </c>
      <c r="H1523" s="140">
        <v>15.04</v>
      </c>
      <c r="I1523" s="28">
        <v>11</v>
      </c>
      <c r="J1523" s="19">
        <v>1</v>
      </c>
      <c r="K1523" s="13">
        <v>0.16544</v>
      </c>
      <c r="L1523" s="7" t="s">
        <v>483</v>
      </c>
    </row>
    <row r="1524" spans="1:12">
      <c r="A1524" s="7"/>
      <c r="B1524" s="381" t="s">
        <v>425</v>
      </c>
      <c r="C1524" s="3" t="s">
        <v>232</v>
      </c>
      <c r="D1524" s="2" t="s">
        <v>228</v>
      </c>
      <c r="E1524" s="382" t="s">
        <v>152</v>
      </c>
      <c r="F1524" s="3" t="s">
        <v>15</v>
      </c>
      <c r="G1524" s="3" t="s">
        <v>28</v>
      </c>
      <c r="H1524" s="140">
        <v>12.2</v>
      </c>
      <c r="I1524" s="28">
        <v>11.25</v>
      </c>
      <c r="J1524" s="19">
        <v>0</v>
      </c>
      <c r="K1524" s="13">
        <v>0</v>
      </c>
      <c r="L1524" s="7" t="s">
        <v>483</v>
      </c>
    </row>
    <row r="1525" spans="1:12">
      <c r="A1525" s="7"/>
      <c r="B1525" s="381" t="s">
        <v>425</v>
      </c>
      <c r="C1525" s="3" t="s">
        <v>232</v>
      </c>
      <c r="D1525" s="2" t="s">
        <v>228</v>
      </c>
      <c r="E1525" s="382" t="s">
        <v>152</v>
      </c>
      <c r="F1525" s="3" t="s">
        <v>15</v>
      </c>
      <c r="G1525" s="3" t="s">
        <v>28</v>
      </c>
      <c r="H1525" s="140">
        <v>12.2</v>
      </c>
      <c r="I1525" s="28">
        <v>11.5</v>
      </c>
      <c r="J1525" s="19">
        <v>0</v>
      </c>
      <c r="K1525" s="13">
        <v>0</v>
      </c>
      <c r="L1525" s="7" t="s">
        <v>483</v>
      </c>
    </row>
    <row r="1526" spans="1:12">
      <c r="A1526" s="7"/>
      <c r="B1526" s="381" t="s">
        <v>425</v>
      </c>
      <c r="C1526" s="3" t="s">
        <v>232</v>
      </c>
      <c r="D1526" s="2" t="s">
        <v>228</v>
      </c>
      <c r="E1526" s="382" t="s">
        <v>152</v>
      </c>
      <c r="F1526" s="3" t="s">
        <v>15</v>
      </c>
      <c r="G1526" s="3" t="s">
        <v>28</v>
      </c>
      <c r="H1526" s="140">
        <v>12.2</v>
      </c>
      <c r="I1526" s="28">
        <v>12</v>
      </c>
      <c r="J1526" s="19">
        <v>0</v>
      </c>
      <c r="K1526" s="13">
        <v>0</v>
      </c>
      <c r="L1526" s="7" t="s">
        <v>483</v>
      </c>
    </row>
    <row r="1527" spans="1:12">
      <c r="A1527" s="7"/>
      <c r="B1527" s="381" t="s">
        <v>425</v>
      </c>
      <c r="C1527" s="3" t="s">
        <v>232</v>
      </c>
      <c r="D1527" s="2" t="s">
        <v>228</v>
      </c>
      <c r="E1527" s="382" t="s">
        <v>152</v>
      </c>
      <c r="F1527" s="3" t="s">
        <v>15</v>
      </c>
      <c r="G1527" s="3" t="s">
        <v>28</v>
      </c>
      <c r="H1527" s="140">
        <v>12.2</v>
      </c>
      <c r="I1527" s="28">
        <v>11.5</v>
      </c>
      <c r="J1527" s="19">
        <v>0</v>
      </c>
      <c r="K1527" s="13">
        <v>0</v>
      </c>
      <c r="L1527" s="7" t="s">
        <v>483</v>
      </c>
    </row>
    <row r="1528" spans="1:12">
      <c r="A1528" s="7"/>
      <c r="B1528" s="381" t="s">
        <v>425</v>
      </c>
      <c r="C1528" s="3" t="s">
        <v>232</v>
      </c>
      <c r="D1528" s="2" t="s">
        <v>228</v>
      </c>
      <c r="E1528" s="382" t="s">
        <v>152</v>
      </c>
      <c r="F1528" s="3" t="s">
        <v>15</v>
      </c>
      <c r="G1528" s="3" t="s">
        <v>28</v>
      </c>
      <c r="H1528" s="140">
        <v>12.2</v>
      </c>
      <c r="I1528" s="28">
        <v>11.25</v>
      </c>
      <c r="J1528" s="19">
        <v>0</v>
      </c>
      <c r="K1528" s="13">
        <v>0</v>
      </c>
      <c r="L1528" s="7" t="s">
        <v>483</v>
      </c>
    </row>
    <row r="1529" spans="1:12">
      <c r="A1529" s="7"/>
      <c r="B1529" s="381" t="s">
        <v>425</v>
      </c>
      <c r="C1529" s="3" t="s">
        <v>232</v>
      </c>
      <c r="D1529" s="2" t="s">
        <v>228</v>
      </c>
      <c r="E1529" s="382" t="s">
        <v>152</v>
      </c>
      <c r="F1529" s="3" t="s">
        <v>15</v>
      </c>
      <c r="G1529" s="3" t="s">
        <v>28</v>
      </c>
      <c r="H1529" s="140">
        <v>12.2</v>
      </c>
      <c r="I1529" s="28">
        <v>10.5</v>
      </c>
      <c r="J1529" s="19">
        <v>0</v>
      </c>
      <c r="K1529" s="13">
        <v>0</v>
      </c>
      <c r="L1529" s="7" t="s">
        <v>483</v>
      </c>
    </row>
    <row r="1530" spans="1:12">
      <c r="A1530" s="7"/>
      <c r="B1530" s="381" t="s">
        <v>425</v>
      </c>
      <c r="C1530" s="3" t="s">
        <v>232</v>
      </c>
      <c r="D1530" s="2" t="s">
        <v>228</v>
      </c>
      <c r="E1530" s="382" t="s">
        <v>152</v>
      </c>
      <c r="F1530" s="3" t="s">
        <v>15</v>
      </c>
      <c r="G1530" s="3" t="s">
        <v>28</v>
      </c>
      <c r="H1530" s="140">
        <v>12.2</v>
      </c>
      <c r="I1530" s="28">
        <v>12</v>
      </c>
      <c r="J1530" s="19">
        <v>0</v>
      </c>
      <c r="K1530" s="13">
        <v>0</v>
      </c>
      <c r="L1530" s="7" t="s">
        <v>483</v>
      </c>
    </row>
    <row r="1531" spans="1:12">
      <c r="A1531" s="7"/>
      <c r="B1531" s="381" t="s">
        <v>425</v>
      </c>
      <c r="C1531" s="3" t="s">
        <v>232</v>
      </c>
      <c r="D1531" s="2" t="s">
        <v>228</v>
      </c>
      <c r="E1531" s="382" t="s">
        <v>152</v>
      </c>
      <c r="F1531" s="3" t="s">
        <v>15</v>
      </c>
      <c r="G1531" s="3" t="s">
        <v>28</v>
      </c>
      <c r="H1531" s="140">
        <v>12.2</v>
      </c>
      <c r="I1531" s="28">
        <v>11.25</v>
      </c>
      <c r="J1531" s="19">
        <v>0</v>
      </c>
      <c r="K1531" s="13">
        <v>0</v>
      </c>
      <c r="L1531" s="7" t="s">
        <v>483</v>
      </c>
    </row>
    <row r="1532" spans="1:12">
      <c r="A1532" s="7"/>
      <c r="B1532" s="381" t="s">
        <v>425</v>
      </c>
      <c r="C1532" s="3" t="s">
        <v>232</v>
      </c>
      <c r="D1532" s="2" t="s">
        <v>228</v>
      </c>
      <c r="E1532" s="382" t="s">
        <v>152</v>
      </c>
      <c r="F1532" s="3" t="s">
        <v>15</v>
      </c>
      <c r="G1532" s="3" t="s">
        <v>28</v>
      </c>
      <c r="H1532" s="140">
        <v>12.2</v>
      </c>
      <c r="I1532" s="28">
        <v>10.5</v>
      </c>
      <c r="J1532" s="19">
        <v>0</v>
      </c>
      <c r="K1532" s="13">
        <v>0</v>
      </c>
      <c r="L1532" s="7" t="s">
        <v>483</v>
      </c>
    </row>
    <row r="1533" spans="1:12">
      <c r="A1533" s="7"/>
      <c r="B1533" s="381" t="s">
        <v>425</v>
      </c>
      <c r="C1533" s="3" t="s">
        <v>232</v>
      </c>
      <c r="D1533" s="2" t="s">
        <v>228</v>
      </c>
      <c r="E1533" s="382" t="s">
        <v>152</v>
      </c>
      <c r="F1533" s="3" t="s">
        <v>15</v>
      </c>
      <c r="G1533" s="3" t="s">
        <v>28</v>
      </c>
      <c r="H1533" s="140">
        <v>12.2</v>
      </c>
      <c r="I1533" s="28">
        <v>11.25</v>
      </c>
      <c r="J1533" s="19">
        <v>0</v>
      </c>
      <c r="K1533" s="13">
        <v>0</v>
      </c>
      <c r="L1533" s="7" t="s">
        <v>483</v>
      </c>
    </row>
    <row r="1534" spans="1:12">
      <c r="A1534" s="7"/>
      <c r="B1534" s="381" t="s">
        <v>425</v>
      </c>
      <c r="C1534" s="3" t="s">
        <v>232</v>
      </c>
      <c r="D1534" s="2" t="s">
        <v>228</v>
      </c>
      <c r="E1534" s="382" t="s">
        <v>152</v>
      </c>
      <c r="F1534" s="3" t="s">
        <v>15</v>
      </c>
      <c r="G1534" s="3" t="s">
        <v>28</v>
      </c>
      <c r="H1534" s="140">
        <v>12.2</v>
      </c>
      <c r="I1534" s="28">
        <v>11.5</v>
      </c>
      <c r="J1534" s="19">
        <v>0</v>
      </c>
      <c r="K1534" s="13">
        <v>0</v>
      </c>
      <c r="L1534" s="7" t="s">
        <v>483</v>
      </c>
    </row>
    <row r="1535" spans="1:12">
      <c r="A1535" s="7"/>
      <c r="B1535" s="381" t="s">
        <v>425</v>
      </c>
      <c r="C1535" s="3" t="s">
        <v>232</v>
      </c>
      <c r="D1535" s="2" t="s">
        <v>228</v>
      </c>
      <c r="E1535" s="382" t="s">
        <v>152</v>
      </c>
      <c r="F1535" s="3" t="s">
        <v>15</v>
      </c>
      <c r="G1535" s="3" t="s">
        <v>28</v>
      </c>
      <c r="H1535" s="140">
        <v>12.2</v>
      </c>
      <c r="I1535" s="28">
        <v>12</v>
      </c>
      <c r="J1535" s="19">
        <v>0</v>
      </c>
      <c r="K1535" s="13">
        <v>0</v>
      </c>
      <c r="L1535" s="7" t="s">
        <v>483</v>
      </c>
    </row>
    <row r="1536" spans="1:12">
      <c r="A1536" s="7"/>
      <c r="B1536" s="381" t="s">
        <v>425</v>
      </c>
      <c r="C1536" s="3" t="s">
        <v>232</v>
      </c>
      <c r="D1536" s="2" t="s">
        <v>228</v>
      </c>
      <c r="E1536" s="382" t="s">
        <v>152</v>
      </c>
      <c r="F1536" s="3" t="s">
        <v>15</v>
      </c>
      <c r="G1536" s="3" t="s">
        <v>28</v>
      </c>
      <c r="H1536" s="140">
        <v>12.2</v>
      </c>
      <c r="I1536" s="28">
        <v>10.5</v>
      </c>
      <c r="J1536" s="19">
        <v>0</v>
      </c>
      <c r="K1536" s="13">
        <v>0</v>
      </c>
      <c r="L1536" s="7" t="s">
        <v>483</v>
      </c>
    </row>
    <row r="1537" spans="1:12">
      <c r="A1537" s="7"/>
      <c r="B1537" s="381" t="s">
        <v>425</v>
      </c>
      <c r="C1537" s="3" t="s">
        <v>232</v>
      </c>
      <c r="D1537" s="2" t="s">
        <v>228</v>
      </c>
      <c r="E1537" s="382" t="s">
        <v>152</v>
      </c>
      <c r="F1537" s="3" t="s">
        <v>15</v>
      </c>
      <c r="G1537" s="3" t="s">
        <v>28</v>
      </c>
      <c r="H1537" s="140">
        <v>12.2</v>
      </c>
      <c r="I1537" s="28">
        <v>11.25</v>
      </c>
      <c r="J1537" s="19">
        <v>0</v>
      </c>
      <c r="K1537" s="13">
        <v>0</v>
      </c>
      <c r="L1537" s="7" t="s">
        <v>483</v>
      </c>
    </row>
    <row r="1538" spans="1:12">
      <c r="A1538" s="7"/>
      <c r="B1538" s="381" t="s">
        <v>425</v>
      </c>
      <c r="C1538" s="3" t="s">
        <v>232</v>
      </c>
      <c r="D1538" s="2" t="s">
        <v>228</v>
      </c>
      <c r="E1538" s="382" t="s">
        <v>152</v>
      </c>
      <c r="F1538" s="3" t="s">
        <v>15</v>
      </c>
      <c r="G1538" s="3" t="s">
        <v>28</v>
      </c>
      <c r="H1538" s="140">
        <v>12.2</v>
      </c>
      <c r="I1538" s="28">
        <v>12</v>
      </c>
      <c r="J1538" s="19">
        <v>0</v>
      </c>
      <c r="K1538" s="13">
        <v>0</v>
      </c>
      <c r="L1538" s="7" t="s">
        <v>483</v>
      </c>
    </row>
    <row r="1539" spans="1:12">
      <c r="A1539" s="7"/>
      <c r="B1539" s="381" t="s">
        <v>425</v>
      </c>
      <c r="C1539" s="3" t="s">
        <v>232</v>
      </c>
      <c r="D1539" s="2" t="s">
        <v>228</v>
      </c>
      <c r="E1539" s="382" t="s">
        <v>152</v>
      </c>
      <c r="F1539" s="3" t="s">
        <v>15</v>
      </c>
      <c r="G1539" s="3" t="s">
        <v>28</v>
      </c>
      <c r="H1539" s="140">
        <v>12.2</v>
      </c>
      <c r="I1539" s="28">
        <v>10.5</v>
      </c>
      <c r="J1539" s="19">
        <v>0</v>
      </c>
      <c r="K1539" s="13">
        <v>0</v>
      </c>
      <c r="L1539" s="7" t="s">
        <v>483</v>
      </c>
    </row>
    <row r="1540" spans="1:12">
      <c r="A1540" s="7"/>
      <c r="B1540" s="381" t="s">
        <v>425</v>
      </c>
      <c r="C1540" s="3" t="s">
        <v>232</v>
      </c>
      <c r="D1540" s="2" t="s">
        <v>228</v>
      </c>
      <c r="E1540" s="382" t="s">
        <v>152</v>
      </c>
      <c r="F1540" s="3" t="s">
        <v>15</v>
      </c>
      <c r="G1540" s="3" t="s">
        <v>28</v>
      </c>
      <c r="H1540" s="140">
        <v>12.2</v>
      </c>
      <c r="I1540" s="28">
        <v>11.25</v>
      </c>
      <c r="J1540" s="19">
        <v>0</v>
      </c>
      <c r="K1540" s="13">
        <v>0</v>
      </c>
      <c r="L1540" s="7" t="s">
        <v>483</v>
      </c>
    </row>
    <row r="1541" spans="1:12">
      <c r="A1541" s="7"/>
      <c r="B1541" s="381" t="s">
        <v>425</v>
      </c>
      <c r="C1541" s="3" t="s">
        <v>232</v>
      </c>
      <c r="D1541" s="2" t="s">
        <v>228</v>
      </c>
      <c r="E1541" s="382" t="s">
        <v>152</v>
      </c>
      <c r="F1541" s="3" t="s">
        <v>15</v>
      </c>
      <c r="G1541" s="3" t="s">
        <v>28</v>
      </c>
      <c r="H1541" s="140">
        <v>12.2</v>
      </c>
      <c r="I1541" s="28">
        <v>10.5</v>
      </c>
      <c r="J1541" s="19">
        <v>0</v>
      </c>
      <c r="K1541" s="13">
        <v>0</v>
      </c>
      <c r="L1541" s="7" t="s">
        <v>483</v>
      </c>
    </row>
    <row r="1542" spans="1:12">
      <c r="A1542" s="7"/>
      <c r="B1542" s="381" t="s">
        <v>425</v>
      </c>
      <c r="C1542" s="3" t="s">
        <v>232</v>
      </c>
      <c r="D1542" s="2" t="s">
        <v>228</v>
      </c>
      <c r="E1542" s="382" t="s">
        <v>152</v>
      </c>
      <c r="F1542" s="3" t="s">
        <v>15</v>
      </c>
      <c r="G1542" s="3" t="s">
        <v>28</v>
      </c>
      <c r="H1542" s="140">
        <v>12.2</v>
      </c>
      <c r="I1542" s="28">
        <v>12</v>
      </c>
      <c r="J1542" s="19">
        <v>0</v>
      </c>
      <c r="K1542" s="13">
        <v>0</v>
      </c>
      <c r="L1542" s="7" t="s">
        <v>483</v>
      </c>
    </row>
    <row r="1543" spans="1:12">
      <c r="A1543" s="7"/>
      <c r="B1543" s="381" t="s">
        <v>425</v>
      </c>
      <c r="C1543" s="3" t="s">
        <v>232</v>
      </c>
      <c r="D1543" s="2" t="s">
        <v>228</v>
      </c>
      <c r="E1543" s="382" t="s">
        <v>152</v>
      </c>
      <c r="F1543" s="3" t="s">
        <v>15</v>
      </c>
      <c r="G1543" s="3" t="s">
        <v>28</v>
      </c>
      <c r="H1543" s="140">
        <v>12.2</v>
      </c>
      <c r="I1543" s="28">
        <v>4.5</v>
      </c>
      <c r="J1543" s="19">
        <v>1</v>
      </c>
      <c r="K1543" s="13">
        <v>5.4899999999999997E-2</v>
      </c>
      <c r="L1543" s="7" t="s">
        <v>483</v>
      </c>
    </row>
    <row r="1544" spans="1:12">
      <c r="A1544" s="7"/>
      <c r="B1544" s="381" t="s">
        <v>436</v>
      </c>
      <c r="C1544" s="3" t="s">
        <v>232</v>
      </c>
      <c r="D1544" s="2" t="s">
        <v>228</v>
      </c>
      <c r="E1544" s="382" t="s">
        <v>152</v>
      </c>
      <c r="F1544" s="3" t="s">
        <v>15</v>
      </c>
      <c r="G1544" s="3" t="s">
        <v>30</v>
      </c>
      <c r="H1544" s="140">
        <v>9.26</v>
      </c>
      <c r="I1544" s="28">
        <v>10.3</v>
      </c>
      <c r="J1544" s="19">
        <v>0</v>
      </c>
      <c r="K1544" s="13">
        <v>0</v>
      </c>
      <c r="L1544" s="7" t="s">
        <v>483</v>
      </c>
    </row>
    <row r="1545" spans="1:12">
      <c r="A1545" s="7"/>
      <c r="B1545" s="381" t="s">
        <v>436</v>
      </c>
      <c r="C1545" s="3" t="s">
        <v>232</v>
      </c>
      <c r="D1545" s="2" t="s">
        <v>228</v>
      </c>
      <c r="E1545" s="382" t="s">
        <v>152</v>
      </c>
      <c r="F1545" s="3" t="s">
        <v>15</v>
      </c>
      <c r="G1545" s="3" t="s">
        <v>30</v>
      </c>
      <c r="H1545" s="140">
        <v>9.26</v>
      </c>
      <c r="I1545" s="28">
        <v>11.3</v>
      </c>
      <c r="J1545" s="19">
        <v>0</v>
      </c>
      <c r="K1545" s="13">
        <v>0</v>
      </c>
      <c r="L1545" s="7" t="s">
        <v>483</v>
      </c>
    </row>
    <row r="1546" spans="1:12">
      <c r="A1546" s="7"/>
      <c r="B1546" s="381" t="s">
        <v>436</v>
      </c>
      <c r="C1546" s="3" t="s">
        <v>232</v>
      </c>
      <c r="D1546" s="2" t="s">
        <v>228</v>
      </c>
      <c r="E1546" s="382" t="s">
        <v>152</v>
      </c>
      <c r="F1546" s="3" t="s">
        <v>15</v>
      </c>
      <c r="G1546" s="3" t="s">
        <v>30</v>
      </c>
      <c r="H1546" s="140">
        <v>9.26</v>
      </c>
      <c r="I1546" s="28">
        <v>11.8</v>
      </c>
      <c r="J1546" s="19">
        <v>0</v>
      </c>
      <c r="K1546" s="13">
        <v>0</v>
      </c>
      <c r="L1546" s="7" t="s">
        <v>483</v>
      </c>
    </row>
    <row r="1547" spans="1:12">
      <c r="A1547" s="7"/>
      <c r="B1547" s="381" t="s">
        <v>436</v>
      </c>
      <c r="C1547" s="3" t="s">
        <v>232</v>
      </c>
      <c r="D1547" s="2" t="s">
        <v>228</v>
      </c>
      <c r="E1547" s="382" t="s">
        <v>152</v>
      </c>
      <c r="F1547" s="3" t="s">
        <v>15</v>
      </c>
      <c r="G1547" s="3" t="s">
        <v>30</v>
      </c>
      <c r="H1547" s="140">
        <v>9.26</v>
      </c>
      <c r="I1547" s="28">
        <v>12</v>
      </c>
      <c r="J1547" s="19">
        <v>0</v>
      </c>
      <c r="K1547" s="13">
        <v>0</v>
      </c>
      <c r="L1547" s="7" t="s">
        <v>483</v>
      </c>
    </row>
    <row r="1548" spans="1:12">
      <c r="A1548" s="7"/>
      <c r="B1548" s="381" t="s">
        <v>436</v>
      </c>
      <c r="C1548" s="3" t="s">
        <v>232</v>
      </c>
      <c r="D1548" s="2" t="s">
        <v>228</v>
      </c>
      <c r="E1548" s="382" t="s">
        <v>152</v>
      </c>
      <c r="F1548" s="3" t="s">
        <v>15</v>
      </c>
      <c r="G1548" s="3" t="s">
        <v>30</v>
      </c>
      <c r="H1548" s="140">
        <v>9.26</v>
      </c>
      <c r="I1548" s="28">
        <v>9</v>
      </c>
      <c r="J1548" s="19">
        <v>1</v>
      </c>
      <c r="K1548" s="13">
        <v>8.3339999999999997E-2</v>
      </c>
      <c r="L1548" s="7" t="s">
        <v>483</v>
      </c>
    </row>
    <row r="1549" spans="1:12">
      <c r="A1549" s="7"/>
      <c r="B1549" s="381" t="s">
        <v>436</v>
      </c>
      <c r="C1549" s="3" t="s">
        <v>232</v>
      </c>
      <c r="D1549" s="2" t="s">
        <v>228</v>
      </c>
      <c r="E1549" s="382" t="s">
        <v>152</v>
      </c>
      <c r="F1549" s="3" t="s">
        <v>15</v>
      </c>
      <c r="G1549" s="3" t="s">
        <v>30</v>
      </c>
      <c r="H1549" s="140">
        <v>9.26</v>
      </c>
      <c r="I1549" s="28">
        <v>10</v>
      </c>
      <c r="J1549" s="19">
        <v>1</v>
      </c>
      <c r="K1549" s="13">
        <v>9.2599999999999988E-2</v>
      </c>
      <c r="L1549" s="7" t="s">
        <v>483</v>
      </c>
    </row>
    <row r="1550" spans="1:12">
      <c r="A1550" s="7"/>
      <c r="B1550" s="381" t="s">
        <v>436</v>
      </c>
      <c r="C1550" s="3" t="s">
        <v>232</v>
      </c>
      <c r="D1550" s="2" t="s">
        <v>228</v>
      </c>
      <c r="E1550" s="382" t="s">
        <v>152</v>
      </c>
      <c r="F1550" s="3" t="s">
        <v>15</v>
      </c>
      <c r="G1550" s="3" t="s">
        <v>30</v>
      </c>
      <c r="H1550" s="140">
        <v>9.26</v>
      </c>
      <c r="I1550" s="28">
        <v>10</v>
      </c>
      <c r="J1550" s="19">
        <v>5</v>
      </c>
      <c r="K1550" s="13">
        <v>0.46300000000000002</v>
      </c>
      <c r="L1550" s="7" t="s">
        <v>483</v>
      </c>
    </row>
    <row r="1551" spans="1:12">
      <c r="A1551" s="7"/>
      <c r="B1551" s="381" t="s">
        <v>436</v>
      </c>
      <c r="C1551" s="3" t="s">
        <v>232</v>
      </c>
      <c r="D1551" s="2" t="s">
        <v>228</v>
      </c>
      <c r="E1551" s="382" t="s">
        <v>152</v>
      </c>
      <c r="F1551" s="3" t="s">
        <v>15</v>
      </c>
      <c r="G1551" s="3" t="s">
        <v>30</v>
      </c>
      <c r="H1551" s="140">
        <v>9.26</v>
      </c>
      <c r="I1551" s="28">
        <v>9.8000000000000007</v>
      </c>
      <c r="J1551" s="19">
        <v>4</v>
      </c>
      <c r="K1551" s="13">
        <v>0.36299200000000004</v>
      </c>
      <c r="L1551" s="7" t="s">
        <v>483</v>
      </c>
    </row>
    <row r="1552" spans="1:12">
      <c r="A1552" s="7"/>
      <c r="B1552" s="381" t="s">
        <v>436</v>
      </c>
      <c r="C1552" s="3" t="s">
        <v>232</v>
      </c>
      <c r="D1552" s="2" t="s">
        <v>228</v>
      </c>
      <c r="E1552" s="382" t="s">
        <v>152</v>
      </c>
      <c r="F1552" s="3" t="s">
        <v>15</v>
      </c>
      <c r="G1552" s="3" t="s">
        <v>30</v>
      </c>
      <c r="H1552" s="140">
        <v>9.26</v>
      </c>
      <c r="I1552" s="28">
        <v>9</v>
      </c>
      <c r="J1552" s="19">
        <v>1</v>
      </c>
      <c r="K1552" s="13">
        <v>8.3339999999999997E-2</v>
      </c>
      <c r="L1552" s="7" t="s">
        <v>483</v>
      </c>
    </row>
    <row r="1553" spans="1:12">
      <c r="A1553" s="7"/>
      <c r="B1553" s="381" t="s">
        <v>448</v>
      </c>
      <c r="C1553" s="3" t="s">
        <v>232</v>
      </c>
      <c r="D1553" s="2" t="s">
        <v>468</v>
      </c>
      <c r="E1553" s="382" t="s">
        <v>326</v>
      </c>
      <c r="F1553" s="3" t="s">
        <v>14</v>
      </c>
      <c r="G1553" s="3" t="s">
        <v>30</v>
      </c>
      <c r="H1553" s="140">
        <v>9.26</v>
      </c>
      <c r="I1553" s="28">
        <v>6.35</v>
      </c>
      <c r="J1553" s="19">
        <v>0</v>
      </c>
      <c r="K1553" s="13">
        <v>0</v>
      </c>
      <c r="L1553" s="7" t="s">
        <v>483</v>
      </c>
    </row>
    <row r="1554" spans="1:12">
      <c r="A1554" s="7"/>
      <c r="B1554" s="381" t="s">
        <v>448</v>
      </c>
      <c r="C1554" s="3" t="s">
        <v>232</v>
      </c>
      <c r="D1554" s="2" t="s">
        <v>468</v>
      </c>
      <c r="E1554" s="382" t="s">
        <v>326</v>
      </c>
      <c r="F1554" s="3" t="s">
        <v>14</v>
      </c>
      <c r="G1554" s="3" t="s">
        <v>30</v>
      </c>
      <c r="H1554" s="140">
        <v>9.26</v>
      </c>
      <c r="I1554" s="28">
        <v>6.5</v>
      </c>
      <c r="J1554" s="19">
        <v>0</v>
      </c>
      <c r="K1554" s="13">
        <v>0</v>
      </c>
      <c r="L1554" s="7" t="s">
        <v>483</v>
      </c>
    </row>
    <row r="1555" spans="1:12">
      <c r="A1555" s="7"/>
      <c r="B1555" s="381" t="s">
        <v>448</v>
      </c>
      <c r="C1555" s="3" t="s">
        <v>232</v>
      </c>
      <c r="D1555" s="2" t="s">
        <v>468</v>
      </c>
      <c r="E1555" s="382" t="s">
        <v>326</v>
      </c>
      <c r="F1555" s="3" t="s">
        <v>14</v>
      </c>
      <c r="G1555" s="3" t="s">
        <v>30</v>
      </c>
      <c r="H1555" s="140">
        <v>9.26</v>
      </c>
      <c r="I1555" s="28">
        <v>9.15</v>
      </c>
      <c r="J1555" s="19">
        <v>0</v>
      </c>
      <c r="K1555" s="13">
        <v>0</v>
      </c>
      <c r="L1555" s="7" t="s">
        <v>483</v>
      </c>
    </row>
    <row r="1556" spans="1:12">
      <c r="A1556" s="7"/>
      <c r="B1556" s="381" t="s">
        <v>448</v>
      </c>
      <c r="C1556" s="3" t="s">
        <v>232</v>
      </c>
      <c r="D1556" s="2" t="s">
        <v>468</v>
      </c>
      <c r="E1556" s="382" t="s">
        <v>326</v>
      </c>
      <c r="F1556" s="3" t="s">
        <v>14</v>
      </c>
      <c r="G1556" s="3" t="s">
        <v>30</v>
      </c>
      <c r="H1556" s="140">
        <v>9.26</v>
      </c>
      <c r="I1556" s="28">
        <v>9.15</v>
      </c>
      <c r="J1556" s="19">
        <v>0</v>
      </c>
      <c r="K1556" s="13">
        <v>0</v>
      </c>
      <c r="L1556" s="7" t="s">
        <v>483</v>
      </c>
    </row>
    <row r="1557" spans="1:12">
      <c r="A1557" s="7"/>
      <c r="B1557" s="381" t="s">
        <v>448</v>
      </c>
      <c r="C1557" s="3" t="s">
        <v>232</v>
      </c>
      <c r="D1557" s="2" t="s">
        <v>468</v>
      </c>
      <c r="E1557" s="382" t="s">
        <v>326</v>
      </c>
      <c r="F1557" s="3" t="s">
        <v>14</v>
      </c>
      <c r="G1557" s="3" t="s">
        <v>30</v>
      </c>
      <c r="H1557" s="140">
        <v>9.26</v>
      </c>
      <c r="I1557" s="28">
        <v>6</v>
      </c>
      <c r="J1557" s="19">
        <v>6</v>
      </c>
      <c r="K1557" s="13">
        <v>0.33335999999999999</v>
      </c>
      <c r="L1557" s="7" t="s">
        <v>483</v>
      </c>
    </row>
    <row r="1558" spans="1:12">
      <c r="A1558" s="7"/>
      <c r="B1558" s="381" t="s">
        <v>448</v>
      </c>
      <c r="C1558" s="3" t="s">
        <v>232</v>
      </c>
      <c r="D1558" s="2" t="s">
        <v>468</v>
      </c>
      <c r="E1558" s="382" t="s">
        <v>326</v>
      </c>
      <c r="F1558" s="3" t="s">
        <v>14</v>
      </c>
      <c r="G1558" s="3" t="s">
        <v>30</v>
      </c>
      <c r="H1558" s="140">
        <v>9.26</v>
      </c>
      <c r="I1558" s="28">
        <v>6.1</v>
      </c>
      <c r="J1558" s="19">
        <v>4</v>
      </c>
      <c r="K1558" s="13">
        <v>0.22594399999999998</v>
      </c>
      <c r="L1558" s="7" t="s">
        <v>483</v>
      </c>
    </row>
    <row r="1559" spans="1:12">
      <c r="A1559" s="7"/>
      <c r="B1559" s="381" t="s">
        <v>448</v>
      </c>
      <c r="C1559" s="3" t="s">
        <v>232</v>
      </c>
      <c r="D1559" s="2" t="s">
        <v>468</v>
      </c>
      <c r="E1559" s="382" t="s">
        <v>326</v>
      </c>
      <c r="F1559" s="3" t="s">
        <v>14</v>
      </c>
      <c r="G1559" s="3" t="s">
        <v>30</v>
      </c>
      <c r="H1559" s="140">
        <v>9.26</v>
      </c>
      <c r="I1559" s="28">
        <v>6.3</v>
      </c>
      <c r="J1559" s="19">
        <v>0</v>
      </c>
      <c r="K1559" s="13">
        <v>0</v>
      </c>
      <c r="L1559" s="7" t="s">
        <v>483</v>
      </c>
    </row>
    <row r="1560" spans="1:12">
      <c r="A1560" s="7"/>
      <c r="B1560" s="381" t="s">
        <v>448</v>
      </c>
      <c r="C1560" s="3" t="s">
        <v>232</v>
      </c>
      <c r="D1560" s="2" t="s">
        <v>468</v>
      </c>
      <c r="E1560" s="382" t="s">
        <v>326</v>
      </c>
      <c r="F1560" s="3" t="s">
        <v>14</v>
      </c>
      <c r="G1560" s="3" t="s">
        <v>30</v>
      </c>
      <c r="H1560" s="140">
        <v>9.26</v>
      </c>
      <c r="I1560" s="28">
        <v>8</v>
      </c>
      <c r="J1560" s="19">
        <v>0</v>
      </c>
      <c r="K1560" s="13">
        <v>0</v>
      </c>
      <c r="L1560" s="7" t="s">
        <v>483</v>
      </c>
    </row>
    <row r="1561" spans="1:12">
      <c r="A1561" s="7"/>
      <c r="B1561" s="381" t="s">
        <v>448</v>
      </c>
      <c r="C1561" s="3" t="s">
        <v>232</v>
      </c>
      <c r="D1561" s="2" t="s">
        <v>468</v>
      </c>
      <c r="E1561" s="382" t="s">
        <v>326</v>
      </c>
      <c r="F1561" s="3" t="s">
        <v>14</v>
      </c>
      <c r="G1561" s="3" t="s">
        <v>30</v>
      </c>
      <c r="H1561" s="140">
        <v>9.26</v>
      </c>
      <c r="I1561" s="28">
        <v>8.5</v>
      </c>
      <c r="J1561" s="19">
        <v>0</v>
      </c>
      <c r="K1561" s="13">
        <v>0</v>
      </c>
      <c r="L1561" s="7" t="s">
        <v>483</v>
      </c>
    </row>
    <row r="1562" spans="1:12">
      <c r="A1562" s="7"/>
      <c r="B1562" s="381" t="s">
        <v>448</v>
      </c>
      <c r="C1562" s="3" t="s">
        <v>232</v>
      </c>
      <c r="D1562" s="2" t="s">
        <v>468</v>
      </c>
      <c r="E1562" s="382" t="s">
        <v>326</v>
      </c>
      <c r="F1562" s="3" t="s">
        <v>14</v>
      </c>
      <c r="G1562" s="3" t="s">
        <v>30</v>
      </c>
      <c r="H1562" s="140">
        <v>9.26</v>
      </c>
      <c r="I1562" s="28">
        <v>8.6</v>
      </c>
      <c r="J1562" s="19">
        <v>1</v>
      </c>
      <c r="K1562" s="13">
        <v>7.9635999999999998E-2</v>
      </c>
      <c r="L1562" s="7" t="s">
        <v>483</v>
      </c>
    </row>
    <row r="1563" spans="1:12">
      <c r="A1563" s="7"/>
      <c r="B1563" s="381" t="s">
        <v>448</v>
      </c>
      <c r="C1563" s="3" t="s">
        <v>232</v>
      </c>
      <c r="D1563" s="2" t="s">
        <v>468</v>
      </c>
      <c r="E1563" s="382" t="s">
        <v>326</v>
      </c>
      <c r="F1563" s="3" t="s">
        <v>14</v>
      </c>
      <c r="G1563" s="3" t="s">
        <v>30</v>
      </c>
      <c r="H1563" s="140">
        <v>9.26</v>
      </c>
      <c r="I1563" s="28">
        <v>8</v>
      </c>
      <c r="J1563" s="19">
        <v>0</v>
      </c>
      <c r="K1563" s="13">
        <v>0</v>
      </c>
      <c r="L1563" s="7" t="s">
        <v>483</v>
      </c>
    </row>
    <row r="1564" spans="1:12">
      <c r="A1564" s="7"/>
      <c r="B1564" s="381" t="s">
        <v>448</v>
      </c>
      <c r="C1564" s="3" t="s">
        <v>232</v>
      </c>
      <c r="D1564" s="2" t="s">
        <v>468</v>
      </c>
      <c r="E1564" s="382" t="s">
        <v>326</v>
      </c>
      <c r="F1564" s="3" t="s">
        <v>14</v>
      </c>
      <c r="G1564" s="3" t="s">
        <v>30</v>
      </c>
      <c r="H1564" s="140">
        <v>9.26</v>
      </c>
      <c r="I1564" s="28">
        <v>8.4</v>
      </c>
      <c r="J1564" s="19">
        <v>0</v>
      </c>
      <c r="K1564" s="13">
        <v>0</v>
      </c>
      <c r="L1564" s="7" t="s">
        <v>483</v>
      </c>
    </row>
    <row r="1565" spans="1:12">
      <c r="A1565" s="7"/>
      <c r="B1565" s="381" t="s">
        <v>448</v>
      </c>
      <c r="C1565" s="3" t="s">
        <v>232</v>
      </c>
      <c r="D1565" s="2" t="s">
        <v>468</v>
      </c>
      <c r="E1565" s="382" t="s">
        <v>326</v>
      </c>
      <c r="F1565" s="3" t="s">
        <v>14</v>
      </c>
      <c r="G1565" s="3" t="s">
        <v>30</v>
      </c>
      <c r="H1565" s="140">
        <v>9.26</v>
      </c>
      <c r="I1565" s="28">
        <v>8.5</v>
      </c>
      <c r="J1565" s="19">
        <v>2</v>
      </c>
      <c r="K1565" s="13">
        <v>0.15741999999999998</v>
      </c>
      <c r="L1565" s="7" t="s">
        <v>483</v>
      </c>
    </row>
    <row r="1566" spans="1:12">
      <c r="A1566" s="7"/>
      <c r="B1566" s="381" t="s">
        <v>448</v>
      </c>
      <c r="C1566" s="3" t="s">
        <v>232</v>
      </c>
      <c r="D1566" s="2" t="s">
        <v>468</v>
      </c>
      <c r="E1566" s="382" t="s">
        <v>326</v>
      </c>
      <c r="F1566" s="3" t="s">
        <v>14</v>
      </c>
      <c r="G1566" s="3" t="s">
        <v>30</v>
      </c>
      <c r="H1566" s="140">
        <v>9.26</v>
      </c>
      <c r="I1566" s="28">
        <v>8.9</v>
      </c>
      <c r="J1566" s="19">
        <v>4</v>
      </c>
      <c r="K1566" s="13">
        <v>0.329656</v>
      </c>
      <c r="L1566" s="7" t="s">
        <v>483</v>
      </c>
    </row>
    <row r="1567" spans="1:12">
      <c r="A1567" s="7"/>
      <c r="B1567" s="381" t="s">
        <v>448</v>
      </c>
      <c r="C1567" s="3" t="s">
        <v>232</v>
      </c>
      <c r="D1567" s="2" t="s">
        <v>468</v>
      </c>
      <c r="E1567" s="382" t="s">
        <v>326</v>
      </c>
      <c r="F1567" s="3" t="s">
        <v>14</v>
      </c>
      <c r="G1567" s="3" t="s">
        <v>30</v>
      </c>
      <c r="H1567" s="140">
        <v>9.26</v>
      </c>
      <c r="I1567" s="28">
        <v>9</v>
      </c>
      <c r="J1567" s="19">
        <v>0</v>
      </c>
      <c r="K1567" s="13">
        <v>0</v>
      </c>
      <c r="L1567" s="7" t="s">
        <v>483</v>
      </c>
    </row>
    <row r="1568" spans="1:12">
      <c r="A1568" s="7"/>
      <c r="B1568" s="381" t="s">
        <v>448</v>
      </c>
      <c r="C1568" s="3" t="s">
        <v>232</v>
      </c>
      <c r="D1568" s="2" t="s">
        <v>468</v>
      </c>
      <c r="E1568" s="382" t="s">
        <v>326</v>
      </c>
      <c r="F1568" s="3" t="s">
        <v>14</v>
      </c>
      <c r="G1568" s="3" t="s">
        <v>30</v>
      </c>
      <c r="H1568" s="140">
        <v>9.26</v>
      </c>
      <c r="I1568" s="28">
        <v>9.6999999999999993</v>
      </c>
      <c r="J1568" s="19">
        <v>0</v>
      </c>
      <c r="K1568" s="13">
        <v>0</v>
      </c>
      <c r="L1568" s="7" t="s">
        <v>483</v>
      </c>
    </row>
    <row r="1569" spans="1:12">
      <c r="A1569" s="7"/>
      <c r="B1569" s="381" t="s">
        <v>448</v>
      </c>
      <c r="C1569" s="3" t="s">
        <v>232</v>
      </c>
      <c r="D1569" s="2" t="s">
        <v>468</v>
      </c>
      <c r="E1569" s="382" t="s">
        <v>326</v>
      </c>
      <c r="F1569" s="3" t="s">
        <v>14</v>
      </c>
      <c r="G1569" s="3" t="s">
        <v>30</v>
      </c>
      <c r="H1569" s="140">
        <v>9.26</v>
      </c>
      <c r="I1569" s="28">
        <v>10.5</v>
      </c>
      <c r="J1569" s="19">
        <v>0</v>
      </c>
      <c r="K1569" s="13">
        <v>0</v>
      </c>
      <c r="L1569" s="7" t="s">
        <v>483</v>
      </c>
    </row>
    <row r="1570" spans="1:12">
      <c r="A1570" s="7"/>
      <c r="B1570" s="381" t="s">
        <v>448</v>
      </c>
      <c r="C1570" s="3" t="s">
        <v>232</v>
      </c>
      <c r="D1570" s="2" t="s">
        <v>468</v>
      </c>
      <c r="E1570" s="382" t="s">
        <v>326</v>
      </c>
      <c r="F1570" s="3" t="s">
        <v>14</v>
      </c>
      <c r="G1570" s="3" t="s">
        <v>30</v>
      </c>
      <c r="H1570" s="140">
        <v>9.26</v>
      </c>
      <c r="I1570" s="28">
        <v>11.6</v>
      </c>
      <c r="J1570" s="19">
        <v>0</v>
      </c>
      <c r="K1570" s="13">
        <v>0</v>
      </c>
      <c r="L1570" s="7" t="s">
        <v>483</v>
      </c>
    </row>
    <row r="1571" spans="1:12">
      <c r="A1571" s="7"/>
      <c r="B1571" s="381" t="s">
        <v>448</v>
      </c>
      <c r="C1571" s="3" t="s">
        <v>232</v>
      </c>
      <c r="D1571" s="2" t="s">
        <v>468</v>
      </c>
      <c r="E1571" s="382" t="s">
        <v>326</v>
      </c>
      <c r="F1571" s="3" t="s">
        <v>14</v>
      </c>
      <c r="G1571" s="3" t="s">
        <v>30</v>
      </c>
      <c r="H1571" s="140">
        <v>9.26</v>
      </c>
      <c r="I1571" s="28">
        <v>9</v>
      </c>
      <c r="J1571" s="19">
        <v>4</v>
      </c>
      <c r="K1571" s="13">
        <v>0.33335999999999999</v>
      </c>
      <c r="L1571" s="7" t="s">
        <v>483</v>
      </c>
    </row>
    <row r="1572" spans="1:12">
      <c r="A1572" s="7"/>
      <c r="B1572" s="381" t="s">
        <v>448</v>
      </c>
      <c r="C1572" s="3" t="s">
        <v>232</v>
      </c>
      <c r="D1572" s="2" t="s">
        <v>468</v>
      </c>
      <c r="E1572" s="382" t="s">
        <v>326</v>
      </c>
      <c r="F1572" s="3" t="s">
        <v>14</v>
      </c>
      <c r="G1572" s="3" t="s">
        <v>30</v>
      </c>
      <c r="H1572" s="140">
        <v>9.26</v>
      </c>
      <c r="I1572" s="28">
        <v>8.8000000000000007</v>
      </c>
      <c r="J1572" s="19">
        <v>2</v>
      </c>
      <c r="K1572" s="13">
        <v>0.16297600000000001</v>
      </c>
      <c r="L1572" s="7" t="s">
        <v>483</v>
      </c>
    </row>
    <row r="1573" spans="1:12">
      <c r="A1573" s="7"/>
      <c r="B1573" s="381" t="s">
        <v>448</v>
      </c>
      <c r="C1573" s="3" t="s">
        <v>232</v>
      </c>
      <c r="D1573" s="2" t="s">
        <v>468</v>
      </c>
      <c r="E1573" s="382" t="s">
        <v>326</v>
      </c>
      <c r="F1573" s="3" t="s">
        <v>14</v>
      </c>
      <c r="G1573" s="3" t="s">
        <v>30</v>
      </c>
      <c r="H1573" s="140">
        <v>9.26</v>
      </c>
      <c r="I1573" s="28">
        <v>8</v>
      </c>
      <c r="J1573" s="19">
        <v>0</v>
      </c>
      <c r="K1573" s="13">
        <v>0</v>
      </c>
      <c r="L1573" s="7" t="s">
        <v>483</v>
      </c>
    </row>
    <row r="1574" spans="1:12">
      <c r="A1574" s="7"/>
      <c r="B1574" s="381" t="s">
        <v>448</v>
      </c>
      <c r="C1574" s="3" t="s">
        <v>232</v>
      </c>
      <c r="D1574" s="2" t="s">
        <v>468</v>
      </c>
      <c r="E1574" s="382" t="s">
        <v>326</v>
      </c>
      <c r="F1574" s="3" t="s">
        <v>14</v>
      </c>
      <c r="G1574" s="3" t="s">
        <v>30</v>
      </c>
      <c r="H1574" s="140">
        <v>9.26</v>
      </c>
      <c r="I1574" s="28">
        <v>7.4</v>
      </c>
      <c r="J1574" s="19">
        <v>0</v>
      </c>
      <c r="K1574" s="13">
        <v>0</v>
      </c>
      <c r="L1574" s="7" t="s">
        <v>483</v>
      </c>
    </row>
    <row r="1575" spans="1:12">
      <c r="A1575" s="7"/>
      <c r="B1575" s="381" t="s">
        <v>448</v>
      </c>
      <c r="C1575" s="3" t="s">
        <v>232</v>
      </c>
      <c r="D1575" s="2" t="s">
        <v>468</v>
      </c>
      <c r="E1575" s="382" t="s">
        <v>326</v>
      </c>
      <c r="F1575" s="3" t="s">
        <v>14</v>
      </c>
      <c r="G1575" s="3" t="s">
        <v>30</v>
      </c>
      <c r="H1575" s="140">
        <v>9.26</v>
      </c>
      <c r="I1575" s="28">
        <v>8.1999999999999993</v>
      </c>
      <c r="J1575" s="19">
        <v>0</v>
      </c>
      <c r="K1575" s="13">
        <v>0</v>
      </c>
      <c r="L1575" s="7" t="s">
        <v>483</v>
      </c>
    </row>
    <row r="1576" spans="1:12">
      <c r="A1576" s="7"/>
      <c r="B1576" s="381" t="s">
        <v>448</v>
      </c>
      <c r="C1576" s="3" t="s">
        <v>232</v>
      </c>
      <c r="D1576" s="2" t="s">
        <v>468</v>
      </c>
      <c r="E1576" s="382" t="s">
        <v>326</v>
      </c>
      <c r="F1576" s="3" t="s">
        <v>14</v>
      </c>
      <c r="G1576" s="3" t="s">
        <v>30</v>
      </c>
      <c r="H1576" s="140">
        <v>9.26</v>
      </c>
      <c r="I1576" s="28">
        <v>6.5</v>
      </c>
      <c r="J1576" s="19">
        <v>0</v>
      </c>
      <c r="K1576" s="13">
        <v>0</v>
      </c>
      <c r="L1576" s="7" t="s">
        <v>483</v>
      </c>
    </row>
    <row r="1577" spans="1:12">
      <c r="A1577" s="7"/>
      <c r="B1577" s="381" t="s">
        <v>448</v>
      </c>
      <c r="C1577" s="3" t="s">
        <v>232</v>
      </c>
      <c r="D1577" s="2" t="s">
        <v>468</v>
      </c>
      <c r="E1577" s="382" t="s">
        <v>326</v>
      </c>
      <c r="F1577" s="3" t="s">
        <v>14</v>
      </c>
      <c r="G1577" s="3" t="s">
        <v>30</v>
      </c>
      <c r="H1577" s="140">
        <v>9.26</v>
      </c>
      <c r="I1577" s="28">
        <v>6.35</v>
      </c>
      <c r="J1577" s="19">
        <v>0</v>
      </c>
      <c r="K1577" s="13">
        <v>0</v>
      </c>
      <c r="L1577" s="7" t="s">
        <v>483</v>
      </c>
    </row>
    <row r="1578" spans="1:12">
      <c r="A1578" s="7"/>
      <c r="B1578" s="381" t="s">
        <v>448</v>
      </c>
      <c r="C1578" s="3" t="s">
        <v>232</v>
      </c>
      <c r="D1578" s="2" t="s">
        <v>468</v>
      </c>
      <c r="E1578" s="382" t="s">
        <v>326</v>
      </c>
      <c r="F1578" s="3" t="s">
        <v>14</v>
      </c>
      <c r="G1578" s="3" t="s">
        <v>30</v>
      </c>
      <c r="H1578" s="140">
        <v>9.26</v>
      </c>
      <c r="I1578" s="28">
        <v>6.35</v>
      </c>
      <c r="J1578" s="19">
        <v>0</v>
      </c>
      <c r="K1578" s="13">
        <v>0</v>
      </c>
      <c r="L1578" s="7" t="s">
        <v>483</v>
      </c>
    </row>
    <row r="1579" spans="1:12">
      <c r="A1579" s="7"/>
      <c r="B1579" s="381" t="s">
        <v>448</v>
      </c>
      <c r="C1579" s="3" t="s">
        <v>232</v>
      </c>
      <c r="D1579" s="2" t="s">
        <v>468</v>
      </c>
      <c r="E1579" s="382" t="s">
        <v>326</v>
      </c>
      <c r="F1579" s="3" t="s">
        <v>14</v>
      </c>
      <c r="G1579" s="3" t="s">
        <v>30</v>
      </c>
      <c r="H1579" s="140">
        <v>9.26</v>
      </c>
      <c r="I1579" s="28">
        <v>6.5</v>
      </c>
      <c r="J1579" s="19">
        <v>0</v>
      </c>
      <c r="K1579" s="13">
        <v>0</v>
      </c>
      <c r="L1579" s="7" t="s">
        <v>483</v>
      </c>
    </row>
    <row r="1580" spans="1:12">
      <c r="A1580" s="7"/>
      <c r="B1580" s="381" t="s">
        <v>448</v>
      </c>
      <c r="C1580" s="3" t="s">
        <v>232</v>
      </c>
      <c r="D1580" s="2" t="s">
        <v>468</v>
      </c>
      <c r="E1580" s="382" t="s">
        <v>326</v>
      </c>
      <c r="F1580" s="3" t="s">
        <v>14</v>
      </c>
      <c r="G1580" s="3" t="s">
        <v>30</v>
      </c>
      <c r="H1580" s="140">
        <v>9.26</v>
      </c>
      <c r="I1580" s="28">
        <v>9.15</v>
      </c>
      <c r="J1580" s="19">
        <v>0</v>
      </c>
      <c r="K1580" s="13">
        <v>0</v>
      </c>
      <c r="L1580" s="7" t="s">
        <v>483</v>
      </c>
    </row>
    <row r="1581" spans="1:12">
      <c r="A1581" s="7"/>
      <c r="B1581" s="381" t="s">
        <v>448</v>
      </c>
      <c r="C1581" s="3" t="s">
        <v>232</v>
      </c>
      <c r="D1581" s="2" t="s">
        <v>449</v>
      </c>
      <c r="E1581" s="382" t="s">
        <v>326</v>
      </c>
      <c r="F1581" s="3" t="s">
        <v>14</v>
      </c>
      <c r="G1581" s="3" t="s">
        <v>28</v>
      </c>
      <c r="H1581" s="140">
        <v>12.2</v>
      </c>
      <c r="I1581" s="28">
        <v>11.9</v>
      </c>
      <c r="J1581" s="19">
        <v>0</v>
      </c>
      <c r="K1581" s="13">
        <v>0</v>
      </c>
      <c r="L1581" s="7" t="s">
        <v>483</v>
      </c>
    </row>
    <row r="1582" spans="1:12">
      <c r="A1582" s="7"/>
      <c r="B1582" s="381" t="s">
        <v>448</v>
      </c>
      <c r="C1582" s="3" t="s">
        <v>232</v>
      </c>
      <c r="D1582" s="2" t="s">
        <v>449</v>
      </c>
      <c r="E1582" s="382" t="s">
        <v>326</v>
      </c>
      <c r="F1582" s="3" t="s">
        <v>14</v>
      </c>
      <c r="G1582" s="3" t="s">
        <v>28</v>
      </c>
      <c r="H1582" s="140">
        <v>12.2</v>
      </c>
      <c r="I1582" s="28">
        <v>8</v>
      </c>
      <c r="J1582" s="19">
        <v>0</v>
      </c>
      <c r="K1582" s="13">
        <v>0</v>
      </c>
      <c r="L1582" s="7" t="s">
        <v>483</v>
      </c>
    </row>
    <row r="1583" spans="1:12">
      <c r="A1583" s="7"/>
      <c r="B1583" s="381" t="s">
        <v>448</v>
      </c>
      <c r="C1583" s="3" t="s">
        <v>232</v>
      </c>
      <c r="D1583" s="2" t="s">
        <v>449</v>
      </c>
      <c r="E1583" s="382" t="s">
        <v>326</v>
      </c>
      <c r="F1583" s="3" t="s">
        <v>14</v>
      </c>
      <c r="G1583" s="3" t="s">
        <v>28</v>
      </c>
      <c r="H1583" s="140">
        <v>12.2</v>
      </c>
      <c r="I1583" s="28">
        <v>8</v>
      </c>
      <c r="J1583" s="19">
        <v>0</v>
      </c>
      <c r="K1583" s="13">
        <v>0</v>
      </c>
      <c r="L1583" s="7" t="s">
        <v>483</v>
      </c>
    </row>
    <row r="1584" spans="1:12">
      <c r="A1584" s="7"/>
      <c r="B1584" s="381" t="s">
        <v>448</v>
      </c>
      <c r="C1584" s="3" t="s">
        <v>232</v>
      </c>
      <c r="D1584" s="2" t="s">
        <v>449</v>
      </c>
      <c r="E1584" s="382" t="s">
        <v>326</v>
      </c>
      <c r="F1584" s="3" t="s">
        <v>14</v>
      </c>
      <c r="G1584" s="3" t="s">
        <v>28</v>
      </c>
      <c r="H1584" s="140">
        <v>12.2</v>
      </c>
      <c r="I1584" s="28">
        <v>11.9</v>
      </c>
      <c r="J1584" s="19">
        <v>0</v>
      </c>
      <c r="K1584" s="13">
        <v>0</v>
      </c>
      <c r="L1584" s="7" t="s">
        <v>483</v>
      </c>
    </row>
    <row r="1585" spans="1:14">
      <c r="A1585" s="7"/>
      <c r="B1585" s="381" t="s">
        <v>448</v>
      </c>
      <c r="C1585" s="3" t="s">
        <v>232</v>
      </c>
      <c r="D1585" s="2" t="s">
        <v>449</v>
      </c>
      <c r="E1585" s="382" t="s">
        <v>326</v>
      </c>
      <c r="F1585" s="3" t="s">
        <v>14</v>
      </c>
      <c r="G1585" s="3" t="s">
        <v>28</v>
      </c>
      <c r="H1585" s="140">
        <v>12.2</v>
      </c>
      <c r="I1585" s="28">
        <v>7.5</v>
      </c>
      <c r="J1585" s="19">
        <v>2</v>
      </c>
      <c r="K1585" s="13">
        <v>0.183</v>
      </c>
      <c r="L1585" s="7" t="s">
        <v>483</v>
      </c>
    </row>
    <row r="1586" spans="1:14">
      <c r="A1586" s="7"/>
      <c r="B1586" s="381" t="s">
        <v>448</v>
      </c>
      <c r="C1586" s="3" t="s">
        <v>232</v>
      </c>
      <c r="D1586" s="2" t="s">
        <v>449</v>
      </c>
      <c r="E1586" s="382" t="s">
        <v>326</v>
      </c>
      <c r="F1586" s="3" t="s">
        <v>14</v>
      </c>
      <c r="G1586" s="3" t="s">
        <v>28</v>
      </c>
      <c r="H1586" s="140">
        <v>12.2</v>
      </c>
      <c r="I1586" s="28">
        <v>8.75</v>
      </c>
      <c r="J1586" s="19">
        <v>1</v>
      </c>
      <c r="K1586" s="13">
        <v>0.10675</v>
      </c>
      <c r="L1586" s="7" t="s">
        <v>483</v>
      </c>
    </row>
    <row r="1587" spans="1:14">
      <c r="A1587" s="7"/>
      <c r="B1587" s="381" t="s">
        <v>448</v>
      </c>
      <c r="C1587" s="3" t="s">
        <v>232</v>
      </c>
      <c r="D1587" s="2" t="s">
        <v>449</v>
      </c>
      <c r="E1587" s="382" t="s">
        <v>326</v>
      </c>
      <c r="F1587" s="3" t="s">
        <v>14</v>
      </c>
      <c r="G1587" s="3" t="s">
        <v>28</v>
      </c>
      <c r="H1587" s="140">
        <v>12.2</v>
      </c>
      <c r="I1587" s="28">
        <v>11.5</v>
      </c>
      <c r="J1587" s="19">
        <v>1</v>
      </c>
      <c r="K1587" s="13">
        <v>0.14029999999999998</v>
      </c>
      <c r="L1587" s="7" t="s">
        <v>483</v>
      </c>
    </row>
    <row r="1588" spans="1:14">
      <c r="A1588" s="7"/>
      <c r="B1588" s="381" t="s">
        <v>448</v>
      </c>
      <c r="C1588" s="3" t="s">
        <v>232</v>
      </c>
      <c r="D1588" s="2" t="s">
        <v>449</v>
      </c>
      <c r="E1588" s="382" t="s">
        <v>326</v>
      </c>
      <c r="F1588" s="3" t="s">
        <v>14</v>
      </c>
      <c r="G1588" s="3" t="s">
        <v>28</v>
      </c>
      <c r="H1588" s="140">
        <v>12.2</v>
      </c>
      <c r="I1588" s="28">
        <v>8</v>
      </c>
      <c r="J1588" s="19">
        <v>0</v>
      </c>
      <c r="K1588" s="13">
        <v>0</v>
      </c>
      <c r="L1588" s="7" t="s">
        <v>483</v>
      </c>
    </row>
    <row r="1589" spans="1:14">
      <c r="A1589" s="7"/>
      <c r="B1589" s="381" t="s">
        <v>448</v>
      </c>
      <c r="C1589" s="3" t="s">
        <v>232</v>
      </c>
      <c r="D1589" s="2" t="s">
        <v>449</v>
      </c>
      <c r="E1589" s="382" t="s">
        <v>326</v>
      </c>
      <c r="F1589" s="3" t="s">
        <v>14</v>
      </c>
      <c r="G1589" s="3" t="s">
        <v>28</v>
      </c>
      <c r="H1589" s="140">
        <v>12.2</v>
      </c>
      <c r="I1589" s="28">
        <v>11.9</v>
      </c>
      <c r="J1589" s="19">
        <v>0</v>
      </c>
      <c r="K1589" s="13">
        <v>0</v>
      </c>
      <c r="L1589" s="7" t="s">
        <v>483</v>
      </c>
    </row>
    <row r="1590" spans="1:14">
      <c r="A1590" s="7"/>
      <c r="B1590" s="381" t="s">
        <v>448</v>
      </c>
      <c r="C1590" s="3" t="s">
        <v>232</v>
      </c>
      <c r="D1590" s="2" t="s">
        <v>449</v>
      </c>
      <c r="E1590" s="382" t="s">
        <v>326</v>
      </c>
      <c r="F1590" s="3" t="s">
        <v>14</v>
      </c>
      <c r="G1590" s="3" t="s">
        <v>28</v>
      </c>
      <c r="H1590" s="140">
        <v>12.2</v>
      </c>
      <c r="I1590" s="28">
        <v>11.9</v>
      </c>
      <c r="J1590" s="19">
        <v>0</v>
      </c>
      <c r="K1590" s="13">
        <v>0</v>
      </c>
      <c r="L1590" s="7" t="s">
        <v>483</v>
      </c>
    </row>
    <row r="1591" spans="1:14">
      <c r="A1591" s="7"/>
      <c r="B1591" s="381" t="s">
        <v>448</v>
      </c>
      <c r="C1591" s="3" t="s">
        <v>232</v>
      </c>
      <c r="D1591" s="2" t="s">
        <v>449</v>
      </c>
      <c r="E1591" s="382" t="s">
        <v>326</v>
      </c>
      <c r="F1591" s="3" t="s">
        <v>14</v>
      </c>
      <c r="G1591" s="3" t="s">
        <v>28</v>
      </c>
      <c r="H1591" s="140">
        <v>12.2</v>
      </c>
      <c r="I1591" s="28">
        <v>8</v>
      </c>
      <c r="J1591" s="19">
        <v>0</v>
      </c>
      <c r="K1591" s="13">
        <v>0</v>
      </c>
      <c r="L1591" s="7" t="s">
        <v>483</v>
      </c>
    </row>
    <row r="1592" spans="1:14">
      <c r="A1592" s="7"/>
      <c r="B1592" s="381" t="s">
        <v>448</v>
      </c>
      <c r="C1592" s="3" t="s">
        <v>232</v>
      </c>
      <c r="D1592" s="2" t="s">
        <v>449</v>
      </c>
      <c r="E1592" s="382" t="s">
        <v>326</v>
      </c>
      <c r="F1592" s="3" t="s">
        <v>14</v>
      </c>
      <c r="G1592" s="3" t="s">
        <v>28</v>
      </c>
      <c r="H1592" s="140">
        <v>12.2</v>
      </c>
      <c r="I1592" s="28">
        <v>11.7</v>
      </c>
      <c r="J1592" s="19">
        <v>1</v>
      </c>
      <c r="K1592" s="13">
        <v>0.14273999999999998</v>
      </c>
      <c r="L1592" s="7" t="s">
        <v>483</v>
      </c>
    </row>
    <row r="1593" spans="1:14">
      <c r="A1593" s="7"/>
      <c r="B1593" s="381" t="s">
        <v>280</v>
      </c>
      <c r="C1593" s="3" t="s">
        <v>232</v>
      </c>
      <c r="D1593" s="2" t="s">
        <v>228</v>
      </c>
      <c r="E1593" s="382" t="s">
        <v>19</v>
      </c>
      <c r="F1593" s="385" t="s">
        <v>14</v>
      </c>
      <c r="G1593" s="385" t="s">
        <v>36</v>
      </c>
      <c r="H1593" s="386">
        <v>10.199999999999999</v>
      </c>
      <c r="I1593" s="387">
        <v>11.5</v>
      </c>
      <c r="J1593" s="19">
        <v>0</v>
      </c>
      <c r="K1593" s="13">
        <v>0</v>
      </c>
      <c r="L1593" s="7" t="s">
        <v>483</v>
      </c>
      <c r="M1593" s="372"/>
      <c r="N1593" s="111"/>
    </row>
    <row r="1594" spans="1:14">
      <c r="A1594" s="7"/>
      <c r="B1594" s="381" t="s">
        <v>280</v>
      </c>
      <c r="C1594" s="3" t="s">
        <v>232</v>
      </c>
      <c r="D1594" s="2" t="s">
        <v>228</v>
      </c>
      <c r="E1594" s="382" t="s">
        <v>19</v>
      </c>
      <c r="F1594" s="385" t="s">
        <v>14</v>
      </c>
      <c r="G1594" s="385" t="s">
        <v>36</v>
      </c>
      <c r="H1594" s="386">
        <v>10.199999999999999</v>
      </c>
      <c r="I1594" s="387">
        <v>12</v>
      </c>
      <c r="J1594" s="19">
        <v>0</v>
      </c>
      <c r="K1594" s="13">
        <v>0</v>
      </c>
      <c r="L1594" s="7" t="s">
        <v>483</v>
      </c>
      <c r="M1594" s="372">
        <v>6</v>
      </c>
      <c r="N1594" s="111"/>
    </row>
    <row r="1595" spans="1:14">
      <c r="A1595" s="7"/>
      <c r="B1595" s="381" t="s">
        <v>280</v>
      </c>
      <c r="C1595" s="3" t="s">
        <v>232</v>
      </c>
      <c r="D1595" s="2" t="s">
        <v>228</v>
      </c>
      <c r="E1595" s="382" t="s">
        <v>19</v>
      </c>
      <c r="F1595" s="385" t="s">
        <v>14</v>
      </c>
      <c r="G1595" s="385" t="s">
        <v>36</v>
      </c>
      <c r="H1595" s="386">
        <v>10.199999999999999</v>
      </c>
      <c r="I1595" s="387">
        <v>7.2</v>
      </c>
      <c r="J1595" s="19">
        <v>0</v>
      </c>
      <c r="K1595" s="13">
        <v>0</v>
      </c>
      <c r="L1595" s="7" t="s">
        <v>483</v>
      </c>
      <c r="M1595" s="372"/>
      <c r="N1595" s="111"/>
    </row>
    <row r="1596" spans="1:14">
      <c r="A1596" s="7"/>
      <c r="B1596" s="381" t="s">
        <v>280</v>
      </c>
      <c r="C1596" s="3" t="s">
        <v>232</v>
      </c>
      <c r="D1596" s="2" t="s">
        <v>228</v>
      </c>
      <c r="E1596" s="382" t="s">
        <v>19</v>
      </c>
      <c r="F1596" s="385" t="s">
        <v>14</v>
      </c>
      <c r="G1596" s="385" t="s">
        <v>36</v>
      </c>
      <c r="H1596" s="386">
        <v>10.199999999999999</v>
      </c>
      <c r="I1596" s="387">
        <v>6.5</v>
      </c>
      <c r="J1596" s="19">
        <v>1</v>
      </c>
      <c r="K1596" s="13">
        <v>6.6299999999999998E-2</v>
      </c>
      <c r="L1596" s="7" t="s">
        <v>483</v>
      </c>
      <c r="M1596" s="372"/>
      <c r="N1596" s="111"/>
    </row>
    <row r="1597" spans="1:14">
      <c r="A1597" s="7"/>
      <c r="B1597" s="381" t="s">
        <v>280</v>
      </c>
      <c r="C1597" s="3" t="s">
        <v>232</v>
      </c>
      <c r="D1597" s="2" t="s">
        <v>228</v>
      </c>
      <c r="E1597" s="382" t="s">
        <v>19</v>
      </c>
      <c r="F1597" s="385" t="s">
        <v>14</v>
      </c>
      <c r="G1597" s="385" t="s">
        <v>36</v>
      </c>
      <c r="H1597" s="386">
        <v>10.199999999999999</v>
      </c>
      <c r="I1597" s="387">
        <v>10</v>
      </c>
      <c r="J1597" s="19">
        <v>0</v>
      </c>
      <c r="K1597" s="13">
        <v>0</v>
      </c>
      <c r="L1597" s="7" t="s">
        <v>483</v>
      </c>
      <c r="M1597" s="372">
        <v>1</v>
      </c>
      <c r="N1597" s="111"/>
    </row>
    <row r="1598" spans="1:14">
      <c r="A1598" s="7"/>
      <c r="B1598" s="381" t="s">
        <v>280</v>
      </c>
      <c r="C1598" s="3" t="s">
        <v>232</v>
      </c>
      <c r="D1598" s="2" t="s">
        <v>228</v>
      </c>
      <c r="E1598" s="382" t="s">
        <v>19</v>
      </c>
      <c r="F1598" s="385" t="s">
        <v>14</v>
      </c>
      <c r="G1598" s="385" t="s">
        <v>36</v>
      </c>
      <c r="H1598" s="386">
        <v>10.199999999999999</v>
      </c>
      <c r="I1598" s="387">
        <v>10.199999999999999</v>
      </c>
      <c r="J1598" s="19">
        <v>0</v>
      </c>
      <c r="K1598" s="13">
        <v>0</v>
      </c>
      <c r="L1598" s="7" t="s">
        <v>483</v>
      </c>
      <c r="M1598" s="372">
        <v>2</v>
      </c>
      <c r="N1598" s="111"/>
    </row>
    <row r="1599" spans="1:14">
      <c r="A1599" s="7"/>
      <c r="B1599" s="381" t="s">
        <v>280</v>
      </c>
      <c r="C1599" s="3" t="s">
        <v>232</v>
      </c>
      <c r="D1599" s="2" t="s">
        <v>228</v>
      </c>
      <c r="E1599" s="382" t="s">
        <v>19</v>
      </c>
      <c r="F1599" s="385" t="s">
        <v>14</v>
      </c>
      <c r="G1599" s="385" t="s">
        <v>36</v>
      </c>
      <c r="H1599" s="386">
        <v>10.199999999999999</v>
      </c>
      <c r="I1599" s="387">
        <v>10.5</v>
      </c>
      <c r="J1599" s="19">
        <v>2</v>
      </c>
      <c r="K1599" s="13">
        <v>0.2142</v>
      </c>
      <c r="L1599" s="7" t="s">
        <v>483</v>
      </c>
      <c r="M1599" s="372">
        <v>1</v>
      </c>
      <c r="N1599" s="111"/>
    </row>
    <row r="1600" spans="1:14">
      <c r="A1600" s="7"/>
      <c r="B1600" s="381" t="s">
        <v>280</v>
      </c>
      <c r="C1600" s="3" t="s">
        <v>232</v>
      </c>
      <c r="D1600" s="2" t="s">
        <v>228</v>
      </c>
      <c r="E1600" s="382" t="s">
        <v>19</v>
      </c>
      <c r="F1600" s="385" t="s">
        <v>14</v>
      </c>
      <c r="G1600" s="385" t="s">
        <v>36</v>
      </c>
      <c r="H1600" s="386">
        <v>10.199999999999999</v>
      </c>
      <c r="I1600" s="387">
        <v>11</v>
      </c>
      <c r="J1600" s="19">
        <v>1</v>
      </c>
      <c r="K1600" s="13">
        <v>0.11219999999999999</v>
      </c>
      <c r="L1600" s="7" t="s">
        <v>483</v>
      </c>
      <c r="M1600" s="372"/>
      <c r="N1600" s="111"/>
    </row>
    <row r="1601" spans="1:14">
      <c r="A1601" s="7"/>
      <c r="B1601" s="381" t="s">
        <v>280</v>
      </c>
      <c r="C1601" s="3" t="s">
        <v>232</v>
      </c>
      <c r="D1601" s="2" t="s">
        <v>228</v>
      </c>
      <c r="E1601" s="382" t="s">
        <v>19</v>
      </c>
      <c r="F1601" s="385" t="s">
        <v>14</v>
      </c>
      <c r="G1601" s="385" t="s">
        <v>36</v>
      </c>
      <c r="H1601" s="386">
        <v>10.199999999999999</v>
      </c>
      <c r="I1601" s="387">
        <v>7.2</v>
      </c>
      <c r="J1601" s="19">
        <v>0</v>
      </c>
      <c r="K1601" s="13">
        <v>0</v>
      </c>
      <c r="L1601" s="7" t="s">
        <v>483</v>
      </c>
      <c r="M1601" s="372"/>
      <c r="N1601" s="111"/>
    </row>
    <row r="1602" spans="1:14">
      <c r="A1602" s="7"/>
      <c r="B1602" s="381" t="s">
        <v>280</v>
      </c>
      <c r="C1602" s="3" t="s">
        <v>232</v>
      </c>
      <c r="D1602" s="2" t="s">
        <v>228</v>
      </c>
      <c r="E1602" s="382" t="s">
        <v>20</v>
      </c>
      <c r="F1602" s="385" t="s">
        <v>15</v>
      </c>
      <c r="G1602" s="385" t="s">
        <v>36</v>
      </c>
      <c r="H1602" s="386">
        <v>10.199999999999999</v>
      </c>
      <c r="I1602" s="387">
        <v>6</v>
      </c>
      <c r="J1602" s="19">
        <v>0</v>
      </c>
      <c r="K1602" s="13">
        <v>0</v>
      </c>
      <c r="L1602" s="7" t="s">
        <v>483</v>
      </c>
      <c r="M1602" s="372"/>
      <c r="N1602" s="111"/>
    </row>
    <row r="1603" spans="1:14">
      <c r="A1603" s="7"/>
      <c r="B1603" s="381" t="s">
        <v>280</v>
      </c>
      <c r="C1603" s="3" t="s">
        <v>232</v>
      </c>
      <c r="D1603" s="2" t="s">
        <v>228</v>
      </c>
      <c r="E1603" s="382" t="s">
        <v>20</v>
      </c>
      <c r="F1603" s="385" t="s">
        <v>15</v>
      </c>
      <c r="G1603" s="385" t="s">
        <v>36</v>
      </c>
      <c r="H1603" s="386">
        <v>10.199999999999999</v>
      </c>
      <c r="I1603" s="387">
        <v>7.5</v>
      </c>
      <c r="J1603" s="19">
        <v>0</v>
      </c>
      <c r="K1603" s="13">
        <v>0</v>
      </c>
      <c r="L1603" s="7" t="s">
        <v>483</v>
      </c>
      <c r="M1603" s="372">
        <v>11</v>
      </c>
      <c r="N1603" s="111"/>
    </row>
    <row r="1604" spans="1:14">
      <c r="A1604" s="7"/>
      <c r="B1604" s="381" t="s">
        <v>280</v>
      </c>
      <c r="C1604" s="3" t="s">
        <v>232</v>
      </c>
      <c r="D1604" s="2" t="s">
        <v>228</v>
      </c>
      <c r="E1604" s="382" t="s">
        <v>20</v>
      </c>
      <c r="F1604" s="385" t="s">
        <v>15</v>
      </c>
      <c r="G1604" s="385" t="s">
        <v>36</v>
      </c>
      <c r="H1604" s="386">
        <v>10.199999999999999</v>
      </c>
      <c r="I1604" s="387">
        <v>8</v>
      </c>
      <c r="J1604" s="19">
        <v>0</v>
      </c>
      <c r="K1604" s="13">
        <v>0</v>
      </c>
      <c r="L1604" s="7" t="s">
        <v>483</v>
      </c>
      <c r="M1604" s="372"/>
      <c r="N1604" s="111"/>
    </row>
    <row r="1605" spans="1:14">
      <c r="A1605" s="7"/>
      <c r="B1605" s="381" t="s">
        <v>280</v>
      </c>
      <c r="C1605" s="3" t="s">
        <v>232</v>
      </c>
      <c r="D1605" s="2" t="s">
        <v>228</v>
      </c>
      <c r="E1605" s="382" t="s">
        <v>20</v>
      </c>
      <c r="F1605" s="385" t="s">
        <v>15</v>
      </c>
      <c r="G1605" s="385" t="s">
        <v>36</v>
      </c>
      <c r="H1605" s="386">
        <v>10.199999999999999</v>
      </c>
      <c r="I1605" s="387">
        <v>11.25</v>
      </c>
      <c r="J1605" s="19">
        <v>15</v>
      </c>
      <c r="K1605" s="13">
        <v>1.7212499999999997</v>
      </c>
      <c r="L1605" s="7" t="s">
        <v>483</v>
      </c>
      <c r="M1605" s="372"/>
      <c r="N1605" s="111"/>
    </row>
    <row r="1606" spans="1:14">
      <c r="A1606" s="7"/>
      <c r="B1606" s="381" t="s">
        <v>280</v>
      </c>
      <c r="C1606" s="3" t="s">
        <v>232</v>
      </c>
      <c r="D1606" s="2" t="s">
        <v>228</v>
      </c>
      <c r="E1606" s="382" t="s">
        <v>20</v>
      </c>
      <c r="F1606" s="385" t="s">
        <v>15</v>
      </c>
      <c r="G1606" s="385" t="s">
        <v>36</v>
      </c>
      <c r="H1606" s="386">
        <v>10.199999999999999</v>
      </c>
      <c r="I1606" s="387">
        <v>10</v>
      </c>
      <c r="J1606" s="19">
        <v>0</v>
      </c>
      <c r="K1606" s="13">
        <v>0</v>
      </c>
      <c r="L1606" s="7" t="s">
        <v>483</v>
      </c>
      <c r="M1606" s="372">
        <v>2</v>
      </c>
      <c r="N1606" s="111"/>
    </row>
    <row r="1607" spans="1:14">
      <c r="A1607" s="7"/>
      <c r="B1607" s="381" t="s">
        <v>280</v>
      </c>
      <c r="C1607" s="3" t="s">
        <v>232</v>
      </c>
      <c r="D1607" s="2" t="s">
        <v>228</v>
      </c>
      <c r="E1607" s="382" t="s">
        <v>20</v>
      </c>
      <c r="F1607" s="385" t="s">
        <v>15</v>
      </c>
      <c r="G1607" s="385" t="s">
        <v>36</v>
      </c>
      <c r="H1607" s="386">
        <v>10.199999999999999</v>
      </c>
      <c r="I1607" s="387">
        <v>11</v>
      </c>
      <c r="J1607" s="19">
        <v>0</v>
      </c>
      <c r="K1607" s="13">
        <v>0</v>
      </c>
      <c r="L1607" s="7" t="s">
        <v>483</v>
      </c>
      <c r="M1607" s="372">
        <v>4</v>
      </c>
      <c r="N1607" s="111"/>
    </row>
    <row r="1608" spans="1:14">
      <c r="A1608" s="7"/>
      <c r="B1608" s="381" t="s">
        <v>280</v>
      </c>
      <c r="C1608" s="3" t="s">
        <v>232</v>
      </c>
      <c r="D1608" s="2" t="s">
        <v>228</v>
      </c>
      <c r="E1608" s="382" t="s">
        <v>20</v>
      </c>
      <c r="F1608" s="385" t="s">
        <v>15</v>
      </c>
      <c r="G1608" s="385" t="s">
        <v>36</v>
      </c>
      <c r="H1608" s="386">
        <v>10.199999999999999</v>
      </c>
      <c r="I1608" s="387">
        <v>12</v>
      </c>
      <c r="J1608" s="19">
        <v>0</v>
      </c>
      <c r="K1608" s="13">
        <v>0</v>
      </c>
      <c r="L1608" s="7" t="s">
        <v>483</v>
      </c>
      <c r="M1608" s="372">
        <v>6</v>
      </c>
      <c r="N1608" s="111"/>
    </row>
    <row r="1609" spans="1:14">
      <c r="A1609" s="7"/>
      <c r="B1609" s="381" t="s">
        <v>280</v>
      </c>
      <c r="C1609" s="3" t="s">
        <v>232</v>
      </c>
      <c r="D1609" s="2" t="s">
        <v>228</v>
      </c>
      <c r="E1609" s="382" t="s">
        <v>20</v>
      </c>
      <c r="F1609" s="385" t="s">
        <v>15</v>
      </c>
      <c r="G1609" s="385" t="s">
        <v>36</v>
      </c>
      <c r="H1609" s="386">
        <v>10.199999999999999</v>
      </c>
      <c r="I1609" s="387">
        <v>11</v>
      </c>
      <c r="J1609" s="19">
        <v>0</v>
      </c>
      <c r="K1609" s="13">
        <v>0</v>
      </c>
      <c r="L1609" s="7" t="s">
        <v>483</v>
      </c>
      <c r="M1609" s="372">
        <v>5</v>
      </c>
      <c r="N1609" s="111"/>
    </row>
    <row r="1610" spans="1:14">
      <c r="A1610" s="7"/>
      <c r="B1610" s="381" t="s">
        <v>280</v>
      </c>
      <c r="C1610" s="3" t="s">
        <v>232</v>
      </c>
      <c r="D1610" s="2" t="s">
        <v>228</v>
      </c>
      <c r="E1610" s="382" t="s">
        <v>20</v>
      </c>
      <c r="F1610" s="385" t="s">
        <v>15</v>
      </c>
      <c r="G1610" s="385" t="s">
        <v>36</v>
      </c>
      <c r="H1610" s="386">
        <v>10.199999999999999</v>
      </c>
      <c r="I1610" s="387">
        <v>10.8</v>
      </c>
      <c r="J1610" s="19">
        <v>0</v>
      </c>
      <c r="K1610" s="13">
        <v>0</v>
      </c>
      <c r="L1610" s="7" t="s">
        <v>483</v>
      </c>
      <c r="M1610" s="372">
        <v>1</v>
      </c>
      <c r="N1610" s="111"/>
    </row>
    <row r="1611" spans="1:14">
      <c r="A1611" s="7"/>
      <c r="B1611" s="381" t="s">
        <v>280</v>
      </c>
      <c r="C1611" s="3" t="s">
        <v>232</v>
      </c>
      <c r="D1611" s="2" t="s">
        <v>228</v>
      </c>
      <c r="E1611" s="382" t="s">
        <v>20</v>
      </c>
      <c r="F1611" s="385" t="s">
        <v>15</v>
      </c>
      <c r="G1611" s="385" t="s">
        <v>36</v>
      </c>
      <c r="H1611" s="386">
        <v>10.199999999999999</v>
      </c>
      <c r="I1611" s="387">
        <v>10.5</v>
      </c>
      <c r="J1611" s="19">
        <v>0</v>
      </c>
      <c r="K1611" s="13">
        <v>0</v>
      </c>
      <c r="L1611" s="7" t="s">
        <v>483</v>
      </c>
      <c r="M1611" s="372">
        <v>3</v>
      </c>
      <c r="N1611" s="111"/>
    </row>
    <row r="1612" spans="1:14">
      <c r="A1612" s="7"/>
      <c r="B1612" s="381" t="s">
        <v>280</v>
      </c>
      <c r="C1612" s="3" t="s">
        <v>232</v>
      </c>
      <c r="D1612" s="2" t="s">
        <v>228</v>
      </c>
      <c r="E1612" s="382" t="s">
        <v>20</v>
      </c>
      <c r="F1612" s="385" t="s">
        <v>15</v>
      </c>
      <c r="G1612" s="385" t="s">
        <v>36</v>
      </c>
      <c r="H1612" s="386">
        <v>10.199999999999999</v>
      </c>
      <c r="I1612" s="387">
        <v>7.8</v>
      </c>
      <c r="J1612" s="19">
        <v>0</v>
      </c>
      <c r="K1612" s="13">
        <v>0</v>
      </c>
      <c r="L1612" s="7" t="s">
        <v>483</v>
      </c>
      <c r="M1612" s="372">
        <v>1</v>
      </c>
      <c r="N1612" s="111"/>
    </row>
    <row r="1613" spans="1:14">
      <c r="A1613" s="7"/>
      <c r="B1613" s="381" t="s">
        <v>280</v>
      </c>
      <c r="C1613" s="3" t="s">
        <v>232</v>
      </c>
      <c r="D1613" s="2" t="s">
        <v>228</v>
      </c>
      <c r="E1613" s="382" t="s">
        <v>20</v>
      </c>
      <c r="F1613" s="385" t="s">
        <v>15</v>
      </c>
      <c r="G1613" s="385" t="s">
        <v>36</v>
      </c>
      <c r="H1613" s="386">
        <v>10.199999999999999</v>
      </c>
      <c r="I1613" s="387">
        <v>10.5</v>
      </c>
      <c r="J1613" s="19">
        <v>0</v>
      </c>
      <c r="K1613" s="13">
        <v>0</v>
      </c>
      <c r="L1613" s="7" t="s">
        <v>483</v>
      </c>
      <c r="M1613" s="372">
        <v>1</v>
      </c>
      <c r="N1613" s="111"/>
    </row>
    <row r="1614" spans="1:14">
      <c r="A1614" s="7"/>
      <c r="B1614" s="381" t="s">
        <v>280</v>
      </c>
      <c r="C1614" s="3" t="s">
        <v>232</v>
      </c>
      <c r="D1614" s="2" t="s">
        <v>228</v>
      </c>
      <c r="E1614" s="382" t="s">
        <v>20</v>
      </c>
      <c r="F1614" s="385" t="s">
        <v>15</v>
      </c>
      <c r="G1614" s="385" t="s">
        <v>36</v>
      </c>
      <c r="H1614" s="386">
        <v>10.199999999999999</v>
      </c>
      <c r="I1614" s="387">
        <v>7.7</v>
      </c>
      <c r="J1614" s="19">
        <v>0</v>
      </c>
      <c r="K1614" s="13">
        <v>0</v>
      </c>
      <c r="L1614" s="7" t="s">
        <v>483</v>
      </c>
      <c r="M1614" s="372">
        <v>1</v>
      </c>
      <c r="N1614" s="111"/>
    </row>
    <row r="1615" spans="1:14">
      <c r="A1615" s="7"/>
      <c r="B1615" s="381" t="s">
        <v>280</v>
      </c>
      <c r="C1615" s="3" t="s">
        <v>232</v>
      </c>
      <c r="D1615" s="2" t="s">
        <v>228</v>
      </c>
      <c r="E1615" s="382" t="s">
        <v>20</v>
      </c>
      <c r="F1615" s="385" t="s">
        <v>15</v>
      </c>
      <c r="G1615" s="385" t="s">
        <v>36</v>
      </c>
      <c r="H1615" s="386">
        <v>10.199999999999999</v>
      </c>
      <c r="I1615" s="387">
        <v>9.3000000000000007</v>
      </c>
      <c r="J1615" s="19">
        <v>0</v>
      </c>
      <c r="K1615" s="13">
        <v>0</v>
      </c>
      <c r="L1615" s="7" t="s">
        <v>483</v>
      </c>
      <c r="M1615" s="372">
        <v>1</v>
      </c>
      <c r="N1615" s="111"/>
    </row>
    <row r="1616" spans="1:14">
      <c r="A1616" s="7"/>
      <c r="B1616" s="381" t="s">
        <v>280</v>
      </c>
      <c r="C1616" s="3" t="s">
        <v>232</v>
      </c>
      <c r="D1616" s="2" t="s">
        <v>228</v>
      </c>
      <c r="E1616" s="382" t="s">
        <v>20</v>
      </c>
      <c r="F1616" s="385" t="s">
        <v>15</v>
      </c>
      <c r="G1616" s="385" t="s">
        <v>36</v>
      </c>
      <c r="H1616" s="386">
        <v>10.199999999999999</v>
      </c>
      <c r="I1616" s="387">
        <v>9</v>
      </c>
      <c r="J1616" s="19">
        <v>0</v>
      </c>
      <c r="K1616" s="13">
        <v>0</v>
      </c>
      <c r="L1616" s="7" t="s">
        <v>483</v>
      </c>
      <c r="M1616" s="372">
        <v>1</v>
      </c>
      <c r="N1616" s="111"/>
    </row>
    <row r="1617" spans="1:14">
      <c r="A1617" s="7"/>
      <c r="B1617" s="381" t="s">
        <v>280</v>
      </c>
      <c r="C1617" s="3" t="s">
        <v>232</v>
      </c>
      <c r="D1617" s="2" t="s">
        <v>228</v>
      </c>
      <c r="E1617" s="382" t="s">
        <v>20</v>
      </c>
      <c r="F1617" s="385" t="s">
        <v>15</v>
      </c>
      <c r="G1617" s="385" t="s">
        <v>36</v>
      </c>
      <c r="H1617" s="386">
        <v>10.199999999999999</v>
      </c>
      <c r="I1617" s="387">
        <v>7</v>
      </c>
      <c r="J1617" s="19">
        <v>0</v>
      </c>
      <c r="K1617" s="13">
        <v>0</v>
      </c>
      <c r="L1617" s="7" t="s">
        <v>483</v>
      </c>
      <c r="M1617" s="372">
        <v>2</v>
      </c>
      <c r="N1617" s="111"/>
    </row>
    <row r="1618" spans="1:14">
      <c r="A1618" s="7"/>
      <c r="B1618" s="381" t="s">
        <v>280</v>
      </c>
      <c r="C1618" s="3" t="s">
        <v>232</v>
      </c>
      <c r="D1618" s="2" t="s">
        <v>228</v>
      </c>
      <c r="E1618" s="382" t="s">
        <v>20</v>
      </c>
      <c r="F1618" s="385" t="s">
        <v>15</v>
      </c>
      <c r="G1618" s="385" t="s">
        <v>36</v>
      </c>
      <c r="H1618" s="386">
        <v>10.199999999999999</v>
      </c>
      <c r="I1618" s="387">
        <v>7.1</v>
      </c>
      <c r="J1618" s="19">
        <v>0</v>
      </c>
      <c r="K1618" s="13">
        <v>0</v>
      </c>
      <c r="L1618" s="7" t="s">
        <v>483</v>
      </c>
      <c r="M1618" s="372">
        <v>2</v>
      </c>
      <c r="N1618" s="111"/>
    </row>
    <row r="1619" spans="1:14">
      <c r="A1619" s="7"/>
      <c r="B1619" s="381" t="s">
        <v>280</v>
      </c>
      <c r="C1619" s="3" t="s">
        <v>232</v>
      </c>
      <c r="D1619" s="2" t="s">
        <v>228</v>
      </c>
      <c r="E1619" s="382" t="s">
        <v>20</v>
      </c>
      <c r="F1619" s="385" t="s">
        <v>15</v>
      </c>
      <c r="G1619" s="385" t="s">
        <v>36</v>
      </c>
      <c r="H1619" s="386">
        <v>10.199999999999999</v>
      </c>
      <c r="I1619" s="387">
        <v>6.1</v>
      </c>
      <c r="J1619" s="19">
        <v>0</v>
      </c>
      <c r="K1619" s="13">
        <v>0</v>
      </c>
      <c r="L1619" s="7" t="s">
        <v>483</v>
      </c>
      <c r="M1619" s="372">
        <v>1</v>
      </c>
      <c r="N1619" s="111"/>
    </row>
    <row r="1620" spans="1:14">
      <c r="A1620" s="7"/>
      <c r="B1620" s="381" t="s">
        <v>280</v>
      </c>
      <c r="C1620" s="3" t="s">
        <v>232</v>
      </c>
      <c r="D1620" s="2" t="s">
        <v>228</v>
      </c>
      <c r="E1620" s="382" t="s">
        <v>20</v>
      </c>
      <c r="F1620" s="385" t="s">
        <v>15</v>
      </c>
      <c r="G1620" s="385" t="s">
        <v>41</v>
      </c>
      <c r="H1620" s="386">
        <v>11.8</v>
      </c>
      <c r="I1620" s="387">
        <v>7.5</v>
      </c>
      <c r="J1620" s="19">
        <v>0</v>
      </c>
      <c r="K1620" s="13">
        <v>0</v>
      </c>
      <c r="L1620" s="7" t="s">
        <v>483</v>
      </c>
      <c r="M1620" s="372"/>
      <c r="N1620" s="111"/>
    </row>
    <row r="1621" spans="1:14">
      <c r="A1621" s="7"/>
      <c r="B1621" s="381" t="s">
        <v>280</v>
      </c>
      <c r="C1621" s="3" t="s">
        <v>232</v>
      </c>
      <c r="D1621" s="2" t="s">
        <v>228</v>
      </c>
      <c r="E1621" s="382" t="s">
        <v>20</v>
      </c>
      <c r="F1621" s="385" t="s">
        <v>15</v>
      </c>
      <c r="G1621" s="385" t="s">
        <v>41</v>
      </c>
      <c r="H1621" s="386">
        <v>11.8</v>
      </c>
      <c r="I1621" s="387">
        <v>7.1</v>
      </c>
      <c r="J1621" s="19">
        <v>3</v>
      </c>
      <c r="K1621" s="13">
        <v>0.25133999999999995</v>
      </c>
      <c r="L1621" s="7" t="s">
        <v>483</v>
      </c>
      <c r="M1621" s="372"/>
      <c r="N1621" s="111"/>
    </row>
    <row r="1622" spans="1:14">
      <c r="A1622" s="7"/>
      <c r="B1622" s="381" t="s">
        <v>280</v>
      </c>
      <c r="C1622" s="3" t="s">
        <v>232</v>
      </c>
      <c r="D1622" s="2" t="s">
        <v>228</v>
      </c>
      <c r="E1622" s="382" t="s">
        <v>20</v>
      </c>
      <c r="F1622" s="385" t="s">
        <v>15</v>
      </c>
      <c r="G1622" s="385" t="s">
        <v>41</v>
      </c>
      <c r="H1622" s="386">
        <v>11.8</v>
      </c>
      <c r="I1622" s="387">
        <v>7</v>
      </c>
      <c r="J1622" s="19">
        <v>4</v>
      </c>
      <c r="K1622" s="13">
        <v>0.33040000000000003</v>
      </c>
      <c r="L1622" s="7" t="s">
        <v>483</v>
      </c>
      <c r="M1622" s="372"/>
      <c r="N1622" s="111"/>
    </row>
    <row r="1623" spans="1:14">
      <c r="A1623" s="7"/>
      <c r="B1623" s="381" t="s">
        <v>280</v>
      </c>
      <c r="C1623" s="3" t="s">
        <v>232</v>
      </c>
      <c r="D1623" s="2" t="s">
        <v>228</v>
      </c>
      <c r="E1623" s="382" t="s">
        <v>20</v>
      </c>
      <c r="F1623" s="385" t="s">
        <v>15</v>
      </c>
      <c r="G1623" s="385" t="s">
        <v>41</v>
      </c>
      <c r="H1623" s="386">
        <v>11.8</v>
      </c>
      <c r="I1623" s="387">
        <v>6.8</v>
      </c>
      <c r="J1623" s="19">
        <v>2</v>
      </c>
      <c r="K1623" s="13">
        <v>0.16048000000000001</v>
      </c>
      <c r="L1623" s="7" t="s">
        <v>483</v>
      </c>
      <c r="M1623" s="372"/>
      <c r="N1623" s="111"/>
    </row>
    <row r="1624" spans="1:14">
      <c r="A1624" s="7"/>
      <c r="B1624" s="381" t="s">
        <v>280</v>
      </c>
      <c r="C1624" s="3" t="s">
        <v>232</v>
      </c>
      <c r="D1624" s="2" t="s">
        <v>228</v>
      </c>
      <c r="E1624" s="382" t="s">
        <v>20</v>
      </c>
      <c r="F1624" s="385" t="s">
        <v>15</v>
      </c>
      <c r="G1624" s="385" t="s">
        <v>41</v>
      </c>
      <c r="H1624" s="386">
        <v>11.8</v>
      </c>
      <c r="I1624" s="387">
        <v>11.3</v>
      </c>
      <c r="J1624" s="19">
        <v>0</v>
      </c>
      <c r="K1624" s="13">
        <v>0</v>
      </c>
      <c r="L1624" s="7" t="s">
        <v>483</v>
      </c>
      <c r="M1624" s="372"/>
      <c r="N1624" s="172">
        <v>7.3</v>
      </c>
    </row>
    <row r="1625" spans="1:14">
      <c r="A1625" s="7"/>
      <c r="B1625" s="381" t="s">
        <v>280</v>
      </c>
      <c r="C1625" s="3" t="s">
        <v>232</v>
      </c>
      <c r="D1625" s="2" t="s">
        <v>228</v>
      </c>
      <c r="E1625" s="382" t="s">
        <v>20</v>
      </c>
      <c r="F1625" s="385" t="s">
        <v>15</v>
      </c>
      <c r="G1625" s="385" t="s">
        <v>41</v>
      </c>
      <c r="H1625" s="386">
        <v>11.8</v>
      </c>
      <c r="I1625" s="387">
        <v>11.1</v>
      </c>
      <c r="J1625" s="19">
        <v>2</v>
      </c>
      <c r="K1625" s="13">
        <v>0.26195999999999997</v>
      </c>
      <c r="L1625" s="7" t="s">
        <v>483</v>
      </c>
      <c r="M1625" s="372"/>
      <c r="N1625" s="111"/>
    </row>
    <row r="1626" spans="1:14">
      <c r="A1626" s="7"/>
      <c r="B1626" s="381" t="s">
        <v>280</v>
      </c>
      <c r="C1626" s="3" t="s">
        <v>232</v>
      </c>
      <c r="D1626" s="2" t="s">
        <v>228</v>
      </c>
      <c r="E1626" s="382" t="s">
        <v>20</v>
      </c>
      <c r="F1626" s="385" t="s">
        <v>15</v>
      </c>
      <c r="G1626" s="385" t="s">
        <v>41</v>
      </c>
      <c r="H1626" s="386">
        <v>11.8</v>
      </c>
      <c r="I1626" s="387">
        <v>11</v>
      </c>
      <c r="J1626" s="19">
        <v>0</v>
      </c>
      <c r="K1626" s="13">
        <v>0</v>
      </c>
      <c r="L1626" s="7" t="s">
        <v>483</v>
      </c>
      <c r="M1626" s="372">
        <v>3</v>
      </c>
      <c r="N1626" s="111"/>
    </row>
    <row r="1627" spans="1:14">
      <c r="A1627" s="7"/>
      <c r="B1627" s="381" t="s">
        <v>280</v>
      </c>
      <c r="C1627" s="3" t="s">
        <v>232</v>
      </c>
      <c r="D1627" s="2" t="s">
        <v>228</v>
      </c>
      <c r="E1627" s="382" t="s">
        <v>20</v>
      </c>
      <c r="F1627" s="385" t="s">
        <v>15</v>
      </c>
      <c r="G1627" s="385" t="s">
        <v>41</v>
      </c>
      <c r="H1627" s="386">
        <v>11.8</v>
      </c>
      <c r="I1627" s="387">
        <v>10.7</v>
      </c>
      <c r="J1627" s="19">
        <v>0</v>
      </c>
      <c r="K1627" s="13">
        <v>0</v>
      </c>
      <c r="L1627" s="7" t="s">
        <v>483</v>
      </c>
      <c r="M1627" s="372">
        <v>2</v>
      </c>
      <c r="N1627" s="111"/>
    </row>
    <row r="1628" spans="1:14">
      <c r="A1628" s="7"/>
      <c r="B1628" s="381" t="s">
        <v>280</v>
      </c>
      <c r="C1628" s="3" t="s">
        <v>232</v>
      </c>
      <c r="D1628" s="2" t="s">
        <v>228</v>
      </c>
      <c r="E1628" s="382" t="s">
        <v>20</v>
      </c>
      <c r="F1628" s="385" t="s">
        <v>15</v>
      </c>
      <c r="G1628" s="385" t="s">
        <v>41</v>
      </c>
      <c r="H1628" s="386">
        <v>11.8</v>
      </c>
      <c r="I1628" s="387">
        <v>10.199999999999999</v>
      </c>
      <c r="J1628" s="19">
        <v>0</v>
      </c>
      <c r="K1628" s="13">
        <v>0</v>
      </c>
      <c r="L1628" s="7" t="s">
        <v>483</v>
      </c>
      <c r="M1628" s="372">
        <v>1</v>
      </c>
      <c r="N1628" s="111"/>
    </row>
    <row r="1629" spans="1:14">
      <c r="A1629" s="7"/>
      <c r="B1629" s="381" t="s">
        <v>280</v>
      </c>
      <c r="C1629" s="3" t="s">
        <v>232</v>
      </c>
      <c r="D1629" s="2" t="s">
        <v>228</v>
      </c>
      <c r="E1629" s="382" t="s">
        <v>20</v>
      </c>
      <c r="F1629" s="385" t="s">
        <v>15</v>
      </c>
      <c r="G1629" s="385" t="s">
        <v>41</v>
      </c>
      <c r="H1629" s="386">
        <v>11.8</v>
      </c>
      <c r="I1629" s="387">
        <v>7.3</v>
      </c>
      <c r="J1629" s="19">
        <v>0</v>
      </c>
      <c r="K1629" s="13">
        <v>0</v>
      </c>
      <c r="L1629" s="7" t="s">
        <v>483</v>
      </c>
      <c r="M1629" s="372"/>
      <c r="N1629" s="172">
        <v>7.3</v>
      </c>
    </row>
    <row r="1630" spans="1:14">
      <c r="A1630" s="7"/>
      <c r="B1630" s="381" t="s">
        <v>280</v>
      </c>
      <c r="C1630" s="3" t="s">
        <v>232</v>
      </c>
      <c r="D1630" s="2" t="s">
        <v>228</v>
      </c>
      <c r="E1630" s="382" t="s">
        <v>20</v>
      </c>
      <c r="F1630" s="385" t="s">
        <v>15</v>
      </c>
      <c r="G1630" s="385" t="s">
        <v>41</v>
      </c>
      <c r="H1630" s="386">
        <v>11.8</v>
      </c>
      <c r="I1630" s="387">
        <v>11.3</v>
      </c>
      <c r="J1630" s="19">
        <v>0</v>
      </c>
      <c r="K1630" s="13">
        <v>0</v>
      </c>
      <c r="L1630" s="7" t="s">
        <v>483</v>
      </c>
      <c r="M1630" s="372"/>
      <c r="N1630" s="227" t="s">
        <v>321</v>
      </c>
    </row>
    <row r="1631" spans="1:14">
      <c r="A1631" s="7"/>
      <c r="B1631" s="381" t="s">
        <v>280</v>
      </c>
      <c r="C1631" s="3" t="s">
        <v>232</v>
      </c>
      <c r="D1631" s="2" t="s">
        <v>228</v>
      </c>
      <c r="E1631" s="382" t="s">
        <v>20</v>
      </c>
      <c r="F1631" s="385" t="s">
        <v>15</v>
      </c>
      <c r="G1631" s="385" t="s">
        <v>41</v>
      </c>
      <c r="H1631" s="386">
        <v>11.8</v>
      </c>
      <c r="I1631" s="387">
        <v>11</v>
      </c>
      <c r="J1631" s="19">
        <v>0</v>
      </c>
      <c r="K1631" s="13">
        <v>0</v>
      </c>
      <c r="L1631" s="7" t="s">
        <v>483</v>
      </c>
      <c r="M1631" s="372"/>
      <c r="N1631" s="94">
        <v>8.8000000000000007</v>
      </c>
    </row>
    <row r="1632" spans="1:14">
      <c r="A1632" s="7"/>
      <c r="B1632" s="381" t="s">
        <v>280</v>
      </c>
      <c r="C1632" s="3" t="s">
        <v>232</v>
      </c>
      <c r="D1632" s="2" t="s">
        <v>228</v>
      </c>
      <c r="E1632" s="382" t="s">
        <v>20</v>
      </c>
      <c r="F1632" s="385" t="s">
        <v>15</v>
      </c>
      <c r="G1632" s="385" t="s">
        <v>41</v>
      </c>
      <c r="H1632" s="386">
        <v>11.8</v>
      </c>
      <c r="I1632" s="387">
        <v>10.5</v>
      </c>
      <c r="J1632" s="19">
        <v>0</v>
      </c>
      <c r="K1632" s="13">
        <v>0</v>
      </c>
      <c r="L1632" s="7" t="s">
        <v>483</v>
      </c>
      <c r="M1632" s="372">
        <v>1</v>
      </c>
      <c r="N1632" s="111"/>
    </row>
    <row r="1633" spans="1:14">
      <c r="A1633" s="7"/>
      <c r="B1633" s="381" t="s">
        <v>280</v>
      </c>
      <c r="C1633" s="3" t="s">
        <v>232</v>
      </c>
      <c r="D1633" s="2" t="s">
        <v>228</v>
      </c>
      <c r="E1633" s="382" t="s">
        <v>20</v>
      </c>
      <c r="F1633" s="385" t="s">
        <v>15</v>
      </c>
      <c r="G1633" s="385" t="s">
        <v>41</v>
      </c>
      <c r="H1633" s="386">
        <v>11.8</v>
      </c>
      <c r="I1633" s="387">
        <v>9.8000000000000007</v>
      </c>
      <c r="J1633" s="19">
        <v>0</v>
      </c>
      <c r="K1633" s="13">
        <v>0</v>
      </c>
      <c r="L1633" s="7" t="s">
        <v>483</v>
      </c>
      <c r="M1633" s="372">
        <v>1</v>
      </c>
      <c r="N1633" s="111"/>
    </row>
    <row r="1634" spans="1:14">
      <c r="A1634" s="7"/>
      <c r="B1634" s="381" t="s">
        <v>280</v>
      </c>
      <c r="C1634" s="3" t="s">
        <v>232</v>
      </c>
      <c r="D1634" s="2" t="s">
        <v>228</v>
      </c>
      <c r="E1634" s="382" t="s">
        <v>20</v>
      </c>
      <c r="F1634" s="385" t="s">
        <v>15</v>
      </c>
      <c r="G1634" s="385" t="s">
        <v>41</v>
      </c>
      <c r="H1634" s="386">
        <v>11.8</v>
      </c>
      <c r="I1634" s="387">
        <v>7.3</v>
      </c>
      <c r="J1634" s="19">
        <v>0</v>
      </c>
      <c r="K1634" s="13">
        <v>0</v>
      </c>
      <c r="L1634" s="7" t="s">
        <v>483</v>
      </c>
      <c r="M1634" s="372"/>
      <c r="N1634" s="172">
        <v>7.3</v>
      </c>
    </row>
    <row r="1635" spans="1:14">
      <c r="A1635" s="7"/>
      <c r="B1635" s="381" t="s">
        <v>280</v>
      </c>
      <c r="C1635" s="3" t="s">
        <v>232</v>
      </c>
      <c r="D1635" s="2" t="s">
        <v>228</v>
      </c>
      <c r="E1635" s="382" t="s">
        <v>20</v>
      </c>
      <c r="F1635" s="385" t="s">
        <v>15</v>
      </c>
      <c r="G1635" s="385" t="s">
        <v>41</v>
      </c>
      <c r="H1635" s="386">
        <v>11.8</v>
      </c>
      <c r="I1635" s="387">
        <v>6.7</v>
      </c>
      <c r="J1635" s="19">
        <v>1</v>
      </c>
      <c r="K1635" s="13">
        <v>7.9060000000000005E-2</v>
      </c>
      <c r="L1635" s="7" t="s">
        <v>483</v>
      </c>
      <c r="M1635" s="372"/>
      <c r="N1635" s="111"/>
    </row>
    <row r="1636" spans="1:14">
      <c r="A1636" s="7"/>
      <c r="B1636" s="381" t="s">
        <v>280</v>
      </c>
      <c r="C1636" s="3" t="s">
        <v>232</v>
      </c>
      <c r="D1636" s="2" t="s">
        <v>228</v>
      </c>
      <c r="E1636" s="382" t="s">
        <v>20</v>
      </c>
      <c r="F1636" s="385" t="s">
        <v>15</v>
      </c>
      <c r="G1636" s="385" t="s">
        <v>41</v>
      </c>
      <c r="H1636" s="386">
        <v>11.8</v>
      </c>
      <c r="I1636" s="387">
        <v>6.5</v>
      </c>
      <c r="J1636" s="19">
        <v>1</v>
      </c>
      <c r="K1636" s="13">
        <v>7.6700000000000004E-2</v>
      </c>
      <c r="L1636" s="7" t="s">
        <v>483</v>
      </c>
      <c r="M1636" s="372"/>
      <c r="N1636" s="111"/>
    </row>
    <row r="1637" spans="1:14">
      <c r="A1637" s="7"/>
      <c r="B1637" s="381" t="s">
        <v>280</v>
      </c>
      <c r="C1637" s="3" t="s">
        <v>232</v>
      </c>
      <c r="D1637" s="2" t="s">
        <v>228</v>
      </c>
      <c r="E1637" s="382" t="s">
        <v>20</v>
      </c>
      <c r="F1637" s="385" t="s">
        <v>15</v>
      </c>
      <c r="G1637" s="385" t="s">
        <v>41</v>
      </c>
      <c r="H1637" s="386">
        <v>11.8</v>
      </c>
      <c r="I1637" s="387">
        <v>10.3</v>
      </c>
      <c r="J1637" s="19">
        <v>0</v>
      </c>
      <c r="K1637" s="13">
        <v>0</v>
      </c>
      <c r="L1637" s="7" t="s">
        <v>483</v>
      </c>
      <c r="M1637" s="372">
        <v>2</v>
      </c>
      <c r="N1637" s="111"/>
    </row>
    <row r="1638" spans="1:14">
      <c r="A1638" s="7"/>
      <c r="B1638" s="381" t="s">
        <v>280</v>
      </c>
      <c r="C1638" s="3" t="s">
        <v>232</v>
      </c>
      <c r="D1638" s="2" t="s">
        <v>228</v>
      </c>
      <c r="E1638" s="382" t="s">
        <v>20</v>
      </c>
      <c r="F1638" s="385" t="s">
        <v>15</v>
      </c>
      <c r="G1638" s="385" t="s">
        <v>41</v>
      </c>
      <c r="H1638" s="386">
        <v>11.8</v>
      </c>
      <c r="I1638" s="387">
        <v>7.1</v>
      </c>
      <c r="J1638" s="19">
        <v>1</v>
      </c>
      <c r="K1638" s="13">
        <v>8.3780000000000007E-2</v>
      </c>
      <c r="L1638" s="7" t="s">
        <v>483</v>
      </c>
      <c r="M1638" s="372"/>
      <c r="N1638" s="111"/>
    </row>
    <row r="1639" spans="1:14">
      <c r="A1639" s="7"/>
      <c r="B1639" s="381" t="s">
        <v>280</v>
      </c>
      <c r="C1639" s="3" t="s">
        <v>232</v>
      </c>
      <c r="D1639" s="2" t="s">
        <v>228</v>
      </c>
      <c r="E1639" s="382" t="s">
        <v>20</v>
      </c>
      <c r="F1639" s="385" t="s">
        <v>15</v>
      </c>
      <c r="G1639" s="385" t="s">
        <v>41</v>
      </c>
      <c r="H1639" s="386">
        <v>11.8</v>
      </c>
      <c r="I1639" s="387">
        <v>7.5</v>
      </c>
      <c r="J1639" s="19">
        <v>0</v>
      </c>
      <c r="K1639" s="13">
        <v>0</v>
      </c>
      <c r="L1639" s="7" t="s">
        <v>483</v>
      </c>
      <c r="M1639" s="372"/>
      <c r="N1639" s="111"/>
    </row>
    <row r="1640" spans="1:14">
      <c r="A1640" s="7"/>
      <c r="B1640" s="381" t="s">
        <v>280</v>
      </c>
      <c r="C1640" s="3" t="s">
        <v>232</v>
      </c>
      <c r="D1640" s="2" t="s">
        <v>228</v>
      </c>
      <c r="E1640" s="382" t="s">
        <v>17</v>
      </c>
      <c r="F1640" s="385" t="s">
        <v>15</v>
      </c>
      <c r="G1640" s="385" t="s">
        <v>41</v>
      </c>
      <c r="H1640" s="386">
        <v>11.8</v>
      </c>
      <c r="I1640" s="387">
        <v>7.6</v>
      </c>
      <c r="J1640" s="19">
        <v>0</v>
      </c>
      <c r="K1640" s="13">
        <v>0</v>
      </c>
      <c r="L1640" s="7" t="s">
        <v>483</v>
      </c>
      <c r="M1640" s="372"/>
      <c r="N1640" s="111"/>
    </row>
    <row r="1641" spans="1:14">
      <c r="A1641" s="7"/>
      <c r="B1641" s="381" t="s">
        <v>280</v>
      </c>
      <c r="C1641" s="3" t="s">
        <v>232</v>
      </c>
      <c r="D1641" s="2" t="s">
        <v>228</v>
      </c>
      <c r="E1641" s="382" t="s">
        <v>17</v>
      </c>
      <c r="F1641" s="385" t="s">
        <v>15</v>
      </c>
      <c r="G1641" s="385" t="s">
        <v>41</v>
      </c>
      <c r="H1641" s="386">
        <v>11.8</v>
      </c>
      <c r="I1641" s="387">
        <v>8.1</v>
      </c>
      <c r="J1641" s="19">
        <v>0</v>
      </c>
      <c r="K1641" s="13">
        <v>0</v>
      </c>
      <c r="L1641" s="7" t="s">
        <v>483</v>
      </c>
      <c r="M1641" s="372">
        <v>6</v>
      </c>
      <c r="N1641" s="111"/>
    </row>
    <row r="1642" spans="1:14">
      <c r="A1642" s="7"/>
      <c r="B1642" s="381" t="s">
        <v>280</v>
      </c>
      <c r="C1642" s="3" t="s">
        <v>232</v>
      </c>
      <c r="D1642" s="2" t="s">
        <v>228</v>
      </c>
      <c r="E1642" s="382" t="s">
        <v>17</v>
      </c>
      <c r="F1642" s="385" t="s">
        <v>15</v>
      </c>
      <c r="G1642" s="385" t="s">
        <v>41</v>
      </c>
      <c r="H1642" s="386">
        <v>11.8</v>
      </c>
      <c r="I1642" s="387">
        <v>8.25</v>
      </c>
      <c r="J1642" s="19">
        <v>0</v>
      </c>
      <c r="K1642" s="13">
        <v>0</v>
      </c>
      <c r="L1642" s="7" t="s">
        <v>483</v>
      </c>
      <c r="M1642" s="372"/>
      <c r="N1642" s="111"/>
    </row>
    <row r="1643" spans="1:14">
      <c r="A1643" s="7"/>
      <c r="B1643" s="381" t="s">
        <v>280</v>
      </c>
      <c r="C1643" s="3" t="s">
        <v>232</v>
      </c>
      <c r="D1643" s="2" t="s">
        <v>228</v>
      </c>
      <c r="E1643" s="382" t="s">
        <v>17</v>
      </c>
      <c r="F1643" s="385" t="s">
        <v>15</v>
      </c>
      <c r="G1643" s="385" t="s">
        <v>41</v>
      </c>
      <c r="H1643" s="386">
        <v>11.8</v>
      </c>
      <c r="I1643" s="387">
        <v>10.5</v>
      </c>
      <c r="J1643" s="19">
        <v>0</v>
      </c>
      <c r="K1643" s="13">
        <v>0</v>
      </c>
      <c r="L1643" s="7" t="s">
        <v>483</v>
      </c>
      <c r="M1643" s="372">
        <v>1</v>
      </c>
      <c r="N1643" s="111">
        <v>5</v>
      </c>
    </row>
    <row r="1644" spans="1:14">
      <c r="A1644" s="7"/>
      <c r="B1644" s="381" t="s">
        <v>280</v>
      </c>
      <c r="C1644" s="3" t="s">
        <v>232</v>
      </c>
      <c r="D1644" s="2" t="s">
        <v>228</v>
      </c>
      <c r="E1644" s="382" t="s">
        <v>17</v>
      </c>
      <c r="F1644" s="385" t="s">
        <v>15</v>
      </c>
      <c r="G1644" s="385" t="s">
        <v>41</v>
      </c>
      <c r="H1644" s="386">
        <v>11.8</v>
      </c>
      <c r="I1644" s="387">
        <v>12</v>
      </c>
      <c r="J1644" s="19">
        <v>0</v>
      </c>
      <c r="K1644" s="13">
        <v>0</v>
      </c>
      <c r="L1644" s="7" t="s">
        <v>483</v>
      </c>
      <c r="M1644" s="372"/>
      <c r="N1644" s="111"/>
    </row>
    <row r="1645" spans="1:14">
      <c r="A1645" s="7"/>
      <c r="B1645" s="381" t="s">
        <v>280</v>
      </c>
      <c r="C1645" s="3" t="s">
        <v>232</v>
      </c>
      <c r="D1645" s="2" t="s">
        <v>228</v>
      </c>
      <c r="E1645" s="382" t="s">
        <v>17</v>
      </c>
      <c r="F1645" s="385" t="s">
        <v>15</v>
      </c>
      <c r="G1645" s="385" t="s">
        <v>41</v>
      </c>
      <c r="H1645" s="386">
        <v>11.8</v>
      </c>
      <c r="I1645" s="387">
        <v>6.2</v>
      </c>
      <c r="J1645" s="19">
        <v>0</v>
      </c>
      <c r="K1645" s="13">
        <v>0</v>
      </c>
      <c r="L1645" s="7" t="s">
        <v>483</v>
      </c>
      <c r="M1645" s="372"/>
      <c r="N1645" s="111"/>
    </row>
    <row r="1646" spans="1:14">
      <c r="A1646" s="7"/>
      <c r="B1646" s="381" t="s">
        <v>280</v>
      </c>
      <c r="C1646" s="3" t="s">
        <v>232</v>
      </c>
      <c r="D1646" s="2" t="s">
        <v>228</v>
      </c>
      <c r="E1646" s="382" t="s">
        <v>17</v>
      </c>
      <c r="F1646" s="385" t="s">
        <v>15</v>
      </c>
      <c r="G1646" s="385" t="s">
        <v>41</v>
      </c>
      <c r="H1646" s="386">
        <v>11.8</v>
      </c>
      <c r="I1646" s="387">
        <v>7.1</v>
      </c>
      <c r="J1646" s="19">
        <v>0</v>
      </c>
      <c r="K1646" s="13">
        <v>0</v>
      </c>
      <c r="L1646" s="7" t="s">
        <v>483</v>
      </c>
      <c r="M1646" s="372"/>
      <c r="N1646" s="111"/>
    </row>
    <row r="1647" spans="1:14">
      <c r="A1647" s="7"/>
      <c r="B1647" s="381" t="s">
        <v>280</v>
      </c>
      <c r="C1647" s="3" t="s">
        <v>232</v>
      </c>
      <c r="D1647" s="2" t="s">
        <v>228</v>
      </c>
      <c r="E1647" s="382" t="s">
        <v>17</v>
      </c>
      <c r="F1647" s="385" t="s">
        <v>15</v>
      </c>
      <c r="G1647" s="385" t="s">
        <v>41</v>
      </c>
      <c r="H1647" s="386">
        <v>11.8</v>
      </c>
      <c r="I1647" s="387">
        <v>7.2</v>
      </c>
      <c r="J1647" s="19">
        <v>0</v>
      </c>
      <c r="K1647" s="13">
        <v>0</v>
      </c>
      <c r="L1647" s="7" t="s">
        <v>483</v>
      </c>
      <c r="M1647" s="372"/>
      <c r="N1647" s="111"/>
    </row>
    <row r="1648" spans="1:14">
      <c r="A1648" s="7"/>
      <c r="B1648" s="381" t="s">
        <v>280</v>
      </c>
      <c r="C1648" s="3" t="s">
        <v>232</v>
      </c>
      <c r="D1648" s="2" t="s">
        <v>228</v>
      </c>
      <c r="E1648" s="382" t="s">
        <v>17</v>
      </c>
      <c r="F1648" s="385" t="s">
        <v>15</v>
      </c>
      <c r="G1648" s="385" t="s">
        <v>41</v>
      </c>
      <c r="H1648" s="386">
        <v>11.8</v>
      </c>
      <c r="I1648" s="387">
        <v>7.4</v>
      </c>
      <c r="J1648" s="19">
        <v>0</v>
      </c>
      <c r="K1648" s="13">
        <v>0</v>
      </c>
      <c r="L1648" s="7" t="s">
        <v>483</v>
      </c>
      <c r="M1648" s="372"/>
      <c r="N1648" s="111"/>
    </row>
    <row r="1649" spans="1:14">
      <c r="A1649" s="7"/>
      <c r="B1649" s="381" t="s">
        <v>280</v>
      </c>
      <c r="C1649" s="3" t="s">
        <v>232</v>
      </c>
      <c r="D1649" s="2" t="s">
        <v>228</v>
      </c>
      <c r="E1649" s="382" t="s">
        <v>17</v>
      </c>
      <c r="F1649" s="385" t="s">
        <v>15</v>
      </c>
      <c r="G1649" s="385" t="s">
        <v>41</v>
      </c>
      <c r="H1649" s="386">
        <v>11.8</v>
      </c>
      <c r="I1649" s="387">
        <v>10.5</v>
      </c>
      <c r="J1649" s="19">
        <v>0</v>
      </c>
      <c r="K1649" s="13">
        <v>0</v>
      </c>
      <c r="L1649" s="7" t="s">
        <v>483</v>
      </c>
      <c r="M1649" s="372"/>
      <c r="N1649" s="111"/>
    </row>
    <row r="1650" spans="1:14">
      <c r="A1650" s="7"/>
      <c r="B1650" s="381" t="s">
        <v>280</v>
      </c>
      <c r="C1650" s="3" t="s">
        <v>232</v>
      </c>
      <c r="D1650" s="2" t="s">
        <v>228</v>
      </c>
      <c r="E1650" s="382" t="s">
        <v>17</v>
      </c>
      <c r="F1650" s="385" t="s">
        <v>15</v>
      </c>
      <c r="G1650" s="385" t="s">
        <v>41</v>
      </c>
      <c r="H1650" s="386">
        <v>11.8</v>
      </c>
      <c r="I1650" s="387">
        <v>11</v>
      </c>
      <c r="J1650" s="19">
        <v>0</v>
      </c>
      <c r="K1650" s="13">
        <v>0</v>
      </c>
      <c r="L1650" s="7" t="s">
        <v>483</v>
      </c>
      <c r="M1650" s="372"/>
      <c r="N1650" s="111"/>
    </row>
    <row r="1651" spans="1:14">
      <c r="A1651" s="7"/>
      <c r="B1651" s="381" t="s">
        <v>280</v>
      </c>
      <c r="C1651" s="3" t="s">
        <v>232</v>
      </c>
      <c r="D1651" s="2" t="s">
        <v>228</v>
      </c>
      <c r="E1651" s="382" t="s">
        <v>17</v>
      </c>
      <c r="F1651" s="385" t="s">
        <v>15</v>
      </c>
      <c r="G1651" s="385" t="s">
        <v>41</v>
      </c>
      <c r="H1651" s="386">
        <v>11.8</v>
      </c>
      <c r="I1651" s="387">
        <v>11.2</v>
      </c>
      <c r="J1651" s="19">
        <v>6</v>
      </c>
      <c r="K1651" s="13">
        <v>0.79295999999999989</v>
      </c>
      <c r="L1651" s="7" t="s">
        <v>483</v>
      </c>
      <c r="M1651" s="372"/>
      <c r="N1651" s="111"/>
    </row>
    <row r="1652" spans="1:14">
      <c r="A1652" s="7"/>
      <c r="B1652" s="381" t="s">
        <v>280</v>
      </c>
      <c r="C1652" s="3" t="s">
        <v>232</v>
      </c>
      <c r="D1652" s="2" t="s">
        <v>228</v>
      </c>
      <c r="E1652" s="382" t="s">
        <v>17</v>
      </c>
      <c r="F1652" s="385" t="s">
        <v>15</v>
      </c>
      <c r="G1652" s="385" t="s">
        <v>41</v>
      </c>
      <c r="H1652" s="386">
        <v>11.8</v>
      </c>
      <c r="I1652" s="387">
        <v>12</v>
      </c>
      <c r="J1652" s="19">
        <v>0</v>
      </c>
      <c r="K1652" s="13">
        <v>0</v>
      </c>
      <c r="L1652" s="7" t="s">
        <v>483</v>
      </c>
      <c r="M1652" s="372"/>
      <c r="N1652" s="111"/>
    </row>
    <row r="1653" spans="1:14">
      <c r="A1653" s="7"/>
      <c r="B1653" s="381" t="s">
        <v>280</v>
      </c>
      <c r="C1653" s="3" t="s">
        <v>232</v>
      </c>
      <c r="D1653" s="2" t="s">
        <v>228</v>
      </c>
      <c r="E1653" s="382" t="s">
        <v>17</v>
      </c>
      <c r="F1653" s="385" t="s">
        <v>15</v>
      </c>
      <c r="G1653" s="385" t="s">
        <v>41</v>
      </c>
      <c r="H1653" s="386">
        <v>11.8</v>
      </c>
      <c r="I1653" s="387">
        <v>10.199999999999999</v>
      </c>
      <c r="J1653" s="19">
        <v>0</v>
      </c>
      <c r="K1653" s="13">
        <v>0</v>
      </c>
      <c r="L1653" s="7" t="s">
        <v>483</v>
      </c>
      <c r="M1653" s="372">
        <v>2</v>
      </c>
      <c r="N1653" s="111"/>
    </row>
    <row r="1654" spans="1:14">
      <c r="A1654" s="7"/>
      <c r="B1654" s="381" t="s">
        <v>280</v>
      </c>
      <c r="C1654" s="3" t="s">
        <v>232</v>
      </c>
      <c r="D1654" s="2" t="s">
        <v>228</v>
      </c>
      <c r="E1654" s="382" t="s">
        <v>17</v>
      </c>
      <c r="F1654" s="385" t="s">
        <v>15</v>
      </c>
      <c r="G1654" s="385" t="s">
        <v>41</v>
      </c>
      <c r="H1654" s="386">
        <v>11.8</v>
      </c>
      <c r="I1654" s="387">
        <v>10</v>
      </c>
      <c r="J1654" s="19">
        <v>0</v>
      </c>
      <c r="K1654" s="13">
        <v>0</v>
      </c>
      <c r="L1654" s="7" t="s">
        <v>483</v>
      </c>
      <c r="M1654" s="372">
        <v>2</v>
      </c>
      <c r="N1654" s="111"/>
    </row>
    <row r="1655" spans="1:14">
      <c r="A1655" s="7"/>
      <c r="B1655" s="381" t="s">
        <v>280</v>
      </c>
      <c r="C1655" s="3" t="s">
        <v>232</v>
      </c>
      <c r="D1655" s="2" t="s">
        <v>228</v>
      </c>
      <c r="E1655" s="382" t="s">
        <v>17</v>
      </c>
      <c r="F1655" s="385" t="s">
        <v>15</v>
      </c>
      <c r="G1655" s="385" t="s">
        <v>41</v>
      </c>
      <c r="H1655" s="386">
        <v>11.8</v>
      </c>
      <c r="I1655" s="387">
        <v>9.5</v>
      </c>
      <c r="J1655" s="19">
        <v>0</v>
      </c>
      <c r="K1655" s="13">
        <v>0</v>
      </c>
      <c r="L1655" s="7" t="s">
        <v>483</v>
      </c>
      <c r="M1655" s="372">
        <v>2</v>
      </c>
      <c r="N1655" s="111"/>
    </row>
    <row r="1656" spans="1:14">
      <c r="A1656" s="7"/>
      <c r="B1656" s="381" t="s">
        <v>280</v>
      </c>
      <c r="C1656" s="3" t="s">
        <v>232</v>
      </c>
      <c r="D1656" s="2" t="s">
        <v>228</v>
      </c>
      <c r="E1656" s="382" t="s">
        <v>17</v>
      </c>
      <c r="F1656" s="385" t="s">
        <v>15</v>
      </c>
      <c r="G1656" s="385" t="s">
        <v>41</v>
      </c>
      <c r="H1656" s="386">
        <v>11.8</v>
      </c>
      <c r="I1656" s="387">
        <v>7.6</v>
      </c>
      <c r="J1656" s="19">
        <v>0</v>
      </c>
      <c r="K1656" s="13">
        <v>0</v>
      </c>
      <c r="L1656" s="7" t="s">
        <v>483</v>
      </c>
      <c r="M1656" s="372"/>
      <c r="N1656" s="111"/>
    </row>
    <row r="1657" spans="1:14">
      <c r="A1657" s="7"/>
      <c r="B1657" s="381" t="s">
        <v>280</v>
      </c>
      <c r="C1657" s="3" t="s">
        <v>232</v>
      </c>
      <c r="D1657" s="2" t="s">
        <v>228</v>
      </c>
      <c r="E1657" s="382" t="s">
        <v>17</v>
      </c>
      <c r="F1657" s="385" t="s">
        <v>15</v>
      </c>
      <c r="G1657" s="385" t="s">
        <v>41</v>
      </c>
      <c r="H1657" s="386">
        <v>11.8</v>
      </c>
      <c r="I1657" s="387">
        <v>10</v>
      </c>
      <c r="J1657" s="19">
        <v>0</v>
      </c>
      <c r="K1657" s="13">
        <v>0</v>
      </c>
      <c r="L1657" s="7" t="s">
        <v>483</v>
      </c>
      <c r="M1657" s="372">
        <v>2</v>
      </c>
      <c r="N1657" s="111"/>
    </row>
    <row r="1658" spans="1:14">
      <c r="A1658" s="7"/>
      <c r="B1658" s="381" t="s">
        <v>280</v>
      </c>
      <c r="C1658" s="3" t="s">
        <v>232</v>
      </c>
      <c r="D1658" s="2" t="s">
        <v>228</v>
      </c>
      <c r="E1658" s="382" t="s">
        <v>17</v>
      </c>
      <c r="F1658" s="385" t="s">
        <v>15</v>
      </c>
      <c r="G1658" s="385" t="s">
        <v>41</v>
      </c>
      <c r="H1658" s="386">
        <v>11.8</v>
      </c>
      <c r="I1658" s="387">
        <v>11.2</v>
      </c>
      <c r="J1658" s="19">
        <v>2</v>
      </c>
      <c r="K1658" s="13">
        <v>0.26432</v>
      </c>
      <c r="L1658" s="7" t="s">
        <v>483</v>
      </c>
      <c r="M1658" s="372"/>
      <c r="N1658" s="111"/>
    </row>
    <row r="1659" spans="1:14">
      <c r="A1659" s="7"/>
      <c r="B1659" s="381" t="s">
        <v>303</v>
      </c>
      <c r="C1659" s="3" t="s">
        <v>232</v>
      </c>
      <c r="D1659" s="2" t="s">
        <v>228</v>
      </c>
      <c r="E1659" s="382" t="s">
        <v>17</v>
      </c>
      <c r="F1659" s="385" t="s">
        <v>15</v>
      </c>
      <c r="G1659" s="385" t="s">
        <v>41</v>
      </c>
      <c r="H1659" s="386">
        <v>11.8</v>
      </c>
      <c r="I1659" s="387">
        <v>7.6</v>
      </c>
      <c r="J1659" s="19">
        <v>0</v>
      </c>
      <c r="K1659" s="13">
        <v>0</v>
      </c>
      <c r="L1659" s="7" t="s">
        <v>483</v>
      </c>
      <c r="M1659" s="372"/>
      <c r="N1659" s="111"/>
    </row>
    <row r="1660" spans="1:14">
      <c r="A1660" s="7"/>
      <c r="B1660" s="381" t="s">
        <v>303</v>
      </c>
      <c r="C1660" s="3" t="s">
        <v>232</v>
      </c>
      <c r="D1660" s="2" t="s">
        <v>228</v>
      </c>
      <c r="E1660" s="382" t="s">
        <v>17</v>
      </c>
      <c r="F1660" s="385" t="s">
        <v>15</v>
      </c>
      <c r="G1660" s="385" t="s">
        <v>41</v>
      </c>
      <c r="H1660" s="386">
        <v>11.8</v>
      </c>
      <c r="I1660" s="387">
        <v>8.1</v>
      </c>
      <c r="J1660" s="19">
        <v>0</v>
      </c>
      <c r="K1660" s="13">
        <v>0</v>
      </c>
      <c r="L1660" s="7" t="s">
        <v>483</v>
      </c>
      <c r="M1660" s="372">
        <v>6</v>
      </c>
      <c r="N1660" s="111"/>
    </row>
    <row r="1661" spans="1:14">
      <c r="A1661" s="7"/>
      <c r="B1661" s="381" t="s">
        <v>303</v>
      </c>
      <c r="C1661" s="3" t="s">
        <v>232</v>
      </c>
      <c r="D1661" s="2" t="s">
        <v>228</v>
      </c>
      <c r="E1661" s="382" t="s">
        <v>17</v>
      </c>
      <c r="F1661" s="385" t="s">
        <v>15</v>
      </c>
      <c r="G1661" s="385" t="s">
        <v>41</v>
      </c>
      <c r="H1661" s="386">
        <v>11.8</v>
      </c>
      <c r="I1661" s="387">
        <v>8.25</v>
      </c>
      <c r="J1661" s="19">
        <v>0</v>
      </c>
      <c r="K1661" s="13">
        <v>0</v>
      </c>
      <c r="L1661" s="7" t="s">
        <v>483</v>
      </c>
      <c r="M1661" s="372"/>
      <c r="N1661" s="111"/>
    </row>
    <row r="1662" spans="1:14">
      <c r="A1662" s="7"/>
      <c r="B1662" s="381" t="s">
        <v>303</v>
      </c>
      <c r="C1662" s="3" t="s">
        <v>232</v>
      </c>
      <c r="D1662" s="2" t="s">
        <v>228</v>
      </c>
      <c r="E1662" s="382" t="s">
        <v>17</v>
      </c>
      <c r="F1662" s="385" t="s">
        <v>15</v>
      </c>
      <c r="G1662" s="385" t="s">
        <v>41</v>
      </c>
      <c r="H1662" s="386">
        <v>11.8</v>
      </c>
      <c r="I1662" s="387">
        <v>10.5</v>
      </c>
      <c r="J1662" s="19">
        <v>0</v>
      </c>
      <c r="K1662" s="13">
        <v>0</v>
      </c>
      <c r="L1662" s="7" t="s">
        <v>483</v>
      </c>
      <c r="M1662" s="372">
        <v>1</v>
      </c>
      <c r="N1662" s="111"/>
    </row>
    <row r="1663" spans="1:14">
      <c r="A1663" s="7"/>
      <c r="B1663" s="381" t="s">
        <v>303</v>
      </c>
      <c r="C1663" s="3" t="s">
        <v>232</v>
      </c>
      <c r="D1663" s="2" t="s">
        <v>228</v>
      </c>
      <c r="E1663" s="382" t="s">
        <v>17</v>
      </c>
      <c r="F1663" s="385" t="s">
        <v>15</v>
      </c>
      <c r="G1663" s="385" t="s">
        <v>41</v>
      </c>
      <c r="H1663" s="386">
        <v>11.8</v>
      </c>
      <c r="I1663" s="387">
        <v>12</v>
      </c>
      <c r="J1663" s="19">
        <v>0</v>
      </c>
      <c r="K1663" s="13">
        <v>0</v>
      </c>
      <c r="L1663" s="7" t="s">
        <v>483</v>
      </c>
      <c r="M1663" s="372"/>
      <c r="N1663" s="111"/>
    </row>
    <row r="1664" spans="1:14">
      <c r="A1664" s="7"/>
      <c r="B1664" s="381" t="s">
        <v>303</v>
      </c>
      <c r="C1664" s="3" t="s">
        <v>232</v>
      </c>
      <c r="D1664" s="2" t="s">
        <v>228</v>
      </c>
      <c r="E1664" s="382" t="s">
        <v>17</v>
      </c>
      <c r="F1664" s="385" t="s">
        <v>15</v>
      </c>
      <c r="G1664" s="385" t="s">
        <v>41</v>
      </c>
      <c r="H1664" s="386">
        <v>11.8</v>
      </c>
      <c r="I1664" s="387">
        <v>7.1</v>
      </c>
      <c r="J1664" s="19">
        <v>0</v>
      </c>
      <c r="K1664" s="13">
        <v>0</v>
      </c>
      <c r="L1664" s="7" t="s">
        <v>483</v>
      </c>
      <c r="M1664" s="372"/>
      <c r="N1664" s="111"/>
    </row>
    <row r="1665" spans="1:14">
      <c r="A1665" s="7"/>
      <c r="B1665" s="381" t="s">
        <v>303</v>
      </c>
      <c r="C1665" s="3" t="s">
        <v>232</v>
      </c>
      <c r="D1665" s="2" t="s">
        <v>228</v>
      </c>
      <c r="E1665" s="382" t="s">
        <v>17</v>
      </c>
      <c r="F1665" s="385" t="s">
        <v>15</v>
      </c>
      <c r="G1665" s="385" t="s">
        <v>41</v>
      </c>
      <c r="H1665" s="386">
        <v>11.8</v>
      </c>
      <c r="I1665" s="387">
        <v>7.2</v>
      </c>
      <c r="J1665" s="19">
        <v>0</v>
      </c>
      <c r="K1665" s="13">
        <v>0</v>
      </c>
      <c r="L1665" s="7" t="s">
        <v>483</v>
      </c>
      <c r="M1665" s="372"/>
      <c r="N1665" s="111"/>
    </row>
    <row r="1666" spans="1:14">
      <c r="A1666" s="7"/>
      <c r="B1666" s="381" t="s">
        <v>303</v>
      </c>
      <c r="C1666" s="3" t="s">
        <v>232</v>
      </c>
      <c r="D1666" s="2" t="s">
        <v>228</v>
      </c>
      <c r="E1666" s="382" t="s">
        <v>17</v>
      </c>
      <c r="F1666" s="385" t="s">
        <v>15</v>
      </c>
      <c r="G1666" s="385" t="s">
        <v>41</v>
      </c>
      <c r="H1666" s="386">
        <v>11.8</v>
      </c>
      <c r="I1666" s="387">
        <v>7.4</v>
      </c>
      <c r="J1666" s="19">
        <v>0</v>
      </c>
      <c r="K1666" s="13">
        <v>0</v>
      </c>
      <c r="L1666" s="7" t="s">
        <v>483</v>
      </c>
      <c r="M1666" s="372"/>
      <c r="N1666" s="111"/>
    </row>
    <row r="1667" spans="1:14">
      <c r="A1667" s="7"/>
      <c r="B1667" s="381" t="s">
        <v>303</v>
      </c>
      <c r="C1667" s="3" t="s">
        <v>232</v>
      </c>
      <c r="D1667" s="2" t="s">
        <v>228</v>
      </c>
      <c r="E1667" s="382" t="s">
        <v>17</v>
      </c>
      <c r="F1667" s="385" t="s">
        <v>15</v>
      </c>
      <c r="G1667" s="385" t="s">
        <v>41</v>
      </c>
      <c r="H1667" s="386">
        <v>11.8</v>
      </c>
      <c r="I1667" s="387">
        <v>11</v>
      </c>
      <c r="J1667" s="19">
        <v>0</v>
      </c>
      <c r="K1667" s="13">
        <v>0</v>
      </c>
      <c r="L1667" s="7" t="s">
        <v>483</v>
      </c>
      <c r="M1667" s="372"/>
      <c r="N1667" s="111"/>
    </row>
    <row r="1668" spans="1:14">
      <c r="A1668" s="7"/>
      <c r="B1668" s="381" t="s">
        <v>303</v>
      </c>
      <c r="C1668" s="3" t="s">
        <v>232</v>
      </c>
      <c r="D1668" s="2" t="s">
        <v>228</v>
      </c>
      <c r="E1668" s="382" t="s">
        <v>17</v>
      </c>
      <c r="F1668" s="385" t="s">
        <v>15</v>
      </c>
      <c r="G1668" s="385" t="s">
        <v>41</v>
      </c>
      <c r="H1668" s="386">
        <v>11.8</v>
      </c>
      <c r="I1668" s="387">
        <v>11.2</v>
      </c>
      <c r="J1668" s="19">
        <v>0</v>
      </c>
      <c r="K1668" s="13">
        <v>0</v>
      </c>
      <c r="L1668" s="7" t="s">
        <v>483</v>
      </c>
      <c r="M1668" s="372"/>
      <c r="N1668" s="111"/>
    </row>
    <row r="1669" spans="1:14">
      <c r="A1669" s="7"/>
      <c r="B1669" s="381" t="s">
        <v>303</v>
      </c>
      <c r="C1669" s="3" t="s">
        <v>232</v>
      </c>
      <c r="D1669" s="2" t="s">
        <v>228</v>
      </c>
      <c r="E1669" s="382" t="s">
        <v>17</v>
      </c>
      <c r="F1669" s="385" t="s">
        <v>15</v>
      </c>
      <c r="G1669" s="385" t="s">
        <v>41</v>
      </c>
      <c r="H1669" s="386">
        <v>11.8</v>
      </c>
      <c r="I1669" s="387">
        <v>12</v>
      </c>
      <c r="J1669" s="19">
        <v>0</v>
      </c>
      <c r="K1669" s="13">
        <v>0</v>
      </c>
      <c r="L1669" s="7" t="s">
        <v>483</v>
      </c>
      <c r="M1669" s="372"/>
      <c r="N1669" s="111"/>
    </row>
    <row r="1670" spans="1:14">
      <c r="A1670" s="7"/>
      <c r="B1670" s="381" t="s">
        <v>303</v>
      </c>
      <c r="C1670" s="3" t="s">
        <v>232</v>
      </c>
      <c r="D1670" s="2" t="s">
        <v>228</v>
      </c>
      <c r="E1670" s="382" t="s">
        <v>17</v>
      </c>
      <c r="F1670" s="385" t="s">
        <v>15</v>
      </c>
      <c r="G1670" s="385" t="s">
        <v>41</v>
      </c>
      <c r="H1670" s="386">
        <v>11.8</v>
      </c>
      <c r="I1670" s="387">
        <v>10.199999999999999</v>
      </c>
      <c r="J1670" s="19">
        <v>0</v>
      </c>
      <c r="K1670" s="13">
        <v>0</v>
      </c>
      <c r="L1670" s="7" t="s">
        <v>483</v>
      </c>
      <c r="M1670" s="372">
        <v>2</v>
      </c>
      <c r="N1670" s="111"/>
    </row>
    <row r="1671" spans="1:14">
      <c r="A1671" s="7"/>
      <c r="B1671" s="381" t="s">
        <v>303</v>
      </c>
      <c r="C1671" s="3" t="s">
        <v>232</v>
      </c>
      <c r="D1671" s="2" t="s">
        <v>228</v>
      </c>
      <c r="E1671" s="382" t="s">
        <v>17</v>
      </c>
      <c r="F1671" s="385" t="s">
        <v>15</v>
      </c>
      <c r="G1671" s="385" t="s">
        <v>41</v>
      </c>
      <c r="H1671" s="386">
        <v>11.8</v>
      </c>
      <c r="I1671" s="387">
        <v>10</v>
      </c>
      <c r="J1671" s="19">
        <v>0</v>
      </c>
      <c r="K1671" s="13">
        <v>0</v>
      </c>
      <c r="L1671" s="7" t="s">
        <v>483</v>
      </c>
      <c r="M1671" s="372">
        <v>2</v>
      </c>
      <c r="N1671" s="111"/>
    </row>
    <row r="1672" spans="1:14">
      <c r="A1672" s="7"/>
      <c r="B1672" s="381" t="s">
        <v>303</v>
      </c>
      <c r="C1672" s="3" t="s">
        <v>232</v>
      </c>
      <c r="D1672" s="2" t="s">
        <v>228</v>
      </c>
      <c r="E1672" s="382" t="s">
        <v>17</v>
      </c>
      <c r="F1672" s="385" t="s">
        <v>15</v>
      </c>
      <c r="G1672" s="385" t="s">
        <v>41</v>
      </c>
      <c r="H1672" s="386">
        <v>11.8</v>
      </c>
      <c r="I1672" s="387">
        <v>9.5</v>
      </c>
      <c r="J1672" s="19">
        <v>0</v>
      </c>
      <c r="K1672" s="13">
        <v>0</v>
      </c>
      <c r="L1672" s="7" t="s">
        <v>483</v>
      </c>
      <c r="M1672" s="372">
        <v>2</v>
      </c>
      <c r="N1672" s="111"/>
    </row>
    <row r="1673" spans="1:14">
      <c r="A1673" s="7"/>
      <c r="B1673" s="381" t="s">
        <v>303</v>
      </c>
      <c r="C1673" s="3" t="s">
        <v>232</v>
      </c>
      <c r="D1673" s="2" t="s">
        <v>228</v>
      </c>
      <c r="E1673" s="382" t="s">
        <v>17</v>
      </c>
      <c r="F1673" s="385" t="s">
        <v>15</v>
      </c>
      <c r="G1673" s="385" t="s">
        <v>41</v>
      </c>
      <c r="H1673" s="386">
        <v>11.8</v>
      </c>
      <c r="I1673" s="387">
        <v>7.6</v>
      </c>
      <c r="J1673" s="19">
        <v>0</v>
      </c>
      <c r="K1673" s="13">
        <v>0</v>
      </c>
      <c r="L1673" s="7" t="s">
        <v>483</v>
      </c>
      <c r="M1673" s="372"/>
      <c r="N1673" s="111"/>
    </row>
    <row r="1674" spans="1:14">
      <c r="A1674" s="7"/>
      <c r="B1674" s="381" t="s">
        <v>303</v>
      </c>
      <c r="C1674" s="3" t="s">
        <v>232</v>
      </c>
      <c r="D1674" s="2" t="s">
        <v>228</v>
      </c>
      <c r="E1674" s="382" t="s">
        <v>17</v>
      </c>
      <c r="F1674" s="385" t="s">
        <v>15</v>
      </c>
      <c r="G1674" s="385" t="s">
        <v>41</v>
      </c>
      <c r="H1674" s="386">
        <v>11.8</v>
      </c>
      <c r="I1674" s="387">
        <v>10</v>
      </c>
      <c r="J1674" s="19">
        <v>0</v>
      </c>
      <c r="K1674" s="13">
        <v>0</v>
      </c>
      <c r="L1674" s="7" t="s">
        <v>483</v>
      </c>
      <c r="M1674" s="372">
        <v>2</v>
      </c>
      <c r="N1674" s="111"/>
    </row>
    <row r="1675" spans="1:14">
      <c r="A1675" s="7"/>
      <c r="B1675" s="381" t="s">
        <v>303</v>
      </c>
      <c r="C1675" s="3" t="s">
        <v>232</v>
      </c>
      <c r="D1675" s="2" t="s">
        <v>228</v>
      </c>
      <c r="E1675" s="382" t="s">
        <v>17</v>
      </c>
      <c r="F1675" s="385" t="s">
        <v>15</v>
      </c>
      <c r="G1675" s="385" t="s">
        <v>41</v>
      </c>
      <c r="H1675" s="386">
        <v>11.8</v>
      </c>
      <c r="I1675" s="387">
        <v>11.2</v>
      </c>
      <c r="J1675" s="19">
        <v>2</v>
      </c>
      <c r="K1675" s="13">
        <v>0.26432</v>
      </c>
      <c r="L1675" s="7" t="s">
        <v>483</v>
      </c>
      <c r="M1675" s="372"/>
      <c r="N1675" s="111"/>
    </row>
    <row r="1676" spans="1:14">
      <c r="A1676" s="7"/>
      <c r="B1676" s="381" t="s">
        <v>303</v>
      </c>
      <c r="C1676" s="3" t="s">
        <v>232</v>
      </c>
      <c r="D1676" s="2" t="s">
        <v>228</v>
      </c>
      <c r="E1676" s="382" t="s">
        <v>17</v>
      </c>
      <c r="F1676" s="385" t="s">
        <v>15</v>
      </c>
      <c r="G1676" s="385" t="s">
        <v>44</v>
      </c>
      <c r="H1676" s="386">
        <v>13.4</v>
      </c>
      <c r="I1676" s="387">
        <v>7.5</v>
      </c>
      <c r="J1676" s="19">
        <v>0</v>
      </c>
      <c r="K1676" s="13">
        <v>0</v>
      </c>
      <c r="L1676" s="7" t="s">
        <v>483</v>
      </c>
      <c r="M1676" s="372"/>
      <c r="N1676" s="111"/>
    </row>
    <row r="1677" spans="1:14">
      <c r="A1677" s="7"/>
      <c r="B1677" s="381" t="s">
        <v>303</v>
      </c>
      <c r="C1677" s="3" t="s">
        <v>232</v>
      </c>
      <c r="D1677" s="2" t="s">
        <v>228</v>
      </c>
      <c r="E1677" s="382" t="s">
        <v>17</v>
      </c>
      <c r="F1677" s="385" t="s">
        <v>15</v>
      </c>
      <c r="G1677" s="385" t="s">
        <v>44</v>
      </c>
      <c r="H1677" s="386">
        <v>13.4</v>
      </c>
      <c r="I1677" s="387">
        <v>10.5</v>
      </c>
      <c r="J1677" s="19">
        <v>0</v>
      </c>
      <c r="K1677" s="13">
        <v>0</v>
      </c>
      <c r="L1677" s="7" t="s">
        <v>483</v>
      </c>
      <c r="M1677" s="372"/>
      <c r="N1677" s="111"/>
    </row>
    <row r="1678" spans="1:14">
      <c r="A1678" s="7"/>
      <c r="B1678" s="381" t="s">
        <v>303</v>
      </c>
      <c r="C1678" s="3" t="s">
        <v>232</v>
      </c>
      <c r="D1678" s="2" t="s">
        <v>228</v>
      </c>
      <c r="E1678" s="382" t="s">
        <v>17</v>
      </c>
      <c r="F1678" s="385" t="s">
        <v>15</v>
      </c>
      <c r="G1678" s="385" t="s">
        <v>44</v>
      </c>
      <c r="H1678" s="386">
        <v>13.4</v>
      </c>
      <c r="I1678" s="387">
        <v>12</v>
      </c>
      <c r="J1678" s="19">
        <v>1</v>
      </c>
      <c r="K1678" s="13">
        <v>0.1608</v>
      </c>
      <c r="L1678" s="7" t="s">
        <v>483</v>
      </c>
      <c r="M1678" s="372"/>
      <c r="N1678" s="111"/>
    </row>
    <row r="1679" spans="1:14">
      <c r="A1679" s="7"/>
      <c r="B1679" s="381" t="s">
        <v>303</v>
      </c>
      <c r="C1679" s="3" t="s">
        <v>232</v>
      </c>
      <c r="D1679" s="2" t="s">
        <v>228</v>
      </c>
      <c r="E1679" s="382" t="s">
        <v>17</v>
      </c>
      <c r="F1679" s="385" t="s">
        <v>15</v>
      </c>
      <c r="G1679" s="385" t="s">
        <v>44</v>
      </c>
      <c r="H1679" s="386">
        <v>13.4</v>
      </c>
      <c r="I1679" s="387">
        <v>7.8</v>
      </c>
      <c r="J1679" s="19">
        <v>0</v>
      </c>
      <c r="K1679" s="13">
        <v>0</v>
      </c>
      <c r="L1679" s="7" t="s">
        <v>483</v>
      </c>
      <c r="M1679" s="372"/>
      <c r="N1679" s="111"/>
    </row>
    <row r="1680" spans="1:14">
      <c r="A1680" s="7"/>
      <c r="B1680" s="381" t="s">
        <v>303</v>
      </c>
      <c r="C1680" s="3" t="s">
        <v>232</v>
      </c>
      <c r="D1680" s="2" t="s">
        <v>228</v>
      </c>
      <c r="E1680" s="382" t="s">
        <v>17</v>
      </c>
      <c r="F1680" s="385" t="s">
        <v>15</v>
      </c>
      <c r="G1680" s="385" t="s">
        <v>44</v>
      </c>
      <c r="H1680" s="386">
        <v>13.4</v>
      </c>
      <c r="I1680" s="387">
        <v>8.6</v>
      </c>
      <c r="J1680" s="19">
        <v>0</v>
      </c>
      <c r="K1680" s="13">
        <v>0</v>
      </c>
      <c r="L1680" s="7" t="s">
        <v>483</v>
      </c>
      <c r="M1680" s="372"/>
      <c r="N1680" s="111"/>
    </row>
    <row r="1681" spans="1:14">
      <c r="A1681" s="7"/>
      <c r="B1681" s="381" t="s">
        <v>303</v>
      </c>
      <c r="C1681" s="3" t="s">
        <v>232</v>
      </c>
      <c r="D1681" s="2" t="s">
        <v>228</v>
      </c>
      <c r="E1681" s="382" t="s">
        <v>17</v>
      </c>
      <c r="F1681" s="385" t="s">
        <v>15</v>
      </c>
      <c r="G1681" s="385" t="s">
        <v>44</v>
      </c>
      <c r="H1681" s="386">
        <v>13.4</v>
      </c>
      <c r="I1681" s="387">
        <v>11.8</v>
      </c>
      <c r="J1681" s="19">
        <v>0</v>
      </c>
      <c r="K1681" s="13">
        <v>0</v>
      </c>
      <c r="L1681" s="7" t="s">
        <v>483</v>
      </c>
      <c r="M1681" s="372"/>
      <c r="N1681" s="111"/>
    </row>
    <row r="1682" spans="1:14">
      <c r="A1682" s="7"/>
      <c r="B1682" s="381" t="s">
        <v>303</v>
      </c>
      <c r="C1682" s="3" t="s">
        <v>232</v>
      </c>
      <c r="D1682" s="2" t="s">
        <v>228</v>
      </c>
      <c r="E1682" s="382" t="s">
        <v>17</v>
      </c>
      <c r="F1682" s="385" t="s">
        <v>15</v>
      </c>
      <c r="G1682" s="385" t="s">
        <v>44</v>
      </c>
      <c r="H1682" s="386">
        <v>13.4</v>
      </c>
      <c r="I1682" s="387">
        <v>11.9</v>
      </c>
      <c r="J1682" s="19">
        <v>0</v>
      </c>
      <c r="K1682" s="13">
        <v>0</v>
      </c>
      <c r="L1682" s="7" t="s">
        <v>483</v>
      </c>
      <c r="M1682" s="372"/>
      <c r="N1682" s="111"/>
    </row>
    <row r="1683" spans="1:14">
      <c r="A1683" s="7"/>
      <c r="B1683" s="381" t="s">
        <v>303</v>
      </c>
      <c r="C1683" s="3" t="s">
        <v>232</v>
      </c>
      <c r="D1683" s="2" t="s">
        <v>228</v>
      </c>
      <c r="E1683" s="382" t="s">
        <v>17</v>
      </c>
      <c r="F1683" s="385" t="s">
        <v>15</v>
      </c>
      <c r="G1683" s="385" t="s">
        <v>44</v>
      </c>
      <c r="H1683" s="386">
        <v>13.4</v>
      </c>
      <c r="I1683" s="387">
        <v>10</v>
      </c>
      <c r="J1683" s="19">
        <v>0</v>
      </c>
      <c r="K1683" s="13">
        <v>0</v>
      </c>
      <c r="L1683" s="7" t="s">
        <v>483</v>
      </c>
      <c r="M1683" s="372">
        <v>2</v>
      </c>
      <c r="N1683" s="111"/>
    </row>
    <row r="1684" spans="1:14">
      <c r="A1684" s="7"/>
      <c r="B1684" s="381" t="s">
        <v>303</v>
      </c>
      <c r="C1684" s="3" t="s">
        <v>232</v>
      </c>
      <c r="D1684" s="2" t="s">
        <v>228</v>
      </c>
      <c r="E1684" s="382" t="s">
        <v>17</v>
      </c>
      <c r="F1684" s="385" t="s">
        <v>15</v>
      </c>
      <c r="G1684" s="385" t="s">
        <v>44</v>
      </c>
      <c r="H1684" s="386">
        <v>13.4</v>
      </c>
      <c r="I1684" s="387">
        <v>12</v>
      </c>
      <c r="J1684" s="19">
        <v>2</v>
      </c>
      <c r="K1684" s="13">
        <v>0.3216</v>
      </c>
      <c r="L1684" s="7" t="s">
        <v>483</v>
      </c>
      <c r="M1684" s="372"/>
      <c r="N1684" s="111"/>
    </row>
    <row r="1685" spans="1:14">
      <c r="A1685" s="7"/>
      <c r="B1685" s="381" t="s">
        <v>303</v>
      </c>
      <c r="C1685" s="3" t="s">
        <v>232</v>
      </c>
      <c r="D1685" s="2" t="s">
        <v>228</v>
      </c>
      <c r="E1685" s="382" t="s">
        <v>17</v>
      </c>
      <c r="F1685" s="385" t="s">
        <v>15</v>
      </c>
      <c r="G1685" s="385" t="s">
        <v>44</v>
      </c>
      <c r="H1685" s="386">
        <v>13.4</v>
      </c>
      <c r="I1685" s="387">
        <v>11.6</v>
      </c>
      <c r="J1685" s="19">
        <v>1</v>
      </c>
      <c r="K1685" s="13">
        <v>0.15543999999999999</v>
      </c>
      <c r="L1685" s="7" t="s">
        <v>483</v>
      </c>
      <c r="M1685" s="372"/>
      <c r="N1685" s="111"/>
    </row>
    <row r="1686" spans="1:14">
      <c r="A1686" s="7"/>
      <c r="B1686" s="381" t="s">
        <v>303</v>
      </c>
      <c r="C1686" s="3" t="s">
        <v>232</v>
      </c>
      <c r="D1686" s="2" t="s">
        <v>228</v>
      </c>
      <c r="E1686" s="382" t="s">
        <v>17</v>
      </c>
      <c r="F1686" s="385" t="s">
        <v>15</v>
      </c>
      <c r="G1686" s="385" t="s">
        <v>44</v>
      </c>
      <c r="H1686" s="386">
        <v>13.4</v>
      </c>
      <c r="I1686" s="387">
        <v>11.5</v>
      </c>
      <c r="J1686" s="19">
        <v>1</v>
      </c>
      <c r="K1686" s="13">
        <v>0.15409999999999999</v>
      </c>
      <c r="L1686" s="7" t="s">
        <v>483</v>
      </c>
      <c r="M1686" s="372"/>
      <c r="N1686" s="111"/>
    </row>
    <row r="1687" spans="1:14">
      <c r="A1687" s="7"/>
      <c r="B1687" s="381" t="s">
        <v>303</v>
      </c>
      <c r="C1687" s="3" t="s">
        <v>232</v>
      </c>
      <c r="D1687" s="2" t="s">
        <v>228</v>
      </c>
      <c r="E1687" s="382" t="s">
        <v>17</v>
      </c>
      <c r="F1687" s="385" t="s">
        <v>15</v>
      </c>
      <c r="G1687" s="385" t="s">
        <v>44</v>
      </c>
      <c r="H1687" s="386">
        <v>13.4</v>
      </c>
      <c r="I1687" s="387">
        <v>10.5</v>
      </c>
      <c r="J1687" s="19">
        <v>1</v>
      </c>
      <c r="K1687" s="13">
        <v>0.14070000000000002</v>
      </c>
      <c r="L1687" s="7" t="s">
        <v>483</v>
      </c>
      <c r="M1687" s="372"/>
      <c r="N1687" s="111"/>
    </row>
    <row r="1688" spans="1:14">
      <c r="A1688" s="7"/>
      <c r="B1688" s="381" t="s">
        <v>303</v>
      </c>
      <c r="C1688" s="3" t="s">
        <v>232</v>
      </c>
      <c r="D1688" s="2" t="s">
        <v>228</v>
      </c>
      <c r="E1688" s="382" t="s">
        <v>17</v>
      </c>
      <c r="F1688" s="385" t="s">
        <v>15</v>
      </c>
      <c r="G1688" s="385" t="s">
        <v>44</v>
      </c>
      <c r="H1688" s="386">
        <v>13.4</v>
      </c>
      <c r="I1688" s="387">
        <v>10.4</v>
      </c>
      <c r="J1688" s="19">
        <v>1</v>
      </c>
      <c r="K1688" s="13">
        <v>0.13936000000000001</v>
      </c>
      <c r="L1688" s="7" t="s">
        <v>483</v>
      </c>
      <c r="M1688" s="372"/>
      <c r="N1688" s="111"/>
    </row>
    <row r="1689" spans="1:14">
      <c r="A1689" s="7"/>
      <c r="B1689" s="381" t="s">
        <v>303</v>
      </c>
      <c r="C1689" s="3" t="s">
        <v>232</v>
      </c>
      <c r="D1689" s="2" t="s">
        <v>228</v>
      </c>
      <c r="E1689" s="382" t="s">
        <v>17</v>
      </c>
      <c r="F1689" s="385" t="s">
        <v>15</v>
      </c>
      <c r="G1689" s="385" t="s">
        <v>44</v>
      </c>
      <c r="H1689" s="386">
        <v>13.4</v>
      </c>
      <c r="I1689" s="387">
        <v>6.9</v>
      </c>
      <c r="J1689" s="19">
        <v>0</v>
      </c>
      <c r="K1689" s="13">
        <v>0</v>
      </c>
      <c r="L1689" s="7" t="s">
        <v>483</v>
      </c>
      <c r="M1689" s="372"/>
      <c r="N1689" s="111"/>
    </row>
    <row r="1690" spans="1:14">
      <c r="A1690" s="7"/>
      <c r="B1690" s="381" t="s">
        <v>303</v>
      </c>
      <c r="C1690" s="3" t="s">
        <v>232</v>
      </c>
      <c r="D1690" s="2" t="s">
        <v>228</v>
      </c>
      <c r="E1690" s="382" t="s">
        <v>17</v>
      </c>
      <c r="F1690" s="385" t="s">
        <v>15</v>
      </c>
      <c r="G1690" s="385" t="s">
        <v>44</v>
      </c>
      <c r="H1690" s="386">
        <v>13.4</v>
      </c>
      <c r="I1690" s="387">
        <v>6.5</v>
      </c>
      <c r="J1690" s="19">
        <v>0</v>
      </c>
      <c r="K1690" s="13">
        <v>0</v>
      </c>
      <c r="L1690" s="7" t="s">
        <v>483</v>
      </c>
      <c r="M1690" s="372"/>
      <c r="N1690" s="111"/>
    </row>
    <row r="1691" spans="1:14">
      <c r="A1691" s="7"/>
      <c r="B1691" s="381" t="s">
        <v>303</v>
      </c>
      <c r="C1691" s="3" t="s">
        <v>232</v>
      </c>
      <c r="D1691" s="2" t="s">
        <v>228</v>
      </c>
      <c r="E1691" s="382" t="s">
        <v>17</v>
      </c>
      <c r="F1691" s="385" t="s">
        <v>15</v>
      </c>
      <c r="G1691" s="385" t="s">
        <v>44</v>
      </c>
      <c r="H1691" s="386">
        <v>13.4</v>
      </c>
      <c r="I1691" s="387">
        <v>7.2</v>
      </c>
      <c r="J1691" s="19">
        <v>1</v>
      </c>
      <c r="K1691" s="13">
        <v>9.648000000000001E-2</v>
      </c>
      <c r="L1691" s="7" t="s">
        <v>483</v>
      </c>
      <c r="M1691" s="372"/>
      <c r="N1691" s="111"/>
    </row>
    <row r="1692" spans="1:14">
      <c r="A1692" s="7"/>
      <c r="B1692" s="381" t="s">
        <v>303</v>
      </c>
      <c r="C1692" s="3" t="s">
        <v>232</v>
      </c>
      <c r="D1692" s="2" t="s">
        <v>228</v>
      </c>
      <c r="E1692" s="382" t="s">
        <v>17</v>
      </c>
      <c r="F1692" s="385" t="s">
        <v>15</v>
      </c>
      <c r="G1692" s="385" t="s">
        <v>44</v>
      </c>
      <c r="H1692" s="386">
        <v>13.4</v>
      </c>
      <c r="I1692" s="387">
        <v>7.2</v>
      </c>
      <c r="J1692" s="19">
        <v>1</v>
      </c>
      <c r="K1692" s="13">
        <v>9.648000000000001E-2</v>
      </c>
      <c r="L1692" s="7" t="s">
        <v>483</v>
      </c>
      <c r="M1692" s="372"/>
      <c r="N1692" s="111"/>
    </row>
    <row r="1693" spans="1:14">
      <c r="A1693" s="7"/>
      <c r="B1693" s="381" t="s">
        <v>303</v>
      </c>
      <c r="C1693" s="3" t="s">
        <v>232</v>
      </c>
      <c r="D1693" s="2" t="s">
        <v>228</v>
      </c>
      <c r="E1693" s="382" t="s">
        <v>17</v>
      </c>
      <c r="F1693" s="385" t="s">
        <v>15</v>
      </c>
      <c r="G1693" s="385" t="s">
        <v>35</v>
      </c>
      <c r="H1693" s="386">
        <v>16.579999999999998</v>
      </c>
      <c r="I1693" s="387">
        <v>8.1999999999999993</v>
      </c>
      <c r="J1693" s="19">
        <v>0</v>
      </c>
      <c r="K1693" s="13">
        <v>0</v>
      </c>
      <c r="L1693" s="7" t="s">
        <v>483</v>
      </c>
      <c r="M1693" s="372"/>
      <c r="N1693" s="111"/>
    </row>
    <row r="1694" spans="1:14">
      <c r="A1694" s="7"/>
      <c r="B1694" s="381" t="s">
        <v>303</v>
      </c>
      <c r="C1694" s="3" t="s">
        <v>232</v>
      </c>
      <c r="D1694" s="2" t="s">
        <v>228</v>
      </c>
      <c r="E1694" s="382" t="s">
        <v>17</v>
      </c>
      <c r="F1694" s="385" t="s">
        <v>15</v>
      </c>
      <c r="G1694" s="385" t="s">
        <v>35</v>
      </c>
      <c r="H1694" s="386">
        <v>16.579999999999998</v>
      </c>
      <c r="I1694" s="387">
        <v>9</v>
      </c>
      <c r="J1694" s="19">
        <v>0</v>
      </c>
      <c r="K1694" s="13">
        <v>0</v>
      </c>
      <c r="L1694" s="7" t="s">
        <v>483</v>
      </c>
      <c r="M1694" s="372"/>
      <c r="N1694" s="111"/>
    </row>
    <row r="1695" spans="1:14">
      <c r="A1695" s="7"/>
      <c r="B1695" s="381" t="s">
        <v>303</v>
      </c>
      <c r="C1695" s="3" t="s">
        <v>232</v>
      </c>
      <c r="D1695" s="2" t="s">
        <v>228</v>
      </c>
      <c r="E1695" s="382" t="s">
        <v>17</v>
      </c>
      <c r="F1695" s="385" t="s">
        <v>15</v>
      </c>
      <c r="G1695" s="385" t="s">
        <v>35</v>
      </c>
      <c r="H1695" s="386">
        <v>16.579999999999998</v>
      </c>
      <c r="I1695" s="387">
        <v>11.5</v>
      </c>
      <c r="J1695" s="19">
        <v>3</v>
      </c>
      <c r="K1695" s="13">
        <v>0.57201000000000002</v>
      </c>
      <c r="L1695" s="7" t="s">
        <v>483</v>
      </c>
      <c r="M1695" s="372"/>
      <c r="N1695" s="111"/>
    </row>
    <row r="1696" spans="1:14">
      <c r="A1696" s="7"/>
      <c r="B1696" s="381" t="s">
        <v>303</v>
      </c>
      <c r="C1696" s="3" t="s">
        <v>232</v>
      </c>
      <c r="D1696" s="2" t="s">
        <v>228</v>
      </c>
      <c r="E1696" s="382" t="s">
        <v>17</v>
      </c>
      <c r="F1696" s="385" t="s">
        <v>15</v>
      </c>
      <c r="G1696" s="385" t="s">
        <v>35</v>
      </c>
      <c r="H1696" s="386">
        <v>16.579999999999998</v>
      </c>
      <c r="I1696" s="387">
        <v>6</v>
      </c>
      <c r="J1696" s="19">
        <v>3</v>
      </c>
      <c r="K1696" s="13">
        <v>0.29843999999999993</v>
      </c>
      <c r="L1696" s="7" t="s">
        <v>483</v>
      </c>
      <c r="M1696" s="372"/>
      <c r="N1696" s="111"/>
    </row>
    <row r="1697" spans="1:14">
      <c r="A1697" s="7"/>
      <c r="B1697" s="381" t="s">
        <v>303</v>
      </c>
      <c r="C1697" s="3" t="s">
        <v>232</v>
      </c>
      <c r="D1697" s="2" t="s">
        <v>228</v>
      </c>
      <c r="E1697" s="382" t="s">
        <v>17</v>
      </c>
      <c r="F1697" s="385" t="s">
        <v>15</v>
      </c>
      <c r="G1697" s="385" t="s">
        <v>35</v>
      </c>
      <c r="H1697" s="386">
        <v>16.579999999999998</v>
      </c>
      <c r="I1697" s="387">
        <v>11.1</v>
      </c>
      <c r="J1697" s="19">
        <v>1</v>
      </c>
      <c r="K1697" s="13">
        <v>0.18403799999999998</v>
      </c>
      <c r="L1697" s="7" t="s">
        <v>483</v>
      </c>
      <c r="M1697" s="372"/>
      <c r="N1697" s="111"/>
    </row>
    <row r="1698" spans="1:14">
      <c r="A1698" s="7"/>
      <c r="B1698" s="381" t="s">
        <v>303</v>
      </c>
      <c r="C1698" s="3" t="s">
        <v>232</v>
      </c>
      <c r="D1698" s="2" t="s">
        <v>228</v>
      </c>
      <c r="E1698" s="382" t="s">
        <v>17</v>
      </c>
      <c r="F1698" s="385" t="s">
        <v>15</v>
      </c>
      <c r="G1698" s="385" t="s">
        <v>35</v>
      </c>
      <c r="H1698" s="386">
        <v>16.579999999999998</v>
      </c>
      <c r="I1698" s="387">
        <v>11.2</v>
      </c>
      <c r="J1698" s="19">
        <v>2</v>
      </c>
      <c r="K1698" s="13">
        <v>0.37139199999999994</v>
      </c>
      <c r="L1698" s="7" t="s">
        <v>483</v>
      </c>
      <c r="M1698" s="372"/>
      <c r="N1698" s="111"/>
    </row>
    <row r="1699" spans="1:14">
      <c r="A1699" s="7"/>
      <c r="B1699" s="381" t="s">
        <v>303</v>
      </c>
      <c r="C1699" s="3" t="s">
        <v>232</v>
      </c>
      <c r="D1699" s="2" t="s">
        <v>228</v>
      </c>
      <c r="E1699" s="382" t="s">
        <v>24</v>
      </c>
      <c r="F1699" s="385" t="s">
        <v>14</v>
      </c>
      <c r="G1699" s="385" t="s">
        <v>35</v>
      </c>
      <c r="H1699" s="386">
        <v>16.579999999999998</v>
      </c>
      <c r="I1699" s="387">
        <v>6.75</v>
      </c>
      <c r="J1699" s="19">
        <v>2</v>
      </c>
      <c r="K1699" s="13">
        <v>0.22382999999999997</v>
      </c>
      <c r="L1699" s="7" t="s">
        <v>483</v>
      </c>
      <c r="M1699" s="372"/>
      <c r="N1699" s="111"/>
    </row>
    <row r="1700" spans="1:14">
      <c r="A1700" s="7"/>
      <c r="B1700" s="381" t="s">
        <v>303</v>
      </c>
      <c r="C1700" s="3" t="s">
        <v>232</v>
      </c>
      <c r="D1700" s="2" t="s">
        <v>228</v>
      </c>
      <c r="E1700" s="382" t="s">
        <v>24</v>
      </c>
      <c r="F1700" s="385" t="s">
        <v>14</v>
      </c>
      <c r="G1700" s="385" t="s">
        <v>35</v>
      </c>
      <c r="H1700" s="386">
        <v>16.579999999999998</v>
      </c>
      <c r="I1700" s="387">
        <v>8</v>
      </c>
      <c r="J1700" s="19">
        <v>1</v>
      </c>
      <c r="K1700" s="13">
        <v>0.13263999999999998</v>
      </c>
      <c r="L1700" s="7" t="s">
        <v>483</v>
      </c>
      <c r="M1700" s="372"/>
      <c r="N1700" s="111"/>
    </row>
    <row r="1701" spans="1:14">
      <c r="A1701" s="7"/>
      <c r="B1701" s="381" t="s">
        <v>303</v>
      </c>
      <c r="C1701" s="3" t="s">
        <v>232</v>
      </c>
      <c r="D1701" s="2" t="s">
        <v>228</v>
      </c>
      <c r="E1701" s="382" t="s">
        <v>24</v>
      </c>
      <c r="F1701" s="385" t="s">
        <v>14</v>
      </c>
      <c r="G1701" s="385" t="s">
        <v>35</v>
      </c>
      <c r="H1701" s="386">
        <v>16.579999999999998</v>
      </c>
      <c r="I1701" s="387">
        <v>10</v>
      </c>
      <c r="J1701" s="19">
        <v>1</v>
      </c>
      <c r="K1701" s="13">
        <v>0.16579999999999998</v>
      </c>
      <c r="L1701" s="7" t="s">
        <v>483</v>
      </c>
      <c r="M1701" s="372"/>
      <c r="N1701" s="111"/>
    </row>
    <row r="1702" spans="1:14">
      <c r="A1702" s="7"/>
      <c r="B1702" s="381" t="s">
        <v>303</v>
      </c>
      <c r="C1702" s="3" t="s">
        <v>232</v>
      </c>
      <c r="D1702" s="2" t="s">
        <v>228</v>
      </c>
      <c r="E1702" s="382" t="s">
        <v>24</v>
      </c>
      <c r="F1702" s="385" t="s">
        <v>14</v>
      </c>
      <c r="G1702" s="385" t="s">
        <v>35</v>
      </c>
      <c r="H1702" s="386">
        <v>16.579999999999998</v>
      </c>
      <c r="I1702" s="387">
        <v>11</v>
      </c>
      <c r="J1702" s="19">
        <v>2</v>
      </c>
      <c r="K1702" s="13">
        <v>0.36475999999999997</v>
      </c>
      <c r="L1702" s="7" t="s">
        <v>483</v>
      </c>
      <c r="M1702" s="372"/>
      <c r="N1702" s="111"/>
    </row>
    <row r="1703" spans="1:14">
      <c r="A1703" s="7"/>
      <c r="B1703" s="381" t="s">
        <v>303</v>
      </c>
      <c r="C1703" s="3" t="s">
        <v>232</v>
      </c>
      <c r="D1703" s="2" t="s">
        <v>228</v>
      </c>
      <c r="E1703" s="382" t="s">
        <v>24</v>
      </c>
      <c r="F1703" s="385" t="s">
        <v>14</v>
      </c>
      <c r="G1703" s="385" t="s">
        <v>35</v>
      </c>
      <c r="H1703" s="386">
        <v>16.579999999999998</v>
      </c>
      <c r="I1703" s="387">
        <v>12</v>
      </c>
      <c r="J1703" s="19">
        <v>1</v>
      </c>
      <c r="K1703" s="13">
        <v>0.19895999999999997</v>
      </c>
      <c r="L1703" s="7" t="s">
        <v>483</v>
      </c>
      <c r="M1703" s="372"/>
      <c r="N1703" s="111"/>
    </row>
    <row r="1704" spans="1:14">
      <c r="A1704" s="7"/>
      <c r="B1704" s="381" t="s">
        <v>303</v>
      </c>
      <c r="C1704" s="3" t="s">
        <v>232</v>
      </c>
      <c r="D1704" s="2" t="s">
        <v>228</v>
      </c>
      <c r="E1704" s="382" t="s">
        <v>24</v>
      </c>
      <c r="F1704" s="385" t="s">
        <v>14</v>
      </c>
      <c r="G1704" s="385" t="s">
        <v>35</v>
      </c>
      <c r="H1704" s="386">
        <v>16.579999999999998</v>
      </c>
      <c r="I1704" s="387">
        <v>12</v>
      </c>
      <c r="J1704" s="19">
        <v>1</v>
      </c>
      <c r="K1704" s="13">
        <v>0.19895999999999997</v>
      </c>
      <c r="L1704" s="7" t="s">
        <v>483</v>
      </c>
      <c r="M1704" s="372"/>
      <c r="N1704" s="111"/>
    </row>
    <row r="1705" spans="1:14">
      <c r="A1705" s="7"/>
      <c r="B1705" s="381" t="s">
        <v>303</v>
      </c>
      <c r="C1705" s="3" t="s">
        <v>232</v>
      </c>
      <c r="D1705" s="2" t="s">
        <v>228</v>
      </c>
      <c r="E1705" s="382" t="s">
        <v>24</v>
      </c>
      <c r="F1705" s="385" t="s">
        <v>14</v>
      </c>
      <c r="G1705" s="385" t="s">
        <v>44</v>
      </c>
      <c r="H1705" s="386">
        <v>13.4</v>
      </c>
      <c r="I1705" s="387">
        <v>6.25</v>
      </c>
      <c r="J1705" s="19">
        <v>0</v>
      </c>
      <c r="K1705" s="13">
        <v>0</v>
      </c>
      <c r="L1705" s="7" t="s">
        <v>483</v>
      </c>
      <c r="M1705" s="372"/>
      <c r="N1705" s="111"/>
    </row>
    <row r="1706" spans="1:14">
      <c r="A1706" s="7"/>
      <c r="B1706" s="381" t="s">
        <v>303</v>
      </c>
      <c r="C1706" s="3" t="s">
        <v>232</v>
      </c>
      <c r="D1706" s="2" t="s">
        <v>228</v>
      </c>
      <c r="E1706" s="382" t="s">
        <v>24</v>
      </c>
      <c r="F1706" s="385" t="s">
        <v>14</v>
      </c>
      <c r="G1706" s="385" t="s">
        <v>44</v>
      </c>
      <c r="H1706" s="386">
        <v>13.4</v>
      </c>
      <c r="I1706" s="387">
        <v>6.8</v>
      </c>
      <c r="J1706" s="19">
        <v>0</v>
      </c>
      <c r="K1706" s="13">
        <v>0</v>
      </c>
      <c r="L1706" s="7" t="s">
        <v>483</v>
      </c>
      <c r="M1706" s="372"/>
      <c r="N1706" s="111"/>
    </row>
    <row r="1707" spans="1:14">
      <c r="A1707" s="7"/>
      <c r="B1707" s="381" t="s">
        <v>303</v>
      </c>
      <c r="C1707" s="3" t="s">
        <v>232</v>
      </c>
      <c r="D1707" s="2" t="s">
        <v>228</v>
      </c>
      <c r="E1707" s="382" t="s">
        <v>24</v>
      </c>
      <c r="F1707" s="385" t="s">
        <v>14</v>
      </c>
      <c r="G1707" s="385" t="s">
        <v>44</v>
      </c>
      <c r="H1707" s="386">
        <v>13.4</v>
      </c>
      <c r="I1707" s="387">
        <v>12</v>
      </c>
      <c r="J1707" s="19">
        <v>0</v>
      </c>
      <c r="K1707" s="13">
        <v>0</v>
      </c>
      <c r="L1707" s="7" t="s">
        <v>483</v>
      </c>
      <c r="M1707" s="372"/>
      <c r="N1707" s="111"/>
    </row>
    <row r="1708" spans="1:14">
      <c r="A1708" s="7"/>
      <c r="B1708" s="381" t="s">
        <v>303</v>
      </c>
      <c r="C1708" s="3" t="s">
        <v>232</v>
      </c>
      <c r="D1708" s="2" t="s">
        <v>228</v>
      </c>
      <c r="E1708" s="382" t="s">
        <v>24</v>
      </c>
      <c r="F1708" s="385" t="s">
        <v>14</v>
      </c>
      <c r="G1708" s="385" t="s">
        <v>44</v>
      </c>
      <c r="H1708" s="386">
        <v>13.4</v>
      </c>
      <c r="I1708" s="387">
        <v>6</v>
      </c>
      <c r="J1708" s="19">
        <v>1</v>
      </c>
      <c r="K1708" s="13">
        <v>8.0399999999999999E-2</v>
      </c>
      <c r="L1708" s="7" t="s">
        <v>483</v>
      </c>
      <c r="M1708" s="372"/>
      <c r="N1708" s="111"/>
    </row>
    <row r="1709" spans="1:14">
      <c r="A1709" s="7"/>
      <c r="B1709" s="381" t="s">
        <v>303</v>
      </c>
      <c r="C1709" s="3" t="s">
        <v>232</v>
      </c>
      <c r="D1709" s="2" t="s">
        <v>228</v>
      </c>
      <c r="E1709" s="382" t="s">
        <v>24</v>
      </c>
      <c r="F1709" s="385" t="s">
        <v>14</v>
      </c>
      <c r="G1709" s="385" t="s">
        <v>44</v>
      </c>
      <c r="H1709" s="386">
        <v>13.4</v>
      </c>
      <c r="I1709" s="387">
        <v>10.9</v>
      </c>
      <c r="J1709" s="19">
        <v>1</v>
      </c>
      <c r="K1709" s="13">
        <v>0.14606</v>
      </c>
      <c r="L1709" s="7" t="s">
        <v>483</v>
      </c>
      <c r="M1709" s="372"/>
      <c r="N1709" s="111"/>
    </row>
    <row r="1710" spans="1:14">
      <c r="A1710" s="7"/>
      <c r="B1710" s="381" t="s">
        <v>303</v>
      </c>
      <c r="C1710" s="3" t="s">
        <v>232</v>
      </c>
      <c r="D1710" s="2" t="s">
        <v>228</v>
      </c>
      <c r="E1710" s="382" t="s">
        <v>24</v>
      </c>
      <c r="F1710" s="385" t="s">
        <v>14</v>
      </c>
      <c r="G1710" s="385" t="s">
        <v>44</v>
      </c>
      <c r="H1710" s="386">
        <v>13.4</v>
      </c>
      <c r="I1710" s="387">
        <v>6.8</v>
      </c>
      <c r="J1710" s="19">
        <v>2</v>
      </c>
      <c r="K1710" s="13">
        <v>0.18224000000000001</v>
      </c>
      <c r="L1710" s="7" t="s">
        <v>483</v>
      </c>
      <c r="M1710" s="372"/>
      <c r="N1710" s="111"/>
    </row>
    <row r="1711" spans="1:14">
      <c r="A1711" s="7"/>
      <c r="B1711" s="381" t="s">
        <v>303</v>
      </c>
      <c r="C1711" s="3" t="s">
        <v>232</v>
      </c>
      <c r="D1711" s="2" t="s">
        <v>228</v>
      </c>
      <c r="E1711" s="382" t="s">
        <v>24</v>
      </c>
      <c r="F1711" s="385" t="s">
        <v>14</v>
      </c>
      <c r="G1711" s="385" t="s">
        <v>44</v>
      </c>
      <c r="H1711" s="386">
        <v>13.4</v>
      </c>
      <c r="I1711" s="387">
        <v>12</v>
      </c>
      <c r="J1711" s="19">
        <v>4</v>
      </c>
      <c r="K1711" s="13">
        <v>0.64319999999999999</v>
      </c>
      <c r="L1711" s="7" t="s">
        <v>483</v>
      </c>
      <c r="M1711" s="372"/>
      <c r="N1711" s="111"/>
    </row>
    <row r="1712" spans="1:14">
      <c r="A1712" s="7"/>
      <c r="B1712" s="381" t="s">
        <v>446</v>
      </c>
      <c r="C1712" s="3" t="s">
        <v>232</v>
      </c>
      <c r="D1712" s="2" t="s">
        <v>447</v>
      </c>
      <c r="E1712" s="382" t="s">
        <v>20</v>
      </c>
      <c r="F1712" s="385" t="s">
        <v>15</v>
      </c>
      <c r="G1712" s="385" t="s">
        <v>41</v>
      </c>
      <c r="H1712" s="386">
        <v>11.8</v>
      </c>
      <c r="I1712" s="387">
        <v>10</v>
      </c>
      <c r="J1712" s="19">
        <v>0</v>
      </c>
      <c r="K1712" s="13">
        <v>0</v>
      </c>
      <c r="L1712" s="7" t="s">
        <v>483</v>
      </c>
      <c r="M1712" s="372"/>
      <c r="N1712" s="111"/>
    </row>
    <row r="1713" spans="1:14">
      <c r="A1713" s="7"/>
      <c r="B1713" s="381" t="s">
        <v>446</v>
      </c>
      <c r="C1713" s="3" t="s">
        <v>232</v>
      </c>
      <c r="D1713" s="2" t="s">
        <v>447</v>
      </c>
      <c r="E1713" s="382" t="s">
        <v>20</v>
      </c>
      <c r="F1713" s="385" t="s">
        <v>15</v>
      </c>
      <c r="G1713" s="385" t="s">
        <v>41</v>
      </c>
      <c r="H1713" s="386">
        <v>11.8</v>
      </c>
      <c r="I1713" s="387">
        <v>10</v>
      </c>
      <c r="J1713" s="19">
        <v>0</v>
      </c>
      <c r="K1713" s="13">
        <v>0</v>
      </c>
      <c r="L1713" s="7" t="s">
        <v>483</v>
      </c>
      <c r="M1713" s="372"/>
      <c r="N1713" s="111"/>
    </row>
    <row r="1714" spans="1:14">
      <c r="A1714" s="7"/>
      <c r="B1714" s="381" t="s">
        <v>446</v>
      </c>
      <c r="C1714" s="3" t="s">
        <v>232</v>
      </c>
      <c r="D1714" s="2" t="s">
        <v>447</v>
      </c>
      <c r="E1714" s="382" t="s">
        <v>20</v>
      </c>
      <c r="F1714" s="385" t="s">
        <v>15</v>
      </c>
      <c r="G1714" s="385" t="s">
        <v>41</v>
      </c>
      <c r="H1714" s="386">
        <v>11.8</v>
      </c>
      <c r="I1714" s="387">
        <v>10</v>
      </c>
      <c r="J1714" s="19">
        <v>0</v>
      </c>
      <c r="K1714" s="13">
        <v>0</v>
      </c>
      <c r="L1714" s="7" t="s">
        <v>483</v>
      </c>
      <c r="M1714" s="372"/>
      <c r="N1714" s="111"/>
    </row>
    <row r="1715" spans="1:14">
      <c r="A1715" s="7"/>
      <c r="B1715" s="381" t="s">
        <v>446</v>
      </c>
      <c r="C1715" s="3" t="s">
        <v>232</v>
      </c>
      <c r="D1715" s="2" t="s">
        <v>447</v>
      </c>
      <c r="E1715" s="382" t="s">
        <v>20</v>
      </c>
      <c r="F1715" s="385" t="s">
        <v>15</v>
      </c>
      <c r="G1715" s="385" t="s">
        <v>41</v>
      </c>
      <c r="H1715" s="386">
        <v>11.8</v>
      </c>
      <c r="I1715" s="387">
        <v>11</v>
      </c>
      <c r="J1715" s="19">
        <v>0</v>
      </c>
      <c r="K1715" s="13">
        <v>0</v>
      </c>
      <c r="L1715" s="7" t="s">
        <v>483</v>
      </c>
      <c r="M1715" s="372"/>
      <c r="N1715" s="111"/>
    </row>
    <row r="1716" spans="1:14">
      <c r="A1716" s="7"/>
      <c r="B1716" s="381" t="s">
        <v>446</v>
      </c>
      <c r="C1716" s="3" t="s">
        <v>232</v>
      </c>
      <c r="D1716" s="2" t="s">
        <v>447</v>
      </c>
      <c r="E1716" s="382" t="s">
        <v>20</v>
      </c>
      <c r="F1716" s="385" t="s">
        <v>15</v>
      </c>
      <c r="G1716" s="385" t="s">
        <v>41</v>
      </c>
      <c r="H1716" s="386">
        <v>11.8</v>
      </c>
      <c r="I1716" s="387">
        <v>10</v>
      </c>
      <c r="J1716" s="19">
        <v>0</v>
      </c>
      <c r="K1716" s="13">
        <v>0</v>
      </c>
      <c r="L1716" s="7" t="s">
        <v>483</v>
      </c>
      <c r="M1716" s="372"/>
      <c r="N1716" s="111"/>
    </row>
    <row r="1717" spans="1:14">
      <c r="A1717" s="7"/>
      <c r="B1717" s="381" t="s">
        <v>446</v>
      </c>
      <c r="C1717" s="3" t="s">
        <v>232</v>
      </c>
      <c r="D1717" s="2" t="s">
        <v>447</v>
      </c>
      <c r="E1717" s="382" t="s">
        <v>20</v>
      </c>
      <c r="F1717" s="385" t="s">
        <v>15</v>
      </c>
      <c r="G1717" s="385" t="s">
        <v>41</v>
      </c>
      <c r="H1717" s="386">
        <v>11.8</v>
      </c>
      <c r="I1717" s="387">
        <v>10</v>
      </c>
      <c r="J1717" s="19">
        <v>0</v>
      </c>
      <c r="K1717" s="13">
        <v>0</v>
      </c>
      <c r="L1717" s="7" t="s">
        <v>483</v>
      </c>
      <c r="M1717" s="372"/>
      <c r="N1717" s="111"/>
    </row>
    <row r="1718" spans="1:14">
      <c r="A1718" s="7"/>
      <c r="B1718" s="381" t="s">
        <v>446</v>
      </c>
      <c r="C1718" s="3" t="s">
        <v>232</v>
      </c>
      <c r="D1718" s="2" t="s">
        <v>447</v>
      </c>
      <c r="E1718" s="382" t="s">
        <v>20</v>
      </c>
      <c r="F1718" s="385" t="s">
        <v>15</v>
      </c>
      <c r="G1718" s="385" t="s">
        <v>41</v>
      </c>
      <c r="H1718" s="386">
        <v>11.8</v>
      </c>
      <c r="I1718" s="387">
        <v>10</v>
      </c>
      <c r="J1718" s="19">
        <v>0</v>
      </c>
      <c r="K1718" s="13">
        <v>0</v>
      </c>
      <c r="L1718" s="7" t="s">
        <v>483</v>
      </c>
      <c r="M1718" s="372"/>
      <c r="N1718" s="111"/>
    </row>
    <row r="1719" spans="1:14">
      <c r="A1719" s="7"/>
      <c r="B1719" s="381" t="s">
        <v>446</v>
      </c>
      <c r="C1719" s="3" t="s">
        <v>232</v>
      </c>
      <c r="D1719" s="2" t="s">
        <v>447</v>
      </c>
      <c r="E1719" s="382" t="s">
        <v>20</v>
      </c>
      <c r="F1719" s="385" t="s">
        <v>15</v>
      </c>
      <c r="G1719" s="385" t="s">
        <v>41</v>
      </c>
      <c r="H1719" s="386">
        <v>11.8</v>
      </c>
      <c r="I1719" s="387">
        <v>10</v>
      </c>
      <c r="J1719" s="19">
        <v>0</v>
      </c>
      <c r="K1719" s="13">
        <v>0</v>
      </c>
      <c r="L1719" s="7" t="s">
        <v>483</v>
      </c>
      <c r="M1719" s="372"/>
      <c r="N1719" s="111"/>
    </row>
    <row r="1720" spans="1:14">
      <c r="A1720" s="7"/>
      <c r="B1720" s="381" t="s">
        <v>446</v>
      </c>
      <c r="C1720" s="3" t="s">
        <v>232</v>
      </c>
      <c r="D1720" s="2" t="s">
        <v>447</v>
      </c>
      <c r="E1720" s="382" t="s">
        <v>20</v>
      </c>
      <c r="F1720" s="385" t="s">
        <v>15</v>
      </c>
      <c r="G1720" s="385" t="s">
        <v>41</v>
      </c>
      <c r="H1720" s="386">
        <v>11.8</v>
      </c>
      <c r="I1720" s="387">
        <v>11</v>
      </c>
      <c r="J1720" s="19">
        <v>0</v>
      </c>
      <c r="K1720" s="13">
        <v>0</v>
      </c>
      <c r="L1720" s="7" t="s">
        <v>483</v>
      </c>
      <c r="M1720" s="372"/>
      <c r="N1720" s="111"/>
    </row>
    <row r="1721" spans="1:14">
      <c r="A1721" s="7"/>
      <c r="B1721" s="381" t="s">
        <v>446</v>
      </c>
      <c r="C1721" s="3" t="s">
        <v>232</v>
      </c>
      <c r="D1721" s="2" t="s">
        <v>447</v>
      </c>
      <c r="E1721" s="382" t="s">
        <v>20</v>
      </c>
      <c r="F1721" s="385" t="s">
        <v>15</v>
      </c>
      <c r="G1721" s="385" t="s">
        <v>41</v>
      </c>
      <c r="H1721" s="386">
        <v>11.8</v>
      </c>
      <c r="I1721" s="387">
        <v>10</v>
      </c>
      <c r="J1721" s="19">
        <v>0</v>
      </c>
      <c r="K1721" s="13">
        <v>0</v>
      </c>
      <c r="L1721" s="7" t="s">
        <v>483</v>
      </c>
      <c r="M1721" s="372"/>
      <c r="N1721" s="111"/>
    </row>
    <row r="1722" spans="1:14">
      <c r="A1722" s="7"/>
      <c r="B1722" s="381" t="s">
        <v>446</v>
      </c>
      <c r="C1722" s="3" t="s">
        <v>232</v>
      </c>
      <c r="D1722" s="2" t="s">
        <v>447</v>
      </c>
      <c r="E1722" s="382" t="s">
        <v>20</v>
      </c>
      <c r="F1722" s="385" t="s">
        <v>15</v>
      </c>
      <c r="G1722" s="385" t="s">
        <v>41</v>
      </c>
      <c r="H1722" s="386">
        <v>11.8</v>
      </c>
      <c r="I1722" s="387">
        <v>11</v>
      </c>
      <c r="J1722" s="19">
        <v>0</v>
      </c>
      <c r="K1722" s="13">
        <v>0</v>
      </c>
      <c r="L1722" s="7" t="s">
        <v>483</v>
      </c>
      <c r="M1722" s="372"/>
      <c r="N1722" s="111"/>
    </row>
    <row r="1723" spans="1:14">
      <c r="A1723" s="7"/>
      <c r="B1723" s="381" t="s">
        <v>446</v>
      </c>
      <c r="C1723" s="3" t="s">
        <v>232</v>
      </c>
      <c r="D1723" s="2" t="s">
        <v>447</v>
      </c>
      <c r="E1723" s="382" t="s">
        <v>20</v>
      </c>
      <c r="F1723" s="385" t="s">
        <v>15</v>
      </c>
      <c r="G1723" s="385" t="s">
        <v>41</v>
      </c>
      <c r="H1723" s="386">
        <v>11.8</v>
      </c>
      <c r="I1723" s="387">
        <v>12</v>
      </c>
      <c r="J1723" s="19">
        <v>0</v>
      </c>
      <c r="K1723" s="13">
        <v>0</v>
      </c>
      <c r="L1723" s="7" t="s">
        <v>483</v>
      </c>
      <c r="M1723" s="372"/>
      <c r="N1723" s="111"/>
    </row>
    <row r="1724" spans="1:14">
      <c r="A1724" s="7"/>
      <c r="B1724" s="381" t="s">
        <v>446</v>
      </c>
      <c r="C1724" s="3" t="s">
        <v>232</v>
      </c>
      <c r="D1724" s="2" t="s">
        <v>447</v>
      </c>
      <c r="E1724" s="382" t="s">
        <v>20</v>
      </c>
      <c r="F1724" s="385" t="s">
        <v>15</v>
      </c>
      <c r="G1724" s="385" t="s">
        <v>41</v>
      </c>
      <c r="H1724" s="386">
        <v>11.8</v>
      </c>
      <c r="I1724" s="387">
        <v>7.1</v>
      </c>
      <c r="J1724" s="19">
        <v>1</v>
      </c>
      <c r="K1724" s="13">
        <v>8.3780000000000007E-2</v>
      </c>
      <c r="L1724" s="7" t="s">
        <v>483</v>
      </c>
      <c r="M1724" s="372"/>
      <c r="N1724" s="111"/>
    </row>
    <row r="1725" spans="1:14">
      <c r="A1725" s="7"/>
      <c r="B1725" s="381" t="s">
        <v>446</v>
      </c>
      <c r="C1725" s="3" t="s">
        <v>232</v>
      </c>
      <c r="D1725" s="2" t="s">
        <v>447</v>
      </c>
      <c r="E1725" s="382" t="s">
        <v>20</v>
      </c>
      <c r="F1725" s="385" t="s">
        <v>15</v>
      </c>
      <c r="G1725" s="385" t="s">
        <v>41</v>
      </c>
      <c r="H1725" s="386">
        <v>11.8</v>
      </c>
      <c r="I1725" s="387">
        <v>9.3000000000000007</v>
      </c>
      <c r="J1725" s="19">
        <v>3</v>
      </c>
      <c r="K1725" s="13">
        <v>0.32922000000000001</v>
      </c>
      <c r="L1725" s="7" t="s">
        <v>483</v>
      </c>
      <c r="M1725" s="372"/>
      <c r="N1725" s="111"/>
    </row>
    <row r="1726" spans="1:14">
      <c r="A1726" s="7"/>
      <c r="B1726" s="381" t="s">
        <v>446</v>
      </c>
      <c r="C1726" s="3" t="s">
        <v>232</v>
      </c>
      <c r="D1726" s="2" t="s">
        <v>447</v>
      </c>
      <c r="E1726" s="382" t="s">
        <v>20</v>
      </c>
      <c r="F1726" s="385" t="s">
        <v>15</v>
      </c>
      <c r="G1726" s="385" t="s">
        <v>41</v>
      </c>
      <c r="H1726" s="386">
        <v>11.8</v>
      </c>
      <c r="I1726" s="387">
        <v>9.5</v>
      </c>
      <c r="J1726" s="19">
        <v>5</v>
      </c>
      <c r="K1726" s="13">
        <v>0.5605</v>
      </c>
      <c r="L1726" s="7" t="s">
        <v>483</v>
      </c>
      <c r="M1726" s="372"/>
      <c r="N1726" s="111"/>
    </row>
    <row r="1727" spans="1:14">
      <c r="A1727" s="7"/>
      <c r="B1727" s="381" t="s">
        <v>446</v>
      </c>
      <c r="C1727" s="3" t="s">
        <v>232</v>
      </c>
      <c r="D1727" s="2" t="s">
        <v>447</v>
      </c>
      <c r="E1727" s="382" t="s">
        <v>20</v>
      </c>
      <c r="F1727" s="385" t="s">
        <v>15</v>
      </c>
      <c r="G1727" s="385" t="s">
        <v>41</v>
      </c>
      <c r="H1727" s="386">
        <v>11.8</v>
      </c>
      <c r="I1727" s="387">
        <v>9.6999999999999993</v>
      </c>
      <c r="J1727" s="19">
        <v>4</v>
      </c>
      <c r="K1727" s="13">
        <v>0.45783999999999997</v>
      </c>
      <c r="L1727" s="7" t="s">
        <v>483</v>
      </c>
      <c r="M1727" s="372"/>
      <c r="N1727" s="111"/>
    </row>
    <row r="1728" spans="1:14">
      <c r="A1728" s="7"/>
      <c r="B1728" s="381" t="s">
        <v>446</v>
      </c>
      <c r="C1728" s="3" t="s">
        <v>232</v>
      </c>
      <c r="D1728" s="2" t="s">
        <v>447</v>
      </c>
      <c r="E1728" s="382" t="s">
        <v>20</v>
      </c>
      <c r="F1728" s="385" t="s">
        <v>15</v>
      </c>
      <c r="G1728" s="385" t="s">
        <v>41</v>
      </c>
      <c r="H1728" s="386">
        <v>11.8</v>
      </c>
      <c r="I1728" s="387">
        <v>9.85</v>
      </c>
      <c r="J1728" s="19">
        <v>1</v>
      </c>
      <c r="K1728" s="13">
        <v>0.11623</v>
      </c>
      <c r="L1728" s="7" t="s">
        <v>483</v>
      </c>
      <c r="M1728" s="372"/>
      <c r="N1728" s="111"/>
    </row>
    <row r="1729" spans="1:14">
      <c r="A1729" s="7"/>
      <c r="B1729" s="381" t="s">
        <v>446</v>
      </c>
      <c r="C1729" s="3" t="s">
        <v>232</v>
      </c>
      <c r="D1729" s="2" t="s">
        <v>447</v>
      </c>
      <c r="E1729" s="382" t="s">
        <v>20</v>
      </c>
      <c r="F1729" s="385" t="s">
        <v>15</v>
      </c>
      <c r="G1729" s="385" t="s">
        <v>41</v>
      </c>
      <c r="H1729" s="386">
        <v>11.8</v>
      </c>
      <c r="I1729" s="387">
        <v>10.199999999999999</v>
      </c>
      <c r="J1729" s="19">
        <v>1</v>
      </c>
      <c r="K1729" s="13">
        <v>0.12035999999999999</v>
      </c>
      <c r="L1729" s="7" t="s">
        <v>483</v>
      </c>
      <c r="M1729" s="372"/>
      <c r="N1729" s="111"/>
    </row>
    <row r="1730" spans="1:14">
      <c r="A1730" s="7"/>
      <c r="B1730" s="381" t="s">
        <v>446</v>
      </c>
      <c r="C1730" s="3" t="s">
        <v>232</v>
      </c>
      <c r="D1730" s="2" t="s">
        <v>447</v>
      </c>
      <c r="E1730" s="382" t="s">
        <v>20</v>
      </c>
      <c r="F1730" s="385" t="s">
        <v>15</v>
      </c>
      <c r="G1730" s="385" t="s">
        <v>41</v>
      </c>
      <c r="H1730" s="386">
        <v>11.8</v>
      </c>
      <c r="I1730" s="387">
        <v>10.7</v>
      </c>
      <c r="J1730" s="19">
        <v>1</v>
      </c>
      <c r="K1730" s="13">
        <v>0.12626000000000001</v>
      </c>
      <c r="L1730" s="7" t="s">
        <v>483</v>
      </c>
      <c r="M1730" s="372"/>
      <c r="N1730" s="111"/>
    </row>
    <row r="1731" spans="1:14">
      <c r="A1731" s="7"/>
      <c r="B1731" s="381" t="s">
        <v>446</v>
      </c>
      <c r="C1731" s="3" t="s">
        <v>232</v>
      </c>
      <c r="D1731" s="2" t="s">
        <v>447</v>
      </c>
      <c r="E1731" s="382" t="s">
        <v>20</v>
      </c>
      <c r="F1731" s="385" t="s">
        <v>15</v>
      </c>
      <c r="G1731" s="385" t="s">
        <v>41</v>
      </c>
      <c r="H1731" s="386">
        <v>11.8</v>
      </c>
      <c r="I1731" s="387">
        <v>10</v>
      </c>
      <c r="J1731" s="19">
        <v>0</v>
      </c>
      <c r="K1731" s="13">
        <v>0</v>
      </c>
      <c r="L1731" s="7" t="s">
        <v>483</v>
      </c>
      <c r="M1731" s="372"/>
      <c r="N1731" s="111"/>
    </row>
    <row r="1732" spans="1:14">
      <c r="A1732" s="7"/>
      <c r="B1732" s="381" t="s">
        <v>446</v>
      </c>
      <c r="C1732" s="3" t="s">
        <v>232</v>
      </c>
      <c r="D1732" s="2" t="s">
        <v>447</v>
      </c>
      <c r="E1732" s="382" t="s">
        <v>20</v>
      </c>
      <c r="F1732" s="385" t="s">
        <v>15</v>
      </c>
      <c r="G1732" s="385" t="s">
        <v>41</v>
      </c>
      <c r="H1732" s="386">
        <v>11.8</v>
      </c>
      <c r="I1732" s="387">
        <v>10</v>
      </c>
      <c r="J1732" s="19">
        <v>0</v>
      </c>
      <c r="K1732" s="13">
        <v>0</v>
      </c>
      <c r="L1732" s="7" t="s">
        <v>483</v>
      </c>
      <c r="M1732" s="372"/>
      <c r="N1732" s="111"/>
    </row>
    <row r="1733" spans="1:14">
      <c r="A1733" s="7"/>
      <c r="B1733" s="381" t="s">
        <v>446</v>
      </c>
      <c r="C1733" s="3" t="s">
        <v>232</v>
      </c>
      <c r="D1733" s="2" t="s">
        <v>447</v>
      </c>
      <c r="E1733" s="382" t="s">
        <v>20</v>
      </c>
      <c r="F1733" s="385" t="s">
        <v>15</v>
      </c>
      <c r="G1733" s="385" t="s">
        <v>41</v>
      </c>
      <c r="H1733" s="386">
        <v>11.8</v>
      </c>
      <c r="I1733" s="387">
        <v>10</v>
      </c>
      <c r="J1733" s="19">
        <v>0</v>
      </c>
      <c r="K1733" s="13">
        <v>0</v>
      </c>
      <c r="L1733" s="7" t="s">
        <v>483</v>
      </c>
      <c r="M1733" s="372"/>
      <c r="N1733" s="111"/>
    </row>
    <row r="1734" spans="1:14">
      <c r="A1734" s="7"/>
      <c r="B1734" s="381" t="s">
        <v>446</v>
      </c>
      <c r="C1734" s="3" t="s">
        <v>232</v>
      </c>
      <c r="D1734" s="2" t="s">
        <v>447</v>
      </c>
      <c r="E1734" s="382" t="s">
        <v>20</v>
      </c>
      <c r="F1734" s="385" t="s">
        <v>15</v>
      </c>
      <c r="G1734" s="385" t="s">
        <v>41</v>
      </c>
      <c r="H1734" s="386">
        <v>11.8</v>
      </c>
      <c r="I1734" s="387">
        <v>10</v>
      </c>
      <c r="J1734" s="19">
        <v>0</v>
      </c>
      <c r="K1734" s="13">
        <v>0</v>
      </c>
      <c r="L1734" s="7" t="s">
        <v>483</v>
      </c>
      <c r="M1734" s="372"/>
      <c r="N1734" s="111"/>
    </row>
    <row r="1735" spans="1:14">
      <c r="A1735" s="7"/>
      <c r="B1735" s="381" t="s">
        <v>446</v>
      </c>
      <c r="C1735" s="3" t="s">
        <v>232</v>
      </c>
      <c r="D1735" s="2" t="s">
        <v>447</v>
      </c>
      <c r="E1735" s="382" t="s">
        <v>20</v>
      </c>
      <c r="F1735" s="385" t="s">
        <v>15</v>
      </c>
      <c r="G1735" s="385" t="s">
        <v>41</v>
      </c>
      <c r="H1735" s="386">
        <v>11.8</v>
      </c>
      <c r="I1735" s="387">
        <v>10</v>
      </c>
      <c r="J1735" s="19">
        <v>0</v>
      </c>
      <c r="K1735" s="13">
        <v>0</v>
      </c>
      <c r="L1735" s="7" t="s">
        <v>483</v>
      </c>
      <c r="M1735" s="372"/>
      <c r="N1735" s="111"/>
    </row>
    <row r="1736" spans="1:14">
      <c r="A1736" s="7"/>
      <c r="B1736" s="381" t="s">
        <v>446</v>
      </c>
      <c r="C1736" s="3" t="s">
        <v>232</v>
      </c>
      <c r="D1736" s="2" t="s">
        <v>447</v>
      </c>
      <c r="E1736" s="382" t="s">
        <v>20</v>
      </c>
      <c r="F1736" s="385" t="s">
        <v>15</v>
      </c>
      <c r="G1736" s="385" t="s">
        <v>41</v>
      </c>
      <c r="H1736" s="386">
        <v>11.8</v>
      </c>
      <c r="I1736" s="387">
        <v>10</v>
      </c>
      <c r="J1736" s="19">
        <v>0</v>
      </c>
      <c r="K1736" s="13">
        <v>0</v>
      </c>
      <c r="L1736" s="7" t="s">
        <v>483</v>
      </c>
      <c r="M1736" s="372"/>
      <c r="N1736" s="111"/>
    </row>
    <row r="1737" spans="1:14">
      <c r="A1737" s="7"/>
      <c r="B1737" s="381" t="s">
        <v>446</v>
      </c>
      <c r="C1737" s="3" t="s">
        <v>232</v>
      </c>
      <c r="D1737" s="2" t="s">
        <v>447</v>
      </c>
      <c r="E1737" s="382" t="s">
        <v>20</v>
      </c>
      <c r="F1737" s="385" t="s">
        <v>15</v>
      </c>
      <c r="G1737" s="385" t="s">
        <v>41</v>
      </c>
      <c r="H1737" s="386">
        <v>11.8</v>
      </c>
      <c r="I1737" s="387">
        <v>10</v>
      </c>
      <c r="J1737" s="19">
        <v>0</v>
      </c>
      <c r="K1737" s="13">
        <v>0</v>
      </c>
      <c r="L1737" s="7" t="s">
        <v>483</v>
      </c>
      <c r="M1737" s="372"/>
      <c r="N1737" s="111"/>
    </row>
    <row r="1738" spans="1:14">
      <c r="A1738" s="7"/>
      <c r="B1738" s="381" t="s">
        <v>446</v>
      </c>
      <c r="C1738" s="3" t="s">
        <v>232</v>
      </c>
      <c r="D1738" s="2" t="s">
        <v>447</v>
      </c>
      <c r="E1738" s="382" t="s">
        <v>20</v>
      </c>
      <c r="F1738" s="385" t="s">
        <v>15</v>
      </c>
      <c r="G1738" s="385" t="s">
        <v>41</v>
      </c>
      <c r="H1738" s="386">
        <v>11.8</v>
      </c>
      <c r="I1738" s="387">
        <v>10</v>
      </c>
      <c r="J1738" s="19">
        <v>0</v>
      </c>
      <c r="K1738" s="13">
        <v>0</v>
      </c>
      <c r="L1738" s="7" t="s">
        <v>483</v>
      </c>
      <c r="M1738" s="372"/>
      <c r="N1738" s="111"/>
    </row>
    <row r="1739" spans="1:14">
      <c r="A1739" s="7"/>
      <c r="B1739" s="381" t="s">
        <v>446</v>
      </c>
      <c r="C1739" s="3" t="s">
        <v>232</v>
      </c>
      <c r="D1739" s="2" t="s">
        <v>447</v>
      </c>
      <c r="E1739" s="382" t="s">
        <v>20</v>
      </c>
      <c r="F1739" s="385" t="s">
        <v>15</v>
      </c>
      <c r="G1739" s="385" t="s">
        <v>41</v>
      </c>
      <c r="H1739" s="386">
        <v>11.8</v>
      </c>
      <c r="I1739" s="387">
        <v>11</v>
      </c>
      <c r="J1739" s="19">
        <v>0</v>
      </c>
      <c r="K1739" s="13">
        <v>0</v>
      </c>
      <c r="L1739" s="7" t="s">
        <v>483</v>
      </c>
      <c r="M1739" s="372"/>
      <c r="N1739" s="111"/>
    </row>
    <row r="1740" spans="1:14">
      <c r="A1740" s="7"/>
      <c r="B1740" s="381" t="s">
        <v>446</v>
      </c>
      <c r="C1740" s="3" t="s">
        <v>232</v>
      </c>
      <c r="D1740" s="2" t="s">
        <v>447</v>
      </c>
      <c r="E1740" s="382" t="s">
        <v>20</v>
      </c>
      <c r="F1740" s="385" t="s">
        <v>15</v>
      </c>
      <c r="G1740" s="385" t="s">
        <v>41</v>
      </c>
      <c r="H1740" s="386">
        <v>11.8</v>
      </c>
      <c r="I1740" s="387">
        <v>11</v>
      </c>
      <c r="J1740" s="19">
        <v>0</v>
      </c>
      <c r="K1740" s="13">
        <v>0</v>
      </c>
      <c r="L1740" s="7" t="s">
        <v>483</v>
      </c>
      <c r="M1740" s="372"/>
      <c r="N1740" s="111"/>
    </row>
    <row r="1741" spans="1:14">
      <c r="A1741" s="7"/>
      <c r="B1741" s="381" t="s">
        <v>446</v>
      </c>
      <c r="C1741" s="3" t="s">
        <v>232</v>
      </c>
      <c r="D1741" s="2" t="s">
        <v>447</v>
      </c>
      <c r="E1741" s="382" t="s">
        <v>20</v>
      </c>
      <c r="F1741" s="385" t="s">
        <v>15</v>
      </c>
      <c r="G1741" s="385" t="s">
        <v>41</v>
      </c>
      <c r="H1741" s="386">
        <v>11.8</v>
      </c>
      <c r="I1741" s="387">
        <v>12</v>
      </c>
      <c r="J1741" s="19">
        <v>0</v>
      </c>
      <c r="K1741" s="13">
        <v>0</v>
      </c>
      <c r="L1741" s="7" t="s">
        <v>483</v>
      </c>
      <c r="M1741" s="372"/>
      <c r="N1741" s="111"/>
    </row>
    <row r="1742" spans="1:14">
      <c r="A1742" s="7"/>
      <c r="B1742" s="381" t="s">
        <v>446</v>
      </c>
      <c r="C1742" s="3" t="s">
        <v>232</v>
      </c>
      <c r="D1742" s="2" t="s">
        <v>447</v>
      </c>
      <c r="E1742" s="382" t="s">
        <v>20</v>
      </c>
      <c r="F1742" s="385" t="s">
        <v>15</v>
      </c>
      <c r="G1742" s="385" t="s">
        <v>41</v>
      </c>
      <c r="H1742" s="386">
        <v>11.8</v>
      </c>
      <c r="I1742" s="387">
        <v>9.6999999999999993</v>
      </c>
      <c r="J1742" s="19">
        <v>4</v>
      </c>
      <c r="K1742" s="13">
        <v>0.45783999999999997</v>
      </c>
      <c r="L1742" s="7" t="s">
        <v>483</v>
      </c>
      <c r="M1742" s="372"/>
      <c r="N1742" s="111"/>
    </row>
    <row r="1743" spans="1:14">
      <c r="A1743" s="7"/>
      <c r="B1743" s="381" t="s">
        <v>446</v>
      </c>
      <c r="C1743" s="3" t="s">
        <v>232</v>
      </c>
      <c r="D1743" s="2" t="s">
        <v>447</v>
      </c>
      <c r="E1743" s="382" t="s">
        <v>20</v>
      </c>
      <c r="F1743" s="385" t="s">
        <v>15</v>
      </c>
      <c r="G1743" s="385" t="s">
        <v>41</v>
      </c>
      <c r="H1743" s="386">
        <v>11.8</v>
      </c>
      <c r="I1743" s="387">
        <v>9.5</v>
      </c>
      <c r="J1743" s="19">
        <v>14</v>
      </c>
      <c r="K1743" s="13">
        <v>1.5694000000000001</v>
      </c>
      <c r="L1743" s="7" t="s">
        <v>483</v>
      </c>
      <c r="M1743" s="372"/>
      <c r="N1743" s="111"/>
    </row>
    <row r="1744" spans="1:14">
      <c r="A1744" s="7"/>
      <c r="B1744" s="381" t="s">
        <v>446</v>
      </c>
      <c r="C1744" s="3" t="s">
        <v>232</v>
      </c>
      <c r="D1744" s="2" t="s">
        <v>447</v>
      </c>
      <c r="E1744" s="382" t="s">
        <v>20</v>
      </c>
      <c r="F1744" s="385" t="s">
        <v>15</v>
      </c>
      <c r="G1744" s="385" t="s">
        <v>41</v>
      </c>
      <c r="H1744" s="386">
        <v>11.8</v>
      </c>
      <c r="I1744" s="387">
        <v>9.1</v>
      </c>
      <c r="J1744" s="19">
        <v>1</v>
      </c>
      <c r="K1744" s="13">
        <v>0.10737999999999999</v>
      </c>
      <c r="L1744" s="7" t="s">
        <v>483</v>
      </c>
      <c r="M1744" s="372"/>
      <c r="N1744" s="111"/>
    </row>
    <row r="1745" spans="1:14">
      <c r="A1745" s="7"/>
      <c r="B1745" s="381" t="s">
        <v>446</v>
      </c>
      <c r="C1745" s="3" t="s">
        <v>232</v>
      </c>
      <c r="D1745" s="2" t="s">
        <v>447</v>
      </c>
      <c r="E1745" s="382" t="s">
        <v>20</v>
      </c>
      <c r="F1745" s="385" t="s">
        <v>15</v>
      </c>
      <c r="G1745" s="385" t="s">
        <v>41</v>
      </c>
      <c r="H1745" s="386">
        <v>11.8</v>
      </c>
      <c r="I1745" s="387">
        <v>9</v>
      </c>
      <c r="J1745" s="19">
        <v>2</v>
      </c>
      <c r="K1745" s="13">
        <v>0.21240000000000001</v>
      </c>
      <c r="L1745" s="7" t="s">
        <v>483</v>
      </c>
      <c r="M1745" s="372"/>
      <c r="N1745" s="111"/>
    </row>
    <row r="1746" spans="1:14">
      <c r="A1746" s="7"/>
      <c r="B1746" s="381" t="s">
        <v>446</v>
      </c>
      <c r="C1746" s="3" t="s">
        <v>232</v>
      </c>
      <c r="D1746" s="2" t="s">
        <v>447</v>
      </c>
      <c r="E1746" s="382" t="s">
        <v>20</v>
      </c>
      <c r="F1746" s="385" t="s">
        <v>15</v>
      </c>
      <c r="G1746" s="385" t="s">
        <v>41</v>
      </c>
      <c r="H1746" s="386">
        <v>11.8</v>
      </c>
      <c r="I1746" s="387">
        <v>10</v>
      </c>
      <c r="J1746" s="19">
        <v>0</v>
      </c>
      <c r="K1746" s="13">
        <v>0</v>
      </c>
      <c r="L1746" s="7" t="s">
        <v>483</v>
      </c>
      <c r="M1746" s="372"/>
      <c r="N1746" s="111"/>
    </row>
    <row r="1747" spans="1:14">
      <c r="A1747" s="7"/>
      <c r="B1747" s="381" t="s">
        <v>446</v>
      </c>
      <c r="C1747" s="3" t="s">
        <v>232</v>
      </c>
      <c r="D1747" s="2" t="s">
        <v>447</v>
      </c>
      <c r="E1747" s="382" t="s">
        <v>20</v>
      </c>
      <c r="F1747" s="385" t="s">
        <v>15</v>
      </c>
      <c r="G1747" s="385" t="s">
        <v>41</v>
      </c>
      <c r="H1747" s="386">
        <v>11.8</v>
      </c>
      <c r="I1747" s="387">
        <v>10</v>
      </c>
      <c r="J1747" s="19">
        <v>0</v>
      </c>
      <c r="K1747" s="13">
        <v>0</v>
      </c>
      <c r="L1747" s="7" t="s">
        <v>483</v>
      </c>
      <c r="M1747" s="372"/>
      <c r="N1747" s="111"/>
    </row>
    <row r="1748" spans="1:14">
      <c r="A1748" s="7"/>
      <c r="B1748" s="381" t="s">
        <v>446</v>
      </c>
      <c r="C1748" s="3" t="s">
        <v>232</v>
      </c>
      <c r="D1748" s="2" t="s">
        <v>447</v>
      </c>
      <c r="E1748" s="382" t="s">
        <v>20</v>
      </c>
      <c r="F1748" s="385" t="s">
        <v>15</v>
      </c>
      <c r="G1748" s="385" t="s">
        <v>41</v>
      </c>
      <c r="H1748" s="386">
        <v>11.8</v>
      </c>
      <c r="I1748" s="387">
        <v>10</v>
      </c>
      <c r="J1748" s="19">
        <v>0</v>
      </c>
      <c r="K1748" s="13">
        <v>0</v>
      </c>
      <c r="L1748" s="7" t="s">
        <v>483</v>
      </c>
      <c r="M1748" s="372"/>
      <c r="N1748" s="111"/>
    </row>
    <row r="1749" spans="1:14">
      <c r="A1749" s="7"/>
      <c r="B1749" s="381" t="s">
        <v>446</v>
      </c>
      <c r="C1749" s="3" t="s">
        <v>232</v>
      </c>
      <c r="D1749" s="2" t="s">
        <v>447</v>
      </c>
      <c r="E1749" s="382" t="s">
        <v>20</v>
      </c>
      <c r="F1749" s="385" t="s">
        <v>15</v>
      </c>
      <c r="G1749" s="385" t="s">
        <v>41</v>
      </c>
      <c r="H1749" s="386">
        <v>11.8</v>
      </c>
      <c r="I1749" s="387">
        <v>10</v>
      </c>
      <c r="J1749" s="19">
        <v>0</v>
      </c>
      <c r="K1749" s="13">
        <v>0</v>
      </c>
      <c r="L1749" s="7" t="s">
        <v>483</v>
      </c>
      <c r="M1749" s="372"/>
      <c r="N1749" s="111"/>
    </row>
    <row r="1750" spans="1:14">
      <c r="A1750" s="7"/>
      <c r="B1750" s="381" t="s">
        <v>446</v>
      </c>
      <c r="C1750" s="3" t="s">
        <v>232</v>
      </c>
      <c r="D1750" s="2" t="s">
        <v>447</v>
      </c>
      <c r="E1750" s="382" t="s">
        <v>20</v>
      </c>
      <c r="F1750" s="385" t="s">
        <v>15</v>
      </c>
      <c r="G1750" s="385" t="s">
        <v>41</v>
      </c>
      <c r="H1750" s="386">
        <v>11.8</v>
      </c>
      <c r="I1750" s="387">
        <v>10</v>
      </c>
      <c r="J1750" s="19">
        <v>0</v>
      </c>
      <c r="K1750" s="13">
        <v>0</v>
      </c>
      <c r="L1750" s="7" t="s">
        <v>483</v>
      </c>
      <c r="M1750" s="372"/>
      <c r="N1750" s="111"/>
    </row>
    <row r="1751" spans="1:14">
      <c r="A1751" s="7"/>
      <c r="B1751" s="381" t="s">
        <v>446</v>
      </c>
      <c r="C1751" s="3" t="s">
        <v>232</v>
      </c>
      <c r="D1751" s="2" t="s">
        <v>447</v>
      </c>
      <c r="E1751" s="382" t="s">
        <v>20</v>
      </c>
      <c r="F1751" s="385" t="s">
        <v>15</v>
      </c>
      <c r="G1751" s="385" t="s">
        <v>41</v>
      </c>
      <c r="H1751" s="386">
        <v>11.8</v>
      </c>
      <c r="I1751" s="387">
        <v>10</v>
      </c>
      <c r="J1751" s="19">
        <v>0</v>
      </c>
      <c r="K1751" s="13">
        <v>0</v>
      </c>
      <c r="L1751" s="7" t="s">
        <v>483</v>
      </c>
      <c r="M1751" s="372"/>
      <c r="N1751" s="111"/>
    </row>
    <row r="1752" spans="1:14">
      <c r="A1752" s="7"/>
      <c r="B1752" s="381" t="s">
        <v>446</v>
      </c>
      <c r="C1752" s="3" t="s">
        <v>232</v>
      </c>
      <c r="D1752" s="2" t="s">
        <v>447</v>
      </c>
      <c r="E1752" s="382" t="s">
        <v>20</v>
      </c>
      <c r="F1752" s="385" t="s">
        <v>15</v>
      </c>
      <c r="G1752" s="385" t="s">
        <v>41</v>
      </c>
      <c r="H1752" s="386">
        <v>11.8</v>
      </c>
      <c r="I1752" s="387">
        <v>10</v>
      </c>
      <c r="J1752" s="19">
        <v>0</v>
      </c>
      <c r="K1752" s="13">
        <v>0</v>
      </c>
      <c r="L1752" s="7" t="s">
        <v>483</v>
      </c>
      <c r="M1752" s="372"/>
      <c r="N1752" s="111"/>
    </row>
    <row r="1753" spans="1:14">
      <c r="A1753" s="7"/>
      <c r="B1753" s="381" t="s">
        <v>446</v>
      </c>
      <c r="C1753" s="3" t="s">
        <v>232</v>
      </c>
      <c r="D1753" s="2" t="s">
        <v>447</v>
      </c>
      <c r="E1753" s="382" t="s">
        <v>20</v>
      </c>
      <c r="F1753" s="385" t="s">
        <v>15</v>
      </c>
      <c r="G1753" s="385" t="s">
        <v>41</v>
      </c>
      <c r="H1753" s="386">
        <v>11.8</v>
      </c>
      <c r="I1753" s="387">
        <v>10</v>
      </c>
      <c r="J1753" s="19">
        <v>0</v>
      </c>
      <c r="K1753" s="13">
        <v>0</v>
      </c>
      <c r="L1753" s="7" t="s">
        <v>483</v>
      </c>
      <c r="M1753" s="372"/>
      <c r="N1753" s="111"/>
    </row>
    <row r="1754" spans="1:14">
      <c r="A1754" s="7"/>
      <c r="B1754" s="381" t="s">
        <v>296</v>
      </c>
      <c r="C1754" s="3" t="s">
        <v>297</v>
      </c>
      <c r="D1754" s="2" t="s">
        <v>228</v>
      </c>
      <c r="E1754" s="382" t="s">
        <v>20</v>
      </c>
      <c r="F1754" s="385" t="s">
        <v>15</v>
      </c>
      <c r="G1754" s="385" t="s">
        <v>56</v>
      </c>
      <c r="H1754" s="386">
        <v>25.2</v>
      </c>
      <c r="I1754" s="387">
        <v>12</v>
      </c>
      <c r="J1754" s="19">
        <v>0</v>
      </c>
      <c r="K1754" s="13">
        <v>0</v>
      </c>
      <c r="L1754" s="7" t="s">
        <v>483</v>
      </c>
    </row>
    <row r="1755" spans="1:14">
      <c r="A1755" s="7"/>
      <c r="B1755" s="381" t="s">
        <v>296</v>
      </c>
      <c r="C1755" s="3" t="s">
        <v>297</v>
      </c>
      <c r="D1755" s="2" t="s">
        <v>228</v>
      </c>
      <c r="E1755" s="382" t="s">
        <v>20</v>
      </c>
      <c r="F1755" s="385" t="s">
        <v>15</v>
      </c>
      <c r="G1755" s="385" t="s">
        <v>56</v>
      </c>
      <c r="H1755" s="386">
        <v>25.2</v>
      </c>
      <c r="I1755" s="387">
        <v>11.5</v>
      </c>
      <c r="J1755" s="19">
        <v>0</v>
      </c>
      <c r="K1755" s="13">
        <v>0</v>
      </c>
      <c r="L1755" s="7" t="s">
        <v>483</v>
      </c>
    </row>
    <row r="1756" spans="1:14">
      <c r="A1756" s="7"/>
      <c r="B1756" s="381" t="s">
        <v>296</v>
      </c>
      <c r="C1756" s="3" t="s">
        <v>297</v>
      </c>
      <c r="D1756" s="2" t="s">
        <v>228</v>
      </c>
      <c r="E1756" s="382" t="s">
        <v>20</v>
      </c>
      <c r="F1756" s="385" t="s">
        <v>15</v>
      </c>
      <c r="G1756" s="385" t="s">
        <v>56</v>
      </c>
      <c r="H1756" s="386">
        <v>25.2</v>
      </c>
      <c r="I1756" s="387">
        <v>12</v>
      </c>
      <c r="J1756" s="19">
        <v>1</v>
      </c>
      <c r="K1756" s="13">
        <v>0.3024</v>
      </c>
      <c r="L1756" s="7" t="s">
        <v>483</v>
      </c>
    </row>
    <row r="1757" spans="1:14">
      <c r="A1757" s="7"/>
      <c r="B1757" s="381" t="s">
        <v>296</v>
      </c>
      <c r="C1757" s="3" t="s">
        <v>297</v>
      </c>
      <c r="D1757" s="2" t="s">
        <v>228</v>
      </c>
      <c r="E1757" s="382" t="s">
        <v>20</v>
      </c>
      <c r="F1757" s="385" t="s">
        <v>15</v>
      </c>
      <c r="G1757" s="385" t="s">
        <v>56</v>
      </c>
      <c r="H1757" s="386">
        <v>25.2</v>
      </c>
      <c r="I1757" s="387">
        <v>11.7</v>
      </c>
      <c r="J1757" s="19">
        <v>1</v>
      </c>
      <c r="K1757" s="13">
        <v>0.29483999999999999</v>
      </c>
      <c r="L1757" s="7" t="s">
        <v>483</v>
      </c>
    </row>
    <row r="1758" spans="1:14">
      <c r="A1758" s="7"/>
      <c r="B1758" s="381" t="s">
        <v>296</v>
      </c>
      <c r="C1758" s="3" t="s">
        <v>297</v>
      </c>
      <c r="D1758" s="2" t="s">
        <v>228</v>
      </c>
      <c r="E1758" s="382" t="s">
        <v>20</v>
      </c>
      <c r="F1758" s="385" t="s">
        <v>15</v>
      </c>
      <c r="G1758" s="385" t="s">
        <v>56</v>
      </c>
      <c r="H1758" s="386">
        <v>25.2</v>
      </c>
      <c r="I1758" s="387">
        <v>11.5</v>
      </c>
      <c r="J1758" s="19">
        <v>1</v>
      </c>
      <c r="K1758" s="13">
        <v>0.2898</v>
      </c>
      <c r="L1758" s="7" t="s">
        <v>483</v>
      </c>
    </row>
    <row r="1759" spans="1:14">
      <c r="A1759" s="7"/>
      <c r="B1759" s="381" t="s">
        <v>296</v>
      </c>
      <c r="C1759" s="3" t="s">
        <v>299</v>
      </c>
      <c r="D1759" s="2" t="s">
        <v>228</v>
      </c>
      <c r="E1759" s="382" t="s">
        <v>298</v>
      </c>
      <c r="F1759" s="385" t="s">
        <v>15</v>
      </c>
      <c r="G1759" s="385" t="s">
        <v>56</v>
      </c>
      <c r="H1759" s="386">
        <v>25.2</v>
      </c>
      <c r="I1759" s="387">
        <v>6.1</v>
      </c>
      <c r="J1759" s="19">
        <v>0</v>
      </c>
      <c r="K1759" s="13">
        <v>0</v>
      </c>
      <c r="L1759" s="7" t="s">
        <v>483</v>
      </c>
    </row>
    <row r="1760" spans="1:14">
      <c r="A1760" s="7"/>
      <c r="B1760" s="381" t="s">
        <v>296</v>
      </c>
      <c r="C1760" s="3" t="s">
        <v>299</v>
      </c>
      <c r="D1760" s="2" t="s">
        <v>228</v>
      </c>
      <c r="E1760" s="382" t="s">
        <v>298</v>
      </c>
      <c r="F1760" s="385" t="s">
        <v>15</v>
      </c>
      <c r="G1760" s="385" t="s">
        <v>56</v>
      </c>
      <c r="H1760" s="386">
        <v>25.2</v>
      </c>
      <c r="I1760" s="387">
        <v>6.1</v>
      </c>
      <c r="J1760" s="19">
        <v>1</v>
      </c>
      <c r="K1760" s="13">
        <v>0.15372</v>
      </c>
      <c r="L1760" s="7" t="s">
        <v>483</v>
      </c>
    </row>
    <row r="1761" spans="1:12">
      <c r="A1761" s="7"/>
      <c r="B1761" s="381" t="s">
        <v>296</v>
      </c>
      <c r="C1761" s="3" t="s">
        <v>299</v>
      </c>
      <c r="D1761" s="2" t="s">
        <v>228</v>
      </c>
      <c r="E1761" s="382" t="s">
        <v>298</v>
      </c>
      <c r="F1761" s="385" t="s">
        <v>15</v>
      </c>
      <c r="G1761" s="385" t="s">
        <v>56</v>
      </c>
      <c r="H1761" s="386">
        <v>25.2</v>
      </c>
      <c r="I1761" s="387">
        <v>10</v>
      </c>
      <c r="J1761" s="19">
        <v>1</v>
      </c>
      <c r="K1761" s="13">
        <v>0.252</v>
      </c>
      <c r="L1761" s="7" t="s">
        <v>483</v>
      </c>
    </row>
    <row r="1762" spans="1:12">
      <c r="A1762" s="7"/>
      <c r="B1762" s="381" t="s">
        <v>296</v>
      </c>
      <c r="C1762" s="3" t="s">
        <v>299</v>
      </c>
      <c r="D1762" s="2" t="s">
        <v>228</v>
      </c>
      <c r="E1762" s="382" t="s">
        <v>298</v>
      </c>
      <c r="F1762" s="385" t="s">
        <v>15</v>
      </c>
      <c r="G1762" s="385" t="s">
        <v>56</v>
      </c>
      <c r="H1762" s="386">
        <v>25.2</v>
      </c>
      <c r="I1762" s="387">
        <v>11.2</v>
      </c>
      <c r="J1762" s="19">
        <v>1</v>
      </c>
      <c r="K1762" s="13">
        <v>0.28223999999999994</v>
      </c>
      <c r="L1762" s="7" t="s">
        <v>483</v>
      </c>
    </row>
    <row r="1763" spans="1:12">
      <c r="A1763" s="7"/>
      <c r="B1763" s="381" t="s">
        <v>296</v>
      </c>
      <c r="C1763" s="3" t="s">
        <v>299</v>
      </c>
      <c r="D1763" s="2" t="s">
        <v>228</v>
      </c>
      <c r="E1763" s="382" t="s">
        <v>298</v>
      </c>
      <c r="F1763" s="385" t="s">
        <v>15</v>
      </c>
      <c r="G1763" s="385" t="s">
        <v>56</v>
      </c>
      <c r="H1763" s="386">
        <v>25.2</v>
      </c>
      <c r="I1763" s="387">
        <v>12.2</v>
      </c>
      <c r="J1763" s="19">
        <v>1</v>
      </c>
      <c r="K1763" s="13">
        <v>0.30743999999999999</v>
      </c>
      <c r="L1763" s="7" t="s">
        <v>483</v>
      </c>
    </row>
    <row r="1764" spans="1:12">
      <c r="A1764" s="7"/>
      <c r="B1764" s="381" t="s">
        <v>296</v>
      </c>
      <c r="C1764" s="3" t="s">
        <v>299</v>
      </c>
      <c r="D1764" s="2" t="s">
        <v>228</v>
      </c>
      <c r="E1764" s="382" t="s">
        <v>298</v>
      </c>
      <c r="F1764" s="385" t="s">
        <v>15</v>
      </c>
      <c r="G1764" s="385" t="s">
        <v>60</v>
      </c>
      <c r="H1764" s="386">
        <v>23</v>
      </c>
      <c r="I1764" s="387">
        <v>6.2</v>
      </c>
      <c r="J1764" s="19">
        <v>0</v>
      </c>
      <c r="K1764" s="13">
        <v>0</v>
      </c>
      <c r="L1764" s="7" t="s">
        <v>483</v>
      </c>
    </row>
    <row r="1765" spans="1:12">
      <c r="A1765" s="7"/>
      <c r="B1765" s="381" t="s">
        <v>296</v>
      </c>
      <c r="C1765" s="3" t="s">
        <v>299</v>
      </c>
      <c r="D1765" s="2" t="s">
        <v>228</v>
      </c>
      <c r="E1765" s="382" t="s">
        <v>298</v>
      </c>
      <c r="F1765" s="385" t="s">
        <v>15</v>
      </c>
      <c r="G1765" s="385" t="s">
        <v>60</v>
      </c>
      <c r="H1765" s="386">
        <v>23</v>
      </c>
      <c r="I1765" s="387">
        <v>6.3</v>
      </c>
      <c r="J1765" s="19">
        <v>0</v>
      </c>
      <c r="K1765" s="13">
        <v>0</v>
      </c>
      <c r="L1765" s="7" t="s">
        <v>483</v>
      </c>
    </row>
    <row r="1766" spans="1:12">
      <c r="A1766" s="7"/>
      <c r="B1766" s="381" t="s">
        <v>296</v>
      </c>
      <c r="C1766" s="3" t="s">
        <v>299</v>
      </c>
      <c r="D1766" s="2" t="s">
        <v>228</v>
      </c>
      <c r="E1766" s="382" t="s">
        <v>298</v>
      </c>
      <c r="F1766" s="385" t="s">
        <v>15</v>
      </c>
      <c r="G1766" s="385" t="s">
        <v>60</v>
      </c>
      <c r="H1766" s="386">
        <v>23</v>
      </c>
      <c r="I1766" s="387">
        <v>7.6</v>
      </c>
      <c r="J1766" s="19">
        <v>0</v>
      </c>
      <c r="K1766" s="13">
        <v>0</v>
      </c>
      <c r="L1766" s="7" t="s">
        <v>483</v>
      </c>
    </row>
    <row r="1767" spans="1:12">
      <c r="A1767" s="7"/>
      <c r="B1767" s="381" t="s">
        <v>296</v>
      </c>
      <c r="C1767" s="3" t="s">
        <v>299</v>
      </c>
      <c r="D1767" s="2" t="s">
        <v>228</v>
      </c>
      <c r="E1767" s="382" t="s">
        <v>298</v>
      </c>
      <c r="F1767" s="385" t="s">
        <v>15</v>
      </c>
      <c r="G1767" s="385" t="s">
        <v>60</v>
      </c>
      <c r="H1767" s="386">
        <v>23</v>
      </c>
      <c r="I1767" s="387">
        <v>5.5</v>
      </c>
      <c r="J1767" s="19">
        <v>1</v>
      </c>
      <c r="K1767" s="13">
        <v>0.1265</v>
      </c>
      <c r="L1767" s="7" t="s">
        <v>483</v>
      </c>
    </row>
    <row r="1768" spans="1:12">
      <c r="A1768" s="7"/>
      <c r="B1768" s="381" t="s">
        <v>296</v>
      </c>
      <c r="C1768" s="3" t="s">
        <v>299</v>
      </c>
      <c r="D1768" s="2" t="s">
        <v>228</v>
      </c>
      <c r="E1768" s="382" t="s">
        <v>298</v>
      </c>
      <c r="F1768" s="385" t="s">
        <v>15</v>
      </c>
      <c r="G1768" s="385" t="s">
        <v>60</v>
      </c>
      <c r="H1768" s="386">
        <v>23</v>
      </c>
      <c r="I1768" s="387">
        <v>5.9</v>
      </c>
      <c r="J1768" s="19">
        <v>2</v>
      </c>
      <c r="K1768" s="13">
        <v>0.27140000000000003</v>
      </c>
      <c r="L1768" s="7" t="s">
        <v>483</v>
      </c>
    </row>
    <row r="1769" spans="1:12">
      <c r="A1769" s="7"/>
      <c r="B1769" s="381" t="s">
        <v>296</v>
      </c>
      <c r="C1769" s="3" t="s">
        <v>299</v>
      </c>
      <c r="D1769" s="2" t="s">
        <v>228</v>
      </c>
      <c r="E1769" s="382" t="s">
        <v>298</v>
      </c>
      <c r="F1769" s="385" t="s">
        <v>15</v>
      </c>
      <c r="G1769" s="385" t="s">
        <v>60</v>
      </c>
      <c r="H1769" s="386">
        <v>23</v>
      </c>
      <c r="I1769" s="387">
        <v>6.1</v>
      </c>
      <c r="J1769" s="19">
        <v>1</v>
      </c>
      <c r="K1769" s="13">
        <v>0.14029999999999998</v>
      </c>
      <c r="L1769" s="7" t="s">
        <v>483</v>
      </c>
    </row>
    <row r="1770" spans="1:12">
      <c r="A1770" s="7"/>
      <c r="B1770" s="381" t="s">
        <v>296</v>
      </c>
      <c r="C1770" s="3" t="s">
        <v>299</v>
      </c>
      <c r="D1770" s="2" t="s">
        <v>228</v>
      </c>
      <c r="E1770" s="382" t="s">
        <v>298</v>
      </c>
      <c r="F1770" s="385" t="s">
        <v>15</v>
      </c>
      <c r="G1770" s="385" t="s">
        <v>60</v>
      </c>
      <c r="H1770" s="386">
        <v>23</v>
      </c>
      <c r="I1770" s="387">
        <v>7.4</v>
      </c>
      <c r="J1770" s="19">
        <v>0</v>
      </c>
      <c r="K1770" s="13">
        <v>0</v>
      </c>
      <c r="L1770" s="7" t="s">
        <v>483</v>
      </c>
    </row>
    <row r="1771" spans="1:12">
      <c r="A1771" s="7"/>
      <c r="B1771" s="381" t="s">
        <v>296</v>
      </c>
      <c r="C1771" s="3" t="s">
        <v>299</v>
      </c>
      <c r="D1771" s="2" t="s">
        <v>228</v>
      </c>
      <c r="E1771" s="382" t="s">
        <v>298</v>
      </c>
      <c r="F1771" s="385" t="s">
        <v>15</v>
      </c>
      <c r="G1771" s="385" t="s">
        <v>60</v>
      </c>
      <c r="H1771" s="386">
        <v>23</v>
      </c>
      <c r="I1771" s="387">
        <v>7.5</v>
      </c>
      <c r="J1771" s="19">
        <v>0</v>
      </c>
      <c r="K1771" s="13">
        <v>0</v>
      </c>
      <c r="L1771" s="7" t="s">
        <v>483</v>
      </c>
    </row>
    <row r="1772" spans="1:12">
      <c r="A1772" s="7"/>
      <c r="B1772" s="381" t="s">
        <v>296</v>
      </c>
      <c r="C1772" s="3" t="s">
        <v>299</v>
      </c>
      <c r="D1772" s="2" t="s">
        <v>228</v>
      </c>
      <c r="E1772" s="382" t="s">
        <v>298</v>
      </c>
      <c r="F1772" s="385" t="s">
        <v>15</v>
      </c>
      <c r="G1772" s="385" t="s">
        <v>60</v>
      </c>
      <c r="H1772" s="386">
        <v>23</v>
      </c>
      <c r="I1772" s="387">
        <v>9</v>
      </c>
      <c r="J1772" s="19">
        <v>0</v>
      </c>
      <c r="K1772" s="13">
        <v>0</v>
      </c>
      <c r="L1772" s="7" t="s">
        <v>483</v>
      </c>
    </row>
    <row r="1773" spans="1:12">
      <c r="A1773" s="7"/>
      <c r="B1773" s="381" t="s">
        <v>296</v>
      </c>
      <c r="C1773" s="3" t="s">
        <v>299</v>
      </c>
      <c r="D1773" s="2" t="s">
        <v>228</v>
      </c>
      <c r="E1773" s="382" t="s">
        <v>298</v>
      </c>
      <c r="F1773" s="385" t="s">
        <v>15</v>
      </c>
      <c r="G1773" s="385" t="s">
        <v>60</v>
      </c>
      <c r="H1773" s="386">
        <v>23</v>
      </c>
      <c r="I1773" s="387">
        <v>6.1</v>
      </c>
      <c r="J1773" s="19">
        <v>0</v>
      </c>
      <c r="K1773" s="13">
        <v>0</v>
      </c>
      <c r="L1773" s="7" t="s">
        <v>483</v>
      </c>
    </row>
    <row r="1774" spans="1:12">
      <c r="A1774" s="7"/>
      <c r="B1774" s="381" t="s">
        <v>296</v>
      </c>
      <c r="C1774" s="3" t="s">
        <v>299</v>
      </c>
      <c r="D1774" s="2" t="s">
        <v>228</v>
      </c>
      <c r="E1774" s="382" t="s">
        <v>298</v>
      </c>
      <c r="F1774" s="385" t="s">
        <v>15</v>
      </c>
      <c r="G1774" s="385" t="s">
        <v>60</v>
      </c>
      <c r="H1774" s="386">
        <v>23</v>
      </c>
      <c r="I1774" s="387">
        <v>7.1</v>
      </c>
      <c r="J1774" s="19">
        <v>0</v>
      </c>
      <c r="K1774" s="13">
        <v>0</v>
      </c>
      <c r="L1774" s="7" t="s">
        <v>483</v>
      </c>
    </row>
    <row r="1775" spans="1:12">
      <c r="A1775" s="7"/>
      <c r="B1775" s="381" t="s">
        <v>296</v>
      </c>
      <c r="C1775" s="3" t="s">
        <v>299</v>
      </c>
      <c r="D1775" s="2" t="s">
        <v>228</v>
      </c>
      <c r="E1775" s="382" t="s">
        <v>298</v>
      </c>
      <c r="F1775" s="385" t="s">
        <v>15</v>
      </c>
      <c r="G1775" s="385" t="s">
        <v>60</v>
      </c>
      <c r="H1775" s="386">
        <v>23</v>
      </c>
      <c r="I1775" s="387">
        <v>11.25</v>
      </c>
      <c r="J1775" s="19">
        <v>1</v>
      </c>
      <c r="K1775" s="13">
        <v>0.25874999999999998</v>
      </c>
      <c r="L1775" s="7" t="s">
        <v>483</v>
      </c>
    </row>
    <row r="1776" spans="1:12">
      <c r="A1776" s="7"/>
      <c r="B1776" s="381" t="s">
        <v>296</v>
      </c>
      <c r="C1776" s="3" t="s">
        <v>299</v>
      </c>
      <c r="D1776" s="2" t="s">
        <v>228</v>
      </c>
      <c r="E1776" s="382" t="s">
        <v>298</v>
      </c>
      <c r="F1776" s="385" t="s">
        <v>15</v>
      </c>
      <c r="G1776" s="385" t="s">
        <v>60</v>
      </c>
      <c r="H1776" s="386">
        <v>23</v>
      </c>
      <c r="I1776" s="387">
        <v>6.3</v>
      </c>
      <c r="J1776" s="19">
        <v>0</v>
      </c>
      <c r="K1776" s="13">
        <v>0</v>
      </c>
      <c r="L1776" s="7" t="s">
        <v>483</v>
      </c>
    </row>
    <row r="1777" spans="1:12">
      <c r="A1777" s="7"/>
      <c r="B1777" s="381" t="s">
        <v>296</v>
      </c>
      <c r="C1777" s="3" t="s">
        <v>299</v>
      </c>
      <c r="D1777" s="2" t="s">
        <v>228</v>
      </c>
      <c r="E1777" s="382" t="s">
        <v>298</v>
      </c>
      <c r="F1777" s="385" t="s">
        <v>15</v>
      </c>
      <c r="G1777" s="385" t="s">
        <v>60</v>
      </c>
      <c r="H1777" s="386">
        <v>23</v>
      </c>
      <c r="I1777" s="387">
        <v>7.4</v>
      </c>
      <c r="J1777" s="19">
        <v>0</v>
      </c>
      <c r="K1777" s="13">
        <v>0</v>
      </c>
      <c r="L1777" s="7" t="s">
        <v>483</v>
      </c>
    </row>
    <row r="1778" spans="1:12">
      <c r="A1778" s="7"/>
      <c r="B1778" s="381" t="s">
        <v>296</v>
      </c>
      <c r="C1778" s="3" t="s">
        <v>297</v>
      </c>
      <c r="D1778" s="2" t="s">
        <v>228</v>
      </c>
      <c r="E1778" s="382" t="s">
        <v>89</v>
      </c>
      <c r="F1778" s="385" t="s">
        <v>15</v>
      </c>
      <c r="G1778" s="385" t="s">
        <v>57</v>
      </c>
      <c r="H1778" s="386">
        <v>33.799999999999997</v>
      </c>
      <c r="I1778" s="387">
        <v>10.1</v>
      </c>
      <c r="J1778" s="19">
        <v>0</v>
      </c>
      <c r="K1778" s="13">
        <v>0</v>
      </c>
      <c r="L1778" s="7" t="s">
        <v>483</v>
      </c>
    </row>
    <row r="1779" spans="1:12">
      <c r="A1779" s="7"/>
      <c r="B1779" s="381" t="s">
        <v>296</v>
      </c>
      <c r="C1779" s="3" t="s">
        <v>297</v>
      </c>
      <c r="D1779" s="2" t="s">
        <v>228</v>
      </c>
      <c r="E1779" s="382" t="s">
        <v>89</v>
      </c>
      <c r="F1779" s="385" t="s">
        <v>15</v>
      </c>
      <c r="G1779" s="385" t="s">
        <v>57</v>
      </c>
      <c r="H1779" s="386">
        <v>33.799999999999997</v>
      </c>
      <c r="I1779" s="387">
        <v>10.1</v>
      </c>
      <c r="J1779" s="19">
        <v>0</v>
      </c>
      <c r="K1779" s="13">
        <v>0</v>
      </c>
      <c r="L1779" s="7" t="s">
        <v>483</v>
      </c>
    </row>
    <row r="1780" spans="1:12">
      <c r="A1780" s="7"/>
      <c r="B1780" s="381" t="s">
        <v>296</v>
      </c>
      <c r="C1780" s="3" t="s">
        <v>297</v>
      </c>
      <c r="D1780" s="2" t="s">
        <v>228</v>
      </c>
      <c r="E1780" s="382" t="s">
        <v>89</v>
      </c>
      <c r="F1780" s="385" t="s">
        <v>15</v>
      </c>
      <c r="G1780" s="385" t="s">
        <v>57</v>
      </c>
      <c r="H1780" s="386">
        <v>33.799999999999997</v>
      </c>
      <c r="I1780" s="387">
        <v>10</v>
      </c>
      <c r="J1780" s="19">
        <v>0</v>
      </c>
      <c r="K1780" s="13">
        <v>0</v>
      </c>
      <c r="L1780" s="7" t="s">
        <v>483</v>
      </c>
    </row>
    <row r="1781" spans="1:12">
      <c r="A1781" s="7"/>
      <c r="B1781" s="381" t="s">
        <v>296</v>
      </c>
      <c r="C1781" s="3" t="s">
        <v>297</v>
      </c>
      <c r="D1781" s="2" t="s">
        <v>228</v>
      </c>
      <c r="E1781" s="382" t="s">
        <v>89</v>
      </c>
      <c r="F1781" s="385" t="s">
        <v>15</v>
      </c>
      <c r="G1781" s="385" t="s">
        <v>57</v>
      </c>
      <c r="H1781" s="386">
        <v>33.799999999999997</v>
      </c>
      <c r="I1781" s="387">
        <v>9.8000000000000007</v>
      </c>
      <c r="J1781" s="19">
        <v>0</v>
      </c>
      <c r="K1781" s="13">
        <v>0</v>
      </c>
      <c r="L1781" s="7" t="s">
        <v>483</v>
      </c>
    </row>
    <row r="1782" spans="1:12">
      <c r="A1782" s="7"/>
      <c r="B1782" s="381" t="s">
        <v>296</v>
      </c>
      <c r="C1782" s="3" t="s">
        <v>297</v>
      </c>
      <c r="D1782" s="2" t="s">
        <v>228</v>
      </c>
      <c r="E1782" s="382" t="s">
        <v>89</v>
      </c>
      <c r="F1782" s="385" t="s">
        <v>15</v>
      </c>
      <c r="G1782" s="385" t="s">
        <v>57</v>
      </c>
      <c r="H1782" s="386">
        <v>33.799999999999997</v>
      </c>
      <c r="I1782" s="387">
        <v>9.6999999999999993</v>
      </c>
      <c r="J1782" s="19">
        <v>0</v>
      </c>
      <c r="K1782" s="13">
        <v>0</v>
      </c>
      <c r="L1782" s="7" t="s">
        <v>483</v>
      </c>
    </row>
    <row r="1783" spans="1:12">
      <c r="A1783" s="7"/>
      <c r="B1783" s="381" t="s">
        <v>296</v>
      </c>
      <c r="C1783" s="3" t="s">
        <v>297</v>
      </c>
      <c r="D1783" s="2" t="s">
        <v>228</v>
      </c>
      <c r="E1783" s="382" t="s">
        <v>89</v>
      </c>
      <c r="F1783" s="385" t="s">
        <v>15</v>
      </c>
      <c r="G1783" s="385" t="s">
        <v>57</v>
      </c>
      <c r="H1783" s="386">
        <v>33.799999999999997</v>
      </c>
      <c r="I1783" s="387">
        <v>10.1</v>
      </c>
      <c r="J1783" s="19">
        <v>0</v>
      </c>
      <c r="K1783" s="13">
        <v>0</v>
      </c>
      <c r="L1783" s="7" t="s">
        <v>483</v>
      </c>
    </row>
    <row r="1784" spans="1:12">
      <c r="A1784" s="7"/>
      <c r="B1784" s="388" t="s">
        <v>296</v>
      </c>
      <c r="C1784" s="377" t="s">
        <v>297</v>
      </c>
      <c r="D1784" s="47" t="s">
        <v>228</v>
      </c>
      <c r="E1784" s="389" t="s">
        <v>89</v>
      </c>
      <c r="F1784" s="390" t="s">
        <v>15</v>
      </c>
      <c r="G1784" s="390" t="s">
        <v>54</v>
      </c>
      <c r="H1784" s="391">
        <v>33.799999999999997</v>
      </c>
      <c r="I1784" s="392">
        <v>10.1</v>
      </c>
      <c r="J1784" s="196">
        <v>0</v>
      </c>
      <c r="K1784" s="197">
        <v>0</v>
      </c>
      <c r="L1784" s="7" t="s">
        <v>483</v>
      </c>
    </row>
    <row r="1785" spans="1:12">
      <c r="A1785" s="7"/>
      <c r="B1785" s="381" t="s">
        <v>308</v>
      </c>
      <c r="C1785" s="3" t="s">
        <v>309</v>
      </c>
      <c r="D1785" s="2" t="s">
        <v>228</v>
      </c>
      <c r="E1785" s="4" t="s">
        <v>17</v>
      </c>
      <c r="F1785" s="385" t="s">
        <v>15</v>
      </c>
      <c r="G1785" s="385" t="s">
        <v>59</v>
      </c>
      <c r="H1785" s="386">
        <v>38</v>
      </c>
      <c r="I1785" s="387">
        <v>6</v>
      </c>
      <c r="J1785" s="19">
        <v>0</v>
      </c>
      <c r="K1785" s="13">
        <v>0</v>
      </c>
      <c r="L1785" s="7" t="s">
        <v>483</v>
      </c>
    </row>
    <row r="1786" spans="1:12">
      <c r="A1786" s="7"/>
      <c r="B1786" s="381" t="s">
        <v>308</v>
      </c>
      <c r="C1786" s="3" t="s">
        <v>309</v>
      </c>
      <c r="D1786" s="2" t="s">
        <v>228</v>
      </c>
      <c r="E1786" s="4" t="s">
        <v>17</v>
      </c>
      <c r="F1786" s="385" t="s">
        <v>15</v>
      </c>
      <c r="G1786" s="385" t="s">
        <v>59</v>
      </c>
      <c r="H1786" s="386">
        <v>38</v>
      </c>
      <c r="I1786" s="387">
        <v>7.5</v>
      </c>
      <c r="J1786" s="19">
        <v>0</v>
      </c>
      <c r="K1786" s="13">
        <v>0</v>
      </c>
      <c r="L1786" s="7" t="s">
        <v>483</v>
      </c>
    </row>
    <row r="1787" spans="1:12">
      <c r="A1787" s="7"/>
      <c r="B1787" s="381" t="s">
        <v>308</v>
      </c>
      <c r="C1787" s="3" t="s">
        <v>309</v>
      </c>
      <c r="D1787" s="2" t="s">
        <v>228</v>
      </c>
      <c r="E1787" s="4" t="s">
        <v>17</v>
      </c>
      <c r="F1787" s="385" t="s">
        <v>15</v>
      </c>
      <c r="G1787" s="385" t="s">
        <v>59</v>
      </c>
      <c r="H1787" s="386">
        <v>38</v>
      </c>
      <c r="I1787" s="387">
        <v>6.6</v>
      </c>
      <c r="J1787" s="19">
        <v>0</v>
      </c>
      <c r="K1787" s="13">
        <v>0</v>
      </c>
      <c r="L1787" s="7" t="s">
        <v>483</v>
      </c>
    </row>
    <row r="1788" spans="1:12">
      <c r="A1788" s="7"/>
      <c r="B1788" s="381" t="s">
        <v>308</v>
      </c>
      <c r="C1788" s="3" t="s">
        <v>309</v>
      </c>
      <c r="D1788" s="2" t="s">
        <v>228</v>
      </c>
      <c r="E1788" s="4" t="s">
        <v>17</v>
      </c>
      <c r="F1788" s="385" t="s">
        <v>15</v>
      </c>
      <c r="G1788" s="385" t="s">
        <v>59</v>
      </c>
      <c r="H1788" s="386">
        <v>38</v>
      </c>
      <c r="I1788" s="387">
        <v>7.6</v>
      </c>
      <c r="J1788" s="19">
        <v>0</v>
      </c>
      <c r="K1788" s="13">
        <v>0</v>
      </c>
      <c r="L1788" s="7" t="s">
        <v>483</v>
      </c>
    </row>
    <row r="1789" spans="1:12">
      <c r="A1789" s="7"/>
      <c r="B1789" s="381" t="s">
        <v>308</v>
      </c>
      <c r="C1789" s="3" t="s">
        <v>309</v>
      </c>
      <c r="D1789" s="2" t="s">
        <v>228</v>
      </c>
      <c r="E1789" s="4" t="s">
        <v>17</v>
      </c>
      <c r="F1789" s="385" t="s">
        <v>15</v>
      </c>
      <c r="G1789" s="385" t="s">
        <v>59</v>
      </c>
      <c r="H1789" s="386">
        <v>38</v>
      </c>
      <c r="I1789" s="387">
        <v>7.2</v>
      </c>
      <c r="J1789" s="19">
        <v>2</v>
      </c>
      <c r="K1789" s="13">
        <v>0.54720000000000002</v>
      </c>
      <c r="L1789" s="7" t="s">
        <v>483</v>
      </c>
    </row>
    <row r="1790" spans="1:12">
      <c r="A1790" s="7"/>
      <c r="B1790" s="381" t="s">
        <v>308</v>
      </c>
      <c r="C1790" s="3" t="s">
        <v>309</v>
      </c>
      <c r="D1790" s="2" t="s">
        <v>228</v>
      </c>
      <c r="E1790" s="4" t="s">
        <v>17</v>
      </c>
      <c r="F1790" s="385" t="s">
        <v>15</v>
      </c>
      <c r="G1790" s="385" t="s">
        <v>59</v>
      </c>
      <c r="H1790" s="386">
        <v>38</v>
      </c>
      <c r="I1790" s="387">
        <v>6</v>
      </c>
      <c r="J1790" s="19">
        <v>0</v>
      </c>
      <c r="K1790" s="13">
        <v>0</v>
      </c>
      <c r="L1790" s="7" t="s">
        <v>483</v>
      </c>
    </row>
    <row r="1791" spans="1:12">
      <c r="A1791" s="7"/>
      <c r="B1791" s="381" t="s">
        <v>308</v>
      </c>
      <c r="C1791" s="3" t="s">
        <v>309</v>
      </c>
      <c r="D1791" s="2" t="s">
        <v>228</v>
      </c>
      <c r="E1791" s="4" t="s">
        <v>17</v>
      </c>
      <c r="F1791" s="385" t="s">
        <v>15</v>
      </c>
      <c r="G1791" s="385" t="s">
        <v>59</v>
      </c>
      <c r="H1791" s="386">
        <v>38</v>
      </c>
      <c r="I1791" s="387">
        <v>7.5</v>
      </c>
      <c r="J1791" s="19">
        <v>1</v>
      </c>
      <c r="K1791" s="13">
        <v>0.28499999999999998</v>
      </c>
      <c r="L1791" s="7" t="s">
        <v>483</v>
      </c>
    </row>
    <row r="1792" spans="1:12">
      <c r="A1792" s="7"/>
      <c r="B1792" s="381" t="s">
        <v>308</v>
      </c>
      <c r="C1792" s="3" t="s">
        <v>309</v>
      </c>
      <c r="D1792" s="2" t="s">
        <v>228</v>
      </c>
      <c r="E1792" s="4" t="s">
        <v>17</v>
      </c>
      <c r="F1792" s="385" t="s">
        <v>15</v>
      </c>
      <c r="G1792" s="385" t="s">
        <v>59</v>
      </c>
      <c r="H1792" s="386">
        <v>38</v>
      </c>
      <c r="I1792" s="387">
        <v>10</v>
      </c>
      <c r="J1792" s="19">
        <v>1</v>
      </c>
      <c r="K1792" s="13">
        <v>0.38</v>
      </c>
      <c r="L1792" s="7" t="s">
        <v>483</v>
      </c>
    </row>
    <row r="1793" spans="1:12">
      <c r="A1793" s="7"/>
      <c r="B1793" s="381" t="s">
        <v>296</v>
      </c>
      <c r="C1793" s="3" t="s">
        <v>299</v>
      </c>
      <c r="D1793" s="2" t="s">
        <v>228</v>
      </c>
      <c r="E1793" s="382" t="s">
        <v>298</v>
      </c>
      <c r="F1793" s="385" t="s">
        <v>15</v>
      </c>
      <c r="G1793" s="385" t="s">
        <v>53</v>
      </c>
      <c r="H1793" s="386">
        <v>35.9</v>
      </c>
      <c r="I1793" s="387">
        <v>8.1</v>
      </c>
      <c r="J1793" s="19">
        <v>0</v>
      </c>
      <c r="K1793" s="13">
        <v>0</v>
      </c>
      <c r="L1793" s="7" t="s">
        <v>483</v>
      </c>
    </row>
    <row r="1794" spans="1:12">
      <c r="A1794" s="7"/>
      <c r="B1794" s="381" t="s">
        <v>296</v>
      </c>
      <c r="C1794" s="3" t="s">
        <v>299</v>
      </c>
      <c r="D1794" s="2" t="s">
        <v>228</v>
      </c>
      <c r="E1794" s="382" t="s">
        <v>298</v>
      </c>
      <c r="F1794" s="385" t="s">
        <v>15</v>
      </c>
      <c r="G1794" s="385" t="s">
        <v>53</v>
      </c>
      <c r="H1794" s="386">
        <v>35.9</v>
      </c>
      <c r="I1794" s="387">
        <v>7.1</v>
      </c>
      <c r="J1794" s="19">
        <v>1</v>
      </c>
      <c r="K1794" s="13">
        <v>0.25489000000000001</v>
      </c>
      <c r="L1794" s="7" t="s">
        <v>483</v>
      </c>
    </row>
    <row r="1795" spans="1:12">
      <c r="A1795" s="7"/>
      <c r="B1795" s="381" t="s">
        <v>296</v>
      </c>
      <c r="C1795" s="3" t="s">
        <v>299</v>
      </c>
      <c r="D1795" s="2" t="s">
        <v>228</v>
      </c>
      <c r="E1795" s="382" t="s">
        <v>298</v>
      </c>
      <c r="F1795" s="385" t="s">
        <v>15</v>
      </c>
      <c r="G1795" s="385" t="s">
        <v>53</v>
      </c>
      <c r="H1795" s="386">
        <v>35.9</v>
      </c>
      <c r="I1795" s="387">
        <v>7.45</v>
      </c>
      <c r="J1795" s="19">
        <v>4</v>
      </c>
      <c r="K1795" s="13">
        <v>1.06982</v>
      </c>
      <c r="L1795" s="7" t="s">
        <v>483</v>
      </c>
    </row>
    <row r="1796" spans="1:12">
      <c r="A1796" s="7"/>
      <c r="B1796" s="381" t="s">
        <v>296</v>
      </c>
      <c r="C1796" s="3" t="s">
        <v>297</v>
      </c>
      <c r="D1796" s="2" t="s">
        <v>228</v>
      </c>
      <c r="E1796" s="382" t="s">
        <v>20</v>
      </c>
      <c r="F1796" s="385" t="s">
        <v>15</v>
      </c>
      <c r="G1796" s="385" t="s">
        <v>53</v>
      </c>
      <c r="H1796" s="386">
        <v>35.9</v>
      </c>
      <c r="I1796" s="387">
        <v>11.75</v>
      </c>
      <c r="J1796" s="19">
        <v>0</v>
      </c>
      <c r="K1796" s="13">
        <v>0</v>
      </c>
      <c r="L1796" s="7" t="s">
        <v>483</v>
      </c>
    </row>
    <row r="1797" spans="1:12">
      <c r="A1797" s="7"/>
      <c r="B1797" s="381" t="s">
        <v>296</v>
      </c>
      <c r="C1797" s="3" t="s">
        <v>297</v>
      </c>
      <c r="D1797" s="2" t="s">
        <v>228</v>
      </c>
      <c r="E1797" s="382" t="s">
        <v>20</v>
      </c>
      <c r="F1797" s="385" t="s">
        <v>15</v>
      </c>
      <c r="G1797" s="385" t="s">
        <v>53</v>
      </c>
      <c r="H1797" s="386">
        <v>35.9</v>
      </c>
      <c r="I1797" s="387">
        <v>11.75</v>
      </c>
      <c r="J1797" s="19">
        <v>0</v>
      </c>
      <c r="K1797" s="13">
        <v>0</v>
      </c>
      <c r="L1797" s="7" t="s">
        <v>483</v>
      </c>
    </row>
    <row r="1798" spans="1:12">
      <c r="A1798" s="7"/>
      <c r="B1798" s="381" t="s">
        <v>296</v>
      </c>
      <c r="C1798" s="3" t="s">
        <v>297</v>
      </c>
      <c r="D1798" s="2" t="s">
        <v>228</v>
      </c>
      <c r="E1798" s="382" t="s">
        <v>20</v>
      </c>
      <c r="F1798" s="385" t="s">
        <v>15</v>
      </c>
      <c r="G1798" s="385" t="s">
        <v>53</v>
      </c>
      <c r="H1798" s="386">
        <v>35.9</v>
      </c>
      <c r="I1798" s="387">
        <v>11.5</v>
      </c>
      <c r="J1798" s="19">
        <v>0</v>
      </c>
      <c r="K1798" s="13">
        <v>0</v>
      </c>
      <c r="L1798" s="7" t="s">
        <v>483</v>
      </c>
    </row>
    <row r="1799" spans="1:12">
      <c r="A1799" s="7"/>
      <c r="B1799" s="381" t="s">
        <v>296</v>
      </c>
      <c r="C1799" s="3" t="s">
        <v>297</v>
      </c>
      <c r="D1799" s="2" t="s">
        <v>228</v>
      </c>
      <c r="E1799" s="382" t="s">
        <v>20</v>
      </c>
      <c r="F1799" s="385" t="s">
        <v>15</v>
      </c>
      <c r="G1799" s="385" t="s">
        <v>53</v>
      </c>
      <c r="H1799" s="386">
        <v>35.9</v>
      </c>
      <c r="I1799" s="11">
        <v>11.6</v>
      </c>
      <c r="J1799" s="19">
        <v>0</v>
      </c>
      <c r="K1799" s="13">
        <v>0</v>
      </c>
      <c r="L1799" s="7" t="s">
        <v>483</v>
      </c>
    </row>
    <row r="1800" spans="1:12">
      <c r="A1800" s="7"/>
      <c r="B1800" s="381" t="s">
        <v>296</v>
      </c>
      <c r="C1800" s="3" t="s">
        <v>297</v>
      </c>
      <c r="D1800" s="2" t="s">
        <v>228</v>
      </c>
      <c r="E1800" s="382" t="s">
        <v>20</v>
      </c>
      <c r="F1800" s="385" t="s">
        <v>15</v>
      </c>
      <c r="G1800" s="385" t="s">
        <v>53</v>
      </c>
      <c r="H1800" s="386">
        <v>35.9</v>
      </c>
      <c r="I1800" s="387">
        <v>8.1</v>
      </c>
      <c r="J1800" s="19">
        <v>0</v>
      </c>
      <c r="K1800" s="13">
        <v>0</v>
      </c>
      <c r="L1800" s="7" t="s">
        <v>483</v>
      </c>
    </row>
    <row r="1801" spans="1:12">
      <c r="A1801" s="7"/>
      <c r="B1801" s="381" t="s">
        <v>296</v>
      </c>
      <c r="C1801" s="3" t="s">
        <v>297</v>
      </c>
      <c r="D1801" s="2" t="s">
        <v>228</v>
      </c>
      <c r="E1801" s="382" t="s">
        <v>20</v>
      </c>
      <c r="F1801" s="385" t="s">
        <v>15</v>
      </c>
      <c r="G1801" s="385" t="s">
        <v>53</v>
      </c>
      <c r="H1801" s="386">
        <v>35.9</v>
      </c>
      <c r="I1801" s="387">
        <v>8.6</v>
      </c>
      <c r="J1801" s="19">
        <v>0</v>
      </c>
      <c r="K1801" s="13">
        <v>0</v>
      </c>
      <c r="L1801" s="7" t="s">
        <v>483</v>
      </c>
    </row>
    <row r="1802" spans="1:12">
      <c r="A1802" s="7"/>
      <c r="B1802" s="381" t="s">
        <v>296</v>
      </c>
      <c r="C1802" s="3" t="s">
        <v>297</v>
      </c>
      <c r="D1802" s="2" t="s">
        <v>228</v>
      </c>
      <c r="E1802" s="382" t="s">
        <v>20</v>
      </c>
      <c r="F1802" s="385" t="s">
        <v>15</v>
      </c>
      <c r="G1802" s="385" t="s">
        <v>53</v>
      </c>
      <c r="H1802" s="386">
        <v>35.9</v>
      </c>
      <c r="I1802" s="387">
        <v>9.1999999999999993</v>
      </c>
      <c r="J1802" s="19">
        <v>0</v>
      </c>
      <c r="K1802" s="13">
        <v>0</v>
      </c>
      <c r="L1802" s="7" t="s">
        <v>483</v>
      </c>
    </row>
    <row r="1803" spans="1:12">
      <c r="A1803" s="7"/>
      <c r="B1803" s="381" t="s">
        <v>308</v>
      </c>
      <c r="C1803" s="3" t="s">
        <v>309</v>
      </c>
      <c r="D1803" s="2" t="s">
        <v>228</v>
      </c>
      <c r="E1803" s="4" t="s">
        <v>17</v>
      </c>
      <c r="F1803" s="385" t="s">
        <v>15</v>
      </c>
      <c r="G1803" s="385" t="s">
        <v>54</v>
      </c>
      <c r="H1803" s="386">
        <v>31.6</v>
      </c>
      <c r="I1803" s="387">
        <v>10</v>
      </c>
      <c r="J1803" s="19">
        <v>0</v>
      </c>
      <c r="K1803" s="13">
        <v>0</v>
      </c>
      <c r="L1803" s="7" t="s">
        <v>483</v>
      </c>
    </row>
    <row r="1804" spans="1:12">
      <c r="A1804" s="7"/>
      <c r="B1804" s="381" t="s">
        <v>308</v>
      </c>
      <c r="C1804" s="3" t="s">
        <v>309</v>
      </c>
      <c r="D1804" s="2" t="s">
        <v>228</v>
      </c>
      <c r="E1804" s="4" t="s">
        <v>17</v>
      </c>
      <c r="F1804" s="385" t="s">
        <v>15</v>
      </c>
      <c r="G1804" s="385" t="s">
        <v>54</v>
      </c>
      <c r="H1804" s="386">
        <v>31.6</v>
      </c>
      <c r="I1804" s="387">
        <v>10.5</v>
      </c>
      <c r="J1804" s="19">
        <v>0</v>
      </c>
      <c r="K1804" s="13">
        <v>0</v>
      </c>
      <c r="L1804" s="7" t="s">
        <v>483</v>
      </c>
    </row>
    <row r="1805" spans="1:12">
      <c r="A1805" s="7"/>
      <c r="B1805" s="381" t="s">
        <v>308</v>
      </c>
      <c r="C1805" s="3" t="s">
        <v>309</v>
      </c>
      <c r="D1805" s="2" t="s">
        <v>228</v>
      </c>
      <c r="E1805" s="4" t="s">
        <v>17</v>
      </c>
      <c r="F1805" s="385" t="s">
        <v>15</v>
      </c>
      <c r="G1805" s="385" t="s">
        <v>54</v>
      </c>
      <c r="H1805" s="386">
        <v>31.6</v>
      </c>
      <c r="I1805" s="387">
        <v>9.6</v>
      </c>
      <c r="J1805" s="19">
        <v>1</v>
      </c>
      <c r="K1805" s="13">
        <v>0.30336000000000002</v>
      </c>
      <c r="L1805" s="7" t="s">
        <v>483</v>
      </c>
    </row>
    <row r="1806" spans="1:12">
      <c r="A1806" s="7"/>
      <c r="B1806" s="381" t="s">
        <v>308</v>
      </c>
      <c r="C1806" s="3" t="s">
        <v>309</v>
      </c>
      <c r="D1806" s="2" t="s">
        <v>228</v>
      </c>
      <c r="E1806" s="4" t="s">
        <v>17</v>
      </c>
      <c r="F1806" s="385" t="s">
        <v>15</v>
      </c>
      <c r="G1806" s="385" t="s">
        <v>54</v>
      </c>
      <c r="H1806" s="386">
        <v>31.6</v>
      </c>
      <c r="I1806" s="387">
        <v>10.5</v>
      </c>
      <c r="J1806" s="19">
        <v>2</v>
      </c>
      <c r="K1806" s="13">
        <v>0.66359999999999997</v>
      </c>
      <c r="L1806" s="7" t="s">
        <v>483</v>
      </c>
    </row>
    <row r="1807" spans="1:12">
      <c r="A1807" s="7"/>
      <c r="B1807" s="381" t="s">
        <v>308</v>
      </c>
      <c r="C1807" s="3" t="s">
        <v>309</v>
      </c>
      <c r="D1807" s="2" t="s">
        <v>228</v>
      </c>
      <c r="E1807" s="4" t="s">
        <v>17</v>
      </c>
      <c r="F1807" s="385" t="s">
        <v>15</v>
      </c>
      <c r="G1807" s="385" t="s">
        <v>54</v>
      </c>
      <c r="H1807" s="386">
        <v>31.6</v>
      </c>
      <c r="I1807" s="387">
        <v>10</v>
      </c>
      <c r="J1807" s="19">
        <v>1</v>
      </c>
      <c r="K1807" s="13">
        <v>0.316</v>
      </c>
      <c r="L1807" s="7" t="s">
        <v>483</v>
      </c>
    </row>
    <row r="1808" spans="1:12">
      <c r="A1808" s="7"/>
      <c r="B1808" s="381" t="s">
        <v>308</v>
      </c>
      <c r="C1808" s="3" t="s">
        <v>297</v>
      </c>
      <c r="D1808" s="2" t="s">
        <v>228</v>
      </c>
      <c r="E1808" s="382" t="s">
        <v>20</v>
      </c>
      <c r="F1808" s="385" t="s">
        <v>15</v>
      </c>
      <c r="G1808" s="385" t="s">
        <v>54</v>
      </c>
      <c r="H1808" s="386">
        <v>31.6</v>
      </c>
      <c r="I1808" s="387">
        <v>11.9</v>
      </c>
      <c r="J1808" s="19">
        <v>0</v>
      </c>
      <c r="K1808" s="13">
        <v>0</v>
      </c>
      <c r="L1808" s="7" t="s">
        <v>483</v>
      </c>
    </row>
    <row r="1809" spans="1:12">
      <c r="A1809" s="7"/>
      <c r="B1809" s="381" t="s">
        <v>308</v>
      </c>
      <c r="C1809" s="3" t="s">
        <v>297</v>
      </c>
      <c r="D1809" s="2" t="s">
        <v>228</v>
      </c>
      <c r="E1809" s="382" t="s">
        <v>20</v>
      </c>
      <c r="F1809" s="385" t="s">
        <v>15</v>
      </c>
      <c r="G1809" s="385" t="s">
        <v>54</v>
      </c>
      <c r="H1809" s="386">
        <v>31.6</v>
      </c>
      <c r="I1809" s="387">
        <v>10.1</v>
      </c>
      <c r="J1809" s="19">
        <v>0</v>
      </c>
      <c r="K1809" s="13">
        <v>0</v>
      </c>
      <c r="L1809" s="7" t="s">
        <v>483</v>
      </c>
    </row>
    <row r="1810" spans="1:12">
      <c r="A1810" s="7"/>
      <c r="B1810" s="381" t="s">
        <v>308</v>
      </c>
      <c r="C1810" s="3" t="s">
        <v>297</v>
      </c>
      <c r="D1810" s="2" t="s">
        <v>228</v>
      </c>
      <c r="E1810" s="382" t="s">
        <v>20</v>
      </c>
      <c r="F1810" s="385" t="s">
        <v>15</v>
      </c>
      <c r="G1810" s="385" t="s">
        <v>54</v>
      </c>
      <c r="H1810" s="386">
        <v>31.6</v>
      </c>
      <c r="I1810" s="387">
        <v>11.6</v>
      </c>
      <c r="J1810" s="19">
        <v>0</v>
      </c>
      <c r="K1810" s="13">
        <v>0</v>
      </c>
      <c r="L1810" s="7" t="s">
        <v>483</v>
      </c>
    </row>
    <row r="1811" spans="1:12">
      <c r="A1811" s="7"/>
      <c r="B1811" s="381" t="s">
        <v>308</v>
      </c>
      <c r="C1811" s="3" t="s">
        <v>297</v>
      </c>
      <c r="D1811" s="2" t="s">
        <v>228</v>
      </c>
      <c r="E1811" s="382" t="s">
        <v>20</v>
      </c>
      <c r="F1811" s="385" t="s">
        <v>15</v>
      </c>
      <c r="G1811" s="385" t="s">
        <v>54</v>
      </c>
      <c r="H1811" s="386">
        <v>31.6</v>
      </c>
      <c r="I1811" s="387">
        <v>11.8</v>
      </c>
      <c r="J1811" s="19">
        <v>0</v>
      </c>
      <c r="K1811" s="13">
        <v>0</v>
      </c>
      <c r="L1811" s="7" t="s">
        <v>483</v>
      </c>
    </row>
    <row r="1812" spans="1:12">
      <c r="A1812" s="7"/>
      <c r="B1812" s="381" t="s">
        <v>308</v>
      </c>
      <c r="C1812" s="3" t="s">
        <v>297</v>
      </c>
      <c r="D1812" s="2" t="s">
        <v>228</v>
      </c>
      <c r="E1812" s="382" t="s">
        <v>20</v>
      </c>
      <c r="F1812" s="385" t="s">
        <v>15</v>
      </c>
      <c r="G1812" s="385" t="s">
        <v>54</v>
      </c>
      <c r="H1812" s="386">
        <v>31.6</v>
      </c>
      <c r="I1812" s="387">
        <v>11.7</v>
      </c>
      <c r="J1812" s="19">
        <v>0</v>
      </c>
      <c r="K1812" s="13">
        <v>0</v>
      </c>
      <c r="L1812" s="7" t="s">
        <v>483</v>
      </c>
    </row>
    <row r="1813" spans="1:12">
      <c r="A1813" s="7"/>
      <c r="B1813" s="381" t="s">
        <v>308</v>
      </c>
      <c r="C1813" s="3" t="s">
        <v>297</v>
      </c>
      <c r="D1813" s="2" t="s">
        <v>228</v>
      </c>
      <c r="E1813" s="382" t="s">
        <v>20</v>
      </c>
      <c r="F1813" s="385" t="s">
        <v>15</v>
      </c>
      <c r="G1813" s="385" t="s">
        <v>54</v>
      </c>
      <c r="H1813" s="386">
        <v>31.6</v>
      </c>
      <c r="I1813" s="387">
        <v>9.3000000000000007</v>
      </c>
      <c r="J1813" s="19">
        <v>1</v>
      </c>
      <c r="K1813" s="13">
        <v>0.29388000000000003</v>
      </c>
      <c r="L1813" s="7" t="s">
        <v>483</v>
      </c>
    </row>
    <row r="1814" spans="1:12">
      <c r="A1814" s="7"/>
      <c r="B1814" s="381" t="s">
        <v>308</v>
      </c>
      <c r="C1814" s="3" t="s">
        <v>297</v>
      </c>
      <c r="D1814" s="2" t="s">
        <v>228</v>
      </c>
      <c r="E1814" s="382" t="s">
        <v>20</v>
      </c>
      <c r="F1814" s="385" t="s">
        <v>15</v>
      </c>
      <c r="G1814" s="385" t="s">
        <v>54</v>
      </c>
      <c r="H1814" s="386">
        <v>31.6</v>
      </c>
      <c r="I1814" s="387">
        <v>9.5</v>
      </c>
      <c r="J1814" s="19">
        <v>1</v>
      </c>
      <c r="K1814" s="13">
        <v>0.30019999999999997</v>
      </c>
      <c r="L1814" s="7" t="s">
        <v>483</v>
      </c>
    </row>
    <row r="1815" spans="1:12">
      <c r="A1815" s="7"/>
      <c r="B1815" s="381" t="s">
        <v>308</v>
      </c>
      <c r="C1815" s="3" t="s">
        <v>297</v>
      </c>
      <c r="D1815" s="2" t="s">
        <v>228</v>
      </c>
      <c r="E1815" s="382" t="s">
        <v>20</v>
      </c>
      <c r="F1815" s="385" t="s">
        <v>15</v>
      </c>
      <c r="G1815" s="385" t="s">
        <v>54</v>
      </c>
      <c r="H1815" s="386">
        <v>31.6</v>
      </c>
      <c r="I1815" s="387">
        <v>9.6999999999999993</v>
      </c>
      <c r="J1815" s="19">
        <v>0</v>
      </c>
      <c r="K1815" s="13">
        <v>0</v>
      </c>
      <c r="L1815" s="7" t="s">
        <v>483</v>
      </c>
    </row>
    <row r="1816" spans="1:12">
      <c r="A1816" s="7"/>
      <c r="B1816" s="381" t="s">
        <v>308</v>
      </c>
      <c r="C1816" s="3" t="s">
        <v>297</v>
      </c>
      <c r="D1816" s="2" t="s">
        <v>228</v>
      </c>
      <c r="E1816" s="382" t="s">
        <v>20</v>
      </c>
      <c r="F1816" s="385" t="s">
        <v>15</v>
      </c>
      <c r="G1816" s="385" t="s">
        <v>54</v>
      </c>
      <c r="H1816" s="386">
        <v>31.6</v>
      </c>
      <c r="I1816" s="387">
        <v>9.9</v>
      </c>
      <c r="J1816" s="19">
        <v>0</v>
      </c>
      <c r="K1816" s="13">
        <v>0</v>
      </c>
      <c r="L1816" s="7" t="s">
        <v>483</v>
      </c>
    </row>
    <row r="1817" spans="1:12">
      <c r="A1817" s="7"/>
      <c r="B1817" s="381" t="s">
        <v>308</v>
      </c>
      <c r="C1817" s="3" t="s">
        <v>309</v>
      </c>
      <c r="D1817" s="2" t="s">
        <v>228</v>
      </c>
      <c r="E1817" s="4" t="s">
        <v>17</v>
      </c>
      <c r="F1817" s="385" t="s">
        <v>15</v>
      </c>
      <c r="G1817" s="385" t="s">
        <v>60</v>
      </c>
      <c r="H1817" s="386">
        <v>22.93</v>
      </c>
      <c r="I1817" s="387">
        <v>12</v>
      </c>
      <c r="J1817" s="19">
        <v>0</v>
      </c>
      <c r="K1817" s="13">
        <v>0</v>
      </c>
      <c r="L1817" s="7" t="s">
        <v>483</v>
      </c>
    </row>
    <row r="1818" spans="1:12">
      <c r="A1818" s="7"/>
      <c r="B1818" s="381" t="s">
        <v>308</v>
      </c>
      <c r="C1818" s="3" t="s">
        <v>309</v>
      </c>
      <c r="D1818" s="2" t="s">
        <v>228</v>
      </c>
      <c r="E1818" s="4" t="s">
        <v>17</v>
      </c>
      <c r="F1818" s="385" t="s">
        <v>15</v>
      </c>
      <c r="G1818" s="385" t="s">
        <v>60</v>
      </c>
      <c r="H1818" s="386">
        <v>22.93</v>
      </c>
      <c r="I1818" s="387">
        <v>11.25</v>
      </c>
      <c r="J1818" s="19">
        <v>0</v>
      </c>
      <c r="K1818" s="13">
        <v>0</v>
      </c>
      <c r="L1818" s="7" t="s">
        <v>483</v>
      </c>
    </row>
    <row r="1819" spans="1:12">
      <c r="A1819" s="7"/>
      <c r="B1819" s="381" t="s">
        <v>308</v>
      </c>
      <c r="C1819" s="3" t="s">
        <v>309</v>
      </c>
      <c r="D1819" s="2" t="s">
        <v>228</v>
      </c>
      <c r="E1819" s="4" t="s">
        <v>17</v>
      </c>
      <c r="F1819" s="385" t="s">
        <v>15</v>
      </c>
      <c r="G1819" s="385" t="s">
        <v>60</v>
      </c>
      <c r="H1819" s="386">
        <v>22.93</v>
      </c>
      <c r="I1819" s="387">
        <v>12</v>
      </c>
      <c r="J1819" s="19">
        <v>0</v>
      </c>
      <c r="K1819" s="13">
        <v>0</v>
      </c>
      <c r="L1819" s="7" t="s">
        <v>483</v>
      </c>
    </row>
    <row r="1820" spans="1:12">
      <c r="A1820" s="7"/>
      <c r="B1820" s="381" t="s">
        <v>308</v>
      </c>
      <c r="C1820" s="3" t="s">
        <v>309</v>
      </c>
      <c r="D1820" s="2" t="s">
        <v>228</v>
      </c>
      <c r="E1820" s="4" t="s">
        <v>17</v>
      </c>
      <c r="F1820" s="385" t="s">
        <v>15</v>
      </c>
      <c r="G1820" s="385" t="s">
        <v>60</v>
      </c>
      <c r="H1820" s="386">
        <v>22.93</v>
      </c>
      <c r="I1820" s="387">
        <v>12</v>
      </c>
      <c r="J1820" s="19">
        <v>1</v>
      </c>
      <c r="K1820" s="13">
        <v>0.27515999999999996</v>
      </c>
      <c r="L1820" s="7" t="s">
        <v>483</v>
      </c>
    </row>
    <row r="1821" spans="1:12">
      <c r="A1821" s="7"/>
      <c r="B1821" s="381" t="s">
        <v>308</v>
      </c>
      <c r="C1821" s="3" t="s">
        <v>309</v>
      </c>
      <c r="D1821" s="2" t="s">
        <v>228</v>
      </c>
      <c r="E1821" s="4" t="s">
        <v>17</v>
      </c>
      <c r="F1821" s="385" t="s">
        <v>15</v>
      </c>
      <c r="G1821" s="385" t="s">
        <v>66</v>
      </c>
      <c r="H1821" s="386">
        <v>29.5</v>
      </c>
      <c r="I1821" s="387">
        <v>8.1999999999999993</v>
      </c>
      <c r="J1821" s="19">
        <v>0</v>
      </c>
      <c r="K1821" s="13">
        <v>0</v>
      </c>
      <c r="L1821" s="7" t="s">
        <v>483</v>
      </c>
    </row>
    <row r="1822" spans="1:12">
      <c r="A1822" s="7"/>
      <c r="B1822" s="381" t="s">
        <v>308</v>
      </c>
      <c r="C1822" s="3" t="s">
        <v>309</v>
      </c>
      <c r="D1822" s="2" t="s">
        <v>228</v>
      </c>
      <c r="E1822" s="4" t="s">
        <v>17</v>
      </c>
      <c r="F1822" s="385" t="s">
        <v>15</v>
      </c>
      <c r="G1822" s="385" t="s">
        <v>66</v>
      </c>
      <c r="H1822" s="386">
        <v>29.5</v>
      </c>
      <c r="I1822" s="387">
        <v>8.4</v>
      </c>
      <c r="J1822" s="19">
        <v>0</v>
      </c>
      <c r="K1822" s="13">
        <v>0</v>
      </c>
      <c r="L1822" s="7" t="s">
        <v>483</v>
      </c>
    </row>
    <row r="1823" spans="1:12">
      <c r="A1823" s="7"/>
      <c r="B1823" s="381" t="s">
        <v>308</v>
      </c>
      <c r="C1823" s="3" t="s">
        <v>309</v>
      </c>
      <c r="D1823" s="2" t="s">
        <v>228</v>
      </c>
      <c r="E1823" s="4" t="s">
        <v>17</v>
      </c>
      <c r="F1823" s="385" t="s">
        <v>15</v>
      </c>
      <c r="G1823" s="385" t="s">
        <v>66</v>
      </c>
      <c r="H1823" s="386">
        <v>29.5</v>
      </c>
      <c r="I1823" s="387">
        <v>9.6999999999999993</v>
      </c>
      <c r="J1823" s="19">
        <v>0</v>
      </c>
      <c r="K1823" s="13">
        <v>0</v>
      </c>
      <c r="L1823" s="7" t="s">
        <v>483</v>
      </c>
    </row>
    <row r="1824" spans="1:12">
      <c r="A1824" s="7"/>
      <c r="B1824" s="381" t="s">
        <v>308</v>
      </c>
      <c r="C1824" s="3" t="s">
        <v>309</v>
      </c>
      <c r="D1824" s="2" t="s">
        <v>228</v>
      </c>
      <c r="E1824" s="4" t="s">
        <v>17</v>
      </c>
      <c r="F1824" s="385" t="s">
        <v>15</v>
      </c>
      <c r="G1824" s="385" t="s">
        <v>66</v>
      </c>
      <c r="H1824" s="386">
        <v>29.5</v>
      </c>
      <c r="I1824" s="387">
        <v>10</v>
      </c>
      <c r="J1824" s="19">
        <v>0</v>
      </c>
      <c r="K1824" s="13">
        <v>0</v>
      </c>
      <c r="L1824" s="7" t="s">
        <v>483</v>
      </c>
    </row>
    <row r="1825" spans="1:12">
      <c r="A1825" s="7"/>
      <c r="B1825" s="381" t="s">
        <v>308</v>
      </c>
      <c r="C1825" s="3" t="s">
        <v>309</v>
      </c>
      <c r="D1825" s="2" t="s">
        <v>228</v>
      </c>
      <c r="E1825" s="4" t="s">
        <v>17</v>
      </c>
      <c r="F1825" s="385" t="s">
        <v>15</v>
      </c>
      <c r="G1825" s="385" t="s">
        <v>66</v>
      </c>
      <c r="H1825" s="386">
        <v>29.5</v>
      </c>
      <c r="I1825" s="387">
        <v>10.1</v>
      </c>
      <c r="J1825" s="19">
        <v>0</v>
      </c>
      <c r="K1825" s="13">
        <v>0</v>
      </c>
      <c r="L1825" s="7" t="s">
        <v>483</v>
      </c>
    </row>
    <row r="1826" spans="1:12">
      <c r="A1826" s="7"/>
      <c r="B1826" s="381" t="s">
        <v>308</v>
      </c>
      <c r="C1826" s="3" t="s">
        <v>309</v>
      </c>
      <c r="D1826" s="2" t="s">
        <v>228</v>
      </c>
      <c r="E1826" s="4" t="s">
        <v>17</v>
      </c>
      <c r="F1826" s="385" t="s">
        <v>15</v>
      </c>
      <c r="G1826" s="385" t="s">
        <v>66</v>
      </c>
      <c r="H1826" s="386">
        <v>29.5</v>
      </c>
      <c r="I1826" s="387">
        <v>11.8</v>
      </c>
      <c r="J1826" s="19">
        <v>0</v>
      </c>
      <c r="K1826" s="13">
        <v>0</v>
      </c>
      <c r="L1826" s="7" t="s">
        <v>483</v>
      </c>
    </row>
    <row r="1827" spans="1:12">
      <c r="A1827" s="7"/>
      <c r="B1827" s="381" t="s">
        <v>308</v>
      </c>
      <c r="C1827" s="3" t="s">
        <v>309</v>
      </c>
      <c r="D1827" s="2" t="s">
        <v>228</v>
      </c>
      <c r="E1827" s="4" t="s">
        <v>17</v>
      </c>
      <c r="F1827" s="385" t="s">
        <v>15</v>
      </c>
      <c r="G1827" s="385" t="s">
        <v>66</v>
      </c>
      <c r="H1827" s="386">
        <v>29.5</v>
      </c>
      <c r="I1827" s="387">
        <v>11.7</v>
      </c>
      <c r="J1827" s="106">
        <v>0</v>
      </c>
      <c r="K1827" s="13">
        <v>0</v>
      </c>
      <c r="L1827" s="7" t="s">
        <v>483</v>
      </c>
    </row>
    <row r="1828" spans="1:12">
      <c r="A1828" s="7"/>
      <c r="B1828" s="381" t="s">
        <v>308</v>
      </c>
      <c r="C1828" s="3" t="s">
        <v>309</v>
      </c>
      <c r="D1828" s="2" t="s">
        <v>228</v>
      </c>
      <c r="E1828" s="4" t="s">
        <v>17</v>
      </c>
      <c r="F1828" s="385" t="s">
        <v>15</v>
      </c>
      <c r="G1828" s="385" t="s">
        <v>66</v>
      </c>
      <c r="H1828" s="386">
        <v>29.5</v>
      </c>
      <c r="I1828" s="387">
        <v>11.8</v>
      </c>
      <c r="J1828" s="19">
        <v>0</v>
      </c>
      <c r="K1828" s="13">
        <v>0</v>
      </c>
      <c r="L1828" s="7" t="s">
        <v>483</v>
      </c>
    </row>
    <row r="1829" spans="1:12">
      <c r="A1829" s="7"/>
      <c r="B1829" s="381" t="s">
        <v>308</v>
      </c>
      <c r="C1829" s="3" t="s">
        <v>309</v>
      </c>
      <c r="D1829" s="2" t="s">
        <v>228</v>
      </c>
      <c r="E1829" s="4" t="s">
        <v>17</v>
      </c>
      <c r="F1829" s="385" t="s">
        <v>15</v>
      </c>
      <c r="G1829" s="385" t="s">
        <v>66</v>
      </c>
      <c r="H1829" s="386">
        <v>29.5</v>
      </c>
      <c r="I1829" s="387">
        <v>9.6</v>
      </c>
      <c r="J1829" s="19">
        <v>4</v>
      </c>
      <c r="K1829" s="13">
        <v>1.1328</v>
      </c>
      <c r="L1829" s="7" t="s">
        <v>483</v>
      </c>
    </row>
    <row r="1830" spans="1:12">
      <c r="A1830" s="7"/>
      <c r="B1830" s="381" t="s">
        <v>308</v>
      </c>
      <c r="C1830" s="3" t="s">
        <v>309</v>
      </c>
      <c r="D1830" s="2" t="s">
        <v>228</v>
      </c>
      <c r="E1830" s="4" t="s">
        <v>17</v>
      </c>
      <c r="F1830" s="385" t="s">
        <v>15</v>
      </c>
      <c r="G1830" s="385" t="s">
        <v>66</v>
      </c>
      <c r="H1830" s="386">
        <v>29.5</v>
      </c>
      <c r="I1830" s="387">
        <v>10.5</v>
      </c>
      <c r="J1830" s="19">
        <v>0</v>
      </c>
      <c r="K1830" s="13">
        <v>0</v>
      </c>
      <c r="L1830" s="7" t="s">
        <v>483</v>
      </c>
    </row>
    <row r="1831" spans="1:12">
      <c r="A1831" s="7"/>
      <c r="B1831" s="381" t="s">
        <v>308</v>
      </c>
      <c r="C1831" s="3" t="s">
        <v>309</v>
      </c>
      <c r="D1831" s="2" t="s">
        <v>228</v>
      </c>
      <c r="E1831" s="4" t="s">
        <v>17</v>
      </c>
      <c r="F1831" s="385" t="s">
        <v>15</v>
      </c>
      <c r="G1831" s="385" t="s">
        <v>66</v>
      </c>
      <c r="H1831" s="386">
        <v>29.5</v>
      </c>
      <c r="I1831" s="387">
        <v>10.1</v>
      </c>
      <c r="J1831" s="19">
        <v>0</v>
      </c>
      <c r="K1831" s="13">
        <v>0</v>
      </c>
      <c r="L1831" s="7" t="s">
        <v>483</v>
      </c>
    </row>
    <row r="1832" spans="1:12">
      <c r="A1832" s="7"/>
      <c r="B1832" s="381" t="s">
        <v>308</v>
      </c>
      <c r="C1832" s="3" t="s">
        <v>309</v>
      </c>
      <c r="D1832" s="2" t="s">
        <v>228</v>
      </c>
      <c r="E1832" s="4" t="s">
        <v>17</v>
      </c>
      <c r="F1832" s="385" t="s">
        <v>15</v>
      </c>
      <c r="G1832" s="385" t="s">
        <v>66</v>
      </c>
      <c r="H1832" s="386">
        <v>29.5</v>
      </c>
      <c r="I1832" s="387">
        <v>8.4</v>
      </c>
      <c r="J1832" s="19">
        <v>0</v>
      </c>
      <c r="K1832" s="13">
        <v>0</v>
      </c>
      <c r="L1832" s="7" t="s">
        <v>483</v>
      </c>
    </row>
    <row r="1833" spans="1:12">
      <c r="A1833" s="7"/>
      <c r="B1833" s="381" t="s">
        <v>308</v>
      </c>
      <c r="C1833" s="3" t="s">
        <v>309</v>
      </c>
      <c r="D1833" s="2" t="s">
        <v>228</v>
      </c>
      <c r="E1833" s="4" t="s">
        <v>17</v>
      </c>
      <c r="F1833" s="385" t="s">
        <v>15</v>
      </c>
      <c r="G1833" s="385" t="s">
        <v>66</v>
      </c>
      <c r="H1833" s="386">
        <v>29.5</v>
      </c>
      <c r="I1833" s="387">
        <v>10.1</v>
      </c>
      <c r="J1833" s="19">
        <v>0</v>
      </c>
      <c r="K1833" s="13">
        <v>0</v>
      </c>
      <c r="L1833" s="7" t="s">
        <v>483</v>
      </c>
    </row>
    <row r="1834" spans="1:12">
      <c r="A1834" s="7"/>
      <c r="B1834" s="381" t="s">
        <v>308</v>
      </c>
      <c r="C1834" s="3" t="s">
        <v>309</v>
      </c>
      <c r="D1834" s="2" t="s">
        <v>228</v>
      </c>
      <c r="E1834" s="4" t="s">
        <v>17</v>
      </c>
      <c r="F1834" s="385" t="s">
        <v>15</v>
      </c>
      <c r="G1834" s="385" t="s">
        <v>66</v>
      </c>
      <c r="H1834" s="386">
        <v>29.5</v>
      </c>
      <c r="I1834" s="387">
        <v>11.8</v>
      </c>
      <c r="J1834" s="106">
        <v>0</v>
      </c>
      <c r="K1834" s="13">
        <v>0</v>
      </c>
      <c r="L1834" s="7" t="s">
        <v>483</v>
      </c>
    </row>
    <row r="1835" spans="1:12">
      <c r="A1835" s="7"/>
      <c r="B1835" s="381" t="s">
        <v>308</v>
      </c>
      <c r="C1835" s="3" t="s">
        <v>309</v>
      </c>
      <c r="D1835" s="2" t="s">
        <v>228</v>
      </c>
      <c r="E1835" s="4" t="s">
        <v>17</v>
      </c>
      <c r="F1835" s="385" t="s">
        <v>15</v>
      </c>
      <c r="G1835" s="385" t="s">
        <v>66</v>
      </c>
      <c r="H1835" s="386">
        <v>29.5</v>
      </c>
      <c r="I1835" s="387">
        <v>11.7</v>
      </c>
      <c r="J1835" s="19">
        <v>1</v>
      </c>
      <c r="K1835" s="13">
        <v>0.34514999999999996</v>
      </c>
      <c r="L1835" s="7" t="s">
        <v>483</v>
      </c>
    </row>
    <row r="1836" spans="1:12">
      <c r="A1836" s="7"/>
      <c r="B1836" s="381" t="s">
        <v>308</v>
      </c>
      <c r="C1836" s="3" t="s">
        <v>309</v>
      </c>
      <c r="D1836" s="2" t="s">
        <v>228</v>
      </c>
      <c r="E1836" s="4" t="s">
        <v>17</v>
      </c>
      <c r="F1836" s="385" t="s">
        <v>15</v>
      </c>
      <c r="G1836" s="385" t="s">
        <v>66</v>
      </c>
      <c r="H1836" s="386">
        <v>29.5</v>
      </c>
      <c r="I1836" s="387">
        <v>9.4</v>
      </c>
      <c r="J1836" s="19">
        <v>1</v>
      </c>
      <c r="K1836" s="13">
        <v>0.27729999999999999</v>
      </c>
      <c r="L1836" s="7" t="s">
        <v>483</v>
      </c>
    </row>
    <row r="1837" spans="1:12">
      <c r="A1837" s="7"/>
      <c r="B1837" s="381" t="s">
        <v>308</v>
      </c>
      <c r="C1837" s="3" t="s">
        <v>309</v>
      </c>
      <c r="D1837" s="2" t="s">
        <v>228</v>
      </c>
      <c r="E1837" s="4" t="s">
        <v>17</v>
      </c>
      <c r="F1837" s="385" t="s">
        <v>15</v>
      </c>
      <c r="G1837" s="385" t="s">
        <v>66</v>
      </c>
      <c r="H1837" s="386">
        <v>29.5</v>
      </c>
      <c r="I1837" s="387">
        <v>6.5</v>
      </c>
      <c r="J1837" s="19">
        <v>1</v>
      </c>
      <c r="K1837" s="13">
        <v>0.19175</v>
      </c>
      <c r="L1837" s="7" t="s">
        <v>483</v>
      </c>
    </row>
    <row r="1838" spans="1:12">
      <c r="A1838" s="7"/>
      <c r="B1838" s="381" t="s">
        <v>308</v>
      </c>
      <c r="C1838" s="3" t="s">
        <v>309</v>
      </c>
      <c r="D1838" s="2" t="s">
        <v>228</v>
      </c>
      <c r="E1838" s="4" t="s">
        <v>17</v>
      </c>
      <c r="F1838" s="385" t="s">
        <v>15</v>
      </c>
      <c r="G1838" s="385" t="s">
        <v>56</v>
      </c>
      <c r="H1838" s="386">
        <v>25.2</v>
      </c>
      <c r="I1838" s="387">
        <v>9.5</v>
      </c>
      <c r="J1838" s="19">
        <v>0</v>
      </c>
      <c r="K1838" s="13">
        <v>0</v>
      </c>
      <c r="L1838" s="7" t="s">
        <v>483</v>
      </c>
    </row>
    <row r="1839" spans="1:12">
      <c r="A1839" s="7"/>
      <c r="B1839" s="381" t="s">
        <v>308</v>
      </c>
      <c r="C1839" s="3" t="s">
        <v>309</v>
      </c>
      <c r="D1839" s="2" t="s">
        <v>228</v>
      </c>
      <c r="E1839" s="4" t="s">
        <v>17</v>
      </c>
      <c r="F1839" s="385" t="s">
        <v>15</v>
      </c>
      <c r="G1839" s="385" t="s">
        <v>56</v>
      </c>
      <c r="H1839" s="386">
        <v>25.2</v>
      </c>
      <c r="I1839" s="387">
        <v>10</v>
      </c>
      <c r="J1839" s="19">
        <v>0</v>
      </c>
      <c r="K1839" s="13">
        <v>0</v>
      </c>
      <c r="L1839" s="7" t="s">
        <v>483</v>
      </c>
    </row>
    <row r="1840" spans="1:12">
      <c r="A1840" s="7"/>
      <c r="B1840" s="381" t="s">
        <v>308</v>
      </c>
      <c r="C1840" s="3" t="s">
        <v>309</v>
      </c>
      <c r="D1840" s="2" t="s">
        <v>228</v>
      </c>
      <c r="E1840" s="4" t="s">
        <v>17</v>
      </c>
      <c r="F1840" s="385" t="s">
        <v>15</v>
      </c>
      <c r="G1840" s="385" t="s">
        <v>56</v>
      </c>
      <c r="H1840" s="386">
        <v>25.2</v>
      </c>
      <c r="I1840" s="387">
        <v>10.5</v>
      </c>
      <c r="J1840" s="19">
        <v>0</v>
      </c>
      <c r="K1840" s="13">
        <v>0</v>
      </c>
      <c r="L1840" s="7" t="s">
        <v>483</v>
      </c>
    </row>
    <row r="1841" spans="1:12">
      <c r="A1841" s="7"/>
      <c r="B1841" s="381" t="s">
        <v>308</v>
      </c>
      <c r="C1841" s="3" t="s">
        <v>309</v>
      </c>
      <c r="D1841" s="2" t="s">
        <v>228</v>
      </c>
      <c r="E1841" s="4" t="s">
        <v>17</v>
      </c>
      <c r="F1841" s="385" t="s">
        <v>15</v>
      </c>
      <c r="G1841" s="385" t="s">
        <v>56</v>
      </c>
      <c r="H1841" s="386">
        <v>25.2</v>
      </c>
      <c r="I1841" s="387">
        <v>12</v>
      </c>
      <c r="J1841" s="19">
        <v>1</v>
      </c>
      <c r="K1841" s="13">
        <v>0.3024</v>
      </c>
      <c r="L1841" s="7" t="s">
        <v>483</v>
      </c>
    </row>
    <row r="1842" spans="1:12">
      <c r="A1842" s="7"/>
      <c r="B1842" s="381" t="s">
        <v>308</v>
      </c>
      <c r="C1842" s="3" t="s">
        <v>309</v>
      </c>
      <c r="D1842" s="2" t="s">
        <v>228</v>
      </c>
      <c r="E1842" s="4" t="s">
        <v>17</v>
      </c>
      <c r="F1842" s="385" t="s">
        <v>15</v>
      </c>
      <c r="G1842" s="385" t="s">
        <v>56</v>
      </c>
      <c r="H1842" s="386">
        <v>25.2</v>
      </c>
      <c r="I1842" s="387">
        <v>10</v>
      </c>
      <c r="J1842" s="19">
        <v>0</v>
      </c>
      <c r="K1842" s="13">
        <v>0</v>
      </c>
      <c r="L1842" s="7" t="s">
        <v>483</v>
      </c>
    </row>
    <row r="1843" spans="1:12">
      <c r="A1843" s="7"/>
      <c r="B1843" s="381" t="s">
        <v>308</v>
      </c>
      <c r="C1843" s="3" t="s">
        <v>309</v>
      </c>
      <c r="D1843" s="2" t="s">
        <v>228</v>
      </c>
      <c r="E1843" s="4" t="s">
        <v>17</v>
      </c>
      <c r="F1843" s="385" t="s">
        <v>15</v>
      </c>
      <c r="G1843" s="385" t="s">
        <v>56</v>
      </c>
      <c r="H1843" s="386">
        <v>25.2</v>
      </c>
      <c r="I1843" s="387">
        <v>9.1</v>
      </c>
      <c r="J1843" s="19">
        <v>0</v>
      </c>
      <c r="K1843" s="13">
        <v>0</v>
      </c>
      <c r="L1843" s="7" t="s">
        <v>483</v>
      </c>
    </row>
    <row r="1844" spans="1:12">
      <c r="A1844" s="7"/>
      <c r="B1844" s="381" t="s">
        <v>308</v>
      </c>
      <c r="C1844" s="3" t="s">
        <v>309</v>
      </c>
      <c r="D1844" s="2" t="s">
        <v>228</v>
      </c>
      <c r="E1844" s="4" t="s">
        <v>17</v>
      </c>
      <c r="F1844" s="385" t="s">
        <v>15</v>
      </c>
      <c r="G1844" s="385" t="s">
        <v>56</v>
      </c>
      <c r="H1844" s="386">
        <v>25.2</v>
      </c>
      <c r="I1844" s="387">
        <v>9.6999999999999993</v>
      </c>
      <c r="J1844" s="19">
        <v>0</v>
      </c>
      <c r="K1844" s="13">
        <v>0</v>
      </c>
      <c r="L1844" s="7" t="s">
        <v>483</v>
      </c>
    </row>
    <row r="1845" spans="1:12">
      <c r="A1845" s="7"/>
      <c r="B1845" s="381" t="s">
        <v>308</v>
      </c>
      <c r="C1845" s="3" t="s">
        <v>309</v>
      </c>
      <c r="D1845" s="2" t="s">
        <v>228</v>
      </c>
      <c r="E1845" s="4" t="s">
        <v>17</v>
      </c>
      <c r="F1845" s="385" t="s">
        <v>15</v>
      </c>
      <c r="G1845" s="385" t="s">
        <v>56</v>
      </c>
      <c r="H1845" s="386">
        <v>25.2</v>
      </c>
      <c r="I1845" s="387">
        <v>7.2</v>
      </c>
      <c r="J1845" s="19">
        <v>1</v>
      </c>
      <c r="K1845" s="13">
        <v>0.18143999999999999</v>
      </c>
      <c r="L1845" s="7" t="s">
        <v>483</v>
      </c>
    </row>
    <row r="1846" spans="1:12">
      <c r="A1846" s="7"/>
      <c r="B1846" s="381" t="s">
        <v>308</v>
      </c>
      <c r="C1846" s="3" t="s">
        <v>309</v>
      </c>
      <c r="D1846" s="2" t="s">
        <v>228</v>
      </c>
      <c r="E1846" s="4" t="s">
        <v>17</v>
      </c>
      <c r="F1846" s="385" t="s">
        <v>15</v>
      </c>
      <c r="G1846" s="385" t="s">
        <v>56</v>
      </c>
      <c r="H1846" s="386">
        <v>25.2</v>
      </c>
      <c r="I1846" s="387">
        <v>9.1</v>
      </c>
      <c r="J1846" s="19">
        <v>1</v>
      </c>
      <c r="K1846" s="13">
        <v>0.22932</v>
      </c>
      <c r="L1846" s="7" t="s">
        <v>483</v>
      </c>
    </row>
    <row r="1847" spans="1:12">
      <c r="A1847" s="7"/>
      <c r="B1847" s="381" t="s">
        <v>308</v>
      </c>
      <c r="C1847" s="3" t="s">
        <v>309</v>
      </c>
      <c r="D1847" s="2" t="s">
        <v>228</v>
      </c>
      <c r="E1847" s="4" t="s">
        <v>17</v>
      </c>
      <c r="F1847" s="385" t="s">
        <v>15</v>
      </c>
      <c r="G1847" s="385" t="s">
        <v>65</v>
      </c>
      <c r="H1847" s="386">
        <v>44.12</v>
      </c>
      <c r="I1847" s="387">
        <v>7.8</v>
      </c>
      <c r="J1847" s="19">
        <v>0</v>
      </c>
      <c r="K1847" s="13">
        <v>0</v>
      </c>
      <c r="L1847" s="7" t="s">
        <v>483</v>
      </c>
    </row>
    <row r="1848" spans="1:12">
      <c r="A1848" s="7"/>
      <c r="B1848" s="381" t="s">
        <v>308</v>
      </c>
      <c r="C1848" s="3" t="s">
        <v>309</v>
      </c>
      <c r="D1848" s="2" t="s">
        <v>228</v>
      </c>
      <c r="E1848" s="4" t="s">
        <v>17</v>
      </c>
      <c r="F1848" s="385" t="s">
        <v>15</v>
      </c>
      <c r="G1848" s="385" t="s">
        <v>65</v>
      </c>
      <c r="H1848" s="386">
        <v>44.12</v>
      </c>
      <c r="I1848" s="387">
        <v>7.7</v>
      </c>
      <c r="J1848" s="19">
        <v>4</v>
      </c>
      <c r="K1848" s="13">
        <v>1.3588959999999999</v>
      </c>
      <c r="L1848" s="7" t="s">
        <v>483</v>
      </c>
    </row>
    <row r="1849" spans="1:12">
      <c r="A1849" s="7"/>
      <c r="B1849" s="381" t="s">
        <v>308</v>
      </c>
      <c r="C1849" s="3" t="s">
        <v>309</v>
      </c>
      <c r="D1849" s="2" t="s">
        <v>228</v>
      </c>
      <c r="E1849" s="4" t="s">
        <v>17</v>
      </c>
      <c r="F1849" s="385" t="s">
        <v>15</v>
      </c>
      <c r="G1849" s="385" t="s">
        <v>65</v>
      </c>
      <c r="H1849" s="386">
        <v>44.12</v>
      </c>
      <c r="I1849" s="387">
        <v>10</v>
      </c>
      <c r="J1849" s="19">
        <v>0</v>
      </c>
      <c r="K1849" s="13">
        <v>0</v>
      </c>
      <c r="L1849" s="7" t="s">
        <v>483</v>
      </c>
    </row>
    <row r="1850" spans="1:12">
      <c r="A1850" s="7"/>
      <c r="B1850" s="381" t="s">
        <v>308</v>
      </c>
      <c r="C1850" s="3" t="s">
        <v>309</v>
      </c>
      <c r="D1850" s="2" t="s">
        <v>228</v>
      </c>
      <c r="E1850" s="4" t="s">
        <v>17</v>
      </c>
      <c r="F1850" s="385" t="s">
        <v>15</v>
      </c>
      <c r="G1850" s="385" t="s">
        <v>65</v>
      </c>
      <c r="H1850" s="386">
        <v>44.12</v>
      </c>
      <c r="I1850" s="387">
        <v>9.5</v>
      </c>
      <c r="J1850" s="19">
        <v>0</v>
      </c>
      <c r="K1850" s="13">
        <v>0</v>
      </c>
      <c r="L1850" s="7" t="s">
        <v>483</v>
      </c>
    </row>
    <row r="1851" spans="1:12">
      <c r="A1851" s="7"/>
      <c r="B1851" s="381" t="s">
        <v>308</v>
      </c>
      <c r="C1851" s="3" t="s">
        <v>309</v>
      </c>
      <c r="D1851" s="2" t="s">
        <v>228</v>
      </c>
      <c r="E1851" s="4" t="s">
        <v>17</v>
      </c>
      <c r="F1851" s="385" t="s">
        <v>15</v>
      </c>
      <c r="G1851" s="385" t="s">
        <v>65</v>
      </c>
      <c r="H1851" s="386">
        <v>44.12</v>
      </c>
      <c r="I1851" s="387">
        <v>6.6</v>
      </c>
      <c r="J1851" s="19">
        <v>0</v>
      </c>
      <c r="K1851" s="13">
        <v>0</v>
      </c>
      <c r="L1851" s="7" t="s">
        <v>483</v>
      </c>
    </row>
    <row r="1852" spans="1:12">
      <c r="A1852" s="7"/>
      <c r="B1852" s="381" t="s">
        <v>308</v>
      </c>
      <c r="C1852" s="3" t="s">
        <v>309</v>
      </c>
      <c r="D1852" s="2" t="s">
        <v>228</v>
      </c>
      <c r="E1852" s="4" t="s">
        <v>17</v>
      </c>
      <c r="F1852" s="385" t="s">
        <v>15</v>
      </c>
      <c r="G1852" s="385" t="s">
        <v>65</v>
      </c>
      <c r="H1852" s="386">
        <v>44.12</v>
      </c>
      <c r="I1852" s="387">
        <v>7.8</v>
      </c>
      <c r="J1852" s="19">
        <v>0</v>
      </c>
      <c r="K1852" s="13">
        <v>0</v>
      </c>
      <c r="L1852" s="7" t="s">
        <v>483</v>
      </c>
    </row>
    <row r="1853" spans="1:12">
      <c r="A1853" s="7"/>
      <c r="B1853" s="381" t="s">
        <v>308</v>
      </c>
      <c r="C1853" s="3" t="s">
        <v>309</v>
      </c>
      <c r="D1853" s="2" t="s">
        <v>228</v>
      </c>
      <c r="E1853" s="4" t="s">
        <v>17</v>
      </c>
      <c r="F1853" s="385" t="s">
        <v>15</v>
      </c>
      <c r="G1853" s="385" t="s">
        <v>65</v>
      </c>
      <c r="H1853" s="386">
        <v>44.12</v>
      </c>
      <c r="I1853" s="387">
        <v>9.3000000000000007</v>
      </c>
      <c r="J1853" s="19">
        <v>0</v>
      </c>
      <c r="K1853" s="13">
        <v>0</v>
      </c>
      <c r="L1853" s="7" t="s">
        <v>483</v>
      </c>
    </row>
    <row r="1854" spans="1:12">
      <c r="A1854" s="7"/>
      <c r="B1854" s="381" t="s">
        <v>308</v>
      </c>
      <c r="C1854" s="3" t="s">
        <v>309</v>
      </c>
      <c r="D1854" s="2" t="s">
        <v>228</v>
      </c>
      <c r="E1854" s="4" t="s">
        <v>17</v>
      </c>
      <c r="F1854" s="385" t="s">
        <v>15</v>
      </c>
      <c r="G1854" s="385" t="s">
        <v>65</v>
      </c>
      <c r="H1854" s="386">
        <v>44.12</v>
      </c>
      <c r="I1854" s="387">
        <v>11.5</v>
      </c>
      <c r="J1854" s="19">
        <v>2</v>
      </c>
      <c r="K1854" s="13">
        <v>1.0147599999999999</v>
      </c>
      <c r="L1854" s="7" t="s">
        <v>483</v>
      </c>
    </row>
    <row r="1855" spans="1:12">
      <c r="A1855" s="7"/>
      <c r="B1855" s="381" t="s">
        <v>308</v>
      </c>
      <c r="C1855" s="3" t="s">
        <v>309</v>
      </c>
      <c r="D1855" s="2" t="s">
        <v>228</v>
      </c>
      <c r="E1855" s="4" t="s">
        <v>17</v>
      </c>
      <c r="F1855" s="385" t="s">
        <v>15</v>
      </c>
      <c r="G1855" s="385" t="s">
        <v>65</v>
      </c>
      <c r="H1855" s="386">
        <v>44.12</v>
      </c>
      <c r="I1855" s="387">
        <v>12</v>
      </c>
      <c r="J1855" s="19">
        <v>3</v>
      </c>
      <c r="K1855" s="13">
        <v>1.58832</v>
      </c>
      <c r="L1855" s="7" t="s">
        <v>483</v>
      </c>
    </row>
    <row r="1856" spans="1:12">
      <c r="A1856" s="7"/>
      <c r="B1856" s="381" t="s">
        <v>308</v>
      </c>
      <c r="C1856" s="3" t="s">
        <v>309</v>
      </c>
      <c r="D1856" s="2" t="s">
        <v>228</v>
      </c>
      <c r="E1856" s="4" t="s">
        <v>17</v>
      </c>
      <c r="F1856" s="385" t="s">
        <v>15</v>
      </c>
      <c r="G1856" s="385" t="s">
        <v>65</v>
      </c>
      <c r="H1856" s="386">
        <v>44.12</v>
      </c>
      <c r="I1856" s="387">
        <v>6.7</v>
      </c>
      <c r="J1856" s="19">
        <v>1</v>
      </c>
      <c r="K1856" s="13">
        <v>0.29560399999999998</v>
      </c>
      <c r="L1856" s="7" t="s">
        <v>483</v>
      </c>
    </row>
    <row r="1857" spans="1:12">
      <c r="A1857" s="7"/>
      <c r="B1857" s="381" t="s">
        <v>308</v>
      </c>
      <c r="C1857" s="3" t="s">
        <v>309</v>
      </c>
      <c r="D1857" s="2" t="s">
        <v>228</v>
      </c>
      <c r="E1857" s="4" t="s">
        <v>17</v>
      </c>
      <c r="F1857" s="385" t="s">
        <v>15</v>
      </c>
      <c r="G1857" s="385" t="s">
        <v>65</v>
      </c>
      <c r="H1857" s="386">
        <v>44.12</v>
      </c>
      <c r="I1857" s="387">
        <v>6</v>
      </c>
      <c r="J1857" s="19">
        <v>2</v>
      </c>
      <c r="K1857" s="13">
        <v>0.52943999999999991</v>
      </c>
      <c r="L1857" s="7" t="s">
        <v>483</v>
      </c>
    </row>
    <row r="1858" spans="1:12">
      <c r="A1858" s="7"/>
      <c r="B1858" s="381" t="s">
        <v>308</v>
      </c>
      <c r="C1858" s="3" t="s">
        <v>309</v>
      </c>
      <c r="D1858" s="2" t="s">
        <v>228</v>
      </c>
      <c r="E1858" s="4" t="s">
        <v>17</v>
      </c>
      <c r="F1858" s="385" t="s">
        <v>15</v>
      </c>
      <c r="G1858" s="385" t="s">
        <v>65</v>
      </c>
      <c r="H1858" s="386">
        <v>44.12</v>
      </c>
      <c r="I1858" s="387">
        <v>5.8</v>
      </c>
      <c r="J1858" s="19">
        <v>1</v>
      </c>
      <c r="K1858" s="13">
        <v>0.25589600000000001</v>
      </c>
      <c r="L1858" s="7" t="s">
        <v>483</v>
      </c>
    </row>
    <row r="1859" spans="1:12">
      <c r="A1859" s="7"/>
      <c r="B1859" s="381" t="s">
        <v>308</v>
      </c>
      <c r="C1859" s="3" t="s">
        <v>309</v>
      </c>
      <c r="D1859" s="2" t="s">
        <v>228</v>
      </c>
      <c r="E1859" s="4" t="s">
        <v>17</v>
      </c>
      <c r="F1859" s="385" t="s">
        <v>15</v>
      </c>
      <c r="G1859" s="385" t="s">
        <v>57</v>
      </c>
      <c r="H1859" s="386">
        <v>33.72</v>
      </c>
      <c r="I1859" s="387">
        <v>12</v>
      </c>
      <c r="J1859" s="19">
        <v>0</v>
      </c>
      <c r="K1859" s="13">
        <v>0</v>
      </c>
      <c r="L1859" s="7" t="s">
        <v>483</v>
      </c>
    </row>
    <row r="1860" spans="1:12">
      <c r="A1860" s="7"/>
      <c r="B1860" s="381" t="s">
        <v>308</v>
      </c>
      <c r="C1860" s="3" t="s">
        <v>309</v>
      </c>
      <c r="D1860" s="2" t="s">
        <v>228</v>
      </c>
      <c r="E1860" s="4" t="s">
        <v>17</v>
      </c>
      <c r="F1860" s="385" t="s">
        <v>15</v>
      </c>
      <c r="G1860" s="385" t="s">
        <v>57</v>
      </c>
      <c r="H1860" s="386">
        <v>33.72</v>
      </c>
      <c r="I1860" s="387">
        <v>8.8000000000000007</v>
      </c>
      <c r="J1860" s="19">
        <v>0</v>
      </c>
      <c r="K1860" s="13">
        <v>0</v>
      </c>
      <c r="L1860" s="7" t="s">
        <v>483</v>
      </c>
    </row>
    <row r="1861" spans="1:12">
      <c r="A1861" s="7"/>
      <c r="B1861" s="381" t="s">
        <v>308</v>
      </c>
      <c r="C1861" s="3" t="s">
        <v>309</v>
      </c>
      <c r="D1861" s="2" t="s">
        <v>228</v>
      </c>
      <c r="E1861" s="4" t="s">
        <v>17</v>
      </c>
      <c r="F1861" s="385" t="s">
        <v>15</v>
      </c>
      <c r="G1861" s="385" t="s">
        <v>57</v>
      </c>
      <c r="H1861" s="386">
        <v>33.72</v>
      </c>
      <c r="I1861" s="387">
        <v>9.6999999999999993</v>
      </c>
      <c r="J1861" s="19">
        <v>0</v>
      </c>
      <c r="K1861" s="13">
        <v>0</v>
      </c>
      <c r="L1861" s="7" t="s">
        <v>483</v>
      </c>
    </row>
    <row r="1862" spans="1:12">
      <c r="A1862" s="7"/>
      <c r="B1862" s="381" t="s">
        <v>308</v>
      </c>
      <c r="C1862" s="3" t="s">
        <v>309</v>
      </c>
      <c r="D1862" s="2" t="s">
        <v>228</v>
      </c>
      <c r="E1862" s="4" t="s">
        <v>17</v>
      </c>
      <c r="F1862" s="385" t="s">
        <v>15</v>
      </c>
      <c r="G1862" s="385" t="s">
        <v>57</v>
      </c>
      <c r="H1862" s="386">
        <v>33.72</v>
      </c>
      <c r="I1862" s="387">
        <v>8.3000000000000007</v>
      </c>
      <c r="J1862" s="19">
        <v>0</v>
      </c>
      <c r="K1862" s="13">
        <v>0</v>
      </c>
      <c r="L1862" s="7" t="s">
        <v>483</v>
      </c>
    </row>
    <row r="1863" spans="1:12">
      <c r="A1863" s="7"/>
      <c r="B1863" s="381" t="s">
        <v>308</v>
      </c>
      <c r="C1863" s="3" t="s">
        <v>309</v>
      </c>
      <c r="D1863" s="2" t="s">
        <v>228</v>
      </c>
      <c r="E1863" s="4" t="s">
        <v>17</v>
      </c>
      <c r="F1863" s="385" t="s">
        <v>15</v>
      </c>
      <c r="G1863" s="385" t="s">
        <v>57</v>
      </c>
      <c r="H1863" s="386">
        <v>33.72</v>
      </c>
      <c r="I1863" s="387">
        <v>11.75</v>
      </c>
      <c r="J1863" s="19">
        <v>0</v>
      </c>
      <c r="K1863" s="13">
        <v>0</v>
      </c>
      <c r="L1863" s="7" t="s">
        <v>483</v>
      </c>
    </row>
    <row r="1864" spans="1:12">
      <c r="A1864" s="7"/>
      <c r="B1864" s="381" t="s">
        <v>308</v>
      </c>
      <c r="C1864" s="3" t="s">
        <v>309</v>
      </c>
      <c r="D1864" s="2" t="s">
        <v>228</v>
      </c>
      <c r="E1864" s="4" t="s">
        <v>17</v>
      </c>
      <c r="F1864" s="385" t="s">
        <v>15</v>
      </c>
      <c r="G1864" s="385" t="s">
        <v>57</v>
      </c>
      <c r="H1864" s="386">
        <v>33.72</v>
      </c>
      <c r="I1864" s="387">
        <v>7.3</v>
      </c>
      <c r="J1864" s="19">
        <v>0</v>
      </c>
      <c r="K1864" s="13">
        <v>0</v>
      </c>
      <c r="L1864" s="7" t="s">
        <v>483</v>
      </c>
    </row>
    <row r="1865" spans="1:12">
      <c r="A1865" s="7"/>
      <c r="B1865" s="381" t="s">
        <v>308</v>
      </c>
      <c r="C1865" s="3" t="s">
        <v>309</v>
      </c>
      <c r="D1865" s="2" t="s">
        <v>228</v>
      </c>
      <c r="E1865" s="4" t="s">
        <v>17</v>
      </c>
      <c r="F1865" s="385" t="s">
        <v>15</v>
      </c>
      <c r="G1865" s="385" t="s">
        <v>57</v>
      </c>
      <c r="H1865" s="386">
        <v>33.72</v>
      </c>
      <c r="I1865" s="387">
        <v>8.8000000000000007</v>
      </c>
      <c r="J1865" s="19">
        <v>0</v>
      </c>
      <c r="K1865" s="13">
        <v>0</v>
      </c>
      <c r="L1865" s="7" t="s">
        <v>483</v>
      </c>
    </row>
    <row r="1866" spans="1:12">
      <c r="A1866" s="7"/>
      <c r="B1866" s="381" t="s">
        <v>308</v>
      </c>
      <c r="C1866" s="3" t="s">
        <v>309</v>
      </c>
      <c r="D1866" s="2" t="s">
        <v>228</v>
      </c>
      <c r="E1866" s="4" t="s">
        <v>17</v>
      </c>
      <c r="F1866" s="385" t="s">
        <v>15</v>
      </c>
      <c r="G1866" s="385" t="s">
        <v>57</v>
      </c>
      <c r="H1866" s="386">
        <v>33.72</v>
      </c>
      <c r="I1866" s="387">
        <v>10.5</v>
      </c>
      <c r="J1866" s="19">
        <v>0</v>
      </c>
      <c r="K1866" s="13">
        <v>0</v>
      </c>
      <c r="L1866" s="7" t="s">
        <v>483</v>
      </c>
    </row>
    <row r="1867" spans="1:12">
      <c r="A1867" s="7"/>
      <c r="B1867" s="381" t="s">
        <v>308</v>
      </c>
      <c r="C1867" s="3" t="s">
        <v>309</v>
      </c>
      <c r="D1867" s="2" t="s">
        <v>228</v>
      </c>
      <c r="E1867" s="4" t="s">
        <v>17</v>
      </c>
      <c r="F1867" s="385" t="s">
        <v>15</v>
      </c>
      <c r="G1867" s="385" t="s">
        <v>57</v>
      </c>
      <c r="H1867" s="386">
        <v>33.72</v>
      </c>
      <c r="I1867" s="387">
        <v>11</v>
      </c>
      <c r="J1867" s="19">
        <v>0</v>
      </c>
      <c r="K1867" s="13">
        <v>0</v>
      </c>
      <c r="L1867" s="7" t="s">
        <v>483</v>
      </c>
    </row>
    <row r="1868" spans="1:12">
      <c r="A1868" s="7"/>
      <c r="B1868" s="381" t="s">
        <v>308</v>
      </c>
      <c r="C1868" s="3" t="s">
        <v>309</v>
      </c>
      <c r="D1868" s="2" t="s">
        <v>228</v>
      </c>
      <c r="E1868" s="4" t="s">
        <v>17</v>
      </c>
      <c r="F1868" s="385" t="s">
        <v>15</v>
      </c>
      <c r="G1868" s="385" t="s">
        <v>57</v>
      </c>
      <c r="H1868" s="386">
        <v>33.72</v>
      </c>
      <c r="I1868" s="387">
        <v>12</v>
      </c>
      <c r="J1868" s="19">
        <v>0</v>
      </c>
      <c r="K1868" s="13">
        <v>0</v>
      </c>
      <c r="L1868" s="7" t="s">
        <v>483</v>
      </c>
    </row>
    <row r="1869" spans="1:12">
      <c r="A1869" s="7"/>
      <c r="B1869" s="381" t="s">
        <v>308</v>
      </c>
      <c r="C1869" s="3" t="s">
        <v>309</v>
      </c>
      <c r="D1869" s="2" t="s">
        <v>228</v>
      </c>
      <c r="E1869" s="4" t="s">
        <v>17</v>
      </c>
      <c r="F1869" s="385" t="s">
        <v>15</v>
      </c>
      <c r="G1869" s="385" t="s">
        <v>64</v>
      </c>
      <c r="H1869" s="386">
        <v>40.01</v>
      </c>
      <c r="I1869" s="387">
        <v>6</v>
      </c>
      <c r="J1869" s="19">
        <v>1</v>
      </c>
      <c r="K1869" s="13">
        <v>0.24006</v>
      </c>
      <c r="L1869" s="7" t="s">
        <v>483</v>
      </c>
    </row>
    <row r="1870" spans="1:12">
      <c r="A1870" s="7"/>
      <c r="B1870" s="381" t="s">
        <v>308</v>
      </c>
      <c r="C1870" s="3" t="s">
        <v>309</v>
      </c>
      <c r="D1870" s="2" t="s">
        <v>228</v>
      </c>
      <c r="E1870" s="4" t="s">
        <v>17</v>
      </c>
      <c r="F1870" s="385" t="s">
        <v>15</v>
      </c>
      <c r="G1870" s="385" t="s">
        <v>64</v>
      </c>
      <c r="H1870" s="386">
        <v>40.01</v>
      </c>
      <c r="I1870" s="387">
        <v>6.2</v>
      </c>
      <c r="J1870" s="19">
        <v>0</v>
      </c>
      <c r="K1870" s="13">
        <v>0</v>
      </c>
      <c r="L1870" s="7" t="s">
        <v>483</v>
      </c>
    </row>
    <row r="1871" spans="1:12">
      <c r="A1871" s="7"/>
      <c r="B1871" s="381" t="s">
        <v>308</v>
      </c>
      <c r="C1871" s="3" t="s">
        <v>309</v>
      </c>
      <c r="D1871" s="2" t="s">
        <v>228</v>
      </c>
      <c r="E1871" s="4" t="s">
        <v>17</v>
      </c>
      <c r="F1871" s="385" t="s">
        <v>15</v>
      </c>
      <c r="G1871" s="385" t="s">
        <v>64</v>
      </c>
      <c r="H1871" s="386">
        <v>40.01</v>
      </c>
      <c r="I1871" s="387">
        <v>6.55</v>
      </c>
      <c r="J1871" s="19">
        <v>0</v>
      </c>
      <c r="K1871" s="13">
        <v>0</v>
      </c>
      <c r="L1871" s="7" t="s">
        <v>483</v>
      </c>
    </row>
    <row r="1872" spans="1:12">
      <c r="A1872" s="7"/>
      <c r="B1872" s="381" t="s">
        <v>308</v>
      </c>
      <c r="C1872" s="3" t="s">
        <v>309</v>
      </c>
      <c r="D1872" s="2" t="s">
        <v>228</v>
      </c>
      <c r="E1872" s="4" t="s">
        <v>17</v>
      </c>
      <c r="F1872" s="385" t="s">
        <v>15</v>
      </c>
      <c r="G1872" s="385" t="s">
        <v>64</v>
      </c>
      <c r="H1872" s="386">
        <v>40.01</v>
      </c>
      <c r="I1872" s="387">
        <v>6.7</v>
      </c>
      <c r="J1872" s="19">
        <v>4</v>
      </c>
      <c r="K1872" s="13">
        <v>1.072268</v>
      </c>
      <c r="L1872" s="7" t="s">
        <v>483</v>
      </c>
    </row>
    <row r="1873" spans="1:12">
      <c r="A1873" s="7"/>
      <c r="B1873" s="381" t="s">
        <v>308</v>
      </c>
      <c r="C1873" s="3" t="s">
        <v>309</v>
      </c>
      <c r="D1873" s="2" t="s">
        <v>228</v>
      </c>
      <c r="E1873" s="4" t="s">
        <v>17</v>
      </c>
      <c r="F1873" s="385" t="s">
        <v>15</v>
      </c>
      <c r="G1873" s="385" t="s">
        <v>64</v>
      </c>
      <c r="H1873" s="386">
        <v>40.01</v>
      </c>
      <c r="I1873" s="387">
        <v>7.9</v>
      </c>
      <c r="J1873" s="19">
        <v>0</v>
      </c>
      <c r="K1873" s="13">
        <v>0</v>
      </c>
      <c r="L1873" s="7" t="s">
        <v>483</v>
      </c>
    </row>
    <row r="1874" spans="1:12">
      <c r="A1874" s="7"/>
      <c r="B1874" s="381" t="s">
        <v>308</v>
      </c>
      <c r="C1874" s="3" t="s">
        <v>309</v>
      </c>
      <c r="D1874" s="2" t="s">
        <v>228</v>
      </c>
      <c r="E1874" s="4" t="s">
        <v>17</v>
      </c>
      <c r="F1874" s="385" t="s">
        <v>15</v>
      </c>
      <c r="G1874" s="385" t="s">
        <v>64</v>
      </c>
      <c r="H1874" s="386">
        <v>40.01</v>
      </c>
      <c r="I1874" s="387">
        <v>8</v>
      </c>
      <c r="J1874" s="19">
        <v>0</v>
      </c>
      <c r="K1874" s="13">
        <v>0</v>
      </c>
      <c r="L1874" s="7" t="s">
        <v>483</v>
      </c>
    </row>
    <row r="1875" spans="1:12">
      <c r="A1875" s="7"/>
      <c r="B1875" s="381" t="s">
        <v>308</v>
      </c>
      <c r="C1875" s="3" t="s">
        <v>309</v>
      </c>
      <c r="D1875" s="2" t="s">
        <v>228</v>
      </c>
      <c r="E1875" s="4" t="s">
        <v>17</v>
      </c>
      <c r="F1875" s="385" t="s">
        <v>15</v>
      </c>
      <c r="G1875" s="385" t="s">
        <v>64</v>
      </c>
      <c r="H1875" s="386">
        <v>40.01</v>
      </c>
      <c r="I1875" s="387">
        <v>9.1999999999999993</v>
      </c>
      <c r="J1875" s="19">
        <v>0</v>
      </c>
      <c r="K1875" s="13">
        <v>0</v>
      </c>
      <c r="L1875" s="7" t="s">
        <v>483</v>
      </c>
    </row>
    <row r="1876" spans="1:12">
      <c r="A1876" s="7"/>
      <c r="B1876" s="381" t="s">
        <v>308</v>
      </c>
      <c r="C1876" s="3" t="s">
        <v>309</v>
      </c>
      <c r="D1876" s="2" t="s">
        <v>228</v>
      </c>
      <c r="E1876" s="4" t="s">
        <v>17</v>
      </c>
      <c r="F1876" s="385" t="s">
        <v>15</v>
      </c>
      <c r="G1876" s="385" t="s">
        <v>64</v>
      </c>
      <c r="H1876" s="386">
        <v>40.01</v>
      </c>
      <c r="I1876" s="387">
        <v>9.1999999999999993</v>
      </c>
      <c r="J1876" s="19">
        <v>0</v>
      </c>
      <c r="K1876" s="13">
        <v>0</v>
      </c>
      <c r="L1876" s="7" t="s">
        <v>483</v>
      </c>
    </row>
    <row r="1877" spans="1:12">
      <c r="A1877" s="7"/>
      <c r="B1877" s="381" t="s">
        <v>308</v>
      </c>
      <c r="C1877" s="3" t="s">
        <v>309</v>
      </c>
      <c r="D1877" s="2" t="s">
        <v>228</v>
      </c>
      <c r="E1877" s="4" t="s">
        <v>17</v>
      </c>
      <c r="F1877" s="385" t="s">
        <v>15</v>
      </c>
      <c r="G1877" s="385" t="s">
        <v>64</v>
      </c>
      <c r="H1877" s="386">
        <v>40.01</v>
      </c>
      <c r="I1877" s="387">
        <v>10.5</v>
      </c>
      <c r="J1877" s="19">
        <v>0</v>
      </c>
      <c r="K1877" s="13">
        <v>0</v>
      </c>
      <c r="L1877" s="7" t="s">
        <v>483</v>
      </c>
    </row>
    <row r="1878" spans="1:12">
      <c r="A1878" s="7"/>
      <c r="B1878" s="381" t="s">
        <v>308</v>
      </c>
      <c r="C1878" s="3" t="s">
        <v>309</v>
      </c>
      <c r="D1878" s="2" t="s">
        <v>228</v>
      </c>
      <c r="E1878" s="4" t="s">
        <v>17</v>
      </c>
      <c r="F1878" s="385" t="s">
        <v>15</v>
      </c>
      <c r="G1878" s="385" t="s">
        <v>64</v>
      </c>
      <c r="H1878" s="386">
        <v>40.01</v>
      </c>
      <c r="I1878" s="387">
        <v>11.75</v>
      </c>
      <c r="J1878" s="19">
        <v>1</v>
      </c>
      <c r="K1878" s="13">
        <v>0.47011749999999997</v>
      </c>
      <c r="L1878" s="7" t="s">
        <v>483</v>
      </c>
    </row>
    <row r="1879" spans="1:12">
      <c r="A1879" s="7"/>
      <c r="B1879" s="381" t="s">
        <v>308</v>
      </c>
      <c r="C1879" s="3" t="s">
        <v>309</v>
      </c>
      <c r="D1879" s="2" t="s">
        <v>228</v>
      </c>
      <c r="E1879" s="4" t="s">
        <v>17</v>
      </c>
      <c r="F1879" s="385" t="s">
        <v>15</v>
      </c>
      <c r="G1879" s="385" t="s">
        <v>53</v>
      </c>
      <c r="H1879" s="386">
        <v>35.840000000000003</v>
      </c>
      <c r="I1879" s="387">
        <v>8</v>
      </c>
      <c r="J1879" s="19">
        <v>0</v>
      </c>
      <c r="K1879" s="13">
        <v>0</v>
      </c>
      <c r="L1879" s="7" t="s">
        <v>483</v>
      </c>
    </row>
    <row r="1880" spans="1:12">
      <c r="A1880" s="7"/>
      <c r="B1880" s="381" t="s">
        <v>308</v>
      </c>
      <c r="C1880" s="3" t="s">
        <v>309</v>
      </c>
      <c r="D1880" s="2" t="s">
        <v>228</v>
      </c>
      <c r="E1880" s="4" t="s">
        <v>17</v>
      </c>
      <c r="F1880" s="385" t="s">
        <v>15</v>
      </c>
      <c r="G1880" s="385" t="s">
        <v>53</v>
      </c>
      <c r="H1880" s="386">
        <v>35.840000000000003</v>
      </c>
      <c r="I1880" s="387">
        <v>10</v>
      </c>
      <c r="J1880" s="19">
        <v>5</v>
      </c>
      <c r="K1880" s="13">
        <v>1.7920000000000003</v>
      </c>
      <c r="L1880" s="7" t="s">
        <v>483</v>
      </c>
    </row>
    <row r="1881" spans="1:12">
      <c r="A1881" s="7"/>
      <c r="B1881" s="381" t="s">
        <v>308</v>
      </c>
      <c r="C1881" s="3" t="s">
        <v>309</v>
      </c>
      <c r="D1881" s="2" t="s">
        <v>228</v>
      </c>
      <c r="E1881" s="4" t="s">
        <v>17</v>
      </c>
      <c r="F1881" s="385" t="s">
        <v>15</v>
      </c>
      <c r="G1881" s="385" t="s">
        <v>53</v>
      </c>
      <c r="H1881" s="386">
        <v>35.840000000000003</v>
      </c>
      <c r="I1881" s="387">
        <v>10.5</v>
      </c>
      <c r="J1881" s="19">
        <v>0</v>
      </c>
      <c r="K1881" s="13">
        <v>0</v>
      </c>
      <c r="L1881" s="7" t="s">
        <v>483</v>
      </c>
    </row>
    <row r="1882" spans="1:12">
      <c r="A1882" s="7"/>
      <c r="B1882" s="381" t="s">
        <v>308</v>
      </c>
      <c r="C1882" s="3" t="s">
        <v>309</v>
      </c>
      <c r="D1882" s="2" t="s">
        <v>228</v>
      </c>
      <c r="E1882" s="4" t="s">
        <v>17</v>
      </c>
      <c r="F1882" s="385" t="s">
        <v>15</v>
      </c>
      <c r="G1882" s="385" t="s">
        <v>53</v>
      </c>
      <c r="H1882" s="386">
        <v>35.840000000000003</v>
      </c>
      <c r="I1882" s="387">
        <v>10.7</v>
      </c>
      <c r="J1882" s="19">
        <v>0</v>
      </c>
      <c r="K1882" s="13">
        <v>0</v>
      </c>
      <c r="L1882" s="7" t="s">
        <v>483</v>
      </c>
    </row>
    <row r="1883" spans="1:12">
      <c r="A1883" s="7"/>
      <c r="B1883" s="381" t="s">
        <v>308</v>
      </c>
      <c r="C1883" s="3" t="s">
        <v>309</v>
      </c>
      <c r="D1883" s="2" t="s">
        <v>228</v>
      </c>
      <c r="E1883" s="4" t="s">
        <v>17</v>
      </c>
      <c r="F1883" s="385" t="s">
        <v>15</v>
      </c>
      <c r="G1883" s="385" t="s">
        <v>53</v>
      </c>
      <c r="H1883" s="386">
        <v>35.840000000000003</v>
      </c>
      <c r="I1883" s="387">
        <v>10</v>
      </c>
      <c r="J1883" s="19">
        <v>2</v>
      </c>
      <c r="K1883" s="13">
        <v>0.7168000000000001</v>
      </c>
      <c r="L1883" s="7" t="s">
        <v>483</v>
      </c>
    </row>
    <row r="1884" spans="1:12">
      <c r="A1884" s="7"/>
      <c r="B1884" s="381" t="s">
        <v>308</v>
      </c>
      <c r="C1884" s="3" t="s">
        <v>309</v>
      </c>
      <c r="D1884" s="2" t="s">
        <v>228</v>
      </c>
      <c r="E1884" s="4" t="s">
        <v>17</v>
      </c>
      <c r="F1884" s="385" t="s">
        <v>15</v>
      </c>
      <c r="G1884" s="385" t="s">
        <v>53</v>
      </c>
      <c r="H1884" s="386">
        <v>35.840000000000003</v>
      </c>
      <c r="I1884" s="387">
        <v>10.5</v>
      </c>
      <c r="J1884" s="19">
        <v>1</v>
      </c>
      <c r="K1884" s="13">
        <v>0.37632000000000004</v>
      </c>
      <c r="L1884" s="7" t="s">
        <v>483</v>
      </c>
    </row>
    <row r="1885" spans="1:12">
      <c r="A1885" s="7"/>
      <c r="B1885" s="381" t="s">
        <v>308</v>
      </c>
      <c r="C1885" s="3" t="s">
        <v>309</v>
      </c>
      <c r="D1885" s="2" t="s">
        <v>228</v>
      </c>
      <c r="E1885" s="4" t="s">
        <v>17</v>
      </c>
      <c r="F1885" s="385" t="s">
        <v>15</v>
      </c>
      <c r="G1885" s="385" t="s">
        <v>53</v>
      </c>
      <c r="H1885" s="386">
        <v>35.840000000000003</v>
      </c>
      <c r="I1885" s="387">
        <v>6</v>
      </c>
      <c r="J1885" s="19">
        <v>0</v>
      </c>
      <c r="K1885" s="13">
        <v>0</v>
      </c>
      <c r="L1885" s="7" t="s">
        <v>483</v>
      </c>
    </row>
    <row r="1886" spans="1:12">
      <c r="A1886" s="7"/>
      <c r="B1886" s="381" t="s">
        <v>308</v>
      </c>
      <c r="C1886" s="3" t="s">
        <v>309</v>
      </c>
      <c r="D1886" s="2" t="s">
        <v>228</v>
      </c>
      <c r="E1886" s="4" t="s">
        <v>17</v>
      </c>
      <c r="F1886" s="385" t="s">
        <v>15</v>
      </c>
      <c r="G1886" s="385" t="s">
        <v>53</v>
      </c>
      <c r="H1886" s="386">
        <v>35.840000000000003</v>
      </c>
      <c r="I1886" s="387">
        <v>10.5</v>
      </c>
      <c r="J1886" s="19">
        <v>0</v>
      </c>
      <c r="K1886" s="13">
        <v>0</v>
      </c>
      <c r="L1886" s="7" t="s">
        <v>483</v>
      </c>
    </row>
    <row r="1887" spans="1:12">
      <c r="A1887" s="7"/>
      <c r="B1887" s="381" t="s">
        <v>308</v>
      </c>
      <c r="C1887" s="3" t="s">
        <v>309</v>
      </c>
      <c r="D1887" s="2" t="s">
        <v>228</v>
      </c>
      <c r="E1887" s="4" t="s">
        <v>17</v>
      </c>
      <c r="F1887" s="385" t="s">
        <v>15</v>
      </c>
      <c r="G1887" s="385" t="s">
        <v>53</v>
      </c>
      <c r="H1887" s="386">
        <v>35.840000000000003</v>
      </c>
      <c r="I1887" s="387">
        <v>11.3</v>
      </c>
      <c r="J1887" s="19">
        <v>0</v>
      </c>
      <c r="K1887" s="13">
        <v>0</v>
      </c>
      <c r="L1887" s="7" t="s">
        <v>483</v>
      </c>
    </row>
    <row r="1888" spans="1:12">
      <c r="A1888" s="7"/>
      <c r="B1888" s="381" t="s">
        <v>308</v>
      </c>
      <c r="C1888" s="3" t="s">
        <v>309</v>
      </c>
      <c r="D1888" s="2" t="s">
        <v>228</v>
      </c>
      <c r="E1888" s="4" t="s">
        <v>17</v>
      </c>
      <c r="F1888" s="385" t="s">
        <v>15</v>
      </c>
      <c r="G1888" s="385" t="s">
        <v>53</v>
      </c>
      <c r="H1888" s="386">
        <v>35.840000000000003</v>
      </c>
      <c r="I1888" s="387">
        <v>6</v>
      </c>
      <c r="J1888" s="19">
        <v>1</v>
      </c>
      <c r="K1888" s="13">
        <v>0.21504000000000001</v>
      </c>
      <c r="L1888" s="7" t="s">
        <v>483</v>
      </c>
    </row>
    <row r="1889" spans="1:12">
      <c r="A1889" s="7"/>
      <c r="B1889" s="381" t="s">
        <v>308</v>
      </c>
      <c r="C1889" s="3" t="s">
        <v>309</v>
      </c>
      <c r="D1889" s="2" t="s">
        <v>228</v>
      </c>
      <c r="E1889" s="4" t="s">
        <v>17</v>
      </c>
      <c r="F1889" s="385" t="s">
        <v>15</v>
      </c>
      <c r="G1889" s="385" t="s">
        <v>53</v>
      </c>
      <c r="H1889" s="386">
        <v>35.840000000000003</v>
      </c>
      <c r="I1889" s="387">
        <v>10</v>
      </c>
      <c r="J1889" s="19">
        <v>0</v>
      </c>
      <c r="K1889" s="13">
        <v>0</v>
      </c>
      <c r="L1889" s="7" t="s">
        <v>483</v>
      </c>
    </row>
    <row r="1890" spans="1:12">
      <c r="A1890" s="7"/>
      <c r="B1890" s="381" t="s">
        <v>308</v>
      </c>
      <c r="C1890" s="3" t="s">
        <v>309</v>
      </c>
      <c r="D1890" s="2" t="s">
        <v>228</v>
      </c>
      <c r="E1890" s="4" t="s">
        <v>17</v>
      </c>
      <c r="F1890" s="385" t="s">
        <v>15</v>
      </c>
      <c r="G1890" s="385" t="s">
        <v>53</v>
      </c>
      <c r="H1890" s="386">
        <v>35.840000000000003</v>
      </c>
      <c r="I1890" s="387">
        <v>11.3</v>
      </c>
      <c r="J1890" s="19">
        <v>0</v>
      </c>
      <c r="K1890" s="13">
        <v>0</v>
      </c>
      <c r="L1890" s="7" t="s">
        <v>483</v>
      </c>
    </row>
    <row r="1891" spans="1:12">
      <c r="A1891" s="7"/>
      <c r="B1891" s="381" t="s">
        <v>426</v>
      </c>
      <c r="C1891" s="3" t="s">
        <v>297</v>
      </c>
      <c r="D1891" s="2" t="s">
        <v>228</v>
      </c>
      <c r="E1891" s="382" t="s">
        <v>20</v>
      </c>
      <c r="F1891" s="385" t="s">
        <v>15</v>
      </c>
      <c r="G1891" s="385" t="s">
        <v>54</v>
      </c>
      <c r="H1891" s="386">
        <v>31.6</v>
      </c>
      <c r="I1891" s="387">
        <v>9.6999999999999993</v>
      </c>
      <c r="J1891" s="19">
        <v>3</v>
      </c>
      <c r="K1891" s="13">
        <v>0.91955999999999993</v>
      </c>
      <c r="L1891" s="7" t="s">
        <v>483</v>
      </c>
    </row>
    <row r="1892" spans="1:12">
      <c r="A1892" s="7"/>
      <c r="B1892" s="381" t="s">
        <v>426</v>
      </c>
      <c r="C1892" s="3" t="s">
        <v>297</v>
      </c>
      <c r="D1892" s="2" t="s">
        <v>228</v>
      </c>
      <c r="E1892" s="382" t="s">
        <v>20</v>
      </c>
      <c r="F1892" s="385" t="s">
        <v>15</v>
      </c>
      <c r="G1892" s="385" t="s">
        <v>54</v>
      </c>
      <c r="H1892" s="386">
        <v>31.6</v>
      </c>
      <c r="I1892" s="387">
        <v>9.5</v>
      </c>
      <c r="J1892" s="19">
        <v>3</v>
      </c>
      <c r="K1892" s="13">
        <v>0.90060000000000007</v>
      </c>
      <c r="L1892" s="7" t="s">
        <v>483</v>
      </c>
    </row>
    <row r="1893" spans="1:12">
      <c r="A1893" s="7"/>
      <c r="B1893" s="381" t="s">
        <v>426</v>
      </c>
      <c r="C1893" s="3" t="s">
        <v>297</v>
      </c>
      <c r="D1893" s="2" t="s">
        <v>228</v>
      </c>
      <c r="E1893" s="382" t="s">
        <v>20</v>
      </c>
      <c r="F1893" s="385" t="s">
        <v>15</v>
      </c>
      <c r="G1893" s="385" t="s">
        <v>54</v>
      </c>
      <c r="H1893" s="386">
        <v>31.6</v>
      </c>
      <c r="I1893" s="387">
        <v>9.6999999999999993</v>
      </c>
      <c r="J1893" s="19">
        <v>1</v>
      </c>
      <c r="K1893" s="13">
        <v>0.30651999999999996</v>
      </c>
      <c r="L1893" s="7" t="s">
        <v>483</v>
      </c>
    </row>
    <row r="1894" spans="1:12">
      <c r="A1894" s="7"/>
      <c r="B1894" s="381" t="s">
        <v>426</v>
      </c>
      <c r="C1894" s="3" t="s">
        <v>297</v>
      </c>
      <c r="D1894" s="2" t="s">
        <v>228</v>
      </c>
      <c r="E1894" s="382" t="s">
        <v>20</v>
      </c>
      <c r="F1894" s="385" t="s">
        <v>15</v>
      </c>
      <c r="G1894" s="385" t="s">
        <v>54</v>
      </c>
      <c r="H1894" s="386">
        <v>31.6</v>
      </c>
      <c r="I1894" s="387">
        <v>11.6</v>
      </c>
      <c r="J1894" s="19">
        <v>0</v>
      </c>
      <c r="K1894" s="13">
        <v>0</v>
      </c>
      <c r="L1894" s="7" t="s">
        <v>483</v>
      </c>
    </row>
    <row r="1895" spans="1:12">
      <c r="A1895" s="7"/>
      <c r="B1895" s="381" t="s">
        <v>426</v>
      </c>
      <c r="C1895" s="3" t="s">
        <v>428</v>
      </c>
      <c r="D1895" s="2" t="s">
        <v>228</v>
      </c>
      <c r="E1895" s="382" t="s">
        <v>20</v>
      </c>
      <c r="F1895" s="385" t="s">
        <v>15</v>
      </c>
      <c r="G1895" s="385" t="s">
        <v>53</v>
      </c>
      <c r="H1895" s="386">
        <v>35.9</v>
      </c>
      <c r="I1895" s="387">
        <v>11.3</v>
      </c>
      <c r="J1895" s="19">
        <v>0</v>
      </c>
      <c r="K1895" s="13">
        <v>0</v>
      </c>
      <c r="L1895" s="7" t="s">
        <v>483</v>
      </c>
    </row>
    <row r="1896" spans="1:12">
      <c r="A1896" s="7"/>
      <c r="B1896" s="381" t="s">
        <v>426</v>
      </c>
      <c r="C1896" s="3" t="s">
        <v>428</v>
      </c>
      <c r="D1896" s="2" t="s">
        <v>228</v>
      </c>
      <c r="E1896" s="382" t="s">
        <v>20</v>
      </c>
      <c r="F1896" s="385" t="s">
        <v>15</v>
      </c>
      <c r="G1896" s="385" t="s">
        <v>53</v>
      </c>
      <c r="H1896" s="386">
        <v>35.9</v>
      </c>
      <c r="I1896" s="387">
        <v>11.7</v>
      </c>
      <c r="J1896" s="19">
        <v>0</v>
      </c>
      <c r="K1896" s="13">
        <v>0</v>
      </c>
      <c r="L1896" s="7" t="s">
        <v>483</v>
      </c>
    </row>
    <row r="1897" spans="1:12">
      <c r="A1897" s="7"/>
      <c r="B1897" s="381" t="s">
        <v>426</v>
      </c>
      <c r="C1897" s="3" t="s">
        <v>428</v>
      </c>
      <c r="D1897" s="2" t="s">
        <v>228</v>
      </c>
      <c r="E1897" s="382" t="s">
        <v>20</v>
      </c>
      <c r="F1897" s="385" t="s">
        <v>15</v>
      </c>
      <c r="G1897" s="385" t="s">
        <v>53</v>
      </c>
      <c r="H1897" s="386">
        <v>35.9</v>
      </c>
      <c r="I1897" s="387">
        <v>12</v>
      </c>
      <c r="J1897" s="19">
        <v>10</v>
      </c>
      <c r="K1897" s="13">
        <v>4.3079999999999998</v>
      </c>
      <c r="L1897" s="7" t="s">
        <v>483</v>
      </c>
    </row>
    <row r="1898" spans="1:12">
      <c r="A1898" s="7"/>
      <c r="B1898" s="381" t="s">
        <v>426</v>
      </c>
      <c r="C1898" s="3" t="s">
        <v>428</v>
      </c>
      <c r="D1898" s="2" t="s">
        <v>228</v>
      </c>
      <c r="E1898" s="382" t="s">
        <v>20</v>
      </c>
      <c r="F1898" s="385" t="s">
        <v>15</v>
      </c>
      <c r="G1898" s="385" t="s">
        <v>53</v>
      </c>
      <c r="H1898" s="386">
        <v>35.9</v>
      </c>
      <c r="I1898" s="387">
        <v>12</v>
      </c>
      <c r="J1898" s="19">
        <v>1</v>
      </c>
      <c r="K1898" s="13">
        <v>0.43079999999999996</v>
      </c>
      <c r="L1898" s="7" t="s">
        <v>483</v>
      </c>
    </row>
    <row r="1899" spans="1:12">
      <c r="A1899" s="7"/>
      <c r="B1899" s="381" t="s">
        <v>426</v>
      </c>
      <c r="C1899" s="3" t="s">
        <v>428</v>
      </c>
      <c r="D1899" s="2" t="s">
        <v>228</v>
      </c>
      <c r="E1899" s="382" t="s">
        <v>20</v>
      </c>
      <c r="F1899" s="385" t="s">
        <v>15</v>
      </c>
      <c r="G1899" s="385" t="s">
        <v>53</v>
      </c>
      <c r="H1899" s="386">
        <v>35.9</v>
      </c>
      <c r="I1899" s="387">
        <v>10.8</v>
      </c>
      <c r="J1899" s="19">
        <v>1</v>
      </c>
      <c r="K1899" s="13">
        <v>0.38772000000000001</v>
      </c>
      <c r="L1899" s="7" t="s">
        <v>483</v>
      </c>
    </row>
    <row r="1900" spans="1:12">
      <c r="A1900" s="7"/>
      <c r="B1900" s="381" t="s">
        <v>426</v>
      </c>
      <c r="C1900" s="3" t="s">
        <v>428</v>
      </c>
      <c r="D1900" s="2" t="s">
        <v>228</v>
      </c>
      <c r="E1900" s="382" t="s">
        <v>20</v>
      </c>
      <c r="F1900" s="385" t="s">
        <v>15</v>
      </c>
      <c r="G1900" s="385" t="s">
        <v>53</v>
      </c>
      <c r="H1900" s="386">
        <v>35.9</v>
      </c>
      <c r="I1900" s="387">
        <v>11.7</v>
      </c>
      <c r="J1900" s="19">
        <v>0</v>
      </c>
      <c r="K1900" s="13">
        <v>0</v>
      </c>
      <c r="L1900" s="7" t="s">
        <v>483</v>
      </c>
    </row>
    <row r="1901" spans="1:12">
      <c r="A1901" s="7"/>
      <c r="B1901" s="381" t="s">
        <v>426</v>
      </c>
      <c r="C1901" s="3" t="s">
        <v>428</v>
      </c>
      <c r="D1901" s="2" t="s">
        <v>228</v>
      </c>
      <c r="E1901" s="382" t="s">
        <v>20</v>
      </c>
      <c r="F1901" s="385" t="s">
        <v>15</v>
      </c>
      <c r="G1901" s="385" t="s">
        <v>53</v>
      </c>
      <c r="H1901" s="386">
        <v>35.9</v>
      </c>
      <c r="I1901" s="387">
        <v>12</v>
      </c>
      <c r="J1901" s="19">
        <v>1</v>
      </c>
      <c r="K1901" s="13">
        <v>0.43079999999999996</v>
      </c>
      <c r="L1901" s="7" t="s">
        <v>483</v>
      </c>
    </row>
    <row r="1902" spans="1:12">
      <c r="A1902" s="7"/>
      <c r="B1902" s="381" t="s">
        <v>426</v>
      </c>
      <c r="C1902" s="3" t="s">
        <v>428</v>
      </c>
      <c r="D1902" s="2" t="s">
        <v>228</v>
      </c>
      <c r="E1902" s="382" t="s">
        <v>20</v>
      </c>
      <c r="F1902" s="385" t="s">
        <v>15</v>
      </c>
      <c r="G1902" s="385" t="s">
        <v>64</v>
      </c>
      <c r="H1902" s="386">
        <v>40.1</v>
      </c>
      <c r="I1902" s="387">
        <v>9.6999999999999993</v>
      </c>
      <c r="J1902" s="19">
        <v>5</v>
      </c>
      <c r="K1902" s="13">
        <v>1.9448500000000002</v>
      </c>
      <c r="L1902" s="7" t="s">
        <v>483</v>
      </c>
    </row>
    <row r="1903" spans="1:12">
      <c r="A1903" s="7"/>
      <c r="B1903" s="381" t="s">
        <v>426</v>
      </c>
      <c r="C1903" s="3" t="s">
        <v>428</v>
      </c>
      <c r="D1903" s="2" t="s">
        <v>228</v>
      </c>
      <c r="E1903" s="382" t="s">
        <v>20</v>
      </c>
      <c r="F1903" s="385" t="s">
        <v>15</v>
      </c>
      <c r="G1903" s="385" t="s">
        <v>64</v>
      </c>
      <c r="H1903" s="386">
        <v>40.1</v>
      </c>
      <c r="I1903" s="387">
        <v>9.5</v>
      </c>
      <c r="J1903" s="19">
        <v>1</v>
      </c>
      <c r="K1903" s="13">
        <v>0.38095000000000001</v>
      </c>
      <c r="L1903" s="7" t="s">
        <v>483</v>
      </c>
    </row>
    <row r="1904" spans="1:12">
      <c r="A1904" s="7"/>
      <c r="B1904" s="381" t="s">
        <v>426</v>
      </c>
      <c r="C1904" s="3" t="s">
        <v>428</v>
      </c>
      <c r="D1904" s="2" t="s">
        <v>228</v>
      </c>
      <c r="E1904" s="382" t="s">
        <v>20</v>
      </c>
      <c r="F1904" s="385" t="s">
        <v>15</v>
      </c>
      <c r="G1904" s="385" t="s">
        <v>64</v>
      </c>
      <c r="H1904" s="386">
        <v>40.1</v>
      </c>
      <c r="I1904" s="387">
        <v>9.25</v>
      </c>
      <c r="J1904" s="19">
        <v>1</v>
      </c>
      <c r="K1904" s="13">
        <v>0.370925</v>
      </c>
      <c r="L1904" s="7" t="s">
        <v>483</v>
      </c>
    </row>
    <row r="1905" spans="1:12">
      <c r="A1905" s="7"/>
      <c r="B1905" s="381" t="s">
        <v>426</v>
      </c>
      <c r="C1905" s="3" t="s">
        <v>428</v>
      </c>
      <c r="D1905" s="2" t="s">
        <v>228</v>
      </c>
      <c r="E1905" s="382" t="s">
        <v>20</v>
      </c>
      <c r="F1905" s="385" t="s">
        <v>15</v>
      </c>
      <c r="G1905" s="385" t="s">
        <v>64</v>
      </c>
      <c r="H1905" s="386">
        <v>40.1</v>
      </c>
      <c r="I1905" s="387">
        <v>9.5</v>
      </c>
      <c r="J1905" s="19">
        <v>1</v>
      </c>
      <c r="K1905" s="13">
        <v>0.38095000000000001</v>
      </c>
      <c r="L1905" s="7" t="s">
        <v>483</v>
      </c>
    </row>
    <row r="1906" spans="1:12">
      <c r="A1906" s="7"/>
      <c r="B1906" s="381" t="s">
        <v>426</v>
      </c>
      <c r="C1906" s="3" t="s">
        <v>428</v>
      </c>
      <c r="D1906" s="2" t="s">
        <v>228</v>
      </c>
      <c r="E1906" s="382" t="s">
        <v>20</v>
      </c>
      <c r="F1906" s="385" t="s">
        <v>15</v>
      </c>
      <c r="G1906" s="385" t="s">
        <v>64</v>
      </c>
      <c r="H1906" s="386">
        <v>40.1</v>
      </c>
      <c r="I1906" s="387">
        <v>9.6</v>
      </c>
      <c r="J1906" s="19">
        <v>2</v>
      </c>
      <c r="K1906" s="13">
        <v>0.76991999999999994</v>
      </c>
      <c r="L1906" s="7" t="s">
        <v>483</v>
      </c>
    </row>
    <row r="1907" spans="1:12">
      <c r="A1907" s="7"/>
      <c r="B1907" s="381" t="s">
        <v>426</v>
      </c>
      <c r="C1907" s="3" t="s">
        <v>428</v>
      </c>
      <c r="D1907" s="2" t="s">
        <v>228</v>
      </c>
      <c r="E1907" s="382" t="s">
        <v>20</v>
      </c>
      <c r="F1907" s="385" t="s">
        <v>15</v>
      </c>
      <c r="G1907" s="385" t="s">
        <v>64</v>
      </c>
      <c r="H1907" s="386">
        <v>40.1</v>
      </c>
      <c r="I1907" s="387">
        <v>9.5</v>
      </c>
      <c r="J1907" s="19">
        <v>2</v>
      </c>
      <c r="K1907" s="13">
        <v>0.76190000000000002</v>
      </c>
      <c r="L1907" s="7" t="s">
        <v>483</v>
      </c>
    </row>
    <row r="1908" spans="1:12">
      <c r="A1908" s="7"/>
      <c r="B1908" s="381" t="s">
        <v>426</v>
      </c>
      <c r="C1908" s="3" t="s">
        <v>428</v>
      </c>
      <c r="D1908" s="2" t="s">
        <v>228</v>
      </c>
      <c r="E1908" s="382" t="s">
        <v>20</v>
      </c>
      <c r="F1908" s="385" t="s">
        <v>15</v>
      </c>
      <c r="G1908" s="385" t="s">
        <v>64</v>
      </c>
      <c r="H1908" s="386">
        <v>40.1</v>
      </c>
      <c r="I1908" s="387">
        <v>9.3000000000000007</v>
      </c>
      <c r="J1908" s="19">
        <v>1</v>
      </c>
      <c r="K1908" s="13">
        <v>0.37293000000000004</v>
      </c>
      <c r="L1908" s="7" t="s">
        <v>483</v>
      </c>
    </row>
    <row r="1909" spans="1:12">
      <c r="A1909" s="7"/>
      <c r="B1909" s="381" t="s">
        <v>426</v>
      </c>
      <c r="C1909" s="3" t="s">
        <v>428</v>
      </c>
      <c r="D1909" s="2" t="s">
        <v>228</v>
      </c>
      <c r="E1909" s="382" t="s">
        <v>20</v>
      </c>
      <c r="F1909" s="385" t="s">
        <v>15</v>
      </c>
      <c r="G1909" s="385" t="s">
        <v>64</v>
      </c>
      <c r="H1909" s="386">
        <v>40.1</v>
      </c>
      <c r="I1909" s="387">
        <v>8.8000000000000007</v>
      </c>
      <c r="J1909" s="19">
        <v>1</v>
      </c>
      <c r="K1909" s="13">
        <v>0.35288000000000003</v>
      </c>
      <c r="L1909" s="7" t="s">
        <v>483</v>
      </c>
    </row>
    <row r="1910" spans="1:12">
      <c r="A1910" s="7"/>
      <c r="B1910" s="381" t="s">
        <v>328</v>
      </c>
      <c r="C1910" s="3" t="s">
        <v>232</v>
      </c>
      <c r="D1910" s="2" t="s">
        <v>228</v>
      </c>
      <c r="E1910" s="382" t="s">
        <v>152</v>
      </c>
      <c r="F1910" s="114" t="s">
        <v>15</v>
      </c>
      <c r="G1910" s="383" t="s">
        <v>32</v>
      </c>
      <c r="H1910" s="384">
        <v>8.3000000000000007</v>
      </c>
      <c r="I1910" s="376">
        <v>11</v>
      </c>
      <c r="J1910" s="19">
        <v>0</v>
      </c>
      <c r="K1910" s="13">
        <v>0</v>
      </c>
      <c r="L1910" s="7" t="s">
        <v>483</v>
      </c>
    </row>
    <row r="1911" spans="1:12">
      <c r="A1911" s="7"/>
      <c r="B1911" s="381" t="s">
        <v>328</v>
      </c>
      <c r="C1911" s="3" t="s">
        <v>232</v>
      </c>
      <c r="D1911" s="2" t="s">
        <v>228</v>
      </c>
      <c r="E1911" s="382" t="s">
        <v>152</v>
      </c>
      <c r="F1911" s="114" t="s">
        <v>15</v>
      </c>
      <c r="G1911" s="383" t="s">
        <v>32</v>
      </c>
      <c r="H1911" s="384">
        <v>8.3000000000000007</v>
      </c>
      <c r="I1911" s="376">
        <v>8.1</v>
      </c>
      <c r="J1911" s="19">
        <v>0</v>
      </c>
      <c r="K1911" s="13">
        <v>0</v>
      </c>
      <c r="L1911" s="7" t="s">
        <v>483</v>
      </c>
    </row>
    <row r="1912" spans="1:12">
      <c r="A1912" s="7"/>
      <c r="B1912" s="381" t="s">
        <v>328</v>
      </c>
      <c r="C1912" s="3" t="s">
        <v>232</v>
      </c>
      <c r="D1912" s="2" t="s">
        <v>228</v>
      </c>
      <c r="E1912" s="382" t="s">
        <v>152</v>
      </c>
      <c r="F1912" s="114" t="s">
        <v>15</v>
      </c>
      <c r="G1912" s="383" t="s">
        <v>32</v>
      </c>
      <c r="H1912" s="384">
        <v>8.3000000000000007</v>
      </c>
      <c r="I1912" s="376">
        <v>12</v>
      </c>
      <c r="J1912" s="19">
        <v>0</v>
      </c>
      <c r="K1912" s="13">
        <v>0</v>
      </c>
      <c r="L1912" s="7" t="s">
        <v>483</v>
      </c>
    </row>
    <row r="1913" spans="1:12">
      <c r="A1913" s="7"/>
      <c r="B1913" s="381" t="s">
        <v>328</v>
      </c>
      <c r="C1913" s="3" t="s">
        <v>232</v>
      </c>
      <c r="D1913" s="2" t="s">
        <v>228</v>
      </c>
      <c r="E1913" s="382" t="s">
        <v>152</v>
      </c>
      <c r="F1913" s="114" t="s">
        <v>15</v>
      </c>
      <c r="G1913" s="383" t="s">
        <v>32</v>
      </c>
      <c r="H1913" s="384">
        <v>8.3000000000000007</v>
      </c>
      <c r="I1913" s="376">
        <v>9</v>
      </c>
      <c r="J1913" s="19">
        <v>1</v>
      </c>
      <c r="K1913" s="13">
        <v>7.4700000000000003E-2</v>
      </c>
      <c r="L1913" s="7" t="s">
        <v>483</v>
      </c>
    </row>
    <row r="1914" spans="1:12">
      <c r="A1914" s="7"/>
      <c r="B1914" s="381" t="s">
        <v>328</v>
      </c>
      <c r="C1914" s="3" t="s">
        <v>232</v>
      </c>
      <c r="D1914" s="2" t="s">
        <v>228</v>
      </c>
      <c r="E1914" s="382" t="s">
        <v>152</v>
      </c>
      <c r="F1914" s="114" t="s">
        <v>15</v>
      </c>
      <c r="G1914" s="383" t="s">
        <v>32</v>
      </c>
      <c r="H1914" s="384">
        <v>8.3000000000000007</v>
      </c>
      <c r="I1914" s="376">
        <v>10</v>
      </c>
      <c r="J1914" s="19">
        <v>0</v>
      </c>
      <c r="K1914" s="13">
        <v>0</v>
      </c>
      <c r="L1914" s="7" t="s">
        <v>483</v>
      </c>
    </row>
    <row r="1915" spans="1:12">
      <c r="A1915" s="7"/>
      <c r="B1915" s="381" t="s">
        <v>328</v>
      </c>
      <c r="C1915" s="3" t="s">
        <v>232</v>
      </c>
      <c r="D1915" s="2" t="s">
        <v>228</v>
      </c>
      <c r="E1915" s="382" t="s">
        <v>152</v>
      </c>
      <c r="F1915" s="114" t="s">
        <v>15</v>
      </c>
      <c r="G1915" s="383" t="s">
        <v>32</v>
      </c>
      <c r="H1915" s="384">
        <v>8.3000000000000007</v>
      </c>
      <c r="I1915" s="376">
        <v>11</v>
      </c>
      <c r="J1915" s="19">
        <v>0</v>
      </c>
      <c r="K1915" s="13">
        <v>0</v>
      </c>
      <c r="L1915" s="7" t="s">
        <v>483</v>
      </c>
    </row>
    <row r="1916" spans="1:12">
      <c r="A1916" s="7"/>
      <c r="B1916" s="381" t="s">
        <v>328</v>
      </c>
      <c r="C1916" s="3" t="s">
        <v>232</v>
      </c>
      <c r="D1916" s="2" t="s">
        <v>228</v>
      </c>
      <c r="E1916" s="382" t="s">
        <v>152</v>
      </c>
      <c r="F1916" s="114" t="s">
        <v>15</v>
      </c>
      <c r="G1916" s="383" t="s">
        <v>32</v>
      </c>
      <c r="H1916" s="384">
        <v>8.3000000000000007</v>
      </c>
      <c r="I1916" s="376">
        <v>12</v>
      </c>
      <c r="J1916" s="19">
        <v>0</v>
      </c>
      <c r="K1916" s="13">
        <v>0</v>
      </c>
      <c r="L1916" s="7" t="s">
        <v>483</v>
      </c>
    </row>
    <row r="1917" spans="1:12">
      <c r="A1917" s="7"/>
      <c r="B1917" s="381" t="s">
        <v>328</v>
      </c>
      <c r="C1917" s="3" t="s">
        <v>232</v>
      </c>
      <c r="D1917" s="2" t="s">
        <v>228</v>
      </c>
      <c r="E1917" s="382" t="s">
        <v>152</v>
      </c>
      <c r="F1917" s="114" t="s">
        <v>15</v>
      </c>
      <c r="G1917" s="383" t="s">
        <v>32</v>
      </c>
      <c r="H1917" s="384">
        <v>8.3000000000000007</v>
      </c>
      <c r="I1917" s="376">
        <v>6.5</v>
      </c>
      <c r="J1917" s="19">
        <v>1</v>
      </c>
      <c r="K1917" s="13">
        <v>5.3950000000000005E-2</v>
      </c>
      <c r="L1917" s="7" t="s">
        <v>483</v>
      </c>
    </row>
    <row r="1918" spans="1:12">
      <c r="A1918" s="7"/>
      <c r="B1918" s="381" t="s">
        <v>328</v>
      </c>
      <c r="C1918" s="3" t="s">
        <v>232</v>
      </c>
      <c r="D1918" s="2" t="s">
        <v>228</v>
      </c>
      <c r="E1918" s="382" t="s">
        <v>152</v>
      </c>
      <c r="F1918" s="114" t="s">
        <v>15</v>
      </c>
      <c r="G1918" s="383" t="s">
        <v>32</v>
      </c>
      <c r="H1918" s="384">
        <v>8.3000000000000007</v>
      </c>
      <c r="I1918" s="376">
        <v>8</v>
      </c>
      <c r="J1918" s="19">
        <v>1</v>
      </c>
      <c r="K1918" s="13">
        <v>6.6400000000000001E-2</v>
      </c>
      <c r="L1918" s="7" t="s">
        <v>483</v>
      </c>
    </row>
    <row r="1919" spans="1:12">
      <c r="A1919" s="7"/>
      <c r="B1919" s="381" t="s">
        <v>328</v>
      </c>
      <c r="C1919" s="3" t="s">
        <v>232</v>
      </c>
      <c r="D1919" s="2" t="s">
        <v>228</v>
      </c>
      <c r="E1919" s="382" t="s">
        <v>152</v>
      </c>
      <c r="F1919" s="114" t="s">
        <v>15</v>
      </c>
      <c r="G1919" s="383" t="s">
        <v>32</v>
      </c>
      <c r="H1919" s="384">
        <v>8.3000000000000007</v>
      </c>
      <c r="I1919" s="376">
        <v>9.4</v>
      </c>
      <c r="J1919" s="19">
        <v>1</v>
      </c>
      <c r="K1919" s="13">
        <v>7.8020000000000006E-2</v>
      </c>
      <c r="L1919" s="7" t="s">
        <v>483</v>
      </c>
    </row>
    <row r="1920" spans="1:12">
      <c r="A1920" s="7"/>
      <c r="B1920" s="381" t="s">
        <v>328</v>
      </c>
      <c r="C1920" s="3" t="s">
        <v>232</v>
      </c>
      <c r="D1920" s="2" t="s">
        <v>228</v>
      </c>
      <c r="E1920" s="382" t="s">
        <v>152</v>
      </c>
      <c r="F1920" s="114" t="s">
        <v>15</v>
      </c>
      <c r="G1920" s="383" t="s">
        <v>32</v>
      </c>
      <c r="H1920" s="384">
        <v>8.3000000000000007</v>
      </c>
      <c r="I1920" s="376">
        <v>11.8</v>
      </c>
      <c r="J1920" s="19">
        <v>0</v>
      </c>
      <c r="K1920" s="13">
        <v>0</v>
      </c>
      <c r="L1920" s="7" t="s">
        <v>483</v>
      </c>
    </row>
    <row r="1921" spans="1:12">
      <c r="A1921" s="7"/>
      <c r="B1921" s="381" t="s">
        <v>328</v>
      </c>
      <c r="C1921" s="3" t="s">
        <v>232</v>
      </c>
      <c r="D1921" s="2" t="s">
        <v>228</v>
      </c>
      <c r="E1921" s="382" t="s">
        <v>152</v>
      </c>
      <c r="F1921" s="114" t="s">
        <v>15</v>
      </c>
      <c r="G1921" s="383" t="s">
        <v>34</v>
      </c>
      <c r="H1921" s="384">
        <v>9.61</v>
      </c>
      <c r="I1921" s="376">
        <v>9.4</v>
      </c>
      <c r="J1921" s="19">
        <v>0</v>
      </c>
      <c r="K1921" s="13">
        <v>0</v>
      </c>
      <c r="L1921" s="7" t="s">
        <v>483</v>
      </c>
    </row>
    <row r="1922" spans="1:12">
      <c r="A1922" s="7"/>
      <c r="B1922" s="381" t="s">
        <v>328</v>
      </c>
      <c r="C1922" s="3" t="s">
        <v>232</v>
      </c>
      <c r="D1922" s="2" t="s">
        <v>228</v>
      </c>
      <c r="E1922" s="382" t="s">
        <v>152</v>
      </c>
      <c r="F1922" s="114" t="s">
        <v>15</v>
      </c>
      <c r="G1922" s="383" t="s">
        <v>34</v>
      </c>
      <c r="H1922" s="384">
        <v>9.61</v>
      </c>
      <c r="I1922" s="376">
        <v>10.6</v>
      </c>
      <c r="J1922" s="19">
        <v>0</v>
      </c>
      <c r="K1922" s="13">
        <v>0</v>
      </c>
      <c r="L1922" s="7" t="s">
        <v>483</v>
      </c>
    </row>
    <row r="1923" spans="1:12">
      <c r="A1923" s="7"/>
      <c r="B1923" s="381" t="s">
        <v>328</v>
      </c>
      <c r="C1923" s="3" t="s">
        <v>232</v>
      </c>
      <c r="D1923" s="2" t="s">
        <v>228</v>
      </c>
      <c r="E1923" s="382" t="s">
        <v>19</v>
      </c>
      <c r="F1923" s="114" t="s">
        <v>14</v>
      </c>
      <c r="G1923" s="383" t="s">
        <v>32</v>
      </c>
      <c r="H1923" s="384">
        <v>8.3000000000000007</v>
      </c>
      <c r="I1923" s="376">
        <v>10.199999999999999</v>
      </c>
      <c r="J1923" s="19">
        <v>0</v>
      </c>
      <c r="K1923" s="13">
        <v>0</v>
      </c>
      <c r="L1923" s="7" t="s">
        <v>483</v>
      </c>
    </row>
    <row r="1924" spans="1:12">
      <c r="A1924" s="7"/>
      <c r="B1924" s="381" t="s">
        <v>328</v>
      </c>
      <c r="C1924" s="3" t="s">
        <v>232</v>
      </c>
      <c r="D1924" s="2" t="s">
        <v>228</v>
      </c>
      <c r="E1924" s="382" t="s">
        <v>19</v>
      </c>
      <c r="F1924" s="114" t="s">
        <v>14</v>
      </c>
      <c r="G1924" s="383" t="s">
        <v>32</v>
      </c>
      <c r="H1924" s="384">
        <v>8.3000000000000007</v>
      </c>
      <c r="I1924" s="376">
        <v>11.35</v>
      </c>
      <c r="J1924" s="19">
        <v>0</v>
      </c>
      <c r="K1924" s="13">
        <v>0</v>
      </c>
      <c r="L1924" s="7" t="s">
        <v>483</v>
      </c>
    </row>
    <row r="1925" spans="1:12">
      <c r="A1925" s="7"/>
      <c r="B1925" s="381" t="s">
        <v>328</v>
      </c>
      <c r="C1925" s="3" t="s">
        <v>232</v>
      </c>
      <c r="D1925" s="2" t="s">
        <v>228</v>
      </c>
      <c r="E1925" s="382" t="s">
        <v>19</v>
      </c>
      <c r="F1925" s="114" t="s">
        <v>14</v>
      </c>
      <c r="G1925" s="383" t="s">
        <v>32</v>
      </c>
      <c r="H1925" s="384">
        <v>8.3000000000000007</v>
      </c>
      <c r="I1925" s="376">
        <v>9</v>
      </c>
      <c r="J1925" s="19">
        <v>1</v>
      </c>
      <c r="K1925" s="13">
        <v>7.4700000000000003E-2</v>
      </c>
      <c r="L1925" s="7" t="s">
        <v>483</v>
      </c>
    </row>
    <row r="1926" spans="1:12">
      <c r="A1926" s="7"/>
      <c r="B1926" s="381" t="s">
        <v>328</v>
      </c>
      <c r="C1926" s="3" t="s">
        <v>232</v>
      </c>
      <c r="D1926" s="2" t="s">
        <v>228</v>
      </c>
      <c r="E1926" s="382" t="s">
        <v>19</v>
      </c>
      <c r="F1926" s="114" t="s">
        <v>14</v>
      </c>
      <c r="G1926" s="383" t="s">
        <v>32</v>
      </c>
      <c r="H1926" s="384">
        <v>8.3000000000000007</v>
      </c>
      <c r="I1926" s="376">
        <v>10.1</v>
      </c>
      <c r="J1926" s="19">
        <v>1</v>
      </c>
      <c r="K1926" s="13">
        <v>8.3830000000000002E-2</v>
      </c>
      <c r="L1926" s="7" t="s">
        <v>483</v>
      </c>
    </row>
    <row r="1927" spans="1:12">
      <c r="A1927" s="7"/>
      <c r="B1927" s="393" t="s">
        <v>328</v>
      </c>
      <c r="C1927" s="378" t="s">
        <v>232</v>
      </c>
      <c r="D1927" s="378" t="s">
        <v>228</v>
      </c>
      <c r="E1927" s="394" t="s">
        <v>19</v>
      </c>
      <c r="F1927" s="316" t="s">
        <v>14</v>
      </c>
      <c r="G1927" s="395" t="s">
        <v>32</v>
      </c>
      <c r="H1927" s="396">
        <v>8.3000000000000007</v>
      </c>
      <c r="I1927" s="63">
        <v>10.199999999999999</v>
      </c>
      <c r="J1927" s="64">
        <v>6</v>
      </c>
      <c r="K1927" s="65">
        <v>0.50796000000000008</v>
      </c>
      <c r="L1927" s="7" t="s">
        <v>483</v>
      </c>
    </row>
    <row r="1928" spans="1:12">
      <c r="A1928" s="7"/>
      <c r="B1928" s="381" t="s">
        <v>328</v>
      </c>
      <c r="C1928" s="3" t="s">
        <v>232</v>
      </c>
      <c r="D1928" s="2" t="s">
        <v>228</v>
      </c>
      <c r="E1928" s="382" t="s">
        <v>19</v>
      </c>
      <c r="F1928" s="114" t="s">
        <v>14</v>
      </c>
      <c r="G1928" s="383" t="s">
        <v>32</v>
      </c>
      <c r="H1928" s="384">
        <v>8.3000000000000007</v>
      </c>
      <c r="I1928" s="376">
        <v>8</v>
      </c>
      <c r="J1928" s="19">
        <v>0</v>
      </c>
      <c r="K1928" s="13">
        <v>0</v>
      </c>
      <c r="L1928" s="7" t="s">
        <v>483</v>
      </c>
    </row>
    <row r="1929" spans="1:12">
      <c r="A1929" s="7"/>
      <c r="B1929" s="381" t="s">
        <v>328</v>
      </c>
      <c r="C1929" s="3" t="s">
        <v>232</v>
      </c>
      <c r="D1929" s="2" t="s">
        <v>228</v>
      </c>
      <c r="E1929" s="382" t="s">
        <v>19</v>
      </c>
      <c r="F1929" s="114" t="s">
        <v>14</v>
      </c>
      <c r="G1929" s="383" t="s">
        <v>32</v>
      </c>
      <c r="H1929" s="384">
        <v>8.3000000000000007</v>
      </c>
      <c r="I1929" s="376">
        <v>8.6999999999999993</v>
      </c>
      <c r="J1929" s="19">
        <v>0</v>
      </c>
      <c r="K1929" s="13">
        <v>0</v>
      </c>
      <c r="L1929" s="7" t="s">
        <v>483</v>
      </c>
    </row>
    <row r="1930" spans="1:12">
      <c r="A1930" s="7"/>
      <c r="B1930" s="381" t="s">
        <v>328</v>
      </c>
      <c r="C1930" s="3" t="s">
        <v>232</v>
      </c>
      <c r="D1930" s="2" t="s">
        <v>228</v>
      </c>
      <c r="E1930" s="382" t="s">
        <v>19</v>
      </c>
      <c r="F1930" s="114" t="s">
        <v>14</v>
      </c>
      <c r="G1930" s="383" t="s">
        <v>32</v>
      </c>
      <c r="H1930" s="384">
        <v>8.3000000000000007</v>
      </c>
      <c r="I1930" s="376">
        <v>9</v>
      </c>
      <c r="J1930" s="19">
        <v>0</v>
      </c>
      <c r="K1930" s="13">
        <v>0</v>
      </c>
      <c r="L1930" s="7" t="s">
        <v>483</v>
      </c>
    </row>
    <row r="1931" spans="1:12">
      <c r="A1931" s="7"/>
      <c r="B1931" s="381" t="s">
        <v>328</v>
      </c>
      <c r="C1931" s="3" t="s">
        <v>232</v>
      </c>
      <c r="D1931" s="2" t="s">
        <v>228</v>
      </c>
      <c r="E1931" s="382" t="s">
        <v>19</v>
      </c>
      <c r="F1931" s="114" t="s">
        <v>14</v>
      </c>
      <c r="G1931" s="383" t="s">
        <v>32</v>
      </c>
      <c r="H1931" s="384">
        <v>8.3000000000000007</v>
      </c>
      <c r="I1931" s="376">
        <v>9.8000000000000007</v>
      </c>
      <c r="J1931" s="19">
        <v>0</v>
      </c>
      <c r="K1931" s="13">
        <v>0</v>
      </c>
      <c r="L1931" s="7" t="s">
        <v>483</v>
      </c>
    </row>
    <row r="1932" spans="1:12">
      <c r="A1932" s="7"/>
      <c r="B1932" s="381" t="s">
        <v>328</v>
      </c>
      <c r="C1932" s="3" t="s">
        <v>232</v>
      </c>
      <c r="D1932" s="2" t="s">
        <v>228</v>
      </c>
      <c r="E1932" s="382" t="s">
        <v>19</v>
      </c>
      <c r="F1932" s="114" t="s">
        <v>14</v>
      </c>
      <c r="G1932" s="383" t="s">
        <v>32</v>
      </c>
      <c r="H1932" s="384">
        <v>8.3000000000000007</v>
      </c>
      <c r="I1932" s="376">
        <v>10.1</v>
      </c>
      <c r="J1932" s="19">
        <v>0</v>
      </c>
      <c r="K1932" s="13">
        <v>0</v>
      </c>
      <c r="L1932" s="7" t="s">
        <v>483</v>
      </c>
    </row>
    <row r="1933" spans="1:12">
      <c r="A1933" s="7"/>
      <c r="B1933" s="381" t="s">
        <v>328</v>
      </c>
      <c r="C1933" s="3" t="s">
        <v>232</v>
      </c>
      <c r="D1933" s="2" t="s">
        <v>228</v>
      </c>
      <c r="E1933" s="382" t="s">
        <v>19</v>
      </c>
      <c r="F1933" s="114" t="s">
        <v>14</v>
      </c>
      <c r="G1933" s="383" t="s">
        <v>32</v>
      </c>
      <c r="H1933" s="384">
        <v>8.3000000000000007</v>
      </c>
      <c r="I1933" s="376">
        <v>11.35</v>
      </c>
      <c r="J1933" s="19">
        <v>0</v>
      </c>
      <c r="K1933" s="13">
        <v>0</v>
      </c>
      <c r="L1933" s="7" t="s">
        <v>483</v>
      </c>
    </row>
    <row r="1934" spans="1:12">
      <c r="A1934" s="7"/>
      <c r="B1934" s="381" t="s">
        <v>328</v>
      </c>
      <c r="C1934" s="3" t="s">
        <v>232</v>
      </c>
      <c r="D1934" s="2" t="s">
        <v>228</v>
      </c>
      <c r="E1934" s="382" t="s">
        <v>19</v>
      </c>
      <c r="F1934" s="114" t="s">
        <v>14</v>
      </c>
      <c r="G1934" s="383" t="s">
        <v>34</v>
      </c>
      <c r="H1934" s="384">
        <v>9.61</v>
      </c>
      <c r="I1934" s="376">
        <v>6.15</v>
      </c>
      <c r="J1934" s="19">
        <v>0</v>
      </c>
      <c r="K1934" s="13">
        <v>0</v>
      </c>
      <c r="L1934" s="7" t="s">
        <v>483</v>
      </c>
    </row>
    <row r="1935" spans="1:12">
      <c r="A1935" s="7"/>
      <c r="B1935" s="381" t="s">
        <v>328</v>
      </c>
      <c r="C1935" s="3" t="s">
        <v>232</v>
      </c>
      <c r="D1935" s="2" t="s">
        <v>228</v>
      </c>
      <c r="E1935" s="382" t="s">
        <v>19</v>
      </c>
      <c r="F1935" s="114" t="s">
        <v>14</v>
      </c>
      <c r="G1935" s="383" t="s">
        <v>34</v>
      </c>
      <c r="H1935" s="384">
        <v>9.61</v>
      </c>
      <c r="I1935" s="376">
        <v>6.8</v>
      </c>
      <c r="J1935" s="19">
        <v>0</v>
      </c>
      <c r="K1935" s="13">
        <v>0</v>
      </c>
      <c r="L1935" s="7" t="s">
        <v>483</v>
      </c>
    </row>
    <row r="1936" spans="1:12">
      <c r="A1936" s="7"/>
      <c r="B1936" s="381" t="s">
        <v>328</v>
      </c>
      <c r="C1936" s="3" t="s">
        <v>232</v>
      </c>
      <c r="D1936" s="2" t="s">
        <v>228</v>
      </c>
      <c r="E1936" s="382" t="s">
        <v>19</v>
      </c>
      <c r="F1936" s="114" t="s">
        <v>14</v>
      </c>
      <c r="G1936" s="383" t="s">
        <v>34</v>
      </c>
      <c r="H1936" s="384">
        <v>9.61</v>
      </c>
      <c r="I1936" s="376">
        <v>8</v>
      </c>
      <c r="J1936" s="19">
        <v>0</v>
      </c>
      <c r="K1936" s="13">
        <v>0</v>
      </c>
      <c r="L1936" s="7" t="s">
        <v>483</v>
      </c>
    </row>
    <row r="1937" spans="1:12">
      <c r="A1937" s="7"/>
      <c r="B1937" s="381" t="s">
        <v>328</v>
      </c>
      <c r="C1937" s="3" t="s">
        <v>232</v>
      </c>
      <c r="D1937" s="2" t="s">
        <v>228</v>
      </c>
      <c r="E1937" s="382" t="s">
        <v>19</v>
      </c>
      <c r="F1937" s="114" t="s">
        <v>14</v>
      </c>
      <c r="G1937" s="383" t="s">
        <v>34</v>
      </c>
      <c r="H1937" s="384">
        <v>9.61</v>
      </c>
      <c r="I1937" s="376">
        <v>12</v>
      </c>
      <c r="J1937" s="19">
        <v>0</v>
      </c>
      <c r="K1937" s="13">
        <v>0</v>
      </c>
      <c r="L1937" s="7" t="s">
        <v>483</v>
      </c>
    </row>
    <row r="1938" spans="1:12">
      <c r="A1938" s="7"/>
      <c r="B1938" s="381" t="s">
        <v>328</v>
      </c>
      <c r="C1938" s="3" t="s">
        <v>232</v>
      </c>
      <c r="D1938" s="2" t="s">
        <v>228</v>
      </c>
      <c r="E1938" s="382" t="s">
        <v>19</v>
      </c>
      <c r="F1938" s="114" t="s">
        <v>14</v>
      </c>
      <c r="G1938" s="383" t="s">
        <v>34</v>
      </c>
      <c r="H1938" s="384">
        <v>9.61</v>
      </c>
      <c r="I1938" s="376">
        <v>6.8</v>
      </c>
      <c r="J1938" s="19">
        <v>0</v>
      </c>
      <c r="K1938" s="13">
        <v>0</v>
      </c>
      <c r="L1938" s="7" t="s">
        <v>483</v>
      </c>
    </row>
    <row r="1939" spans="1:12">
      <c r="A1939" s="7"/>
      <c r="B1939" s="381" t="s">
        <v>328</v>
      </c>
      <c r="C1939" s="3" t="s">
        <v>232</v>
      </c>
      <c r="D1939" s="2" t="s">
        <v>228</v>
      </c>
      <c r="E1939" s="382" t="s">
        <v>19</v>
      </c>
      <c r="F1939" s="114" t="s">
        <v>14</v>
      </c>
      <c r="G1939" s="383" t="s">
        <v>34</v>
      </c>
      <c r="H1939" s="384">
        <v>9.61</v>
      </c>
      <c r="I1939" s="376">
        <v>8</v>
      </c>
      <c r="J1939" s="19">
        <v>0</v>
      </c>
      <c r="K1939" s="13">
        <v>0</v>
      </c>
      <c r="L1939" s="7" t="s">
        <v>483</v>
      </c>
    </row>
    <row r="1940" spans="1:12">
      <c r="A1940" s="7"/>
      <c r="B1940" s="381" t="s">
        <v>328</v>
      </c>
      <c r="C1940" s="3" t="s">
        <v>232</v>
      </c>
      <c r="D1940" s="2" t="s">
        <v>228</v>
      </c>
      <c r="E1940" s="382" t="s">
        <v>19</v>
      </c>
      <c r="F1940" s="114" t="s">
        <v>14</v>
      </c>
      <c r="G1940" s="383" t="s">
        <v>34</v>
      </c>
      <c r="H1940" s="384">
        <v>9.61</v>
      </c>
      <c r="I1940" s="376">
        <v>11.35</v>
      </c>
      <c r="J1940" s="19">
        <v>0</v>
      </c>
      <c r="K1940" s="13">
        <v>0</v>
      </c>
      <c r="L1940" s="7" t="s">
        <v>483</v>
      </c>
    </row>
    <row r="1941" spans="1:12">
      <c r="A1941" s="7"/>
      <c r="B1941" s="381" t="s">
        <v>328</v>
      </c>
      <c r="C1941" s="3" t="s">
        <v>232</v>
      </c>
      <c r="D1941" s="2" t="s">
        <v>228</v>
      </c>
      <c r="E1941" s="382" t="s">
        <v>19</v>
      </c>
      <c r="F1941" s="114" t="s">
        <v>14</v>
      </c>
      <c r="G1941" s="383" t="s">
        <v>34</v>
      </c>
      <c r="H1941" s="384">
        <v>9.61</v>
      </c>
      <c r="I1941" s="376">
        <v>11.8</v>
      </c>
      <c r="J1941" s="19">
        <v>0</v>
      </c>
      <c r="K1941" s="13">
        <v>0</v>
      </c>
      <c r="L1941" s="7" t="s">
        <v>483</v>
      </c>
    </row>
    <row r="1942" spans="1:12">
      <c r="A1942" s="7"/>
      <c r="B1942" s="381" t="s">
        <v>328</v>
      </c>
      <c r="C1942" s="3" t="s">
        <v>232</v>
      </c>
      <c r="D1942" s="2" t="s">
        <v>228</v>
      </c>
      <c r="E1942" s="382" t="s">
        <v>19</v>
      </c>
      <c r="F1942" s="114" t="s">
        <v>14</v>
      </c>
      <c r="G1942" s="383" t="s">
        <v>34</v>
      </c>
      <c r="H1942" s="384">
        <v>9.61</v>
      </c>
      <c r="I1942" s="376">
        <v>11.9</v>
      </c>
      <c r="J1942" s="19">
        <v>0</v>
      </c>
      <c r="K1942" s="13">
        <v>0</v>
      </c>
      <c r="L1942" s="7" t="s">
        <v>483</v>
      </c>
    </row>
    <row r="1943" spans="1:12">
      <c r="A1943" s="7"/>
      <c r="B1943" s="381" t="s">
        <v>328</v>
      </c>
      <c r="C1943" s="3" t="s">
        <v>232</v>
      </c>
      <c r="D1943" s="2" t="s">
        <v>228</v>
      </c>
      <c r="E1943" s="382" t="s">
        <v>19</v>
      </c>
      <c r="F1943" s="114" t="s">
        <v>14</v>
      </c>
      <c r="G1943" s="383" t="s">
        <v>34</v>
      </c>
      <c r="H1943" s="384">
        <v>9.61</v>
      </c>
      <c r="I1943" s="376">
        <v>9.8000000000000007</v>
      </c>
      <c r="J1943" s="19">
        <v>0</v>
      </c>
      <c r="K1943" s="13">
        <v>0</v>
      </c>
      <c r="L1943" s="7" t="s">
        <v>483</v>
      </c>
    </row>
    <row r="1944" spans="1:12">
      <c r="A1944" s="7"/>
      <c r="B1944" s="381" t="s">
        <v>328</v>
      </c>
      <c r="C1944" s="3" t="s">
        <v>232</v>
      </c>
      <c r="D1944" s="2" t="s">
        <v>228</v>
      </c>
      <c r="E1944" s="382" t="s">
        <v>152</v>
      </c>
      <c r="F1944" s="114" t="s">
        <v>15</v>
      </c>
      <c r="G1944" s="383" t="s">
        <v>21</v>
      </c>
      <c r="H1944" s="384">
        <v>6.97</v>
      </c>
      <c r="I1944" s="376">
        <v>10</v>
      </c>
      <c r="J1944" s="19">
        <v>0</v>
      </c>
      <c r="K1944" s="13">
        <v>0</v>
      </c>
      <c r="L1944" s="7" t="s">
        <v>483</v>
      </c>
    </row>
    <row r="1945" spans="1:12">
      <c r="A1945" s="7"/>
      <c r="B1945" s="381" t="s">
        <v>328</v>
      </c>
      <c r="C1945" s="3" t="s">
        <v>232</v>
      </c>
      <c r="D1945" s="2" t="s">
        <v>228</v>
      </c>
      <c r="E1945" s="382" t="s">
        <v>152</v>
      </c>
      <c r="F1945" s="114" t="s">
        <v>15</v>
      </c>
      <c r="G1945" s="383" t="s">
        <v>21</v>
      </c>
      <c r="H1945" s="384">
        <v>6.97</v>
      </c>
      <c r="I1945" s="376">
        <v>10.5</v>
      </c>
      <c r="J1945" s="19">
        <v>0</v>
      </c>
      <c r="K1945" s="13">
        <v>0</v>
      </c>
      <c r="L1945" s="7" t="s">
        <v>483</v>
      </c>
    </row>
    <row r="1946" spans="1:12">
      <c r="A1946" s="7"/>
      <c r="B1946" s="381" t="s">
        <v>328</v>
      </c>
      <c r="C1946" s="3" t="s">
        <v>232</v>
      </c>
      <c r="D1946" s="2" t="s">
        <v>228</v>
      </c>
      <c r="E1946" s="382" t="s">
        <v>152</v>
      </c>
      <c r="F1946" s="114" t="s">
        <v>15</v>
      </c>
      <c r="G1946" s="383" t="s">
        <v>21</v>
      </c>
      <c r="H1946" s="384">
        <v>6.97</v>
      </c>
      <c r="I1946" s="376">
        <v>12</v>
      </c>
      <c r="J1946" s="19">
        <v>0</v>
      </c>
      <c r="K1946" s="13">
        <v>0</v>
      </c>
      <c r="L1946" s="7" t="s">
        <v>483</v>
      </c>
    </row>
    <row r="1947" spans="1:12">
      <c r="A1947" s="7"/>
      <c r="B1947" s="381" t="s">
        <v>328</v>
      </c>
      <c r="C1947" s="3" t="s">
        <v>232</v>
      </c>
      <c r="D1947" s="2" t="s">
        <v>228</v>
      </c>
      <c r="E1947" s="382" t="s">
        <v>152</v>
      </c>
      <c r="F1947" s="114" t="s">
        <v>15</v>
      </c>
      <c r="G1947" s="383" t="s">
        <v>21</v>
      </c>
      <c r="H1947" s="384">
        <v>6.97</v>
      </c>
      <c r="I1947" s="376">
        <v>9.6999999999999993</v>
      </c>
      <c r="J1947" s="19">
        <v>0</v>
      </c>
      <c r="K1947" s="13">
        <v>0</v>
      </c>
      <c r="L1947" s="7" t="s">
        <v>483</v>
      </c>
    </row>
    <row r="1948" spans="1:12">
      <c r="A1948" s="7"/>
      <c r="B1948" s="381" t="s">
        <v>328</v>
      </c>
      <c r="C1948" s="3" t="s">
        <v>232</v>
      </c>
      <c r="D1948" s="2" t="s">
        <v>228</v>
      </c>
      <c r="E1948" s="382" t="s">
        <v>152</v>
      </c>
      <c r="F1948" s="114" t="s">
        <v>15</v>
      </c>
      <c r="G1948" s="383" t="s">
        <v>21</v>
      </c>
      <c r="H1948" s="384">
        <v>6.97</v>
      </c>
      <c r="I1948" s="376">
        <v>9.4</v>
      </c>
      <c r="J1948" s="19">
        <v>0</v>
      </c>
      <c r="K1948" s="13">
        <v>0</v>
      </c>
      <c r="L1948" s="7" t="s">
        <v>483</v>
      </c>
    </row>
    <row r="1949" spans="1:12">
      <c r="A1949" s="7"/>
      <c r="B1949" s="381" t="s">
        <v>328</v>
      </c>
      <c r="C1949" s="3" t="s">
        <v>232</v>
      </c>
      <c r="D1949" s="2" t="s">
        <v>228</v>
      </c>
      <c r="E1949" s="382" t="s">
        <v>152</v>
      </c>
      <c r="F1949" s="114" t="s">
        <v>15</v>
      </c>
      <c r="G1949" s="383" t="s">
        <v>21</v>
      </c>
      <c r="H1949" s="384">
        <v>6.97</v>
      </c>
      <c r="I1949" s="376">
        <v>12</v>
      </c>
      <c r="J1949" s="19">
        <v>0</v>
      </c>
      <c r="K1949" s="13">
        <v>0</v>
      </c>
      <c r="L1949" s="7" t="s">
        <v>483</v>
      </c>
    </row>
    <row r="1950" spans="1:12">
      <c r="A1950" s="7"/>
      <c r="B1950" s="381" t="s">
        <v>328</v>
      </c>
      <c r="C1950" s="3" t="s">
        <v>232</v>
      </c>
      <c r="D1950" s="2" t="s">
        <v>228</v>
      </c>
      <c r="E1950" s="382" t="s">
        <v>152</v>
      </c>
      <c r="F1950" s="114" t="s">
        <v>15</v>
      </c>
      <c r="G1950" s="383" t="s">
        <v>21</v>
      </c>
      <c r="H1950" s="384">
        <v>6.97</v>
      </c>
      <c r="I1950" s="376">
        <v>11.8</v>
      </c>
      <c r="J1950" s="19">
        <v>0</v>
      </c>
      <c r="K1950" s="13">
        <v>0</v>
      </c>
      <c r="L1950" s="7" t="s">
        <v>483</v>
      </c>
    </row>
    <row r="1951" spans="1:12">
      <c r="A1951" s="7"/>
      <c r="B1951" s="381" t="s">
        <v>328</v>
      </c>
      <c r="C1951" s="3" t="s">
        <v>232</v>
      </c>
      <c r="D1951" s="2" t="s">
        <v>228</v>
      </c>
      <c r="E1951" s="382" t="s">
        <v>17</v>
      </c>
      <c r="F1951" s="114" t="s">
        <v>15</v>
      </c>
      <c r="G1951" s="383" t="s">
        <v>32</v>
      </c>
      <c r="H1951" s="384">
        <v>8.32</v>
      </c>
      <c r="I1951" s="376">
        <v>9</v>
      </c>
      <c r="J1951" s="19">
        <v>0</v>
      </c>
      <c r="K1951" s="13">
        <v>0</v>
      </c>
      <c r="L1951" s="7" t="s">
        <v>483</v>
      </c>
    </row>
    <row r="1952" spans="1:12">
      <c r="A1952" s="7"/>
      <c r="B1952" s="381" t="s">
        <v>328</v>
      </c>
      <c r="C1952" s="3" t="s">
        <v>232</v>
      </c>
      <c r="D1952" s="2" t="s">
        <v>228</v>
      </c>
      <c r="E1952" s="382" t="s">
        <v>17</v>
      </c>
      <c r="F1952" s="114" t="s">
        <v>15</v>
      </c>
      <c r="G1952" s="383" t="s">
        <v>32</v>
      </c>
      <c r="H1952" s="384">
        <v>8.32</v>
      </c>
      <c r="I1952" s="376">
        <v>7.5</v>
      </c>
      <c r="J1952" s="19">
        <v>0</v>
      </c>
      <c r="K1952" s="13">
        <v>0</v>
      </c>
      <c r="L1952" s="7" t="s">
        <v>483</v>
      </c>
    </row>
    <row r="1953" spans="1:12">
      <c r="A1953" s="7"/>
      <c r="B1953" s="381" t="s">
        <v>328</v>
      </c>
      <c r="C1953" s="3" t="s">
        <v>232</v>
      </c>
      <c r="D1953" s="2" t="s">
        <v>228</v>
      </c>
      <c r="E1953" s="382" t="s">
        <v>17</v>
      </c>
      <c r="F1953" s="114" t="s">
        <v>15</v>
      </c>
      <c r="G1953" s="383" t="s">
        <v>32</v>
      </c>
      <c r="H1953" s="384">
        <v>8.32</v>
      </c>
      <c r="I1953" s="376">
        <v>6.3</v>
      </c>
      <c r="J1953" s="19">
        <v>0</v>
      </c>
      <c r="K1953" s="13">
        <v>0</v>
      </c>
      <c r="L1953" s="7" t="s">
        <v>483</v>
      </c>
    </row>
    <row r="1954" spans="1:12">
      <c r="A1954" s="7"/>
      <c r="B1954" s="381" t="s">
        <v>328</v>
      </c>
      <c r="C1954" s="3" t="s">
        <v>232</v>
      </c>
      <c r="D1954" s="2" t="s">
        <v>228</v>
      </c>
      <c r="E1954" s="382" t="s">
        <v>17</v>
      </c>
      <c r="F1954" s="114" t="s">
        <v>15</v>
      </c>
      <c r="G1954" s="383" t="s">
        <v>32</v>
      </c>
      <c r="H1954" s="384">
        <v>8.32</v>
      </c>
      <c r="I1954" s="376">
        <v>6</v>
      </c>
      <c r="J1954" s="19">
        <v>0</v>
      </c>
      <c r="K1954" s="13">
        <v>0</v>
      </c>
      <c r="L1954" s="7" t="s">
        <v>483</v>
      </c>
    </row>
    <row r="1955" spans="1:12">
      <c r="A1955" s="7"/>
      <c r="B1955" s="381" t="s">
        <v>328</v>
      </c>
      <c r="C1955" s="3" t="s">
        <v>232</v>
      </c>
      <c r="D1955" s="2" t="s">
        <v>228</v>
      </c>
      <c r="E1955" s="382" t="s">
        <v>17</v>
      </c>
      <c r="F1955" s="114" t="s">
        <v>15</v>
      </c>
      <c r="G1955" s="383" t="s">
        <v>32</v>
      </c>
      <c r="H1955" s="384">
        <v>8.32</v>
      </c>
      <c r="I1955" s="376">
        <v>7.2</v>
      </c>
      <c r="J1955" s="19">
        <v>0</v>
      </c>
      <c r="K1955" s="13">
        <v>0</v>
      </c>
      <c r="L1955" s="7" t="s">
        <v>483</v>
      </c>
    </row>
    <row r="1956" spans="1:12">
      <c r="A1956" s="7"/>
      <c r="B1956" s="381" t="s">
        <v>328</v>
      </c>
      <c r="C1956" s="3" t="s">
        <v>232</v>
      </c>
      <c r="D1956" s="2" t="s">
        <v>228</v>
      </c>
      <c r="E1956" s="382" t="s">
        <v>17</v>
      </c>
      <c r="F1956" s="114" t="s">
        <v>15</v>
      </c>
      <c r="G1956" s="383" t="s">
        <v>32</v>
      </c>
      <c r="H1956" s="384">
        <v>8.32</v>
      </c>
      <c r="I1956" s="376">
        <v>6.6</v>
      </c>
      <c r="J1956" s="19">
        <v>0</v>
      </c>
      <c r="K1956" s="13">
        <v>0</v>
      </c>
      <c r="L1956" s="7" t="s">
        <v>483</v>
      </c>
    </row>
    <row r="1957" spans="1:12">
      <c r="A1957" s="7"/>
      <c r="B1957" s="381" t="s">
        <v>328</v>
      </c>
      <c r="C1957" s="3" t="s">
        <v>232</v>
      </c>
      <c r="D1957" s="2" t="s">
        <v>228</v>
      </c>
      <c r="E1957" s="382" t="s">
        <v>17</v>
      </c>
      <c r="F1957" s="114" t="s">
        <v>15</v>
      </c>
      <c r="G1957" s="383" t="s">
        <v>32</v>
      </c>
      <c r="H1957" s="384">
        <v>8.32</v>
      </c>
      <c r="I1957" s="376">
        <v>11.9</v>
      </c>
      <c r="J1957" s="19">
        <v>0</v>
      </c>
      <c r="K1957" s="13">
        <v>0</v>
      </c>
      <c r="L1957" s="7" t="s">
        <v>483</v>
      </c>
    </row>
    <row r="1958" spans="1:12">
      <c r="A1958" s="7"/>
      <c r="B1958" s="381" t="s">
        <v>328</v>
      </c>
      <c r="C1958" s="3" t="s">
        <v>232</v>
      </c>
      <c r="D1958" s="2" t="s">
        <v>228</v>
      </c>
      <c r="E1958" s="382" t="s">
        <v>17</v>
      </c>
      <c r="F1958" s="114" t="s">
        <v>15</v>
      </c>
      <c r="G1958" s="383" t="s">
        <v>32</v>
      </c>
      <c r="H1958" s="384">
        <v>8.32</v>
      </c>
      <c r="I1958" s="376">
        <v>11.7</v>
      </c>
      <c r="J1958" s="19">
        <v>0</v>
      </c>
      <c r="K1958" s="13">
        <v>0</v>
      </c>
      <c r="L1958" s="7" t="s">
        <v>483</v>
      </c>
    </row>
    <row r="1959" spans="1:12">
      <c r="A1959" s="7"/>
      <c r="B1959" s="381" t="s">
        <v>328</v>
      </c>
      <c r="C1959" s="3" t="s">
        <v>232</v>
      </c>
      <c r="D1959" s="2" t="s">
        <v>228</v>
      </c>
      <c r="E1959" s="382" t="s">
        <v>17</v>
      </c>
      <c r="F1959" s="114" t="s">
        <v>15</v>
      </c>
      <c r="G1959" s="383" t="s">
        <v>32</v>
      </c>
      <c r="H1959" s="384">
        <v>8.32</v>
      </c>
      <c r="I1959" s="376">
        <v>11.5</v>
      </c>
      <c r="J1959" s="19">
        <v>0</v>
      </c>
      <c r="K1959" s="13">
        <v>0</v>
      </c>
      <c r="L1959" s="7" t="s">
        <v>483</v>
      </c>
    </row>
    <row r="1960" spans="1:12">
      <c r="A1960" s="7"/>
      <c r="B1960" s="381" t="s">
        <v>328</v>
      </c>
      <c r="C1960" s="3" t="s">
        <v>232</v>
      </c>
      <c r="D1960" s="2" t="s">
        <v>228</v>
      </c>
      <c r="E1960" s="382" t="s">
        <v>17</v>
      </c>
      <c r="F1960" s="114" t="s">
        <v>15</v>
      </c>
      <c r="G1960" s="383" t="s">
        <v>32</v>
      </c>
      <c r="H1960" s="384">
        <v>8.32</v>
      </c>
      <c r="I1960" s="376">
        <v>11.3</v>
      </c>
      <c r="J1960" s="19">
        <v>0</v>
      </c>
      <c r="K1960" s="13">
        <v>0</v>
      </c>
      <c r="L1960" s="7" t="s">
        <v>483</v>
      </c>
    </row>
    <row r="1961" spans="1:12">
      <c r="A1961" s="7"/>
      <c r="B1961" s="381" t="s">
        <v>328</v>
      </c>
      <c r="C1961" s="3" t="s">
        <v>232</v>
      </c>
      <c r="D1961" s="2" t="s">
        <v>228</v>
      </c>
      <c r="E1961" s="382" t="s">
        <v>17</v>
      </c>
      <c r="F1961" s="114" t="s">
        <v>15</v>
      </c>
      <c r="G1961" s="383" t="s">
        <v>32</v>
      </c>
      <c r="H1961" s="384">
        <v>8.32</v>
      </c>
      <c r="I1961" s="376">
        <v>9.1</v>
      </c>
      <c r="J1961" s="19">
        <v>0</v>
      </c>
      <c r="K1961" s="13">
        <v>0</v>
      </c>
      <c r="L1961" s="7" t="s">
        <v>483</v>
      </c>
    </row>
    <row r="1962" spans="1:12">
      <c r="A1962" s="7"/>
      <c r="B1962" s="381" t="s">
        <v>328</v>
      </c>
      <c r="C1962" s="3" t="s">
        <v>232</v>
      </c>
      <c r="D1962" s="2" t="s">
        <v>228</v>
      </c>
      <c r="E1962" s="382" t="s">
        <v>17</v>
      </c>
      <c r="F1962" s="114" t="s">
        <v>15</v>
      </c>
      <c r="G1962" s="383" t="s">
        <v>32</v>
      </c>
      <c r="H1962" s="384">
        <v>8.32</v>
      </c>
      <c r="I1962" s="376">
        <v>9.5</v>
      </c>
      <c r="J1962" s="19">
        <v>0</v>
      </c>
      <c r="K1962" s="13">
        <v>0</v>
      </c>
      <c r="L1962" s="7" t="s">
        <v>483</v>
      </c>
    </row>
    <row r="1963" spans="1:12">
      <c r="A1963" s="7"/>
      <c r="B1963" s="381" t="s">
        <v>328</v>
      </c>
      <c r="C1963" s="3" t="s">
        <v>232</v>
      </c>
      <c r="D1963" s="2" t="s">
        <v>228</v>
      </c>
      <c r="E1963" s="382" t="s">
        <v>17</v>
      </c>
      <c r="F1963" s="114" t="s">
        <v>15</v>
      </c>
      <c r="G1963" s="383" t="s">
        <v>32</v>
      </c>
      <c r="H1963" s="384">
        <v>8.32</v>
      </c>
      <c r="I1963" s="376">
        <v>7.9</v>
      </c>
      <c r="J1963" s="19">
        <v>0</v>
      </c>
      <c r="K1963" s="13">
        <v>0</v>
      </c>
      <c r="L1963" s="7" t="s">
        <v>483</v>
      </c>
    </row>
    <row r="1964" spans="1:12">
      <c r="A1964" s="7"/>
      <c r="B1964" s="381" t="s">
        <v>328</v>
      </c>
      <c r="C1964" s="3" t="s">
        <v>232</v>
      </c>
      <c r="D1964" s="2" t="s">
        <v>228</v>
      </c>
      <c r="E1964" s="382" t="s">
        <v>17</v>
      </c>
      <c r="F1964" s="114" t="s">
        <v>15</v>
      </c>
      <c r="G1964" s="383" t="s">
        <v>32</v>
      </c>
      <c r="H1964" s="384">
        <v>8.32</v>
      </c>
      <c r="I1964" s="376">
        <v>7.6</v>
      </c>
      <c r="J1964" s="19">
        <v>0</v>
      </c>
      <c r="K1964" s="13">
        <v>0</v>
      </c>
      <c r="L1964" s="7" t="s">
        <v>483</v>
      </c>
    </row>
    <row r="1965" spans="1:12">
      <c r="A1965" s="7"/>
      <c r="B1965" s="381" t="s">
        <v>328</v>
      </c>
      <c r="C1965" s="3" t="s">
        <v>232</v>
      </c>
      <c r="D1965" s="2" t="s">
        <v>228</v>
      </c>
      <c r="E1965" s="382" t="s">
        <v>17</v>
      </c>
      <c r="F1965" s="114" t="s">
        <v>15</v>
      </c>
      <c r="G1965" s="383" t="s">
        <v>32</v>
      </c>
      <c r="H1965" s="384">
        <v>8.32</v>
      </c>
      <c r="I1965" s="376">
        <v>10.5</v>
      </c>
      <c r="J1965" s="19">
        <v>0</v>
      </c>
      <c r="K1965" s="13">
        <v>0</v>
      </c>
      <c r="L1965" s="7" t="s">
        <v>483</v>
      </c>
    </row>
    <row r="1966" spans="1:12">
      <c r="A1966" s="7"/>
      <c r="B1966" s="381" t="s">
        <v>328</v>
      </c>
      <c r="C1966" s="3" t="s">
        <v>232</v>
      </c>
      <c r="D1966" s="2" t="s">
        <v>228</v>
      </c>
      <c r="E1966" s="382" t="s">
        <v>17</v>
      </c>
      <c r="F1966" s="114" t="s">
        <v>15</v>
      </c>
      <c r="G1966" s="383" t="s">
        <v>32</v>
      </c>
      <c r="H1966" s="384">
        <v>8.32</v>
      </c>
      <c r="I1966" s="376">
        <v>6.6</v>
      </c>
      <c r="J1966" s="19">
        <v>0</v>
      </c>
      <c r="K1966" s="13">
        <v>0</v>
      </c>
      <c r="L1966" s="7" t="s">
        <v>483</v>
      </c>
    </row>
    <row r="1967" spans="1:12">
      <c r="A1967" s="7"/>
      <c r="B1967" s="381" t="s">
        <v>328</v>
      </c>
      <c r="C1967" s="3" t="s">
        <v>232</v>
      </c>
      <c r="D1967" s="2" t="s">
        <v>228</v>
      </c>
      <c r="E1967" s="382" t="s">
        <v>17</v>
      </c>
      <c r="F1967" s="114" t="s">
        <v>15</v>
      </c>
      <c r="G1967" s="383" t="s">
        <v>32</v>
      </c>
      <c r="H1967" s="384">
        <v>8.32</v>
      </c>
      <c r="I1967" s="376">
        <v>6.75</v>
      </c>
      <c r="J1967" s="19">
        <v>0</v>
      </c>
      <c r="K1967" s="13">
        <v>0</v>
      </c>
      <c r="L1967" s="7" t="s">
        <v>483</v>
      </c>
    </row>
    <row r="1968" spans="1:12">
      <c r="A1968" s="7"/>
      <c r="B1968" s="381" t="s">
        <v>328</v>
      </c>
      <c r="C1968" s="3" t="s">
        <v>232</v>
      </c>
      <c r="D1968" s="2" t="s">
        <v>228</v>
      </c>
      <c r="E1968" s="382" t="s">
        <v>17</v>
      </c>
      <c r="F1968" s="114" t="s">
        <v>15</v>
      </c>
      <c r="G1968" s="383" t="s">
        <v>32</v>
      </c>
      <c r="H1968" s="384">
        <v>8.32</v>
      </c>
      <c r="I1968" s="376">
        <v>7.1</v>
      </c>
      <c r="J1968" s="19">
        <v>0</v>
      </c>
      <c r="K1968" s="13">
        <v>0</v>
      </c>
      <c r="L1968" s="7" t="s">
        <v>483</v>
      </c>
    </row>
    <row r="1969" spans="1:12">
      <c r="A1969" s="7"/>
      <c r="B1969" s="381" t="s">
        <v>328</v>
      </c>
      <c r="C1969" s="3" t="s">
        <v>232</v>
      </c>
      <c r="D1969" s="2" t="s">
        <v>228</v>
      </c>
      <c r="E1969" s="382" t="s">
        <v>17</v>
      </c>
      <c r="F1969" s="114" t="s">
        <v>15</v>
      </c>
      <c r="G1969" s="383" t="s">
        <v>32</v>
      </c>
      <c r="H1969" s="384">
        <v>8.32</v>
      </c>
      <c r="I1969" s="376">
        <v>7.7</v>
      </c>
      <c r="J1969" s="19">
        <v>0</v>
      </c>
      <c r="K1969" s="13">
        <v>0</v>
      </c>
      <c r="L1969" s="7" t="s">
        <v>483</v>
      </c>
    </row>
    <row r="1970" spans="1:12">
      <c r="A1970" s="7"/>
      <c r="B1970" s="381" t="s">
        <v>328</v>
      </c>
      <c r="C1970" s="3" t="s">
        <v>232</v>
      </c>
      <c r="D1970" s="2" t="s">
        <v>228</v>
      </c>
      <c r="E1970" s="382" t="s">
        <v>17</v>
      </c>
      <c r="F1970" s="114" t="s">
        <v>15</v>
      </c>
      <c r="G1970" s="383" t="s">
        <v>32</v>
      </c>
      <c r="H1970" s="384">
        <v>8.32</v>
      </c>
      <c r="I1970" s="376">
        <v>7.9</v>
      </c>
      <c r="J1970" s="19">
        <v>0</v>
      </c>
      <c r="K1970" s="13">
        <v>0</v>
      </c>
      <c r="L1970" s="7" t="s">
        <v>483</v>
      </c>
    </row>
    <row r="1971" spans="1:12">
      <c r="A1971" s="7"/>
      <c r="B1971" s="381" t="s">
        <v>328</v>
      </c>
      <c r="C1971" s="3" t="s">
        <v>232</v>
      </c>
      <c r="D1971" s="2" t="s">
        <v>228</v>
      </c>
      <c r="E1971" s="382" t="s">
        <v>17</v>
      </c>
      <c r="F1971" s="114" t="s">
        <v>15</v>
      </c>
      <c r="G1971" s="383" t="s">
        <v>32</v>
      </c>
      <c r="H1971" s="384">
        <v>8.32</v>
      </c>
      <c r="I1971" s="376">
        <v>8.4</v>
      </c>
      <c r="J1971" s="19">
        <v>0</v>
      </c>
      <c r="K1971" s="13">
        <v>0</v>
      </c>
      <c r="L1971" s="7" t="s">
        <v>483</v>
      </c>
    </row>
    <row r="1972" spans="1:12">
      <c r="A1972" s="7"/>
      <c r="B1972" s="381" t="s">
        <v>328</v>
      </c>
      <c r="C1972" s="3" t="s">
        <v>232</v>
      </c>
      <c r="D1972" s="2" t="s">
        <v>228</v>
      </c>
      <c r="E1972" s="382" t="s">
        <v>17</v>
      </c>
      <c r="F1972" s="114" t="s">
        <v>15</v>
      </c>
      <c r="G1972" s="383" t="s">
        <v>32</v>
      </c>
      <c r="H1972" s="384">
        <v>8.32</v>
      </c>
      <c r="I1972" s="376">
        <v>9.5</v>
      </c>
      <c r="J1972" s="19">
        <v>0</v>
      </c>
      <c r="K1972" s="13">
        <v>0</v>
      </c>
      <c r="L1972" s="7" t="s">
        <v>483</v>
      </c>
    </row>
    <row r="1973" spans="1:12">
      <c r="A1973" s="7"/>
      <c r="B1973" s="381" t="s">
        <v>328</v>
      </c>
      <c r="C1973" s="3" t="s">
        <v>232</v>
      </c>
      <c r="D1973" s="2" t="s">
        <v>228</v>
      </c>
      <c r="E1973" s="382" t="s">
        <v>17</v>
      </c>
      <c r="F1973" s="114" t="s">
        <v>15</v>
      </c>
      <c r="G1973" s="383" t="s">
        <v>32</v>
      </c>
      <c r="H1973" s="384">
        <v>8.32</v>
      </c>
      <c r="I1973" s="376">
        <v>10</v>
      </c>
      <c r="J1973" s="19">
        <v>0</v>
      </c>
      <c r="K1973" s="13">
        <v>0</v>
      </c>
      <c r="L1973" s="7" t="s">
        <v>483</v>
      </c>
    </row>
    <row r="1974" spans="1:12">
      <c r="A1974" s="7"/>
      <c r="B1974" s="381" t="s">
        <v>328</v>
      </c>
      <c r="C1974" s="3" t="s">
        <v>232</v>
      </c>
      <c r="D1974" s="2" t="s">
        <v>228</v>
      </c>
      <c r="E1974" s="382" t="s">
        <v>17</v>
      </c>
      <c r="F1974" s="114" t="s">
        <v>15</v>
      </c>
      <c r="G1974" s="383" t="s">
        <v>32</v>
      </c>
      <c r="H1974" s="384">
        <v>8.32</v>
      </c>
      <c r="I1974" s="376">
        <v>10.199999999999999</v>
      </c>
      <c r="J1974" s="19">
        <v>0</v>
      </c>
      <c r="K1974" s="13">
        <v>0</v>
      </c>
      <c r="L1974" s="7" t="s">
        <v>483</v>
      </c>
    </row>
    <row r="1975" spans="1:12">
      <c r="A1975" s="7"/>
      <c r="B1975" s="381" t="s">
        <v>328</v>
      </c>
      <c r="C1975" s="3" t="s">
        <v>232</v>
      </c>
      <c r="D1975" s="2" t="s">
        <v>228</v>
      </c>
      <c r="E1975" s="382" t="s">
        <v>17</v>
      </c>
      <c r="F1975" s="114" t="s">
        <v>15</v>
      </c>
      <c r="G1975" s="383" t="s">
        <v>32</v>
      </c>
      <c r="H1975" s="384">
        <v>8.32</v>
      </c>
      <c r="I1975" s="376">
        <v>10.85</v>
      </c>
      <c r="J1975" s="19">
        <v>0</v>
      </c>
      <c r="K1975" s="13">
        <v>0</v>
      </c>
      <c r="L1975" s="7" t="s">
        <v>483</v>
      </c>
    </row>
    <row r="1976" spans="1:12">
      <c r="A1976" s="7"/>
      <c r="B1976" s="381" t="s">
        <v>328</v>
      </c>
      <c r="C1976" s="3" t="s">
        <v>232</v>
      </c>
      <c r="D1976" s="2" t="s">
        <v>228</v>
      </c>
      <c r="E1976" s="382" t="s">
        <v>17</v>
      </c>
      <c r="F1976" s="114" t="s">
        <v>15</v>
      </c>
      <c r="G1976" s="383" t="s">
        <v>32</v>
      </c>
      <c r="H1976" s="384">
        <v>8.32</v>
      </c>
      <c r="I1976" s="376">
        <v>11</v>
      </c>
      <c r="J1976" s="64">
        <v>0</v>
      </c>
      <c r="K1976" s="65">
        <v>0</v>
      </c>
      <c r="L1976" s="7" t="s">
        <v>483</v>
      </c>
    </row>
    <row r="1977" spans="1:12">
      <c r="A1977" s="7"/>
      <c r="B1977" s="381" t="s">
        <v>328</v>
      </c>
      <c r="C1977" s="3" t="s">
        <v>232</v>
      </c>
      <c r="D1977" s="2" t="s">
        <v>228</v>
      </c>
      <c r="E1977" s="382" t="s">
        <v>17</v>
      </c>
      <c r="F1977" s="114" t="s">
        <v>15</v>
      </c>
      <c r="G1977" s="383" t="s">
        <v>32</v>
      </c>
      <c r="H1977" s="384">
        <v>8.32</v>
      </c>
      <c r="I1977" s="376">
        <v>11.3</v>
      </c>
      <c r="J1977" s="19">
        <v>0</v>
      </c>
      <c r="K1977" s="13">
        <v>0</v>
      </c>
      <c r="L1977" s="7" t="s">
        <v>483</v>
      </c>
    </row>
    <row r="1978" spans="1:12">
      <c r="A1978" s="7"/>
      <c r="B1978" s="381" t="s">
        <v>328</v>
      </c>
      <c r="C1978" s="3" t="s">
        <v>232</v>
      </c>
      <c r="D1978" s="2" t="s">
        <v>228</v>
      </c>
      <c r="E1978" s="382" t="s">
        <v>17</v>
      </c>
      <c r="F1978" s="114" t="s">
        <v>15</v>
      </c>
      <c r="G1978" s="383" t="s">
        <v>32</v>
      </c>
      <c r="H1978" s="384">
        <v>8.32</v>
      </c>
      <c r="I1978" s="376">
        <v>11.5</v>
      </c>
      <c r="J1978" s="19">
        <v>0</v>
      </c>
      <c r="K1978" s="13">
        <v>0</v>
      </c>
      <c r="L1978" s="7" t="s">
        <v>483</v>
      </c>
    </row>
    <row r="1979" spans="1:12">
      <c r="A1979" s="7"/>
      <c r="B1979" s="381" t="s">
        <v>328</v>
      </c>
      <c r="C1979" s="3" t="s">
        <v>232</v>
      </c>
      <c r="D1979" s="2" t="s">
        <v>228</v>
      </c>
      <c r="E1979" s="382" t="s">
        <v>17</v>
      </c>
      <c r="F1979" s="114" t="s">
        <v>15</v>
      </c>
      <c r="G1979" s="383" t="s">
        <v>32</v>
      </c>
      <c r="H1979" s="384">
        <v>8.32</v>
      </c>
      <c r="I1979" s="376">
        <v>11.7</v>
      </c>
      <c r="J1979" s="19">
        <v>0</v>
      </c>
      <c r="K1979" s="13">
        <v>0</v>
      </c>
      <c r="L1979" s="7" t="s">
        <v>483</v>
      </c>
    </row>
    <row r="1980" spans="1:12">
      <c r="A1980" s="7"/>
      <c r="B1980" s="381" t="s">
        <v>328</v>
      </c>
      <c r="C1980" s="3" t="s">
        <v>232</v>
      </c>
      <c r="D1980" s="2" t="s">
        <v>228</v>
      </c>
      <c r="E1980" s="382" t="s">
        <v>17</v>
      </c>
      <c r="F1980" s="114" t="s">
        <v>15</v>
      </c>
      <c r="G1980" s="383" t="s">
        <v>32</v>
      </c>
      <c r="H1980" s="384">
        <v>8.32</v>
      </c>
      <c r="I1980" s="376">
        <v>11.9</v>
      </c>
      <c r="J1980" s="19">
        <v>0</v>
      </c>
      <c r="K1980" s="13">
        <v>0</v>
      </c>
      <c r="L1980" s="7" t="s">
        <v>483</v>
      </c>
    </row>
    <row r="1981" spans="1:12">
      <c r="A1981" s="7"/>
      <c r="B1981" s="381" t="s">
        <v>328</v>
      </c>
      <c r="C1981" s="3" t="s">
        <v>232</v>
      </c>
      <c r="D1981" s="2" t="s">
        <v>228</v>
      </c>
      <c r="E1981" s="382" t="s">
        <v>17</v>
      </c>
      <c r="F1981" s="114" t="s">
        <v>15</v>
      </c>
      <c r="G1981" s="383" t="s">
        <v>32</v>
      </c>
      <c r="H1981" s="384">
        <v>8.32</v>
      </c>
      <c r="I1981" s="376">
        <v>12</v>
      </c>
      <c r="J1981" s="19">
        <v>0</v>
      </c>
      <c r="K1981" s="13">
        <v>0</v>
      </c>
      <c r="L1981" s="7" t="s">
        <v>483</v>
      </c>
    </row>
    <row r="1982" spans="1:12">
      <c r="A1982" s="7"/>
      <c r="B1982" s="381" t="s">
        <v>328</v>
      </c>
      <c r="C1982" s="3" t="s">
        <v>232</v>
      </c>
      <c r="D1982" s="2" t="s">
        <v>228</v>
      </c>
      <c r="E1982" s="382" t="s">
        <v>17</v>
      </c>
      <c r="F1982" s="114" t="s">
        <v>15</v>
      </c>
      <c r="G1982" s="383" t="s">
        <v>34</v>
      </c>
      <c r="H1982" s="384">
        <v>9.61</v>
      </c>
      <c r="I1982" s="376">
        <v>12</v>
      </c>
      <c r="J1982" s="19">
        <v>0</v>
      </c>
      <c r="K1982" s="13">
        <v>0</v>
      </c>
      <c r="L1982" s="7" t="s">
        <v>483</v>
      </c>
    </row>
    <row r="1983" spans="1:12">
      <c r="A1983" s="7"/>
      <c r="B1983" s="381" t="s">
        <v>328</v>
      </c>
      <c r="C1983" s="3" t="s">
        <v>232</v>
      </c>
      <c r="D1983" s="2" t="s">
        <v>228</v>
      </c>
      <c r="E1983" s="382" t="s">
        <v>17</v>
      </c>
      <c r="F1983" s="114" t="s">
        <v>15</v>
      </c>
      <c r="G1983" s="383" t="s">
        <v>34</v>
      </c>
      <c r="H1983" s="384">
        <v>9.61</v>
      </c>
      <c r="I1983" s="376">
        <v>10.199999999999999</v>
      </c>
      <c r="J1983" s="19">
        <v>0</v>
      </c>
      <c r="K1983" s="13">
        <v>0</v>
      </c>
      <c r="L1983" s="7" t="s">
        <v>483</v>
      </c>
    </row>
    <row r="1984" spans="1:12">
      <c r="A1984" s="7"/>
      <c r="B1984" s="381" t="s">
        <v>328</v>
      </c>
      <c r="C1984" s="3" t="s">
        <v>232</v>
      </c>
      <c r="D1984" s="2" t="s">
        <v>228</v>
      </c>
      <c r="E1984" s="382" t="s">
        <v>17</v>
      </c>
      <c r="F1984" s="114" t="s">
        <v>15</v>
      </c>
      <c r="G1984" s="383" t="s">
        <v>34</v>
      </c>
      <c r="H1984" s="384">
        <v>9.61</v>
      </c>
      <c r="I1984" s="376">
        <v>9.5</v>
      </c>
      <c r="J1984" s="19">
        <v>0</v>
      </c>
      <c r="K1984" s="13">
        <v>0</v>
      </c>
      <c r="L1984" s="7" t="s">
        <v>483</v>
      </c>
    </row>
    <row r="1985" spans="1:12">
      <c r="A1985" s="7"/>
      <c r="B1985" s="381" t="s">
        <v>328</v>
      </c>
      <c r="C1985" s="3" t="s">
        <v>232</v>
      </c>
      <c r="D1985" s="2" t="s">
        <v>228</v>
      </c>
      <c r="E1985" s="382" t="s">
        <v>17</v>
      </c>
      <c r="F1985" s="114" t="s">
        <v>15</v>
      </c>
      <c r="G1985" s="383" t="s">
        <v>34</v>
      </c>
      <c r="H1985" s="384">
        <v>9.61</v>
      </c>
      <c r="I1985" s="376">
        <v>9</v>
      </c>
      <c r="J1985" s="19">
        <v>2</v>
      </c>
      <c r="K1985" s="13">
        <v>0.17297999999999999</v>
      </c>
      <c r="L1985" s="7" t="s">
        <v>483</v>
      </c>
    </row>
    <row r="1986" spans="1:12">
      <c r="A1986" s="7"/>
      <c r="B1986" s="381" t="s">
        <v>328</v>
      </c>
      <c r="C1986" s="3" t="s">
        <v>232</v>
      </c>
      <c r="D1986" s="2" t="s">
        <v>228</v>
      </c>
      <c r="E1986" s="382" t="s">
        <v>17</v>
      </c>
      <c r="F1986" s="114" t="s">
        <v>15</v>
      </c>
      <c r="G1986" s="383" t="s">
        <v>34</v>
      </c>
      <c r="H1986" s="384">
        <v>9.61</v>
      </c>
      <c r="I1986" s="376">
        <v>8.1</v>
      </c>
      <c r="J1986" s="19">
        <v>3</v>
      </c>
      <c r="K1986" s="13">
        <v>0.23352299999999998</v>
      </c>
      <c r="L1986" s="7" t="s">
        <v>483</v>
      </c>
    </row>
    <row r="1987" spans="1:12">
      <c r="A1987" s="7"/>
      <c r="B1987" s="381" t="s">
        <v>328</v>
      </c>
      <c r="C1987" s="3" t="s">
        <v>232</v>
      </c>
      <c r="D1987" s="2" t="s">
        <v>228</v>
      </c>
      <c r="E1987" s="382" t="s">
        <v>17</v>
      </c>
      <c r="F1987" s="114" t="s">
        <v>15</v>
      </c>
      <c r="G1987" s="383" t="s">
        <v>34</v>
      </c>
      <c r="H1987" s="384">
        <v>9.61</v>
      </c>
      <c r="I1987" s="376">
        <v>7.7</v>
      </c>
      <c r="J1987" s="19">
        <v>4</v>
      </c>
      <c r="K1987" s="13">
        <v>0.29598799999999997</v>
      </c>
      <c r="L1987" s="7" t="s">
        <v>483</v>
      </c>
    </row>
    <row r="1988" spans="1:12">
      <c r="A1988" s="7"/>
      <c r="B1988" s="381" t="s">
        <v>328</v>
      </c>
      <c r="C1988" s="3" t="s">
        <v>232</v>
      </c>
      <c r="D1988" s="2" t="s">
        <v>228</v>
      </c>
      <c r="E1988" s="382" t="s">
        <v>17</v>
      </c>
      <c r="F1988" s="114" t="s">
        <v>15</v>
      </c>
      <c r="G1988" s="383" t="s">
        <v>34</v>
      </c>
      <c r="H1988" s="384">
        <v>9.61</v>
      </c>
      <c r="I1988" s="376">
        <v>6.9</v>
      </c>
      <c r="J1988" s="19">
        <v>1</v>
      </c>
      <c r="K1988" s="13">
        <v>6.6308999999999993E-2</v>
      </c>
      <c r="L1988" s="7" t="s">
        <v>483</v>
      </c>
    </row>
    <row r="1989" spans="1:12">
      <c r="A1989" s="7"/>
      <c r="B1989" s="381" t="s">
        <v>328</v>
      </c>
      <c r="C1989" s="3" t="s">
        <v>232</v>
      </c>
      <c r="D1989" s="2" t="s">
        <v>228</v>
      </c>
      <c r="E1989" s="382" t="s">
        <v>17</v>
      </c>
      <c r="F1989" s="114" t="s">
        <v>15</v>
      </c>
      <c r="G1989" s="383" t="s">
        <v>34</v>
      </c>
      <c r="H1989" s="384">
        <v>9.61</v>
      </c>
      <c r="I1989" s="376">
        <v>11</v>
      </c>
      <c r="J1989" s="19">
        <v>0</v>
      </c>
      <c r="K1989" s="13">
        <v>0</v>
      </c>
      <c r="L1989" s="7" t="s">
        <v>483</v>
      </c>
    </row>
    <row r="1990" spans="1:12">
      <c r="A1990" s="7"/>
      <c r="B1990" s="381" t="s">
        <v>328</v>
      </c>
      <c r="C1990" s="3" t="s">
        <v>232</v>
      </c>
      <c r="D1990" s="2" t="s">
        <v>228</v>
      </c>
      <c r="E1990" s="382" t="s">
        <v>17</v>
      </c>
      <c r="F1990" s="114" t="s">
        <v>15</v>
      </c>
      <c r="G1990" s="383" t="s">
        <v>34</v>
      </c>
      <c r="H1990" s="384">
        <v>9.61</v>
      </c>
      <c r="I1990" s="376">
        <v>9.4</v>
      </c>
      <c r="J1990" s="19">
        <v>2</v>
      </c>
      <c r="K1990" s="13">
        <v>0.180668</v>
      </c>
      <c r="L1990" s="7" t="s">
        <v>483</v>
      </c>
    </row>
    <row r="1991" spans="1:12">
      <c r="A1991" s="7"/>
      <c r="B1991" s="381" t="s">
        <v>328</v>
      </c>
      <c r="C1991" s="3" t="s">
        <v>232</v>
      </c>
      <c r="D1991" s="2" t="s">
        <v>228</v>
      </c>
      <c r="E1991" s="382" t="s">
        <v>17</v>
      </c>
      <c r="F1991" s="114" t="s">
        <v>15</v>
      </c>
      <c r="G1991" s="383" t="s">
        <v>34</v>
      </c>
      <c r="H1991" s="384">
        <v>9.61</v>
      </c>
      <c r="I1991" s="376">
        <v>12</v>
      </c>
      <c r="J1991" s="19">
        <v>6</v>
      </c>
      <c r="K1991" s="13">
        <v>0.69191999999999998</v>
      </c>
      <c r="L1991" s="7" t="s">
        <v>483</v>
      </c>
    </row>
    <row r="1992" spans="1:12">
      <c r="A1992" s="7"/>
      <c r="B1992" s="381" t="s">
        <v>328</v>
      </c>
      <c r="C1992" s="3" t="s">
        <v>232</v>
      </c>
      <c r="D1992" s="2" t="s">
        <v>228</v>
      </c>
      <c r="E1992" s="382" t="s">
        <v>17</v>
      </c>
      <c r="F1992" s="114" t="s">
        <v>15</v>
      </c>
      <c r="G1992" s="383" t="s">
        <v>34</v>
      </c>
      <c r="H1992" s="384">
        <v>9.61</v>
      </c>
      <c r="I1992" s="376">
        <v>11.6</v>
      </c>
      <c r="J1992" s="19">
        <v>1</v>
      </c>
      <c r="K1992" s="13">
        <v>0.11147599999999999</v>
      </c>
      <c r="L1992" s="7" t="s">
        <v>483</v>
      </c>
    </row>
    <row r="1993" spans="1:12">
      <c r="A1993" s="7"/>
      <c r="B1993" s="381" t="s">
        <v>328</v>
      </c>
      <c r="C1993" s="3" t="s">
        <v>232</v>
      </c>
      <c r="D1993" s="2" t="s">
        <v>228</v>
      </c>
      <c r="E1993" s="382" t="s">
        <v>17</v>
      </c>
      <c r="F1993" s="114" t="s">
        <v>15</v>
      </c>
      <c r="G1993" s="383" t="s">
        <v>34</v>
      </c>
      <c r="H1993" s="384">
        <v>9.61</v>
      </c>
      <c r="I1993" s="376">
        <v>11</v>
      </c>
      <c r="J1993" s="19">
        <v>0</v>
      </c>
      <c r="K1993" s="13">
        <v>0</v>
      </c>
      <c r="L1993" s="7" t="s">
        <v>483</v>
      </c>
    </row>
    <row r="1994" spans="1:12">
      <c r="A1994" s="7"/>
      <c r="B1994" s="381" t="s">
        <v>328</v>
      </c>
      <c r="C1994" s="3" t="s">
        <v>232</v>
      </c>
      <c r="D1994" s="2" t="s">
        <v>228</v>
      </c>
      <c r="E1994" s="382" t="s">
        <v>17</v>
      </c>
      <c r="F1994" s="114" t="s">
        <v>15</v>
      </c>
      <c r="G1994" s="383" t="s">
        <v>34</v>
      </c>
      <c r="H1994" s="384">
        <v>9.61</v>
      </c>
      <c r="I1994" s="376">
        <v>10.7</v>
      </c>
      <c r="J1994" s="19">
        <v>0</v>
      </c>
      <c r="K1994" s="13">
        <v>0</v>
      </c>
      <c r="L1994" s="7" t="s">
        <v>483</v>
      </c>
    </row>
    <row r="1995" spans="1:12">
      <c r="A1995" s="7"/>
      <c r="B1995" s="381" t="s">
        <v>328</v>
      </c>
      <c r="C1995" s="3" t="s">
        <v>232</v>
      </c>
      <c r="D1995" s="2" t="s">
        <v>228</v>
      </c>
      <c r="E1995" s="382" t="s">
        <v>17</v>
      </c>
      <c r="F1995" s="114" t="s">
        <v>15</v>
      </c>
      <c r="G1995" s="383" t="s">
        <v>34</v>
      </c>
      <c r="H1995" s="384">
        <v>9.61</v>
      </c>
      <c r="I1995" s="376">
        <v>10.5</v>
      </c>
      <c r="J1995" s="19">
        <v>0</v>
      </c>
      <c r="K1995" s="13">
        <v>0</v>
      </c>
      <c r="L1995" s="7" t="s">
        <v>483</v>
      </c>
    </row>
    <row r="1996" spans="1:12">
      <c r="A1996" s="7"/>
      <c r="B1996" s="381" t="s">
        <v>328</v>
      </c>
      <c r="C1996" s="3" t="s">
        <v>232</v>
      </c>
      <c r="D1996" s="2" t="s">
        <v>228</v>
      </c>
      <c r="E1996" s="382" t="s">
        <v>17</v>
      </c>
      <c r="F1996" s="114" t="s">
        <v>15</v>
      </c>
      <c r="G1996" s="383" t="s">
        <v>34</v>
      </c>
      <c r="H1996" s="384">
        <v>9.61</v>
      </c>
      <c r="I1996" s="376">
        <v>8.1</v>
      </c>
      <c r="J1996" s="19">
        <v>0</v>
      </c>
      <c r="K1996" s="13">
        <v>0</v>
      </c>
      <c r="L1996" s="7" t="s">
        <v>483</v>
      </c>
    </row>
    <row r="1997" spans="1:12">
      <c r="A1997" s="7"/>
      <c r="B1997" s="381" t="s">
        <v>328</v>
      </c>
      <c r="C1997" s="3" t="s">
        <v>232</v>
      </c>
      <c r="D1997" s="2" t="s">
        <v>228</v>
      </c>
      <c r="E1997" s="382" t="s">
        <v>17</v>
      </c>
      <c r="F1997" s="114" t="s">
        <v>15</v>
      </c>
      <c r="G1997" s="383" t="s">
        <v>34</v>
      </c>
      <c r="H1997" s="384">
        <v>9.61</v>
      </c>
      <c r="I1997" s="376">
        <v>9.5</v>
      </c>
      <c r="J1997" s="19">
        <v>0</v>
      </c>
      <c r="K1997" s="13">
        <v>0</v>
      </c>
      <c r="L1997" s="7" t="s">
        <v>483</v>
      </c>
    </row>
    <row r="1998" spans="1:12">
      <c r="A1998" s="7"/>
      <c r="B1998" s="381" t="s">
        <v>328</v>
      </c>
      <c r="C1998" s="3" t="s">
        <v>232</v>
      </c>
      <c r="D1998" s="2" t="s">
        <v>228</v>
      </c>
      <c r="E1998" s="382" t="s">
        <v>17</v>
      </c>
      <c r="F1998" s="114" t="s">
        <v>15</v>
      </c>
      <c r="G1998" s="383" t="s">
        <v>34</v>
      </c>
      <c r="H1998" s="384">
        <v>9.61</v>
      </c>
      <c r="I1998" s="376">
        <v>10.199999999999999</v>
      </c>
      <c r="J1998" s="19">
        <v>0</v>
      </c>
      <c r="K1998" s="13">
        <v>0</v>
      </c>
      <c r="L1998" s="7" t="s">
        <v>483</v>
      </c>
    </row>
    <row r="1999" spans="1:12">
      <c r="A1999" s="7"/>
      <c r="B1999" s="381" t="s">
        <v>328</v>
      </c>
      <c r="C1999" s="3" t="s">
        <v>232</v>
      </c>
      <c r="D1999" s="2" t="s">
        <v>228</v>
      </c>
      <c r="E1999" s="382" t="s">
        <v>17</v>
      </c>
      <c r="F1999" s="114" t="s">
        <v>15</v>
      </c>
      <c r="G1999" s="383" t="s">
        <v>34</v>
      </c>
      <c r="H1999" s="384">
        <v>9.61</v>
      </c>
      <c r="I1999" s="376">
        <v>10.5</v>
      </c>
      <c r="J1999" s="19">
        <v>0</v>
      </c>
      <c r="K1999" s="13">
        <v>0</v>
      </c>
      <c r="L1999" s="7" t="s">
        <v>483</v>
      </c>
    </row>
    <row r="2000" spans="1:12">
      <c r="A2000" s="7"/>
      <c r="B2000" s="381" t="s">
        <v>328</v>
      </c>
      <c r="C2000" s="3" t="s">
        <v>232</v>
      </c>
      <c r="D2000" s="2" t="s">
        <v>228</v>
      </c>
      <c r="E2000" s="382" t="s">
        <v>17</v>
      </c>
      <c r="F2000" s="114" t="s">
        <v>15</v>
      </c>
      <c r="G2000" s="383" t="s">
        <v>34</v>
      </c>
      <c r="H2000" s="384">
        <v>9.61</v>
      </c>
      <c r="I2000" s="376">
        <v>10.9</v>
      </c>
      <c r="J2000" s="19">
        <v>0</v>
      </c>
      <c r="K2000" s="13">
        <v>0</v>
      </c>
      <c r="L2000" s="7" t="s">
        <v>483</v>
      </c>
    </row>
    <row r="2001" spans="1:12">
      <c r="A2001" s="7"/>
      <c r="B2001" s="381" t="s">
        <v>328</v>
      </c>
      <c r="C2001" s="3" t="s">
        <v>232</v>
      </c>
      <c r="D2001" s="2" t="s">
        <v>228</v>
      </c>
      <c r="E2001" s="382" t="s">
        <v>17</v>
      </c>
      <c r="F2001" s="114" t="s">
        <v>15</v>
      </c>
      <c r="G2001" s="383" t="s">
        <v>34</v>
      </c>
      <c r="H2001" s="384">
        <v>9.61</v>
      </c>
      <c r="I2001" s="376">
        <v>11.6</v>
      </c>
      <c r="J2001" s="19">
        <v>0</v>
      </c>
      <c r="K2001" s="13">
        <v>0</v>
      </c>
      <c r="L2001" s="7" t="s">
        <v>483</v>
      </c>
    </row>
    <row r="2002" spans="1:12">
      <c r="A2002" s="7"/>
      <c r="B2002" s="381" t="s">
        <v>328</v>
      </c>
      <c r="C2002" s="3" t="s">
        <v>232</v>
      </c>
      <c r="D2002" s="2" t="s">
        <v>228</v>
      </c>
      <c r="E2002" s="382" t="s">
        <v>17</v>
      </c>
      <c r="F2002" s="114" t="s">
        <v>15</v>
      </c>
      <c r="G2002" s="383" t="s">
        <v>34</v>
      </c>
      <c r="H2002" s="384">
        <v>9.61</v>
      </c>
      <c r="I2002" s="376">
        <v>12</v>
      </c>
      <c r="J2002" s="19">
        <v>0</v>
      </c>
      <c r="K2002" s="13">
        <v>0</v>
      </c>
      <c r="L2002" s="7" t="s">
        <v>483</v>
      </c>
    </row>
    <row r="2003" spans="1:12">
      <c r="A2003" s="7"/>
      <c r="B2003" s="381" t="s">
        <v>328</v>
      </c>
      <c r="C2003" s="3" t="s">
        <v>232</v>
      </c>
      <c r="D2003" s="2" t="s">
        <v>228</v>
      </c>
      <c r="E2003" s="382" t="s">
        <v>24</v>
      </c>
      <c r="F2003" s="114" t="s">
        <v>14</v>
      </c>
      <c r="G2003" s="383" t="s">
        <v>34</v>
      </c>
      <c r="H2003" s="384">
        <v>9.61</v>
      </c>
      <c r="I2003" s="376">
        <v>9</v>
      </c>
      <c r="J2003" s="19">
        <v>0</v>
      </c>
      <c r="K2003" s="13">
        <v>0</v>
      </c>
      <c r="L2003" s="7" t="s">
        <v>483</v>
      </c>
    </row>
    <row r="2004" spans="1:12">
      <c r="A2004" s="7"/>
      <c r="B2004" s="381" t="s">
        <v>328</v>
      </c>
      <c r="C2004" s="3" t="s">
        <v>232</v>
      </c>
      <c r="D2004" s="2" t="s">
        <v>228</v>
      </c>
      <c r="E2004" s="382" t="s">
        <v>24</v>
      </c>
      <c r="F2004" s="114" t="s">
        <v>14</v>
      </c>
      <c r="G2004" s="383" t="s">
        <v>34</v>
      </c>
      <c r="H2004" s="384">
        <v>9.61</v>
      </c>
      <c r="I2004" s="376">
        <v>12</v>
      </c>
      <c r="J2004" s="19">
        <v>21</v>
      </c>
      <c r="K2004" s="13">
        <v>2.4217199999999997</v>
      </c>
      <c r="L2004" s="7" t="s">
        <v>483</v>
      </c>
    </row>
    <row r="2005" spans="1:12">
      <c r="A2005" s="7"/>
      <c r="B2005" s="381" t="s">
        <v>328</v>
      </c>
      <c r="C2005" s="3" t="s">
        <v>232</v>
      </c>
      <c r="D2005" s="2" t="s">
        <v>228</v>
      </c>
      <c r="E2005" s="382" t="s">
        <v>24</v>
      </c>
      <c r="F2005" s="114" t="s">
        <v>14</v>
      </c>
      <c r="G2005" s="383" t="s">
        <v>34</v>
      </c>
      <c r="H2005" s="384">
        <v>9.61</v>
      </c>
      <c r="I2005" s="376">
        <v>9</v>
      </c>
      <c r="J2005" s="19">
        <v>2</v>
      </c>
      <c r="K2005" s="13">
        <v>0.17297999999999999</v>
      </c>
      <c r="L2005" s="7" t="s">
        <v>483</v>
      </c>
    </row>
    <row r="2006" spans="1:12">
      <c r="A2006" s="7"/>
      <c r="B2006" s="381" t="s">
        <v>328</v>
      </c>
      <c r="C2006" s="3" t="s">
        <v>232</v>
      </c>
      <c r="D2006" s="2" t="s">
        <v>228</v>
      </c>
      <c r="E2006" s="382" t="s">
        <v>24</v>
      </c>
      <c r="F2006" s="114" t="s">
        <v>14</v>
      </c>
      <c r="G2006" s="383" t="s">
        <v>34</v>
      </c>
      <c r="H2006" s="384">
        <v>9.61</v>
      </c>
      <c r="I2006" s="376">
        <v>8.1999999999999993</v>
      </c>
      <c r="J2006" s="19">
        <v>1</v>
      </c>
      <c r="K2006" s="13">
        <v>7.8801999999999997E-2</v>
      </c>
      <c r="L2006" s="7" t="s">
        <v>483</v>
      </c>
    </row>
    <row r="2007" spans="1:12">
      <c r="A2007" s="7"/>
      <c r="B2007" s="381" t="s">
        <v>363</v>
      </c>
      <c r="C2007" s="3" t="s">
        <v>232</v>
      </c>
      <c r="D2007" s="2" t="s">
        <v>364</v>
      </c>
      <c r="E2007" s="382" t="s">
        <v>24</v>
      </c>
      <c r="F2007" s="114" t="s">
        <v>14</v>
      </c>
      <c r="G2007" s="383" t="s">
        <v>32</v>
      </c>
      <c r="H2007" s="384">
        <v>8.32</v>
      </c>
      <c r="I2007" s="376">
        <v>12</v>
      </c>
      <c r="J2007" s="19">
        <v>0</v>
      </c>
      <c r="K2007" s="13">
        <v>0</v>
      </c>
      <c r="L2007" s="7" t="s">
        <v>483</v>
      </c>
    </row>
    <row r="2008" spans="1:12">
      <c r="A2008" s="7"/>
      <c r="B2008" s="381" t="s">
        <v>363</v>
      </c>
      <c r="C2008" s="3" t="s">
        <v>232</v>
      </c>
      <c r="D2008" s="2" t="s">
        <v>364</v>
      </c>
      <c r="E2008" s="382" t="s">
        <v>24</v>
      </c>
      <c r="F2008" s="114" t="s">
        <v>14</v>
      </c>
      <c r="G2008" s="383" t="s">
        <v>32</v>
      </c>
      <c r="H2008" s="384">
        <v>8.32</v>
      </c>
      <c r="I2008" s="376">
        <v>11</v>
      </c>
      <c r="J2008" s="19">
        <v>0</v>
      </c>
      <c r="K2008" s="13">
        <v>0</v>
      </c>
      <c r="L2008" s="7" t="s">
        <v>483</v>
      </c>
    </row>
    <row r="2009" spans="1:12">
      <c r="A2009" s="7"/>
      <c r="B2009" s="381" t="s">
        <v>363</v>
      </c>
      <c r="C2009" s="3" t="s">
        <v>232</v>
      </c>
      <c r="D2009" s="2" t="s">
        <v>364</v>
      </c>
      <c r="E2009" s="382" t="s">
        <v>24</v>
      </c>
      <c r="F2009" s="114" t="s">
        <v>14</v>
      </c>
      <c r="G2009" s="383" t="s">
        <v>32</v>
      </c>
      <c r="H2009" s="384">
        <v>8.32</v>
      </c>
      <c r="I2009" s="376">
        <v>9</v>
      </c>
      <c r="J2009" s="19">
        <v>0</v>
      </c>
      <c r="K2009" s="13">
        <v>0</v>
      </c>
      <c r="L2009" s="7" t="s">
        <v>483</v>
      </c>
    </row>
    <row r="2010" spans="1:12">
      <c r="A2010" s="7"/>
      <c r="B2010" s="381" t="s">
        <v>363</v>
      </c>
      <c r="C2010" s="3" t="s">
        <v>232</v>
      </c>
      <c r="D2010" s="2" t="s">
        <v>364</v>
      </c>
      <c r="E2010" s="382" t="s">
        <v>24</v>
      </c>
      <c r="F2010" s="114" t="s">
        <v>14</v>
      </c>
      <c r="G2010" s="383" t="s">
        <v>32</v>
      </c>
      <c r="H2010" s="384">
        <v>8.32</v>
      </c>
      <c r="I2010" s="376">
        <v>10</v>
      </c>
      <c r="J2010" s="19">
        <v>0</v>
      </c>
      <c r="K2010" s="13">
        <v>0</v>
      </c>
      <c r="L2010" s="7" t="s">
        <v>483</v>
      </c>
    </row>
    <row r="2011" spans="1:12">
      <c r="A2011" s="7"/>
      <c r="B2011" s="381" t="s">
        <v>363</v>
      </c>
      <c r="C2011" s="3" t="s">
        <v>232</v>
      </c>
      <c r="D2011" s="2" t="s">
        <v>364</v>
      </c>
      <c r="E2011" s="382" t="s">
        <v>24</v>
      </c>
      <c r="F2011" s="114" t="s">
        <v>14</v>
      </c>
      <c r="G2011" s="383" t="s">
        <v>32</v>
      </c>
      <c r="H2011" s="384">
        <v>8.32</v>
      </c>
      <c r="I2011" s="376">
        <v>10.5</v>
      </c>
      <c r="J2011" s="19">
        <v>2</v>
      </c>
      <c r="K2011" s="13">
        <v>0.17471999999999999</v>
      </c>
      <c r="L2011" s="7" t="s">
        <v>483</v>
      </c>
    </row>
    <row r="2012" spans="1:12">
      <c r="A2012" s="7"/>
      <c r="B2012" s="381" t="s">
        <v>363</v>
      </c>
      <c r="C2012" s="3" t="s">
        <v>232</v>
      </c>
      <c r="D2012" s="2" t="s">
        <v>364</v>
      </c>
      <c r="E2012" s="382" t="s">
        <v>24</v>
      </c>
      <c r="F2012" s="114" t="s">
        <v>14</v>
      </c>
      <c r="G2012" s="383" t="s">
        <v>32</v>
      </c>
      <c r="H2012" s="384">
        <v>8.32</v>
      </c>
      <c r="I2012" s="376">
        <v>12</v>
      </c>
      <c r="J2012" s="19">
        <v>0</v>
      </c>
      <c r="K2012" s="13">
        <v>0</v>
      </c>
      <c r="L2012" s="7" t="s">
        <v>483</v>
      </c>
    </row>
    <row r="2013" spans="1:12">
      <c r="A2013" s="7"/>
      <c r="B2013" s="381" t="s">
        <v>363</v>
      </c>
      <c r="C2013" s="3" t="s">
        <v>232</v>
      </c>
      <c r="D2013" s="2" t="s">
        <v>364</v>
      </c>
      <c r="E2013" s="382" t="s">
        <v>24</v>
      </c>
      <c r="F2013" s="114" t="s">
        <v>14</v>
      </c>
      <c r="G2013" s="383" t="s">
        <v>32</v>
      </c>
      <c r="H2013" s="384">
        <v>8.32</v>
      </c>
      <c r="I2013" s="376">
        <v>9</v>
      </c>
      <c r="J2013" s="19">
        <v>2</v>
      </c>
      <c r="K2013" s="13">
        <v>0.14976</v>
      </c>
      <c r="L2013" s="7" t="s">
        <v>483</v>
      </c>
    </row>
    <row r="2014" spans="1:12">
      <c r="A2014" s="7"/>
      <c r="B2014" s="381" t="s">
        <v>363</v>
      </c>
      <c r="C2014" s="3" t="s">
        <v>232</v>
      </c>
      <c r="D2014" s="2" t="s">
        <v>364</v>
      </c>
      <c r="E2014" s="382" t="s">
        <v>24</v>
      </c>
      <c r="F2014" s="114" t="s">
        <v>14</v>
      </c>
      <c r="G2014" s="383" t="s">
        <v>32</v>
      </c>
      <c r="H2014" s="384">
        <v>8.32</v>
      </c>
      <c r="I2014" s="376">
        <v>10</v>
      </c>
      <c r="J2014" s="19">
        <v>2</v>
      </c>
      <c r="K2014" s="13">
        <v>0.16639999999999999</v>
      </c>
      <c r="L2014" s="7" t="s">
        <v>483</v>
      </c>
    </row>
    <row r="2015" spans="1:12">
      <c r="A2015" s="7"/>
      <c r="B2015" s="381" t="s">
        <v>363</v>
      </c>
      <c r="C2015" s="3" t="s">
        <v>232</v>
      </c>
      <c r="D2015" s="2" t="s">
        <v>364</v>
      </c>
      <c r="E2015" s="382" t="s">
        <v>24</v>
      </c>
      <c r="F2015" s="114" t="s">
        <v>14</v>
      </c>
      <c r="G2015" s="383" t="s">
        <v>32</v>
      </c>
      <c r="H2015" s="384">
        <v>8.32</v>
      </c>
      <c r="I2015" s="376">
        <v>10.5</v>
      </c>
      <c r="J2015" s="19">
        <v>0</v>
      </c>
      <c r="K2015" s="13">
        <v>0</v>
      </c>
      <c r="L2015" s="7" t="s">
        <v>483</v>
      </c>
    </row>
    <row r="2016" spans="1:12">
      <c r="A2016" s="7"/>
      <c r="B2016" s="381" t="s">
        <v>363</v>
      </c>
      <c r="C2016" s="3" t="s">
        <v>232</v>
      </c>
      <c r="D2016" s="2" t="s">
        <v>364</v>
      </c>
      <c r="E2016" s="382" t="s">
        <v>24</v>
      </c>
      <c r="F2016" s="114" t="s">
        <v>14</v>
      </c>
      <c r="G2016" s="383" t="s">
        <v>32</v>
      </c>
      <c r="H2016" s="384">
        <v>8.32</v>
      </c>
      <c r="I2016" s="376">
        <v>11</v>
      </c>
      <c r="J2016" s="19">
        <v>2</v>
      </c>
      <c r="K2016" s="13">
        <v>0.18304000000000001</v>
      </c>
      <c r="L2016" s="7" t="s">
        <v>483</v>
      </c>
    </row>
    <row r="2017" spans="1:12">
      <c r="A2017" s="7"/>
      <c r="B2017" s="381" t="s">
        <v>363</v>
      </c>
      <c r="C2017" s="3" t="s">
        <v>232</v>
      </c>
      <c r="D2017" s="2" t="s">
        <v>364</v>
      </c>
      <c r="E2017" s="382" t="s">
        <v>24</v>
      </c>
      <c r="F2017" s="114" t="s">
        <v>14</v>
      </c>
      <c r="G2017" s="383" t="s">
        <v>32</v>
      </c>
      <c r="H2017" s="384">
        <v>8.32</v>
      </c>
      <c r="I2017" s="376">
        <v>12</v>
      </c>
      <c r="J2017" s="19">
        <v>5</v>
      </c>
      <c r="K2017" s="13">
        <v>0.49920000000000003</v>
      </c>
      <c r="L2017" s="7" t="s">
        <v>483</v>
      </c>
    </row>
    <row r="2018" spans="1:12">
      <c r="A2018" s="7"/>
      <c r="B2018" s="381" t="s">
        <v>363</v>
      </c>
      <c r="C2018" s="3" t="s">
        <v>232</v>
      </c>
      <c r="D2018" s="2" t="s">
        <v>364</v>
      </c>
      <c r="E2018" s="382" t="s">
        <v>24</v>
      </c>
      <c r="F2018" s="114" t="s">
        <v>14</v>
      </c>
      <c r="G2018" s="383" t="s">
        <v>32</v>
      </c>
      <c r="H2018" s="384">
        <v>8.32</v>
      </c>
      <c r="I2018" s="376">
        <v>12</v>
      </c>
      <c r="J2018" s="19">
        <v>0</v>
      </c>
      <c r="K2018" s="13">
        <v>0</v>
      </c>
      <c r="L2018" s="7" t="s">
        <v>483</v>
      </c>
    </row>
    <row r="2019" spans="1:12">
      <c r="A2019" s="7"/>
      <c r="B2019" s="381" t="s">
        <v>363</v>
      </c>
      <c r="C2019" s="3" t="s">
        <v>232</v>
      </c>
      <c r="D2019" s="2" t="s">
        <v>364</v>
      </c>
      <c r="E2019" s="382" t="s">
        <v>24</v>
      </c>
      <c r="F2019" s="114" t="s">
        <v>14</v>
      </c>
      <c r="G2019" s="383" t="s">
        <v>32</v>
      </c>
      <c r="H2019" s="384">
        <v>8.32</v>
      </c>
      <c r="I2019" s="376">
        <v>8.5</v>
      </c>
      <c r="J2019" s="19">
        <v>0</v>
      </c>
      <c r="K2019" s="13">
        <v>0</v>
      </c>
      <c r="L2019" s="7" t="s">
        <v>483</v>
      </c>
    </row>
    <row r="2020" spans="1:12">
      <c r="A2020" s="7"/>
      <c r="B2020" s="381" t="s">
        <v>363</v>
      </c>
      <c r="C2020" s="3" t="s">
        <v>232</v>
      </c>
      <c r="D2020" s="2" t="s">
        <v>364</v>
      </c>
      <c r="E2020" s="382" t="s">
        <v>24</v>
      </c>
      <c r="F2020" s="114" t="s">
        <v>14</v>
      </c>
      <c r="G2020" s="383" t="s">
        <v>32</v>
      </c>
      <c r="H2020" s="384">
        <v>8.32</v>
      </c>
      <c r="I2020" s="376">
        <v>8.6</v>
      </c>
      <c r="J2020" s="19">
        <v>2</v>
      </c>
      <c r="K2020" s="13">
        <v>0.14310399999999998</v>
      </c>
      <c r="L2020" s="7" t="s">
        <v>483</v>
      </c>
    </row>
    <row r="2021" spans="1:12">
      <c r="A2021" s="7"/>
      <c r="B2021" s="381" t="s">
        <v>328</v>
      </c>
      <c r="C2021" s="3" t="s">
        <v>232</v>
      </c>
      <c r="D2021" s="2" t="s">
        <v>228</v>
      </c>
      <c r="E2021" s="382" t="s">
        <v>17</v>
      </c>
      <c r="F2021" s="114" t="s">
        <v>15</v>
      </c>
      <c r="G2021" s="383" t="s">
        <v>21</v>
      </c>
      <c r="H2021" s="384">
        <v>6.97</v>
      </c>
      <c r="I2021" s="376">
        <v>8</v>
      </c>
      <c r="J2021" s="19">
        <v>1</v>
      </c>
      <c r="K2021" s="13">
        <v>5.5759999999999997E-2</v>
      </c>
      <c r="L2021" s="7" t="s">
        <v>483</v>
      </c>
    </row>
    <row r="2022" spans="1:12">
      <c r="A2022" s="7"/>
      <c r="B2022" s="381" t="s">
        <v>328</v>
      </c>
      <c r="C2022" s="3" t="s">
        <v>232</v>
      </c>
      <c r="D2022" s="2" t="s">
        <v>228</v>
      </c>
      <c r="E2022" s="382" t="s">
        <v>17</v>
      </c>
      <c r="F2022" s="114" t="s">
        <v>15</v>
      </c>
      <c r="G2022" s="383" t="s">
        <v>21</v>
      </c>
      <c r="H2022" s="384">
        <v>6.97</v>
      </c>
      <c r="I2022" s="376">
        <v>9.1999999999999993</v>
      </c>
      <c r="J2022" s="19">
        <v>0</v>
      </c>
      <c r="K2022" s="13">
        <v>0</v>
      </c>
      <c r="L2022" s="7" t="s">
        <v>483</v>
      </c>
    </row>
    <row r="2023" spans="1:12">
      <c r="A2023" s="7"/>
      <c r="B2023" s="381" t="s">
        <v>328</v>
      </c>
      <c r="C2023" s="3" t="s">
        <v>232</v>
      </c>
      <c r="D2023" s="2" t="s">
        <v>228</v>
      </c>
      <c r="E2023" s="382" t="s">
        <v>17</v>
      </c>
      <c r="F2023" s="114" t="s">
        <v>15</v>
      </c>
      <c r="G2023" s="383" t="s">
        <v>21</v>
      </c>
      <c r="H2023" s="384">
        <v>6.97</v>
      </c>
      <c r="I2023" s="376">
        <v>9.5</v>
      </c>
      <c r="J2023" s="19">
        <v>0</v>
      </c>
      <c r="K2023" s="13">
        <v>0</v>
      </c>
      <c r="L2023" s="7" t="s">
        <v>483</v>
      </c>
    </row>
    <row r="2024" spans="1:12">
      <c r="A2024" s="7"/>
      <c r="B2024" s="381" t="s">
        <v>328</v>
      </c>
      <c r="C2024" s="3" t="s">
        <v>232</v>
      </c>
      <c r="D2024" s="2" t="s">
        <v>228</v>
      </c>
      <c r="E2024" s="382" t="s">
        <v>17</v>
      </c>
      <c r="F2024" s="114" t="s">
        <v>15</v>
      </c>
      <c r="G2024" s="383" t="s">
        <v>21</v>
      </c>
      <c r="H2024" s="384">
        <v>6.97</v>
      </c>
      <c r="I2024" s="376">
        <v>10.1</v>
      </c>
      <c r="J2024" s="19">
        <v>0</v>
      </c>
      <c r="K2024" s="13">
        <v>0</v>
      </c>
      <c r="L2024" s="7" t="s">
        <v>483</v>
      </c>
    </row>
    <row r="2025" spans="1:12">
      <c r="A2025" s="7"/>
      <c r="B2025" s="381" t="s">
        <v>328</v>
      </c>
      <c r="C2025" s="3" t="s">
        <v>232</v>
      </c>
      <c r="D2025" s="2" t="s">
        <v>228</v>
      </c>
      <c r="E2025" s="382" t="s">
        <v>17</v>
      </c>
      <c r="F2025" s="114" t="s">
        <v>15</v>
      </c>
      <c r="G2025" s="383" t="s">
        <v>21</v>
      </c>
      <c r="H2025" s="384">
        <v>6.97</v>
      </c>
      <c r="I2025" s="376">
        <v>10.5</v>
      </c>
      <c r="J2025" s="19">
        <v>0</v>
      </c>
      <c r="K2025" s="13">
        <v>0</v>
      </c>
      <c r="L2025" s="7" t="s">
        <v>483</v>
      </c>
    </row>
    <row r="2026" spans="1:12">
      <c r="A2026" s="7"/>
      <c r="B2026" s="381" t="s">
        <v>328</v>
      </c>
      <c r="C2026" s="3" t="s">
        <v>232</v>
      </c>
      <c r="D2026" s="2" t="s">
        <v>228</v>
      </c>
      <c r="E2026" s="382" t="s">
        <v>17</v>
      </c>
      <c r="F2026" s="114" t="s">
        <v>15</v>
      </c>
      <c r="G2026" s="383" t="s">
        <v>21</v>
      </c>
      <c r="H2026" s="384">
        <v>6.97</v>
      </c>
      <c r="I2026" s="376">
        <v>10.6</v>
      </c>
      <c r="J2026" s="19">
        <v>0</v>
      </c>
      <c r="K2026" s="13">
        <v>0</v>
      </c>
      <c r="L2026" s="7" t="s">
        <v>483</v>
      </c>
    </row>
    <row r="2027" spans="1:12">
      <c r="A2027" s="7"/>
      <c r="B2027" s="381" t="s">
        <v>328</v>
      </c>
      <c r="C2027" s="3" t="s">
        <v>232</v>
      </c>
      <c r="D2027" s="2" t="s">
        <v>228</v>
      </c>
      <c r="E2027" s="382" t="s">
        <v>17</v>
      </c>
      <c r="F2027" s="114" t="s">
        <v>15</v>
      </c>
      <c r="G2027" s="383" t="s">
        <v>21</v>
      </c>
      <c r="H2027" s="384">
        <v>6.97</v>
      </c>
      <c r="I2027" s="376">
        <v>10.85</v>
      </c>
      <c r="J2027" s="19">
        <v>0</v>
      </c>
      <c r="K2027" s="13">
        <v>0</v>
      </c>
      <c r="L2027" s="7" t="s">
        <v>483</v>
      </c>
    </row>
    <row r="2028" spans="1:12">
      <c r="A2028" s="7"/>
      <c r="B2028" s="381" t="s">
        <v>328</v>
      </c>
      <c r="C2028" s="3" t="s">
        <v>232</v>
      </c>
      <c r="D2028" s="2" t="s">
        <v>228</v>
      </c>
      <c r="E2028" s="382" t="s">
        <v>17</v>
      </c>
      <c r="F2028" s="114" t="s">
        <v>15</v>
      </c>
      <c r="G2028" s="383" t="s">
        <v>21</v>
      </c>
      <c r="H2028" s="384">
        <v>6.97</v>
      </c>
      <c r="I2028" s="376">
        <v>11</v>
      </c>
      <c r="J2028" s="19">
        <v>0</v>
      </c>
      <c r="K2028" s="13">
        <v>0</v>
      </c>
      <c r="L2028" s="7" t="s">
        <v>483</v>
      </c>
    </row>
    <row r="2029" spans="1:12">
      <c r="A2029" s="7"/>
      <c r="B2029" s="381" t="s">
        <v>328</v>
      </c>
      <c r="C2029" s="3" t="s">
        <v>232</v>
      </c>
      <c r="D2029" s="2" t="s">
        <v>228</v>
      </c>
      <c r="E2029" s="382" t="s">
        <v>17</v>
      </c>
      <c r="F2029" s="114" t="s">
        <v>15</v>
      </c>
      <c r="G2029" s="383" t="s">
        <v>21</v>
      </c>
      <c r="H2029" s="384">
        <v>6.97</v>
      </c>
      <c r="I2029" s="376">
        <v>11.2</v>
      </c>
      <c r="J2029" s="19">
        <v>0</v>
      </c>
      <c r="K2029" s="13">
        <v>0</v>
      </c>
      <c r="L2029" s="7" t="s">
        <v>483</v>
      </c>
    </row>
    <row r="2030" spans="1:12">
      <c r="A2030" s="7"/>
      <c r="B2030" s="381" t="s">
        <v>328</v>
      </c>
      <c r="C2030" s="3" t="s">
        <v>232</v>
      </c>
      <c r="D2030" s="2" t="s">
        <v>228</v>
      </c>
      <c r="E2030" s="382" t="s">
        <v>17</v>
      </c>
      <c r="F2030" s="114" t="s">
        <v>15</v>
      </c>
      <c r="G2030" s="383" t="s">
        <v>21</v>
      </c>
      <c r="H2030" s="384">
        <v>6.97</v>
      </c>
      <c r="I2030" s="376">
        <v>11.3</v>
      </c>
      <c r="J2030" s="19">
        <v>0</v>
      </c>
      <c r="K2030" s="13">
        <v>0</v>
      </c>
      <c r="L2030" s="7" t="s">
        <v>483</v>
      </c>
    </row>
    <row r="2031" spans="1:12">
      <c r="A2031" s="7"/>
      <c r="B2031" s="381" t="s">
        <v>328</v>
      </c>
      <c r="C2031" s="3" t="s">
        <v>232</v>
      </c>
      <c r="D2031" s="2" t="s">
        <v>228</v>
      </c>
      <c r="E2031" s="382" t="s">
        <v>17</v>
      </c>
      <c r="F2031" s="114" t="s">
        <v>15</v>
      </c>
      <c r="G2031" s="383" t="s">
        <v>21</v>
      </c>
      <c r="H2031" s="384">
        <v>6.97</v>
      </c>
      <c r="I2031" s="376">
        <v>11.8</v>
      </c>
      <c r="J2031" s="19">
        <v>0</v>
      </c>
      <c r="K2031" s="13">
        <v>0</v>
      </c>
      <c r="L2031" s="7" t="s">
        <v>483</v>
      </c>
    </row>
    <row r="2032" spans="1:12">
      <c r="A2032" s="7"/>
      <c r="B2032" s="381" t="s">
        <v>328</v>
      </c>
      <c r="C2032" s="3" t="s">
        <v>232</v>
      </c>
      <c r="D2032" s="2" t="s">
        <v>228</v>
      </c>
      <c r="E2032" s="382" t="s">
        <v>17</v>
      </c>
      <c r="F2032" s="114" t="s">
        <v>15</v>
      </c>
      <c r="G2032" s="383" t="s">
        <v>21</v>
      </c>
      <c r="H2032" s="384">
        <v>6.97</v>
      </c>
      <c r="I2032" s="376">
        <v>12</v>
      </c>
      <c r="J2032" s="19">
        <v>0</v>
      </c>
      <c r="K2032" s="13">
        <v>0</v>
      </c>
      <c r="L2032" s="7" t="s">
        <v>483</v>
      </c>
    </row>
    <row r="2033" spans="1:12">
      <c r="A2033" s="7"/>
      <c r="B2033" s="381" t="s">
        <v>328</v>
      </c>
      <c r="C2033" s="3" t="s">
        <v>232</v>
      </c>
      <c r="D2033" s="2" t="s">
        <v>228</v>
      </c>
      <c r="E2033" s="382" t="s">
        <v>17</v>
      </c>
      <c r="F2033" s="114" t="s">
        <v>15</v>
      </c>
      <c r="G2033" s="383" t="s">
        <v>21</v>
      </c>
      <c r="H2033" s="384">
        <v>6.97</v>
      </c>
      <c r="I2033" s="376">
        <v>8.1</v>
      </c>
      <c r="J2033" s="19">
        <v>1</v>
      </c>
      <c r="K2033" s="13">
        <v>5.6456999999999993E-2</v>
      </c>
      <c r="L2033" s="7" t="s">
        <v>483</v>
      </c>
    </row>
    <row r="2034" spans="1:12">
      <c r="A2034" s="7"/>
      <c r="B2034" s="381" t="s">
        <v>328</v>
      </c>
      <c r="C2034" s="3" t="s">
        <v>232</v>
      </c>
      <c r="D2034" s="2" t="s">
        <v>228</v>
      </c>
      <c r="E2034" s="382" t="s">
        <v>17</v>
      </c>
      <c r="F2034" s="114" t="s">
        <v>15</v>
      </c>
      <c r="G2034" s="383" t="s">
        <v>21</v>
      </c>
      <c r="H2034" s="384">
        <v>6.97</v>
      </c>
      <c r="I2034" s="376">
        <v>9.4</v>
      </c>
      <c r="J2034" s="19">
        <v>2</v>
      </c>
      <c r="K2034" s="13">
        <v>0.13103600000000001</v>
      </c>
      <c r="L2034" s="7" t="s">
        <v>483</v>
      </c>
    </row>
    <row r="2035" spans="1:12">
      <c r="A2035" s="7"/>
      <c r="B2035" s="381" t="s">
        <v>328</v>
      </c>
      <c r="C2035" s="3" t="s">
        <v>232</v>
      </c>
      <c r="D2035" s="2" t="s">
        <v>228</v>
      </c>
      <c r="E2035" s="382" t="s">
        <v>17</v>
      </c>
      <c r="F2035" s="114" t="s">
        <v>15</v>
      </c>
      <c r="G2035" s="383" t="s">
        <v>21</v>
      </c>
      <c r="H2035" s="384">
        <v>6.97</v>
      </c>
      <c r="I2035" s="376">
        <v>10.4</v>
      </c>
      <c r="J2035" s="19">
        <v>1</v>
      </c>
      <c r="K2035" s="13">
        <v>7.2487999999999997E-2</v>
      </c>
      <c r="L2035" s="7" t="s">
        <v>483</v>
      </c>
    </row>
    <row r="2036" spans="1:12">
      <c r="A2036" s="7"/>
      <c r="B2036" s="381" t="s">
        <v>328</v>
      </c>
      <c r="C2036" s="3" t="s">
        <v>232</v>
      </c>
      <c r="D2036" s="2" t="s">
        <v>228</v>
      </c>
      <c r="E2036" s="382" t="s">
        <v>17</v>
      </c>
      <c r="F2036" s="114" t="s">
        <v>15</v>
      </c>
      <c r="G2036" s="383" t="s">
        <v>21</v>
      </c>
      <c r="H2036" s="384">
        <v>6.97</v>
      </c>
      <c r="I2036" s="376">
        <v>9.5</v>
      </c>
      <c r="J2036" s="19">
        <v>1</v>
      </c>
      <c r="K2036" s="13">
        <v>6.621500000000001E-2</v>
      </c>
      <c r="L2036" s="7" t="s">
        <v>483</v>
      </c>
    </row>
    <row r="2037" spans="1:12">
      <c r="A2037" s="7"/>
      <c r="B2037" s="381" t="s">
        <v>328</v>
      </c>
      <c r="C2037" s="3" t="s">
        <v>232</v>
      </c>
      <c r="D2037" s="2" t="s">
        <v>228</v>
      </c>
      <c r="E2037" s="382" t="s">
        <v>17</v>
      </c>
      <c r="F2037" s="114" t="s">
        <v>15</v>
      </c>
      <c r="G2037" s="383" t="s">
        <v>21</v>
      </c>
      <c r="H2037" s="384">
        <v>6.97</v>
      </c>
      <c r="I2037" s="376">
        <v>8</v>
      </c>
      <c r="J2037" s="19">
        <v>2</v>
      </c>
      <c r="K2037" s="13">
        <v>0.11151999999999999</v>
      </c>
      <c r="L2037" s="7" t="s">
        <v>483</v>
      </c>
    </row>
    <row r="2038" spans="1:12">
      <c r="A2038" s="7"/>
      <c r="B2038" s="381" t="s">
        <v>328</v>
      </c>
      <c r="C2038" s="3" t="s">
        <v>232</v>
      </c>
      <c r="D2038" s="2" t="s">
        <v>228</v>
      </c>
      <c r="E2038" s="382" t="s">
        <v>17</v>
      </c>
      <c r="F2038" s="114" t="s">
        <v>15</v>
      </c>
      <c r="G2038" s="383" t="s">
        <v>21</v>
      </c>
      <c r="H2038" s="384">
        <v>6.97</v>
      </c>
      <c r="I2038" s="376">
        <v>8.1</v>
      </c>
      <c r="J2038" s="19">
        <v>1</v>
      </c>
      <c r="K2038" s="13">
        <v>5.6456999999999993E-2</v>
      </c>
      <c r="L2038" s="7" t="s">
        <v>483</v>
      </c>
    </row>
    <row r="2039" spans="1:12">
      <c r="A2039" s="7"/>
      <c r="B2039" s="381" t="s">
        <v>328</v>
      </c>
      <c r="C2039" s="3" t="s">
        <v>232</v>
      </c>
      <c r="D2039" s="2" t="s">
        <v>228</v>
      </c>
      <c r="E2039" s="382" t="s">
        <v>17</v>
      </c>
      <c r="F2039" s="114" t="s">
        <v>15</v>
      </c>
      <c r="G2039" s="383" t="s">
        <v>21</v>
      </c>
      <c r="H2039" s="384">
        <v>6.97</v>
      </c>
      <c r="I2039" s="376">
        <v>10</v>
      </c>
      <c r="J2039" s="19">
        <v>1</v>
      </c>
      <c r="K2039" s="13">
        <v>6.9699999999999998E-2</v>
      </c>
      <c r="L2039" s="7" t="s">
        <v>483</v>
      </c>
    </row>
    <row r="2040" spans="1:12">
      <c r="A2040" s="7"/>
      <c r="B2040" s="381" t="s">
        <v>328</v>
      </c>
      <c r="C2040" s="3" t="s">
        <v>232</v>
      </c>
      <c r="D2040" s="2" t="s">
        <v>228</v>
      </c>
      <c r="E2040" s="382" t="s">
        <v>17</v>
      </c>
      <c r="F2040" s="114" t="s">
        <v>15</v>
      </c>
      <c r="G2040" s="383" t="s">
        <v>21</v>
      </c>
      <c r="H2040" s="384">
        <v>6.97</v>
      </c>
      <c r="I2040" s="376">
        <v>9.4</v>
      </c>
      <c r="J2040" s="19">
        <v>1</v>
      </c>
      <c r="K2040" s="13">
        <v>6.5518000000000007E-2</v>
      </c>
      <c r="L2040" s="7" t="s">
        <v>483</v>
      </c>
    </row>
    <row r="2041" spans="1:12">
      <c r="A2041" s="7"/>
      <c r="B2041" s="381" t="s">
        <v>328</v>
      </c>
      <c r="C2041" s="3" t="s">
        <v>232</v>
      </c>
      <c r="D2041" s="2" t="s">
        <v>228</v>
      </c>
      <c r="E2041" s="382" t="s">
        <v>17</v>
      </c>
      <c r="F2041" s="114" t="s">
        <v>15</v>
      </c>
      <c r="G2041" s="383" t="s">
        <v>21</v>
      </c>
      <c r="H2041" s="384">
        <v>6.97</v>
      </c>
      <c r="I2041" s="376">
        <v>9.1999999999999993</v>
      </c>
      <c r="J2041" s="19">
        <v>1</v>
      </c>
      <c r="K2041" s="13">
        <v>6.4124E-2</v>
      </c>
      <c r="L2041" s="7" t="s">
        <v>483</v>
      </c>
    </row>
    <row r="2042" spans="1:12">
      <c r="A2042" s="7"/>
      <c r="B2042" s="381" t="s">
        <v>328</v>
      </c>
      <c r="C2042" s="3" t="s">
        <v>232</v>
      </c>
      <c r="D2042" s="2" t="s">
        <v>228</v>
      </c>
      <c r="E2042" s="382" t="s">
        <v>17</v>
      </c>
      <c r="F2042" s="114" t="s">
        <v>15</v>
      </c>
      <c r="G2042" s="383" t="s">
        <v>21</v>
      </c>
      <c r="H2042" s="384">
        <v>6.97</v>
      </c>
      <c r="I2042" s="376">
        <v>11.2</v>
      </c>
      <c r="J2042" s="19">
        <v>0</v>
      </c>
      <c r="K2042" s="13">
        <v>0</v>
      </c>
      <c r="L2042" s="7" t="s">
        <v>483</v>
      </c>
    </row>
    <row r="2043" spans="1:12">
      <c r="A2043" s="7"/>
      <c r="B2043" s="381" t="s">
        <v>328</v>
      </c>
      <c r="C2043" s="3" t="s">
        <v>232</v>
      </c>
      <c r="D2043" s="2" t="s">
        <v>228</v>
      </c>
      <c r="E2043" s="382" t="s">
        <v>17</v>
      </c>
      <c r="F2043" s="114" t="s">
        <v>15</v>
      </c>
      <c r="G2043" s="383" t="s">
        <v>21</v>
      </c>
      <c r="H2043" s="384">
        <v>6.97</v>
      </c>
      <c r="I2043" s="376">
        <v>10.9</v>
      </c>
      <c r="J2043" s="19">
        <v>0</v>
      </c>
      <c r="K2043" s="13">
        <v>0</v>
      </c>
      <c r="L2043" s="7" t="s">
        <v>483</v>
      </c>
    </row>
    <row r="2044" spans="1:12">
      <c r="A2044" s="7"/>
      <c r="B2044" s="381" t="s">
        <v>328</v>
      </c>
      <c r="C2044" s="3" t="s">
        <v>232</v>
      </c>
      <c r="D2044" s="2" t="s">
        <v>228</v>
      </c>
      <c r="E2044" s="382" t="s">
        <v>17</v>
      </c>
      <c r="F2044" s="114" t="s">
        <v>15</v>
      </c>
      <c r="G2044" s="383" t="s">
        <v>21</v>
      </c>
      <c r="H2044" s="384">
        <v>6.97</v>
      </c>
      <c r="I2044" s="376">
        <v>10.1</v>
      </c>
      <c r="J2044" s="19">
        <v>0</v>
      </c>
      <c r="K2044" s="13">
        <v>0</v>
      </c>
      <c r="L2044" s="7" t="s">
        <v>483</v>
      </c>
    </row>
    <row r="2045" spans="1:12">
      <c r="A2045" s="7"/>
      <c r="B2045" s="381" t="s">
        <v>328</v>
      </c>
      <c r="C2045" s="3" t="s">
        <v>232</v>
      </c>
      <c r="D2045" s="2" t="s">
        <v>228</v>
      </c>
      <c r="E2045" s="382" t="s">
        <v>17</v>
      </c>
      <c r="F2045" s="114" t="s">
        <v>15</v>
      </c>
      <c r="G2045" s="383" t="s">
        <v>21</v>
      </c>
      <c r="H2045" s="384">
        <v>6.97</v>
      </c>
      <c r="I2045" s="376">
        <v>10.6</v>
      </c>
      <c r="J2045" s="19">
        <v>7</v>
      </c>
      <c r="K2045" s="13">
        <v>0.51717400000000002</v>
      </c>
      <c r="L2045" s="7" t="s">
        <v>483</v>
      </c>
    </row>
    <row r="2046" spans="1:12">
      <c r="A2046" s="7"/>
      <c r="B2046" s="381" t="s">
        <v>328</v>
      </c>
      <c r="C2046" s="3" t="s">
        <v>232</v>
      </c>
      <c r="D2046" s="2" t="s">
        <v>228</v>
      </c>
      <c r="E2046" s="382" t="s">
        <v>17</v>
      </c>
      <c r="F2046" s="114" t="s">
        <v>15</v>
      </c>
      <c r="G2046" s="383" t="s">
        <v>21</v>
      </c>
      <c r="H2046" s="384">
        <v>6.97</v>
      </c>
      <c r="I2046" s="376">
        <v>10.85</v>
      </c>
      <c r="J2046" s="19">
        <v>0</v>
      </c>
      <c r="K2046" s="13">
        <v>0</v>
      </c>
      <c r="L2046" s="7" t="s">
        <v>483</v>
      </c>
    </row>
    <row r="2047" spans="1:12">
      <c r="A2047" s="7"/>
      <c r="B2047" s="381" t="s">
        <v>328</v>
      </c>
      <c r="C2047" s="3" t="s">
        <v>232</v>
      </c>
      <c r="D2047" s="2" t="s">
        <v>228</v>
      </c>
      <c r="E2047" s="382" t="s">
        <v>17</v>
      </c>
      <c r="F2047" s="114" t="s">
        <v>15</v>
      </c>
      <c r="G2047" s="383" t="s">
        <v>21</v>
      </c>
      <c r="H2047" s="384">
        <v>6.97</v>
      </c>
      <c r="I2047" s="376">
        <v>11.2</v>
      </c>
      <c r="J2047" s="19">
        <v>0</v>
      </c>
      <c r="K2047" s="13">
        <v>0</v>
      </c>
      <c r="L2047" s="7" t="s">
        <v>483</v>
      </c>
    </row>
    <row r="2048" spans="1:12">
      <c r="A2048" s="7"/>
      <c r="B2048" s="381" t="s">
        <v>328</v>
      </c>
      <c r="C2048" s="3" t="s">
        <v>232</v>
      </c>
      <c r="D2048" s="2" t="s">
        <v>228</v>
      </c>
      <c r="E2048" s="382" t="s">
        <v>17</v>
      </c>
      <c r="F2048" s="114" t="s">
        <v>15</v>
      </c>
      <c r="G2048" s="383" t="s">
        <v>21</v>
      </c>
      <c r="H2048" s="384">
        <v>6.97</v>
      </c>
      <c r="I2048" s="376">
        <v>11.8</v>
      </c>
      <c r="J2048" s="19">
        <v>0</v>
      </c>
      <c r="K2048" s="13">
        <v>0</v>
      </c>
      <c r="L2048" s="7" t="s">
        <v>483</v>
      </c>
    </row>
    <row r="2049" spans="1:12">
      <c r="A2049" s="7"/>
      <c r="B2049" s="381" t="s">
        <v>328</v>
      </c>
      <c r="C2049" s="3" t="s">
        <v>232</v>
      </c>
      <c r="D2049" s="2" t="s">
        <v>228</v>
      </c>
      <c r="E2049" s="382" t="s">
        <v>17</v>
      </c>
      <c r="F2049" s="114" t="s">
        <v>15</v>
      </c>
      <c r="G2049" s="383" t="s">
        <v>21</v>
      </c>
      <c r="H2049" s="384">
        <v>6.97</v>
      </c>
      <c r="I2049" s="376">
        <v>12</v>
      </c>
      <c r="J2049" s="19">
        <v>1</v>
      </c>
      <c r="K2049" s="13">
        <v>8.3640000000000006E-2</v>
      </c>
      <c r="L2049" s="7" t="s">
        <v>483</v>
      </c>
    </row>
    <row r="2050" spans="1:12">
      <c r="A2050" s="7"/>
      <c r="B2050" s="381" t="s">
        <v>328</v>
      </c>
      <c r="C2050" s="3" t="s">
        <v>232</v>
      </c>
      <c r="D2050" s="2" t="s">
        <v>228</v>
      </c>
      <c r="E2050" s="382" t="s">
        <v>17</v>
      </c>
      <c r="F2050" s="114" t="s">
        <v>15</v>
      </c>
      <c r="G2050" s="383" t="s">
        <v>21</v>
      </c>
      <c r="H2050" s="384">
        <v>6.97</v>
      </c>
      <c r="I2050" s="376">
        <v>7.9</v>
      </c>
      <c r="J2050" s="19">
        <v>1</v>
      </c>
      <c r="K2050" s="13">
        <v>5.5063000000000001E-2</v>
      </c>
      <c r="L2050" s="7" t="s">
        <v>483</v>
      </c>
    </row>
    <row r="2051" spans="1:12">
      <c r="A2051" s="7"/>
      <c r="B2051" s="381" t="s">
        <v>328</v>
      </c>
      <c r="C2051" s="3" t="s">
        <v>232</v>
      </c>
      <c r="D2051" s="2" t="s">
        <v>228</v>
      </c>
      <c r="E2051" s="382" t="s">
        <v>17</v>
      </c>
      <c r="F2051" s="114" t="s">
        <v>15</v>
      </c>
      <c r="G2051" s="383" t="s">
        <v>21</v>
      </c>
      <c r="H2051" s="384">
        <v>6.97</v>
      </c>
      <c r="I2051" s="376">
        <v>10.1</v>
      </c>
      <c r="J2051" s="19">
        <v>2</v>
      </c>
      <c r="K2051" s="13">
        <v>0.14079399999999997</v>
      </c>
      <c r="L2051" s="7" t="s">
        <v>483</v>
      </c>
    </row>
    <row r="2052" spans="1:12">
      <c r="A2052" s="7"/>
      <c r="B2052" s="381" t="s">
        <v>328</v>
      </c>
      <c r="C2052" s="3" t="s">
        <v>232</v>
      </c>
      <c r="D2052" s="2" t="s">
        <v>228</v>
      </c>
      <c r="E2052" s="382" t="s">
        <v>17</v>
      </c>
      <c r="F2052" s="114" t="s">
        <v>15</v>
      </c>
      <c r="G2052" s="383" t="s">
        <v>21</v>
      </c>
      <c r="H2052" s="384">
        <v>6.97</v>
      </c>
      <c r="I2052" s="376">
        <v>10.5</v>
      </c>
      <c r="J2052" s="19">
        <v>0</v>
      </c>
      <c r="K2052" s="13">
        <v>0</v>
      </c>
      <c r="L2052" s="7" t="s">
        <v>483</v>
      </c>
    </row>
    <row r="2053" spans="1:12">
      <c r="A2053" s="7"/>
      <c r="B2053" s="381" t="s">
        <v>452</v>
      </c>
      <c r="C2053" s="3" t="s">
        <v>227</v>
      </c>
      <c r="D2053" s="2" t="s">
        <v>449</v>
      </c>
      <c r="E2053" s="382" t="s">
        <v>20</v>
      </c>
      <c r="F2053" s="114" t="s">
        <v>15</v>
      </c>
      <c r="G2053" s="383" t="s">
        <v>34</v>
      </c>
      <c r="H2053" s="384">
        <v>9.61</v>
      </c>
      <c r="I2053" s="376">
        <v>11</v>
      </c>
      <c r="J2053" s="19">
        <v>0</v>
      </c>
      <c r="K2053" s="13">
        <v>0</v>
      </c>
      <c r="L2053" s="7" t="s">
        <v>483</v>
      </c>
    </row>
    <row r="2054" spans="1:12">
      <c r="A2054" s="7"/>
      <c r="B2054" s="381" t="s">
        <v>452</v>
      </c>
      <c r="C2054" s="3" t="s">
        <v>227</v>
      </c>
      <c r="D2054" s="2" t="s">
        <v>449</v>
      </c>
      <c r="E2054" s="382" t="s">
        <v>20</v>
      </c>
      <c r="F2054" s="114" t="s">
        <v>15</v>
      </c>
      <c r="G2054" s="383" t="s">
        <v>34</v>
      </c>
      <c r="H2054" s="384">
        <v>9.61</v>
      </c>
      <c r="I2054" s="376">
        <v>11</v>
      </c>
      <c r="J2054" s="19">
        <v>0</v>
      </c>
      <c r="K2054" s="13">
        <v>0</v>
      </c>
      <c r="L2054" s="7" t="s">
        <v>483</v>
      </c>
    </row>
    <row r="2055" spans="1:12">
      <c r="A2055" s="7"/>
      <c r="B2055" s="381" t="s">
        <v>452</v>
      </c>
      <c r="C2055" s="3" t="s">
        <v>227</v>
      </c>
      <c r="D2055" s="2" t="s">
        <v>449</v>
      </c>
      <c r="E2055" s="382" t="s">
        <v>20</v>
      </c>
      <c r="F2055" s="114" t="s">
        <v>15</v>
      </c>
      <c r="G2055" s="383" t="s">
        <v>34</v>
      </c>
      <c r="H2055" s="384">
        <v>9.61</v>
      </c>
      <c r="I2055" s="376">
        <v>12</v>
      </c>
      <c r="J2055" s="19">
        <v>0</v>
      </c>
      <c r="K2055" s="13">
        <v>0</v>
      </c>
      <c r="L2055" s="7" t="s">
        <v>483</v>
      </c>
    </row>
    <row r="2056" spans="1:12">
      <c r="A2056" s="7"/>
      <c r="B2056" s="381" t="s">
        <v>452</v>
      </c>
      <c r="C2056" s="3" t="s">
        <v>227</v>
      </c>
      <c r="D2056" s="2" t="s">
        <v>449</v>
      </c>
      <c r="E2056" s="382" t="s">
        <v>20</v>
      </c>
      <c r="F2056" s="114" t="s">
        <v>15</v>
      </c>
      <c r="G2056" s="383" t="s">
        <v>34</v>
      </c>
      <c r="H2056" s="384">
        <v>9.61</v>
      </c>
      <c r="I2056" s="376">
        <v>12</v>
      </c>
      <c r="J2056" s="19">
        <v>0</v>
      </c>
      <c r="K2056" s="13">
        <v>0</v>
      </c>
      <c r="L2056" s="7" t="s">
        <v>483</v>
      </c>
    </row>
    <row r="2057" spans="1:12">
      <c r="A2057" s="7"/>
      <c r="B2057" s="381" t="s">
        <v>452</v>
      </c>
      <c r="C2057" s="3" t="s">
        <v>227</v>
      </c>
      <c r="D2057" s="2" t="s">
        <v>449</v>
      </c>
      <c r="E2057" s="382" t="s">
        <v>20</v>
      </c>
      <c r="F2057" s="114" t="s">
        <v>15</v>
      </c>
      <c r="G2057" s="383" t="s">
        <v>34</v>
      </c>
      <c r="H2057" s="384">
        <v>9.61</v>
      </c>
      <c r="I2057" s="376">
        <v>12</v>
      </c>
      <c r="J2057" s="19">
        <v>0</v>
      </c>
      <c r="K2057" s="13">
        <v>0</v>
      </c>
      <c r="L2057" s="7" t="s">
        <v>483</v>
      </c>
    </row>
    <row r="2058" spans="1:12">
      <c r="A2058" s="7"/>
      <c r="B2058" s="381" t="s">
        <v>452</v>
      </c>
      <c r="C2058" s="3" t="s">
        <v>227</v>
      </c>
      <c r="D2058" s="2" t="s">
        <v>449</v>
      </c>
      <c r="E2058" s="382" t="s">
        <v>20</v>
      </c>
      <c r="F2058" s="114" t="s">
        <v>15</v>
      </c>
      <c r="G2058" s="383" t="s">
        <v>34</v>
      </c>
      <c r="H2058" s="384">
        <v>9.61</v>
      </c>
      <c r="I2058" s="376">
        <v>11</v>
      </c>
      <c r="J2058" s="19">
        <v>0</v>
      </c>
      <c r="K2058" s="13">
        <v>0</v>
      </c>
      <c r="L2058" s="7" t="s">
        <v>483</v>
      </c>
    </row>
    <row r="2059" spans="1:12">
      <c r="A2059" s="7"/>
      <c r="B2059" s="381" t="s">
        <v>452</v>
      </c>
      <c r="C2059" s="3" t="s">
        <v>227</v>
      </c>
      <c r="D2059" s="2" t="s">
        <v>449</v>
      </c>
      <c r="E2059" s="382" t="s">
        <v>20</v>
      </c>
      <c r="F2059" s="114" t="s">
        <v>15</v>
      </c>
      <c r="G2059" s="383" t="s">
        <v>34</v>
      </c>
      <c r="H2059" s="384">
        <v>9.61</v>
      </c>
      <c r="I2059" s="376">
        <v>12</v>
      </c>
      <c r="J2059" s="19">
        <v>0</v>
      </c>
      <c r="K2059" s="13">
        <v>0</v>
      </c>
      <c r="L2059" s="7" t="s">
        <v>483</v>
      </c>
    </row>
    <row r="2060" spans="1:12">
      <c r="A2060" s="7"/>
      <c r="B2060" s="381" t="s">
        <v>452</v>
      </c>
      <c r="C2060" s="3" t="s">
        <v>227</v>
      </c>
      <c r="D2060" s="2" t="s">
        <v>449</v>
      </c>
      <c r="E2060" s="382" t="s">
        <v>20</v>
      </c>
      <c r="F2060" s="114" t="s">
        <v>15</v>
      </c>
      <c r="G2060" s="383" t="s">
        <v>34</v>
      </c>
      <c r="H2060" s="384">
        <v>9.61</v>
      </c>
      <c r="I2060" s="376">
        <v>9.4</v>
      </c>
      <c r="J2060" s="19">
        <v>0</v>
      </c>
      <c r="K2060" s="13">
        <v>0</v>
      </c>
      <c r="L2060" s="7" t="s">
        <v>483</v>
      </c>
    </row>
    <row r="2061" spans="1:12">
      <c r="A2061" s="7"/>
      <c r="B2061" s="381" t="s">
        <v>452</v>
      </c>
      <c r="C2061" s="3" t="s">
        <v>227</v>
      </c>
      <c r="D2061" s="2" t="s">
        <v>449</v>
      </c>
      <c r="E2061" s="382" t="s">
        <v>20</v>
      </c>
      <c r="F2061" s="114" t="s">
        <v>15</v>
      </c>
      <c r="G2061" s="383" t="s">
        <v>34</v>
      </c>
      <c r="H2061" s="384">
        <v>9.61</v>
      </c>
      <c r="I2061" s="376">
        <v>10.6</v>
      </c>
      <c r="J2061" s="19">
        <v>0</v>
      </c>
      <c r="K2061" s="13">
        <v>0</v>
      </c>
      <c r="L2061" s="7" t="s">
        <v>483</v>
      </c>
    </row>
    <row r="2062" spans="1:12">
      <c r="A2062" s="7"/>
      <c r="B2062" s="381" t="s">
        <v>452</v>
      </c>
      <c r="C2062" s="3" t="s">
        <v>227</v>
      </c>
      <c r="D2062" s="2" t="s">
        <v>449</v>
      </c>
      <c r="E2062" s="382" t="s">
        <v>20</v>
      </c>
      <c r="F2062" s="114" t="s">
        <v>15</v>
      </c>
      <c r="G2062" s="383" t="s">
        <v>34</v>
      </c>
      <c r="H2062" s="384">
        <v>9.61</v>
      </c>
      <c r="I2062" s="376">
        <v>10.6</v>
      </c>
      <c r="J2062" s="19">
        <v>0</v>
      </c>
      <c r="K2062" s="13">
        <v>0</v>
      </c>
      <c r="L2062" s="7" t="s">
        <v>483</v>
      </c>
    </row>
    <row r="2063" spans="1:12">
      <c r="A2063" s="7"/>
      <c r="B2063" s="381" t="s">
        <v>452</v>
      </c>
      <c r="C2063" s="3" t="s">
        <v>227</v>
      </c>
      <c r="D2063" s="2" t="s">
        <v>449</v>
      </c>
      <c r="E2063" s="382" t="s">
        <v>20</v>
      </c>
      <c r="F2063" s="114" t="s">
        <v>15</v>
      </c>
      <c r="G2063" s="383" t="s">
        <v>34</v>
      </c>
      <c r="H2063" s="384">
        <v>9.61</v>
      </c>
      <c r="I2063" s="376">
        <v>10.199999999999999</v>
      </c>
      <c r="J2063" s="19">
        <v>0</v>
      </c>
      <c r="K2063" s="13">
        <v>0</v>
      </c>
      <c r="L2063" s="7" t="s">
        <v>483</v>
      </c>
    </row>
    <row r="2064" spans="1:12">
      <c r="A2064" s="7"/>
      <c r="B2064" s="381" t="s">
        <v>452</v>
      </c>
      <c r="C2064" s="3" t="s">
        <v>227</v>
      </c>
      <c r="D2064" s="2" t="s">
        <v>449</v>
      </c>
      <c r="E2064" s="382" t="s">
        <v>20</v>
      </c>
      <c r="F2064" s="114" t="s">
        <v>15</v>
      </c>
      <c r="G2064" s="383" t="s">
        <v>34</v>
      </c>
      <c r="H2064" s="384">
        <v>9.61</v>
      </c>
      <c r="I2064" s="376">
        <v>9.1</v>
      </c>
      <c r="J2064" s="19">
        <v>1</v>
      </c>
      <c r="K2064" s="13">
        <v>8.7450999999999987E-2</v>
      </c>
      <c r="L2064" s="7" t="s">
        <v>483</v>
      </c>
    </row>
    <row r="2065" spans="1:12">
      <c r="A2065" s="7"/>
      <c r="B2065" s="381" t="s">
        <v>452</v>
      </c>
      <c r="C2065" s="3" t="s">
        <v>227</v>
      </c>
      <c r="D2065" s="2" t="s">
        <v>449</v>
      </c>
      <c r="E2065" s="382" t="s">
        <v>20</v>
      </c>
      <c r="F2065" s="114" t="s">
        <v>15</v>
      </c>
      <c r="G2065" s="383" t="s">
        <v>34</v>
      </c>
      <c r="H2065" s="384">
        <v>9.61</v>
      </c>
      <c r="I2065" s="376">
        <v>9</v>
      </c>
      <c r="J2065" s="19">
        <v>1</v>
      </c>
      <c r="K2065" s="13">
        <v>8.6489999999999997E-2</v>
      </c>
      <c r="L2065" s="7" t="s">
        <v>483</v>
      </c>
    </row>
    <row r="2066" spans="1:12">
      <c r="A2066" s="7"/>
      <c r="B2066" s="381" t="s">
        <v>452</v>
      </c>
      <c r="C2066" s="3" t="s">
        <v>227</v>
      </c>
      <c r="D2066" s="2" t="s">
        <v>449</v>
      </c>
      <c r="E2066" s="382" t="s">
        <v>20</v>
      </c>
      <c r="F2066" s="114" t="s">
        <v>15</v>
      </c>
      <c r="G2066" s="383" t="s">
        <v>34</v>
      </c>
      <c r="H2066" s="384">
        <v>9.61</v>
      </c>
      <c r="I2066" s="376">
        <v>8.9</v>
      </c>
      <c r="J2066" s="19">
        <v>1</v>
      </c>
      <c r="K2066" s="13">
        <v>8.5528999999999994E-2</v>
      </c>
      <c r="L2066" s="7" t="s">
        <v>483</v>
      </c>
    </row>
    <row r="2067" spans="1:12">
      <c r="A2067" s="7"/>
      <c r="B2067" s="381" t="s">
        <v>452</v>
      </c>
      <c r="C2067" s="3" t="s">
        <v>227</v>
      </c>
      <c r="D2067" s="2" t="s">
        <v>449</v>
      </c>
      <c r="E2067" s="382" t="s">
        <v>20</v>
      </c>
      <c r="F2067" s="114" t="s">
        <v>15</v>
      </c>
      <c r="G2067" s="383" t="s">
        <v>34</v>
      </c>
      <c r="H2067" s="384">
        <v>9.61</v>
      </c>
      <c r="I2067" s="376">
        <v>8.5</v>
      </c>
      <c r="J2067" s="19">
        <v>2</v>
      </c>
      <c r="K2067" s="13">
        <v>0.16337000000000002</v>
      </c>
      <c r="L2067" s="7" t="s">
        <v>483</v>
      </c>
    </row>
    <row r="2068" spans="1:12">
      <c r="A2068" s="7"/>
      <c r="B2068" s="381" t="s">
        <v>452</v>
      </c>
      <c r="C2068" s="3" t="s">
        <v>227</v>
      </c>
      <c r="D2068" s="2" t="s">
        <v>449</v>
      </c>
      <c r="E2068" s="382" t="s">
        <v>20</v>
      </c>
      <c r="F2068" s="114" t="s">
        <v>15</v>
      </c>
      <c r="G2068" s="383" t="s">
        <v>34</v>
      </c>
      <c r="H2068" s="384">
        <v>9.61</v>
      </c>
      <c r="I2068" s="376">
        <v>7.9</v>
      </c>
      <c r="J2068" s="19">
        <v>1</v>
      </c>
      <c r="K2068" s="13">
        <v>7.5919E-2</v>
      </c>
      <c r="L2068" s="7" t="s">
        <v>483</v>
      </c>
    </row>
    <row r="2069" spans="1:12">
      <c r="A2069" s="7"/>
      <c r="B2069" s="381" t="s">
        <v>452</v>
      </c>
      <c r="C2069" s="3" t="s">
        <v>227</v>
      </c>
      <c r="D2069" s="2" t="s">
        <v>449</v>
      </c>
      <c r="E2069" s="382" t="s">
        <v>20</v>
      </c>
      <c r="F2069" s="114" t="s">
        <v>15</v>
      </c>
      <c r="G2069" s="383" t="s">
        <v>34</v>
      </c>
      <c r="H2069" s="384">
        <v>9.61</v>
      </c>
      <c r="I2069" s="376">
        <v>8</v>
      </c>
      <c r="J2069" s="19">
        <v>1</v>
      </c>
      <c r="K2069" s="13">
        <v>7.687999999999999E-2</v>
      </c>
      <c r="L2069" s="7" t="s">
        <v>483</v>
      </c>
    </row>
    <row r="2070" spans="1:12">
      <c r="A2070" s="7"/>
      <c r="B2070" s="381" t="s">
        <v>452</v>
      </c>
      <c r="C2070" s="3" t="s">
        <v>227</v>
      </c>
      <c r="D2070" s="2" t="s">
        <v>449</v>
      </c>
      <c r="E2070" s="382" t="s">
        <v>20</v>
      </c>
      <c r="F2070" s="114" t="s">
        <v>15</v>
      </c>
      <c r="G2070" s="383" t="s">
        <v>34</v>
      </c>
      <c r="H2070" s="384">
        <v>9.61</v>
      </c>
      <c r="I2070" s="376">
        <v>12</v>
      </c>
      <c r="J2070" s="19">
        <v>0</v>
      </c>
      <c r="K2070" s="13">
        <v>0</v>
      </c>
      <c r="L2070" s="7" t="s">
        <v>483</v>
      </c>
    </row>
    <row r="2071" spans="1:12">
      <c r="A2071" s="7"/>
      <c r="B2071" s="381" t="s">
        <v>452</v>
      </c>
      <c r="C2071" s="3" t="s">
        <v>227</v>
      </c>
      <c r="D2071" s="2" t="s">
        <v>449</v>
      </c>
      <c r="E2071" s="382" t="s">
        <v>20</v>
      </c>
      <c r="F2071" s="114" t="s">
        <v>15</v>
      </c>
      <c r="G2071" s="383" t="s">
        <v>34</v>
      </c>
      <c r="H2071" s="384">
        <v>9.61</v>
      </c>
      <c r="I2071" s="376">
        <v>9.4</v>
      </c>
      <c r="J2071" s="19">
        <v>0</v>
      </c>
      <c r="K2071" s="13">
        <v>0</v>
      </c>
      <c r="L2071" s="7" t="s">
        <v>483</v>
      </c>
    </row>
    <row r="2072" spans="1:12">
      <c r="A2072" s="7"/>
      <c r="B2072" s="381" t="s">
        <v>452</v>
      </c>
      <c r="C2072" s="3" t="s">
        <v>227</v>
      </c>
      <c r="D2072" s="2" t="s">
        <v>449</v>
      </c>
      <c r="E2072" s="382" t="s">
        <v>20</v>
      </c>
      <c r="F2072" s="114" t="s">
        <v>15</v>
      </c>
      <c r="G2072" s="383" t="s">
        <v>34</v>
      </c>
      <c r="H2072" s="384">
        <v>9.61</v>
      </c>
      <c r="I2072" s="376">
        <v>9.4</v>
      </c>
      <c r="J2072" s="19">
        <v>0</v>
      </c>
      <c r="K2072" s="13">
        <v>0</v>
      </c>
      <c r="L2072" s="7" t="s">
        <v>483</v>
      </c>
    </row>
    <row r="2073" spans="1:12">
      <c r="A2073" s="7"/>
      <c r="B2073" s="381" t="s">
        <v>452</v>
      </c>
      <c r="C2073" s="3" t="s">
        <v>227</v>
      </c>
      <c r="D2073" s="2" t="s">
        <v>449</v>
      </c>
      <c r="E2073" s="382" t="s">
        <v>20</v>
      </c>
      <c r="F2073" s="114" t="s">
        <v>15</v>
      </c>
      <c r="G2073" s="383" t="s">
        <v>34</v>
      </c>
      <c r="H2073" s="384">
        <v>9.61</v>
      </c>
      <c r="I2073" s="376">
        <v>9.4</v>
      </c>
      <c r="J2073" s="19">
        <v>0</v>
      </c>
      <c r="K2073" s="13">
        <v>0</v>
      </c>
      <c r="L2073" s="7" t="s">
        <v>483</v>
      </c>
    </row>
    <row r="2074" spans="1:12">
      <c r="A2074" s="7"/>
      <c r="B2074" s="381" t="s">
        <v>452</v>
      </c>
      <c r="C2074" s="3" t="s">
        <v>227</v>
      </c>
      <c r="D2074" s="2" t="s">
        <v>449</v>
      </c>
      <c r="E2074" s="382" t="s">
        <v>20</v>
      </c>
      <c r="F2074" s="114" t="s">
        <v>15</v>
      </c>
      <c r="G2074" s="383" t="s">
        <v>34</v>
      </c>
      <c r="H2074" s="384">
        <v>9.61</v>
      </c>
      <c r="I2074" s="376">
        <v>9.4</v>
      </c>
      <c r="J2074" s="19">
        <v>0</v>
      </c>
      <c r="K2074" s="13">
        <v>0</v>
      </c>
      <c r="L2074" s="7" t="s">
        <v>483</v>
      </c>
    </row>
    <row r="2075" spans="1:12">
      <c r="A2075" s="7"/>
      <c r="B2075" s="381" t="s">
        <v>452</v>
      </c>
      <c r="C2075" s="3" t="s">
        <v>227</v>
      </c>
      <c r="D2075" s="2" t="s">
        <v>449</v>
      </c>
      <c r="E2075" s="382" t="s">
        <v>20</v>
      </c>
      <c r="F2075" s="114" t="s">
        <v>15</v>
      </c>
      <c r="G2075" s="383" t="s">
        <v>34</v>
      </c>
      <c r="H2075" s="384">
        <v>9.61</v>
      </c>
      <c r="I2075" s="376">
        <v>9.4</v>
      </c>
      <c r="J2075" s="19">
        <v>0</v>
      </c>
      <c r="K2075" s="13">
        <v>0</v>
      </c>
      <c r="L2075" s="7" t="s">
        <v>483</v>
      </c>
    </row>
    <row r="2076" spans="1:12">
      <c r="A2076" s="7"/>
      <c r="B2076" s="381" t="s">
        <v>452</v>
      </c>
      <c r="C2076" s="3" t="s">
        <v>227</v>
      </c>
      <c r="D2076" s="2" t="s">
        <v>449</v>
      </c>
      <c r="E2076" s="382" t="s">
        <v>20</v>
      </c>
      <c r="F2076" s="114" t="s">
        <v>15</v>
      </c>
      <c r="G2076" s="383" t="s">
        <v>34</v>
      </c>
      <c r="H2076" s="384">
        <v>9.61</v>
      </c>
      <c r="I2076" s="376">
        <v>10.6</v>
      </c>
      <c r="J2076" s="19">
        <v>0</v>
      </c>
      <c r="K2076" s="13">
        <v>0</v>
      </c>
      <c r="L2076" s="7" t="s">
        <v>483</v>
      </c>
    </row>
    <row r="2077" spans="1:12">
      <c r="A2077" s="7"/>
      <c r="B2077" s="381" t="s">
        <v>452</v>
      </c>
      <c r="C2077" s="3" t="s">
        <v>227</v>
      </c>
      <c r="D2077" s="2" t="s">
        <v>449</v>
      </c>
      <c r="E2077" s="382" t="s">
        <v>20</v>
      </c>
      <c r="F2077" s="114" t="s">
        <v>15</v>
      </c>
      <c r="G2077" s="383" t="s">
        <v>34</v>
      </c>
      <c r="H2077" s="384">
        <v>9.61</v>
      </c>
      <c r="I2077" s="376">
        <v>9.4</v>
      </c>
      <c r="J2077" s="19">
        <v>0</v>
      </c>
      <c r="K2077" s="13">
        <v>0</v>
      </c>
      <c r="L2077" s="7" t="s">
        <v>483</v>
      </c>
    </row>
    <row r="2078" spans="1:12">
      <c r="A2078" s="7"/>
      <c r="B2078" s="381" t="s">
        <v>452</v>
      </c>
      <c r="C2078" s="3" t="s">
        <v>227</v>
      </c>
      <c r="D2078" s="2" t="s">
        <v>449</v>
      </c>
      <c r="E2078" s="382" t="s">
        <v>20</v>
      </c>
      <c r="F2078" s="114" t="s">
        <v>15</v>
      </c>
      <c r="G2078" s="383" t="s">
        <v>34</v>
      </c>
      <c r="H2078" s="384">
        <v>9.61</v>
      </c>
      <c r="I2078" s="376">
        <v>9.4</v>
      </c>
      <c r="J2078" s="19">
        <v>0</v>
      </c>
      <c r="K2078" s="13">
        <v>0</v>
      </c>
      <c r="L2078" s="7" t="s">
        <v>483</v>
      </c>
    </row>
    <row r="2079" spans="1:12">
      <c r="A2079" s="7"/>
      <c r="B2079" s="381" t="s">
        <v>452</v>
      </c>
      <c r="C2079" s="3" t="s">
        <v>227</v>
      </c>
      <c r="D2079" s="2" t="s">
        <v>449</v>
      </c>
      <c r="E2079" s="382" t="s">
        <v>20</v>
      </c>
      <c r="F2079" s="114" t="s">
        <v>15</v>
      </c>
      <c r="G2079" s="383" t="s">
        <v>34</v>
      </c>
      <c r="H2079" s="384">
        <v>9.61</v>
      </c>
      <c r="I2079" s="376">
        <v>9.4</v>
      </c>
      <c r="J2079" s="19">
        <v>0</v>
      </c>
      <c r="K2079" s="13">
        <v>0</v>
      </c>
      <c r="L2079" s="7" t="s">
        <v>483</v>
      </c>
    </row>
    <row r="2080" spans="1:12">
      <c r="A2080" s="7"/>
      <c r="B2080" s="381" t="s">
        <v>452</v>
      </c>
      <c r="C2080" s="3" t="s">
        <v>227</v>
      </c>
      <c r="D2080" s="2" t="s">
        <v>449</v>
      </c>
      <c r="E2080" s="382" t="s">
        <v>20</v>
      </c>
      <c r="F2080" s="114" t="s">
        <v>15</v>
      </c>
      <c r="G2080" s="383" t="s">
        <v>34</v>
      </c>
      <c r="H2080" s="384">
        <v>9.61</v>
      </c>
      <c r="I2080" s="376">
        <v>9.4</v>
      </c>
      <c r="J2080" s="19">
        <v>0</v>
      </c>
      <c r="K2080" s="13">
        <v>0</v>
      </c>
      <c r="L2080" s="7" t="s">
        <v>483</v>
      </c>
    </row>
    <row r="2081" spans="1:12">
      <c r="A2081" s="7"/>
      <c r="B2081" s="381" t="s">
        <v>452</v>
      </c>
      <c r="C2081" s="3" t="s">
        <v>227</v>
      </c>
      <c r="D2081" s="2" t="s">
        <v>449</v>
      </c>
      <c r="E2081" s="382" t="s">
        <v>20</v>
      </c>
      <c r="F2081" s="114" t="s">
        <v>15</v>
      </c>
      <c r="G2081" s="383" t="s">
        <v>34</v>
      </c>
      <c r="H2081" s="384">
        <v>9.61</v>
      </c>
      <c r="I2081" s="376">
        <v>9.4</v>
      </c>
      <c r="J2081" s="19">
        <v>0</v>
      </c>
      <c r="K2081" s="13">
        <v>0</v>
      </c>
      <c r="L2081" s="7" t="s">
        <v>483</v>
      </c>
    </row>
    <row r="2082" spans="1:12">
      <c r="A2082" s="7"/>
      <c r="B2082" s="381" t="s">
        <v>452</v>
      </c>
      <c r="C2082" s="3" t="s">
        <v>227</v>
      </c>
      <c r="D2082" s="2" t="s">
        <v>449</v>
      </c>
      <c r="E2082" s="382" t="s">
        <v>20</v>
      </c>
      <c r="F2082" s="114" t="s">
        <v>15</v>
      </c>
      <c r="G2082" s="383" t="s">
        <v>34</v>
      </c>
      <c r="H2082" s="384">
        <v>9.61</v>
      </c>
      <c r="I2082" s="376">
        <v>9.4</v>
      </c>
      <c r="J2082" s="19">
        <v>0</v>
      </c>
      <c r="K2082" s="13">
        <v>0</v>
      </c>
      <c r="L2082" s="7" t="s">
        <v>483</v>
      </c>
    </row>
    <row r="2083" spans="1:12">
      <c r="A2083" s="7"/>
      <c r="B2083" s="381" t="s">
        <v>452</v>
      </c>
      <c r="C2083" s="3" t="s">
        <v>227</v>
      </c>
      <c r="D2083" s="2" t="s">
        <v>449</v>
      </c>
      <c r="E2083" s="382" t="s">
        <v>20</v>
      </c>
      <c r="F2083" s="114" t="s">
        <v>15</v>
      </c>
      <c r="G2083" s="383" t="s">
        <v>34</v>
      </c>
      <c r="H2083" s="384">
        <v>9.61</v>
      </c>
      <c r="I2083" s="376">
        <v>10.6</v>
      </c>
      <c r="J2083" s="19">
        <v>0</v>
      </c>
      <c r="K2083" s="13">
        <v>0</v>
      </c>
      <c r="L2083" s="7" t="s">
        <v>483</v>
      </c>
    </row>
    <row r="2084" spans="1:12">
      <c r="A2084" s="7"/>
      <c r="B2084" s="381" t="s">
        <v>452</v>
      </c>
      <c r="C2084" s="3" t="s">
        <v>227</v>
      </c>
      <c r="D2084" s="2" t="s">
        <v>449</v>
      </c>
      <c r="E2084" s="382" t="s">
        <v>20</v>
      </c>
      <c r="F2084" s="114" t="s">
        <v>15</v>
      </c>
      <c r="G2084" s="383" t="s">
        <v>34</v>
      </c>
      <c r="H2084" s="384">
        <v>9.61</v>
      </c>
      <c r="I2084" s="376">
        <v>10.6</v>
      </c>
      <c r="J2084" s="19">
        <v>0</v>
      </c>
      <c r="K2084" s="13">
        <v>0</v>
      </c>
      <c r="L2084" s="7" t="s">
        <v>483</v>
      </c>
    </row>
    <row r="2085" spans="1:12">
      <c r="A2085" s="7"/>
      <c r="B2085" s="381" t="s">
        <v>452</v>
      </c>
      <c r="C2085" s="3" t="s">
        <v>227</v>
      </c>
      <c r="D2085" s="2" t="s">
        <v>449</v>
      </c>
      <c r="E2085" s="382" t="s">
        <v>20</v>
      </c>
      <c r="F2085" s="114" t="s">
        <v>15</v>
      </c>
      <c r="G2085" s="383" t="s">
        <v>34</v>
      </c>
      <c r="H2085" s="384">
        <v>9.61</v>
      </c>
      <c r="I2085" s="376">
        <v>9.4</v>
      </c>
      <c r="J2085" s="19">
        <v>0</v>
      </c>
      <c r="K2085" s="13">
        <v>0</v>
      </c>
      <c r="L2085" s="7" t="s">
        <v>483</v>
      </c>
    </row>
    <row r="2086" spans="1:12">
      <c r="A2086" s="7"/>
      <c r="B2086" s="381" t="s">
        <v>452</v>
      </c>
      <c r="C2086" s="3" t="s">
        <v>227</v>
      </c>
      <c r="D2086" s="2" t="s">
        <v>449</v>
      </c>
      <c r="E2086" s="382" t="s">
        <v>20</v>
      </c>
      <c r="F2086" s="114" t="s">
        <v>15</v>
      </c>
      <c r="G2086" s="383" t="s">
        <v>34</v>
      </c>
      <c r="H2086" s="384">
        <v>9.61</v>
      </c>
      <c r="I2086" s="376">
        <v>9.4</v>
      </c>
      <c r="J2086" s="19">
        <v>0</v>
      </c>
      <c r="K2086" s="13">
        <v>0</v>
      </c>
      <c r="L2086" s="7" t="s">
        <v>483</v>
      </c>
    </row>
    <row r="2087" spans="1:12">
      <c r="A2087" s="7"/>
      <c r="B2087" s="381" t="s">
        <v>452</v>
      </c>
      <c r="C2087" s="3" t="s">
        <v>227</v>
      </c>
      <c r="D2087" s="2" t="s">
        <v>449</v>
      </c>
      <c r="E2087" s="382" t="s">
        <v>20</v>
      </c>
      <c r="F2087" s="114" t="s">
        <v>15</v>
      </c>
      <c r="G2087" s="383" t="s">
        <v>34</v>
      </c>
      <c r="H2087" s="384">
        <v>9.61</v>
      </c>
      <c r="I2087" s="376">
        <v>10.6</v>
      </c>
      <c r="J2087" s="19">
        <v>0</v>
      </c>
      <c r="K2087" s="13">
        <v>0</v>
      </c>
      <c r="L2087" s="7" t="s">
        <v>483</v>
      </c>
    </row>
    <row r="2088" spans="1:12">
      <c r="A2088" s="7"/>
      <c r="B2088" s="381" t="s">
        <v>452</v>
      </c>
      <c r="C2088" s="3" t="s">
        <v>227</v>
      </c>
      <c r="D2088" s="2" t="s">
        <v>449</v>
      </c>
      <c r="E2088" s="382" t="s">
        <v>20</v>
      </c>
      <c r="F2088" s="114" t="s">
        <v>15</v>
      </c>
      <c r="G2088" s="383" t="s">
        <v>34</v>
      </c>
      <c r="H2088" s="384">
        <v>9.61</v>
      </c>
      <c r="I2088" s="376">
        <v>11</v>
      </c>
      <c r="J2088" s="19">
        <v>0</v>
      </c>
      <c r="K2088" s="13">
        <v>0</v>
      </c>
      <c r="L2088" s="7" t="s">
        <v>483</v>
      </c>
    </row>
    <row r="2089" spans="1:12">
      <c r="A2089" s="7"/>
      <c r="B2089" s="381" t="s">
        <v>452</v>
      </c>
      <c r="C2089" s="3" t="s">
        <v>227</v>
      </c>
      <c r="D2089" s="2" t="s">
        <v>449</v>
      </c>
      <c r="E2089" s="382" t="s">
        <v>20</v>
      </c>
      <c r="F2089" s="114" t="s">
        <v>15</v>
      </c>
      <c r="G2089" s="383" t="s">
        <v>34</v>
      </c>
      <c r="H2089" s="384">
        <v>9.61</v>
      </c>
      <c r="I2089" s="376">
        <v>11</v>
      </c>
      <c r="J2089" s="19">
        <v>0</v>
      </c>
      <c r="K2089" s="13">
        <v>0</v>
      </c>
      <c r="L2089" s="7" t="s">
        <v>483</v>
      </c>
    </row>
    <row r="2090" spans="1:12">
      <c r="A2090" s="7"/>
      <c r="B2090" s="381" t="s">
        <v>452</v>
      </c>
      <c r="C2090" s="3" t="s">
        <v>227</v>
      </c>
      <c r="D2090" s="2" t="s">
        <v>449</v>
      </c>
      <c r="E2090" s="382" t="s">
        <v>20</v>
      </c>
      <c r="F2090" s="114" t="s">
        <v>15</v>
      </c>
      <c r="G2090" s="383" t="s">
        <v>34</v>
      </c>
      <c r="H2090" s="384">
        <v>9.61</v>
      </c>
      <c r="I2090" s="376">
        <v>12</v>
      </c>
      <c r="J2090" s="19">
        <v>0</v>
      </c>
      <c r="K2090" s="13">
        <v>0</v>
      </c>
      <c r="L2090" s="7" t="s">
        <v>483</v>
      </c>
    </row>
    <row r="2091" spans="1:12">
      <c r="A2091" s="7"/>
      <c r="B2091" s="381" t="s">
        <v>452</v>
      </c>
      <c r="C2091" s="3" t="s">
        <v>227</v>
      </c>
      <c r="D2091" s="2" t="s">
        <v>449</v>
      </c>
      <c r="E2091" s="382" t="s">
        <v>20</v>
      </c>
      <c r="F2091" s="114" t="s">
        <v>15</v>
      </c>
      <c r="G2091" s="383" t="s">
        <v>34</v>
      </c>
      <c r="H2091" s="384">
        <v>9.61</v>
      </c>
      <c r="I2091" s="376">
        <v>12</v>
      </c>
      <c r="J2091" s="19">
        <v>0</v>
      </c>
      <c r="K2091" s="13">
        <v>0</v>
      </c>
      <c r="L2091" s="7" t="s">
        <v>483</v>
      </c>
    </row>
    <row r="2092" spans="1:12">
      <c r="A2092" s="7"/>
      <c r="B2092" s="381" t="s">
        <v>452</v>
      </c>
      <c r="C2092" s="3" t="s">
        <v>227</v>
      </c>
      <c r="D2092" s="2" t="s">
        <v>449</v>
      </c>
      <c r="E2092" s="382" t="s">
        <v>20</v>
      </c>
      <c r="F2092" s="114" t="s">
        <v>15</v>
      </c>
      <c r="G2092" s="383" t="s">
        <v>34</v>
      </c>
      <c r="H2092" s="384">
        <v>9.61</v>
      </c>
      <c r="I2092" s="376">
        <v>12</v>
      </c>
      <c r="J2092" s="19">
        <v>0</v>
      </c>
      <c r="K2092" s="13">
        <v>0</v>
      </c>
      <c r="L2092" s="7" t="s">
        <v>483</v>
      </c>
    </row>
    <row r="2093" spans="1:12">
      <c r="A2093" s="7"/>
      <c r="B2093" s="381" t="s">
        <v>452</v>
      </c>
      <c r="C2093" s="3" t="s">
        <v>227</v>
      </c>
      <c r="D2093" s="2" t="s">
        <v>449</v>
      </c>
      <c r="E2093" s="382" t="s">
        <v>20</v>
      </c>
      <c r="F2093" s="114" t="s">
        <v>15</v>
      </c>
      <c r="G2093" s="383" t="s">
        <v>34</v>
      </c>
      <c r="H2093" s="384">
        <v>9.61</v>
      </c>
      <c r="I2093" s="376">
        <v>12</v>
      </c>
      <c r="J2093" s="19">
        <v>3</v>
      </c>
      <c r="K2093" s="13">
        <v>0.34595999999999999</v>
      </c>
      <c r="L2093" s="7" t="s">
        <v>483</v>
      </c>
    </row>
    <row r="2094" spans="1:12">
      <c r="A2094" s="7"/>
      <c r="B2094" s="381" t="s">
        <v>452</v>
      </c>
      <c r="C2094" s="3" t="s">
        <v>227</v>
      </c>
      <c r="D2094" s="2" t="s">
        <v>449</v>
      </c>
      <c r="E2094" s="382" t="s">
        <v>20</v>
      </c>
      <c r="F2094" s="114" t="s">
        <v>15</v>
      </c>
      <c r="G2094" s="383" t="s">
        <v>34</v>
      </c>
      <c r="H2094" s="384">
        <v>9.61</v>
      </c>
      <c r="I2094" s="376">
        <v>7.7</v>
      </c>
      <c r="J2094" s="19">
        <v>1</v>
      </c>
      <c r="K2094" s="13">
        <v>7.3996999999999993E-2</v>
      </c>
      <c r="L2094" s="7" t="s">
        <v>483</v>
      </c>
    </row>
    <row r="2095" spans="1:12">
      <c r="A2095" s="7"/>
      <c r="B2095" s="381" t="s">
        <v>452</v>
      </c>
      <c r="C2095" s="3" t="s">
        <v>227</v>
      </c>
      <c r="D2095" s="2" t="s">
        <v>449</v>
      </c>
      <c r="E2095" s="382" t="s">
        <v>20</v>
      </c>
      <c r="F2095" s="114" t="s">
        <v>15</v>
      </c>
      <c r="G2095" s="383" t="s">
        <v>34</v>
      </c>
      <c r="H2095" s="384">
        <v>9.61</v>
      </c>
      <c r="I2095" s="376">
        <v>8.5</v>
      </c>
      <c r="J2095" s="19">
        <v>1</v>
      </c>
      <c r="K2095" s="13">
        <v>8.1685000000000008E-2</v>
      </c>
      <c r="L2095" s="7" t="s">
        <v>483</v>
      </c>
    </row>
    <row r="2096" spans="1:12">
      <c r="A2096" s="7"/>
      <c r="B2096" s="381" t="s">
        <v>452</v>
      </c>
      <c r="C2096" s="3" t="s">
        <v>227</v>
      </c>
      <c r="D2096" s="2" t="s">
        <v>449</v>
      </c>
      <c r="E2096" s="382" t="s">
        <v>20</v>
      </c>
      <c r="F2096" s="114" t="s">
        <v>15</v>
      </c>
      <c r="G2096" s="383" t="s">
        <v>34</v>
      </c>
      <c r="H2096" s="384">
        <v>9.61</v>
      </c>
      <c r="I2096" s="376">
        <v>8.8000000000000007</v>
      </c>
      <c r="J2096" s="19">
        <v>4</v>
      </c>
      <c r="K2096" s="13">
        <v>0.33827200000000002</v>
      </c>
      <c r="L2096" s="7" t="s">
        <v>483</v>
      </c>
    </row>
    <row r="2097" spans="1:12">
      <c r="A2097" s="7"/>
      <c r="B2097" s="381" t="s">
        <v>452</v>
      </c>
      <c r="C2097" s="3" t="s">
        <v>227</v>
      </c>
      <c r="D2097" s="2" t="s">
        <v>449</v>
      </c>
      <c r="E2097" s="382" t="s">
        <v>20</v>
      </c>
      <c r="F2097" s="114" t="s">
        <v>15</v>
      </c>
      <c r="G2097" s="383" t="s">
        <v>34</v>
      </c>
      <c r="H2097" s="384">
        <v>9.61</v>
      </c>
      <c r="I2097" s="376">
        <v>9</v>
      </c>
      <c r="J2097" s="19">
        <v>4</v>
      </c>
      <c r="K2097" s="13">
        <v>0.34595999999999999</v>
      </c>
      <c r="L2097" s="7" t="s">
        <v>483</v>
      </c>
    </row>
    <row r="2098" spans="1:12">
      <c r="A2098" s="7"/>
      <c r="B2098" s="381" t="s">
        <v>473</v>
      </c>
      <c r="C2098" s="3" t="s">
        <v>232</v>
      </c>
      <c r="D2098" s="2" t="s">
        <v>449</v>
      </c>
      <c r="E2098" s="382" t="s">
        <v>19</v>
      </c>
      <c r="F2098" s="369" t="s">
        <v>14</v>
      </c>
      <c r="G2098" s="369" t="s">
        <v>21</v>
      </c>
      <c r="H2098" s="370">
        <v>6.97</v>
      </c>
      <c r="I2098" s="376">
        <v>7.1</v>
      </c>
      <c r="J2098" s="19">
        <v>1</v>
      </c>
      <c r="K2098" s="13">
        <v>4.9486999999999996E-2</v>
      </c>
      <c r="L2098" s="7" t="s">
        <v>483</v>
      </c>
    </row>
    <row r="2099" spans="1:12">
      <c r="A2099" s="7"/>
      <c r="B2099" s="381" t="s">
        <v>473</v>
      </c>
      <c r="C2099" s="3" t="s">
        <v>232</v>
      </c>
      <c r="D2099" s="2" t="s">
        <v>449</v>
      </c>
      <c r="E2099" s="382" t="s">
        <v>19</v>
      </c>
      <c r="F2099" s="369" t="s">
        <v>14</v>
      </c>
      <c r="G2099" s="369" t="s">
        <v>21</v>
      </c>
      <c r="H2099" s="370">
        <v>6.97</v>
      </c>
      <c r="I2099" s="376">
        <v>8.5</v>
      </c>
      <c r="J2099" s="19">
        <v>5</v>
      </c>
      <c r="K2099" s="13">
        <v>0.29622499999999996</v>
      </c>
      <c r="L2099" s="7" t="s">
        <v>483</v>
      </c>
    </row>
    <row r="2100" spans="1:12">
      <c r="A2100" s="7"/>
      <c r="B2100" s="381" t="s">
        <v>473</v>
      </c>
      <c r="C2100" s="3" t="s">
        <v>232</v>
      </c>
      <c r="D2100" s="2" t="s">
        <v>449</v>
      </c>
      <c r="E2100" s="382" t="s">
        <v>19</v>
      </c>
      <c r="F2100" s="369" t="s">
        <v>14</v>
      </c>
      <c r="G2100" s="369" t="s">
        <v>21</v>
      </c>
      <c r="H2100" s="370">
        <v>6.97</v>
      </c>
      <c r="I2100" s="376">
        <v>8.5</v>
      </c>
      <c r="J2100" s="19">
        <v>0</v>
      </c>
      <c r="K2100" s="13">
        <v>0</v>
      </c>
      <c r="L2100" s="7" t="s">
        <v>483</v>
      </c>
    </row>
    <row r="2101" spans="1:12">
      <c r="A2101" s="7"/>
      <c r="B2101" s="381" t="s">
        <v>473</v>
      </c>
      <c r="C2101" s="3" t="s">
        <v>232</v>
      </c>
      <c r="D2101" s="2" t="s">
        <v>449</v>
      </c>
      <c r="E2101" s="382" t="s">
        <v>19</v>
      </c>
      <c r="F2101" s="369" t="s">
        <v>14</v>
      </c>
      <c r="G2101" s="369" t="s">
        <v>21</v>
      </c>
      <c r="H2101" s="370">
        <v>6.97</v>
      </c>
      <c r="I2101" s="376">
        <v>8.5</v>
      </c>
      <c r="J2101" s="19">
        <v>0</v>
      </c>
      <c r="K2101" s="13">
        <v>0</v>
      </c>
      <c r="L2101" s="7" t="s">
        <v>483</v>
      </c>
    </row>
    <row r="2102" spans="1:12">
      <c r="A2102" s="7"/>
      <c r="B2102" s="381" t="s">
        <v>473</v>
      </c>
      <c r="C2102" s="3" t="s">
        <v>232</v>
      </c>
      <c r="D2102" s="2" t="s">
        <v>449</v>
      </c>
      <c r="E2102" s="382" t="s">
        <v>19</v>
      </c>
      <c r="F2102" s="369" t="s">
        <v>14</v>
      </c>
      <c r="G2102" s="369" t="s">
        <v>21</v>
      </c>
      <c r="H2102" s="370">
        <v>6.97</v>
      </c>
      <c r="I2102" s="376">
        <v>8</v>
      </c>
      <c r="J2102" s="19">
        <v>3</v>
      </c>
      <c r="K2102" s="13">
        <v>0.16728000000000001</v>
      </c>
      <c r="L2102" s="7" t="s">
        <v>483</v>
      </c>
    </row>
    <row r="2103" spans="1:12">
      <c r="A2103" s="7"/>
      <c r="B2103" s="381" t="s">
        <v>473</v>
      </c>
      <c r="C2103" s="3" t="s">
        <v>232</v>
      </c>
      <c r="D2103" s="2" t="s">
        <v>449</v>
      </c>
      <c r="E2103" s="382" t="s">
        <v>19</v>
      </c>
      <c r="F2103" s="369" t="s">
        <v>14</v>
      </c>
      <c r="G2103" s="369" t="s">
        <v>21</v>
      </c>
      <c r="H2103" s="370">
        <v>6.97</v>
      </c>
      <c r="I2103" s="376">
        <v>7.8</v>
      </c>
      <c r="J2103" s="19">
        <v>1</v>
      </c>
      <c r="K2103" s="13">
        <v>5.4365999999999998E-2</v>
      </c>
      <c r="L2103" s="7" t="s">
        <v>483</v>
      </c>
    </row>
    <row r="2104" spans="1:12">
      <c r="A2104" s="7"/>
      <c r="B2104" s="381" t="s">
        <v>473</v>
      </c>
      <c r="C2104" s="3" t="s">
        <v>232</v>
      </c>
      <c r="D2104" s="2" t="s">
        <v>449</v>
      </c>
      <c r="E2104" s="382" t="s">
        <v>19</v>
      </c>
      <c r="F2104" s="369" t="s">
        <v>14</v>
      </c>
      <c r="G2104" s="369" t="s">
        <v>34</v>
      </c>
      <c r="H2104" s="370">
        <v>9.61</v>
      </c>
      <c r="I2104" s="376">
        <v>6.15</v>
      </c>
      <c r="J2104" s="19">
        <v>0</v>
      </c>
      <c r="K2104" s="13">
        <v>0</v>
      </c>
      <c r="L2104" s="7" t="s">
        <v>483</v>
      </c>
    </row>
    <row r="2105" spans="1:12">
      <c r="A2105" s="7"/>
      <c r="B2105" s="381" t="s">
        <v>473</v>
      </c>
      <c r="C2105" s="3" t="s">
        <v>232</v>
      </c>
      <c r="D2105" s="2" t="s">
        <v>449</v>
      </c>
      <c r="E2105" s="382" t="s">
        <v>19</v>
      </c>
      <c r="F2105" s="369" t="s">
        <v>14</v>
      </c>
      <c r="G2105" s="369" t="s">
        <v>34</v>
      </c>
      <c r="H2105" s="370">
        <v>9.61</v>
      </c>
      <c r="I2105" s="376">
        <v>6.15</v>
      </c>
      <c r="J2105" s="19">
        <v>0</v>
      </c>
      <c r="K2105" s="13">
        <v>0</v>
      </c>
      <c r="L2105" s="7" t="s">
        <v>483</v>
      </c>
    </row>
    <row r="2106" spans="1:12">
      <c r="A2106" s="7"/>
      <c r="B2106" s="381" t="s">
        <v>473</v>
      </c>
      <c r="C2106" s="3" t="s">
        <v>232</v>
      </c>
      <c r="D2106" s="2" t="s">
        <v>449</v>
      </c>
      <c r="E2106" s="382" t="s">
        <v>19</v>
      </c>
      <c r="F2106" s="369" t="s">
        <v>14</v>
      </c>
      <c r="G2106" s="369" t="s">
        <v>34</v>
      </c>
      <c r="H2106" s="370">
        <v>9.61</v>
      </c>
      <c r="I2106" s="376">
        <v>6.15</v>
      </c>
      <c r="J2106" s="19">
        <v>0</v>
      </c>
      <c r="K2106" s="13">
        <v>0</v>
      </c>
      <c r="L2106" s="7" t="s">
        <v>483</v>
      </c>
    </row>
    <row r="2107" spans="1:12">
      <c r="A2107" s="7"/>
      <c r="B2107" s="381" t="s">
        <v>473</v>
      </c>
      <c r="C2107" s="3" t="s">
        <v>232</v>
      </c>
      <c r="D2107" s="2" t="s">
        <v>449</v>
      </c>
      <c r="E2107" s="382" t="s">
        <v>19</v>
      </c>
      <c r="F2107" s="369" t="s">
        <v>14</v>
      </c>
      <c r="G2107" s="369" t="s">
        <v>34</v>
      </c>
      <c r="H2107" s="370">
        <v>9.61</v>
      </c>
      <c r="I2107" s="376">
        <v>6.8</v>
      </c>
      <c r="J2107" s="19">
        <v>0</v>
      </c>
      <c r="K2107" s="13">
        <v>0</v>
      </c>
      <c r="L2107" s="7" t="s">
        <v>483</v>
      </c>
    </row>
    <row r="2108" spans="1:12">
      <c r="A2108" s="7"/>
      <c r="B2108" s="381" t="s">
        <v>473</v>
      </c>
      <c r="C2108" s="3" t="s">
        <v>232</v>
      </c>
      <c r="D2108" s="2" t="s">
        <v>449</v>
      </c>
      <c r="E2108" s="382" t="s">
        <v>19</v>
      </c>
      <c r="F2108" s="369" t="s">
        <v>14</v>
      </c>
      <c r="G2108" s="369" t="s">
        <v>34</v>
      </c>
      <c r="H2108" s="370">
        <v>9.61</v>
      </c>
      <c r="I2108" s="376">
        <v>8.5</v>
      </c>
      <c r="J2108" s="19">
        <v>1</v>
      </c>
      <c r="K2108" s="13">
        <v>8.1685000000000008E-2</v>
      </c>
      <c r="L2108" s="7" t="s">
        <v>483</v>
      </c>
    </row>
    <row r="2109" spans="1:12">
      <c r="A2109" s="7"/>
      <c r="B2109" s="381" t="s">
        <v>473</v>
      </c>
      <c r="C2109" s="3" t="s">
        <v>232</v>
      </c>
      <c r="D2109" s="2" t="s">
        <v>449</v>
      </c>
      <c r="E2109" s="382" t="s">
        <v>19</v>
      </c>
      <c r="F2109" s="369" t="s">
        <v>14</v>
      </c>
      <c r="G2109" s="369" t="s">
        <v>34</v>
      </c>
      <c r="H2109" s="370">
        <v>9.61</v>
      </c>
      <c r="I2109" s="376">
        <v>8.6</v>
      </c>
      <c r="J2109" s="19">
        <v>0</v>
      </c>
      <c r="K2109" s="13">
        <v>0</v>
      </c>
      <c r="L2109" s="7" t="s">
        <v>483</v>
      </c>
    </row>
    <row r="2110" spans="1:12">
      <c r="A2110" s="7"/>
      <c r="B2110" s="381" t="s">
        <v>473</v>
      </c>
      <c r="C2110" s="3" t="s">
        <v>232</v>
      </c>
      <c r="D2110" s="2" t="s">
        <v>449</v>
      </c>
      <c r="E2110" s="382" t="s">
        <v>19</v>
      </c>
      <c r="F2110" s="369" t="s">
        <v>14</v>
      </c>
      <c r="G2110" s="369" t="s">
        <v>34</v>
      </c>
      <c r="H2110" s="370">
        <v>9.61</v>
      </c>
      <c r="I2110" s="376">
        <v>8.75</v>
      </c>
      <c r="J2110" s="19">
        <v>2</v>
      </c>
      <c r="K2110" s="13">
        <v>0.16817499999999999</v>
      </c>
      <c r="L2110" s="7" t="s">
        <v>483</v>
      </c>
    </row>
    <row r="2111" spans="1:12">
      <c r="A2111" s="7"/>
      <c r="B2111" s="381" t="s">
        <v>473</v>
      </c>
      <c r="C2111" s="3" t="s">
        <v>232</v>
      </c>
      <c r="D2111" s="2" t="s">
        <v>449</v>
      </c>
      <c r="E2111" s="382" t="s">
        <v>19</v>
      </c>
      <c r="F2111" s="369" t="s">
        <v>14</v>
      </c>
      <c r="G2111" s="369" t="s">
        <v>34</v>
      </c>
      <c r="H2111" s="370">
        <v>9.61</v>
      </c>
      <c r="I2111" s="376">
        <v>9.25</v>
      </c>
      <c r="J2111" s="19">
        <v>1</v>
      </c>
      <c r="K2111" s="13">
        <v>8.8892499999999999E-2</v>
      </c>
      <c r="L2111" s="7" t="s">
        <v>483</v>
      </c>
    </row>
    <row r="2112" spans="1:12">
      <c r="A2112" s="7"/>
      <c r="B2112" s="381" t="s">
        <v>473</v>
      </c>
      <c r="C2112" s="3" t="s">
        <v>232</v>
      </c>
      <c r="D2112" s="2" t="s">
        <v>449</v>
      </c>
      <c r="E2112" s="382" t="s">
        <v>19</v>
      </c>
      <c r="F2112" s="369" t="s">
        <v>14</v>
      </c>
      <c r="G2112" s="369" t="s">
        <v>34</v>
      </c>
      <c r="H2112" s="370">
        <v>9.61</v>
      </c>
      <c r="I2112" s="376">
        <v>9.5</v>
      </c>
      <c r="J2112" s="19">
        <v>2</v>
      </c>
      <c r="K2112" s="13">
        <v>0.18258999999999997</v>
      </c>
      <c r="L2112" s="7" t="s">
        <v>483</v>
      </c>
    </row>
    <row r="2113" spans="1:12">
      <c r="A2113" s="7"/>
      <c r="B2113" s="381" t="s">
        <v>473</v>
      </c>
      <c r="C2113" s="3" t="s">
        <v>232</v>
      </c>
      <c r="D2113" s="2" t="s">
        <v>449</v>
      </c>
      <c r="E2113" s="382" t="s">
        <v>19</v>
      </c>
      <c r="F2113" s="369" t="s">
        <v>14</v>
      </c>
      <c r="G2113" s="369" t="s">
        <v>34</v>
      </c>
      <c r="H2113" s="370">
        <v>9.61</v>
      </c>
      <c r="I2113" s="376">
        <v>11.1</v>
      </c>
      <c r="J2113" s="19">
        <v>1</v>
      </c>
      <c r="K2113" s="13">
        <v>0.10667099999999999</v>
      </c>
      <c r="L2113" s="7" t="s">
        <v>483</v>
      </c>
    </row>
    <row r="2114" spans="1:12">
      <c r="A2114" s="7"/>
      <c r="B2114" s="381" t="s">
        <v>473</v>
      </c>
      <c r="C2114" s="3" t="s">
        <v>232</v>
      </c>
      <c r="D2114" s="2" t="s">
        <v>449</v>
      </c>
      <c r="E2114" s="382" t="s">
        <v>19</v>
      </c>
      <c r="F2114" s="369" t="s">
        <v>14</v>
      </c>
      <c r="G2114" s="369" t="s">
        <v>34</v>
      </c>
      <c r="H2114" s="370">
        <v>9.61</v>
      </c>
      <c r="I2114" s="376">
        <v>5.9</v>
      </c>
      <c r="J2114" s="19">
        <v>2</v>
      </c>
      <c r="K2114" s="13">
        <v>0.113398</v>
      </c>
      <c r="L2114" s="7" t="s">
        <v>483</v>
      </c>
    </row>
    <row r="2115" spans="1:12">
      <c r="A2115" s="7"/>
      <c r="B2115" s="381" t="s">
        <v>473</v>
      </c>
      <c r="C2115" s="3" t="s">
        <v>232</v>
      </c>
      <c r="D2115" s="2" t="s">
        <v>449</v>
      </c>
      <c r="E2115" s="382" t="s">
        <v>19</v>
      </c>
      <c r="F2115" s="369" t="s">
        <v>14</v>
      </c>
      <c r="G2115" s="369" t="s">
        <v>34</v>
      </c>
      <c r="H2115" s="370">
        <v>9.61</v>
      </c>
      <c r="I2115" s="376">
        <v>5.8</v>
      </c>
      <c r="J2115" s="19">
        <v>1</v>
      </c>
      <c r="K2115" s="13">
        <v>5.5737999999999996E-2</v>
      </c>
      <c r="L2115" s="7" t="s">
        <v>483</v>
      </c>
    </row>
    <row r="2116" spans="1:12">
      <c r="A2116" s="7"/>
      <c r="B2116" s="381" t="s">
        <v>473</v>
      </c>
      <c r="C2116" s="3" t="s">
        <v>232</v>
      </c>
      <c r="D2116" s="2" t="s">
        <v>449</v>
      </c>
      <c r="E2116" s="382" t="s">
        <v>19</v>
      </c>
      <c r="F2116" s="369" t="s">
        <v>14</v>
      </c>
      <c r="G2116" s="369" t="s">
        <v>34</v>
      </c>
      <c r="H2116" s="370">
        <v>9.61</v>
      </c>
      <c r="I2116" s="376">
        <v>6</v>
      </c>
      <c r="J2116" s="19">
        <v>1</v>
      </c>
      <c r="K2116" s="13">
        <v>5.7659999999999996E-2</v>
      </c>
      <c r="L2116" s="7" t="s">
        <v>483</v>
      </c>
    </row>
    <row r="2117" spans="1:12">
      <c r="A2117" s="7"/>
      <c r="B2117" s="381" t="s">
        <v>473</v>
      </c>
      <c r="C2117" s="3" t="s">
        <v>232</v>
      </c>
      <c r="D2117" s="2" t="s">
        <v>449</v>
      </c>
      <c r="E2117" s="382" t="s">
        <v>19</v>
      </c>
      <c r="F2117" s="369" t="s">
        <v>14</v>
      </c>
      <c r="G2117" s="369" t="s">
        <v>34</v>
      </c>
      <c r="H2117" s="370">
        <v>9.61</v>
      </c>
      <c r="I2117" s="376">
        <v>5.2</v>
      </c>
      <c r="J2117" s="19">
        <v>1</v>
      </c>
      <c r="K2117" s="13">
        <v>4.9972000000000003E-2</v>
      </c>
      <c r="L2117" s="7" t="s">
        <v>483</v>
      </c>
    </row>
    <row r="2118" spans="1:12">
      <c r="A2118" s="7"/>
      <c r="B2118" s="381" t="s">
        <v>473</v>
      </c>
      <c r="C2118" s="3" t="s">
        <v>232</v>
      </c>
      <c r="D2118" s="2" t="s">
        <v>449</v>
      </c>
      <c r="E2118" s="382" t="s">
        <v>19</v>
      </c>
      <c r="F2118" s="369" t="s">
        <v>14</v>
      </c>
      <c r="G2118" s="369" t="s">
        <v>34</v>
      </c>
      <c r="H2118" s="370">
        <v>9.61</v>
      </c>
      <c r="I2118" s="376">
        <v>5.7</v>
      </c>
      <c r="J2118" s="19">
        <v>2</v>
      </c>
      <c r="K2118" s="13">
        <v>0.109554</v>
      </c>
      <c r="L2118" s="7" t="s">
        <v>483</v>
      </c>
    </row>
    <row r="2119" spans="1:12">
      <c r="A2119" s="7"/>
      <c r="B2119" s="381" t="s">
        <v>473</v>
      </c>
      <c r="C2119" s="3" t="s">
        <v>232</v>
      </c>
      <c r="D2119" s="2" t="s">
        <v>449</v>
      </c>
      <c r="E2119" s="382" t="s">
        <v>19</v>
      </c>
      <c r="F2119" s="369" t="s">
        <v>14</v>
      </c>
      <c r="G2119" s="369" t="s">
        <v>34</v>
      </c>
      <c r="H2119" s="370">
        <v>9.61</v>
      </c>
      <c r="I2119" s="376">
        <v>4.2</v>
      </c>
      <c r="J2119" s="19">
        <v>1</v>
      </c>
      <c r="K2119" s="13">
        <v>4.0362000000000002E-2</v>
      </c>
      <c r="L2119" s="7" t="s">
        <v>483</v>
      </c>
    </row>
    <row r="2120" spans="1:12">
      <c r="A2120" s="7"/>
      <c r="B2120" s="381" t="s">
        <v>473</v>
      </c>
      <c r="C2120" s="3" t="s">
        <v>232</v>
      </c>
      <c r="D2120" s="2" t="s">
        <v>449</v>
      </c>
      <c r="E2120" s="382" t="s">
        <v>19</v>
      </c>
      <c r="F2120" s="369" t="s">
        <v>14</v>
      </c>
      <c r="G2120" s="369" t="s">
        <v>34</v>
      </c>
      <c r="H2120" s="370">
        <v>9.61</v>
      </c>
      <c r="I2120" s="376">
        <v>6.15</v>
      </c>
      <c r="J2120" s="19">
        <v>0</v>
      </c>
      <c r="K2120" s="13">
        <v>0</v>
      </c>
      <c r="L2120" s="7" t="s">
        <v>483</v>
      </c>
    </row>
    <row r="2121" spans="1:12">
      <c r="A2121" s="7"/>
      <c r="B2121" s="381" t="s">
        <v>473</v>
      </c>
      <c r="C2121" s="3" t="s">
        <v>232</v>
      </c>
      <c r="D2121" s="2" t="s">
        <v>449</v>
      </c>
      <c r="E2121" s="382" t="s">
        <v>19</v>
      </c>
      <c r="F2121" s="369" t="s">
        <v>14</v>
      </c>
      <c r="G2121" s="369" t="s">
        <v>34</v>
      </c>
      <c r="H2121" s="370">
        <v>9.61</v>
      </c>
      <c r="I2121" s="376">
        <v>6.8</v>
      </c>
      <c r="J2121" s="19">
        <v>0</v>
      </c>
      <c r="K2121" s="13">
        <v>0</v>
      </c>
      <c r="L2121" s="7" t="s">
        <v>483</v>
      </c>
    </row>
    <row r="2122" spans="1:12">
      <c r="A2122" s="7"/>
      <c r="B2122" s="381" t="s">
        <v>473</v>
      </c>
      <c r="C2122" s="3" t="s">
        <v>232</v>
      </c>
      <c r="D2122" s="2" t="s">
        <v>449</v>
      </c>
      <c r="E2122" s="382" t="s">
        <v>19</v>
      </c>
      <c r="F2122" s="369" t="s">
        <v>14</v>
      </c>
      <c r="G2122" s="369" t="s">
        <v>34</v>
      </c>
      <c r="H2122" s="370">
        <v>9.61</v>
      </c>
      <c r="I2122" s="376">
        <v>6.15</v>
      </c>
      <c r="J2122" s="19">
        <v>0</v>
      </c>
      <c r="K2122" s="13">
        <v>0</v>
      </c>
      <c r="L2122" s="7" t="s">
        <v>483</v>
      </c>
    </row>
    <row r="2123" spans="1:12">
      <c r="A2123" s="7"/>
      <c r="B2123" s="381" t="s">
        <v>473</v>
      </c>
      <c r="C2123" s="3" t="s">
        <v>232</v>
      </c>
      <c r="D2123" s="2" t="s">
        <v>449</v>
      </c>
      <c r="E2123" s="382" t="s">
        <v>19</v>
      </c>
      <c r="F2123" s="369" t="s">
        <v>14</v>
      </c>
      <c r="G2123" s="369" t="s">
        <v>34</v>
      </c>
      <c r="H2123" s="370">
        <v>9.61</v>
      </c>
      <c r="I2123" s="376">
        <v>6.15</v>
      </c>
      <c r="J2123" s="19">
        <v>0</v>
      </c>
      <c r="K2123" s="13">
        <v>0</v>
      </c>
      <c r="L2123" s="7" t="s">
        <v>483</v>
      </c>
    </row>
    <row r="2124" spans="1:12">
      <c r="A2124" s="7"/>
      <c r="B2124" s="381" t="s">
        <v>473</v>
      </c>
      <c r="C2124" s="3" t="s">
        <v>232</v>
      </c>
      <c r="D2124" s="2" t="s">
        <v>449</v>
      </c>
      <c r="E2124" s="382" t="s">
        <v>19</v>
      </c>
      <c r="F2124" s="369" t="s">
        <v>14</v>
      </c>
      <c r="G2124" s="369" t="s">
        <v>34</v>
      </c>
      <c r="H2124" s="370">
        <v>9.61</v>
      </c>
      <c r="I2124" s="376">
        <v>6.15</v>
      </c>
      <c r="J2124" s="19">
        <v>0</v>
      </c>
      <c r="K2124" s="13">
        <v>0</v>
      </c>
      <c r="L2124" s="7" t="s">
        <v>483</v>
      </c>
    </row>
    <row r="2125" spans="1:12">
      <c r="A2125" s="7"/>
      <c r="B2125" s="381" t="s">
        <v>473</v>
      </c>
      <c r="C2125" s="3" t="s">
        <v>232</v>
      </c>
      <c r="D2125" s="2" t="s">
        <v>449</v>
      </c>
      <c r="E2125" s="382" t="s">
        <v>19</v>
      </c>
      <c r="F2125" s="369" t="s">
        <v>14</v>
      </c>
      <c r="G2125" s="369" t="s">
        <v>34</v>
      </c>
      <c r="H2125" s="370">
        <v>9.61</v>
      </c>
      <c r="I2125" s="376">
        <v>6.8</v>
      </c>
      <c r="J2125" s="19">
        <v>0</v>
      </c>
      <c r="K2125" s="13">
        <v>0</v>
      </c>
      <c r="L2125" s="7" t="s">
        <v>483</v>
      </c>
    </row>
    <row r="2126" spans="1:12">
      <c r="A2126" s="7"/>
      <c r="B2126" s="381" t="s">
        <v>473</v>
      </c>
      <c r="C2126" s="3" t="s">
        <v>232</v>
      </c>
      <c r="D2126" s="2" t="s">
        <v>449</v>
      </c>
      <c r="E2126" s="382" t="s">
        <v>19</v>
      </c>
      <c r="F2126" s="369" t="s">
        <v>14</v>
      </c>
      <c r="G2126" s="369" t="s">
        <v>34</v>
      </c>
      <c r="H2126" s="370">
        <v>9.61</v>
      </c>
      <c r="I2126" s="376">
        <v>6.8</v>
      </c>
      <c r="J2126" s="19">
        <v>0</v>
      </c>
      <c r="K2126" s="13">
        <v>0</v>
      </c>
      <c r="L2126" s="7" t="s">
        <v>483</v>
      </c>
    </row>
    <row r="2127" spans="1:12">
      <c r="A2127" s="7"/>
      <c r="B2127" s="381" t="s">
        <v>473</v>
      </c>
      <c r="C2127" s="3" t="s">
        <v>232</v>
      </c>
      <c r="D2127" s="2" t="s">
        <v>449</v>
      </c>
      <c r="E2127" s="382" t="s">
        <v>19</v>
      </c>
      <c r="F2127" s="369" t="s">
        <v>14</v>
      </c>
      <c r="G2127" s="369" t="s">
        <v>34</v>
      </c>
      <c r="H2127" s="370">
        <v>9.61</v>
      </c>
      <c r="I2127" s="376">
        <v>6.8</v>
      </c>
      <c r="J2127" s="19">
        <v>0</v>
      </c>
      <c r="K2127" s="13">
        <v>0</v>
      </c>
      <c r="L2127" s="7" t="s">
        <v>483</v>
      </c>
    </row>
    <row r="2128" spans="1:12">
      <c r="A2128" s="7"/>
      <c r="B2128" s="381" t="s">
        <v>473</v>
      </c>
      <c r="C2128" s="3" t="s">
        <v>232</v>
      </c>
      <c r="D2128" s="2" t="s">
        <v>449</v>
      </c>
      <c r="E2128" s="382" t="s">
        <v>19</v>
      </c>
      <c r="F2128" s="369" t="s">
        <v>14</v>
      </c>
      <c r="G2128" s="369" t="s">
        <v>34</v>
      </c>
      <c r="H2128" s="370">
        <v>9.61</v>
      </c>
      <c r="I2128" s="376">
        <v>6.8</v>
      </c>
      <c r="J2128" s="19">
        <v>0</v>
      </c>
      <c r="K2128" s="13">
        <v>0</v>
      </c>
      <c r="L2128" s="7" t="s">
        <v>483</v>
      </c>
    </row>
    <row r="2129" spans="1:12">
      <c r="A2129" s="7"/>
      <c r="B2129" s="381" t="s">
        <v>473</v>
      </c>
      <c r="C2129" s="3" t="s">
        <v>232</v>
      </c>
      <c r="D2129" s="2" t="s">
        <v>449</v>
      </c>
      <c r="E2129" s="382" t="s">
        <v>19</v>
      </c>
      <c r="F2129" s="369" t="s">
        <v>14</v>
      </c>
      <c r="G2129" s="369" t="s">
        <v>34</v>
      </c>
      <c r="H2129" s="370">
        <v>9.61</v>
      </c>
      <c r="I2129" s="376">
        <v>6.8</v>
      </c>
      <c r="J2129" s="19">
        <v>0</v>
      </c>
      <c r="K2129" s="13">
        <v>0</v>
      </c>
      <c r="L2129" s="7" t="s">
        <v>483</v>
      </c>
    </row>
    <row r="2130" spans="1:12">
      <c r="A2130" s="7"/>
      <c r="B2130" s="381" t="s">
        <v>473</v>
      </c>
      <c r="C2130" s="3" t="s">
        <v>232</v>
      </c>
      <c r="D2130" s="2" t="s">
        <v>449</v>
      </c>
      <c r="E2130" s="382" t="s">
        <v>19</v>
      </c>
      <c r="F2130" s="369" t="s">
        <v>14</v>
      </c>
      <c r="G2130" s="369" t="s">
        <v>34</v>
      </c>
      <c r="H2130" s="370">
        <v>9.61</v>
      </c>
      <c r="I2130" s="376">
        <v>6.15</v>
      </c>
      <c r="J2130" s="19">
        <v>0</v>
      </c>
      <c r="K2130" s="13">
        <v>0</v>
      </c>
      <c r="L2130" s="7" t="s">
        <v>483</v>
      </c>
    </row>
    <row r="2131" spans="1:12">
      <c r="A2131" s="7"/>
      <c r="B2131" s="381" t="s">
        <v>473</v>
      </c>
      <c r="C2131" s="3" t="s">
        <v>232</v>
      </c>
      <c r="D2131" s="2" t="s">
        <v>449</v>
      </c>
      <c r="E2131" s="382" t="s">
        <v>19</v>
      </c>
      <c r="F2131" s="369" t="s">
        <v>14</v>
      </c>
      <c r="G2131" s="369" t="s">
        <v>34</v>
      </c>
      <c r="H2131" s="370">
        <v>9.61</v>
      </c>
      <c r="I2131" s="376">
        <v>6.15</v>
      </c>
      <c r="J2131" s="19">
        <v>0</v>
      </c>
      <c r="K2131" s="13">
        <v>0</v>
      </c>
      <c r="L2131" s="7" t="s">
        <v>483</v>
      </c>
    </row>
    <row r="2132" spans="1:12">
      <c r="A2132" s="7"/>
      <c r="B2132" s="381" t="s">
        <v>473</v>
      </c>
      <c r="C2132" s="3" t="s">
        <v>232</v>
      </c>
      <c r="D2132" s="2" t="s">
        <v>449</v>
      </c>
      <c r="E2132" s="382" t="s">
        <v>19</v>
      </c>
      <c r="F2132" s="369" t="s">
        <v>14</v>
      </c>
      <c r="G2132" s="369" t="s">
        <v>34</v>
      </c>
      <c r="H2132" s="370">
        <v>9.61</v>
      </c>
      <c r="I2132" s="376">
        <v>6.8</v>
      </c>
      <c r="J2132" s="19">
        <v>0</v>
      </c>
      <c r="K2132" s="13">
        <v>0</v>
      </c>
      <c r="L2132" s="7" t="s">
        <v>483</v>
      </c>
    </row>
    <row r="2133" spans="1:12">
      <c r="A2133" s="7"/>
      <c r="B2133" s="381" t="s">
        <v>473</v>
      </c>
      <c r="C2133" s="3" t="s">
        <v>232</v>
      </c>
      <c r="D2133" s="2" t="s">
        <v>449</v>
      </c>
      <c r="E2133" s="382" t="s">
        <v>19</v>
      </c>
      <c r="F2133" s="369" t="s">
        <v>14</v>
      </c>
      <c r="G2133" s="369" t="s">
        <v>34</v>
      </c>
      <c r="H2133" s="370">
        <v>9.61</v>
      </c>
      <c r="I2133" s="376">
        <v>6.15</v>
      </c>
      <c r="J2133" s="19">
        <v>0</v>
      </c>
      <c r="K2133" s="13">
        <v>0</v>
      </c>
      <c r="L2133" s="7" t="s">
        <v>483</v>
      </c>
    </row>
    <row r="2134" spans="1:12">
      <c r="A2134" s="7"/>
      <c r="B2134" s="381" t="s">
        <v>473</v>
      </c>
      <c r="C2134" s="3" t="s">
        <v>232</v>
      </c>
      <c r="D2134" s="2" t="s">
        <v>449</v>
      </c>
      <c r="E2134" s="382" t="s">
        <v>19</v>
      </c>
      <c r="F2134" s="369" t="s">
        <v>14</v>
      </c>
      <c r="G2134" s="369" t="s">
        <v>34</v>
      </c>
      <c r="H2134" s="370">
        <v>9.61</v>
      </c>
      <c r="I2134" s="376">
        <v>6.15</v>
      </c>
      <c r="J2134" s="19">
        <v>0</v>
      </c>
      <c r="K2134" s="13">
        <v>0</v>
      </c>
      <c r="L2134" s="7" t="s">
        <v>483</v>
      </c>
    </row>
    <row r="2135" spans="1:12">
      <c r="A2135" s="7"/>
      <c r="B2135" s="381" t="s">
        <v>473</v>
      </c>
      <c r="C2135" s="3" t="s">
        <v>232</v>
      </c>
      <c r="D2135" s="2" t="s">
        <v>449</v>
      </c>
      <c r="E2135" s="382" t="s">
        <v>19</v>
      </c>
      <c r="F2135" s="369" t="s">
        <v>14</v>
      </c>
      <c r="G2135" s="369" t="s">
        <v>34</v>
      </c>
      <c r="H2135" s="370">
        <v>9.61</v>
      </c>
      <c r="I2135" s="376">
        <v>6.15</v>
      </c>
      <c r="J2135" s="19">
        <v>0</v>
      </c>
      <c r="K2135" s="13">
        <v>0</v>
      </c>
      <c r="L2135" s="7" t="s">
        <v>483</v>
      </c>
    </row>
    <row r="2136" spans="1:12">
      <c r="A2136" s="7"/>
      <c r="B2136" s="381" t="s">
        <v>473</v>
      </c>
      <c r="C2136" s="3" t="s">
        <v>232</v>
      </c>
      <c r="D2136" s="2" t="s">
        <v>449</v>
      </c>
      <c r="E2136" s="382" t="s">
        <v>19</v>
      </c>
      <c r="F2136" s="369" t="s">
        <v>14</v>
      </c>
      <c r="G2136" s="369" t="s">
        <v>34</v>
      </c>
      <c r="H2136" s="370">
        <v>9.61</v>
      </c>
      <c r="I2136" s="376">
        <v>6.8</v>
      </c>
      <c r="J2136" s="19">
        <v>0</v>
      </c>
      <c r="K2136" s="13">
        <v>0</v>
      </c>
      <c r="L2136" s="7" t="s">
        <v>483</v>
      </c>
    </row>
    <row r="2137" spans="1:12">
      <c r="A2137" s="7"/>
      <c r="B2137" s="381" t="s">
        <v>473</v>
      </c>
      <c r="C2137" s="3" t="s">
        <v>232</v>
      </c>
      <c r="D2137" s="2" t="s">
        <v>449</v>
      </c>
      <c r="E2137" s="382" t="s">
        <v>19</v>
      </c>
      <c r="F2137" s="369" t="s">
        <v>14</v>
      </c>
      <c r="G2137" s="369" t="s">
        <v>34</v>
      </c>
      <c r="H2137" s="370">
        <v>9.61</v>
      </c>
      <c r="I2137" s="376">
        <v>6.8</v>
      </c>
      <c r="J2137" s="19">
        <v>0</v>
      </c>
      <c r="K2137" s="13">
        <v>0</v>
      </c>
      <c r="L2137" s="7" t="s">
        <v>483</v>
      </c>
    </row>
    <row r="2138" spans="1:12">
      <c r="A2138" s="7"/>
      <c r="B2138" s="381" t="s">
        <v>473</v>
      </c>
      <c r="C2138" s="3" t="s">
        <v>232</v>
      </c>
      <c r="D2138" s="2" t="s">
        <v>449</v>
      </c>
      <c r="E2138" s="382" t="s">
        <v>19</v>
      </c>
      <c r="F2138" s="369" t="s">
        <v>14</v>
      </c>
      <c r="G2138" s="369" t="s">
        <v>34</v>
      </c>
      <c r="H2138" s="370">
        <v>9.61</v>
      </c>
      <c r="I2138" s="376">
        <v>6.8</v>
      </c>
      <c r="J2138" s="19">
        <v>0</v>
      </c>
      <c r="K2138" s="13">
        <v>0</v>
      </c>
      <c r="L2138" s="7" t="s">
        <v>483</v>
      </c>
    </row>
    <row r="2139" spans="1:12">
      <c r="A2139" s="7"/>
      <c r="B2139" s="381" t="s">
        <v>473</v>
      </c>
      <c r="C2139" s="3" t="s">
        <v>232</v>
      </c>
      <c r="D2139" s="2" t="s">
        <v>449</v>
      </c>
      <c r="E2139" s="382" t="s">
        <v>19</v>
      </c>
      <c r="F2139" s="369" t="s">
        <v>14</v>
      </c>
      <c r="G2139" s="369" t="s">
        <v>34</v>
      </c>
      <c r="H2139" s="370">
        <v>9.61</v>
      </c>
      <c r="I2139" s="376">
        <v>6.8</v>
      </c>
      <c r="J2139" s="19">
        <v>0</v>
      </c>
      <c r="K2139" s="13">
        <v>0</v>
      </c>
      <c r="L2139" s="7" t="s">
        <v>483</v>
      </c>
    </row>
    <row r="2140" spans="1:12">
      <c r="A2140" s="7"/>
      <c r="B2140" s="381" t="s">
        <v>473</v>
      </c>
      <c r="C2140" s="3" t="s">
        <v>232</v>
      </c>
      <c r="D2140" s="2" t="s">
        <v>449</v>
      </c>
      <c r="E2140" s="382" t="s">
        <v>19</v>
      </c>
      <c r="F2140" s="369" t="s">
        <v>14</v>
      </c>
      <c r="G2140" s="369" t="s">
        <v>34</v>
      </c>
      <c r="H2140" s="370">
        <v>9.61</v>
      </c>
      <c r="I2140" s="376">
        <v>6.8</v>
      </c>
      <c r="J2140" s="19">
        <v>0</v>
      </c>
      <c r="K2140" s="13">
        <v>0</v>
      </c>
      <c r="L2140" s="7" t="s">
        <v>483</v>
      </c>
    </row>
    <row r="2141" spans="1:12">
      <c r="A2141" s="7"/>
      <c r="B2141" s="381" t="s">
        <v>473</v>
      </c>
      <c r="C2141" s="3" t="s">
        <v>232</v>
      </c>
      <c r="D2141" s="2" t="s">
        <v>449</v>
      </c>
      <c r="E2141" s="382" t="s">
        <v>19</v>
      </c>
      <c r="F2141" s="369" t="s">
        <v>14</v>
      </c>
      <c r="G2141" s="369" t="s">
        <v>32</v>
      </c>
      <c r="H2141" s="370">
        <v>8.32</v>
      </c>
      <c r="I2141" s="376">
        <v>10.199999999999999</v>
      </c>
      <c r="J2141" s="19">
        <v>0</v>
      </c>
      <c r="K2141" s="13">
        <v>0</v>
      </c>
      <c r="L2141" s="7" t="s">
        <v>483</v>
      </c>
    </row>
    <row r="2142" spans="1:12">
      <c r="A2142" s="7"/>
      <c r="B2142" s="381" t="s">
        <v>473</v>
      </c>
      <c r="C2142" s="3" t="s">
        <v>232</v>
      </c>
      <c r="D2142" s="2" t="s">
        <v>449</v>
      </c>
      <c r="E2142" s="382" t="s">
        <v>19</v>
      </c>
      <c r="F2142" s="369" t="s">
        <v>14</v>
      </c>
      <c r="G2142" s="369" t="s">
        <v>32</v>
      </c>
      <c r="H2142" s="370">
        <v>8.32</v>
      </c>
      <c r="I2142" s="376">
        <v>10.199999999999999</v>
      </c>
      <c r="J2142" s="19">
        <v>0</v>
      </c>
      <c r="K2142" s="13">
        <v>0</v>
      </c>
      <c r="L2142" s="7" t="s">
        <v>483</v>
      </c>
    </row>
    <row r="2143" spans="1:12">
      <c r="A2143" s="7"/>
      <c r="B2143" s="381" t="s">
        <v>473</v>
      </c>
      <c r="C2143" s="3" t="s">
        <v>232</v>
      </c>
      <c r="D2143" s="2" t="s">
        <v>449</v>
      </c>
      <c r="E2143" s="382" t="s">
        <v>19</v>
      </c>
      <c r="F2143" s="369" t="s">
        <v>14</v>
      </c>
      <c r="G2143" s="369" t="s">
        <v>32</v>
      </c>
      <c r="H2143" s="370">
        <v>8.32</v>
      </c>
      <c r="I2143" s="376">
        <v>10.199999999999999</v>
      </c>
      <c r="J2143" s="19">
        <v>0</v>
      </c>
      <c r="K2143" s="13">
        <v>0</v>
      </c>
      <c r="L2143" s="7" t="s">
        <v>483</v>
      </c>
    </row>
    <row r="2144" spans="1:12">
      <c r="A2144" s="7"/>
      <c r="B2144" s="381" t="s">
        <v>473</v>
      </c>
      <c r="C2144" s="3" t="s">
        <v>232</v>
      </c>
      <c r="D2144" s="2" t="s">
        <v>449</v>
      </c>
      <c r="E2144" s="382" t="s">
        <v>19</v>
      </c>
      <c r="F2144" s="369" t="s">
        <v>14</v>
      </c>
      <c r="G2144" s="369" t="s">
        <v>32</v>
      </c>
      <c r="H2144" s="370">
        <v>8.32</v>
      </c>
      <c r="I2144" s="376">
        <v>10.199999999999999</v>
      </c>
      <c r="J2144" s="19">
        <v>0</v>
      </c>
      <c r="K2144" s="13">
        <v>0</v>
      </c>
      <c r="L2144" s="7" t="s">
        <v>483</v>
      </c>
    </row>
    <row r="2145" spans="1:12">
      <c r="A2145" s="7"/>
      <c r="B2145" s="381" t="s">
        <v>473</v>
      </c>
      <c r="C2145" s="3" t="s">
        <v>232</v>
      </c>
      <c r="D2145" s="2" t="s">
        <v>449</v>
      </c>
      <c r="E2145" s="382" t="s">
        <v>19</v>
      </c>
      <c r="F2145" s="369" t="s">
        <v>14</v>
      </c>
      <c r="G2145" s="369" t="s">
        <v>32</v>
      </c>
      <c r="H2145" s="370">
        <v>8.32</v>
      </c>
      <c r="I2145" s="376">
        <v>10.199999999999999</v>
      </c>
      <c r="J2145" s="19">
        <v>0</v>
      </c>
      <c r="K2145" s="13">
        <v>0</v>
      </c>
      <c r="L2145" s="7" t="s">
        <v>483</v>
      </c>
    </row>
    <row r="2146" spans="1:12">
      <c r="A2146" s="7"/>
      <c r="B2146" s="381" t="s">
        <v>473</v>
      </c>
      <c r="C2146" s="3" t="s">
        <v>232</v>
      </c>
      <c r="D2146" s="2" t="s">
        <v>449</v>
      </c>
      <c r="E2146" s="382" t="s">
        <v>19</v>
      </c>
      <c r="F2146" s="369" t="s">
        <v>14</v>
      </c>
      <c r="G2146" s="369" t="s">
        <v>32</v>
      </c>
      <c r="H2146" s="370">
        <v>8.32</v>
      </c>
      <c r="I2146" s="376">
        <v>10.199999999999999</v>
      </c>
      <c r="J2146" s="19">
        <v>0</v>
      </c>
      <c r="K2146" s="13">
        <v>0</v>
      </c>
      <c r="L2146" s="7" t="s">
        <v>483</v>
      </c>
    </row>
    <row r="2147" spans="1:12">
      <c r="A2147" s="7"/>
      <c r="B2147" s="381" t="s">
        <v>473</v>
      </c>
      <c r="C2147" s="3" t="s">
        <v>232</v>
      </c>
      <c r="D2147" s="2" t="s">
        <v>449</v>
      </c>
      <c r="E2147" s="382" t="s">
        <v>19</v>
      </c>
      <c r="F2147" s="369" t="s">
        <v>14</v>
      </c>
      <c r="G2147" s="369" t="s">
        <v>32</v>
      </c>
      <c r="H2147" s="370">
        <v>8.32</v>
      </c>
      <c r="I2147" s="376">
        <v>10.199999999999999</v>
      </c>
      <c r="J2147" s="19">
        <v>0</v>
      </c>
      <c r="K2147" s="13">
        <v>0</v>
      </c>
      <c r="L2147" s="7" t="s">
        <v>483</v>
      </c>
    </row>
    <row r="2148" spans="1:12">
      <c r="A2148" s="7"/>
      <c r="B2148" s="381" t="s">
        <v>473</v>
      </c>
      <c r="C2148" s="3" t="s">
        <v>232</v>
      </c>
      <c r="D2148" s="2" t="s">
        <v>449</v>
      </c>
      <c r="E2148" s="382" t="s">
        <v>19</v>
      </c>
      <c r="F2148" s="369" t="s">
        <v>14</v>
      </c>
      <c r="G2148" s="369" t="s">
        <v>32</v>
      </c>
      <c r="H2148" s="370">
        <v>8.32</v>
      </c>
      <c r="I2148" s="376">
        <v>9.6999999999999993</v>
      </c>
      <c r="J2148" s="19">
        <v>3</v>
      </c>
      <c r="K2148" s="13">
        <v>0.24211199999999999</v>
      </c>
      <c r="L2148" s="7" t="s">
        <v>483</v>
      </c>
    </row>
    <row r="2149" spans="1:12">
      <c r="A2149" s="7"/>
      <c r="B2149" s="381" t="s">
        <v>473</v>
      </c>
      <c r="C2149" s="3" t="s">
        <v>232</v>
      </c>
      <c r="D2149" s="2" t="s">
        <v>449</v>
      </c>
      <c r="E2149" s="382" t="s">
        <v>19</v>
      </c>
      <c r="F2149" s="369" t="s">
        <v>14</v>
      </c>
      <c r="G2149" s="369" t="s">
        <v>32</v>
      </c>
      <c r="H2149" s="370">
        <v>8.32</v>
      </c>
      <c r="I2149" s="376">
        <v>9.3000000000000007</v>
      </c>
      <c r="J2149" s="19">
        <v>1</v>
      </c>
      <c r="K2149" s="13">
        <v>7.7376E-2</v>
      </c>
      <c r="L2149" s="7" t="s">
        <v>483</v>
      </c>
    </row>
    <row r="2150" spans="1:12">
      <c r="A2150" s="7"/>
      <c r="B2150" s="381" t="s">
        <v>473</v>
      </c>
      <c r="C2150" s="3" t="s">
        <v>232</v>
      </c>
      <c r="D2150" s="2" t="s">
        <v>449</v>
      </c>
      <c r="E2150" s="382" t="s">
        <v>19</v>
      </c>
      <c r="F2150" s="369" t="s">
        <v>14</v>
      </c>
      <c r="G2150" s="369" t="s">
        <v>32</v>
      </c>
      <c r="H2150" s="370">
        <v>8.32</v>
      </c>
      <c r="I2150" s="376">
        <v>8.5</v>
      </c>
      <c r="J2150" s="19">
        <v>2</v>
      </c>
      <c r="K2150" s="13">
        <v>0.14144000000000001</v>
      </c>
      <c r="L2150" s="7" t="s">
        <v>483</v>
      </c>
    </row>
    <row r="2151" spans="1:12">
      <c r="A2151" s="7"/>
      <c r="B2151" s="381" t="s">
        <v>473</v>
      </c>
      <c r="C2151" s="3" t="s">
        <v>232</v>
      </c>
      <c r="D2151" s="2" t="s">
        <v>449</v>
      </c>
      <c r="E2151" s="382" t="s">
        <v>19</v>
      </c>
      <c r="F2151" s="369" t="s">
        <v>14</v>
      </c>
      <c r="G2151" s="369" t="s">
        <v>32</v>
      </c>
      <c r="H2151" s="370">
        <v>8.32</v>
      </c>
      <c r="I2151" s="376">
        <v>8</v>
      </c>
      <c r="J2151" s="19">
        <v>1</v>
      </c>
      <c r="K2151" s="13">
        <v>6.6560000000000008E-2</v>
      </c>
      <c r="L2151" s="7" t="s">
        <v>483</v>
      </c>
    </row>
    <row r="2152" spans="1:12">
      <c r="A2152" s="7"/>
      <c r="B2152" s="381" t="s">
        <v>473</v>
      </c>
      <c r="C2152" s="3" t="s">
        <v>232</v>
      </c>
      <c r="D2152" s="2" t="s">
        <v>449</v>
      </c>
      <c r="E2152" s="382" t="s">
        <v>19</v>
      </c>
      <c r="F2152" s="369" t="s">
        <v>14</v>
      </c>
      <c r="G2152" s="369" t="s">
        <v>32</v>
      </c>
      <c r="H2152" s="370">
        <v>8.32</v>
      </c>
      <c r="I2152" s="376">
        <v>10</v>
      </c>
      <c r="J2152" s="19">
        <v>0</v>
      </c>
      <c r="K2152" s="13">
        <v>0</v>
      </c>
      <c r="L2152" s="7" t="s">
        <v>483</v>
      </c>
    </row>
    <row r="2153" spans="1:12">
      <c r="A2153" s="7"/>
      <c r="B2153" s="381" t="s">
        <v>473</v>
      </c>
      <c r="C2153" s="3" t="s">
        <v>232</v>
      </c>
      <c r="D2153" s="2" t="s">
        <v>449</v>
      </c>
      <c r="E2153" s="382" t="s">
        <v>19</v>
      </c>
      <c r="F2153" s="369" t="s">
        <v>14</v>
      </c>
      <c r="G2153" s="369" t="s">
        <v>32</v>
      </c>
      <c r="H2153" s="370">
        <v>8.32</v>
      </c>
      <c r="I2153" s="376">
        <v>10.199999999999999</v>
      </c>
      <c r="J2153" s="19">
        <v>0</v>
      </c>
      <c r="K2153" s="13">
        <v>0</v>
      </c>
      <c r="L2153" s="7" t="s">
        <v>483</v>
      </c>
    </row>
    <row r="2154" spans="1:12">
      <c r="A2154" s="7"/>
      <c r="B2154" s="381" t="s">
        <v>473</v>
      </c>
      <c r="C2154" s="3" t="s">
        <v>232</v>
      </c>
      <c r="D2154" s="2" t="s">
        <v>449</v>
      </c>
      <c r="E2154" s="382" t="s">
        <v>19</v>
      </c>
      <c r="F2154" s="369" t="s">
        <v>14</v>
      </c>
      <c r="G2154" s="369" t="s">
        <v>32</v>
      </c>
      <c r="H2154" s="370">
        <v>8.32</v>
      </c>
      <c r="I2154" s="376">
        <v>11.35</v>
      </c>
      <c r="J2154" s="19">
        <v>0</v>
      </c>
      <c r="K2154" s="13">
        <v>0</v>
      </c>
      <c r="L2154" s="7" t="s">
        <v>483</v>
      </c>
    </row>
    <row r="2155" spans="1:12">
      <c r="A2155" s="7"/>
      <c r="B2155" s="381" t="s">
        <v>473</v>
      </c>
      <c r="C2155" s="3" t="s">
        <v>232</v>
      </c>
      <c r="D2155" s="2" t="s">
        <v>449</v>
      </c>
      <c r="E2155" s="382" t="s">
        <v>19</v>
      </c>
      <c r="F2155" s="369" t="s">
        <v>14</v>
      </c>
      <c r="G2155" s="369" t="s">
        <v>32</v>
      </c>
      <c r="H2155" s="370">
        <v>8.32</v>
      </c>
      <c r="I2155" s="376">
        <v>10.199999999999999</v>
      </c>
      <c r="J2155" s="19">
        <v>0</v>
      </c>
      <c r="K2155" s="13">
        <v>0</v>
      </c>
      <c r="L2155" s="7" t="s">
        <v>483</v>
      </c>
    </row>
    <row r="2156" spans="1:12">
      <c r="A2156" s="7"/>
      <c r="B2156" s="381" t="s">
        <v>473</v>
      </c>
      <c r="C2156" s="3" t="s">
        <v>232</v>
      </c>
      <c r="D2156" s="2" t="s">
        <v>449</v>
      </c>
      <c r="E2156" s="382" t="s">
        <v>19</v>
      </c>
      <c r="F2156" s="369" t="s">
        <v>14</v>
      </c>
      <c r="G2156" s="369" t="s">
        <v>32</v>
      </c>
      <c r="H2156" s="370">
        <v>8.32</v>
      </c>
      <c r="I2156" s="376">
        <v>10.199999999999999</v>
      </c>
      <c r="J2156" s="19">
        <v>0</v>
      </c>
      <c r="K2156" s="13">
        <v>0</v>
      </c>
      <c r="L2156" s="7" t="s">
        <v>483</v>
      </c>
    </row>
    <row r="2157" spans="1:12">
      <c r="A2157" s="7"/>
      <c r="B2157" s="381" t="s">
        <v>473</v>
      </c>
      <c r="C2157" s="3" t="s">
        <v>232</v>
      </c>
      <c r="D2157" s="2" t="s">
        <v>449</v>
      </c>
      <c r="E2157" s="382" t="s">
        <v>19</v>
      </c>
      <c r="F2157" s="369" t="s">
        <v>14</v>
      </c>
      <c r="G2157" s="369" t="s">
        <v>32</v>
      </c>
      <c r="H2157" s="370">
        <v>8.32</v>
      </c>
      <c r="I2157" s="376">
        <v>10.199999999999999</v>
      </c>
      <c r="J2157" s="19">
        <v>0</v>
      </c>
      <c r="K2157" s="13">
        <v>0</v>
      </c>
      <c r="L2157" s="7" t="s">
        <v>483</v>
      </c>
    </row>
    <row r="2158" spans="1:12">
      <c r="A2158" s="7"/>
      <c r="B2158" s="381" t="s">
        <v>473</v>
      </c>
      <c r="C2158" s="3" t="s">
        <v>232</v>
      </c>
      <c r="D2158" s="2" t="s">
        <v>449</v>
      </c>
      <c r="E2158" s="382" t="s">
        <v>19</v>
      </c>
      <c r="F2158" s="369" t="s">
        <v>14</v>
      </c>
      <c r="G2158" s="369" t="s">
        <v>32</v>
      </c>
      <c r="H2158" s="370">
        <v>8.32</v>
      </c>
      <c r="I2158" s="376">
        <v>10.199999999999999</v>
      </c>
      <c r="J2158" s="19">
        <v>0</v>
      </c>
      <c r="K2158" s="13">
        <v>0</v>
      </c>
      <c r="L2158" s="7" t="s">
        <v>483</v>
      </c>
    </row>
    <row r="2159" spans="1:12">
      <c r="A2159" s="7"/>
      <c r="B2159" s="381" t="s">
        <v>473</v>
      </c>
      <c r="C2159" s="3" t="s">
        <v>232</v>
      </c>
      <c r="D2159" s="2" t="s">
        <v>449</v>
      </c>
      <c r="E2159" s="382" t="s">
        <v>19</v>
      </c>
      <c r="F2159" s="369" t="s">
        <v>14</v>
      </c>
      <c r="G2159" s="369" t="s">
        <v>32</v>
      </c>
      <c r="H2159" s="370">
        <v>8.32</v>
      </c>
      <c r="I2159" s="376">
        <v>10.199999999999999</v>
      </c>
      <c r="J2159" s="19">
        <v>0</v>
      </c>
      <c r="K2159" s="13">
        <v>0</v>
      </c>
      <c r="L2159" s="7" t="s">
        <v>483</v>
      </c>
    </row>
    <row r="2160" spans="1:12">
      <c r="A2160" s="7"/>
      <c r="B2160" s="381" t="s">
        <v>473</v>
      </c>
      <c r="C2160" s="3" t="s">
        <v>232</v>
      </c>
      <c r="D2160" s="2" t="s">
        <v>449</v>
      </c>
      <c r="E2160" s="382" t="s">
        <v>19</v>
      </c>
      <c r="F2160" s="369" t="s">
        <v>14</v>
      </c>
      <c r="G2160" s="369" t="s">
        <v>32</v>
      </c>
      <c r="H2160" s="370">
        <v>8.32</v>
      </c>
      <c r="I2160" s="376">
        <v>10.199999999999999</v>
      </c>
      <c r="J2160" s="19">
        <v>0</v>
      </c>
      <c r="K2160" s="13">
        <v>0</v>
      </c>
      <c r="L2160" s="7" t="s">
        <v>483</v>
      </c>
    </row>
    <row r="2161" spans="1:12">
      <c r="A2161" s="7"/>
      <c r="B2161" s="381" t="s">
        <v>473</v>
      </c>
      <c r="C2161" s="3" t="s">
        <v>232</v>
      </c>
      <c r="D2161" s="2" t="s">
        <v>449</v>
      </c>
      <c r="E2161" s="382" t="s">
        <v>19</v>
      </c>
      <c r="F2161" s="369" t="s">
        <v>14</v>
      </c>
      <c r="G2161" s="369" t="s">
        <v>32</v>
      </c>
      <c r="H2161" s="370">
        <v>8.32</v>
      </c>
      <c r="I2161" s="376">
        <v>10.199999999999999</v>
      </c>
      <c r="J2161" s="19">
        <v>0</v>
      </c>
      <c r="K2161" s="13">
        <v>0</v>
      </c>
      <c r="L2161" s="7" t="s">
        <v>483</v>
      </c>
    </row>
    <row r="2162" spans="1:12">
      <c r="A2162" s="7"/>
      <c r="B2162" s="381" t="s">
        <v>473</v>
      </c>
      <c r="C2162" s="3" t="s">
        <v>232</v>
      </c>
      <c r="D2162" s="2" t="s">
        <v>449</v>
      </c>
      <c r="E2162" s="382" t="s">
        <v>19</v>
      </c>
      <c r="F2162" s="369" t="s">
        <v>14</v>
      </c>
      <c r="G2162" s="369" t="s">
        <v>32</v>
      </c>
      <c r="H2162" s="370">
        <v>8.32</v>
      </c>
      <c r="I2162" s="376">
        <v>10.199999999999999</v>
      </c>
      <c r="J2162" s="19">
        <v>0</v>
      </c>
      <c r="K2162" s="13">
        <v>0</v>
      </c>
      <c r="L2162" s="7" t="s">
        <v>483</v>
      </c>
    </row>
    <row r="2163" spans="1:12">
      <c r="A2163" s="7"/>
      <c r="B2163" s="381" t="s">
        <v>473</v>
      </c>
      <c r="C2163" s="3" t="s">
        <v>232</v>
      </c>
      <c r="D2163" s="2" t="s">
        <v>449</v>
      </c>
      <c r="E2163" s="382" t="s">
        <v>19</v>
      </c>
      <c r="F2163" s="369" t="s">
        <v>14</v>
      </c>
      <c r="G2163" s="369" t="s">
        <v>32</v>
      </c>
      <c r="H2163" s="370">
        <v>8.32</v>
      </c>
      <c r="I2163" s="376">
        <v>11.35</v>
      </c>
      <c r="J2163" s="19">
        <v>0</v>
      </c>
      <c r="K2163" s="13">
        <v>0</v>
      </c>
      <c r="L2163" s="7" t="s">
        <v>483</v>
      </c>
    </row>
    <row r="2164" spans="1:12">
      <c r="A2164" s="7"/>
      <c r="B2164" s="381" t="s">
        <v>473</v>
      </c>
      <c r="C2164" s="3" t="s">
        <v>232</v>
      </c>
      <c r="D2164" s="2" t="s">
        <v>449</v>
      </c>
      <c r="E2164" s="382" t="s">
        <v>19</v>
      </c>
      <c r="F2164" s="369" t="s">
        <v>14</v>
      </c>
      <c r="G2164" s="369" t="s">
        <v>32</v>
      </c>
      <c r="H2164" s="370">
        <v>8.32</v>
      </c>
      <c r="I2164" s="376">
        <v>10.199999999999999</v>
      </c>
      <c r="J2164" s="19">
        <v>0</v>
      </c>
      <c r="K2164" s="13">
        <v>0</v>
      </c>
      <c r="L2164" s="7" t="s">
        <v>483</v>
      </c>
    </row>
    <row r="2165" spans="1:12">
      <c r="A2165" s="7"/>
      <c r="B2165" s="381" t="s">
        <v>473</v>
      </c>
      <c r="C2165" s="3" t="s">
        <v>232</v>
      </c>
      <c r="D2165" s="2" t="s">
        <v>449</v>
      </c>
      <c r="E2165" s="382" t="s">
        <v>19</v>
      </c>
      <c r="F2165" s="369" t="s">
        <v>14</v>
      </c>
      <c r="G2165" s="369" t="s">
        <v>32</v>
      </c>
      <c r="H2165" s="370">
        <v>8.32</v>
      </c>
      <c r="I2165" s="376">
        <v>11.35</v>
      </c>
      <c r="J2165" s="19">
        <v>0</v>
      </c>
      <c r="K2165" s="13">
        <v>0</v>
      </c>
      <c r="L2165" s="7" t="s">
        <v>483</v>
      </c>
    </row>
    <row r="2166" spans="1:12">
      <c r="A2166" s="7"/>
      <c r="B2166" s="381" t="s">
        <v>473</v>
      </c>
      <c r="C2166" s="3" t="s">
        <v>232</v>
      </c>
      <c r="D2166" s="2" t="s">
        <v>449</v>
      </c>
      <c r="E2166" s="382" t="s">
        <v>19</v>
      </c>
      <c r="F2166" s="369" t="s">
        <v>14</v>
      </c>
      <c r="G2166" s="369" t="s">
        <v>32</v>
      </c>
      <c r="H2166" s="370">
        <v>8.32</v>
      </c>
      <c r="I2166" s="376">
        <v>10.199999999999999</v>
      </c>
      <c r="J2166" s="19">
        <v>0</v>
      </c>
      <c r="K2166" s="13">
        <v>0</v>
      </c>
      <c r="L2166" s="7" t="s">
        <v>483</v>
      </c>
    </row>
    <row r="2167" spans="1:12">
      <c r="A2167" s="7"/>
      <c r="B2167" s="381" t="s">
        <v>473</v>
      </c>
      <c r="C2167" s="3" t="s">
        <v>232</v>
      </c>
      <c r="D2167" s="2" t="s">
        <v>449</v>
      </c>
      <c r="E2167" s="382" t="s">
        <v>19</v>
      </c>
      <c r="F2167" s="369" t="s">
        <v>14</v>
      </c>
      <c r="G2167" s="369" t="s">
        <v>32</v>
      </c>
      <c r="H2167" s="370">
        <v>8.32</v>
      </c>
      <c r="I2167" s="376">
        <v>10.199999999999999</v>
      </c>
      <c r="J2167" s="19">
        <v>0</v>
      </c>
      <c r="K2167" s="13">
        <v>0</v>
      </c>
      <c r="L2167" s="7" t="s">
        <v>483</v>
      </c>
    </row>
    <row r="2168" spans="1:12">
      <c r="A2168" s="7"/>
      <c r="B2168" s="381" t="s">
        <v>473</v>
      </c>
      <c r="C2168" s="3" t="s">
        <v>232</v>
      </c>
      <c r="D2168" s="2" t="s">
        <v>449</v>
      </c>
      <c r="E2168" s="382" t="s">
        <v>19</v>
      </c>
      <c r="F2168" s="369" t="s">
        <v>14</v>
      </c>
      <c r="G2168" s="369" t="s">
        <v>32</v>
      </c>
      <c r="H2168" s="370">
        <v>8.32</v>
      </c>
      <c r="I2168" s="376">
        <v>10.199999999999999</v>
      </c>
      <c r="J2168" s="19">
        <v>0</v>
      </c>
      <c r="K2168" s="13">
        <v>0</v>
      </c>
      <c r="L2168" s="7" t="s">
        <v>483</v>
      </c>
    </row>
    <row r="2169" spans="1:12">
      <c r="A2169" s="7"/>
      <c r="B2169" s="381" t="s">
        <v>473</v>
      </c>
      <c r="C2169" s="3" t="s">
        <v>232</v>
      </c>
      <c r="D2169" s="2" t="s">
        <v>449</v>
      </c>
      <c r="E2169" s="382" t="s">
        <v>19</v>
      </c>
      <c r="F2169" s="369" t="s">
        <v>14</v>
      </c>
      <c r="G2169" s="369" t="s">
        <v>32</v>
      </c>
      <c r="H2169" s="370">
        <v>8.32</v>
      </c>
      <c r="I2169" s="376">
        <v>10.199999999999999</v>
      </c>
      <c r="J2169" s="19">
        <v>0</v>
      </c>
      <c r="K2169" s="13">
        <v>0</v>
      </c>
      <c r="L2169" s="7" t="s">
        <v>483</v>
      </c>
    </row>
    <row r="2170" spans="1:12">
      <c r="A2170" s="7"/>
      <c r="B2170" s="381" t="s">
        <v>473</v>
      </c>
      <c r="C2170" s="3" t="s">
        <v>232</v>
      </c>
      <c r="D2170" s="2" t="s">
        <v>449</v>
      </c>
      <c r="E2170" s="382" t="s">
        <v>19</v>
      </c>
      <c r="F2170" s="369" t="s">
        <v>14</v>
      </c>
      <c r="G2170" s="369" t="s">
        <v>32</v>
      </c>
      <c r="H2170" s="370">
        <v>8.32</v>
      </c>
      <c r="I2170" s="376">
        <v>11.35</v>
      </c>
      <c r="J2170" s="19">
        <v>0</v>
      </c>
      <c r="K2170" s="13">
        <v>0</v>
      </c>
      <c r="L2170" s="7" t="s">
        <v>483</v>
      </c>
    </row>
    <row r="2171" spans="1:12">
      <c r="A2171" s="7"/>
      <c r="B2171" s="381" t="s">
        <v>473</v>
      </c>
      <c r="C2171" s="3" t="s">
        <v>232</v>
      </c>
      <c r="D2171" s="2" t="s">
        <v>449</v>
      </c>
      <c r="E2171" s="382" t="s">
        <v>19</v>
      </c>
      <c r="F2171" s="369" t="s">
        <v>14</v>
      </c>
      <c r="G2171" s="369" t="s">
        <v>32</v>
      </c>
      <c r="H2171" s="370">
        <v>8.32</v>
      </c>
      <c r="I2171" s="376">
        <v>10.199999999999999</v>
      </c>
      <c r="J2171" s="19">
        <v>0</v>
      </c>
      <c r="K2171" s="13">
        <v>0</v>
      </c>
      <c r="L2171" s="7" t="s">
        <v>483</v>
      </c>
    </row>
    <row r="2172" spans="1:12">
      <c r="A2172" s="7"/>
      <c r="B2172" s="381" t="s">
        <v>473</v>
      </c>
      <c r="C2172" s="3" t="s">
        <v>232</v>
      </c>
      <c r="D2172" s="2" t="s">
        <v>449</v>
      </c>
      <c r="E2172" s="382" t="s">
        <v>19</v>
      </c>
      <c r="F2172" s="369" t="s">
        <v>14</v>
      </c>
      <c r="G2172" s="369" t="s">
        <v>32</v>
      </c>
      <c r="H2172" s="370">
        <v>8.32</v>
      </c>
      <c r="I2172" s="376">
        <v>10.5</v>
      </c>
      <c r="J2172" s="19">
        <v>0</v>
      </c>
      <c r="K2172" s="13">
        <v>0</v>
      </c>
      <c r="L2172" s="7" t="s">
        <v>483</v>
      </c>
    </row>
    <row r="2173" spans="1:12">
      <c r="A2173" s="7"/>
      <c r="B2173" s="381" t="s">
        <v>473</v>
      </c>
      <c r="C2173" s="3" t="s">
        <v>232</v>
      </c>
      <c r="D2173" s="2" t="s">
        <v>449</v>
      </c>
      <c r="E2173" s="382" t="s">
        <v>19</v>
      </c>
      <c r="F2173" s="369" t="s">
        <v>14</v>
      </c>
      <c r="G2173" s="369" t="s">
        <v>32</v>
      </c>
      <c r="H2173" s="370">
        <v>8.32</v>
      </c>
      <c r="I2173" s="376">
        <v>10</v>
      </c>
      <c r="J2173" s="19">
        <v>1</v>
      </c>
      <c r="K2173" s="13">
        <v>8.3199999999999996E-2</v>
      </c>
      <c r="L2173" s="7" t="s">
        <v>483</v>
      </c>
    </row>
    <row r="2174" spans="1:12">
      <c r="A2174" s="7"/>
      <c r="B2174" s="381" t="s">
        <v>473</v>
      </c>
      <c r="C2174" s="3" t="s">
        <v>232</v>
      </c>
      <c r="D2174" s="2" t="s">
        <v>449</v>
      </c>
      <c r="E2174" s="382" t="s">
        <v>19</v>
      </c>
      <c r="F2174" s="369" t="s">
        <v>14</v>
      </c>
      <c r="G2174" s="369" t="s">
        <v>32</v>
      </c>
      <c r="H2174" s="370">
        <v>8.32</v>
      </c>
      <c r="I2174" s="376">
        <v>10.199999999999999</v>
      </c>
      <c r="J2174" s="19">
        <v>0</v>
      </c>
      <c r="K2174" s="13">
        <v>0</v>
      </c>
      <c r="L2174" s="7" t="s">
        <v>483</v>
      </c>
    </row>
    <row r="2175" spans="1:12">
      <c r="A2175" s="7"/>
      <c r="B2175" s="381" t="s">
        <v>473</v>
      </c>
      <c r="C2175" s="3" t="s">
        <v>232</v>
      </c>
      <c r="D2175" s="2" t="s">
        <v>449</v>
      </c>
      <c r="E2175" s="382" t="s">
        <v>19</v>
      </c>
      <c r="F2175" s="369" t="s">
        <v>14</v>
      </c>
      <c r="G2175" s="369" t="s">
        <v>32</v>
      </c>
      <c r="H2175" s="370">
        <v>8.32</v>
      </c>
      <c r="I2175" s="376">
        <v>11.35</v>
      </c>
      <c r="J2175" s="19">
        <v>0</v>
      </c>
      <c r="K2175" s="13">
        <v>0</v>
      </c>
      <c r="L2175" s="7" t="s">
        <v>483</v>
      </c>
    </row>
    <row r="2176" spans="1:12">
      <c r="A2176" s="7"/>
      <c r="B2176" s="381" t="s">
        <v>473</v>
      </c>
      <c r="C2176" s="3" t="s">
        <v>232</v>
      </c>
      <c r="D2176" s="2" t="s">
        <v>449</v>
      </c>
      <c r="E2176" s="382" t="s">
        <v>19</v>
      </c>
      <c r="F2176" s="369" t="s">
        <v>14</v>
      </c>
      <c r="G2176" s="369" t="s">
        <v>32</v>
      </c>
      <c r="H2176" s="370">
        <v>8.32</v>
      </c>
      <c r="I2176" s="376">
        <v>8.5</v>
      </c>
      <c r="J2176" s="19">
        <v>1</v>
      </c>
      <c r="K2176" s="13">
        <v>7.0720000000000005E-2</v>
      </c>
      <c r="L2176" s="7" t="s">
        <v>483</v>
      </c>
    </row>
    <row r="2177" spans="1:12">
      <c r="A2177" s="7"/>
      <c r="B2177" s="381" t="s">
        <v>473</v>
      </c>
      <c r="C2177" s="3" t="s">
        <v>232</v>
      </c>
      <c r="D2177" s="2" t="s">
        <v>449</v>
      </c>
      <c r="E2177" s="382" t="s">
        <v>19</v>
      </c>
      <c r="F2177" s="369" t="s">
        <v>14</v>
      </c>
      <c r="G2177" s="369" t="s">
        <v>32</v>
      </c>
      <c r="H2177" s="370">
        <v>8.32</v>
      </c>
      <c r="I2177" s="376">
        <v>8.75</v>
      </c>
      <c r="J2177" s="19">
        <v>1</v>
      </c>
      <c r="K2177" s="13">
        <v>7.2800000000000004E-2</v>
      </c>
      <c r="L2177" s="7" t="s">
        <v>483</v>
      </c>
    </row>
    <row r="2178" spans="1:12">
      <c r="A2178" s="7"/>
      <c r="B2178" s="381" t="s">
        <v>473</v>
      </c>
      <c r="C2178" s="3" t="s">
        <v>232</v>
      </c>
      <c r="D2178" s="2" t="s">
        <v>449</v>
      </c>
      <c r="E2178" s="382" t="s">
        <v>19</v>
      </c>
      <c r="F2178" s="369" t="s">
        <v>14</v>
      </c>
      <c r="G2178" s="369" t="s">
        <v>32</v>
      </c>
      <c r="H2178" s="370">
        <v>8.32</v>
      </c>
      <c r="I2178" s="376">
        <v>9</v>
      </c>
      <c r="J2178" s="19">
        <v>2</v>
      </c>
      <c r="K2178" s="13">
        <v>0.14976</v>
      </c>
      <c r="L2178" s="7" t="s">
        <v>483</v>
      </c>
    </row>
    <row r="2179" spans="1:12">
      <c r="A2179" s="7"/>
      <c r="B2179" s="381" t="s">
        <v>473</v>
      </c>
      <c r="C2179" s="3" t="s">
        <v>232</v>
      </c>
      <c r="D2179" s="2" t="s">
        <v>449</v>
      </c>
      <c r="E2179" s="382" t="s">
        <v>19</v>
      </c>
      <c r="F2179" s="369" t="s">
        <v>14</v>
      </c>
      <c r="G2179" s="369" t="s">
        <v>32</v>
      </c>
      <c r="H2179" s="370">
        <v>8.32</v>
      </c>
      <c r="I2179" s="376">
        <v>9.25</v>
      </c>
      <c r="J2179" s="19">
        <v>1</v>
      </c>
      <c r="K2179" s="13">
        <v>7.6960000000000015E-2</v>
      </c>
      <c r="L2179" s="7" t="s">
        <v>483</v>
      </c>
    </row>
    <row r="2180" spans="1:12">
      <c r="A2180" s="7"/>
      <c r="B2180" s="381" t="s">
        <v>473</v>
      </c>
      <c r="C2180" s="3" t="s">
        <v>232</v>
      </c>
      <c r="D2180" s="2" t="s">
        <v>449</v>
      </c>
      <c r="E2180" s="382" t="s">
        <v>19</v>
      </c>
      <c r="F2180" s="369" t="s">
        <v>14</v>
      </c>
      <c r="G2180" s="369" t="s">
        <v>32</v>
      </c>
      <c r="H2180" s="370">
        <v>8.32</v>
      </c>
      <c r="I2180" s="376">
        <v>9.5</v>
      </c>
      <c r="J2180" s="19">
        <v>1</v>
      </c>
      <c r="K2180" s="13">
        <v>7.9040000000000013E-2</v>
      </c>
      <c r="L2180" s="7" t="s">
        <v>483</v>
      </c>
    </row>
    <row r="2181" spans="1:12">
      <c r="A2181" s="7"/>
      <c r="B2181" s="381" t="s">
        <v>473</v>
      </c>
      <c r="C2181" s="3" t="s">
        <v>232</v>
      </c>
      <c r="D2181" s="2" t="s">
        <v>449</v>
      </c>
      <c r="E2181" s="382" t="s">
        <v>19</v>
      </c>
      <c r="F2181" s="369" t="s">
        <v>14</v>
      </c>
      <c r="G2181" s="369" t="s">
        <v>32</v>
      </c>
      <c r="H2181" s="370">
        <v>8.32</v>
      </c>
      <c r="I2181" s="376">
        <v>9.6</v>
      </c>
      <c r="J2181" s="19">
        <v>3</v>
      </c>
      <c r="K2181" s="13">
        <v>0.239616</v>
      </c>
      <c r="L2181" s="7" t="s">
        <v>483</v>
      </c>
    </row>
    <row r="2182" spans="1:12">
      <c r="A2182" s="7"/>
      <c r="B2182" s="381" t="s">
        <v>473</v>
      </c>
      <c r="C2182" s="3" t="s">
        <v>232</v>
      </c>
      <c r="D2182" s="2" t="s">
        <v>449</v>
      </c>
      <c r="E2182" s="382" t="s">
        <v>19</v>
      </c>
      <c r="F2182" s="369" t="s">
        <v>14</v>
      </c>
      <c r="G2182" s="369" t="s">
        <v>32</v>
      </c>
      <c r="H2182" s="370">
        <v>8.32</v>
      </c>
      <c r="I2182" s="376">
        <v>9.8000000000000007</v>
      </c>
      <c r="J2182" s="19">
        <v>1</v>
      </c>
      <c r="K2182" s="13">
        <v>8.1536000000000011E-2</v>
      </c>
      <c r="L2182" s="7" t="s">
        <v>483</v>
      </c>
    </row>
    <row r="2183" spans="1:12">
      <c r="A2183" s="7"/>
      <c r="B2183" s="381" t="s">
        <v>473</v>
      </c>
      <c r="C2183" s="3" t="s">
        <v>232</v>
      </c>
      <c r="D2183" s="2" t="s">
        <v>449</v>
      </c>
      <c r="E2183" s="382" t="s">
        <v>19</v>
      </c>
      <c r="F2183" s="369" t="s">
        <v>14</v>
      </c>
      <c r="G2183" s="369" t="s">
        <v>32</v>
      </c>
      <c r="H2183" s="370">
        <v>8.32</v>
      </c>
      <c r="I2183" s="376">
        <v>10.5</v>
      </c>
      <c r="J2183" s="19">
        <v>0</v>
      </c>
      <c r="K2183" s="13">
        <v>0</v>
      </c>
      <c r="L2183" s="7" t="s">
        <v>483</v>
      </c>
    </row>
    <row r="2184" spans="1:12">
      <c r="A2184" s="7"/>
      <c r="B2184" s="381" t="s">
        <v>473</v>
      </c>
      <c r="C2184" s="3" t="s">
        <v>232</v>
      </c>
      <c r="D2184" s="2" t="s">
        <v>449</v>
      </c>
      <c r="E2184" s="382" t="s">
        <v>19</v>
      </c>
      <c r="F2184" s="369" t="s">
        <v>14</v>
      </c>
      <c r="G2184" s="369" t="s">
        <v>32</v>
      </c>
      <c r="H2184" s="370">
        <v>8.32</v>
      </c>
      <c r="I2184" s="376">
        <v>10</v>
      </c>
      <c r="J2184" s="19">
        <v>0</v>
      </c>
      <c r="K2184" s="13">
        <v>0</v>
      </c>
      <c r="L2184" s="7" t="s">
        <v>483</v>
      </c>
    </row>
    <row r="2185" spans="1:12">
      <c r="A2185" s="7"/>
      <c r="B2185" s="381" t="s">
        <v>339</v>
      </c>
      <c r="C2185" s="3" t="s">
        <v>232</v>
      </c>
      <c r="D2185" s="2" t="s">
        <v>228</v>
      </c>
      <c r="E2185" s="382" t="s">
        <v>17</v>
      </c>
      <c r="F2185" s="114" t="s">
        <v>15</v>
      </c>
      <c r="G2185" s="383" t="s">
        <v>37</v>
      </c>
      <c r="H2185" s="384">
        <v>18.149999999999999</v>
      </c>
      <c r="I2185" s="376">
        <v>6</v>
      </c>
      <c r="J2185" s="19">
        <v>1</v>
      </c>
      <c r="K2185" s="13">
        <v>0.1089</v>
      </c>
      <c r="L2185" s="7" t="s">
        <v>483</v>
      </c>
    </row>
    <row r="2186" spans="1:12">
      <c r="A2186" s="7"/>
      <c r="B2186" s="381" t="s">
        <v>339</v>
      </c>
      <c r="C2186" s="3" t="s">
        <v>232</v>
      </c>
      <c r="D2186" s="2" t="s">
        <v>228</v>
      </c>
      <c r="E2186" s="382" t="s">
        <v>17</v>
      </c>
      <c r="F2186" s="114" t="s">
        <v>15</v>
      </c>
      <c r="G2186" s="383" t="s">
        <v>37</v>
      </c>
      <c r="H2186" s="384">
        <v>18.149999999999999</v>
      </c>
      <c r="I2186" s="376">
        <v>9.5</v>
      </c>
      <c r="J2186" s="19">
        <v>0</v>
      </c>
      <c r="K2186" s="13">
        <v>0</v>
      </c>
      <c r="L2186" s="7" t="s">
        <v>483</v>
      </c>
    </row>
    <row r="2187" spans="1:12">
      <c r="A2187" s="7"/>
      <c r="B2187" s="381" t="s">
        <v>339</v>
      </c>
      <c r="C2187" s="3" t="s">
        <v>232</v>
      </c>
      <c r="D2187" s="2" t="s">
        <v>228</v>
      </c>
      <c r="E2187" s="382" t="s">
        <v>17</v>
      </c>
      <c r="F2187" s="114" t="s">
        <v>15</v>
      </c>
      <c r="G2187" s="383" t="s">
        <v>37</v>
      </c>
      <c r="H2187" s="384">
        <v>18.149999999999999</v>
      </c>
      <c r="I2187" s="376">
        <v>12</v>
      </c>
      <c r="J2187" s="19">
        <v>0</v>
      </c>
      <c r="K2187" s="13">
        <v>0</v>
      </c>
      <c r="L2187" s="7" t="s">
        <v>483</v>
      </c>
    </row>
    <row r="2188" spans="1:12">
      <c r="A2188" s="7"/>
      <c r="B2188" s="381" t="s">
        <v>339</v>
      </c>
      <c r="C2188" s="3" t="s">
        <v>232</v>
      </c>
      <c r="D2188" s="2" t="s">
        <v>228</v>
      </c>
      <c r="E2188" s="382" t="s">
        <v>17</v>
      </c>
      <c r="F2188" s="114" t="s">
        <v>15</v>
      </c>
      <c r="G2188" s="383" t="s">
        <v>37</v>
      </c>
      <c r="H2188" s="384">
        <v>18.149999999999999</v>
      </c>
      <c r="I2188" s="376">
        <v>6.2</v>
      </c>
      <c r="J2188" s="19">
        <v>0</v>
      </c>
      <c r="K2188" s="13">
        <v>0</v>
      </c>
      <c r="L2188" s="7" t="s">
        <v>483</v>
      </c>
    </row>
    <row r="2189" spans="1:12">
      <c r="A2189" s="7"/>
      <c r="B2189" s="381" t="s">
        <v>339</v>
      </c>
      <c r="C2189" s="3" t="s">
        <v>232</v>
      </c>
      <c r="D2189" s="2" t="s">
        <v>228</v>
      </c>
      <c r="E2189" s="382" t="s">
        <v>17</v>
      </c>
      <c r="F2189" s="114" t="s">
        <v>15</v>
      </c>
      <c r="G2189" s="383" t="s">
        <v>37</v>
      </c>
      <c r="H2189" s="384">
        <v>18.149999999999999</v>
      </c>
      <c r="I2189" s="376">
        <v>8.1999999999999993</v>
      </c>
      <c r="J2189" s="19">
        <v>0</v>
      </c>
      <c r="K2189" s="13">
        <v>0</v>
      </c>
      <c r="L2189" s="7" t="s">
        <v>483</v>
      </c>
    </row>
    <row r="2190" spans="1:12">
      <c r="A2190" s="7"/>
      <c r="B2190" s="381" t="s">
        <v>339</v>
      </c>
      <c r="C2190" s="3" t="s">
        <v>232</v>
      </c>
      <c r="D2190" s="2" t="s">
        <v>228</v>
      </c>
      <c r="E2190" s="382" t="s">
        <v>17</v>
      </c>
      <c r="F2190" s="114" t="s">
        <v>15</v>
      </c>
      <c r="G2190" s="383" t="s">
        <v>37</v>
      </c>
      <c r="H2190" s="384">
        <v>18.149999999999999</v>
      </c>
      <c r="I2190" s="376">
        <v>11.7</v>
      </c>
      <c r="J2190" s="19">
        <v>0</v>
      </c>
      <c r="K2190" s="13">
        <v>0</v>
      </c>
      <c r="L2190" s="7" t="s">
        <v>483</v>
      </c>
    </row>
    <row r="2191" spans="1:12">
      <c r="A2191" s="7"/>
      <c r="B2191" s="381" t="s">
        <v>339</v>
      </c>
      <c r="C2191" s="3" t="s">
        <v>232</v>
      </c>
      <c r="D2191" s="2" t="s">
        <v>228</v>
      </c>
      <c r="E2191" s="382" t="s">
        <v>17</v>
      </c>
      <c r="F2191" s="114" t="s">
        <v>15</v>
      </c>
      <c r="G2191" s="383" t="s">
        <v>37</v>
      </c>
      <c r="H2191" s="384">
        <v>18.149999999999999</v>
      </c>
      <c r="I2191" s="376">
        <v>10.6</v>
      </c>
      <c r="J2191" s="19">
        <v>1</v>
      </c>
      <c r="K2191" s="13">
        <v>0.19238999999999998</v>
      </c>
      <c r="L2191" s="7" t="s">
        <v>483</v>
      </c>
    </row>
    <row r="2192" spans="1:12">
      <c r="A2192" s="7"/>
      <c r="B2192" s="381" t="s">
        <v>339</v>
      </c>
      <c r="C2192" s="3" t="s">
        <v>232</v>
      </c>
      <c r="D2192" s="2" t="s">
        <v>228</v>
      </c>
      <c r="E2192" s="382" t="s">
        <v>17</v>
      </c>
      <c r="F2192" s="114" t="s">
        <v>15</v>
      </c>
      <c r="G2192" s="383" t="s">
        <v>37</v>
      </c>
      <c r="H2192" s="384">
        <v>18.149999999999999</v>
      </c>
      <c r="I2192" s="376">
        <v>6.2</v>
      </c>
      <c r="J2192" s="19">
        <v>2</v>
      </c>
      <c r="K2192" s="13">
        <v>0.22506000000000001</v>
      </c>
      <c r="L2192" s="7" t="s">
        <v>483</v>
      </c>
    </row>
    <row r="2193" spans="1:12">
      <c r="A2193" s="7"/>
      <c r="B2193" s="381" t="s">
        <v>339</v>
      </c>
      <c r="C2193" s="3" t="s">
        <v>232</v>
      </c>
      <c r="D2193" s="2" t="s">
        <v>228</v>
      </c>
      <c r="E2193" s="382" t="s">
        <v>17</v>
      </c>
      <c r="F2193" s="114" t="s">
        <v>15</v>
      </c>
      <c r="G2193" s="383" t="s">
        <v>37</v>
      </c>
      <c r="H2193" s="384">
        <v>18.149999999999999</v>
      </c>
      <c r="I2193" s="376">
        <v>8.1999999999999993</v>
      </c>
      <c r="J2193" s="19">
        <v>0</v>
      </c>
      <c r="K2193" s="13">
        <v>0</v>
      </c>
      <c r="L2193" s="7" t="s">
        <v>483</v>
      </c>
    </row>
    <row r="2194" spans="1:12">
      <c r="A2194" s="7"/>
      <c r="B2194" s="381" t="s">
        <v>339</v>
      </c>
      <c r="C2194" s="3" t="s">
        <v>232</v>
      </c>
      <c r="D2194" s="2" t="s">
        <v>228</v>
      </c>
      <c r="E2194" s="382" t="s">
        <v>17</v>
      </c>
      <c r="F2194" s="114" t="s">
        <v>15</v>
      </c>
      <c r="G2194" s="383" t="s">
        <v>37</v>
      </c>
      <c r="H2194" s="384">
        <v>18.149999999999999</v>
      </c>
      <c r="I2194" s="376">
        <v>9.5</v>
      </c>
      <c r="J2194" s="19">
        <v>1</v>
      </c>
      <c r="K2194" s="13">
        <v>0.17242499999999999</v>
      </c>
      <c r="L2194" s="7" t="s">
        <v>483</v>
      </c>
    </row>
    <row r="2195" spans="1:12">
      <c r="A2195" s="7"/>
      <c r="B2195" s="381" t="s">
        <v>339</v>
      </c>
      <c r="C2195" s="3" t="s">
        <v>232</v>
      </c>
      <c r="D2195" s="2" t="s">
        <v>228</v>
      </c>
      <c r="E2195" s="382" t="s">
        <v>17</v>
      </c>
      <c r="F2195" s="114" t="s">
        <v>15</v>
      </c>
      <c r="G2195" s="383" t="s">
        <v>37</v>
      </c>
      <c r="H2195" s="384">
        <v>18.149999999999999</v>
      </c>
      <c r="I2195" s="376">
        <v>12</v>
      </c>
      <c r="J2195" s="19">
        <v>1</v>
      </c>
      <c r="K2195" s="13">
        <v>0.21779999999999999</v>
      </c>
      <c r="L2195" s="7" t="s">
        <v>483</v>
      </c>
    </row>
    <row r="2196" spans="1:12">
      <c r="A2196" s="7"/>
      <c r="B2196" s="381" t="s">
        <v>339</v>
      </c>
      <c r="C2196" s="3" t="s">
        <v>232</v>
      </c>
      <c r="D2196" s="2" t="s">
        <v>228</v>
      </c>
      <c r="E2196" s="382" t="s">
        <v>19</v>
      </c>
      <c r="F2196" s="114" t="s">
        <v>14</v>
      </c>
      <c r="G2196" s="383" t="s">
        <v>38</v>
      </c>
      <c r="H2196" s="384">
        <v>12.9</v>
      </c>
      <c r="I2196" s="376">
        <v>6.5</v>
      </c>
      <c r="J2196" s="19">
        <v>0</v>
      </c>
      <c r="K2196" s="13">
        <v>0</v>
      </c>
      <c r="L2196" s="7" t="s">
        <v>483</v>
      </c>
    </row>
    <row r="2197" spans="1:12">
      <c r="A2197" s="7"/>
      <c r="B2197" s="381" t="s">
        <v>339</v>
      </c>
      <c r="C2197" s="3" t="s">
        <v>232</v>
      </c>
      <c r="D2197" s="2" t="s">
        <v>228</v>
      </c>
      <c r="E2197" s="382" t="s">
        <v>19</v>
      </c>
      <c r="F2197" s="114" t="s">
        <v>14</v>
      </c>
      <c r="G2197" s="383" t="s">
        <v>38</v>
      </c>
      <c r="H2197" s="384">
        <v>12.9</v>
      </c>
      <c r="I2197" s="376">
        <v>5</v>
      </c>
      <c r="J2197" s="19">
        <v>2</v>
      </c>
      <c r="K2197" s="13">
        <v>0.129</v>
      </c>
      <c r="L2197" s="7" t="s">
        <v>483</v>
      </c>
    </row>
    <row r="2198" spans="1:12">
      <c r="A2198" s="7"/>
      <c r="B2198" s="381" t="s">
        <v>339</v>
      </c>
      <c r="C2198" s="3" t="s">
        <v>232</v>
      </c>
      <c r="D2198" s="2" t="s">
        <v>228</v>
      </c>
      <c r="E2198" s="382" t="s">
        <v>19</v>
      </c>
      <c r="F2198" s="114" t="s">
        <v>14</v>
      </c>
      <c r="G2198" s="383" t="s">
        <v>38</v>
      </c>
      <c r="H2198" s="384">
        <v>12.9</v>
      </c>
      <c r="I2198" s="376">
        <v>5.5</v>
      </c>
      <c r="J2198" s="19">
        <v>1</v>
      </c>
      <c r="K2198" s="13">
        <v>7.0949999999999999E-2</v>
      </c>
      <c r="L2198" s="7" t="s">
        <v>483</v>
      </c>
    </row>
    <row r="2199" spans="1:12">
      <c r="A2199" s="7"/>
      <c r="B2199" s="381" t="s">
        <v>339</v>
      </c>
      <c r="C2199" s="3" t="s">
        <v>232</v>
      </c>
      <c r="D2199" s="2" t="s">
        <v>228</v>
      </c>
      <c r="E2199" s="382" t="s">
        <v>19</v>
      </c>
      <c r="F2199" s="114" t="s">
        <v>14</v>
      </c>
      <c r="G2199" s="383" t="s">
        <v>38</v>
      </c>
      <c r="H2199" s="384">
        <v>12.9</v>
      </c>
      <c r="I2199" s="376">
        <v>6</v>
      </c>
      <c r="J2199" s="19">
        <v>2</v>
      </c>
      <c r="K2199" s="13">
        <v>0.15480000000000002</v>
      </c>
      <c r="L2199" s="7" t="s">
        <v>483</v>
      </c>
    </row>
    <row r="2200" spans="1:12">
      <c r="A2200" s="7"/>
      <c r="B2200" s="381" t="s">
        <v>339</v>
      </c>
      <c r="C2200" s="3" t="s">
        <v>232</v>
      </c>
      <c r="D2200" s="2" t="s">
        <v>228</v>
      </c>
      <c r="E2200" s="382" t="s">
        <v>19</v>
      </c>
      <c r="F2200" s="114" t="s">
        <v>14</v>
      </c>
      <c r="G2200" s="383" t="s">
        <v>38</v>
      </c>
      <c r="H2200" s="384">
        <v>12.9</v>
      </c>
      <c r="I2200" s="376">
        <v>6.1</v>
      </c>
      <c r="J2200" s="19">
        <v>5</v>
      </c>
      <c r="K2200" s="13">
        <v>0.39344999999999997</v>
      </c>
      <c r="L2200" s="7" t="s">
        <v>483</v>
      </c>
    </row>
    <row r="2201" spans="1:12">
      <c r="A2201" s="7"/>
      <c r="B2201" s="381" t="s">
        <v>339</v>
      </c>
      <c r="C2201" s="3" t="s">
        <v>232</v>
      </c>
      <c r="D2201" s="2" t="s">
        <v>228</v>
      </c>
      <c r="E2201" s="382" t="s">
        <v>19</v>
      </c>
      <c r="F2201" s="114" t="s">
        <v>14</v>
      </c>
      <c r="G2201" s="383" t="s">
        <v>38</v>
      </c>
      <c r="H2201" s="384">
        <v>12.9</v>
      </c>
      <c r="I2201" s="376">
        <v>6.2</v>
      </c>
      <c r="J2201" s="19">
        <v>3</v>
      </c>
      <c r="K2201" s="13">
        <v>0.23994000000000001</v>
      </c>
      <c r="L2201" s="7" t="s">
        <v>483</v>
      </c>
    </row>
    <row r="2202" spans="1:12">
      <c r="A2202" s="7"/>
      <c r="B2202" s="381" t="s">
        <v>339</v>
      </c>
      <c r="C2202" s="3" t="s">
        <v>232</v>
      </c>
      <c r="D2202" s="2" t="s">
        <v>228</v>
      </c>
      <c r="E2202" s="382" t="s">
        <v>19</v>
      </c>
      <c r="F2202" s="114" t="s">
        <v>14</v>
      </c>
      <c r="G2202" s="383" t="s">
        <v>38</v>
      </c>
      <c r="H2202" s="384">
        <v>12.9</v>
      </c>
      <c r="I2202" s="376">
        <v>6.4</v>
      </c>
      <c r="J2202" s="19">
        <v>6</v>
      </c>
      <c r="K2202" s="13">
        <v>0.49536000000000008</v>
      </c>
      <c r="L2202" s="7" t="s">
        <v>483</v>
      </c>
    </row>
    <row r="2203" spans="1:12">
      <c r="A2203" s="7"/>
      <c r="B2203" s="381" t="s">
        <v>339</v>
      </c>
      <c r="C2203" s="3" t="s">
        <v>232</v>
      </c>
      <c r="D2203" s="2" t="s">
        <v>228</v>
      </c>
      <c r="E2203" s="382" t="s">
        <v>19</v>
      </c>
      <c r="F2203" s="114" t="s">
        <v>14</v>
      </c>
      <c r="G2203" s="383" t="s">
        <v>38</v>
      </c>
      <c r="H2203" s="384">
        <v>12.9</v>
      </c>
      <c r="I2203" s="376">
        <v>6.5</v>
      </c>
      <c r="J2203" s="19">
        <v>0</v>
      </c>
      <c r="K2203" s="13">
        <v>0</v>
      </c>
      <c r="L2203" s="7" t="s">
        <v>483</v>
      </c>
    </row>
    <row r="2204" spans="1:12">
      <c r="A2204" s="7"/>
      <c r="B2204" s="381" t="s">
        <v>339</v>
      </c>
      <c r="C2204" s="3" t="s">
        <v>232</v>
      </c>
      <c r="D2204" s="2" t="s">
        <v>228</v>
      </c>
      <c r="E2204" s="382" t="s">
        <v>19</v>
      </c>
      <c r="F2204" s="114" t="s">
        <v>14</v>
      </c>
      <c r="G2204" s="383" t="s">
        <v>38</v>
      </c>
      <c r="H2204" s="384">
        <v>12.9</v>
      </c>
      <c r="I2204" s="376">
        <v>6.5</v>
      </c>
      <c r="J2204" s="19">
        <v>0</v>
      </c>
      <c r="K2204" s="13">
        <v>0</v>
      </c>
      <c r="L2204" s="7" t="s">
        <v>483</v>
      </c>
    </row>
    <row r="2205" spans="1:12">
      <c r="A2205" s="7"/>
      <c r="B2205" s="381" t="s">
        <v>339</v>
      </c>
      <c r="C2205" s="3" t="s">
        <v>232</v>
      </c>
      <c r="D2205" s="2" t="s">
        <v>228</v>
      </c>
      <c r="E2205" s="382" t="s">
        <v>19</v>
      </c>
      <c r="F2205" s="114" t="s">
        <v>14</v>
      </c>
      <c r="G2205" s="383" t="s">
        <v>38</v>
      </c>
      <c r="H2205" s="384">
        <v>12.9</v>
      </c>
      <c r="I2205" s="376">
        <v>5.25</v>
      </c>
      <c r="J2205" s="19">
        <v>1</v>
      </c>
      <c r="K2205" s="13">
        <v>6.7725000000000007E-2</v>
      </c>
      <c r="L2205" s="7" t="s">
        <v>483</v>
      </c>
    </row>
    <row r="2206" spans="1:12">
      <c r="A2206" s="7"/>
      <c r="B2206" s="381" t="s">
        <v>339</v>
      </c>
      <c r="C2206" s="3" t="s">
        <v>232</v>
      </c>
      <c r="D2206" s="2" t="s">
        <v>228</v>
      </c>
      <c r="E2206" s="382" t="s">
        <v>19</v>
      </c>
      <c r="F2206" s="114" t="s">
        <v>14</v>
      </c>
      <c r="G2206" s="383" t="s">
        <v>38</v>
      </c>
      <c r="H2206" s="384">
        <v>12.9</v>
      </c>
      <c r="I2206" s="376">
        <v>5.5</v>
      </c>
      <c r="J2206" s="19">
        <v>2</v>
      </c>
      <c r="K2206" s="13">
        <v>0.1419</v>
      </c>
      <c r="L2206" s="7" t="s">
        <v>483</v>
      </c>
    </row>
    <row r="2207" spans="1:12">
      <c r="A2207" s="7"/>
      <c r="B2207" s="381" t="s">
        <v>339</v>
      </c>
      <c r="C2207" s="3" t="s">
        <v>232</v>
      </c>
      <c r="D2207" s="2" t="s">
        <v>228</v>
      </c>
      <c r="E2207" s="382" t="s">
        <v>19</v>
      </c>
      <c r="F2207" s="114" t="s">
        <v>14</v>
      </c>
      <c r="G2207" s="383" t="s">
        <v>38</v>
      </c>
      <c r="H2207" s="384">
        <v>12.9</v>
      </c>
      <c r="I2207" s="376">
        <v>6</v>
      </c>
      <c r="J2207" s="19">
        <v>8</v>
      </c>
      <c r="K2207" s="13">
        <v>0.61920000000000008</v>
      </c>
      <c r="L2207" s="7" t="s">
        <v>483</v>
      </c>
    </row>
    <row r="2208" spans="1:12">
      <c r="A2208" s="7"/>
      <c r="B2208" s="381" t="s">
        <v>340</v>
      </c>
      <c r="C2208" s="3" t="s">
        <v>232</v>
      </c>
      <c r="D2208" s="2" t="s">
        <v>228</v>
      </c>
      <c r="E2208" s="382" t="s">
        <v>341</v>
      </c>
      <c r="F2208" s="114" t="s">
        <v>15</v>
      </c>
      <c r="G2208" s="383" t="s">
        <v>37</v>
      </c>
      <c r="H2208" s="384">
        <v>18.2</v>
      </c>
      <c r="I2208" s="376">
        <v>9.5</v>
      </c>
      <c r="J2208" s="19">
        <v>0</v>
      </c>
      <c r="K2208" s="13">
        <v>0</v>
      </c>
      <c r="L2208" s="7" t="s">
        <v>483</v>
      </c>
    </row>
    <row r="2209" spans="1:12">
      <c r="A2209" s="7"/>
      <c r="B2209" s="381" t="s">
        <v>340</v>
      </c>
      <c r="C2209" s="3" t="s">
        <v>232</v>
      </c>
      <c r="D2209" s="2" t="s">
        <v>228</v>
      </c>
      <c r="E2209" s="382" t="s">
        <v>341</v>
      </c>
      <c r="F2209" s="114" t="s">
        <v>15</v>
      </c>
      <c r="G2209" s="383" t="s">
        <v>37</v>
      </c>
      <c r="H2209" s="384">
        <v>18.2</v>
      </c>
      <c r="I2209" s="376">
        <v>10.8</v>
      </c>
      <c r="J2209" s="19">
        <v>0</v>
      </c>
      <c r="K2209" s="13">
        <v>0</v>
      </c>
      <c r="L2209" s="7" t="s">
        <v>483</v>
      </c>
    </row>
    <row r="2210" spans="1:12">
      <c r="A2210" s="7"/>
      <c r="B2210" s="381" t="s">
        <v>340</v>
      </c>
      <c r="C2210" s="3" t="s">
        <v>232</v>
      </c>
      <c r="D2210" s="2" t="s">
        <v>228</v>
      </c>
      <c r="E2210" s="382" t="s">
        <v>341</v>
      </c>
      <c r="F2210" s="114" t="s">
        <v>15</v>
      </c>
      <c r="G2210" s="383" t="s">
        <v>37</v>
      </c>
      <c r="H2210" s="384">
        <v>18.2</v>
      </c>
      <c r="I2210" s="376">
        <v>10.6</v>
      </c>
      <c r="J2210" s="19">
        <v>0</v>
      </c>
      <c r="K2210" s="13">
        <v>0</v>
      </c>
      <c r="L2210" s="7" t="s">
        <v>483</v>
      </c>
    </row>
    <row r="2211" spans="1:12">
      <c r="A2211" s="7"/>
      <c r="B2211" s="381" t="s">
        <v>340</v>
      </c>
      <c r="C2211" s="3" t="s">
        <v>232</v>
      </c>
      <c r="D2211" s="2" t="s">
        <v>228</v>
      </c>
      <c r="E2211" s="382" t="s">
        <v>341</v>
      </c>
      <c r="F2211" s="114" t="s">
        <v>15</v>
      </c>
      <c r="G2211" s="383" t="s">
        <v>37</v>
      </c>
      <c r="H2211" s="384">
        <v>18.2</v>
      </c>
      <c r="I2211" s="376">
        <v>10.4</v>
      </c>
      <c r="J2211" s="19">
        <v>0</v>
      </c>
      <c r="K2211" s="13">
        <v>0</v>
      </c>
      <c r="L2211" s="7" t="s">
        <v>483</v>
      </c>
    </row>
    <row r="2212" spans="1:12">
      <c r="A2212" s="7"/>
      <c r="B2212" s="381" t="s">
        <v>340</v>
      </c>
      <c r="C2212" s="3" t="s">
        <v>232</v>
      </c>
      <c r="D2212" s="2" t="s">
        <v>228</v>
      </c>
      <c r="E2212" s="382" t="s">
        <v>341</v>
      </c>
      <c r="F2212" s="114" t="s">
        <v>15</v>
      </c>
      <c r="G2212" s="383" t="s">
        <v>37</v>
      </c>
      <c r="H2212" s="384">
        <v>18.2</v>
      </c>
      <c r="I2212" s="376">
        <v>9.5</v>
      </c>
      <c r="J2212" s="19">
        <v>0</v>
      </c>
      <c r="K2212" s="13">
        <v>0</v>
      </c>
      <c r="L2212" s="7" t="s">
        <v>483</v>
      </c>
    </row>
    <row r="2213" spans="1:12">
      <c r="A2213" s="7"/>
      <c r="B2213" s="381" t="s">
        <v>340</v>
      </c>
      <c r="C2213" s="3" t="s">
        <v>232</v>
      </c>
      <c r="D2213" s="2" t="s">
        <v>228</v>
      </c>
      <c r="E2213" s="382" t="s">
        <v>341</v>
      </c>
      <c r="F2213" s="114" t="s">
        <v>15</v>
      </c>
      <c r="G2213" s="383" t="s">
        <v>37</v>
      </c>
      <c r="H2213" s="384">
        <v>18.2</v>
      </c>
      <c r="I2213" s="376">
        <v>9.4</v>
      </c>
      <c r="J2213" s="19">
        <v>1</v>
      </c>
      <c r="K2213" s="13">
        <v>0.17108000000000001</v>
      </c>
      <c r="L2213" s="7" t="s">
        <v>483</v>
      </c>
    </row>
    <row r="2214" spans="1:12">
      <c r="A2214" s="7"/>
      <c r="B2214" s="381" t="s">
        <v>340</v>
      </c>
      <c r="C2214" s="3" t="s">
        <v>232</v>
      </c>
      <c r="D2214" s="2" t="s">
        <v>228</v>
      </c>
      <c r="E2214" s="382" t="s">
        <v>130</v>
      </c>
      <c r="F2214" s="114" t="s">
        <v>15</v>
      </c>
      <c r="G2214" s="383" t="s">
        <v>37</v>
      </c>
      <c r="H2214" s="384">
        <v>18.2</v>
      </c>
      <c r="I2214" s="376">
        <v>11.35</v>
      </c>
      <c r="J2214" s="19">
        <v>0</v>
      </c>
      <c r="K2214" s="13">
        <v>0</v>
      </c>
      <c r="L2214" s="7" t="s">
        <v>483</v>
      </c>
    </row>
    <row r="2215" spans="1:12">
      <c r="A2215" s="7"/>
      <c r="B2215" s="381" t="s">
        <v>340</v>
      </c>
      <c r="C2215" s="3" t="s">
        <v>232</v>
      </c>
      <c r="D2215" s="2" t="s">
        <v>228</v>
      </c>
      <c r="E2215" s="382" t="s">
        <v>130</v>
      </c>
      <c r="F2215" s="114" t="s">
        <v>15</v>
      </c>
      <c r="G2215" s="383" t="s">
        <v>37</v>
      </c>
      <c r="H2215" s="384">
        <v>18.2</v>
      </c>
      <c r="I2215" s="376">
        <v>12</v>
      </c>
      <c r="J2215" s="19">
        <v>0</v>
      </c>
      <c r="K2215" s="13">
        <v>0</v>
      </c>
      <c r="L2215" s="7" t="s">
        <v>483</v>
      </c>
    </row>
    <row r="2216" spans="1:12">
      <c r="A2216" s="7"/>
      <c r="B2216" s="381" t="s">
        <v>340</v>
      </c>
      <c r="C2216" s="3" t="s">
        <v>232</v>
      </c>
      <c r="D2216" s="2" t="s">
        <v>228</v>
      </c>
      <c r="E2216" s="382" t="s">
        <v>130</v>
      </c>
      <c r="F2216" s="114" t="s">
        <v>15</v>
      </c>
      <c r="G2216" s="383" t="s">
        <v>37</v>
      </c>
      <c r="H2216" s="384">
        <v>18.2</v>
      </c>
      <c r="I2216" s="376">
        <v>11</v>
      </c>
      <c r="J2216" s="19">
        <v>0</v>
      </c>
      <c r="K2216" s="13">
        <v>0</v>
      </c>
      <c r="L2216" s="7" t="s">
        <v>483</v>
      </c>
    </row>
    <row r="2217" spans="1:12">
      <c r="A2217" s="7"/>
      <c r="B2217" s="381" t="s">
        <v>340</v>
      </c>
      <c r="C2217" s="3" t="s">
        <v>232</v>
      </c>
      <c r="D2217" s="2" t="s">
        <v>228</v>
      </c>
      <c r="E2217" s="382" t="s">
        <v>130</v>
      </c>
      <c r="F2217" s="114" t="s">
        <v>15</v>
      </c>
      <c r="G2217" s="383" t="s">
        <v>37</v>
      </c>
      <c r="H2217" s="384">
        <v>18.2</v>
      </c>
      <c r="I2217" s="376">
        <v>12</v>
      </c>
      <c r="J2217" s="19">
        <v>0</v>
      </c>
      <c r="K2217" s="13">
        <v>0</v>
      </c>
      <c r="L2217" s="7" t="s">
        <v>483</v>
      </c>
    </row>
    <row r="2218" spans="1:12">
      <c r="A2218" s="7"/>
      <c r="B2218" s="381" t="s">
        <v>340</v>
      </c>
      <c r="C2218" s="3" t="s">
        <v>232</v>
      </c>
      <c r="D2218" s="2" t="s">
        <v>228</v>
      </c>
      <c r="E2218" s="382" t="s">
        <v>130</v>
      </c>
      <c r="F2218" s="114" t="s">
        <v>15</v>
      </c>
      <c r="G2218" s="383" t="s">
        <v>37</v>
      </c>
      <c r="H2218" s="384">
        <v>18.2</v>
      </c>
      <c r="I2218" s="376">
        <v>12</v>
      </c>
      <c r="J2218" s="19">
        <v>0</v>
      </c>
      <c r="K2218" s="13">
        <v>0</v>
      </c>
      <c r="L2218" s="7" t="s">
        <v>483</v>
      </c>
    </row>
    <row r="2219" spans="1:12">
      <c r="A2219" s="7"/>
      <c r="B2219" s="381" t="s">
        <v>340</v>
      </c>
      <c r="C2219" s="3" t="s">
        <v>232</v>
      </c>
      <c r="D2219" s="2" t="s">
        <v>228</v>
      </c>
      <c r="E2219" s="382" t="s">
        <v>130</v>
      </c>
      <c r="F2219" s="114" t="s">
        <v>15</v>
      </c>
      <c r="G2219" s="383" t="s">
        <v>62</v>
      </c>
      <c r="H2219" s="384">
        <v>19.899999999999999</v>
      </c>
      <c r="I2219" s="376">
        <v>7.3</v>
      </c>
      <c r="J2219" s="19">
        <v>0</v>
      </c>
      <c r="K2219" s="13">
        <v>0</v>
      </c>
      <c r="L2219" s="7" t="s">
        <v>483</v>
      </c>
    </row>
    <row r="2220" spans="1:12">
      <c r="A2220" s="7"/>
      <c r="B2220" s="381" t="s">
        <v>340</v>
      </c>
      <c r="C2220" s="3" t="s">
        <v>232</v>
      </c>
      <c r="D2220" s="2" t="s">
        <v>228</v>
      </c>
      <c r="E2220" s="382" t="s">
        <v>130</v>
      </c>
      <c r="F2220" s="114" t="s">
        <v>15</v>
      </c>
      <c r="G2220" s="383" t="s">
        <v>62</v>
      </c>
      <c r="H2220" s="384">
        <v>19.899999999999999</v>
      </c>
      <c r="I2220" s="376">
        <v>11</v>
      </c>
      <c r="J2220" s="19">
        <v>0</v>
      </c>
      <c r="K2220" s="13">
        <v>0</v>
      </c>
      <c r="L2220" s="7" t="s">
        <v>483</v>
      </c>
    </row>
    <row r="2221" spans="1:12">
      <c r="A2221" s="7"/>
      <c r="B2221" s="381" t="s">
        <v>340</v>
      </c>
      <c r="C2221" s="3" t="s">
        <v>232</v>
      </c>
      <c r="D2221" s="2" t="s">
        <v>228</v>
      </c>
      <c r="E2221" s="382" t="s">
        <v>130</v>
      </c>
      <c r="F2221" s="114" t="s">
        <v>15</v>
      </c>
      <c r="G2221" s="383" t="s">
        <v>62</v>
      </c>
      <c r="H2221" s="384">
        <v>19.899999999999999</v>
      </c>
      <c r="I2221" s="376">
        <v>11</v>
      </c>
      <c r="J2221" s="19">
        <v>0</v>
      </c>
      <c r="K2221" s="13">
        <v>0</v>
      </c>
      <c r="L2221" s="7" t="s">
        <v>483</v>
      </c>
    </row>
    <row r="2222" spans="1:12">
      <c r="A2222" s="7"/>
      <c r="B2222" s="381" t="s">
        <v>340</v>
      </c>
      <c r="C2222" s="3" t="s">
        <v>232</v>
      </c>
      <c r="D2222" s="2" t="s">
        <v>228</v>
      </c>
      <c r="E2222" s="382" t="s">
        <v>130</v>
      </c>
      <c r="F2222" s="114" t="s">
        <v>15</v>
      </c>
      <c r="G2222" s="383" t="s">
        <v>62</v>
      </c>
      <c r="H2222" s="384">
        <v>19.899999999999999</v>
      </c>
      <c r="I2222" s="376">
        <v>10.4</v>
      </c>
      <c r="J2222" s="19">
        <v>0</v>
      </c>
      <c r="K2222" s="13">
        <v>0</v>
      </c>
      <c r="L2222" s="7" t="s">
        <v>483</v>
      </c>
    </row>
    <row r="2223" spans="1:12">
      <c r="A2223" s="7"/>
      <c r="B2223" s="381" t="s">
        <v>340</v>
      </c>
      <c r="C2223" s="3" t="s">
        <v>232</v>
      </c>
      <c r="D2223" s="2" t="s">
        <v>228</v>
      </c>
      <c r="E2223" s="382" t="s">
        <v>130</v>
      </c>
      <c r="F2223" s="114" t="s">
        <v>15</v>
      </c>
      <c r="G2223" s="383" t="s">
        <v>62</v>
      </c>
      <c r="H2223" s="384">
        <v>19.899999999999999</v>
      </c>
      <c r="I2223" s="376">
        <v>7.3</v>
      </c>
      <c r="J2223" s="19">
        <v>0</v>
      </c>
      <c r="K2223" s="13">
        <v>0</v>
      </c>
      <c r="L2223" s="7" t="s">
        <v>483</v>
      </c>
    </row>
    <row r="2224" spans="1:12">
      <c r="A2224" s="7"/>
      <c r="B2224" s="381" t="s">
        <v>340</v>
      </c>
      <c r="C2224" s="3" t="s">
        <v>232</v>
      </c>
      <c r="D2224" s="2" t="s">
        <v>228</v>
      </c>
      <c r="E2224" s="382" t="s">
        <v>130</v>
      </c>
      <c r="F2224" s="114" t="s">
        <v>15</v>
      </c>
      <c r="G2224" s="383" t="s">
        <v>62</v>
      </c>
      <c r="H2224" s="384">
        <v>19.899999999999999</v>
      </c>
      <c r="I2224" s="11">
        <v>6.9</v>
      </c>
      <c r="J2224" s="19">
        <v>1</v>
      </c>
      <c r="K2224" s="13">
        <v>0.13731000000000002</v>
      </c>
      <c r="L2224" s="7" t="s">
        <v>483</v>
      </c>
    </row>
    <row r="2225" spans="1:12">
      <c r="A2225" s="7"/>
      <c r="B2225" s="381" t="s">
        <v>340</v>
      </c>
      <c r="C2225" s="3" t="s">
        <v>232</v>
      </c>
      <c r="D2225" s="2" t="s">
        <v>228</v>
      </c>
      <c r="E2225" s="382" t="s">
        <v>130</v>
      </c>
      <c r="F2225" s="114" t="s">
        <v>15</v>
      </c>
      <c r="G2225" s="383" t="s">
        <v>40</v>
      </c>
      <c r="H2225" s="384">
        <v>16.5</v>
      </c>
      <c r="I2225" s="376">
        <v>7.4</v>
      </c>
      <c r="J2225" s="19">
        <v>0</v>
      </c>
      <c r="K2225" s="13">
        <v>0</v>
      </c>
      <c r="L2225" s="7" t="s">
        <v>483</v>
      </c>
    </row>
    <row r="2226" spans="1:12">
      <c r="A2226" s="7"/>
      <c r="B2226" s="381" t="s">
        <v>340</v>
      </c>
      <c r="C2226" s="3" t="s">
        <v>232</v>
      </c>
      <c r="D2226" s="2" t="s">
        <v>228</v>
      </c>
      <c r="E2226" s="382" t="s">
        <v>130</v>
      </c>
      <c r="F2226" s="114" t="s">
        <v>15</v>
      </c>
      <c r="G2226" s="383" t="s">
        <v>40</v>
      </c>
      <c r="H2226" s="384">
        <v>16.5</v>
      </c>
      <c r="I2226" s="376">
        <v>11.15</v>
      </c>
      <c r="J2226" s="19">
        <v>0</v>
      </c>
      <c r="K2226" s="13">
        <v>0</v>
      </c>
      <c r="L2226" s="7" t="s">
        <v>483</v>
      </c>
    </row>
    <row r="2227" spans="1:12">
      <c r="A2227" s="7"/>
      <c r="B2227" s="381" t="s">
        <v>340</v>
      </c>
      <c r="C2227" s="3" t="s">
        <v>232</v>
      </c>
      <c r="D2227" s="2" t="s">
        <v>228</v>
      </c>
      <c r="E2227" s="382" t="s">
        <v>130</v>
      </c>
      <c r="F2227" s="114" t="s">
        <v>15</v>
      </c>
      <c r="G2227" s="383" t="s">
        <v>40</v>
      </c>
      <c r="H2227" s="384">
        <v>16.5</v>
      </c>
      <c r="I2227" s="376">
        <v>7.1</v>
      </c>
      <c r="J2227" s="19">
        <v>0</v>
      </c>
      <c r="K2227" s="13">
        <v>0</v>
      </c>
      <c r="L2227" s="7" t="s">
        <v>483</v>
      </c>
    </row>
    <row r="2228" spans="1:12">
      <c r="A2228" s="7"/>
      <c r="B2228" s="381" t="s">
        <v>340</v>
      </c>
      <c r="C2228" s="3" t="s">
        <v>232</v>
      </c>
      <c r="D2228" s="2" t="s">
        <v>228</v>
      </c>
      <c r="E2228" s="382" t="s">
        <v>130</v>
      </c>
      <c r="F2228" s="114" t="s">
        <v>15</v>
      </c>
      <c r="G2228" s="383" t="s">
        <v>40</v>
      </c>
      <c r="H2228" s="384">
        <v>16.5</v>
      </c>
      <c r="I2228" s="376">
        <v>6.8</v>
      </c>
      <c r="J2228" s="19">
        <v>4</v>
      </c>
      <c r="K2228" s="13">
        <v>0.44880000000000003</v>
      </c>
      <c r="L2228" s="7" t="s">
        <v>483</v>
      </c>
    </row>
    <row r="2229" spans="1:12">
      <c r="A2229" s="7"/>
      <c r="B2229" s="381" t="s">
        <v>340</v>
      </c>
      <c r="C2229" s="3" t="s">
        <v>232</v>
      </c>
      <c r="D2229" s="2" t="s">
        <v>228</v>
      </c>
      <c r="E2229" s="382" t="s">
        <v>130</v>
      </c>
      <c r="F2229" s="114" t="s">
        <v>15</v>
      </c>
      <c r="G2229" s="383" t="s">
        <v>40</v>
      </c>
      <c r="H2229" s="384">
        <v>16.5</v>
      </c>
      <c r="I2229" s="376">
        <v>6.5</v>
      </c>
      <c r="J2229" s="19">
        <v>1</v>
      </c>
      <c r="K2229" s="13">
        <v>0.10725</v>
      </c>
      <c r="L2229" s="7" t="s">
        <v>483</v>
      </c>
    </row>
    <row r="2230" spans="1:12">
      <c r="A2230" s="7"/>
      <c r="B2230" s="381" t="s">
        <v>340</v>
      </c>
      <c r="C2230" s="3" t="s">
        <v>232</v>
      </c>
      <c r="D2230" s="2" t="s">
        <v>228</v>
      </c>
      <c r="E2230" s="382" t="s">
        <v>130</v>
      </c>
      <c r="F2230" s="114" t="s">
        <v>15</v>
      </c>
      <c r="G2230" s="383" t="s">
        <v>40</v>
      </c>
      <c r="H2230" s="384">
        <v>16.5</v>
      </c>
      <c r="I2230" s="376">
        <v>11</v>
      </c>
      <c r="J2230" s="19">
        <v>0</v>
      </c>
      <c r="K2230" s="13">
        <v>0</v>
      </c>
      <c r="L2230" s="7" t="s">
        <v>483</v>
      </c>
    </row>
    <row r="2231" spans="1:12">
      <c r="A2231" s="7"/>
      <c r="B2231" s="381" t="s">
        <v>340</v>
      </c>
      <c r="C2231" s="3" t="s">
        <v>232</v>
      </c>
      <c r="D2231" s="2" t="s">
        <v>228</v>
      </c>
      <c r="E2231" s="382" t="s">
        <v>130</v>
      </c>
      <c r="F2231" s="114" t="s">
        <v>15</v>
      </c>
      <c r="G2231" s="383" t="s">
        <v>40</v>
      </c>
      <c r="H2231" s="384">
        <v>16.5</v>
      </c>
      <c r="I2231" s="376">
        <v>10</v>
      </c>
      <c r="J2231" s="19">
        <v>0</v>
      </c>
      <c r="K2231" s="13">
        <v>0</v>
      </c>
      <c r="L2231" s="7" t="s">
        <v>483</v>
      </c>
    </row>
    <row r="2232" spans="1:12">
      <c r="A2232" s="7"/>
      <c r="B2232" s="381" t="s">
        <v>340</v>
      </c>
      <c r="C2232" s="3" t="s">
        <v>232</v>
      </c>
      <c r="D2232" s="2" t="s">
        <v>228</v>
      </c>
      <c r="E2232" s="382" t="s">
        <v>130</v>
      </c>
      <c r="F2232" s="114" t="s">
        <v>15</v>
      </c>
      <c r="G2232" s="383" t="s">
        <v>40</v>
      </c>
      <c r="H2232" s="384">
        <v>16.5</v>
      </c>
      <c r="I2232" s="376">
        <v>7.2</v>
      </c>
      <c r="J2232" s="19">
        <v>2</v>
      </c>
      <c r="K2232" s="13">
        <v>0.23760000000000001</v>
      </c>
      <c r="L2232" s="7" t="s">
        <v>483</v>
      </c>
    </row>
    <row r="2233" spans="1:12">
      <c r="A2233" s="7"/>
      <c r="B2233" s="381" t="s">
        <v>340</v>
      </c>
      <c r="C2233" s="3" t="s">
        <v>232</v>
      </c>
      <c r="D2233" s="2" t="s">
        <v>228</v>
      </c>
      <c r="E2233" s="382" t="s">
        <v>130</v>
      </c>
      <c r="F2233" s="114" t="s">
        <v>15</v>
      </c>
      <c r="G2233" s="383" t="s">
        <v>40</v>
      </c>
      <c r="H2233" s="384">
        <v>16.5</v>
      </c>
      <c r="I2233" s="376">
        <v>10.199999999999999</v>
      </c>
      <c r="J2233" s="19">
        <v>0</v>
      </c>
      <c r="K2233" s="13">
        <v>0</v>
      </c>
      <c r="L2233" s="7" t="s">
        <v>483</v>
      </c>
    </row>
    <row r="2234" spans="1:12">
      <c r="A2234" s="7"/>
      <c r="B2234" s="381" t="s">
        <v>340</v>
      </c>
      <c r="C2234" s="3" t="s">
        <v>232</v>
      </c>
      <c r="D2234" s="2" t="s">
        <v>228</v>
      </c>
      <c r="E2234" s="382" t="s">
        <v>130</v>
      </c>
      <c r="F2234" s="114" t="s">
        <v>15</v>
      </c>
      <c r="G2234" s="383" t="s">
        <v>40</v>
      </c>
      <c r="H2234" s="384">
        <v>16.5</v>
      </c>
      <c r="I2234" s="376">
        <v>11</v>
      </c>
      <c r="J2234" s="19">
        <v>0</v>
      </c>
      <c r="K2234" s="13">
        <v>0</v>
      </c>
      <c r="L2234" s="7" t="s">
        <v>483</v>
      </c>
    </row>
    <row r="2235" spans="1:12">
      <c r="A2235" s="7"/>
      <c r="B2235" s="381" t="s">
        <v>340</v>
      </c>
      <c r="C2235" s="3" t="s">
        <v>232</v>
      </c>
      <c r="D2235" s="2" t="s">
        <v>228</v>
      </c>
      <c r="E2235" s="382" t="s">
        <v>130</v>
      </c>
      <c r="F2235" s="114" t="s">
        <v>15</v>
      </c>
      <c r="G2235" s="383" t="s">
        <v>40</v>
      </c>
      <c r="H2235" s="384">
        <v>16.5</v>
      </c>
      <c r="I2235" s="376">
        <v>11.3</v>
      </c>
      <c r="J2235" s="19">
        <v>0</v>
      </c>
      <c r="K2235" s="13">
        <v>0</v>
      </c>
      <c r="L2235" s="7" t="s">
        <v>483</v>
      </c>
    </row>
    <row r="2236" spans="1:12">
      <c r="A2236" s="7"/>
      <c r="B2236" s="381" t="s">
        <v>340</v>
      </c>
      <c r="C2236" s="3" t="s">
        <v>232</v>
      </c>
      <c r="D2236" s="2" t="s">
        <v>228</v>
      </c>
      <c r="E2236" s="382" t="s">
        <v>130</v>
      </c>
      <c r="F2236" s="114" t="s">
        <v>15</v>
      </c>
      <c r="G2236" s="383" t="s">
        <v>40</v>
      </c>
      <c r="H2236" s="384">
        <v>16.5</v>
      </c>
      <c r="I2236" s="376">
        <v>11</v>
      </c>
      <c r="J2236" s="19">
        <v>0</v>
      </c>
      <c r="K2236" s="13">
        <v>0</v>
      </c>
      <c r="L2236" s="7" t="s">
        <v>483</v>
      </c>
    </row>
    <row r="2237" spans="1:12">
      <c r="A2237" s="7"/>
      <c r="B2237" s="381" t="s">
        <v>340</v>
      </c>
      <c r="C2237" s="3" t="s">
        <v>232</v>
      </c>
      <c r="D2237" s="2" t="s">
        <v>228</v>
      </c>
      <c r="E2237" s="382" t="s">
        <v>130</v>
      </c>
      <c r="F2237" s="114" t="s">
        <v>15</v>
      </c>
      <c r="G2237" s="383" t="s">
        <v>40</v>
      </c>
      <c r="H2237" s="384">
        <v>16.5</v>
      </c>
      <c r="I2237" s="376">
        <v>7.4</v>
      </c>
      <c r="J2237" s="19">
        <v>0</v>
      </c>
      <c r="K2237" s="13">
        <v>0</v>
      </c>
      <c r="L2237" s="7" t="s">
        <v>483</v>
      </c>
    </row>
    <row r="2238" spans="1:12">
      <c r="A2238" s="7"/>
      <c r="B2238" s="381" t="s">
        <v>340</v>
      </c>
      <c r="C2238" s="3" t="s">
        <v>232</v>
      </c>
      <c r="D2238" s="2" t="s">
        <v>228</v>
      </c>
      <c r="E2238" s="382" t="s">
        <v>130</v>
      </c>
      <c r="F2238" s="114" t="s">
        <v>15</v>
      </c>
      <c r="G2238" s="383" t="s">
        <v>40</v>
      </c>
      <c r="H2238" s="384">
        <v>16.5</v>
      </c>
      <c r="I2238" s="376">
        <v>11.2</v>
      </c>
      <c r="J2238" s="19">
        <v>0</v>
      </c>
      <c r="K2238" s="13">
        <v>0</v>
      </c>
      <c r="L2238" s="7" t="s">
        <v>483</v>
      </c>
    </row>
    <row r="2239" spans="1:12">
      <c r="A2239" s="7"/>
      <c r="B2239" s="381" t="s">
        <v>340</v>
      </c>
      <c r="C2239" s="3" t="s">
        <v>232</v>
      </c>
      <c r="D2239" s="2" t="s">
        <v>228</v>
      </c>
      <c r="E2239" s="382" t="s">
        <v>130</v>
      </c>
      <c r="F2239" s="114" t="s">
        <v>15</v>
      </c>
      <c r="G2239" s="383" t="s">
        <v>40</v>
      </c>
      <c r="H2239" s="384">
        <v>16.5</v>
      </c>
      <c r="I2239" s="376">
        <v>7.1</v>
      </c>
      <c r="J2239" s="19">
        <v>8</v>
      </c>
      <c r="K2239" s="13">
        <v>0.93719999999999992</v>
      </c>
      <c r="L2239" s="7" t="s">
        <v>483</v>
      </c>
    </row>
    <row r="2240" spans="1:12">
      <c r="A2240" s="7"/>
      <c r="B2240" s="381" t="s">
        <v>340</v>
      </c>
      <c r="C2240" s="3" t="s">
        <v>232</v>
      </c>
      <c r="D2240" s="2" t="s">
        <v>228</v>
      </c>
      <c r="E2240" s="382" t="s">
        <v>130</v>
      </c>
      <c r="F2240" s="114" t="s">
        <v>15</v>
      </c>
      <c r="G2240" s="383" t="s">
        <v>40</v>
      </c>
      <c r="H2240" s="384">
        <v>16.5</v>
      </c>
      <c r="I2240" s="376">
        <v>6.9</v>
      </c>
      <c r="J2240" s="19">
        <v>3</v>
      </c>
      <c r="K2240" s="13">
        <v>0.34155000000000008</v>
      </c>
      <c r="L2240" s="7" t="s">
        <v>483</v>
      </c>
    </row>
    <row r="2241" spans="1:12">
      <c r="A2241" s="7"/>
      <c r="B2241" s="381" t="s">
        <v>340</v>
      </c>
      <c r="C2241" s="3" t="s">
        <v>232</v>
      </c>
      <c r="D2241" s="2" t="s">
        <v>228</v>
      </c>
      <c r="E2241" s="382" t="s">
        <v>130</v>
      </c>
      <c r="F2241" s="114" t="s">
        <v>15</v>
      </c>
      <c r="G2241" s="383" t="s">
        <v>40</v>
      </c>
      <c r="H2241" s="384">
        <v>16.5</v>
      </c>
      <c r="I2241" s="376">
        <v>6.7</v>
      </c>
      <c r="J2241" s="19">
        <v>1</v>
      </c>
      <c r="K2241" s="13">
        <v>0.11055</v>
      </c>
      <c r="L2241" s="7" t="s">
        <v>483</v>
      </c>
    </row>
    <row r="2242" spans="1:12">
      <c r="A2242" s="7"/>
      <c r="B2242" s="381" t="s">
        <v>339</v>
      </c>
      <c r="C2242" s="3" t="s">
        <v>232</v>
      </c>
      <c r="D2242" s="2" t="s">
        <v>228</v>
      </c>
      <c r="E2242" s="382" t="s">
        <v>130</v>
      </c>
      <c r="F2242" s="114" t="s">
        <v>15</v>
      </c>
      <c r="G2242" s="383" t="s">
        <v>40</v>
      </c>
      <c r="H2242" s="384">
        <v>16.5</v>
      </c>
      <c r="I2242" s="376">
        <v>7.4</v>
      </c>
      <c r="J2242" s="19">
        <v>0</v>
      </c>
      <c r="K2242" s="13">
        <v>0</v>
      </c>
      <c r="L2242" s="7" t="s">
        <v>483</v>
      </c>
    </row>
    <row r="2243" spans="1:12">
      <c r="A2243" s="7"/>
      <c r="B2243" s="381" t="s">
        <v>339</v>
      </c>
      <c r="C2243" s="3" t="s">
        <v>232</v>
      </c>
      <c r="D2243" s="2" t="s">
        <v>228</v>
      </c>
      <c r="E2243" s="382" t="s">
        <v>130</v>
      </c>
      <c r="F2243" s="114" t="s">
        <v>15</v>
      </c>
      <c r="G2243" s="383" t="s">
        <v>40</v>
      </c>
      <c r="H2243" s="384">
        <v>16.5</v>
      </c>
      <c r="I2243" s="376">
        <v>7.4</v>
      </c>
      <c r="J2243" s="19">
        <v>0</v>
      </c>
      <c r="K2243" s="13">
        <v>0</v>
      </c>
      <c r="L2243" s="7" t="s">
        <v>483</v>
      </c>
    </row>
    <row r="2244" spans="1:12">
      <c r="A2244" s="7"/>
      <c r="B2244" s="381" t="s">
        <v>339</v>
      </c>
      <c r="C2244" s="3" t="s">
        <v>232</v>
      </c>
      <c r="D2244" s="2" t="s">
        <v>228</v>
      </c>
      <c r="E2244" s="382" t="s">
        <v>130</v>
      </c>
      <c r="F2244" s="114" t="s">
        <v>15</v>
      </c>
      <c r="G2244" s="383" t="s">
        <v>40</v>
      </c>
      <c r="H2244" s="384">
        <v>16.5</v>
      </c>
      <c r="I2244" s="376">
        <v>11.15</v>
      </c>
      <c r="J2244" s="19">
        <v>0</v>
      </c>
      <c r="K2244" s="13">
        <v>0</v>
      </c>
      <c r="L2244" s="7" t="s">
        <v>483</v>
      </c>
    </row>
    <row r="2245" spans="1:12">
      <c r="A2245" s="7"/>
      <c r="B2245" s="381" t="s">
        <v>339</v>
      </c>
      <c r="C2245" s="3" t="s">
        <v>232</v>
      </c>
      <c r="D2245" s="2" t="s">
        <v>228</v>
      </c>
      <c r="E2245" s="382" t="s">
        <v>130</v>
      </c>
      <c r="F2245" s="114" t="s">
        <v>15</v>
      </c>
      <c r="G2245" s="383" t="s">
        <v>40</v>
      </c>
      <c r="H2245" s="384">
        <v>16.5</v>
      </c>
      <c r="I2245" s="376">
        <v>11.15</v>
      </c>
      <c r="J2245" s="19">
        <v>0</v>
      </c>
      <c r="K2245" s="13">
        <v>0</v>
      </c>
      <c r="L2245" s="7" t="s">
        <v>483</v>
      </c>
    </row>
    <row r="2246" spans="1:12">
      <c r="A2246" s="7"/>
      <c r="B2246" s="381" t="s">
        <v>339</v>
      </c>
      <c r="C2246" s="3" t="s">
        <v>232</v>
      </c>
      <c r="D2246" s="2" t="s">
        <v>228</v>
      </c>
      <c r="E2246" s="382" t="s">
        <v>130</v>
      </c>
      <c r="F2246" s="114" t="s">
        <v>15</v>
      </c>
      <c r="G2246" s="383" t="s">
        <v>40</v>
      </c>
      <c r="H2246" s="384">
        <v>16.5</v>
      </c>
      <c r="I2246" s="376">
        <v>7.4</v>
      </c>
      <c r="J2246" s="19">
        <v>0</v>
      </c>
      <c r="K2246" s="13">
        <v>0</v>
      </c>
      <c r="L2246" s="7" t="s">
        <v>483</v>
      </c>
    </row>
    <row r="2247" spans="1:12">
      <c r="A2247" s="7"/>
      <c r="B2247" s="381" t="s">
        <v>339</v>
      </c>
      <c r="C2247" s="3" t="s">
        <v>232</v>
      </c>
      <c r="D2247" s="2" t="s">
        <v>228</v>
      </c>
      <c r="E2247" s="382" t="s">
        <v>130</v>
      </c>
      <c r="F2247" s="114" t="s">
        <v>15</v>
      </c>
      <c r="G2247" s="383" t="s">
        <v>40</v>
      </c>
      <c r="H2247" s="384">
        <v>16.5</v>
      </c>
      <c r="I2247" s="376">
        <v>7.4</v>
      </c>
      <c r="J2247" s="19">
        <v>0</v>
      </c>
      <c r="K2247" s="13">
        <v>0</v>
      </c>
      <c r="L2247" s="7" t="s">
        <v>483</v>
      </c>
    </row>
    <row r="2248" spans="1:12">
      <c r="A2248" s="7"/>
      <c r="B2248" s="381" t="s">
        <v>339</v>
      </c>
      <c r="C2248" s="3" t="s">
        <v>232</v>
      </c>
      <c r="D2248" s="2" t="s">
        <v>228</v>
      </c>
      <c r="E2248" s="382" t="s">
        <v>130</v>
      </c>
      <c r="F2248" s="114" t="s">
        <v>15</v>
      </c>
      <c r="G2248" s="383" t="s">
        <v>40</v>
      </c>
      <c r="H2248" s="384">
        <v>16.5</v>
      </c>
      <c r="I2248" s="376">
        <v>7.4</v>
      </c>
      <c r="J2248" s="19">
        <v>0</v>
      </c>
      <c r="K2248" s="13">
        <v>0</v>
      </c>
      <c r="L2248" s="7" t="s">
        <v>483</v>
      </c>
    </row>
    <row r="2249" spans="1:12">
      <c r="A2249" s="7"/>
      <c r="B2249" s="381" t="s">
        <v>339</v>
      </c>
      <c r="C2249" s="3" t="s">
        <v>232</v>
      </c>
      <c r="D2249" s="2" t="s">
        <v>228</v>
      </c>
      <c r="E2249" s="382" t="s">
        <v>130</v>
      </c>
      <c r="F2249" s="114" t="s">
        <v>15</v>
      </c>
      <c r="G2249" s="383" t="s">
        <v>40</v>
      </c>
      <c r="H2249" s="384">
        <v>16.5</v>
      </c>
      <c r="I2249" s="376">
        <v>7.4</v>
      </c>
      <c r="J2249" s="19">
        <v>0</v>
      </c>
      <c r="K2249" s="13">
        <v>0</v>
      </c>
      <c r="L2249" s="7" t="s">
        <v>483</v>
      </c>
    </row>
    <row r="2250" spans="1:12">
      <c r="A2250" s="7"/>
      <c r="B2250" s="381" t="s">
        <v>339</v>
      </c>
      <c r="C2250" s="3" t="s">
        <v>232</v>
      </c>
      <c r="D2250" s="2" t="s">
        <v>228</v>
      </c>
      <c r="E2250" s="382" t="s">
        <v>130</v>
      </c>
      <c r="F2250" s="114" t="s">
        <v>15</v>
      </c>
      <c r="G2250" s="383" t="s">
        <v>40</v>
      </c>
      <c r="H2250" s="384">
        <v>16.5</v>
      </c>
      <c r="I2250" s="376">
        <v>7.4</v>
      </c>
      <c r="J2250" s="19">
        <v>0</v>
      </c>
      <c r="K2250" s="13">
        <v>0</v>
      </c>
      <c r="L2250" s="7" t="s">
        <v>483</v>
      </c>
    </row>
    <row r="2251" spans="1:12">
      <c r="A2251" s="7"/>
      <c r="B2251" s="381" t="s">
        <v>339</v>
      </c>
      <c r="C2251" s="3" t="s">
        <v>232</v>
      </c>
      <c r="D2251" s="2" t="s">
        <v>228</v>
      </c>
      <c r="E2251" s="382" t="s">
        <v>130</v>
      </c>
      <c r="F2251" s="114" t="s">
        <v>15</v>
      </c>
      <c r="G2251" s="383" t="s">
        <v>40</v>
      </c>
      <c r="H2251" s="384">
        <v>16.5</v>
      </c>
      <c r="I2251" s="376">
        <v>11.15</v>
      </c>
      <c r="J2251" s="19">
        <v>0</v>
      </c>
      <c r="K2251" s="13">
        <v>0</v>
      </c>
      <c r="L2251" s="7" t="s">
        <v>483</v>
      </c>
    </row>
    <row r="2252" spans="1:12">
      <c r="A2252" s="7"/>
      <c r="B2252" s="381" t="s">
        <v>339</v>
      </c>
      <c r="C2252" s="3" t="s">
        <v>232</v>
      </c>
      <c r="D2252" s="2" t="s">
        <v>228</v>
      </c>
      <c r="E2252" s="382" t="s">
        <v>130</v>
      </c>
      <c r="F2252" s="114" t="s">
        <v>15</v>
      </c>
      <c r="G2252" s="383" t="s">
        <v>40</v>
      </c>
      <c r="H2252" s="384">
        <v>16.5</v>
      </c>
      <c r="I2252" s="376">
        <v>7</v>
      </c>
      <c r="J2252" s="19">
        <v>1</v>
      </c>
      <c r="K2252" s="13">
        <v>0.11550000000000001</v>
      </c>
      <c r="L2252" s="7" t="s">
        <v>483</v>
      </c>
    </row>
    <row r="2253" spans="1:12">
      <c r="A2253" s="7"/>
      <c r="B2253" s="381" t="s">
        <v>339</v>
      </c>
      <c r="C2253" s="3" t="s">
        <v>232</v>
      </c>
      <c r="D2253" s="2" t="s">
        <v>228</v>
      </c>
      <c r="E2253" s="382" t="s">
        <v>130</v>
      </c>
      <c r="F2253" s="114" t="s">
        <v>15</v>
      </c>
      <c r="G2253" s="383" t="s">
        <v>40</v>
      </c>
      <c r="H2253" s="384">
        <v>16.5</v>
      </c>
      <c r="I2253" s="376">
        <v>7.1</v>
      </c>
      <c r="J2253" s="19">
        <v>1</v>
      </c>
      <c r="K2253" s="13">
        <v>0.11714999999999999</v>
      </c>
      <c r="L2253" s="7" t="s">
        <v>483</v>
      </c>
    </row>
    <row r="2254" spans="1:12">
      <c r="A2254" s="7"/>
      <c r="B2254" s="381" t="s">
        <v>339</v>
      </c>
      <c r="C2254" s="3" t="s">
        <v>232</v>
      </c>
      <c r="D2254" s="2" t="s">
        <v>228</v>
      </c>
      <c r="E2254" s="382" t="s">
        <v>130</v>
      </c>
      <c r="F2254" s="114" t="s">
        <v>15</v>
      </c>
      <c r="G2254" s="383" t="s">
        <v>40</v>
      </c>
      <c r="H2254" s="384">
        <v>16.5</v>
      </c>
      <c r="I2254" s="376">
        <v>7.4</v>
      </c>
      <c r="J2254" s="19">
        <v>0</v>
      </c>
      <c r="K2254" s="13">
        <v>0</v>
      </c>
      <c r="L2254" s="7" t="s">
        <v>483</v>
      </c>
    </row>
    <row r="2255" spans="1:12">
      <c r="A2255" s="7"/>
      <c r="B2255" s="381" t="s">
        <v>339</v>
      </c>
      <c r="C2255" s="3" t="s">
        <v>232</v>
      </c>
      <c r="D2255" s="2" t="s">
        <v>228</v>
      </c>
      <c r="E2255" s="382" t="s">
        <v>130</v>
      </c>
      <c r="F2255" s="114" t="s">
        <v>15</v>
      </c>
      <c r="G2255" s="383" t="s">
        <v>40</v>
      </c>
      <c r="H2255" s="384">
        <v>16.5</v>
      </c>
      <c r="I2255" s="376">
        <v>7.4</v>
      </c>
      <c r="J2255" s="19">
        <v>0</v>
      </c>
      <c r="K2255" s="13">
        <v>0</v>
      </c>
      <c r="L2255" s="7" t="s">
        <v>483</v>
      </c>
    </row>
    <row r="2256" spans="1:12">
      <c r="A2256" s="7"/>
      <c r="B2256" s="381" t="s">
        <v>339</v>
      </c>
      <c r="C2256" s="3" t="s">
        <v>232</v>
      </c>
      <c r="D2256" s="2" t="s">
        <v>228</v>
      </c>
      <c r="E2256" s="382" t="s">
        <v>130</v>
      </c>
      <c r="F2256" s="114" t="s">
        <v>15</v>
      </c>
      <c r="G2256" s="383" t="s">
        <v>40</v>
      </c>
      <c r="H2256" s="384">
        <v>16.5</v>
      </c>
      <c r="I2256" s="376">
        <v>7.4</v>
      </c>
      <c r="J2256" s="19">
        <v>0</v>
      </c>
      <c r="K2256" s="13">
        <v>0</v>
      </c>
      <c r="L2256" s="7" t="s">
        <v>483</v>
      </c>
    </row>
    <row r="2257" spans="1:12">
      <c r="A2257" s="7"/>
      <c r="B2257" s="381" t="s">
        <v>339</v>
      </c>
      <c r="C2257" s="3" t="s">
        <v>232</v>
      </c>
      <c r="D2257" s="2" t="s">
        <v>228</v>
      </c>
      <c r="E2257" s="382" t="s">
        <v>130</v>
      </c>
      <c r="F2257" s="114" t="s">
        <v>15</v>
      </c>
      <c r="G2257" s="383" t="s">
        <v>40</v>
      </c>
      <c r="H2257" s="384">
        <v>16.5</v>
      </c>
      <c r="I2257" s="376">
        <v>7.4</v>
      </c>
      <c r="J2257" s="19">
        <v>0</v>
      </c>
      <c r="K2257" s="13">
        <v>0</v>
      </c>
      <c r="L2257" s="7" t="s">
        <v>483</v>
      </c>
    </row>
    <row r="2258" spans="1:12">
      <c r="A2258" s="7"/>
      <c r="B2258" s="381" t="s">
        <v>339</v>
      </c>
      <c r="C2258" s="3" t="s">
        <v>232</v>
      </c>
      <c r="D2258" s="2" t="s">
        <v>228</v>
      </c>
      <c r="E2258" s="382" t="s">
        <v>130</v>
      </c>
      <c r="F2258" s="114" t="s">
        <v>15</v>
      </c>
      <c r="G2258" s="383" t="s">
        <v>40</v>
      </c>
      <c r="H2258" s="384">
        <v>16.5</v>
      </c>
      <c r="I2258" s="376">
        <v>11.15</v>
      </c>
      <c r="J2258" s="19">
        <v>0</v>
      </c>
      <c r="K2258" s="13">
        <v>0</v>
      </c>
      <c r="L2258" s="7" t="s">
        <v>483</v>
      </c>
    </row>
    <row r="2259" spans="1:12">
      <c r="A2259" s="7"/>
      <c r="B2259" s="381" t="s">
        <v>339</v>
      </c>
      <c r="C2259" s="3" t="s">
        <v>232</v>
      </c>
      <c r="D2259" s="2" t="s">
        <v>228</v>
      </c>
      <c r="E2259" s="382" t="s">
        <v>130</v>
      </c>
      <c r="F2259" s="114" t="s">
        <v>15</v>
      </c>
      <c r="G2259" s="383" t="s">
        <v>40</v>
      </c>
      <c r="H2259" s="384">
        <v>16.5</v>
      </c>
      <c r="I2259" s="376">
        <v>7.4</v>
      </c>
      <c r="J2259" s="19">
        <v>0</v>
      </c>
      <c r="K2259" s="13">
        <v>0</v>
      </c>
      <c r="L2259" s="7" t="s">
        <v>483</v>
      </c>
    </row>
    <row r="2260" spans="1:12">
      <c r="A2260" s="7"/>
      <c r="B2260" s="381" t="s">
        <v>339</v>
      </c>
      <c r="C2260" s="3" t="s">
        <v>232</v>
      </c>
      <c r="D2260" s="2" t="s">
        <v>228</v>
      </c>
      <c r="E2260" s="382" t="s">
        <v>130</v>
      </c>
      <c r="F2260" s="114" t="s">
        <v>15</v>
      </c>
      <c r="G2260" s="383" t="s">
        <v>40</v>
      </c>
      <c r="H2260" s="384">
        <v>16.5</v>
      </c>
      <c r="I2260" s="376">
        <v>11.15</v>
      </c>
      <c r="J2260" s="19">
        <v>0</v>
      </c>
      <c r="K2260" s="13">
        <v>0</v>
      </c>
      <c r="L2260" s="7" t="s">
        <v>483</v>
      </c>
    </row>
    <row r="2261" spans="1:12">
      <c r="A2261" s="7"/>
      <c r="B2261" s="381" t="s">
        <v>339</v>
      </c>
      <c r="C2261" s="3" t="s">
        <v>232</v>
      </c>
      <c r="D2261" s="2" t="s">
        <v>228</v>
      </c>
      <c r="E2261" s="382" t="s">
        <v>130</v>
      </c>
      <c r="F2261" s="114" t="s">
        <v>15</v>
      </c>
      <c r="G2261" s="383" t="s">
        <v>40</v>
      </c>
      <c r="H2261" s="384">
        <v>16.5</v>
      </c>
      <c r="I2261" s="376">
        <v>11.15</v>
      </c>
      <c r="J2261" s="19">
        <v>0</v>
      </c>
      <c r="K2261" s="13">
        <v>0</v>
      </c>
      <c r="L2261" s="7" t="s">
        <v>483</v>
      </c>
    </row>
    <row r="2262" spans="1:12">
      <c r="A2262" s="7"/>
      <c r="B2262" s="381" t="s">
        <v>339</v>
      </c>
      <c r="C2262" s="3" t="s">
        <v>232</v>
      </c>
      <c r="D2262" s="2" t="s">
        <v>228</v>
      </c>
      <c r="E2262" s="382" t="s">
        <v>130</v>
      </c>
      <c r="F2262" s="114" t="s">
        <v>15</v>
      </c>
      <c r="G2262" s="383" t="s">
        <v>40</v>
      </c>
      <c r="H2262" s="384">
        <v>16.5</v>
      </c>
      <c r="I2262" s="376">
        <v>7.4</v>
      </c>
      <c r="J2262" s="19">
        <v>0</v>
      </c>
      <c r="K2262" s="13">
        <v>0</v>
      </c>
      <c r="L2262" s="7" t="s">
        <v>483</v>
      </c>
    </row>
    <row r="2263" spans="1:12">
      <c r="A2263" s="7"/>
      <c r="B2263" s="381" t="s">
        <v>339</v>
      </c>
      <c r="C2263" s="3" t="s">
        <v>232</v>
      </c>
      <c r="D2263" s="2" t="s">
        <v>228</v>
      </c>
      <c r="E2263" s="382" t="s">
        <v>130</v>
      </c>
      <c r="F2263" s="114" t="s">
        <v>15</v>
      </c>
      <c r="G2263" s="383" t="s">
        <v>40</v>
      </c>
      <c r="H2263" s="384">
        <v>16.5</v>
      </c>
      <c r="I2263" s="376">
        <v>7.4</v>
      </c>
      <c r="J2263" s="19">
        <v>0</v>
      </c>
      <c r="K2263" s="13">
        <v>0</v>
      </c>
      <c r="L2263" s="7" t="s">
        <v>483</v>
      </c>
    </row>
    <row r="2264" spans="1:12">
      <c r="A2264" s="7"/>
      <c r="B2264" s="381" t="s">
        <v>339</v>
      </c>
      <c r="C2264" s="3" t="s">
        <v>232</v>
      </c>
      <c r="D2264" s="2" t="s">
        <v>228</v>
      </c>
      <c r="E2264" s="382" t="s">
        <v>130</v>
      </c>
      <c r="F2264" s="114" t="s">
        <v>15</v>
      </c>
      <c r="G2264" s="383" t="s">
        <v>40</v>
      </c>
      <c r="H2264" s="384">
        <v>16.5</v>
      </c>
      <c r="I2264" s="376">
        <v>7.4</v>
      </c>
      <c r="J2264" s="19">
        <v>0</v>
      </c>
      <c r="K2264" s="13">
        <v>0</v>
      </c>
      <c r="L2264" s="7" t="s">
        <v>483</v>
      </c>
    </row>
    <row r="2265" spans="1:12">
      <c r="A2265" s="7"/>
      <c r="B2265" s="381" t="s">
        <v>339</v>
      </c>
      <c r="C2265" s="3" t="s">
        <v>232</v>
      </c>
      <c r="D2265" s="2" t="s">
        <v>228</v>
      </c>
      <c r="E2265" s="382" t="s">
        <v>130</v>
      </c>
      <c r="F2265" s="114" t="s">
        <v>15</v>
      </c>
      <c r="G2265" s="383" t="s">
        <v>40</v>
      </c>
      <c r="H2265" s="384">
        <v>16.5</v>
      </c>
      <c r="I2265" s="376">
        <v>7.4</v>
      </c>
      <c r="J2265" s="19">
        <v>0</v>
      </c>
      <c r="K2265" s="13">
        <v>0</v>
      </c>
      <c r="L2265" s="7" t="s">
        <v>483</v>
      </c>
    </row>
    <row r="2266" spans="1:12">
      <c r="A2266" s="7"/>
      <c r="B2266" s="381" t="s">
        <v>339</v>
      </c>
      <c r="C2266" s="3" t="s">
        <v>232</v>
      </c>
      <c r="D2266" s="2" t="s">
        <v>228</v>
      </c>
      <c r="E2266" s="382" t="s">
        <v>130</v>
      </c>
      <c r="F2266" s="114" t="s">
        <v>15</v>
      </c>
      <c r="G2266" s="383" t="s">
        <v>40</v>
      </c>
      <c r="H2266" s="384">
        <v>16.5</v>
      </c>
      <c r="I2266" s="376">
        <v>7.4</v>
      </c>
      <c r="J2266" s="19">
        <v>0</v>
      </c>
      <c r="K2266" s="13">
        <v>0</v>
      </c>
      <c r="L2266" s="7" t="s">
        <v>483</v>
      </c>
    </row>
    <row r="2267" spans="1:12">
      <c r="A2267" s="7"/>
      <c r="B2267" s="381" t="s">
        <v>339</v>
      </c>
      <c r="C2267" s="3" t="s">
        <v>232</v>
      </c>
      <c r="D2267" s="2" t="s">
        <v>228</v>
      </c>
      <c r="E2267" s="382" t="s">
        <v>130</v>
      </c>
      <c r="F2267" s="114" t="s">
        <v>15</v>
      </c>
      <c r="G2267" s="383" t="s">
        <v>40</v>
      </c>
      <c r="H2267" s="384">
        <v>16.5</v>
      </c>
      <c r="I2267" s="376">
        <v>7.4</v>
      </c>
      <c r="J2267" s="19">
        <v>0</v>
      </c>
      <c r="K2267" s="13">
        <v>0</v>
      </c>
      <c r="L2267" s="7" t="s">
        <v>483</v>
      </c>
    </row>
    <row r="2268" spans="1:12">
      <c r="A2268" s="7"/>
      <c r="B2268" s="381" t="s">
        <v>339</v>
      </c>
      <c r="C2268" s="3" t="s">
        <v>232</v>
      </c>
      <c r="D2268" s="2" t="s">
        <v>228</v>
      </c>
      <c r="E2268" s="382" t="s">
        <v>130</v>
      </c>
      <c r="F2268" s="114" t="s">
        <v>15</v>
      </c>
      <c r="G2268" s="383" t="s">
        <v>40</v>
      </c>
      <c r="H2268" s="384">
        <v>16.5</v>
      </c>
      <c r="I2268" s="376">
        <v>7.4</v>
      </c>
      <c r="J2268" s="19">
        <v>0</v>
      </c>
      <c r="K2268" s="13">
        <v>0</v>
      </c>
      <c r="L2268" s="7" t="s">
        <v>483</v>
      </c>
    </row>
    <row r="2269" spans="1:12">
      <c r="A2269" s="7"/>
      <c r="B2269" s="381" t="s">
        <v>339</v>
      </c>
      <c r="C2269" s="3" t="s">
        <v>232</v>
      </c>
      <c r="D2269" s="2" t="s">
        <v>228</v>
      </c>
      <c r="E2269" s="382" t="s">
        <v>130</v>
      </c>
      <c r="F2269" s="114" t="s">
        <v>15</v>
      </c>
      <c r="G2269" s="383" t="s">
        <v>40</v>
      </c>
      <c r="H2269" s="384">
        <v>16.5</v>
      </c>
      <c r="I2269" s="376">
        <v>11.15</v>
      </c>
      <c r="J2269" s="19">
        <v>0</v>
      </c>
      <c r="K2269" s="13">
        <v>0</v>
      </c>
      <c r="L2269" s="7" t="s">
        <v>483</v>
      </c>
    </row>
    <row r="2270" spans="1:12">
      <c r="A2270" s="7"/>
      <c r="B2270" s="381" t="s">
        <v>339</v>
      </c>
      <c r="C2270" s="3" t="s">
        <v>232</v>
      </c>
      <c r="D2270" s="2" t="s">
        <v>228</v>
      </c>
      <c r="E2270" s="382" t="s">
        <v>130</v>
      </c>
      <c r="F2270" s="114" t="s">
        <v>15</v>
      </c>
      <c r="G2270" s="383" t="s">
        <v>40</v>
      </c>
      <c r="H2270" s="384">
        <v>16.5</v>
      </c>
      <c r="I2270" s="376">
        <v>7.05</v>
      </c>
      <c r="J2270" s="19">
        <v>2</v>
      </c>
      <c r="K2270" s="13">
        <v>0.23265</v>
      </c>
      <c r="L2270" s="7" t="s">
        <v>483</v>
      </c>
    </row>
    <row r="2271" spans="1:12">
      <c r="A2271" s="7"/>
      <c r="B2271" s="381" t="s">
        <v>339</v>
      </c>
      <c r="C2271" s="3" t="s">
        <v>232</v>
      </c>
      <c r="D2271" s="2" t="s">
        <v>228</v>
      </c>
      <c r="E2271" s="382" t="s">
        <v>130</v>
      </c>
      <c r="F2271" s="114" t="s">
        <v>15</v>
      </c>
      <c r="G2271" s="383" t="s">
        <v>40</v>
      </c>
      <c r="H2271" s="384">
        <v>16.5</v>
      </c>
      <c r="I2271" s="376">
        <v>7.2</v>
      </c>
      <c r="J2271" s="19">
        <v>0</v>
      </c>
      <c r="K2271" s="13">
        <v>0</v>
      </c>
      <c r="L2271" s="7" t="s">
        <v>483</v>
      </c>
    </row>
    <row r="2272" spans="1:12">
      <c r="A2272" s="7"/>
      <c r="B2272" s="381" t="s">
        <v>339</v>
      </c>
      <c r="C2272" s="3" t="s">
        <v>232</v>
      </c>
      <c r="D2272" s="2" t="s">
        <v>228</v>
      </c>
      <c r="E2272" s="382" t="s">
        <v>130</v>
      </c>
      <c r="F2272" s="114" t="s">
        <v>15</v>
      </c>
      <c r="G2272" s="383" t="s">
        <v>40</v>
      </c>
      <c r="H2272" s="384">
        <v>16.5</v>
      </c>
      <c r="I2272" s="376">
        <v>7.3</v>
      </c>
      <c r="J2272" s="19">
        <v>0</v>
      </c>
      <c r="K2272" s="13">
        <v>0</v>
      </c>
      <c r="L2272" s="7" t="s">
        <v>483</v>
      </c>
    </row>
    <row r="2273" spans="1:12">
      <c r="A2273" s="7"/>
      <c r="B2273" s="381" t="s">
        <v>339</v>
      </c>
      <c r="C2273" s="3" t="s">
        <v>232</v>
      </c>
      <c r="D2273" s="2" t="s">
        <v>228</v>
      </c>
      <c r="E2273" s="382" t="s">
        <v>130</v>
      </c>
      <c r="F2273" s="114" t="s">
        <v>15</v>
      </c>
      <c r="G2273" s="383" t="s">
        <v>40</v>
      </c>
      <c r="H2273" s="384">
        <v>16.5</v>
      </c>
      <c r="I2273" s="376">
        <v>10.8</v>
      </c>
      <c r="J2273" s="19">
        <v>0</v>
      </c>
      <c r="K2273" s="13">
        <v>0</v>
      </c>
      <c r="L2273" s="7" t="s">
        <v>483</v>
      </c>
    </row>
    <row r="2274" spans="1:12">
      <c r="A2274" s="7"/>
      <c r="B2274" s="381" t="s">
        <v>344</v>
      </c>
      <c r="C2274" s="3" t="s">
        <v>232</v>
      </c>
      <c r="D2274" s="2" t="s">
        <v>228</v>
      </c>
      <c r="E2274" s="382" t="s">
        <v>342</v>
      </c>
      <c r="F2274" s="114" t="s">
        <v>15</v>
      </c>
      <c r="G2274" s="383" t="s">
        <v>40</v>
      </c>
      <c r="H2274" s="384">
        <v>16.5</v>
      </c>
      <c r="I2274" s="376">
        <v>8.3000000000000007</v>
      </c>
      <c r="J2274" s="19">
        <v>0</v>
      </c>
      <c r="K2274" s="13">
        <v>0</v>
      </c>
      <c r="L2274" s="7" t="s">
        <v>483</v>
      </c>
    </row>
    <row r="2275" spans="1:12">
      <c r="A2275" s="7"/>
      <c r="B2275" s="381" t="s">
        <v>344</v>
      </c>
      <c r="C2275" s="3" t="s">
        <v>232</v>
      </c>
      <c r="D2275" s="2" t="s">
        <v>228</v>
      </c>
      <c r="E2275" s="382" t="s">
        <v>342</v>
      </c>
      <c r="F2275" s="114" t="s">
        <v>15</v>
      </c>
      <c r="G2275" s="383" t="s">
        <v>40</v>
      </c>
      <c r="H2275" s="384">
        <v>16.5</v>
      </c>
      <c r="I2275" s="376">
        <v>9.1</v>
      </c>
      <c r="J2275" s="19">
        <v>0</v>
      </c>
      <c r="K2275" s="13">
        <v>0</v>
      </c>
      <c r="L2275" s="7" t="s">
        <v>483</v>
      </c>
    </row>
    <row r="2276" spans="1:12">
      <c r="A2276" s="7"/>
      <c r="B2276" s="381" t="s">
        <v>344</v>
      </c>
      <c r="C2276" s="3" t="s">
        <v>232</v>
      </c>
      <c r="D2276" s="2" t="s">
        <v>228</v>
      </c>
      <c r="E2276" s="382" t="s">
        <v>342</v>
      </c>
      <c r="F2276" s="114" t="s">
        <v>15</v>
      </c>
      <c r="G2276" s="383" t="s">
        <v>40</v>
      </c>
      <c r="H2276" s="384">
        <v>16.5</v>
      </c>
      <c r="I2276" s="376">
        <v>11.3</v>
      </c>
      <c r="J2276" s="19">
        <v>0</v>
      </c>
      <c r="K2276" s="13">
        <v>0</v>
      </c>
      <c r="L2276" s="7" t="s">
        <v>483</v>
      </c>
    </row>
    <row r="2277" spans="1:12">
      <c r="A2277" s="7"/>
      <c r="B2277" s="381" t="s">
        <v>344</v>
      </c>
      <c r="C2277" s="3" t="s">
        <v>232</v>
      </c>
      <c r="D2277" s="2" t="s">
        <v>228</v>
      </c>
      <c r="E2277" s="382" t="s">
        <v>342</v>
      </c>
      <c r="F2277" s="114" t="s">
        <v>15</v>
      </c>
      <c r="G2277" s="383" t="s">
        <v>40</v>
      </c>
      <c r="H2277" s="384">
        <v>16.5</v>
      </c>
      <c r="I2277" s="376">
        <v>9.1</v>
      </c>
      <c r="J2277" s="19">
        <v>6</v>
      </c>
      <c r="K2277" s="13">
        <v>0.90089999999999981</v>
      </c>
      <c r="L2277" s="7" t="s">
        <v>483</v>
      </c>
    </row>
    <row r="2278" spans="1:12">
      <c r="A2278" s="7"/>
      <c r="B2278" s="381" t="s">
        <v>344</v>
      </c>
      <c r="C2278" s="3" t="s">
        <v>232</v>
      </c>
      <c r="D2278" s="2" t="s">
        <v>228</v>
      </c>
      <c r="E2278" s="382" t="s">
        <v>342</v>
      </c>
      <c r="F2278" s="114" t="s">
        <v>15</v>
      </c>
      <c r="G2278" s="383" t="s">
        <v>40</v>
      </c>
      <c r="H2278" s="384">
        <v>16.5</v>
      </c>
      <c r="I2278" s="376">
        <v>11.2</v>
      </c>
      <c r="J2278" s="19">
        <v>1</v>
      </c>
      <c r="K2278" s="13">
        <v>0.18479999999999999</v>
      </c>
      <c r="L2278" s="7" t="s">
        <v>483</v>
      </c>
    </row>
    <row r="2279" spans="1:12">
      <c r="A2279" s="7"/>
      <c r="B2279" s="381" t="s">
        <v>344</v>
      </c>
      <c r="C2279" s="3" t="s">
        <v>232</v>
      </c>
      <c r="D2279" s="2" t="s">
        <v>228</v>
      </c>
      <c r="E2279" s="382" t="s">
        <v>342</v>
      </c>
      <c r="F2279" s="114" t="s">
        <v>15</v>
      </c>
      <c r="G2279" s="383" t="s">
        <v>40</v>
      </c>
      <c r="H2279" s="384">
        <v>16.5</v>
      </c>
      <c r="I2279" s="376">
        <v>7.9</v>
      </c>
      <c r="J2279" s="19">
        <v>2</v>
      </c>
      <c r="K2279" s="13">
        <v>0.26069999999999999</v>
      </c>
      <c r="L2279" s="7" t="s">
        <v>483</v>
      </c>
    </row>
    <row r="2280" spans="1:12">
      <c r="A2280" s="7"/>
      <c r="B2280" s="381" t="s">
        <v>344</v>
      </c>
      <c r="C2280" s="3" t="s">
        <v>232</v>
      </c>
      <c r="D2280" s="2" t="s">
        <v>228</v>
      </c>
      <c r="E2280" s="382" t="s">
        <v>342</v>
      </c>
      <c r="F2280" s="114" t="s">
        <v>15</v>
      </c>
      <c r="G2280" s="383" t="s">
        <v>40</v>
      </c>
      <c r="H2280" s="384">
        <v>16.5</v>
      </c>
      <c r="I2280" s="376">
        <v>11.3</v>
      </c>
      <c r="J2280" s="19">
        <v>0</v>
      </c>
      <c r="K2280" s="13">
        <v>0</v>
      </c>
      <c r="L2280" s="7" t="s">
        <v>483</v>
      </c>
    </row>
    <row r="2281" spans="1:12">
      <c r="A2281" s="7"/>
      <c r="B2281" s="381" t="s">
        <v>344</v>
      </c>
      <c r="C2281" s="3" t="s">
        <v>232</v>
      </c>
      <c r="D2281" s="2" t="s">
        <v>228</v>
      </c>
      <c r="E2281" s="382" t="s">
        <v>342</v>
      </c>
      <c r="F2281" s="114" t="s">
        <v>15</v>
      </c>
      <c r="G2281" s="383" t="s">
        <v>39</v>
      </c>
      <c r="H2281" s="384">
        <v>14.7</v>
      </c>
      <c r="I2281" s="376">
        <v>7.3</v>
      </c>
      <c r="J2281" s="19">
        <v>0</v>
      </c>
      <c r="K2281" s="13">
        <v>0</v>
      </c>
      <c r="L2281" s="7" t="s">
        <v>483</v>
      </c>
    </row>
    <row r="2282" spans="1:12">
      <c r="A2282" s="7"/>
      <c r="B2282" s="381" t="s">
        <v>344</v>
      </c>
      <c r="C2282" s="3" t="s">
        <v>232</v>
      </c>
      <c r="D2282" s="2" t="s">
        <v>228</v>
      </c>
      <c r="E2282" s="382" t="s">
        <v>342</v>
      </c>
      <c r="F2282" s="114" t="s">
        <v>15</v>
      </c>
      <c r="G2282" s="383" t="s">
        <v>39</v>
      </c>
      <c r="H2282" s="384">
        <v>14.7</v>
      </c>
      <c r="I2282" s="376">
        <v>7.7</v>
      </c>
      <c r="J2282" s="19">
        <v>0</v>
      </c>
      <c r="K2282" s="13">
        <v>0</v>
      </c>
      <c r="L2282" s="7" t="s">
        <v>483</v>
      </c>
    </row>
    <row r="2283" spans="1:12">
      <c r="A2283" s="7"/>
      <c r="B2283" s="381" t="s">
        <v>344</v>
      </c>
      <c r="C2283" s="3" t="s">
        <v>232</v>
      </c>
      <c r="D2283" s="2" t="s">
        <v>228</v>
      </c>
      <c r="E2283" s="382" t="s">
        <v>342</v>
      </c>
      <c r="F2283" s="114" t="s">
        <v>15</v>
      </c>
      <c r="G2283" s="383" t="s">
        <v>39</v>
      </c>
      <c r="H2283" s="384">
        <v>14.7</v>
      </c>
      <c r="I2283" s="376">
        <v>9.6</v>
      </c>
      <c r="J2283" s="19">
        <v>0</v>
      </c>
      <c r="K2283" s="13">
        <v>0</v>
      </c>
      <c r="L2283" s="7" t="s">
        <v>483</v>
      </c>
    </row>
    <row r="2284" spans="1:12">
      <c r="A2284" s="7"/>
      <c r="B2284" s="381" t="s">
        <v>344</v>
      </c>
      <c r="C2284" s="3" t="s">
        <v>232</v>
      </c>
      <c r="D2284" s="2" t="s">
        <v>228</v>
      </c>
      <c r="E2284" s="382" t="s">
        <v>342</v>
      </c>
      <c r="F2284" s="114" t="s">
        <v>15</v>
      </c>
      <c r="G2284" s="383" t="s">
        <v>39</v>
      </c>
      <c r="H2284" s="384">
        <v>14.7</v>
      </c>
      <c r="I2284" s="376">
        <v>10.3</v>
      </c>
      <c r="J2284" s="19">
        <v>0</v>
      </c>
      <c r="K2284" s="13">
        <v>0</v>
      </c>
      <c r="L2284" s="7" t="s">
        <v>483</v>
      </c>
    </row>
    <row r="2285" spans="1:12">
      <c r="A2285" s="7"/>
      <c r="B2285" s="381" t="s">
        <v>344</v>
      </c>
      <c r="C2285" s="3" t="s">
        <v>232</v>
      </c>
      <c r="D2285" s="2" t="s">
        <v>228</v>
      </c>
      <c r="E2285" s="382" t="s">
        <v>342</v>
      </c>
      <c r="F2285" s="114" t="s">
        <v>15</v>
      </c>
      <c r="G2285" s="383" t="s">
        <v>39</v>
      </c>
      <c r="H2285" s="384">
        <v>14.7</v>
      </c>
      <c r="I2285" s="376">
        <v>11</v>
      </c>
      <c r="J2285" s="19">
        <v>0</v>
      </c>
      <c r="K2285" s="13">
        <v>0</v>
      </c>
      <c r="L2285" s="7" t="s">
        <v>483</v>
      </c>
    </row>
    <row r="2286" spans="1:12">
      <c r="A2286" s="7"/>
      <c r="B2286" s="381" t="s">
        <v>344</v>
      </c>
      <c r="C2286" s="3" t="s">
        <v>232</v>
      </c>
      <c r="D2286" s="2" t="s">
        <v>228</v>
      </c>
      <c r="E2286" s="382" t="s">
        <v>342</v>
      </c>
      <c r="F2286" s="114" t="s">
        <v>15</v>
      </c>
      <c r="G2286" s="383" t="s">
        <v>39</v>
      </c>
      <c r="H2286" s="384">
        <v>14.7</v>
      </c>
      <c r="I2286" s="376">
        <v>11.3</v>
      </c>
      <c r="J2286" s="19">
        <v>0</v>
      </c>
      <c r="K2286" s="13">
        <v>0</v>
      </c>
      <c r="L2286" s="7" t="s">
        <v>483</v>
      </c>
    </row>
    <row r="2287" spans="1:12">
      <c r="A2287" s="7"/>
      <c r="B2287" s="381" t="s">
        <v>344</v>
      </c>
      <c r="C2287" s="3" t="s">
        <v>232</v>
      </c>
      <c r="D2287" s="2" t="s">
        <v>228</v>
      </c>
      <c r="E2287" s="382" t="s">
        <v>342</v>
      </c>
      <c r="F2287" s="114" t="s">
        <v>15</v>
      </c>
      <c r="G2287" s="383" t="s">
        <v>39</v>
      </c>
      <c r="H2287" s="384">
        <v>14.7</v>
      </c>
      <c r="I2287" s="376">
        <v>11</v>
      </c>
      <c r="J2287" s="19">
        <v>0</v>
      </c>
      <c r="K2287" s="13">
        <v>0</v>
      </c>
      <c r="L2287" s="7" t="s">
        <v>483</v>
      </c>
    </row>
    <row r="2288" spans="1:12">
      <c r="A2288" s="7"/>
      <c r="B2288" s="381" t="s">
        <v>344</v>
      </c>
      <c r="C2288" s="3" t="s">
        <v>232</v>
      </c>
      <c r="D2288" s="2" t="s">
        <v>228</v>
      </c>
      <c r="E2288" s="382" t="s">
        <v>342</v>
      </c>
      <c r="F2288" s="114" t="s">
        <v>15</v>
      </c>
      <c r="G2288" s="383" t="s">
        <v>39</v>
      </c>
      <c r="H2288" s="384">
        <v>14.7</v>
      </c>
      <c r="I2288" s="376">
        <v>11.7</v>
      </c>
      <c r="J2288" s="19">
        <v>0</v>
      </c>
      <c r="K2288" s="13">
        <v>0</v>
      </c>
      <c r="L2288" s="7" t="s">
        <v>483</v>
      </c>
    </row>
    <row r="2289" spans="1:12">
      <c r="A2289" s="7"/>
      <c r="B2289" s="381" t="s">
        <v>344</v>
      </c>
      <c r="C2289" s="3" t="s">
        <v>232</v>
      </c>
      <c r="D2289" s="2" t="s">
        <v>228</v>
      </c>
      <c r="E2289" s="382" t="s">
        <v>342</v>
      </c>
      <c r="F2289" s="114" t="s">
        <v>15</v>
      </c>
      <c r="G2289" s="383" t="s">
        <v>39</v>
      </c>
      <c r="H2289" s="384">
        <v>14.7</v>
      </c>
      <c r="I2289" s="376">
        <v>8</v>
      </c>
      <c r="J2289" s="19">
        <v>0</v>
      </c>
      <c r="K2289" s="13">
        <v>0</v>
      </c>
      <c r="L2289" s="7" t="s">
        <v>483</v>
      </c>
    </row>
    <row r="2290" spans="1:12">
      <c r="A2290" s="7"/>
      <c r="B2290" s="381" t="s">
        <v>344</v>
      </c>
      <c r="C2290" s="3" t="s">
        <v>232</v>
      </c>
      <c r="D2290" s="2" t="s">
        <v>228</v>
      </c>
      <c r="E2290" s="382" t="s">
        <v>342</v>
      </c>
      <c r="F2290" s="114" t="s">
        <v>15</v>
      </c>
      <c r="G2290" s="383" t="s">
        <v>39</v>
      </c>
      <c r="H2290" s="384">
        <v>14.7</v>
      </c>
      <c r="I2290" s="376">
        <v>9.4</v>
      </c>
      <c r="J2290" s="19">
        <v>0</v>
      </c>
      <c r="K2290" s="13">
        <v>0</v>
      </c>
      <c r="L2290" s="7" t="s">
        <v>483</v>
      </c>
    </row>
    <row r="2291" spans="1:12">
      <c r="A2291" s="7"/>
      <c r="B2291" s="381" t="s">
        <v>344</v>
      </c>
      <c r="C2291" s="3" t="s">
        <v>232</v>
      </c>
      <c r="D2291" s="2" t="s">
        <v>228</v>
      </c>
      <c r="E2291" s="382" t="s">
        <v>342</v>
      </c>
      <c r="F2291" s="114" t="s">
        <v>15</v>
      </c>
      <c r="G2291" s="383" t="s">
        <v>39</v>
      </c>
      <c r="H2291" s="384">
        <v>14.7</v>
      </c>
      <c r="I2291" s="376">
        <v>10</v>
      </c>
      <c r="J2291" s="19">
        <v>0</v>
      </c>
      <c r="K2291" s="13">
        <v>0</v>
      </c>
      <c r="L2291" s="7" t="s">
        <v>483</v>
      </c>
    </row>
    <row r="2292" spans="1:12">
      <c r="A2292" s="7"/>
      <c r="B2292" s="381" t="s">
        <v>344</v>
      </c>
      <c r="C2292" s="3" t="s">
        <v>232</v>
      </c>
      <c r="D2292" s="2" t="s">
        <v>228</v>
      </c>
      <c r="E2292" s="382" t="s">
        <v>342</v>
      </c>
      <c r="F2292" s="114" t="s">
        <v>15</v>
      </c>
      <c r="G2292" s="383" t="s">
        <v>39</v>
      </c>
      <c r="H2292" s="384">
        <v>14.7</v>
      </c>
      <c r="I2292" s="376">
        <v>7</v>
      </c>
      <c r="J2292" s="19">
        <v>0</v>
      </c>
      <c r="K2292" s="13">
        <v>0</v>
      </c>
      <c r="L2292" s="7" t="s">
        <v>483</v>
      </c>
    </row>
    <row r="2293" spans="1:12">
      <c r="A2293" s="7"/>
      <c r="B2293" s="381" t="s">
        <v>344</v>
      </c>
      <c r="C2293" s="3" t="s">
        <v>232</v>
      </c>
      <c r="D2293" s="2" t="s">
        <v>228</v>
      </c>
      <c r="E2293" s="382" t="s">
        <v>130</v>
      </c>
      <c r="F2293" s="114" t="s">
        <v>15</v>
      </c>
      <c r="G2293" s="383" t="s">
        <v>39</v>
      </c>
      <c r="H2293" s="384">
        <v>14.7</v>
      </c>
      <c r="I2293" s="376">
        <v>12</v>
      </c>
      <c r="J2293" s="19">
        <v>0</v>
      </c>
      <c r="K2293" s="13">
        <v>0</v>
      </c>
      <c r="L2293" s="7" t="s">
        <v>483</v>
      </c>
    </row>
    <row r="2294" spans="1:12">
      <c r="A2294" s="7"/>
      <c r="B2294" s="381" t="s">
        <v>344</v>
      </c>
      <c r="C2294" s="3" t="s">
        <v>232</v>
      </c>
      <c r="D2294" s="2" t="s">
        <v>228</v>
      </c>
      <c r="E2294" s="382" t="s">
        <v>130</v>
      </c>
      <c r="F2294" s="114" t="s">
        <v>15</v>
      </c>
      <c r="G2294" s="383" t="s">
        <v>39</v>
      </c>
      <c r="H2294" s="384">
        <v>14.7</v>
      </c>
      <c r="I2294" s="376">
        <v>8.6</v>
      </c>
      <c r="J2294" s="19">
        <v>0</v>
      </c>
      <c r="K2294" s="13">
        <v>0</v>
      </c>
      <c r="L2294" s="7" t="s">
        <v>483</v>
      </c>
    </row>
    <row r="2295" spans="1:12">
      <c r="A2295" s="7"/>
      <c r="B2295" s="381" t="s">
        <v>344</v>
      </c>
      <c r="C2295" s="3" t="s">
        <v>232</v>
      </c>
      <c r="D2295" s="2" t="s">
        <v>228</v>
      </c>
      <c r="E2295" s="382" t="s">
        <v>130</v>
      </c>
      <c r="F2295" s="114" t="s">
        <v>15</v>
      </c>
      <c r="G2295" s="383" t="s">
        <v>39</v>
      </c>
      <c r="H2295" s="384">
        <v>14.7</v>
      </c>
      <c r="I2295" s="376">
        <v>12</v>
      </c>
      <c r="J2295" s="19">
        <v>0</v>
      </c>
      <c r="K2295" s="13">
        <v>0</v>
      </c>
      <c r="L2295" s="7" t="s">
        <v>483</v>
      </c>
    </row>
    <row r="2296" spans="1:12">
      <c r="A2296" s="7"/>
      <c r="B2296" s="381" t="s">
        <v>344</v>
      </c>
      <c r="C2296" s="3" t="s">
        <v>232</v>
      </c>
      <c r="D2296" s="2" t="s">
        <v>228</v>
      </c>
      <c r="E2296" s="382" t="s">
        <v>130</v>
      </c>
      <c r="F2296" s="114" t="s">
        <v>15</v>
      </c>
      <c r="G2296" s="383" t="s">
        <v>39</v>
      </c>
      <c r="H2296" s="384">
        <v>14.7</v>
      </c>
      <c r="I2296" s="376">
        <v>12</v>
      </c>
      <c r="J2296" s="19">
        <v>0</v>
      </c>
      <c r="K2296" s="13">
        <v>0</v>
      </c>
      <c r="L2296" s="7" t="s">
        <v>483</v>
      </c>
    </row>
    <row r="2297" spans="1:12">
      <c r="A2297" s="7"/>
      <c r="B2297" s="381" t="s">
        <v>344</v>
      </c>
      <c r="C2297" s="3" t="s">
        <v>232</v>
      </c>
      <c r="D2297" s="2" t="s">
        <v>228</v>
      </c>
      <c r="E2297" s="382" t="s">
        <v>130</v>
      </c>
      <c r="F2297" s="114" t="s">
        <v>15</v>
      </c>
      <c r="G2297" s="383" t="s">
        <v>39</v>
      </c>
      <c r="H2297" s="384">
        <v>14.7</v>
      </c>
      <c r="I2297" s="376">
        <v>8.6</v>
      </c>
      <c r="J2297" s="19">
        <v>0</v>
      </c>
      <c r="K2297" s="13">
        <v>0</v>
      </c>
      <c r="L2297" s="7" t="s">
        <v>483</v>
      </c>
    </row>
    <row r="2298" spans="1:12">
      <c r="A2298" s="7"/>
      <c r="B2298" s="381" t="s">
        <v>344</v>
      </c>
      <c r="C2298" s="3" t="s">
        <v>232</v>
      </c>
      <c r="D2298" s="2" t="s">
        <v>228</v>
      </c>
      <c r="E2298" s="382" t="s">
        <v>130</v>
      </c>
      <c r="F2298" s="114" t="s">
        <v>15</v>
      </c>
      <c r="G2298" s="383" t="s">
        <v>39</v>
      </c>
      <c r="H2298" s="384">
        <v>14.7</v>
      </c>
      <c r="I2298" s="376">
        <v>11</v>
      </c>
      <c r="J2298" s="19">
        <v>0</v>
      </c>
      <c r="K2298" s="13">
        <v>0</v>
      </c>
      <c r="L2298" s="7" t="s">
        <v>483</v>
      </c>
    </row>
    <row r="2299" spans="1:12">
      <c r="A2299" s="7"/>
      <c r="B2299" s="381" t="s">
        <v>344</v>
      </c>
      <c r="C2299" s="3" t="s">
        <v>232</v>
      </c>
      <c r="D2299" s="2" t="s">
        <v>228</v>
      </c>
      <c r="E2299" s="382" t="s">
        <v>130</v>
      </c>
      <c r="F2299" s="114" t="s">
        <v>15</v>
      </c>
      <c r="G2299" s="383" t="s">
        <v>39</v>
      </c>
      <c r="H2299" s="384">
        <v>14.7</v>
      </c>
      <c r="I2299" s="376">
        <v>11.7</v>
      </c>
      <c r="J2299" s="19">
        <v>0</v>
      </c>
      <c r="K2299" s="13">
        <v>0</v>
      </c>
      <c r="L2299" s="7" t="s">
        <v>483</v>
      </c>
    </row>
    <row r="2300" spans="1:12">
      <c r="A2300" s="7"/>
      <c r="B2300" s="381" t="s">
        <v>344</v>
      </c>
      <c r="C2300" s="3" t="s">
        <v>232</v>
      </c>
      <c r="D2300" s="2" t="s">
        <v>228</v>
      </c>
      <c r="E2300" s="382" t="s">
        <v>130</v>
      </c>
      <c r="F2300" s="114" t="s">
        <v>15</v>
      </c>
      <c r="G2300" s="383" t="s">
        <v>39</v>
      </c>
      <c r="H2300" s="384">
        <v>14.7</v>
      </c>
      <c r="I2300" s="376">
        <v>7.5</v>
      </c>
      <c r="J2300" s="19">
        <v>0</v>
      </c>
      <c r="K2300" s="13">
        <v>0</v>
      </c>
      <c r="L2300" s="7" t="s">
        <v>483</v>
      </c>
    </row>
    <row r="2301" spans="1:12">
      <c r="A2301" s="7"/>
      <c r="B2301" s="381" t="s">
        <v>344</v>
      </c>
      <c r="C2301" s="3" t="s">
        <v>232</v>
      </c>
      <c r="D2301" s="2" t="s">
        <v>228</v>
      </c>
      <c r="E2301" s="382" t="s">
        <v>130</v>
      </c>
      <c r="F2301" s="114" t="s">
        <v>15</v>
      </c>
      <c r="G2301" s="383" t="s">
        <v>39</v>
      </c>
      <c r="H2301" s="384">
        <v>14.7</v>
      </c>
      <c r="I2301" s="376">
        <v>10</v>
      </c>
      <c r="J2301" s="19">
        <v>0</v>
      </c>
      <c r="K2301" s="13">
        <v>0</v>
      </c>
      <c r="L2301" s="7" t="s">
        <v>483</v>
      </c>
    </row>
    <row r="2302" spans="1:12">
      <c r="A2302" s="7"/>
      <c r="B2302" s="381" t="s">
        <v>344</v>
      </c>
      <c r="C2302" s="3" t="s">
        <v>232</v>
      </c>
      <c r="D2302" s="2" t="s">
        <v>228</v>
      </c>
      <c r="E2302" s="382" t="s">
        <v>130</v>
      </c>
      <c r="F2302" s="114" t="s">
        <v>15</v>
      </c>
      <c r="G2302" s="383" t="s">
        <v>39</v>
      </c>
      <c r="H2302" s="384">
        <v>14.7</v>
      </c>
      <c r="I2302" s="376">
        <v>11</v>
      </c>
      <c r="J2302" s="19">
        <v>0</v>
      </c>
      <c r="K2302" s="13">
        <v>0</v>
      </c>
      <c r="L2302" s="7" t="s">
        <v>483</v>
      </c>
    </row>
    <row r="2303" spans="1:12">
      <c r="A2303" s="7"/>
      <c r="B2303" s="381" t="s">
        <v>344</v>
      </c>
      <c r="C2303" s="3" t="s">
        <v>232</v>
      </c>
      <c r="D2303" s="2" t="s">
        <v>228</v>
      </c>
      <c r="E2303" s="382" t="s">
        <v>130</v>
      </c>
      <c r="F2303" s="114" t="s">
        <v>15</v>
      </c>
      <c r="G2303" s="383" t="s">
        <v>39</v>
      </c>
      <c r="H2303" s="384">
        <v>14.7</v>
      </c>
      <c r="I2303" s="376">
        <v>11.7</v>
      </c>
      <c r="J2303" s="19">
        <v>0</v>
      </c>
      <c r="K2303" s="13">
        <v>0</v>
      </c>
      <c r="L2303" s="7" t="s">
        <v>483</v>
      </c>
    </row>
    <row r="2304" spans="1:12">
      <c r="A2304" s="7"/>
      <c r="B2304" s="381" t="s">
        <v>344</v>
      </c>
      <c r="C2304" s="3" t="s">
        <v>232</v>
      </c>
      <c r="D2304" s="2" t="s">
        <v>228</v>
      </c>
      <c r="E2304" s="382" t="s">
        <v>130</v>
      </c>
      <c r="F2304" s="114" t="s">
        <v>15</v>
      </c>
      <c r="G2304" s="383" t="s">
        <v>39</v>
      </c>
      <c r="H2304" s="384">
        <v>14.7</v>
      </c>
      <c r="I2304" s="376">
        <v>11.9</v>
      </c>
      <c r="J2304" s="19">
        <v>0</v>
      </c>
      <c r="K2304" s="13">
        <v>0</v>
      </c>
      <c r="L2304" s="7" t="s">
        <v>483</v>
      </c>
    </row>
    <row r="2305" spans="1:12">
      <c r="A2305" s="7"/>
      <c r="B2305" s="381" t="s">
        <v>344</v>
      </c>
      <c r="C2305" s="3" t="s">
        <v>232</v>
      </c>
      <c r="D2305" s="2" t="s">
        <v>228</v>
      </c>
      <c r="E2305" s="382" t="s">
        <v>130</v>
      </c>
      <c r="F2305" s="114" t="s">
        <v>15</v>
      </c>
      <c r="G2305" s="383" t="s">
        <v>38</v>
      </c>
      <c r="H2305" s="384">
        <v>12.9</v>
      </c>
      <c r="I2305" s="376">
        <v>8.5</v>
      </c>
      <c r="J2305" s="19">
        <v>0</v>
      </c>
      <c r="K2305" s="13">
        <v>0</v>
      </c>
      <c r="L2305" s="7" t="s">
        <v>483</v>
      </c>
    </row>
    <row r="2306" spans="1:12">
      <c r="A2306" s="7"/>
      <c r="B2306" s="381" t="s">
        <v>344</v>
      </c>
      <c r="C2306" s="3" t="s">
        <v>232</v>
      </c>
      <c r="D2306" s="2" t="s">
        <v>228</v>
      </c>
      <c r="E2306" s="382" t="s">
        <v>130</v>
      </c>
      <c r="F2306" s="114" t="s">
        <v>15</v>
      </c>
      <c r="G2306" s="383" t="s">
        <v>38</v>
      </c>
      <c r="H2306" s="384">
        <v>12.9</v>
      </c>
      <c r="I2306" s="376">
        <v>8.5</v>
      </c>
      <c r="J2306" s="19">
        <v>0</v>
      </c>
      <c r="K2306" s="13">
        <v>0</v>
      </c>
      <c r="L2306" s="7" t="s">
        <v>483</v>
      </c>
    </row>
    <row r="2307" spans="1:12">
      <c r="A2307" s="7"/>
      <c r="B2307" s="381" t="s">
        <v>344</v>
      </c>
      <c r="C2307" s="3" t="s">
        <v>232</v>
      </c>
      <c r="D2307" s="2" t="s">
        <v>228</v>
      </c>
      <c r="E2307" s="382" t="s">
        <v>130</v>
      </c>
      <c r="F2307" s="114" t="s">
        <v>15</v>
      </c>
      <c r="G2307" s="383" t="s">
        <v>38</v>
      </c>
      <c r="H2307" s="384">
        <v>12.9</v>
      </c>
      <c r="I2307" s="376">
        <v>8.4</v>
      </c>
      <c r="J2307" s="19">
        <v>0</v>
      </c>
      <c r="K2307" s="13">
        <v>0</v>
      </c>
      <c r="L2307" s="7" t="s">
        <v>483</v>
      </c>
    </row>
    <row r="2308" spans="1:12">
      <c r="A2308" s="7"/>
      <c r="B2308" s="381" t="s">
        <v>344</v>
      </c>
      <c r="C2308" s="3" t="s">
        <v>232</v>
      </c>
      <c r="D2308" s="2" t="s">
        <v>228</v>
      </c>
      <c r="E2308" s="382" t="s">
        <v>130</v>
      </c>
      <c r="F2308" s="114" t="s">
        <v>15</v>
      </c>
      <c r="G2308" s="383" t="s">
        <v>38</v>
      </c>
      <c r="H2308" s="384">
        <v>12.9</v>
      </c>
      <c r="I2308" s="376">
        <v>10</v>
      </c>
      <c r="J2308" s="64">
        <v>0</v>
      </c>
      <c r="K2308" s="65">
        <v>0</v>
      </c>
      <c r="L2308" s="7" t="s">
        <v>483</v>
      </c>
    </row>
    <row r="2309" spans="1:12">
      <c r="A2309" s="7"/>
      <c r="B2309" s="381" t="s">
        <v>344</v>
      </c>
      <c r="C2309" s="3" t="s">
        <v>232</v>
      </c>
      <c r="D2309" s="2" t="s">
        <v>228</v>
      </c>
      <c r="E2309" s="382" t="s">
        <v>130</v>
      </c>
      <c r="F2309" s="114" t="s">
        <v>15</v>
      </c>
      <c r="G2309" s="383" t="s">
        <v>38</v>
      </c>
      <c r="H2309" s="384">
        <v>12.9</v>
      </c>
      <c r="I2309" s="376">
        <v>9.8000000000000007</v>
      </c>
      <c r="J2309" s="19">
        <v>0</v>
      </c>
      <c r="K2309" s="13">
        <v>0</v>
      </c>
      <c r="L2309" s="7" t="s">
        <v>483</v>
      </c>
    </row>
    <row r="2310" spans="1:12">
      <c r="A2310" s="7"/>
      <c r="B2310" s="381" t="s">
        <v>344</v>
      </c>
      <c r="C2310" s="3" t="s">
        <v>232</v>
      </c>
      <c r="D2310" s="2" t="s">
        <v>228</v>
      </c>
      <c r="E2310" s="382" t="s">
        <v>130</v>
      </c>
      <c r="F2310" s="114" t="s">
        <v>15</v>
      </c>
      <c r="G2310" s="383" t="s">
        <v>38</v>
      </c>
      <c r="H2310" s="384">
        <v>12.9</v>
      </c>
      <c r="I2310" s="376">
        <v>7.5</v>
      </c>
      <c r="J2310" s="19">
        <v>3</v>
      </c>
      <c r="K2310" s="13">
        <v>0.29025000000000001</v>
      </c>
      <c r="L2310" s="7" t="s">
        <v>483</v>
      </c>
    </row>
    <row r="2311" spans="1:12">
      <c r="A2311" s="7"/>
      <c r="B2311" s="381" t="s">
        <v>344</v>
      </c>
      <c r="C2311" s="3" t="s">
        <v>232</v>
      </c>
      <c r="D2311" s="2" t="s">
        <v>228</v>
      </c>
      <c r="E2311" s="382" t="s">
        <v>130</v>
      </c>
      <c r="F2311" s="114" t="s">
        <v>15</v>
      </c>
      <c r="G2311" s="383" t="s">
        <v>38</v>
      </c>
      <c r="H2311" s="384">
        <v>12.9</v>
      </c>
      <c r="I2311" s="376">
        <v>8.1</v>
      </c>
      <c r="J2311" s="19">
        <v>3</v>
      </c>
      <c r="K2311" s="13">
        <v>0.31346999999999997</v>
      </c>
      <c r="L2311" s="7" t="s">
        <v>483</v>
      </c>
    </row>
    <row r="2312" spans="1:12">
      <c r="A2312" s="7"/>
      <c r="B2312" s="381" t="s">
        <v>344</v>
      </c>
      <c r="C2312" s="3" t="s">
        <v>232</v>
      </c>
      <c r="D2312" s="2" t="s">
        <v>228</v>
      </c>
      <c r="E2312" s="382" t="s">
        <v>130</v>
      </c>
      <c r="F2312" s="114" t="s">
        <v>15</v>
      </c>
      <c r="G2312" s="383" t="s">
        <v>38</v>
      </c>
      <c r="H2312" s="384">
        <v>12.9</v>
      </c>
      <c r="I2312" s="376">
        <v>10</v>
      </c>
      <c r="J2312" s="19">
        <v>0</v>
      </c>
      <c r="K2312" s="13">
        <v>0</v>
      </c>
      <c r="L2312" s="7" t="s">
        <v>483</v>
      </c>
    </row>
    <row r="2313" spans="1:12">
      <c r="A2313" s="7"/>
      <c r="B2313" s="381" t="s">
        <v>344</v>
      </c>
      <c r="C2313" s="3" t="s">
        <v>232</v>
      </c>
      <c r="D2313" s="2" t="s">
        <v>228</v>
      </c>
      <c r="E2313" s="382" t="s">
        <v>130</v>
      </c>
      <c r="F2313" s="114" t="s">
        <v>15</v>
      </c>
      <c r="G2313" s="383" t="s">
        <v>38</v>
      </c>
      <c r="H2313" s="384">
        <v>12.9</v>
      </c>
      <c r="I2313" s="376">
        <v>10</v>
      </c>
      <c r="J2313" s="19">
        <v>0</v>
      </c>
      <c r="K2313" s="13">
        <v>0</v>
      </c>
      <c r="L2313" s="7" t="s">
        <v>483</v>
      </c>
    </row>
    <row r="2314" spans="1:12">
      <c r="A2314" s="7"/>
      <c r="B2314" s="381" t="s">
        <v>344</v>
      </c>
      <c r="C2314" s="3" t="s">
        <v>232</v>
      </c>
      <c r="D2314" s="2" t="s">
        <v>228</v>
      </c>
      <c r="E2314" s="382" t="s">
        <v>130</v>
      </c>
      <c r="F2314" s="114" t="s">
        <v>15</v>
      </c>
      <c r="G2314" s="383" t="s">
        <v>38</v>
      </c>
      <c r="H2314" s="384">
        <v>12.9</v>
      </c>
      <c r="I2314" s="376">
        <v>8.5</v>
      </c>
      <c r="J2314" s="19">
        <v>0</v>
      </c>
      <c r="K2314" s="13">
        <v>0</v>
      </c>
      <c r="L2314" s="7" t="s">
        <v>483</v>
      </c>
    </row>
    <row r="2315" spans="1:12">
      <c r="A2315" s="7"/>
      <c r="B2315" s="381" t="s">
        <v>344</v>
      </c>
      <c r="C2315" s="3" t="s">
        <v>232</v>
      </c>
      <c r="D2315" s="2" t="s">
        <v>228</v>
      </c>
      <c r="E2315" s="382" t="s">
        <v>130</v>
      </c>
      <c r="F2315" s="114" t="s">
        <v>15</v>
      </c>
      <c r="G2315" s="383" t="s">
        <v>38</v>
      </c>
      <c r="H2315" s="384">
        <v>12.9</v>
      </c>
      <c r="I2315" s="376">
        <v>9.6999999999999993</v>
      </c>
      <c r="J2315" s="19">
        <v>0</v>
      </c>
      <c r="K2315" s="13">
        <v>0</v>
      </c>
      <c r="L2315" s="7" t="s">
        <v>483</v>
      </c>
    </row>
    <row r="2316" spans="1:12">
      <c r="A2316" s="7"/>
      <c r="B2316" s="381" t="s">
        <v>344</v>
      </c>
      <c r="C2316" s="3" t="s">
        <v>232</v>
      </c>
      <c r="D2316" s="2" t="s">
        <v>228</v>
      </c>
      <c r="E2316" s="382" t="s">
        <v>130</v>
      </c>
      <c r="F2316" s="114" t="s">
        <v>15</v>
      </c>
      <c r="G2316" s="383" t="s">
        <v>38</v>
      </c>
      <c r="H2316" s="384">
        <v>12.9</v>
      </c>
      <c r="I2316" s="376">
        <v>9.5</v>
      </c>
      <c r="J2316" s="19">
        <v>0</v>
      </c>
      <c r="K2316" s="13">
        <v>0</v>
      </c>
      <c r="L2316" s="7" t="s">
        <v>483</v>
      </c>
    </row>
    <row r="2317" spans="1:12">
      <c r="A2317" s="7"/>
      <c r="B2317" s="381" t="s">
        <v>344</v>
      </c>
      <c r="C2317" s="3" t="s">
        <v>232</v>
      </c>
      <c r="D2317" s="2" t="s">
        <v>228</v>
      </c>
      <c r="E2317" s="382" t="s">
        <v>130</v>
      </c>
      <c r="F2317" s="114" t="s">
        <v>15</v>
      </c>
      <c r="G2317" s="383" t="s">
        <v>38</v>
      </c>
      <c r="H2317" s="384">
        <v>12.9</v>
      </c>
      <c r="I2317" s="376">
        <v>8.3000000000000007</v>
      </c>
      <c r="J2317" s="19">
        <v>1</v>
      </c>
      <c r="K2317" s="13">
        <v>0.10707000000000001</v>
      </c>
      <c r="L2317" s="7" t="s">
        <v>483</v>
      </c>
    </row>
    <row r="2318" spans="1:12">
      <c r="A2318" s="7"/>
      <c r="B2318" s="381" t="s">
        <v>344</v>
      </c>
      <c r="C2318" s="3" t="s">
        <v>232</v>
      </c>
      <c r="D2318" s="2" t="s">
        <v>228</v>
      </c>
      <c r="E2318" s="382" t="s">
        <v>130</v>
      </c>
      <c r="F2318" s="114" t="s">
        <v>15</v>
      </c>
      <c r="G2318" s="383" t="s">
        <v>38</v>
      </c>
      <c r="H2318" s="384">
        <v>12.9</v>
      </c>
      <c r="I2318" s="376">
        <v>11.7</v>
      </c>
      <c r="J2318" s="19">
        <v>0</v>
      </c>
      <c r="K2318" s="13">
        <v>0</v>
      </c>
      <c r="L2318" s="7" t="s">
        <v>483</v>
      </c>
    </row>
    <row r="2319" spans="1:12">
      <c r="A2319" s="7"/>
      <c r="B2319" s="381" t="s">
        <v>344</v>
      </c>
      <c r="C2319" s="3" t="s">
        <v>232</v>
      </c>
      <c r="D2319" s="2" t="s">
        <v>228</v>
      </c>
      <c r="E2319" s="382" t="s">
        <v>130</v>
      </c>
      <c r="F2319" s="114" t="s">
        <v>15</v>
      </c>
      <c r="G2319" s="383" t="s">
        <v>38</v>
      </c>
      <c r="H2319" s="384">
        <v>12.9</v>
      </c>
      <c r="I2319" s="376">
        <v>10</v>
      </c>
      <c r="J2319" s="19">
        <v>0</v>
      </c>
      <c r="K2319" s="13">
        <v>0</v>
      </c>
      <c r="L2319" s="7" t="s">
        <v>483</v>
      </c>
    </row>
    <row r="2320" spans="1:12">
      <c r="A2320" s="7"/>
      <c r="B2320" s="381" t="s">
        <v>344</v>
      </c>
      <c r="C2320" s="3" t="s">
        <v>232</v>
      </c>
      <c r="D2320" s="2" t="s">
        <v>228</v>
      </c>
      <c r="E2320" s="382" t="s">
        <v>130</v>
      </c>
      <c r="F2320" s="114" t="s">
        <v>15</v>
      </c>
      <c r="G2320" s="383" t="s">
        <v>38</v>
      </c>
      <c r="H2320" s="384">
        <v>12.9</v>
      </c>
      <c r="I2320" s="376">
        <v>8.5</v>
      </c>
      <c r="J2320" s="19">
        <v>0</v>
      </c>
      <c r="K2320" s="13">
        <v>0</v>
      </c>
      <c r="L2320" s="7" t="s">
        <v>483</v>
      </c>
    </row>
    <row r="2321" spans="1:12">
      <c r="A2321" s="7"/>
      <c r="B2321" s="381" t="s">
        <v>344</v>
      </c>
      <c r="C2321" s="3" t="s">
        <v>232</v>
      </c>
      <c r="D2321" s="2" t="s">
        <v>228</v>
      </c>
      <c r="E2321" s="382" t="s">
        <v>130</v>
      </c>
      <c r="F2321" s="114" t="s">
        <v>15</v>
      </c>
      <c r="G2321" s="383" t="s">
        <v>38</v>
      </c>
      <c r="H2321" s="384">
        <v>12.9</v>
      </c>
      <c r="I2321" s="376">
        <v>8.5</v>
      </c>
      <c r="J2321" s="19">
        <v>0</v>
      </c>
      <c r="K2321" s="13">
        <v>0</v>
      </c>
      <c r="L2321" s="7" t="s">
        <v>483</v>
      </c>
    </row>
    <row r="2322" spans="1:12">
      <c r="A2322" s="7"/>
      <c r="B2322" s="381" t="s">
        <v>344</v>
      </c>
      <c r="C2322" s="3" t="s">
        <v>232</v>
      </c>
      <c r="D2322" s="2" t="s">
        <v>228</v>
      </c>
      <c r="E2322" s="382" t="s">
        <v>130</v>
      </c>
      <c r="F2322" s="114" t="s">
        <v>15</v>
      </c>
      <c r="G2322" s="383" t="s">
        <v>38</v>
      </c>
      <c r="H2322" s="384">
        <v>12.9</v>
      </c>
      <c r="I2322" s="376">
        <v>8.5</v>
      </c>
      <c r="J2322" s="19">
        <v>0</v>
      </c>
      <c r="K2322" s="13">
        <v>0</v>
      </c>
      <c r="L2322" s="7" t="s">
        <v>483</v>
      </c>
    </row>
    <row r="2323" spans="1:12">
      <c r="A2323" s="7"/>
      <c r="B2323" s="381" t="s">
        <v>344</v>
      </c>
      <c r="C2323" s="3" t="s">
        <v>232</v>
      </c>
      <c r="D2323" s="2" t="s">
        <v>228</v>
      </c>
      <c r="E2323" s="382" t="s">
        <v>130</v>
      </c>
      <c r="F2323" s="114" t="s">
        <v>15</v>
      </c>
      <c r="G2323" s="383" t="s">
        <v>38</v>
      </c>
      <c r="H2323" s="384">
        <v>12.9</v>
      </c>
      <c r="I2323" s="376">
        <v>10</v>
      </c>
      <c r="J2323" s="19">
        <v>0</v>
      </c>
      <c r="K2323" s="13">
        <v>0</v>
      </c>
      <c r="L2323" s="7" t="s">
        <v>483</v>
      </c>
    </row>
    <row r="2324" spans="1:12">
      <c r="A2324" s="7"/>
      <c r="B2324" s="381" t="s">
        <v>344</v>
      </c>
      <c r="C2324" s="3" t="s">
        <v>232</v>
      </c>
      <c r="D2324" s="2" t="s">
        <v>228</v>
      </c>
      <c r="E2324" s="382" t="s">
        <v>130</v>
      </c>
      <c r="F2324" s="114" t="s">
        <v>15</v>
      </c>
      <c r="G2324" s="383" t="s">
        <v>38</v>
      </c>
      <c r="H2324" s="384">
        <v>12.9</v>
      </c>
      <c r="I2324" s="376">
        <v>7.1</v>
      </c>
      <c r="J2324" s="19">
        <v>1</v>
      </c>
      <c r="K2324" s="13">
        <v>9.1590000000000005E-2</v>
      </c>
      <c r="L2324" s="7" t="s">
        <v>483</v>
      </c>
    </row>
    <row r="2325" spans="1:12">
      <c r="A2325" s="7"/>
      <c r="B2325" s="381" t="s">
        <v>344</v>
      </c>
      <c r="C2325" s="3" t="s">
        <v>232</v>
      </c>
      <c r="D2325" s="2" t="s">
        <v>228</v>
      </c>
      <c r="E2325" s="382" t="s">
        <v>130</v>
      </c>
      <c r="F2325" s="114" t="s">
        <v>15</v>
      </c>
      <c r="G2325" s="383" t="s">
        <v>38</v>
      </c>
      <c r="H2325" s="384">
        <v>12.9</v>
      </c>
      <c r="I2325" s="376">
        <v>7.5</v>
      </c>
      <c r="J2325" s="19">
        <v>1</v>
      </c>
      <c r="K2325" s="13">
        <v>9.6750000000000003E-2</v>
      </c>
      <c r="L2325" s="7" t="s">
        <v>483</v>
      </c>
    </row>
    <row r="2326" spans="1:12">
      <c r="A2326" s="7"/>
      <c r="B2326" s="381" t="s">
        <v>344</v>
      </c>
      <c r="C2326" s="3" t="s">
        <v>232</v>
      </c>
      <c r="D2326" s="2" t="s">
        <v>228</v>
      </c>
      <c r="E2326" s="382" t="s">
        <v>130</v>
      </c>
      <c r="F2326" s="114" t="s">
        <v>15</v>
      </c>
      <c r="G2326" s="383" t="s">
        <v>38</v>
      </c>
      <c r="H2326" s="384">
        <v>12.9</v>
      </c>
      <c r="I2326" s="376">
        <v>8</v>
      </c>
      <c r="J2326" s="19">
        <v>2</v>
      </c>
      <c r="K2326" s="13">
        <v>0.2064</v>
      </c>
      <c r="L2326" s="7" t="s">
        <v>483</v>
      </c>
    </row>
    <row r="2327" spans="1:12">
      <c r="A2327" s="7"/>
      <c r="B2327" s="381" t="s">
        <v>344</v>
      </c>
      <c r="C2327" s="3" t="s">
        <v>232</v>
      </c>
      <c r="D2327" s="2" t="s">
        <v>228</v>
      </c>
      <c r="E2327" s="382" t="s">
        <v>130</v>
      </c>
      <c r="F2327" s="114" t="s">
        <v>15</v>
      </c>
      <c r="G2327" s="383" t="s">
        <v>38</v>
      </c>
      <c r="H2327" s="384">
        <v>12.9</v>
      </c>
      <c r="I2327" s="376">
        <v>8.1999999999999993</v>
      </c>
      <c r="J2327" s="19">
        <v>1</v>
      </c>
      <c r="K2327" s="13">
        <v>0.10577999999999999</v>
      </c>
      <c r="L2327" s="7" t="s">
        <v>483</v>
      </c>
    </row>
    <row r="2328" spans="1:12">
      <c r="A2328" s="7"/>
      <c r="B2328" s="381" t="s">
        <v>344</v>
      </c>
      <c r="C2328" s="3" t="s">
        <v>232</v>
      </c>
      <c r="D2328" s="2" t="s">
        <v>228</v>
      </c>
      <c r="E2328" s="382" t="s">
        <v>130</v>
      </c>
      <c r="F2328" s="114" t="s">
        <v>15</v>
      </c>
      <c r="G2328" s="383" t="s">
        <v>38</v>
      </c>
      <c r="H2328" s="384">
        <v>12.9</v>
      </c>
      <c r="I2328" s="376">
        <v>9.4</v>
      </c>
      <c r="J2328" s="19">
        <v>0</v>
      </c>
      <c r="K2328" s="13">
        <v>0</v>
      </c>
      <c r="L2328" s="7" t="s">
        <v>483</v>
      </c>
    </row>
    <row r="2329" spans="1:12">
      <c r="A2329" s="7"/>
      <c r="B2329" s="381" t="s">
        <v>344</v>
      </c>
      <c r="C2329" s="3" t="s">
        <v>232</v>
      </c>
      <c r="D2329" s="2" t="s">
        <v>228</v>
      </c>
      <c r="E2329" s="382" t="s">
        <v>130</v>
      </c>
      <c r="F2329" s="114" t="s">
        <v>15</v>
      </c>
      <c r="G2329" s="383" t="s">
        <v>38</v>
      </c>
      <c r="H2329" s="384">
        <v>12.9</v>
      </c>
      <c r="I2329" s="376">
        <v>12</v>
      </c>
      <c r="J2329" s="19">
        <v>0</v>
      </c>
      <c r="K2329" s="13">
        <v>0</v>
      </c>
      <c r="L2329" s="7" t="s">
        <v>483</v>
      </c>
    </row>
    <row r="2330" spans="1:12">
      <c r="A2330" s="7"/>
      <c r="B2330" s="381" t="s">
        <v>344</v>
      </c>
      <c r="C2330" s="3" t="s">
        <v>232</v>
      </c>
      <c r="D2330" s="2" t="s">
        <v>228</v>
      </c>
      <c r="E2330" s="382" t="s">
        <v>17</v>
      </c>
      <c r="F2330" s="114" t="s">
        <v>15</v>
      </c>
      <c r="G2330" s="383" t="s">
        <v>39</v>
      </c>
      <c r="H2330" s="384">
        <v>14.7</v>
      </c>
      <c r="I2330" s="376">
        <v>6.25</v>
      </c>
      <c r="J2330" s="19">
        <v>0</v>
      </c>
      <c r="K2330" s="13">
        <v>0</v>
      </c>
      <c r="L2330" s="7" t="s">
        <v>483</v>
      </c>
    </row>
    <row r="2331" spans="1:12">
      <c r="A2331" s="7"/>
      <c r="B2331" s="381" t="s">
        <v>344</v>
      </c>
      <c r="C2331" s="3" t="s">
        <v>232</v>
      </c>
      <c r="D2331" s="2" t="s">
        <v>228</v>
      </c>
      <c r="E2331" s="382" t="s">
        <v>17</v>
      </c>
      <c r="F2331" s="114" t="s">
        <v>15</v>
      </c>
      <c r="G2331" s="383" t="s">
        <v>39</v>
      </c>
      <c r="H2331" s="384">
        <v>14.7</v>
      </c>
      <c r="I2331" s="376">
        <v>6.5</v>
      </c>
      <c r="J2331" s="19">
        <v>0</v>
      </c>
      <c r="K2331" s="13">
        <v>0</v>
      </c>
      <c r="L2331" s="7" t="s">
        <v>483</v>
      </c>
    </row>
    <row r="2332" spans="1:12">
      <c r="A2332" s="7"/>
      <c r="B2332" s="381" t="s">
        <v>344</v>
      </c>
      <c r="C2332" s="3" t="s">
        <v>232</v>
      </c>
      <c r="D2332" s="2" t="s">
        <v>228</v>
      </c>
      <c r="E2332" s="382" t="s">
        <v>17</v>
      </c>
      <c r="F2332" s="114" t="s">
        <v>15</v>
      </c>
      <c r="G2332" s="383" t="s">
        <v>39</v>
      </c>
      <c r="H2332" s="384">
        <v>14.7</v>
      </c>
      <c r="I2332" s="376">
        <v>12</v>
      </c>
      <c r="J2332" s="19">
        <v>0</v>
      </c>
      <c r="K2332" s="13">
        <v>0</v>
      </c>
      <c r="L2332" s="7" t="s">
        <v>483</v>
      </c>
    </row>
    <row r="2333" spans="1:12">
      <c r="A2333" s="7"/>
      <c r="B2333" s="381" t="s">
        <v>344</v>
      </c>
      <c r="C2333" s="3" t="s">
        <v>232</v>
      </c>
      <c r="D2333" s="2" t="s">
        <v>228</v>
      </c>
      <c r="E2333" s="382" t="s">
        <v>17</v>
      </c>
      <c r="F2333" s="114" t="s">
        <v>15</v>
      </c>
      <c r="G2333" s="383" t="s">
        <v>40</v>
      </c>
      <c r="H2333" s="384">
        <v>16.5</v>
      </c>
      <c r="I2333" s="376">
        <v>8.8000000000000007</v>
      </c>
      <c r="J2333" s="19">
        <v>0</v>
      </c>
      <c r="K2333" s="13">
        <v>0</v>
      </c>
      <c r="L2333" s="7" t="s">
        <v>483</v>
      </c>
    </row>
    <row r="2334" spans="1:12">
      <c r="A2334" s="7"/>
      <c r="B2334" s="381" t="s">
        <v>344</v>
      </c>
      <c r="C2334" s="3" t="s">
        <v>232</v>
      </c>
      <c r="D2334" s="2" t="s">
        <v>228</v>
      </c>
      <c r="E2334" s="382" t="s">
        <v>17</v>
      </c>
      <c r="F2334" s="114" t="s">
        <v>15</v>
      </c>
      <c r="G2334" s="383" t="s">
        <v>40</v>
      </c>
      <c r="H2334" s="384">
        <v>16.5</v>
      </c>
      <c r="I2334" s="376">
        <v>7.6</v>
      </c>
      <c r="J2334" s="19">
        <v>0</v>
      </c>
      <c r="K2334" s="13">
        <v>0</v>
      </c>
      <c r="L2334" s="7" t="s">
        <v>483</v>
      </c>
    </row>
    <row r="2335" spans="1:12">
      <c r="A2335" s="7"/>
      <c r="B2335" s="381" t="s">
        <v>344</v>
      </c>
      <c r="C2335" s="3" t="s">
        <v>232</v>
      </c>
      <c r="D2335" s="2" t="s">
        <v>228</v>
      </c>
      <c r="E2335" s="382" t="s">
        <v>17</v>
      </c>
      <c r="F2335" s="114" t="s">
        <v>15</v>
      </c>
      <c r="G2335" s="383" t="s">
        <v>40</v>
      </c>
      <c r="H2335" s="384">
        <v>16.5</v>
      </c>
      <c r="I2335" s="376">
        <v>8.8000000000000007</v>
      </c>
      <c r="J2335" s="19">
        <v>0</v>
      </c>
      <c r="K2335" s="13">
        <v>0</v>
      </c>
      <c r="L2335" s="7" t="s">
        <v>483</v>
      </c>
    </row>
    <row r="2336" spans="1:12">
      <c r="A2336" s="7"/>
      <c r="B2336" s="381" t="s">
        <v>344</v>
      </c>
      <c r="C2336" s="3" t="s">
        <v>232</v>
      </c>
      <c r="D2336" s="2" t="s">
        <v>228</v>
      </c>
      <c r="E2336" s="382" t="s">
        <v>17</v>
      </c>
      <c r="F2336" s="114" t="s">
        <v>15</v>
      </c>
      <c r="G2336" s="383" t="s">
        <v>172</v>
      </c>
      <c r="H2336" s="384">
        <v>21.57</v>
      </c>
      <c r="I2336" s="376">
        <v>8.1999999999999993</v>
      </c>
      <c r="J2336" s="19">
        <v>0</v>
      </c>
      <c r="K2336" s="13">
        <v>0</v>
      </c>
      <c r="L2336" s="7" t="s">
        <v>483</v>
      </c>
    </row>
    <row r="2337" spans="1:12">
      <c r="A2337" s="7"/>
      <c r="B2337" s="381" t="s">
        <v>344</v>
      </c>
      <c r="C2337" s="3" t="s">
        <v>232</v>
      </c>
      <c r="D2337" s="2" t="s">
        <v>228</v>
      </c>
      <c r="E2337" s="382" t="s">
        <v>17</v>
      </c>
      <c r="F2337" s="114" t="s">
        <v>15</v>
      </c>
      <c r="G2337" s="383" t="s">
        <v>172</v>
      </c>
      <c r="H2337" s="384">
        <v>21.57</v>
      </c>
      <c r="I2337" s="376">
        <v>8.1999999999999993</v>
      </c>
      <c r="J2337" s="19">
        <v>0</v>
      </c>
      <c r="K2337" s="13">
        <v>0</v>
      </c>
      <c r="L2337" s="7" t="s">
        <v>483</v>
      </c>
    </row>
    <row r="2338" spans="1:12">
      <c r="A2338" s="7"/>
      <c r="B2338" s="381" t="s">
        <v>344</v>
      </c>
      <c r="C2338" s="3" t="s">
        <v>232</v>
      </c>
      <c r="D2338" s="2" t="s">
        <v>228</v>
      </c>
      <c r="E2338" s="382" t="s">
        <v>17</v>
      </c>
      <c r="F2338" s="114" t="s">
        <v>15</v>
      </c>
      <c r="G2338" s="383" t="s">
        <v>172</v>
      </c>
      <c r="H2338" s="384">
        <v>21.57</v>
      </c>
      <c r="I2338" s="376">
        <v>12</v>
      </c>
      <c r="J2338" s="19">
        <v>4</v>
      </c>
      <c r="K2338" s="13">
        <v>1.0353600000000001</v>
      </c>
      <c r="L2338" s="7" t="s">
        <v>483</v>
      </c>
    </row>
    <row r="2339" spans="1:12">
      <c r="A2339" s="7"/>
      <c r="B2339" s="381" t="s">
        <v>344</v>
      </c>
      <c r="C2339" s="3" t="s">
        <v>232</v>
      </c>
      <c r="D2339" s="2" t="s">
        <v>228</v>
      </c>
      <c r="E2339" s="382" t="s">
        <v>17</v>
      </c>
      <c r="F2339" s="114" t="s">
        <v>15</v>
      </c>
      <c r="G2339" s="383" t="s">
        <v>172</v>
      </c>
      <c r="H2339" s="384">
        <v>21.57</v>
      </c>
      <c r="I2339" s="376">
        <v>11.8</v>
      </c>
      <c r="J2339" s="19">
        <v>1</v>
      </c>
      <c r="K2339" s="13">
        <v>0.25452600000000003</v>
      </c>
      <c r="L2339" s="7" t="s">
        <v>483</v>
      </c>
    </row>
    <row r="2340" spans="1:12">
      <c r="A2340" s="7"/>
      <c r="B2340" s="381" t="s">
        <v>344</v>
      </c>
      <c r="C2340" s="3" t="s">
        <v>232</v>
      </c>
      <c r="D2340" s="2" t="s">
        <v>228</v>
      </c>
      <c r="E2340" s="382" t="s">
        <v>17</v>
      </c>
      <c r="F2340" s="114" t="s">
        <v>15</v>
      </c>
      <c r="G2340" s="383" t="s">
        <v>172</v>
      </c>
      <c r="H2340" s="384">
        <v>21.57</v>
      </c>
      <c r="I2340" s="376">
        <v>8.1999999999999993</v>
      </c>
      <c r="J2340" s="19">
        <v>5</v>
      </c>
      <c r="K2340" s="13">
        <v>0.88436999999999999</v>
      </c>
      <c r="L2340" s="7" t="s">
        <v>483</v>
      </c>
    </row>
    <row r="2341" spans="1:12">
      <c r="A2341" s="7"/>
      <c r="B2341" s="381" t="s">
        <v>365</v>
      </c>
      <c r="C2341" s="3" t="s">
        <v>232</v>
      </c>
      <c r="D2341" s="2" t="s">
        <v>228</v>
      </c>
      <c r="E2341" s="382" t="s">
        <v>130</v>
      </c>
      <c r="F2341" s="114" t="s">
        <v>15</v>
      </c>
      <c r="G2341" s="383" t="s">
        <v>42</v>
      </c>
      <c r="H2341" s="384">
        <v>19.8</v>
      </c>
      <c r="I2341" s="376">
        <v>12</v>
      </c>
      <c r="J2341" s="19">
        <v>0</v>
      </c>
      <c r="K2341" s="13">
        <v>0</v>
      </c>
      <c r="L2341" s="7" t="s">
        <v>483</v>
      </c>
    </row>
    <row r="2342" spans="1:12">
      <c r="A2342" s="7"/>
      <c r="B2342" s="381" t="s">
        <v>365</v>
      </c>
      <c r="C2342" s="3" t="s">
        <v>232</v>
      </c>
      <c r="D2342" s="2" t="s">
        <v>228</v>
      </c>
      <c r="E2342" s="382" t="s">
        <v>130</v>
      </c>
      <c r="F2342" s="114" t="s">
        <v>15</v>
      </c>
      <c r="G2342" s="383" t="s">
        <v>42</v>
      </c>
      <c r="H2342" s="384">
        <v>19.8</v>
      </c>
      <c r="I2342" s="376">
        <v>11.5</v>
      </c>
      <c r="J2342" s="19">
        <v>0</v>
      </c>
      <c r="K2342" s="13">
        <v>0</v>
      </c>
      <c r="L2342" s="7" t="s">
        <v>483</v>
      </c>
    </row>
    <row r="2343" spans="1:12">
      <c r="A2343" s="7"/>
      <c r="B2343" s="381" t="s">
        <v>365</v>
      </c>
      <c r="C2343" s="3" t="s">
        <v>232</v>
      </c>
      <c r="D2343" s="2" t="s">
        <v>228</v>
      </c>
      <c r="E2343" s="382" t="s">
        <v>130</v>
      </c>
      <c r="F2343" s="114" t="s">
        <v>15</v>
      </c>
      <c r="G2343" s="383" t="s">
        <v>42</v>
      </c>
      <c r="H2343" s="384">
        <v>19.8</v>
      </c>
      <c r="I2343" s="376">
        <v>12</v>
      </c>
      <c r="J2343" s="19">
        <v>0</v>
      </c>
      <c r="K2343" s="13">
        <v>0</v>
      </c>
      <c r="L2343" s="7" t="s">
        <v>483</v>
      </c>
    </row>
    <row r="2344" spans="1:12">
      <c r="A2344" s="7"/>
      <c r="B2344" s="381" t="s">
        <v>365</v>
      </c>
      <c r="C2344" s="3" t="s">
        <v>232</v>
      </c>
      <c r="D2344" s="2" t="s">
        <v>228</v>
      </c>
      <c r="E2344" s="382" t="s">
        <v>130</v>
      </c>
      <c r="F2344" s="114" t="s">
        <v>15</v>
      </c>
      <c r="G2344" s="383" t="s">
        <v>42</v>
      </c>
      <c r="H2344" s="384">
        <v>19.8</v>
      </c>
      <c r="I2344" s="376">
        <v>12</v>
      </c>
      <c r="J2344" s="19">
        <v>0</v>
      </c>
      <c r="K2344" s="13">
        <v>0</v>
      </c>
      <c r="L2344" s="7" t="s">
        <v>483</v>
      </c>
    </row>
    <row r="2345" spans="1:12">
      <c r="A2345" s="7"/>
      <c r="B2345" s="381" t="s">
        <v>365</v>
      </c>
      <c r="C2345" s="3" t="s">
        <v>232</v>
      </c>
      <c r="D2345" s="2" t="s">
        <v>228</v>
      </c>
      <c r="E2345" s="382" t="s">
        <v>130</v>
      </c>
      <c r="F2345" s="114" t="s">
        <v>15</v>
      </c>
      <c r="G2345" s="383" t="s">
        <v>42</v>
      </c>
      <c r="H2345" s="384">
        <v>19.8</v>
      </c>
      <c r="I2345" s="376">
        <v>11.9</v>
      </c>
      <c r="J2345" s="19">
        <v>0</v>
      </c>
      <c r="K2345" s="13">
        <v>0</v>
      </c>
      <c r="L2345" s="7" t="s">
        <v>483</v>
      </c>
    </row>
    <row r="2346" spans="1:12">
      <c r="A2346" s="7"/>
      <c r="B2346" s="381" t="s">
        <v>365</v>
      </c>
      <c r="C2346" s="3" t="s">
        <v>232</v>
      </c>
      <c r="D2346" s="2" t="s">
        <v>228</v>
      </c>
      <c r="E2346" s="382" t="s">
        <v>130</v>
      </c>
      <c r="F2346" s="114" t="s">
        <v>15</v>
      </c>
      <c r="G2346" s="383" t="s">
        <v>42</v>
      </c>
      <c r="H2346" s="384">
        <v>19.8</v>
      </c>
      <c r="I2346" s="376">
        <v>11.5</v>
      </c>
      <c r="J2346" s="19">
        <v>0</v>
      </c>
      <c r="K2346" s="13">
        <v>0</v>
      </c>
      <c r="L2346" s="7" t="s">
        <v>483</v>
      </c>
    </row>
    <row r="2347" spans="1:12">
      <c r="A2347" s="7"/>
      <c r="B2347" s="381" t="s">
        <v>365</v>
      </c>
      <c r="C2347" s="3" t="s">
        <v>232</v>
      </c>
      <c r="D2347" s="2" t="s">
        <v>228</v>
      </c>
      <c r="E2347" s="382" t="s">
        <v>130</v>
      </c>
      <c r="F2347" s="114" t="s">
        <v>15</v>
      </c>
      <c r="G2347" s="383" t="s">
        <v>42</v>
      </c>
      <c r="H2347" s="384">
        <v>19.8</v>
      </c>
      <c r="I2347" s="376">
        <v>11.45</v>
      </c>
      <c r="J2347" s="19">
        <v>1</v>
      </c>
      <c r="K2347" s="13">
        <v>0.22670999999999999</v>
      </c>
      <c r="L2347" s="7" t="s">
        <v>483</v>
      </c>
    </row>
    <row r="2348" spans="1:12">
      <c r="A2348" s="7"/>
      <c r="B2348" s="381" t="s">
        <v>365</v>
      </c>
      <c r="C2348" s="3" t="s">
        <v>232</v>
      </c>
      <c r="D2348" s="2" t="s">
        <v>228</v>
      </c>
      <c r="E2348" s="382" t="s">
        <v>130</v>
      </c>
      <c r="F2348" s="114" t="s">
        <v>15</v>
      </c>
      <c r="G2348" s="383" t="s">
        <v>42</v>
      </c>
      <c r="H2348" s="384">
        <v>19.8</v>
      </c>
      <c r="I2348" s="376">
        <v>7.1</v>
      </c>
      <c r="J2348" s="19">
        <v>0</v>
      </c>
      <c r="K2348" s="13">
        <v>0</v>
      </c>
      <c r="L2348" s="7" t="s">
        <v>483</v>
      </c>
    </row>
    <row r="2349" spans="1:12">
      <c r="A2349" s="7"/>
      <c r="B2349" s="381" t="s">
        <v>365</v>
      </c>
      <c r="C2349" s="3" t="s">
        <v>232</v>
      </c>
      <c r="D2349" s="2" t="s">
        <v>228</v>
      </c>
      <c r="E2349" s="382" t="s">
        <v>130</v>
      </c>
      <c r="F2349" s="114" t="s">
        <v>15</v>
      </c>
      <c r="G2349" s="383" t="s">
        <v>42</v>
      </c>
      <c r="H2349" s="384">
        <v>19.8</v>
      </c>
      <c r="I2349" s="376">
        <v>10.9</v>
      </c>
      <c r="J2349" s="19">
        <v>0</v>
      </c>
      <c r="K2349" s="13">
        <v>0</v>
      </c>
      <c r="L2349" s="7" t="s">
        <v>483</v>
      </c>
    </row>
    <row r="2350" spans="1:12">
      <c r="A2350" s="7"/>
      <c r="B2350" s="381" t="s">
        <v>365</v>
      </c>
      <c r="C2350" s="3" t="s">
        <v>232</v>
      </c>
      <c r="D2350" s="2" t="s">
        <v>228</v>
      </c>
      <c r="E2350" s="382" t="s">
        <v>130</v>
      </c>
      <c r="F2350" s="114" t="s">
        <v>15</v>
      </c>
      <c r="G2350" s="383" t="s">
        <v>42</v>
      </c>
      <c r="H2350" s="384">
        <v>19.8</v>
      </c>
      <c r="I2350" s="376">
        <v>12</v>
      </c>
      <c r="J2350" s="19">
        <v>0</v>
      </c>
      <c r="K2350" s="13">
        <v>0</v>
      </c>
      <c r="L2350" s="7" t="s">
        <v>483</v>
      </c>
    </row>
    <row r="2351" spans="1:12">
      <c r="A2351" s="7"/>
      <c r="B2351" s="381" t="s">
        <v>365</v>
      </c>
      <c r="C2351" s="3" t="s">
        <v>232</v>
      </c>
      <c r="D2351" s="2" t="s">
        <v>228</v>
      </c>
      <c r="E2351" s="382" t="s">
        <v>130</v>
      </c>
      <c r="F2351" s="114" t="s">
        <v>15</v>
      </c>
      <c r="G2351" s="383" t="s">
        <v>42</v>
      </c>
      <c r="H2351" s="384">
        <v>19.8</v>
      </c>
      <c r="I2351" s="376">
        <v>12</v>
      </c>
      <c r="J2351" s="19">
        <v>0</v>
      </c>
      <c r="K2351" s="13">
        <v>0</v>
      </c>
      <c r="L2351" s="7" t="s">
        <v>483</v>
      </c>
    </row>
    <row r="2352" spans="1:12">
      <c r="A2352" s="7"/>
      <c r="B2352" s="381" t="s">
        <v>365</v>
      </c>
      <c r="C2352" s="3" t="s">
        <v>232</v>
      </c>
      <c r="D2352" s="2" t="s">
        <v>228</v>
      </c>
      <c r="E2352" s="382" t="s">
        <v>130</v>
      </c>
      <c r="F2352" s="114" t="s">
        <v>15</v>
      </c>
      <c r="G2352" s="383" t="s">
        <v>42</v>
      </c>
      <c r="H2352" s="384">
        <v>19.8</v>
      </c>
      <c r="I2352" s="376">
        <v>12</v>
      </c>
      <c r="J2352" s="19">
        <v>0</v>
      </c>
      <c r="K2352" s="13">
        <v>0</v>
      </c>
      <c r="L2352" s="7" t="s">
        <v>483</v>
      </c>
    </row>
    <row r="2353" spans="1:12">
      <c r="A2353" s="7"/>
      <c r="B2353" s="381" t="s">
        <v>365</v>
      </c>
      <c r="C2353" s="3" t="s">
        <v>232</v>
      </c>
      <c r="D2353" s="2" t="s">
        <v>228</v>
      </c>
      <c r="E2353" s="382" t="s">
        <v>130</v>
      </c>
      <c r="F2353" s="114" t="s">
        <v>15</v>
      </c>
      <c r="G2353" s="383" t="s">
        <v>42</v>
      </c>
      <c r="H2353" s="384">
        <v>19.8</v>
      </c>
      <c r="I2353" s="376">
        <v>11.9</v>
      </c>
      <c r="J2353" s="19">
        <v>0</v>
      </c>
      <c r="K2353" s="13">
        <v>0</v>
      </c>
      <c r="L2353" s="7" t="s">
        <v>483</v>
      </c>
    </row>
    <row r="2354" spans="1:12">
      <c r="A2354" s="7"/>
      <c r="B2354" s="381" t="s">
        <v>365</v>
      </c>
      <c r="C2354" s="3" t="s">
        <v>232</v>
      </c>
      <c r="D2354" s="2" t="s">
        <v>228</v>
      </c>
      <c r="E2354" s="382" t="s">
        <v>130</v>
      </c>
      <c r="F2354" s="114" t="s">
        <v>15</v>
      </c>
      <c r="G2354" s="383" t="s">
        <v>42</v>
      </c>
      <c r="H2354" s="384">
        <v>19.8</v>
      </c>
      <c r="I2354" s="376">
        <v>11.3</v>
      </c>
      <c r="J2354" s="19">
        <v>1</v>
      </c>
      <c r="K2354" s="13">
        <v>0.22374000000000002</v>
      </c>
      <c r="L2354" s="7" t="s">
        <v>483</v>
      </c>
    </row>
    <row r="2355" spans="1:12">
      <c r="A2355" s="7"/>
      <c r="B2355" s="381" t="s">
        <v>365</v>
      </c>
      <c r="C2355" s="3" t="s">
        <v>232</v>
      </c>
      <c r="D2355" s="2" t="s">
        <v>228</v>
      </c>
      <c r="E2355" s="382" t="s">
        <v>130</v>
      </c>
      <c r="F2355" s="114" t="s">
        <v>15</v>
      </c>
      <c r="G2355" s="383" t="s">
        <v>42</v>
      </c>
      <c r="H2355" s="384">
        <v>19.8</v>
      </c>
      <c r="I2355" s="376">
        <v>11.4</v>
      </c>
      <c r="J2355" s="19">
        <v>1</v>
      </c>
      <c r="K2355" s="13">
        <v>0.22572000000000003</v>
      </c>
      <c r="L2355" s="7" t="s">
        <v>483</v>
      </c>
    </row>
    <row r="2356" spans="1:12">
      <c r="A2356" s="7"/>
      <c r="B2356" s="381" t="s">
        <v>365</v>
      </c>
      <c r="C2356" s="3" t="s">
        <v>232</v>
      </c>
      <c r="D2356" s="2" t="s">
        <v>228</v>
      </c>
      <c r="E2356" s="382" t="s">
        <v>130</v>
      </c>
      <c r="F2356" s="114" t="s">
        <v>15</v>
      </c>
      <c r="G2356" s="383" t="s">
        <v>42</v>
      </c>
      <c r="H2356" s="384">
        <v>19.8</v>
      </c>
      <c r="I2356" s="376">
        <v>11.8</v>
      </c>
      <c r="J2356" s="19">
        <v>0</v>
      </c>
      <c r="K2356" s="13">
        <v>0</v>
      </c>
      <c r="L2356" s="7" t="s">
        <v>483</v>
      </c>
    </row>
    <row r="2357" spans="1:12">
      <c r="A2357" s="7"/>
      <c r="B2357" s="381" t="s">
        <v>365</v>
      </c>
      <c r="C2357" s="3" t="s">
        <v>232</v>
      </c>
      <c r="D2357" s="2" t="s">
        <v>228</v>
      </c>
      <c r="E2357" s="382" t="s">
        <v>17</v>
      </c>
      <c r="F2357" s="114" t="s">
        <v>15</v>
      </c>
      <c r="G2357" s="383" t="s">
        <v>42</v>
      </c>
      <c r="H2357" s="384">
        <v>19.8</v>
      </c>
      <c r="I2357" s="376">
        <v>11.6</v>
      </c>
      <c r="J2357" s="19">
        <v>0</v>
      </c>
      <c r="K2357" s="13">
        <v>0</v>
      </c>
      <c r="L2357" s="7" t="s">
        <v>483</v>
      </c>
    </row>
    <row r="2358" spans="1:12">
      <c r="A2358" s="7"/>
      <c r="B2358" s="381" t="s">
        <v>365</v>
      </c>
      <c r="C2358" s="3" t="s">
        <v>232</v>
      </c>
      <c r="D2358" s="2" t="s">
        <v>228</v>
      </c>
      <c r="E2358" s="382" t="s">
        <v>17</v>
      </c>
      <c r="F2358" s="114" t="s">
        <v>15</v>
      </c>
      <c r="G2358" s="383" t="s">
        <v>42</v>
      </c>
      <c r="H2358" s="384">
        <v>19.8</v>
      </c>
      <c r="I2358" s="376">
        <v>11.6</v>
      </c>
      <c r="J2358" s="19">
        <v>0</v>
      </c>
      <c r="K2358" s="13">
        <v>0</v>
      </c>
      <c r="L2358" s="7" t="s">
        <v>483</v>
      </c>
    </row>
    <row r="2359" spans="1:12">
      <c r="A2359" s="7"/>
      <c r="B2359" s="381" t="s">
        <v>365</v>
      </c>
      <c r="C2359" s="3" t="s">
        <v>232</v>
      </c>
      <c r="D2359" s="2" t="s">
        <v>228</v>
      </c>
      <c r="E2359" s="382" t="s">
        <v>17</v>
      </c>
      <c r="F2359" s="114" t="s">
        <v>15</v>
      </c>
      <c r="G2359" s="383" t="s">
        <v>42</v>
      </c>
      <c r="H2359" s="384">
        <v>19.8</v>
      </c>
      <c r="I2359" s="376">
        <v>12</v>
      </c>
      <c r="J2359" s="19">
        <v>0</v>
      </c>
      <c r="K2359" s="13">
        <v>0</v>
      </c>
      <c r="L2359" s="7" t="s">
        <v>483</v>
      </c>
    </row>
    <row r="2360" spans="1:12">
      <c r="A2360" s="7"/>
      <c r="B2360" s="381" t="s">
        <v>365</v>
      </c>
      <c r="C2360" s="3" t="s">
        <v>232</v>
      </c>
      <c r="D2360" s="2" t="s">
        <v>228</v>
      </c>
      <c r="E2360" s="382" t="s">
        <v>17</v>
      </c>
      <c r="F2360" s="114" t="s">
        <v>15</v>
      </c>
      <c r="G2360" s="383" t="s">
        <v>42</v>
      </c>
      <c r="H2360" s="384">
        <v>19.8</v>
      </c>
      <c r="I2360" s="376">
        <v>11.3</v>
      </c>
      <c r="J2360" s="19">
        <v>2</v>
      </c>
      <c r="K2360" s="13">
        <v>0.44748000000000004</v>
      </c>
      <c r="L2360" s="7" t="s">
        <v>483</v>
      </c>
    </row>
    <row r="2361" spans="1:12">
      <c r="A2361" s="7"/>
      <c r="B2361" s="381" t="s">
        <v>365</v>
      </c>
      <c r="C2361" s="3" t="s">
        <v>232</v>
      </c>
      <c r="D2361" s="2" t="s">
        <v>228</v>
      </c>
      <c r="E2361" s="382" t="s">
        <v>17</v>
      </c>
      <c r="F2361" s="114" t="s">
        <v>15</v>
      </c>
      <c r="G2361" s="383" t="s">
        <v>42</v>
      </c>
      <c r="H2361" s="384">
        <v>19.8</v>
      </c>
      <c r="I2361" s="376">
        <v>10</v>
      </c>
      <c r="J2361" s="19">
        <v>0</v>
      </c>
      <c r="K2361" s="13">
        <v>0</v>
      </c>
      <c r="L2361" s="7" t="s">
        <v>483</v>
      </c>
    </row>
    <row r="2362" spans="1:12">
      <c r="A2362" s="7"/>
      <c r="B2362" s="381" t="s">
        <v>365</v>
      </c>
      <c r="C2362" s="3" t="s">
        <v>232</v>
      </c>
      <c r="D2362" s="2" t="s">
        <v>228</v>
      </c>
      <c r="E2362" s="382" t="s">
        <v>17</v>
      </c>
      <c r="F2362" s="114" t="s">
        <v>15</v>
      </c>
      <c r="G2362" s="383" t="s">
        <v>42</v>
      </c>
      <c r="H2362" s="384">
        <v>19.8</v>
      </c>
      <c r="I2362" s="376">
        <v>12</v>
      </c>
      <c r="J2362" s="19">
        <v>0</v>
      </c>
      <c r="K2362" s="13">
        <v>0</v>
      </c>
      <c r="L2362" s="7" t="s">
        <v>483</v>
      </c>
    </row>
    <row r="2363" spans="1:12">
      <c r="A2363" s="7"/>
      <c r="B2363" s="381" t="s">
        <v>365</v>
      </c>
      <c r="C2363" s="3" t="s">
        <v>232</v>
      </c>
      <c r="D2363" s="2" t="s">
        <v>228</v>
      </c>
      <c r="E2363" s="382" t="s">
        <v>17</v>
      </c>
      <c r="F2363" s="114" t="s">
        <v>15</v>
      </c>
      <c r="G2363" s="383" t="s">
        <v>42</v>
      </c>
      <c r="H2363" s="384">
        <v>19.8</v>
      </c>
      <c r="I2363" s="376">
        <v>9.6</v>
      </c>
      <c r="J2363" s="19">
        <v>0</v>
      </c>
      <c r="K2363" s="13">
        <v>0</v>
      </c>
      <c r="L2363" s="7" t="s">
        <v>483</v>
      </c>
    </row>
    <row r="2364" spans="1:12">
      <c r="A2364" s="7"/>
      <c r="B2364" s="381" t="s">
        <v>365</v>
      </c>
      <c r="C2364" s="3" t="s">
        <v>232</v>
      </c>
      <c r="D2364" s="2" t="s">
        <v>228</v>
      </c>
      <c r="E2364" s="382" t="s">
        <v>17</v>
      </c>
      <c r="F2364" s="114" t="s">
        <v>15</v>
      </c>
      <c r="G2364" s="383" t="s">
        <v>42</v>
      </c>
      <c r="H2364" s="384">
        <v>19.8</v>
      </c>
      <c r="I2364" s="376">
        <v>12</v>
      </c>
      <c r="J2364" s="19">
        <v>0</v>
      </c>
      <c r="K2364" s="13">
        <v>0</v>
      </c>
      <c r="L2364" s="7" t="s">
        <v>483</v>
      </c>
    </row>
    <row r="2365" spans="1:12">
      <c r="A2365" s="7"/>
      <c r="B2365" s="381" t="s">
        <v>365</v>
      </c>
      <c r="C2365" s="3" t="s">
        <v>232</v>
      </c>
      <c r="D2365" s="2" t="s">
        <v>228</v>
      </c>
      <c r="E2365" s="382" t="s">
        <v>17</v>
      </c>
      <c r="F2365" s="114" t="s">
        <v>15</v>
      </c>
      <c r="G2365" s="383" t="s">
        <v>42</v>
      </c>
      <c r="H2365" s="384">
        <v>19.8</v>
      </c>
      <c r="I2365" s="376">
        <v>12</v>
      </c>
      <c r="J2365" s="19">
        <v>1</v>
      </c>
      <c r="K2365" s="13">
        <v>0.23760000000000003</v>
      </c>
      <c r="L2365" s="7" t="s">
        <v>483</v>
      </c>
    </row>
    <row r="2366" spans="1:12">
      <c r="A2366" s="7"/>
      <c r="B2366" s="381" t="s">
        <v>365</v>
      </c>
      <c r="C2366" s="3" t="s">
        <v>232</v>
      </c>
      <c r="D2366" s="2" t="s">
        <v>228</v>
      </c>
      <c r="E2366" s="382" t="s">
        <v>17</v>
      </c>
      <c r="F2366" s="114" t="s">
        <v>15</v>
      </c>
      <c r="G2366" s="383" t="s">
        <v>42</v>
      </c>
      <c r="H2366" s="384">
        <v>19.8</v>
      </c>
      <c r="I2366" s="376">
        <v>9</v>
      </c>
      <c r="J2366" s="19">
        <v>1</v>
      </c>
      <c r="K2366" s="13">
        <v>0.17820000000000003</v>
      </c>
      <c r="L2366" s="7" t="s">
        <v>483</v>
      </c>
    </row>
    <row r="2367" spans="1:12">
      <c r="A2367" s="7"/>
      <c r="B2367" s="381" t="s">
        <v>365</v>
      </c>
      <c r="C2367" s="3" t="s">
        <v>232</v>
      </c>
      <c r="D2367" s="2" t="s">
        <v>228</v>
      </c>
      <c r="E2367" s="382" t="s">
        <v>17</v>
      </c>
      <c r="F2367" s="114" t="s">
        <v>15</v>
      </c>
      <c r="G2367" s="383" t="s">
        <v>42</v>
      </c>
      <c r="H2367" s="384">
        <v>19.8</v>
      </c>
      <c r="I2367" s="376">
        <v>9.6</v>
      </c>
      <c r="J2367" s="19">
        <v>0</v>
      </c>
      <c r="K2367" s="13">
        <v>0</v>
      </c>
      <c r="L2367" s="7" t="s">
        <v>483</v>
      </c>
    </row>
    <row r="2368" spans="1:12">
      <c r="A2368" s="7"/>
      <c r="B2368" s="381" t="s">
        <v>365</v>
      </c>
      <c r="C2368" s="3" t="s">
        <v>232</v>
      </c>
      <c r="D2368" s="2" t="s">
        <v>228</v>
      </c>
      <c r="E2368" s="382" t="s">
        <v>24</v>
      </c>
      <c r="F2368" s="114" t="s">
        <v>14</v>
      </c>
      <c r="G2368" s="383" t="s">
        <v>49</v>
      </c>
      <c r="H2368" s="384">
        <v>17.82</v>
      </c>
      <c r="I2368" s="376">
        <v>12</v>
      </c>
      <c r="J2368" s="19">
        <v>4</v>
      </c>
      <c r="K2368" s="13">
        <v>0.85536000000000001</v>
      </c>
      <c r="L2368" s="7" t="s">
        <v>483</v>
      </c>
    </row>
    <row r="2369" spans="1:12">
      <c r="A2369" s="7"/>
      <c r="B2369" s="381" t="s">
        <v>365</v>
      </c>
      <c r="C2369" s="3" t="s">
        <v>232</v>
      </c>
      <c r="D2369" s="2" t="s">
        <v>228</v>
      </c>
      <c r="E2369" s="382" t="s">
        <v>24</v>
      </c>
      <c r="F2369" s="114" t="s">
        <v>14</v>
      </c>
      <c r="G2369" s="383" t="s">
        <v>49</v>
      </c>
      <c r="H2369" s="384">
        <v>17.82</v>
      </c>
      <c r="I2369" s="376">
        <v>12</v>
      </c>
      <c r="J2369" s="19">
        <v>7</v>
      </c>
      <c r="K2369" s="13">
        <v>1.4968800000000002</v>
      </c>
      <c r="L2369" s="7" t="s">
        <v>483</v>
      </c>
    </row>
    <row r="2370" spans="1:12">
      <c r="A2370" s="7"/>
      <c r="B2370" s="381" t="s">
        <v>365</v>
      </c>
      <c r="C2370" s="3" t="s">
        <v>232</v>
      </c>
      <c r="D2370" s="2" t="s">
        <v>228</v>
      </c>
      <c r="E2370" s="382" t="s">
        <v>17</v>
      </c>
      <c r="F2370" s="114" t="s">
        <v>15</v>
      </c>
      <c r="G2370" s="383" t="s">
        <v>50</v>
      </c>
      <c r="H2370" s="384">
        <v>21.7</v>
      </c>
      <c r="I2370" s="376">
        <v>6.8</v>
      </c>
      <c r="J2370" s="19">
        <v>0</v>
      </c>
      <c r="K2370" s="13">
        <v>0</v>
      </c>
      <c r="L2370" s="7" t="s">
        <v>483</v>
      </c>
    </row>
    <row r="2371" spans="1:12">
      <c r="A2371" s="7"/>
      <c r="B2371" s="381" t="s">
        <v>365</v>
      </c>
      <c r="C2371" s="3" t="s">
        <v>232</v>
      </c>
      <c r="D2371" s="2" t="s">
        <v>228</v>
      </c>
      <c r="E2371" s="382" t="s">
        <v>17</v>
      </c>
      <c r="F2371" s="114" t="s">
        <v>15</v>
      </c>
      <c r="G2371" s="383" t="s">
        <v>50</v>
      </c>
      <c r="H2371" s="384">
        <v>21.7</v>
      </c>
      <c r="I2371" s="376">
        <v>8.3000000000000007</v>
      </c>
      <c r="J2371" s="19">
        <v>0</v>
      </c>
      <c r="K2371" s="13">
        <v>0</v>
      </c>
      <c r="L2371" s="7" t="s">
        <v>483</v>
      </c>
    </row>
    <row r="2372" spans="1:12">
      <c r="A2372" s="7"/>
      <c r="B2372" s="381" t="s">
        <v>365</v>
      </c>
      <c r="C2372" s="3" t="s">
        <v>232</v>
      </c>
      <c r="D2372" s="2" t="s">
        <v>228</v>
      </c>
      <c r="E2372" s="382" t="s">
        <v>17</v>
      </c>
      <c r="F2372" s="114" t="s">
        <v>15</v>
      </c>
      <c r="G2372" s="383" t="s">
        <v>50</v>
      </c>
      <c r="H2372" s="384">
        <v>21.7</v>
      </c>
      <c r="I2372" s="376">
        <v>9.1999999999999993</v>
      </c>
      <c r="J2372" s="19">
        <v>0</v>
      </c>
      <c r="K2372" s="13">
        <v>0</v>
      </c>
      <c r="L2372" s="7" t="s">
        <v>483</v>
      </c>
    </row>
    <row r="2373" spans="1:12">
      <c r="A2373" s="7"/>
      <c r="B2373" s="381" t="s">
        <v>365</v>
      </c>
      <c r="C2373" s="3" t="s">
        <v>232</v>
      </c>
      <c r="D2373" s="2" t="s">
        <v>228</v>
      </c>
      <c r="E2373" s="382" t="s">
        <v>17</v>
      </c>
      <c r="F2373" s="114" t="s">
        <v>15</v>
      </c>
      <c r="G2373" s="383" t="s">
        <v>50</v>
      </c>
      <c r="H2373" s="384">
        <v>21.7</v>
      </c>
      <c r="I2373" s="376">
        <v>10.8</v>
      </c>
      <c r="J2373" s="19">
        <v>0</v>
      </c>
      <c r="K2373" s="13">
        <v>0</v>
      </c>
      <c r="L2373" s="7" t="s">
        <v>483</v>
      </c>
    </row>
    <row r="2374" spans="1:12">
      <c r="A2374" s="7"/>
      <c r="B2374" s="381" t="s">
        <v>365</v>
      </c>
      <c r="C2374" s="3" t="s">
        <v>232</v>
      </c>
      <c r="D2374" s="2" t="s">
        <v>228</v>
      </c>
      <c r="E2374" s="382" t="s">
        <v>17</v>
      </c>
      <c r="F2374" s="114" t="s">
        <v>15</v>
      </c>
      <c r="G2374" s="383" t="s">
        <v>50</v>
      </c>
      <c r="H2374" s="384">
        <v>21.7</v>
      </c>
      <c r="I2374" s="376">
        <v>11.8</v>
      </c>
      <c r="J2374" s="19">
        <v>0</v>
      </c>
      <c r="K2374" s="13">
        <v>0</v>
      </c>
      <c r="L2374" s="7" t="s">
        <v>483</v>
      </c>
    </row>
    <row r="2375" spans="1:12">
      <c r="A2375" s="7"/>
      <c r="B2375" s="381" t="s">
        <v>365</v>
      </c>
      <c r="C2375" s="3" t="s">
        <v>232</v>
      </c>
      <c r="D2375" s="2" t="s">
        <v>228</v>
      </c>
      <c r="E2375" s="382" t="s">
        <v>17</v>
      </c>
      <c r="F2375" s="114" t="s">
        <v>15</v>
      </c>
      <c r="G2375" s="383" t="s">
        <v>50</v>
      </c>
      <c r="H2375" s="384">
        <v>21.7</v>
      </c>
      <c r="I2375" s="376">
        <v>6.2</v>
      </c>
      <c r="J2375" s="19">
        <v>1</v>
      </c>
      <c r="K2375" s="13">
        <v>0.13453999999999999</v>
      </c>
      <c r="L2375" s="7" t="s">
        <v>483</v>
      </c>
    </row>
    <row r="2376" spans="1:12">
      <c r="A2376" s="7"/>
      <c r="B2376" s="381" t="s">
        <v>365</v>
      </c>
      <c r="C2376" s="3" t="s">
        <v>232</v>
      </c>
      <c r="D2376" s="2" t="s">
        <v>228</v>
      </c>
      <c r="E2376" s="382" t="s">
        <v>17</v>
      </c>
      <c r="F2376" s="114" t="s">
        <v>15</v>
      </c>
      <c r="G2376" s="383" t="s">
        <v>50</v>
      </c>
      <c r="H2376" s="384">
        <v>21.7</v>
      </c>
      <c r="I2376" s="376">
        <v>10.6</v>
      </c>
      <c r="J2376" s="19">
        <v>1</v>
      </c>
      <c r="K2376" s="13">
        <v>0.23001999999999997</v>
      </c>
      <c r="L2376" s="7" t="s">
        <v>483</v>
      </c>
    </row>
    <row r="2377" spans="1:12">
      <c r="A2377" s="7"/>
      <c r="B2377" s="381" t="s">
        <v>365</v>
      </c>
      <c r="C2377" s="3" t="s">
        <v>232</v>
      </c>
      <c r="D2377" s="2" t="s">
        <v>228</v>
      </c>
      <c r="E2377" s="382" t="s">
        <v>17</v>
      </c>
      <c r="F2377" s="114" t="s">
        <v>15</v>
      </c>
      <c r="G2377" s="383" t="s">
        <v>50</v>
      </c>
      <c r="H2377" s="384">
        <v>21.7</v>
      </c>
      <c r="I2377" s="376">
        <v>8.3000000000000007</v>
      </c>
      <c r="J2377" s="19">
        <v>1</v>
      </c>
      <c r="K2377" s="13">
        <v>0.18011000000000002</v>
      </c>
      <c r="L2377" s="7" t="s">
        <v>483</v>
      </c>
    </row>
    <row r="2378" spans="1:12">
      <c r="A2378" s="7"/>
      <c r="B2378" s="381" t="s">
        <v>365</v>
      </c>
      <c r="C2378" s="3" t="s">
        <v>232</v>
      </c>
      <c r="D2378" s="2" t="s">
        <v>228</v>
      </c>
      <c r="E2378" s="382" t="s">
        <v>17</v>
      </c>
      <c r="F2378" s="114" t="s">
        <v>15</v>
      </c>
      <c r="G2378" s="383" t="s">
        <v>50</v>
      </c>
      <c r="H2378" s="384">
        <v>21.7</v>
      </c>
      <c r="I2378" s="376">
        <v>9.1999999999999993</v>
      </c>
      <c r="J2378" s="19">
        <v>3</v>
      </c>
      <c r="K2378" s="13">
        <v>0.59892000000000001</v>
      </c>
      <c r="L2378" s="7" t="s">
        <v>483</v>
      </c>
    </row>
    <row r="2379" spans="1:12">
      <c r="A2379" s="7"/>
      <c r="B2379" s="381" t="s">
        <v>365</v>
      </c>
      <c r="C2379" s="3" t="s">
        <v>232</v>
      </c>
      <c r="D2379" s="2" t="s">
        <v>228</v>
      </c>
      <c r="E2379" s="382" t="s">
        <v>17</v>
      </c>
      <c r="F2379" s="114" t="s">
        <v>15</v>
      </c>
      <c r="G2379" s="383" t="s">
        <v>50</v>
      </c>
      <c r="H2379" s="384">
        <v>21.7</v>
      </c>
      <c r="I2379" s="376">
        <v>10.6</v>
      </c>
      <c r="J2379" s="19">
        <v>1</v>
      </c>
      <c r="K2379" s="13">
        <v>0.23001999999999997</v>
      </c>
      <c r="L2379" s="7" t="s">
        <v>483</v>
      </c>
    </row>
    <row r="2380" spans="1:12">
      <c r="A2380" s="7"/>
      <c r="B2380" s="381" t="s">
        <v>365</v>
      </c>
      <c r="C2380" s="3" t="s">
        <v>232</v>
      </c>
      <c r="D2380" s="2" t="s">
        <v>228</v>
      </c>
      <c r="E2380" s="382" t="s">
        <v>17</v>
      </c>
      <c r="F2380" s="114" t="s">
        <v>15</v>
      </c>
      <c r="G2380" s="383" t="s">
        <v>50</v>
      </c>
      <c r="H2380" s="384">
        <v>21.7</v>
      </c>
      <c r="I2380" s="376">
        <v>11.6</v>
      </c>
      <c r="J2380" s="19">
        <v>1</v>
      </c>
      <c r="K2380" s="13">
        <v>0.25171999999999994</v>
      </c>
      <c r="L2380" s="7" t="s">
        <v>483</v>
      </c>
    </row>
    <row r="2381" spans="1:12">
      <c r="A2381" s="7"/>
      <c r="B2381" s="381" t="s">
        <v>365</v>
      </c>
      <c r="C2381" s="3" t="s">
        <v>232</v>
      </c>
      <c r="D2381" s="2" t="s">
        <v>228</v>
      </c>
      <c r="E2381" s="382" t="s">
        <v>17</v>
      </c>
      <c r="F2381" s="114" t="s">
        <v>15</v>
      </c>
      <c r="G2381" s="383" t="s">
        <v>48</v>
      </c>
      <c r="H2381" s="384">
        <v>23.45</v>
      </c>
      <c r="I2381" s="376">
        <v>7.5</v>
      </c>
      <c r="J2381" s="19">
        <v>0</v>
      </c>
      <c r="K2381" s="13">
        <v>0</v>
      </c>
      <c r="L2381" s="7" t="s">
        <v>483</v>
      </c>
    </row>
    <row r="2382" spans="1:12">
      <c r="A2382" s="7"/>
      <c r="B2382" s="381" t="s">
        <v>365</v>
      </c>
      <c r="C2382" s="3" t="s">
        <v>232</v>
      </c>
      <c r="D2382" s="2" t="s">
        <v>228</v>
      </c>
      <c r="E2382" s="382" t="s">
        <v>17</v>
      </c>
      <c r="F2382" s="114" t="s">
        <v>15</v>
      </c>
      <c r="G2382" s="383" t="s">
        <v>48</v>
      </c>
      <c r="H2382" s="384">
        <v>23.45</v>
      </c>
      <c r="I2382" s="376">
        <v>10</v>
      </c>
      <c r="J2382" s="19">
        <v>0</v>
      </c>
      <c r="K2382" s="13">
        <v>0</v>
      </c>
      <c r="L2382" s="7" t="s">
        <v>483</v>
      </c>
    </row>
    <row r="2383" spans="1:12">
      <c r="A2383" s="7"/>
      <c r="B2383" s="381" t="s">
        <v>365</v>
      </c>
      <c r="C2383" s="3" t="s">
        <v>232</v>
      </c>
      <c r="D2383" s="2" t="s">
        <v>228</v>
      </c>
      <c r="E2383" s="382" t="s">
        <v>17</v>
      </c>
      <c r="F2383" s="114" t="s">
        <v>15</v>
      </c>
      <c r="G2383" s="383" t="s">
        <v>48</v>
      </c>
      <c r="H2383" s="384">
        <v>23.45</v>
      </c>
      <c r="I2383" s="376">
        <v>11</v>
      </c>
      <c r="J2383" s="19">
        <v>0</v>
      </c>
      <c r="K2383" s="13">
        <v>0</v>
      </c>
      <c r="L2383" s="7" t="s">
        <v>483</v>
      </c>
    </row>
    <row r="2384" spans="1:12">
      <c r="A2384" s="7"/>
      <c r="B2384" s="381" t="s">
        <v>365</v>
      </c>
      <c r="C2384" s="3" t="s">
        <v>232</v>
      </c>
      <c r="D2384" s="2" t="s">
        <v>228</v>
      </c>
      <c r="E2384" s="382" t="s">
        <v>17</v>
      </c>
      <c r="F2384" s="114" t="s">
        <v>15</v>
      </c>
      <c r="G2384" s="383" t="s">
        <v>48</v>
      </c>
      <c r="H2384" s="384">
        <v>23.45</v>
      </c>
      <c r="I2384" s="376">
        <v>11</v>
      </c>
      <c r="J2384" s="19">
        <v>0</v>
      </c>
      <c r="K2384" s="13">
        <v>0</v>
      </c>
      <c r="L2384" s="7" t="s">
        <v>483</v>
      </c>
    </row>
    <row r="2385" spans="1:12">
      <c r="A2385" s="7"/>
      <c r="B2385" s="381" t="s">
        <v>365</v>
      </c>
      <c r="C2385" s="3" t="s">
        <v>232</v>
      </c>
      <c r="D2385" s="2" t="s">
        <v>228</v>
      </c>
      <c r="E2385" s="382" t="s">
        <v>17</v>
      </c>
      <c r="F2385" s="114" t="s">
        <v>15</v>
      </c>
      <c r="G2385" s="383" t="s">
        <v>48</v>
      </c>
      <c r="H2385" s="384">
        <v>23.45</v>
      </c>
      <c r="I2385" s="376">
        <v>12</v>
      </c>
      <c r="J2385" s="19">
        <v>0</v>
      </c>
      <c r="K2385" s="13">
        <v>0</v>
      </c>
      <c r="L2385" s="7" t="s">
        <v>483</v>
      </c>
    </row>
    <row r="2386" spans="1:12">
      <c r="A2386" s="7"/>
      <c r="B2386" s="381" t="s">
        <v>365</v>
      </c>
      <c r="C2386" s="3" t="s">
        <v>232</v>
      </c>
      <c r="D2386" s="2" t="s">
        <v>228</v>
      </c>
      <c r="E2386" s="382" t="s">
        <v>17</v>
      </c>
      <c r="F2386" s="114" t="s">
        <v>15</v>
      </c>
      <c r="G2386" s="383" t="s">
        <v>48</v>
      </c>
      <c r="H2386" s="384">
        <v>23.45</v>
      </c>
      <c r="I2386" s="376">
        <v>7.1</v>
      </c>
      <c r="J2386" s="19">
        <v>1</v>
      </c>
      <c r="K2386" s="13">
        <v>0.16649499999999998</v>
      </c>
      <c r="L2386" s="7" t="s">
        <v>483</v>
      </c>
    </row>
    <row r="2387" spans="1:12">
      <c r="A2387" s="7"/>
      <c r="B2387" s="381" t="s">
        <v>365</v>
      </c>
      <c r="C2387" s="3" t="s">
        <v>232</v>
      </c>
      <c r="D2387" s="2" t="s">
        <v>228</v>
      </c>
      <c r="E2387" s="382" t="s">
        <v>17</v>
      </c>
      <c r="F2387" s="114" t="s">
        <v>15</v>
      </c>
      <c r="G2387" s="383" t="s">
        <v>48</v>
      </c>
      <c r="H2387" s="384">
        <v>23.45</v>
      </c>
      <c r="I2387" s="376">
        <v>10</v>
      </c>
      <c r="J2387" s="19">
        <v>1</v>
      </c>
      <c r="K2387" s="13">
        <v>0.23449999999999999</v>
      </c>
      <c r="L2387" s="7" t="s">
        <v>483</v>
      </c>
    </row>
    <row r="2388" spans="1:12">
      <c r="A2388" s="7"/>
      <c r="B2388" s="381" t="s">
        <v>365</v>
      </c>
      <c r="C2388" s="3" t="s">
        <v>232</v>
      </c>
      <c r="D2388" s="2" t="s">
        <v>228</v>
      </c>
      <c r="E2388" s="382" t="s">
        <v>17</v>
      </c>
      <c r="F2388" s="114" t="s">
        <v>15</v>
      </c>
      <c r="G2388" s="383" t="s">
        <v>48</v>
      </c>
      <c r="H2388" s="384">
        <v>23.45</v>
      </c>
      <c r="I2388" s="376">
        <v>12</v>
      </c>
      <c r="J2388" s="19">
        <v>2</v>
      </c>
      <c r="K2388" s="13">
        <v>0.56279999999999997</v>
      </c>
      <c r="L2388" s="7" t="s">
        <v>483</v>
      </c>
    </row>
    <row r="2389" spans="1:12">
      <c r="A2389" s="7"/>
      <c r="B2389" s="381" t="s">
        <v>365</v>
      </c>
      <c r="C2389" s="3" t="s">
        <v>232</v>
      </c>
      <c r="D2389" s="2" t="s">
        <v>228</v>
      </c>
      <c r="E2389" s="382" t="s">
        <v>24</v>
      </c>
      <c r="F2389" s="114" t="s">
        <v>14</v>
      </c>
      <c r="G2389" s="383" t="s">
        <v>48</v>
      </c>
      <c r="H2389" s="384">
        <v>23.45</v>
      </c>
      <c r="I2389" s="376">
        <v>10</v>
      </c>
      <c r="J2389" s="19">
        <v>0</v>
      </c>
      <c r="K2389" s="13">
        <v>0</v>
      </c>
      <c r="L2389" s="7" t="s">
        <v>483</v>
      </c>
    </row>
    <row r="2390" spans="1:12">
      <c r="A2390" s="7"/>
      <c r="B2390" s="381" t="s">
        <v>365</v>
      </c>
      <c r="C2390" s="3" t="s">
        <v>232</v>
      </c>
      <c r="D2390" s="2" t="s">
        <v>228</v>
      </c>
      <c r="E2390" s="382" t="s">
        <v>24</v>
      </c>
      <c r="F2390" s="114" t="s">
        <v>14</v>
      </c>
      <c r="G2390" s="383" t="s">
        <v>48</v>
      </c>
      <c r="H2390" s="384">
        <v>23.45</v>
      </c>
      <c r="I2390" s="376">
        <v>11</v>
      </c>
      <c r="J2390" s="19">
        <v>0</v>
      </c>
      <c r="K2390" s="13">
        <v>0</v>
      </c>
      <c r="L2390" s="7" t="s">
        <v>483</v>
      </c>
    </row>
    <row r="2391" spans="1:12">
      <c r="A2391" s="7"/>
      <c r="B2391" s="381" t="s">
        <v>365</v>
      </c>
      <c r="C2391" s="3" t="s">
        <v>232</v>
      </c>
      <c r="D2391" s="2" t="s">
        <v>228</v>
      </c>
      <c r="E2391" s="382" t="s">
        <v>24</v>
      </c>
      <c r="F2391" s="114" t="s">
        <v>14</v>
      </c>
      <c r="G2391" s="383" t="s">
        <v>48</v>
      </c>
      <c r="H2391" s="384">
        <v>23.45</v>
      </c>
      <c r="I2391" s="376">
        <v>9</v>
      </c>
      <c r="J2391" s="19">
        <v>0</v>
      </c>
      <c r="K2391" s="13">
        <v>0</v>
      </c>
      <c r="L2391" s="7" t="s">
        <v>483</v>
      </c>
    </row>
    <row r="2392" spans="1:12">
      <c r="A2392" s="7"/>
      <c r="B2392" s="381" t="s">
        <v>365</v>
      </c>
      <c r="C2392" s="3" t="s">
        <v>232</v>
      </c>
      <c r="D2392" s="2" t="s">
        <v>228</v>
      </c>
      <c r="E2392" s="382" t="s">
        <v>24</v>
      </c>
      <c r="F2392" s="114" t="s">
        <v>14</v>
      </c>
      <c r="G2392" s="383" t="s">
        <v>48</v>
      </c>
      <c r="H2392" s="384">
        <v>23.45</v>
      </c>
      <c r="I2392" s="376">
        <v>12</v>
      </c>
      <c r="J2392" s="19">
        <v>14</v>
      </c>
      <c r="K2392" s="13">
        <v>3.9396</v>
      </c>
      <c r="L2392" s="7" t="s">
        <v>483</v>
      </c>
    </row>
    <row r="2393" spans="1:12">
      <c r="A2393" s="7"/>
      <c r="B2393" s="381" t="s">
        <v>365</v>
      </c>
      <c r="C2393" s="3" t="s">
        <v>232</v>
      </c>
      <c r="D2393" s="2" t="s">
        <v>228</v>
      </c>
      <c r="E2393" s="382" t="s">
        <v>382</v>
      </c>
      <c r="F2393" s="114" t="s">
        <v>15</v>
      </c>
      <c r="G2393" s="383" t="s">
        <v>50</v>
      </c>
      <c r="H2393" s="384">
        <v>21.7</v>
      </c>
      <c r="I2393" s="376">
        <v>6.1</v>
      </c>
      <c r="J2393" s="19">
        <v>0</v>
      </c>
      <c r="K2393" s="13">
        <v>0</v>
      </c>
      <c r="L2393" s="7" t="s">
        <v>483</v>
      </c>
    </row>
    <row r="2394" spans="1:12">
      <c r="A2394" s="7"/>
      <c r="B2394" s="381" t="s">
        <v>365</v>
      </c>
      <c r="C2394" s="3" t="s">
        <v>232</v>
      </c>
      <c r="D2394" s="2" t="s">
        <v>228</v>
      </c>
      <c r="E2394" s="382" t="s">
        <v>382</v>
      </c>
      <c r="F2394" s="114" t="s">
        <v>15</v>
      </c>
      <c r="G2394" s="383" t="s">
        <v>50</v>
      </c>
      <c r="H2394" s="384">
        <v>21.7</v>
      </c>
      <c r="I2394" s="376">
        <v>6.3</v>
      </c>
      <c r="J2394" s="19">
        <v>18</v>
      </c>
      <c r="K2394" s="13">
        <v>2.4607799999999997</v>
      </c>
      <c r="L2394" s="7" t="s">
        <v>483</v>
      </c>
    </row>
    <row r="2395" spans="1:12">
      <c r="A2395" s="7"/>
      <c r="B2395" s="381" t="s">
        <v>365</v>
      </c>
      <c r="C2395" s="3" t="s">
        <v>232</v>
      </c>
      <c r="D2395" s="2" t="s">
        <v>228</v>
      </c>
      <c r="E2395" s="382" t="s">
        <v>382</v>
      </c>
      <c r="F2395" s="114" t="s">
        <v>15</v>
      </c>
      <c r="G2395" s="383" t="s">
        <v>50</v>
      </c>
      <c r="H2395" s="384">
        <v>21.7</v>
      </c>
      <c r="I2395" s="376">
        <v>8.4</v>
      </c>
      <c r="J2395" s="19">
        <v>24</v>
      </c>
      <c r="K2395" s="13">
        <v>4.3747199999999999</v>
      </c>
      <c r="L2395" s="7" t="s">
        <v>483</v>
      </c>
    </row>
    <row r="2396" spans="1:12">
      <c r="A2396" s="7"/>
      <c r="B2396" s="381" t="s">
        <v>365</v>
      </c>
      <c r="C2396" s="3" t="s">
        <v>232</v>
      </c>
      <c r="D2396" s="2" t="s">
        <v>228</v>
      </c>
      <c r="E2396" s="382" t="s">
        <v>382</v>
      </c>
      <c r="F2396" s="114" t="s">
        <v>15</v>
      </c>
      <c r="G2396" s="383" t="s">
        <v>50</v>
      </c>
      <c r="H2396" s="384">
        <v>21.7</v>
      </c>
      <c r="I2396" s="376">
        <v>8.6</v>
      </c>
      <c r="J2396" s="19">
        <v>0</v>
      </c>
      <c r="K2396" s="13">
        <v>0</v>
      </c>
      <c r="L2396" s="7" t="s">
        <v>483</v>
      </c>
    </row>
    <row r="2397" spans="1:12">
      <c r="A2397" s="7"/>
      <c r="B2397" s="381" t="s">
        <v>365</v>
      </c>
      <c r="C2397" s="3" t="s">
        <v>232</v>
      </c>
      <c r="D2397" s="2" t="s">
        <v>228</v>
      </c>
      <c r="E2397" s="382" t="s">
        <v>382</v>
      </c>
      <c r="F2397" s="114" t="s">
        <v>15</v>
      </c>
      <c r="G2397" s="383" t="s">
        <v>50</v>
      </c>
      <c r="H2397" s="384">
        <v>21.7</v>
      </c>
      <c r="I2397" s="376">
        <v>9.1</v>
      </c>
      <c r="J2397" s="19">
        <v>2</v>
      </c>
      <c r="K2397" s="13">
        <v>0.39494000000000001</v>
      </c>
      <c r="L2397" s="7" t="s">
        <v>483</v>
      </c>
    </row>
    <row r="2398" spans="1:12">
      <c r="A2398" s="7"/>
      <c r="B2398" s="381" t="s">
        <v>365</v>
      </c>
      <c r="C2398" s="3" t="s">
        <v>232</v>
      </c>
      <c r="D2398" s="2" t="s">
        <v>228</v>
      </c>
      <c r="E2398" s="382" t="s">
        <v>382</v>
      </c>
      <c r="F2398" s="114" t="s">
        <v>15</v>
      </c>
      <c r="G2398" s="383" t="s">
        <v>50</v>
      </c>
      <c r="H2398" s="384">
        <v>21.7</v>
      </c>
      <c r="I2398" s="376">
        <v>9.6999999999999993</v>
      </c>
      <c r="J2398" s="19">
        <v>0</v>
      </c>
      <c r="K2398" s="13">
        <v>0</v>
      </c>
      <c r="L2398" s="7" t="s">
        <v>483</v>
      </c>
    </row>
    <row r="2399" spans="1:12">
      <c r="A2399" s="7"/>
      <c r="B2399" s="381" t="s">
        <v>365</v>
      </c>
      <c r="C2399" s="3" t="s">
        <v>232</v>
      </c>
      <c r="D2399" s="2" t="s">
        <v>228</v>
      </c>
      <c r="E2399" s="382" t="s">
        <v>382</v>
      </c>
      <c r="F2399" s="114" t="s">
        <v>15</v>
      </c>
      <c r="G2399" s="383" t="s">
        <v>50</v>
      </c>
      <c r="H2399" s="384">
        <v>21.7</v>
      </c>
      <c r="I2399" s="376">
        <v>10.1</v>
      </c>
      <c r="J2399" s="19">
        <v>10</v>
      </c>
      <c r="K2399" s="13">
        <v>2.1917</v>
      </c>
      <c r="L2399" s="7" t="s">
        <v>483</v>
      </c>
    </row>
    <row r="2400" spans="1:12">
      <c r="A2400" s="7"/>
      <c r="B2400" s="381" t="s">
        <v>365</v>
      </c>
      <c r="C2400" s="3" t="s">
        <v>232</v>
      </c>
      <c r="D2400" s="2" t="s">
        <v>228</v>
      </c>
      <c r="E2400" s="382" t="s">
        <v>382</v>
      </c>
      <c r="F2400" s="114" t="s">
        <v>15</v>
      </c>
      <c r="G2400" s="383" t="s">
        <v>50</v>
      </c>
      <c r="H2400" s="384">
        <v>21.7</v>
      </c>
      <c r="I2400" s="376">
        <v>6</v>
      </c>
      <c r="J2400" s="19">
        <v>1</v>
      </c>
      <c r="K2400" s="13">
        <v>0.13019999999999998</v>
      </c>
      <c r="L2400" s="7" t="s">
        <v>483</v>
      </c>
    </row>
    <row r="2401" spans="1:12">
      <c r="A2401" s="7"/>
      <c r="B2401" s="381" t="s">
        <v>365</v>
      </c>
      <c r="C2401" s="3" t="s">
        <v>232</v>
      </c>
      <c r="D2401" s="2" t="s">
        <v>228</v>
      </c>
      <c r="E2401" s="382" t="s">
        <v>382</v>
      </c>
      <c r="F2401" s="114" t="s">
        <v>15</v>
      </c>
      <c r="G2401" s="383" t="s">
        <v>50</v>
      </c>
      <c r="H2401" s="384">
        <v>21.7</v>
      </c>
      <c r="I2401" s="376">
        <v>7.5</v>
      </c>
      <c r="J2401" s="19">
        <v>1</v>
      </c>
      <c r="K2401" s="13">
        <v>0.16275000000000001</v>
      </c>
      <c r="L2401" s="7" t="s">
        <v>483</v>
      </c>
    </row>
    <row r="2402" spans="1:12">
      <c r="A2402" s="7"/>
      <c r="B2402" s="381" t="s">
        <v>365</v>
      </c>
      <c r="C2402" s="3" t="s">
        <v>232</v>
      </c>
      <c r="D2402" s="2" t="s">
        <v>228</v>
      </c>
      <c r="E2402" s="382" t="s">
        <v>382</v>
      </c>
      <c r="F2402" s="114" t="s">
        <v>15</v>
      </c>
      <c r="G2402" s="383" t="s">
        <v>50</v>
      </c>
      <c r="H2402" s="384">
        <v>21.7</v>
      </c>
      <c r="I2402" s="376">
        <v>7.9</v>
      </c>
      <c r="J2402" s="19">
        <v>2</v>
      </c>
      <c r="K2402" s="13">
        <v>0.34286</v>
      </c>
      <c r="L2402" s="7" t="s">
        <v>483</v>
      </c>
    </row>
    <row r="2403" spans="1:12">
      <c r="A2403" s="7"/>
      <c r="B2403" s="381" t="s">
        <v>365</v>
      </c>
      <c r="C2403" s="3" t="s">
        <v>232</v>
      </c>
      <c r="D2403" s="2" t="s">
        <v>228</v>
      </c>
      <c r="E2403" s="382" t="s">
        <v>382</v>
      </c>
      <c r="F2403" s="114" t="s">
        <v>15</v>
      </c>
      <c r="G2403" s="383" t="s">
        <v>50</v>
      </c>
      <c r="H2403" s="384">
        <v>21.7</v>
      </c>
      <c r="I2403" s="376">
        <v>8.4</v>
      </c>
      <c r="J2403" s="19">
        <v>1</v>
      </c>
      <c r="K2403" s="13">
        <v>0.18228</v>
      </c>
      <c r="L2403" s="7" t="s">
        <v>483</v>
      </c>
    </row>
    <row r="2404" spans="1:12">
      <c r="A2404" s="7"/>
      <c r="B2404" s="381" t="s">
        <v>365</v>
      </c>
      <c r="C2404" s="3" t="s">
        <v>232</v>
      </c>
      <c r="D2404" s="2" t="s">
        <v>228</v>
      </c>
      <c r="E2404" s="382" t="s">
        <v>382</v>
      </c>
      <c r="F2404" s="114" t="s">
        <v>15</v>
      </c>
      <c r="G2404" s="383" t="s">
        <v>50</v>
      </c>
      <c r="H2404" s="384">
        <v>21.7</v>
      </c>
      <c r="I2404" s="376">
        <v>11.5</v>
      </c>
      <c r="J2404" s="19">
        <v>1</v>
      </c>
      <c r="K2404" s="13">
        <v>0.24954999999999999</v>
      </c>
      <c r="L2404" s="7" t="s">
        <v>483</v>
      </c>
    </row>
    <row r="2405" spans="1:12">
      <c r="A2405" s="7"/>
      <c r="B2405" s="381" t="s">
        <v>365</v>
      </c>
      <c r="C2405" s="3" t="s">
        <v>232</v>
      </c>
      <c r="D2405" s="2" t="s">
        <v>228</v>
      </c>
      <c r="E2405" s="382" t="s">
        <v>382</v>
      </c>
      <c r="F2405" s="114" t="s">
        <v>15</v>
      </c>
      <c r="G2405" s="383" t="s">
        <v>50</v>
      </c>
      <c r="H2405" s="384">
        <v>21.7</v>
      </c>
      <c r="I2405" s="376">
        <v>11</v>
      </c>
      <c r="J2405" s="19">
        <v>3</v>
      </c>
      <c r="K2405" s="13">
        <v>0.71610000000000007</v>
      </c>
      <c r="L2405" s="7" t="s">
        <v>483</v>
      </c>
    </row>
    <row r="2406" spans="1:12">
      <c r="A2406" s="7"/>
      <c r="B2406" s="381" t="s">
        <v>365</v>
      </c>
      <c r="C2406" s="3" t="s">
        <v>232</v>
      </c>
      <c r="D2406" s="2" t="s">
        <v>228</v>
      </c>
      <c r="E2406" s="382" t="s">
        <v>382</v>
      </c>
      <c r="F2406" s="114" t="s">
        <v>15</v>
      </c>
      <c r="G2406" s="383" t="s">
        <v>50</v>
      </c>
      <c r="H2406" s="384">
        <v>21.7</v>
      </c>
      <c r="I2406" s="376">
        <v>9.6999999999999993</v>
      </c>
      <c r="J2406" s="19">
        <v>3</v>
      </c>
      <c r="K2406" s="13">
        <v>0.63146999999999986</v>
      </c>
      <c r="L2406" s="7" t="s">
        <v>483</v>
      </c>
    </row>
    <row r="2407" spans="1:12">
      <c r="A2407" s="7"/>
      <c r="B2407" s="381" t="s">
        <v>365</v>
      </c>
      <c r="C2407" s="3" t="s">
        <v>232</v>
      </c>
      <c r="D2407" s="2" t="s">
        <v>228</v>
      </c>
      <c r="E2407" s="382" t="s">
        <v>382</v>
      </c>
      <c r="F2407" s="114" t="s">
        <v>15</v>
      </c>
      <c r="G2407" s="383" t="s">
        <v>50</v>
      </c>
      <c r="H2407" s="384">
        <v>21.7</v>
      </c>
      <c r="I2407" s="376">
        <v>8.6</v>
      </c>
      <c r="J2407" s="19">
        <v>1</v>
      </c>
      <c r="K2407" s="13">
        <v>0.18661999999999998</v>
      </c>
      <c r="L2407" s="7" t="s">
        <v>483</v>
      </c>
    </row>
    <row r="2408" spans="1:12">
      <c r="A2408" s="7"/>
      <c r="B2408" s="381" t="s">
        <v>365</v>
      </c>
      <c r="C2408" s="3" t="s">
        <v>232</v>
      </c>
      <c r="D2408" s="2" t="s">
        <v>228</v>
      </c>
      <c r="E2408" s="382" t="s">
        <v>382</v>
      </c>
      <c r="F2408" s="114" t="s">
        <v>15</v>
      </c>
      <c r="G2408" s="383" t="s">
        <v>50</v>
      </c>
      <c r="H2408" s="384">
        <v>21.7</v>
      </c>
      <c r="I2408" s="376">
        <v>7.7</v>
      </c>
      <c r="J2408" s="19">
        <v>2</v>
      </c>
      <c r="K2408" s="13">
        <v>0.33418000000000003</v>
      </c>
      <c r="L2408" s="7" t="s">
        <v>483</v>
      </c>
    </row>
    <row r="2409" spans="1:12">
      <c r="A2409" s="7"/>
      <c r="B2409" s="381" t="s">
        <v>365</v>
      </c>
      <c r="C2409" s="3" t="s">
        <v>232</v>
      </c>
      <c r="D2409" s="2" t="s">
        <v>228</v>
      </c>
      <c r="E2409" s="382" t="s">
        <v>382</v>
      </c>
      <c r="F2409" s="114" t="s">
        <v>15</v>
      </c>
      <c r="G2409" s="383" t="s">
        <v>50</v>
      </c>
      <c r="H2409" s="384">
        <v>21.7</v>
      </c>
      <c r="I2409" s="376">
        <v>7.8</v>
      </c>
      <c r="J2409" s="19">
        <v>1</v>
      </c>
      <c r="K2409" s="13">
        <v>0.16925999999999999</v>
      </c>
      <c r="L2409" s="7" t="s">
        <v>483</v>
      </c>
    </row>
    <row r="2410" spans="1:12">
      <c r="A2410" s="7"/>
      <c r="B2410" s="381" t="s">
        <v>365</v>
      </c>
      <c r="C2410" s="3" t="s">
        <v>232</v>
      </c>
      <c r="D2410" s="2" t="s">
        <v>228</v>
      </c>
      <c r="E2410" s="382" t="s">
        <v>382</v>
      </c>
      <c r="F2410" s="114" t="s">
        <v>15</v>
      </c>
      <c r="G2410" s="383" t="s">
        <v>50</v>
      </c>
      <c r="H2410" s="384">
        <v>21.7</v>
      </c>
      <c r="I2410" s="376">
        <v>6.3</v>
      </c>
      <c r="J2410" s="19">
        <v>2</v>
      </c>
      <c r="K2410" s="13">
        <v>0.27341999999999994</v>
      </c>
      <c r="L2410" s="7" t="s">
        <v>483</v>
      </c>
    </row>
    <row r="2411" spans="1:12">
      <c r="A2411" s="7"/>
      <c r="B2411" s="381" t="s">
        <v>365</v>
      </c>
      <c r="C2411" s="3" t="s">
        <v>232</v>
      </c>
      <c r="D2411" s="2" t="s">
        <v>228</v>
      </c>
      <c r="E2411" s="382" t="s">
        <v>382</v>
      </c>
      <c r="F2411" s="114" t="s">
        <v>15</v>
      </c>
      <c r="G2411" s="383" t="s">
        <v>48</v>
      </c>
      <c r="H2411" s="384">
        <v>23.6</v>
      </c>
      <c r="I2411" s="376">
        <v>8.6999999999999993</v>
      </c>
      <c r="J2411" s="19">
        <v>3</v>
      </c>
      <c r="K2411" s="13">
        <v>0.61596000000000006</v>
      </c>
      <c r="L2411" s="7" t="s">
        <v>483</v>
      </c>
    </row>
    <row r="2412" spans="1:12">
      <c r="A2412" s="7"/>
      <c r="B2412" s="381" t="s">
        <v>365</v>
      </c>
      <c r="C2412" s="3" t="s">
        <v>232</v>
      </c>
      <c r="D2412" s="2" t="s">
        <v>228</v>
      </c>
      <c r="E2412" s="382" t="s">
        <v>382</v>
      </c>
      <c r="F2412" s="114" t="s">
        <v>15</v>
      </c>
      <c r="G2412" s="383" t="s">
        <v>48</v>
      </c>
      <c r="H2412" s="384">
        <v>23.6</v>
      </c>
      <c r="I2412" s="376">
        <v>8.5</v>
      </c>
      <c r="J2412" s="19">
        <v>1</v>
      </c>
      <c r="K2412" s="13">
        <v>0.20060000000000003</v>
      </c>
      <c r="L2412" s="7" t="s">
        <v>483</v>
      </c>
    </row>
    <row r="2413" spans="1:12">
      <c r="A2413" s="7"/>
      <c r="B2413" s="381" t="s">
        <v>365</v>
      </c>
      <c r="C2413" s="3" t="s">
        <v>232</v>
      </c>
      <c r="D2413" s="2" t="s">
        <v>228</v>
      </c>
      <c r="E2413" s="382" t="s">
        <v>382</v>
      </c>
      <c r="F2413" s="114" t="s">
        <v>15</v>
      </c>
      <c r="G2413" s="383" t="s">
        <v>48</v>
      </c>
      <c r="H2413" s="384">
        <v>23.6</v>
      </c>
      <c r="I2413" s="376">
        <v>8.6</v>
      </c>
      <c r="J2413" s="19">
        <v>1</v>
      </c>
      <c r="K2413" s="13">
        <v>0.20296</v>
      </c>
      <c r="L2413" s="7" t="s">
        <v>483</v>
      </c>
    </row>
    <row r="2414" spans="1:12">
      <c r="A2414" s="7"/>
      <c r="B2414" s="381" t="s">
        <v>365</v>
      </c>
      <c r="C2414" s="3" t="s">
        <v>232</v>
      </c>
      <c r="D2414" s="2" t="s">
        <v>228</v>
      </c>
      <c r="E2414" s="382" t="s">
        <v>382</v>
      </c>
      <c r="F2414" s="114" t="s">
        <v>15</v>
      </c>
      <c r="G2414" s="383" t="s">
        <v>48</v>
      </c>
      <c r="H2414" s="384">
        <v>23.6</v>
      </c>
      <c r="I2414" s="376">
        <v>7.5</v>
      </c>
      <c r="J2414" s="19">
        <v>1</v>
      </c>
      <c r="K2414" s="13">
        <v>0.17699999999999999</v>
      </c>
      <c r="L2414" s="7" t="s">
        <v>483</v>
      </c>
    </row>
    <row r="2415" spans="1:12">
      <c r="A2415" s="7"/>
      <c r="B2415" s="381" t="s">
        <v>365</v>
      </c>
      <c r="C2415" s="3" t="s">
        <v>232</v>
      </c>
      <c r="D2415" s="2" t="s">
        <v>228</v>
      </c>
      <c r="E2415" s="382" t="s">
        <v>382</v>
      </c>
      <c r="F2415" s="114" t="s">
        <v>15</v>
      </c>
      <c r="G2415" s="383" t="s">
        <v>48</v>
      </c>
      <c r="H2415" s="384">
        <v>23.6</v>
      </c>
      <c r="I2415" s="376">
        <v>8.6999999999999993</v>
      </c>
      <c r="J2415" s="19">
        <v>6</v>
      </c>
      <c r="K2415" s="13">
        <v>1.2319200000000001</v>
      </c>
      <c r="L2415" s="7" t="s">
        <v>483</v>
      </c>
    </row>
    <row r="2416" spans="1:12">
      <c r="A2416" s="7"/>
      <c r="B2416" s="381" t="s">
        <v>365</v>
      </c>
      <c r="C2416" s="3" t="s">
        <v>232</v>
      </c>
      <c r="D2416" s="2" t="s">
        <v>228</v>
      </c>
      <c r="E2416" s="382" t="s">
        <v>382</v>
      </c>
      <c r="F2416" s="114" t="s">
        <v>15</v>
      </c>
      <c r="G2416" s="383" t="s">
        <v>42</v>
      </c>
      <c r="H2416" s="384">
        <v>19.8</v>
      </c>
      <c r="I2416" s="376">
        <v>9.6</v>
      </c>
      <c r="J2416" s="19">
        <v>0</v>
      </c>
      <c r="K2416" s="13">
        <v>0</v>
      </c>
      <c r="L2416" s="7" t="s">
        <v>483</v>
      </c>
    </row>
    <row r="2417" spans="1:12">
      <c r="A2417" s="7"/>
      <c r="B2417" s="381" t="s">
        <v>365</v>
      </c>
      <c r="C2417" s="3" t="s">
        <v>232</v>
      </c>
      <c r="D2417" s="2" t="s">
        <v>228</v>
      </c>
      <c r="E2417" s="382" t="s">
        <v>382</v>
      </c>
      <c r="F2417" s="114" t="s">
        <v>15</v>
      </c>
      <c r="G2417" s="383" t="s">
        <v>42</v>
      </c>
      <c r="H2417" s="384">
        <v>19.8</v>
      </c>
      <c r="I2417" s="376">
        <v>8.1</v>
      </c>
      <c r="J2417" s="19">
        <v>0</v>
      </c>
      <c r="K2417" s="13">
        <v>0</v>
      </c>
      <c r="L2417" s="7" t="s">
        <v>483</v>
      </c>
    </row>
    <row r="2418" spans="1:12">
      <c r="A2418" s="7"/>
      <c r="B2418" s="381" t="s">
        <v>365</v>
      </c>
      <c r="C2418" s="3" t="s">
        <v>232</v>
      </c>
      <c r="D2418" s="2" t="s">
        <v>228</v>
      </c>
      <c r="E2418" s="382" t="s">
        <v>382</v>
      </c>
      <c r="F2418" s="114" t="s">
        <v>15</v>
      </c>
      <c r="G2418" s="383" t="s">
        <v>42</v>
      </c>
      <c r="H2418" s="384">
        <v>19.8</v>
      </c>
      <c r="I2418" s="376">
        <v>8.1</v>
      </c>
      <c r="J2418" s="19">
        <v>0</v>
      </c>
      <c r="K2418" s="13">
        <v>0</v>
      </c>
      <c r="L2418" s="7" t="s">
        <v>483</v>
      </c>
    </row>
    <row r="2419" spans="1:12">
      <c r="A2419" s="7"/>
      <c r="B2419" s="381" t="s">
        <v>365</v>
      </c>
      <c r="C2419" s="3" t="s">
        <v>232</v>
      </c>
      <c r="D2419" s="2" t="s">
        <v>228</v>
      </c>
      <c r="E2419" s="382" t="s">
        <v>382</v>
      </c>
      <c r="F2419" s="114" t="s">
        <v>15</v>
      </c>
      <c r="G2419" s="383" t="s">
        <v>42</v>
      </c>
      <c r="H2419" s="384">
        <v>19.8</v>
      </c>
      <c r="I2419" s="376">
        <v>7.7</v>
      </c>
      <c r="J2419" s="19">
        <v>0</v>
      </c>
      <c r="K2419" s="13">
        <v>0</v>
      </c>
      <c r="L2419" s="7" t="s">
        <v>483</v>
      </c>
    </row>
    <row r="2420" spans="1:12">
      <c r="A2420" s="7"/>
      <c r="B2420" s="381" t="s">
        <v>365</v>
      </c>
      <c r="C2420" s="3" t="s">
        <v>232</v>
      </c>
      <c r="D2420" s="2" t="s">
        <v>228</v>
      </c>
      <c r="E2420" s="382" t="s">
        <v>382</v>
      </c>
      <c r="F2420" s="114" t="s">
        <v>15</v>
      </c>
      <c r="G2420" s="383" t="s">
        <v>42</v>
      </c>
      <c r="H2420" s="384">
        <v>19.8</v>
      </c>
      <c r="I2420" s="376">
        <v>8.9</v>
      </c>
      <c r="J2420" s="19">
        <v>0</v>
      </c>
      <c r="K2420" s="13">
        <v>0</v>
      </c>
      <c r="L2420" s="7" t="s">
        <v>483</v>
      </c>
    </row>
    <row r="2421" spans="1:12">
      <c r="A2421" s="7"/>
      <c r="B2421" s="381" t="s">
        <v>365</v>
      </c>
      <c r="C2421" s="3" t="s">
        <v>232</v>
      </c>
      <c r="D2421" s="2" t="s">
        <v>228</v>
      </c>
      <c r="E2421" s="382" t="s">
        <v>382</v>
      </c>
      <c r="F2421" s="114" t="s">
        <v>15</v>
      </c>
      <c r="G2421" s="383" t="s">
        <v>42</v>
      </c>
      <c r="H2421" s="384">
        <v>19.8</v>
      </c>
      <c r="I2421" s="376">
        <v>9</v>
      </c>
      <c r="J2421" s="19">
        <v>0</v>
      </c>
      <c r="K2421" s="13">
        <v>0</v>
      </c>
      <c r="L2421" s="7" t="s">
        <v>483</v>
      </c>
    </row>
    <row r="2422" spans="1:12">
      <c r="A2422" s="7"/>
      <c r="B2422" s="381" t="s">
        <v>365</v>
      </c>
      <c r="C2422" s="3" t="s">
        <v>232</v>
      </c>
      <c r="D2422" s="2" t="s">
        <v>228</v>
      </c>
      <c r="E2422" s="382" t="s">
        <v>382</v>
      </c>
      <c r="F2422" s="114" t="s">
        <v>15</v>
      </c>
      <c r="G2422" s="383" t="s">
        <v>42</v>
      </c>
      <c r="H2422" s="384">
        <v>19.8</v>
      </c>
      <c r="I2422" s="376">
        <v>9.6</v>
      </c>
      <c r="J2422" s="19">
        <v>0</v>
      </c>
      <c r="K2422" s="13">
        <v>0</v>
      </c>
      <c r="L2422" s="7" t="s">
        <v>483</v>
      </c>
    </row>
    <row r="2423" spans="1:12">
      <c r="A2423" s="7"/>
      <c r="B2423" s="381" t="s">
        <v>365</v>
      </c>
      <c r="C2423" s="3" t="s">
        <v>232</v>
      </c>
      <c r="D2423" s="2" t="s">
        <v>228</v>
      </c>
      <c r="E2423" s="382" t="s">
        <v>382</v>
      </c>
      <c r="F2423" s="114" t="s">
        <v>15</v>
      </c>
      <c r="G2423" s="383" t="s">
        <v>42</v>
      </c>
      <c r="H2423" s="384">
        <v>19.8</v>
      </c>
      <c r="I2423" s="376">
        <v>11.7</v>
      </c>
      <c r="J2423" s="19">
        <v>2</v>
      </c>
      <c r="K2423" s="13">
        <v>0.46332000000000001</v>
      </c>
      <c r="L2423" s="7" t="s">
        <v>483</v>
      </c>
    </row>
    <row r="2424" spans="1:12">
      <c r="A2424" s="7"/>
      <c r="B2424" s="381" t="s">
        <v>365</v>
      </c>
      <c r="C2424" s="3" t="s">
        <v>232</v>
      </c>
      <c r="D2424" s="2" t="s">
        <v>228</v>
      </c>
      <c r="E2424" s="382" t="s">
        <v>382</v>
      </c>
      <c r="F2424" s="114" t="s">
        <v>15</v>
      </c>
      <c r="G2424" s="383" t="s">
        <v>42</v>
      </c>
      <c r="H2424" s="384">
        <v>19.8</v>
      </c>
      <c r="I2424" s="376">
        <v>6.8</v>
      </c>
      <c r="J2424" s="19">
        <v>1</v>
      </c>
      <c r="K2424" s="13">
        <v>0.13464000000000001</v>
      </c>
      <c r="L2424" s="7" t="s">
        <v>483</v>
      </c>
    </row>
    <row r="2425" spans="1:12">
      <c r="A2425" s="7"/>
      <c r="B2425" s="381" t="s">
        <v>365</v>
      </c>
      <c r="C2425" s="3" t="s">
        <v>232</v>
      </c>
      <c r="D2425" s="2" t="s">
        <v>228</v>
      </c>
      <c r="E2425" s="382" t="s">
        <v>382</v>
      </c>
      <c r="F2425" s="114" t="s">
        <v>15</v>
      </c>
      <c r="G2425" s="383" t="s">
        <v>42</v>
      </c>
      <c r="H2425" s="384">
        <v>19.8</v>
      </c>
      <c r="I2425" s="376">
        <v>10.6</v>
      </c>
      <c r="J2425" s="19">
        <v>0</v>
      </c>
      <c r="K2425" s="13">
        <v>0</v>
      </c>
      <c r="L2425" s="7" t="s">
        <v>483</v>
      </c>
    </row>
    <row r="2426" spans="1:12">
      <c r="A2426" s="7"/>
      <c r="B2426" s="381" t="s">
        <v>365</v>
      </c>
      <c r="C2426" s="3" t="s">
        <v>232</v>
      </c>
      <c r="D2426" s="2" t="s">
        <v>228</v>
      </c>
      <c r="E2426" s="382" t="s">
        <v>382</v>
      </c>
      <c r="F2426" s="114" t="s">
        <v>15</v>
      </c>
      <c r="G2426" s="383" t="s">
        <v>42</v>
      </c>
      <c r="H2426" s="384">
        <v>19.8</v>
      </c>
      <c r="I2426" s="376">
        <v>8.5</v>
      </c>
      <c r="J2426" s="19">
        <v>0</v>
      </c>
      <c r="K2426" s="13">
        <v>0</v>
      </c>
      <c r="L2426" s="7" t="s">
        <v>483</v>
      </c>
    </row>
    <row r="2427" spans="1:12">
      <c r="A2427" s="7"/>
      <c r="B2427" s="381" t="s">
        <v>365</v>
      </c>
      <c r="C2427" s="3" t="s">
        <v>232</v>
      </c>
      <c r="D2427" s="2" t="s">
        <v>228</v>
      </c>
      <c r="E2427" s="382" t="s">
        <v>382</v>
      </c>
      <c r="F2427" s="114" t="s">
        <v>15</v>
      </c>
      <c r="G2427" s="383" t="s">
        <v>42</v>
      </c>
      <c r="H2427" s="384">
        <v>19.8</v>
      </c>
      <c r="I2427" s="376">
        <v>8.1</v>
      </c>
      <c r="J2427" s="19">
        <v>0</v>
      </c>
      <c r="K2427" s="13">
        <v>0</v>
      </c>
      <c r="L2427" s="7" t="s">
        <v>483</v>
      </c>
    </row>
    <row r="2428" spans="1:12">
      <c r="A2428" s="7"/>
      <c r="B2428" s="381" t="s">
        <v>365</v>
      </c>
      <c r="C2428" s="3" t="s">
        <v>232</v>
      </c>
      <c r="D2428" s="2" t="s">
        <v>228</v>
      </c>
      <c r="E2428" s="382" t="s">
        <v>382</v>
      </c>
      <c r="F2428" s="114" t="s">
        <v>15</v>
      </c>
      <c r="G2428" s="383" t="s">
        <v>42</v>
      </c>
      <c r="H2428" s="384">
        <v>19.8</v>
      </c>
      <c r="I2428" s="376">
        <v>8.4</v>
      </c>
      <c r="J2428" s="19">
        <v>0</v>
      </c>
      <c r="K2428" s="13">
        <v>0</v>
      </c>
      <c r="L2428" s="7" t="s">
        <v>483</v>
      </c>
    </row>
    <row r="2429" spans="1:12">
      <c r="A2429" s="7"/>
      <c r="B2429" s="381" t="s">
        <v>365</v>
      </c>
      <c r="C2429" s="3" t="s">
        <v>232</v>
      </c>
      <c r="D2429" s="2" t="s">
        <v>228</v>
      </c>
      <c r="E2429" s="382" t="s">
        <v>382</v>
      </c>
      <c r="F2429" s="114" t="s">
        <v>15</v>
      </c>
      <c r="G2429" s="383" t="s">
        <v>42</v>
      </c>
      <c r="H2429" s="384">
        <v>19.8</v>
      </c>
      <c r="I2429" s="376">
        <v>8.1</v>
      </c>
      <c r="J2429" s="19">
        <v>0</v>
      </c>
      <c r="K2429" s="13">
        <v>0</v>
      </c>
      <c r="L2429" s="7" t="s">
        <v>483</v>
      </c>
    </row>
    <row r="2430" spans="1:12">
      <c r="A2430" s="7"/>
      <c r="B2430" s="381" t="s">
        <v>365</v>
      </c>
      <c r="C2430" s="3" t="s">
        <v>232</v>
      </c>
      <c r="D2430" s="2" t="s">
        <v>228</v>
      </c>
      <c r="E2430" s="382" t="s">
        <v>382</v>
      </c>
      <c r="F2430" s="114" t="s">
        <v>15</v>
      </c>
      <c r="G2430" s="383" t="s">
        <v>42</v>
      </c>
      <c r="H2430" s="384">
        <v>19.8</v>
      </c>
      <c r="I2430" s="376">
        <v>11.7</v>
      </c>
      <c r="J2430" s="19">
        <v>2</v>
      </c>
      <c r="K2430" s="13">
        <v>0.46332000000000001</v>
      </c>
      <c r="L2430" s="7" t="s">
        <v>483</v>
      </c>
    </row>
    <row r="2431" spans="1:12">
      <c r="A2431" s="7"/>
      <c r="B2431" s="381" t="s">
        <v>365</v>
      </c>
      <c r="C2431" s="3" t="s">
        <v>232</v>
      </c>
      <c r="D2431" s="2" t="s">
        <v>228</v>
      </c>
      <c r="E2431" s="382" t="s">
        <v>382</v>
      </c>
      <c r="F2431" s="114" t="s">
        <v>15</v>
      </c>
      <c r="G2431" s="383" t="s">
        <v>42</v>
      </c>
      <c r="H2431" s="384">
        <v>19.8</v>
      </c>
      <c r="I2431" s="376">
        <v>8.1</v>
      </c>
      <c r="J2431" s="19">
        <v>0</v>
      </c>
      <c r="K2431" s="13">
        <v>0</v>
      </c>
      <c r="L2431" s="7" t="s">
        <v>483</v>
      </c>
    </row>
    <row r="2432" spans="1:12">
      <c r="A2432" s="7"/>
      <c r="B2432" s="381" t="s">
        <v>365</v>
      </c>
      <c r="C2432" s="3" t="s">
        <v>232</v>
      </c>
      <c r="D2432" s="2" t="s">
        <v>228</v>
      </c>
      <c r="E2432" s="382" t="s">
        <v>382</v>
      </c>
      <c r="F2432" s="114" t="s">
        <v>15</v>
      </c>
      <c r="G2432" s="383" t="s">
        <v>42</v>
      </c>
      <c r="H2432" s="384">
        <v>19.8</v>
      </c>
      <c r="I2432" s="376">
        <v>8.5</v>
      </c>
      <c r="J2432" s="19">
        <v>0</v>
      </c>
      <c r="K2432" s="13">
        <v>0</v>
      </c>
      <c r="L2432" s="7" t="s">
        <v>483</v>
      </c>
    </row>
    <row r="2433" spans="1:12">
      <c r="A2433" s="7"/>
      <c r="B2433" s="381" t="s">
        <v>365</v>
      </c>
      <c r="C2433" s="3" t="s">
        <v>232</v>
      </c>
      <c r="D2433" s="2" t="s">
        <v>228</v>
      </c>
      <c r="E2433" s="382" t="s">
        <v>382</v>
      </c>
      <c r="F2433" s="114" t="s">
        <v>15</v>
      </c>
      <c r="G2433" s="383" t="s">
        <v>42</v>
      </c>
      <c r="H2433" s="384">
        <v>19.8</v>
      </c>
      <c r="I2433" s="376">
        <v>7.7</v>
      </c>
      <c r="J2433" s="19">
        <v>0</v>
      </c>
      <c r="K2433" s="13">
        <v>0</v>
      </c>
      <c r="L2433" s="7" t="s">
        <v>483</v>
      </c>
    </row>
    <row r="2434" spans="1:12">
      <c r="A2434" s="7"/>
      <c r="B2434" s="381" t="s">
        <v>365</v>
      </c>
      <c r="C2434" s="3" t="s">
        <v>232</v>
      </c>
      <c r="D2434" s="2" t="s">
        <v>228</v>
      </c>
      <c r="E2434" s="382" t="s">
        <v>382</v>
      </c>
      <c r="F2434" s="114" t="s">
        <v>15</v>
      </c>
      <c r="G2434" s="383" t="s">
        <v>42</v>
      </c>
      <c r="H2434" s="384">
        <v>19.8</v>
      </c>
      <c r="I2434" s="376">
        <v>8.4</v>
      </c>
      <c r="J2434" s="19">
        <v>0</v>
      </c>
      <c r="K2434" s="13">
        <v>0</v>
      </c>
      <c r="L2434" s="7" t="s">
        <v>483</v>
      </c>
    </row>
    <row r="2435" spans="1:12">
      <c r="A2435" s="7"/>
      <c r="B2435" s="381" t="s">
        <v>365</v>
      </c>
      <c r="C2435" s="3" t="s">
        <v>232</v>
      </c>
      <c r="D2435" s="2" t="s">
        <v>228</v>
      </c>
      <c r="E2435" s="382" t="s">
        <v>382</v>
      </c>
      <c r="F2435" s="114" t="s">
        <v>15</v>
      </c>
      <c r="G2435" s="383" t="s">
        <v>42</v>
      </c>
      <c r="H2435" s="384">
        <v>19.8</v>
      </c>
      <c r="I2435" s="376">
        <v>8.8000000000000007</v>
      </c>
      <c r="J2435" s="19">
        <v>0</v>
      </c>
      <c r="K2435" s="13">
        <v>0</v>
      </c>
      <c r="L2435" s="7" t="s">
        <v>483</v>
      </c>
    </row>
    <row r="2436" spans="1:12">
      <c r="A2436" s="7"/>
      <c r="B2436" s="381" t="s">
        <v>365</v>
      </c>
      <c r="C2436" s="3" t="s">
        <v>232</v>
      </c>
      <c r="D2436" s="2" t="s">
        <v>228</v>
      </c>
      <c r="E2436" s="382" t="s">
        <v>382</v>
      </c>
      <c r="F2436" s="114" t="s">
        <v>15</v>
      </c>
      <c r="G2436" s="383" t="s">
        <v>42</v>
      </c>
      <c r="H2436" s="384">
        <v>19.8</v>
      </c>
      <c r="I2436" s="376">
        <v>8.9</v>
      </c>
      <c r="J2436" s="19">
        <v>0</v>
      </c>
      <c r="K2436" s="13">
        <v>0</v>
      </c>
      <c r="L2436" s="7" t="s">
        <v>483</v>
      </c>
    </row>
    <row r="2437" spans="1:12">
      <c r="A2437" s="7"/>
      <c r="B2437" s="381" t="s">
        <v>365</v>
      </c>
      <c r="C2437" s="3" t="s">
        <v>232</v>
      </c>
      <c r="D2437" s="2" t="s">
        <v>228</v>
      </c>
      <c r="E2437" s="382" t="s">
        <v>382</v>
      </c>
      <c r="F2437" s="114" t="s">
        <v>15</v>
      </c>
      <c r="G2437" s="383" t="s">
        <v>42</v>
      </c>
      <c r="H2437" s="384">
        <v>19.8</v>
      </c>
      <c r="I2437" s="376">
        <v>9</v>
      </c>
      <c r="J2437" s="19">
        <v>0</v>
      </c>
      <c r="K2437" s="13">
        <v>0</v>
      </c>
      <c r="L2437" s="7" t="s">
        <v>483</v>
      </c>
    </row>
    <row r="2438" spans="1:12">
      <c r="A2438" s="7"/>
      <c r="B2438" s="381" t="s">
        <v>365</v>
      </c>
      <c r="C2438" s="3" t="s">
        <v>232</v>
      </c>
      <c r="D2438" s="2" t="s">
        <v>228</v>
      </c>
      <c r="E2438" s="382" t="s">
        <v>382</v>
      </c>
      <c r="F2438" s="114" t="s">
        <v>15</v>
      </c>
      <c r="G2438" s="383" t="s">
        <v>42</v>
      </c>
      <c r="H2438" s="384">
        <v>19.8</v>
      </c>
      <c r="I2438" s="376">
        <v>9.6</v>
      </c>
      <c r="J2438" s="19">
        <v>0</v>
      </c>
      <c r="K2438" s="13">
        <v>0</v>
      </c>
      <c r="L2438" s="7" t="s">
        <v>483</v>
      </c>
    </row>
    <row r="2439" spans="1:12">
      <c r="A2439" s="7"/>
      <c r="B2439" s="381" t="s">
        <v>365</v>
      </c>
      <c r="C2439" s="3" t="s">
        <v>232</v>
      </c>
      <c r="D2439" s="2" t="s">
        <v>228</v>
      </c>
      <c r="E2439" s="382" t="s">
        <v>382</v>
      </c>
      <c r="F2439" s="114" t="s">
        <v>15</v>
      </c>
      <c r="G2439" s="383" t="s">
        <v>42</v>
      </c>
      <c r="H2439" s="384">
        <v>19.8</v>
      </c>
      <c r="I2439" s="376">
        <v>6.5</v>
      </c>
      <c r="J2439" s="19">
        <v>1</v>
      </c>
      <c r="K2439" s="13">
        <v>0.12870000000000001</v>
      </c>
      <c r="L2439" s="7" t="s">
        <v>483</v>
      </c>
    </row>
    <row r="2440" spans="1:12">
      <c r="A2440" s="7"/>
      <c r="B2440" s="381" t="s">
        <v>365</v>
      </c>
      <c r="C2440" s="3" t="s">
        <v>232</v>
      </c>
      <c r="D2440" s="2" t="s">
        <v>228</v>
      </c>
      <c r="E2440" s="382" t="s">
        <v>382</v>
      </c>
      <c r="F2440" s="114" t="s">
        <v>15</v>
      </c>
      <c r="G2440" s="383" t="s">
        <v>42</v>
      </c>
      <c r="H2440" s="384">
        <v>19.8</v>
      </c>
      <c r="I2440" s="376">
        <v>11.5</v>
      </c>
      <c r="J2440" s="19">
        <v>1</v>
      </c>
      <c r="K2440" s="13">
        <v>0.22770000000000001</v>
      </c>
      <c r="L2440" s="7" t="s">
        <v>483</v>
      </c>
    </row>
    <row r="2441" spans="1:12">
      <c r="A2441" s="7"/>
      <c r="B2441" s="381" t="s">
        <v>365</v>
      </c>
      <c r="C2441" s="3" t="s">
        <v>232</v>
      </c>
      <c r="D2441" s="2" t="s">
        <v>228</v>
      </c>
      <c r="E2441" s="382" t="s">
        <v>382</v>
      </c>
      <c r="F2441" s="114" t="s">
        <v>15</v>
      </c>
      <c r="G2441" s="383" t="s">
        <v>42</v>
      </c>
      <c r="H2441" s="384">
        <v>19.8</v>
      </c>
      <c r="I2441" s="376">
        <v>7.7</v>
      </c>
      <c r="J2441" s="19">
        <v>0</v>
      </c>
      <c r="K2441" s="13">
        <v>0</v>
      </c>
      <c r="L2441" s="7" t="s">
        <v>483</v>
      </c>
    </row>
    <row r="2442" spans="1:12">
      <c r="A2442" s="7"/>
      <c r="B2442" s="381" t="s">
        <v>365</v>
      </c>
      <c r="C2442" s="3" t="s">
        <v>232</v>
      </c>
      <c r="D2442" s="2" t="s">
        <v>228</v>
      </c>
      <c r="E2442" s="382" t="s">
        <v>382</v>
      </c>
      <c r="F2442" s="114" t="s">
        <v>15</v>
      </c>
      <c r="G2442" s="383" t="s">
        <v>42</v>
      </c>
      <c r="H2442" s="384">
        <v>19.8</v>
      </c>
      <c r="I2442" s="376">
        <v>8.1</v>
      </c>
      <c r="J2442" s="19">
        <v>0</v>
      </c>
      <c r="K2442" s="13">
        <v>0</v>
      </c>
      <c r="L2442" s="7" t="s">
        <v>483</v>
      </c>
    </row>
    <row r="2443" spans="1:12">
      <c r="A2443" s="7"/>
      <c r="B2443" s="381" t="s">
        <v>365</v>
      </c>
      <c r="C2443" s="3" t="s">
        <v>232</v>
      </c>
      <c r="D2443" s="2" t="s">
        <v>228</v>
      </c>
      <c r="E2443" s="382" t="s">
        <v>382</v>
      </c>
      <c r="F2443" s="114" t="s">
        <v>15</v>
      </c>
      <c r="G2443" s="383" t="s">
        <v>42</v>
      </c>
      <c r="H2443" s="384">
        <v>19.8</v>
      </c>
      <c r="I2443" s="376">
        <v>8.1</v>
      </c>
      <c r="J2443" s="19">
        <v>0</v>
      </c>
      <c r="K2443" s="13">
        <v>0</v>
      </c>
      <c r="L2443" s="7" t="s">
        <v>483</v>
      </c>
    </row>
    <row r="2444" spans="1:12">
      <c r="A2444" s="7"/>
      <c r="B2444" s="381" t="s">
        <v>365</v>
      </c>
      <c r="C2444" s="3" t="s">
        <v>232</v>
      </c>
      <c r="D2444" s="2" t="s">
        <v>228</v>
      </c>
      <c r="E2444" s="382" t="s">
        <v>382</v>
      </c>
      <c r="F2444" s="114" t="s">
        <v>15</v>
      </c>
      <c r="G2444" s="383" t="s">
        <v>42</v>
      </c>
      <c r="H2444" s="384">
        <v>19.8</v>
      </c>
      <c r="I2444" s="376">
        <v>8.1</v>
      </c>
      <c r="J2444" s="19">
        <v>0</v>
      </c>
      <c r="K2444" s="13">
        <v>0</v>
      </c>
      <c r="L2444" s="7" t="s">
        <v>483</v>
      </c>
    </row>
    <row r="2445" spans="1:12">
      <c r="A2445" s="7"/>
      <c r="B2445" s="381" t="s">
        <v>365</v>
      </c>
      <c r="C2445" s="3" t="s">
        <v>232</v>
      </c>
      <c r="D2445" s="2" t="s">
        <v>228</v>
      </c>
      <c r="E2445" s="382" t="s">
        <v>382</v>
      </c>
      <c r="F2445" s="114" t="s">
        <v>15</v>
      </c>
      <c r="G2445" s="383" t="s">
        <v>42</v>
      </c>
      <c r="H2445" s="384">
        <v>19.8</v>
      </c>
      <c r="I2445" s="376">
        <v>8.4</v>
      </c>
      <c r="J2445" s="19">
        <v>0</v>
      </c>
      <c r="K2445" s="13">
        <v>0</v>
      </c>
      <c r="L2445" s="7" t="s">
        <v>483</v>
      </c>
    </row>
    <row r="2446" spans="1:12">
      <c r="A2446" s="7"/>
      <c r="B2446" s="381" t="s">
        <v>365</v>
      </c>
      <c r="C2446" s="3" t="s">
        <v>232</v>
      </c>
      <c r="D2446" s="2" t="s">
        <v>228</v>
      </c>
      <c r="E2446" s="382" t="s">
        <v>382</v>
      </c>
      <c r="F2446" s="114" t="s">
        <v>15</v>
      </c>
      <c r="G2446" s="383" t="s">
        <v>42</v>
      </c>
      <c r="H2446" s="384">
        <v>19.8</v>
      </c>
      <c r="I2446" s="376">
        <v>8.5</v>
      </c>
      <c r="J2446" s="19">
        <v>0</v>
      </c>
      <c r="K2446" s="13">
        <v>0</v>
      </c>
      <c r="L2446" s="7" t="s">
        <v>483</v>
      </c>
    </row>
    <row r="2447" spans="1:12">
      <c r="A2447" s="7"/>
      <c r="B2447" s="381" t="s">
        <v>365</v>
      </c>
      <c r="C2447" s="3" t="s">
        <v>232</v>
      </c>
      <c r="D2447" s="2" t="s">
        <v>228</v>
      </c>
      <c r="E2447" s="382" t="s">
        <v>382</v>
      </c>
      <c r="F2447" s="114" t="s">
        <v>15</v>
      </c>
      <c r="G2447" s="383" t="s">
        <v>42</v>
      </c>
      <c r="H2447" s="384">
        <v>19.8</v>
      </c>
      <c r="I2447" s="376">
        <v>8.8000000000000007</v>
      </c>
      <c r="J2447" s="19">
        <v>0</v>
      </c>
      <c r="K2447" s="13">
        <v>0</v>
      </c>
      <c r="L2447" s="7" t="s">
        <v>483</v>
      </c>
    </row>
    <row r="2448" spans="1:12">
      <c r="A2448" s="7"/>
      <c r="B2448" s="381" t="s">
        <v>365</v>
      </c>
      <c r="C2448" s="3" t="s">
        <v>232</v>
      </c>
      <c r="D2448" s="2" t="s">
        <v>228</v>
      </c>
      <c r="E2448" s="382" t="s">
        <v>382</v>
      </c>
      <c r="F2448" s="114" t="s">
        <v>15</v>
      </c>
      <c r="G2448" s="383" t="s">
        <v>42</v>
      </c>
      <c r="H2448" s="384">
        <v>19.8</v>
      </c>
      <c r="I2448" s="376">
        <v>8.9</v>
      </c>
      <c r="J2448" s="19">
        <v>0</v>
      </c>
      <c r="K2448" s="13">
        <v>0</v>
      </c>
      <c r="L2448" s="7" t="s">
        <v>483</v>
      </c>
    </row>
    <row r="2449" spans="1:12">
      <c r="A2449" s="7"/>
      <c r="B2449" s="381" t="s">
        <v>365</v>
      </c>
      <c r="C2449" s="3" t="s">
        <v>232</v>
      </c>
      <c r="D2449" s="2" t="s">
        <v>228</v>
      </c>
      <c r="E2449" s="382" t="s">
        <v>382</v>
      </c>
      <c r="F2449" s="114" t="s">
        <v>15</v>
      </c>
      <c r="G2449" s="383" t="s">
        <v>42</v>
      </c>
      <c r="H2449" s="384">
        <v>19.8</v>
      </c>
      <c r="I2449" s="376">
        <v>9</v>
      </c>
      <c r="J2449" s="19">
        <v>0</v>
      </c>
      <c r="K2449" s="13">
        <v>0</v>
      </c>
      <c r="L2449" s="7" t="s">
        <v>483</v>
      </c>
    </row>
    <row r="2450" spans="1:12">
      <c r="A2450" s="7"/>
      <c r="B2450" s="381" t="s">
        <v>365</v>
      </c>
      <c r="C2450" s="3" t="s">
        <v>232</v>
      </c>
      <c r="D2450" s="2" t="s">
        <v>228</v>
      </c>
      <c r="E2450" s="382" t="s">
        <v>382</v>
      </c>
      <c r="F2450" s="114" t="s">
        <v>15</v>
      </c>
      <c r="G2450" s="383" t="s">
        <v>42</v>
      </c>
      <c r="H2450" s="384">
        <v>19.8</v>
      </c>
      <c r="I2450" s="376">
        <v>9.6</v>
      </c>
      <c r="J2450" s="19">
        <v>0</v>
      </c>
      <c r="K2450" s="13">
        <v>0</v>
      </c>
      <c r="L2450" s="7" t="s">
        <v>483</v>
      </c>
    </row>
    <row r="2451" spans="1:12">
      <c r="A2451" s="7"/>
      <c r="B2451" s="381" t="s">
        <v>365</v>
      </c>
      <c r="C2451" s="3" t="s">
        <v>232</v>
      </c>
      <c r="D2451" s="2" t="s">
        <v>228</v>
      </c>
      <c r="E2451" s="382" t="s">
        <v>382</v>
      </c>
      <c r="F2451" s="114" t="s">
        <v>15</v>
      </c>
      <c r="G2451" s="383" t="s">
        <v>42</v>
      </c>
      <c r="H2451" s="384">
        <v>19.8</v>
      </c>
      <c r="I2451" s="379">
        <v>9.6</v>
      </c>
      <c r="J2451" s="19">
        <v>0</v>
      </c>
      <c r="K2451" s="13">
        <v>0</v>
      </c>
      <c r="L2451" s="7" t="s">
        <v>483</v>
      </c>
    </row>
    <row r="2452" spans="1:12">
      <c r="A2452" s="7"/>
      <c r="B2452" s="381" t="s">
        <v>365</v>
      </c>
      <c r="C2452" s="3" t="s">
        <v>232</v>
      </c>
      <c r="D2452" s="2" t="s">
        <v>228</v>
      </c>
      <c r="E2452" s="382" t="s">
        <v>382</v>
      </c>
      <c r="F2452" s="114" t="s">
        <v>15</v>
      </c>
      <c r="G2452" s="383" t="s">
        <v>42</v>
      </c>
      <c r="H2452" s="384">
        <v>19.8</v>
      </c>
      <c r="I2452" s="376">
        <v>11.7</v>
      </c>
      <c r="J2452" s="19">
        <v>0</v>
      </c>
      <c r="K2452" s="13">
        <v>0</v>
      </c>
      <c r="L2452" s="7" t="s">
        <v>483</v>
      </c>
    </row>
    <row r="2453" spans="1:12">
      <c r="A2453" s="7"/>
      <c r="B2453" s="381" t="s">
        <v>365</v>
      </c>
      <c r="C2453" s="3" t="s">
        <v>232</v>
      </c>
      <c r="D2453" s="2" t="s">
        <v>228</v>
      </c>
      <c r="E2453" s="382" t="s">
        <v>382</v>
      </c>
      <c r="F2453" s="114" t="s">
        <v>15</v>
      </c>
      <c r="G2453" s="383" t="s">
        <v>49</v>
      </c>
      <c r="H2453" s="384">
        <v>17.899999999999999</v>
      </c>
      <c r="I2453" s="376">
        <v>9.1</v>
      </c>
      <c r="J2453" s="19">
        <v>0</v>
      </c>
      <c r="K2453" s="13">
        <v>0</v>
      </c>
      <c r="L2453" s="7" t="s">
        <v>483</v>
      </c>
    </row>
    <row r="2454" spans="1:12">
      <c r="A2454" s="7"/>
      <c r="B2454" s="381" t="s">
        <v>365</v>
      </c>
      <c r="C2454" s="3" t="s">
        <v>232</v>
      </c>
      <c r="D2454" s="2" t="s">
        <v>228</v>
      </c>
      <c r="E2454" s="382" t="s">
        <v>382</v>
      </c>
      <c r="F2454" s="114" t="s">
        <v>15</v>
      </c>
      <c r="G2454" s="383" t="s">
        <v>49</v>
      </c>
      <c r="H2454" s="384">
        <v>17.899999999999999</v>
      </c>
      <c r="I2454" s="376">
        <v>9.6999999999999993</v>
      </c>
      <c r="J2454" s="19">
        <v>0</v>
      </c>
      <c r="K2454" s="13">
        <v>0</v>
      </c>
      <c r="L2454" s="7" t="s">
        <v>483</v>
      </c>
    </row>
    <row r="2455" spans="1:12">
      <c r="A2455" s="7"/>
      <c r="B2455" s="381" t="s">
        <v>365</v>
      </c>
      <c r="C2455" s="3" t="s">
        <v>232</v>
      </c>
      <c r="D2455" s="2" t="s">
        <v>228</v>
      </c>
      <c r="E2455" s="382" t="s">
        <v>382</v>
      </c>
      <c r="F2455" s="114" t="s">
        <v>15</v>
      </c>
      <c r="G2455" s="383" t="s">
        <v>49</v>
      </c>
      <c r="H2455" s="384">
        <v>17.899999999999999</v>
      </c>
      <c r="I2455" s="376">
        <v>11.7</v>
      </c>
      <c r="J2455" s="19">
        <v>0</v>
      </c>
      <c r="K2455" s="13">
        <v>0</v>
      </c>
      <c r="L2455" s="7" t="s">
        <v>483</v>
      </c>
    </row>
    <row r="2456" spans="1:12">
      <c r="A2456" s="7"/>
      <c r="B2456" s="381" t="s">
        <v>365</v>
      </c>
      <c r="C2456" s="3" t="s">
        <v>232</v>
      </c>
      <c r="D2456" s="2" t="s">
        <v>228</v>
      </c>
      <c r="E2456" s="382" t="s">
        <v>382</v>
      </c>
      <c r="F2456" s="114" t="s">
        <v>15</v>
      </c>
      <c r="G2456" s="383" t="s">
        <v>49</v>
      </c>
      <c r="H2456" s="384">
        <v>17.899999999999999</v>
      </c>
      <c r="I2456" s="376">
        <v>9.6999999999999993</v>
      </c>
      <c r="J2456" s="19">
        <v>0</v>
      </c>
      <c r="K2456" s="13">
        <v>0</v>
      </c>
      <c r="L2456" s="7" t="s">
        <v>483</v>
      </c>
    </row>
    <row r="2457" spans="1:12">
      <c r="A2457" s="7"/>
      <c r="B2457" s="381" t="s">
        <v>365</v>
      </c>
      <c r="C2457" s="3" t="s">
        <v>232</v>
      </c>
      <c r="D2457" s="2" t="s">
        <v>228</v>
      </c>
      <c r="E2457" s="382" t="s">
        <v>382</v>
      </c>
      <c r="F2457" s="114" t="s">
        <v>15</v>
      </c>
      <c r="G2457" s="383" t="s">
        <v>49</v>
      </c>
      <c r="H2457" s="384">
        <v>17.899999999999999</v>
      </c>
      <c r="I2457" s="376">
        <v>9.3000000000000007</v>
      </c>
      <c r="J2457" s="19">
        <v>0</v>
      </c>
      <c r="K2457" s="13">
        <v>0</v>
      </c>
      <c r="L2457" s="7" t="s">
        <v>483</v>
      </c>
    </row>
    <row r="2458" spans="1:12">
      <c r="A2458" s="7"/>
      <c r="B2458" s="381" t="s">
        <v>365</v>
      </c>
      <c r="C2458" s="3" t="s">
        <v>232</v>
      </c>
      <c r="D2458" s="2" t="s">
        <v>228</v>
      </c>
      <c r="E2458" s="382" t="s">
        <v>382</v>
      </c>
      <c r="F2458" s="114" t="s">
        <v>15</v>
      </c>
      <c r="G2458" s="383" t="s">
        <v>49</v>
      </c>
      <c r="H2458" s="384">
        <v>17.899999999999999</v>
      </c>
      <c r="I2458" s="376">
        <v>7.7</v>
      </c>
      <c r="J2458" s="19">
        <v>0</v>
      </c>
      <c r="K2458" s="13">
        <v>0</v>
      </c>
      <c r="L2458" s="7" t="s">
        <v>483</v>
      </c>
    </row>
    <row r="2459" spans="1:12">
      <c r="A2459" s="7"/>
      <c r="B2459" s="381" t="s">
        <v>365</v>
      </c>
      <c r="C2459" s="3" t="s">
        <v>232</v>
      </c>
      <c r="D2459" s="2" t="s">
        <v>228</v>
      </c>
      <c r="E2459" s="382" t="s">
        <v>382</v>
      </c>
      <c r="F2459" s="114" t="s">
        <v>15</v>
      </c>
      <c r="G2459" s="383" t="s">
        <v>49</v>
      </c>
      <c r="H2459" s="384">
        <v>17.899999999999999</v>
      </c>
      <c r="I2459" s="376">
        <v>9.1</v>
      </c>
      <c r="J2459" s="19">
        <v>0</v>
      </c>
      <c r="K2459" s="13">
        <v>0</v>
      </c>
      <c r="L2459" s="7" t="s">
        <v>483</v>
      </c>
    </row>
    <row r="2460" spans="1:12">
      <c r="A2460" s="7"/>
      <c r="B2460" s="381" t="s">
        <v>365</v>
      </c>
      <c r="C2460" s="3" t="s">
        <v>232</v>
      </c>
      <c r="D2460" s="2" t="s">
        <v>228</v>
      </c>
      <c r="E2460" s="382" t="s">
        <v>382</v>
      </c>
      <c r="F2460" s="114" t="s">
        <v>15</v>
      </c>
      <c r="G2460" s="383" t="s">
        <v>49</v>
      </c>
      <c r="H2460" s="384">
        <v>17.899999999999999</v>
      </c>
      <c r="I2460" s="376">
        <v>7.25</v>
      </c>
      <c r="J2460" s="19">
        <v>1</v>
      </c>
      <c r="K2460" s="13">
        <v>0.12977499999999997</v>
      </c>
      <c r="L2460" s="7" t="s">
        <v>483</v>
      </c>
    </row>
    <row r="2461" spans="1:12">
      <c r="A2461" s="7"/>
      <c r="B2461" s="381" t="s">
        <v>365</v>
      </c>
      <c r="C2461" s="3" t="s">
        <v>232</v>
      </c>
      <c r="D2461" s="2" t="s">
        <v>228</v>
      </c>
      <c r="E2461" s="382" t="s">
        <v>382</v>
      </c>
      <c r="F2461" s="114" t="s">
        <v>15</v>
      </c>
      <c r="G2461" s="383" t="s">
        <v>49</v>
      </c>
      <c r="H2461" s="384">
        <v>17.899999999999999</v>
      </c>
      <c r="I2461" s="376">
        <v>10.7</v>
      </c>
      <c r="J2461" s="19">
        <v>1</v>
      </c>
      <c r="K2461" s="13">
        <v>0.19152999999999998</v>
      </c>
      <c r="L2461" s="7" t="s">
        <v>483</v>
      </c>
    </row>
    <row r="2462" spans="1:12">
      <c r="A2462" s="7"/>
      <c r="B2462" s="381" t="s">
        <v>365</v>
      </c>
      <c r="C2462" s="3" t="s">
        <v>232</v>
      </c>
      <c r="D2462" s="2" t="s">
        <v>228</v>
      </c>
      <c r="E2462" s="382" t="s">
        <v>382</v>
      </c>
      <c r="F2462" s="114" t="s">
        <v>15</v>
      </c>
      <c r="G2462" s="383" t="s">
        <v>49</v>
      </c>
      <c r="H2462" s="384">
        <v>17.899999999999999</v>
      </c>
      <c r="I2462" s="376">
        <v>7.7</v>
      </c>
      <c r="J2462" s="19">
        <v>0</v>
      </c>
      <c r="K2462" s="13">
        <v>0</v>
      </c>
      <c r="L2462" s="7" t="s">
        <v>483</v>
      </c>
    </row>
    <row r="2463" spans="1:12">
      <c r="A2463" s="7"/>
      <c r="B2463" s="381" t="s">
        <v>365</v>
      </c>
      <c r="C2463" s="3" t="s">
        <v>232</v>
      </c>
      <c r="D2463" s="2" t="s">
        <v>228</v>
      </c>
      <c r="E2463" s="382" t="s">
        <v>382</v>
      </c>
      <c r="F2463" s="114" t="s">
        <v>15</v>
      </c>
      <c r="G2463" s="383" t="s">
        <v>49</v>
      </c>
      <c r="H2463" s="384">
        <v>17.899999999999999</v>
      </c>
      <c r="I2463" s="376">
        <v>9.1</v>
      </c>
      <c r="J2463" s="19">
        <v>0</v>
      </c>
      <c r="K2463" s="13">
        <v>0</v>
      </c>
      <c r="L2463" s="7" t="s">
        <v>483</v>
      </c>
    </row>
    <row r="2464" spans="1:12">
      <c r="A2464" s="7"/>
      <c r="B2464" s="381" t="s">
        <v>365</v>
      </c>
      <c r="C2464" s="3" t="s">
        <v>232</v>
      </c>
      <c r="D2464" s="2" t="s">
        <v>228</v>
      </c>
      <c r="E2464" s="382" t="s">
        <v>382</v>
      </c>
      <c r="F2464" s="114" t="s">
        <v>15</v>
      </c>
      <c r="G2464" s="383" t="s">
        <v>49</v>
      </c>
      <c r="H2464" s="384">
        <v>17.899999999999999</v>
      </c>
      <c r="I2464" s="376">
        <v>9.3000000000000007</v>
      </c>
      <c r="J2464" s="19">
        <v>0</v>
      </c>
      <c r="K2464" s="13">
        <v>0</v>
      </c>
      <c r="L2464" s="7" t="s">
        <v>483</v>
      </c>
    </row>
    <row r="2465" spans="1:12">
      <c r="A2465" s="7"/>
      <c r="B2465" s="381" t="s">
        <v>365</v>
      </c>
      <c r="C2465" s="3" t="s">
        <v>232</v>
      </c>
      <c r="D2465" s="2" t="s">
        <v>228</v>
      </c>
      <c r="E2465" s="382" t="s">
        <v>382</v>
      </c>
      <c r="F2465" s="114" t="s">
        <v>15</v>
      </c>
      <c r="G2465" s="383" t="s">
        <v>49</v>
      </c>
      <c r="H2465" s="384">
        <v>17.899999999999999</v>
      </c>
      <c r="I2465" s="376">
        <v>9.6999999999999993</v>
      </c>
      <c r="J2465" s="19">
        <v>1</v>
      </c>
      <c r="K2465" s="13">
        <v>0.17362999999999998</v>
      </c>
      <c r="L2465" s="7" t="s">
        <v>483</v>
      </c>
    </row>
    <row r="2466" spans="1:12">
      <c r="A2466" s="7"/>
      <c r="B2466" s="381" t="s">
        <v>365</v>
      </c>
      <c r="C2466" s="3" t="s">
        <v>232</v>
      </c>
      <c r="D2466" s="2" t="s">
        <v>228</v>
      </c>
      <c r="E2466" s="382" t="s">
        <v>382</v>
      </c>
      <c r="F2466" s="114" t="s">
        <v>15</v>
      </c>
      <c r="G2466" s="383" t="s">
        <v>49</v>
      </c>
      <c r="H2466" s="384">
        <v>17.899999999999999</v>
      </c>
      <c r="I2466" s="376">
        <v>11.7</v>
      </c>
      <c r="J2466" s="19">
        <v>0</v>
      </c>
      <c r="K2466" s="13">
        <v>0</v>
      </c>
      <c r="L2466" s="7" t="s">
        <v>483</v>
      </c>
    </row>
    <row r="2467" spans="1:12">
      <c r="A2467" s="7"/>
      <c r="B2467" s="381" t="s">
        <v>365</v>
      </c>
      <c r="C2467" s="3" t="s">
        <v>232</v>
      </c>
      <c r="D2467" s="2" t="s">
        <v>228</v>
      </c>
      <c r="E2467" s="382" t="s">
        <v>382</v>
      </c>
      <c r="F2467" s="114" t="s">
        <v>15</v>
      </c>
      <c r="G2467" s="383" t="s">
        <v>49</v>
      </c>
      <c r="H2467" s="384">
        <v>17.899999999999999</v>
      </c>
      <c r="I2467" s="376">
        <v>11.5</v>
      </c>
      <c r="J2467" s="19">
        <v>1</v>
      </c>
      <c r="K2467" s="13">
        <v>0.20585000000000001</v>
      </c>
      <c r="L2467" s="7" t="s">
        <v>483</v>
      </c>
    </row>
    <row r="2468" spans="1:12">
      <c r="A2468" s="7"/>
      <c r="B2468" s="381" t="s">
        <v>365</v>
      </c>
      <c r="C2468" s="3" t="s">
        <v>232</v>
      </c>
      <c r="D2468" s="2" t="s">
        <v>228</v>
      </c>
      <c r="E2468" s="382" t="s">
        <v>382</v>
      </c>
      <c r="F2468" s="114" t="s">
        <v>15</v>
      </c>
      <c r="G2468" s="383" t="s">
        <v>49</v>
      </c>
      <c r="H2468" s="384">
        <v>17.899999999999999</v>
      </c>
      <c r="I2468" s="376">
        <v>11.1</v>
      </c>
      <c r="J2468" s="19">
        <v>1</v>
      </c>
      <c r="K2468" s="13">
        <v>0.19868999999999998</v>
      </c>
      <c r="L2468" s="7" t="s">
        <v>483</v>
      </c>
    </row>
    <row r="2469" spans="1:12">
      <c r="A2469" s="7"/>
      <c r="B2469" s="381" t="s">
        <v>365</v>
      </c>
      <c r="C2469" s="3" t="s">
        <v>232</v>
      </c>
      <c r="D2469" s="2" t="s">
        <v>228</v>
      </c>
      <c r="E2469" s="382" t="s">
        <v>382</v>
      </c>
      <c r="F2469" s="114" t="s">
        <v>15</v>
      </c>
      <c r="G2469" s="383" t="s">
        <v>49</v>
      </c>
      <c r="H2469" s="384">
        <v>17.899999999999999</v>
      </c>
      <c r="I2469" s="376">
        <v>8.9</v>
      </c>
      <c r="J2469" s="19">
        <v>1</v>
      </c>
      <c r="K2469" s="13">
        <v>0.15931000000000001</v>
      </c>
      <c r="L2469" s="7" t="s">
        <v>483</v>
      </c>
    </row>
    <row r="2470" spans="1:12">
      <c r="A2470" s="7"/>
      <c r="B2470" s="381" t="s">
        <v>365</v>
      </c>
      <c r="C2470" s="3" t="s">
        <v>232</v>
      </c>
      <c r="D2470" s="2" t="s">
        <v>228</v>
      </c>
      <c r="E2470" s="382" t="s">
        <v>382</v>
      </c>
      <c r="F2470" s="114" t="s">
        <v>15</v>
      </c>
      <c r="G2470" s="383" t="s">
        <v>49</v>
      </c>
      <c r="H2470" s="384">
        <v>17.899999999999999</v>
      </c>
      <c r="I2470" s="376">
        <v>7</v>
      </c>
      <c r="J2470" s="19">
        <v>1</v>
      </c>
      <c r="K2470" s="13">
        <v>0.12529999999999999</v>
      </c>
      <c r="L2470" s="7" t="s">
        <v>483</v>
      </c>
    </row>
    <row r="2471" spans="1:12">
      <c r="A2471" s="7"/>
      <c r="B2471" s="381" t="s">
        <v>365</v>
      </c>
      <c r="C2471" s="3" t="s">
        <v>232</v>
      </c>
      <c r="D2471" s="2" t="s">
        <v>228</v>
      </c>
      <c r="E2471" s="382" t="s">
        <v>382</v>
      </c>
      <c r="F2471" s="114" t="s">
        <v>15</v>
      </c>
      <c r="G2471" s="383" t="s">
        <v>49</v>
      </c>
      <c r="H2471" s="384">
        <v>17.899999999999999</v>
      </c>
      <c r="I2471" s="376">
        <v>9.1</v>
      </c>
      <c r="J2471" s="19">
        <v>0</v>
      </c>
      <c r="K2471" s="13">
        <v>0</v>
      </c>
      <c r="L2471" s="7" t="s">
        <v>483</v>
      </c>
    </row>
    <row r="2472" spans="1:12">
      <c r="A2472" s="7"/>
      <c r="B2472" s="381" t="s">
        <v>365</v>
      </c>
      <c r="C2472" s="3" t="s">
        <v>232</v>
      </c>
      <c r="D2472" s="2" t="s">
        <v>228</v>
      </c>
      <c r="E2472" s="382" t="s">
        <v>382</v>
      </c>
      <c r="F2472" s="114" t="s">
        <v>15</v>
      </c>
      <c r="G2472" s="383" t="s">
        <v>49</v>
      </c>
      <c r="H2472" s="384">
        <v>17.899999999999999</v>
      </c>
      <c r="I2472" s="376">
        <v>9.1</v>
      </c>
      <c r="J2472" s="19">
        <v>0</v>
      </c>
      <c r="K2472" s="13">
        <v>0</v>
      </c>
      <c r="L2472" s="7" t="s">
        <v>483</v>
      </c>
    </row>
    <row r="2473" spans="1:12">
      <c r="A2473" s="7"/>
      <c r="B2473" s="381" t="s">
        <v>365</v>
      </c>
      <c r="C2473" s="3" t="s">
        <v>232</v>
      </c>
      <c r="D2473" s="2" t="s">
        <v>228</v>
      </c>
      <c r="E2473" s="382" t="s">
        <v>382</v>
      </c>
      <c r="F2473" s="114" t="s">
        <v>15</v>
      </c>
      <c r="G2473" s="383" t="s">
        <v>49</v>
      </c>
      <c r="H2473" s="384">
        <v>17.899999999999999</v>
      </c>
      <c r="I2473" s="376">
        <v>9.3000000000000007</v>
      </c>
      <c r="J2473" s="19">
        <v>0</v>
      </c>
      <c r="K2473" s="13">
        <v>0</v>
      </c>
      <c r="L2473" s="7" t="s">
        <v>483</v>
      </c>
    </row>
    <row r="2474" spans="1:12">
      <c r="A2474" s="7"/>
      <c r="B2474" s="381" t="s">
        <v>365</v>
      </c>
      <c r="C2474" s="3" t="s">
        <v>232</v>
      </c>
      <c r="D2474" s="2" t="s">
        <v>228</v>
      </c>
      <c r="E2474" s="382" t="s">
        <v>382</v>
      </c>
      <c r="F2474" s="114" t="s">
        <v>15</v>
      </c>
      <c r="G2474" s="383" t="s">
        <v>49</v>
      </c>
      <c r="H2474" s="384">
        <v>17.899999999999999</v>
      </c>
      <c r="I2474" s="376">
        <v>9.6999999999999993</v>
      </c>
      <c r="J2474" s="19">
        <v>1</v>
      </c>
      <c r="K2474" s="13">
        <v>0.17362999999999998</v>
      </c>
      <c r="L2474" s="7" t="s">
        <v>483</v>
      </c>
    </row>
    <row r="2475" spans="1:12">
      <c r="A2475" s="7"/>
      <c r="B2475" s="381" t="s">
        <v>365</v>
      </c>
      <c r="C2475" s="3" t="s">
        <v>232</v>
      </c>
      <c r="D2475" s="2" t="s">
        <v>228</v>
      </c>
      <c r="E2475" s="382" t="s">
        <v>382</v>
      </c>
      <c r="F2475" s="114" t="s">
        <v>15</v>
      </c>
      <c r="G2475" s="383" t="s">
        <v>49</v>
      </c>
      <c r="H2475" s="384">
        <v>17.899999999999999</v>
      </c>
      <c r="I2475" s="376">
        <v>11.7</v>
      </c>
      <c r="J2475" s="19">
        <v>0</v>
      </c>
      <c r="K2475" s="13">
        <v>0</v>
      </c>
      <c r="L2475" s="7" t="s">
        <v>483</v>
      </c>
    </row>
    <row r="2476" spans="1:12">
      <c r="A2476" s="7"/>
      <c r="B2476" s="381" t="s">
        <v>365</v>
      </c>
      <c r="C2476" s="3" t="s">
        <v>232</v>
      </c>
      <c r="D2476" s="2" t="s">
        <v>228</v>
      </c>
      <c r="E2476" s="382" t="s">
        <v>130</v>
      </c>
      <c r="F2476" s="114" t="s">
        <v>15</v>
      </c>
      <c r="G2476" s="383" t="s">
        <v>49</v>
      </c>
      <c r="H2476" s="384">
        <v>17.899999999999999</v>
      </c>
      <c r="I2476" s="376">
        <v>9.6</v>
      </c>
      <c r="J2476" s="19">
        <v>0</v>
      </c>
      <c r="K2476" s="13">
        <v>0</v>
      </c>
      <c r="L2476" s="7" t="s">
        <v>483</v>
      </c>
    </row>
    <row r="2477" spans="1:12">
      <c r="A2477" s="7"/>
      <c r="B2477" s="381" t="s">
        <v>365</v>
      </c>
      <c r="C2477" s="3" t="s">
        <v>232</v>
      </c>
      <c r="D2477" s="2" t="s">
        <v>228</v>
      </c>
      <c r="E2477" s="382" t="s">
        <v>130</v>
      </c>
      <c r="F2477" s="114" t="s">
        <v>15</v>
      </c>
      <c r="G2477" s="383" t="s">
        <v>49</v>
      </c>
      <c r="H2477" s="384">
        <v>17.899999999999999</v>
      </c>
      <c r="I2477" s="376">
        <v>9.5</v>
      </c>
      <c r="J2477" s="19">
        <v>0</v>
      </c>
      <c r="K2477" s="13">
        <v>0</v>
      </c>
      <c r="L2477" s="7" t="s">
        <v>483</v>
      </c>
    </row>
    <row r="2478" spans="1:12">
      <c r="A2478" s="7"/>
      <c r="B2478" s="381" t="s">
        <v>365</v>
      </c>
      <c r="C2478" s="3" t="s">
        <v>232</v>
      </c>
      <c r="D2478" s="2" t="s">
        <v>228</v>
      </c>
      <c r="E2478" s="382" t="s">
        <v>130</v>
      </c>
      <c r="F2478" s="114" t="s">
        <v>15</v>
      </c>
      <c r="G2478" s="383" t="s">
        <v>49</v>
      </c>
      <c r="H2478" s="384">
        <v>17.899999999999999</v>
      </c>
      <c r="I2478" s="376">
        <v>11.6</v>
      </c>
      <c r="J2478" s="19">
        <v>0</v>
      </c>
      <c r="K2478" s="13">
        <v>0</v>
      </c>
      <c r="L2478" s="7" t="s">
        <v>483</v>
      </c>
    </row>
    <row r="2479" spans="1:12">
      <c r="A2479" s="7"/>
      <c r="B2479" s="381" t="s">
        <v>365</v>
      </c>
      <c r="C2479" s="3" t="s">
        <v>232</v>
      </c>
      <c r="D2479" s="2" t="s">
        <v>228</v>
      </c>
      <c r="E2479" s="382" t="s">
        <v>130</v>
      </c>
      <c r="F2479" s="114" t="s">
        <v>15</v>
      </c>
      <c r="G2479" s="383" t="s">
        <v>49</v>
      </c>
      <c r="H2479" s="384">
        <v>17.899999999999999</v>
      </c>
      <c r="I2479" s="376">
        <v>11.5</v>
      </c>
      <c r="J2479" s="19">
        <v>0</v>
      </c>
      <c r="K2479" s="13">
        <v>0</v>
      </c>
      <c r="L2479" s="7" t="s">
        <v>483</v>
      </c>
    </row>
    <row r="2480" spans="1:12">
      <c r="A2480" s="7"/>
      <c r="B2480" s="381" t="s">
        <v>365</v>
      </c>
      <c r="C2480" s="3" t="s">
        <v>232</v>
      </c>
      <c r="D2480" s="2" t="s">
        <v>228</v>
      </c>
      <c r="E2480" s="382" t="s">
        <v>130</v>
      </c>
      <c r="F2480" s="114" t="s">
        <v>15</v>
      </c>
      <c r="G2480" s="383" t="s">
        <v>49</v>
      </c>
      <c r="H2480" s="384">
        <v>17.899999999999999</v>
      </c>
      <c r="I2480" s="376">
        <v>11.6</v>
      </c>
      <c r="J2480" s="19">
        <v>0</v>
      </c>
      <c r="K2480" s="13">
        <v>0</v>
      </c>
      <c r="L2480" s="7" t="s">
        <v>483</v>
      </c>
    </row>
    <row r="2481" spans="1:12">
      <c r="A2481" s="7"/>
      <c r="B2481" s="381" t="s">
        <v>365</v>
      </c>
      <c r="C2481" s="3" t="s">
        <v>232</v>
      </c>
      <c r="D2481" s="2" t="s">
        <v>228</v>
      </c>
      <c r="E2481" s="382" t="s">
        <v>130</v>
      </c>
      <c r="F2481" s="114" t="s">
        <v>15</v>
      </c>
      <c r="G2481" s="383" t="s">
        <v>49</v>
      </c>
      <c r="H2481" s="384">
        <v>17.899999999999999</v>
      </c>
      <c r="I2481" s="376">
        <v>9.6</v>
      </c>
      <c r="J2481" s="19">
        <v>0</v>
      </c>
      <c r="K2481" s="13">
        <v>0</v>
      </c>
      <c r="L2481" s="7" t="s">
        <v>483</v>
      </c>
    </row>
    <row r="2482" spans="1:12">
      <c r="A2482" s="7"/>
      <c r="B2482" s="381" t="s">
        <v>365</v>
      </c>
      <c r="C2482" s="3" t="s">
        <v>232</v>
      </c>
      <c r="D2482" s="2" t="s">
        <v>228</v>
      </c>
      <c r="E2482" s="382" t="s">
        <v>130</v>
      </c>
      <c r="F2482" s="114" t="s">
        <v>15</v>
      </c>
      <c r="G2482" s="383" t="s">
        <v>49</v>
      </c>
      <c r="H2482" s="384">
        <v>17.899999999999999</v>
      </c>
      <c r="I2482" s="376">
        <v>9.6</v>
      </c>
      <c r="J2482" s="19">
        <v>0</v>
      </c>
      <c r="K2482" s="13">
        <v>0</v>
      </c>
      <c r="L2482" s="7" t="s">
        <v>483</v>
      </c>
    </row>
    <row r="2483" spans="1:12">
      <c r="A2483" s="7"/>
      <c r="B2483" s="381" t="s">
        <v>365</v>
      </c>
      <c r="C2483" s="3" t="s">
        <v>232</v>
      </c>
      <c r="D2483" s="2" t="s">
        <v>228</v>
      </c>
      <c r="E2483" s="382" t="s">
        <v>130</v>
      </c>
      <c r="F2483" s="114" t="s">
        <v>15</v>
      </c>
      <c r="G2483" s="383" t="s">
        <v>49</v>
      </c>
      <c r="H2483" s="384">
        <v>17.899999999999999</v>
      </c>
      <c r="I2483" s="376">
        <v>9.5</v>
      </c>
      <c r="J2483" s="19">
        <v>0</v>
      </c>
      <c r="K2483" s="13">
        <v>0</v>
      </c>
      <c r="L2483" s="7" t="s">
        <v>483</v>
      </c>
    </row>
    <row r="2484" spans="1:12">
      <c r="A2484" s="7"/>
      <c r="B2484" s="381" t="s">
        <v>365</v>
      </c>
      <c r="C2484" s="3" t="s">
        <v>232</v>
      </c>
      <c r="D2484" s="2" t="s">
        <v>228</v>
      </c>
      <c r="E2484" s="382" t="s">
        <v>130</v>
      </c>
      <c r="F2484" s="114" t="s">
        <v>15</v>
      </c>
      <c r="G2484" s="383" t="s">
        <v>49</v>
      </c>
      <c r="H2484" s="384">
        <v>17.899999999999999</v>
      </c>
      <c r="I2484" s="376">
        <v>7.55</v>
      </c>
      <c r="J2484" s="19">
        <v>1</v>
      </c>
      <c r="K2484" s="13">
        <v>0.13514499999999999</v>
      </c>
      <c r="L2484" s="7" t="s">
        <v>483</v>
      </c>
    </row>
    <row r="2485" spans="1:12">
      <c r="A2485" s="7"/>
      <c r="B2485" s="381" t="s">
        <v>365</v>
      </c>
      <c r="C2485" s="3" t="s">
        <v>232</v>
      </c>
      <c r="D2485" s="2" t="s">
        <v>228</v>
      </c>
      <c r="E2485" s="382" t="s">
        <v>130</v>
      </c>
      <c r="F2485" s="114" t="s">
        <v>15</v>
      </c>
      <c r="G2485" s="383" t="s">
        <v>49</v>
      </c>
      <c r="H2485" s="384">
        <v>17.899999999999999</v>
      </c>
      <c r="I2485" s="376">
        <v>11.3</v>
      </c>
      <c r="J2485" s="19">
        <v>0</v>
      </c>
      <c r="K2485" s="13">
        <v>0</v>
      </c>
      <c r="L2485" s="7" t="s">
        <v>483</v>
      </c>
    </row>
    <row r="2486" spans="1:12">
      <c r="A2486" s="7"/>
      <c r="B2486" s="381" t="s">
        <v>365</v>
      </c>
      <c r="C2486" s="3" t="s">
        <v>232</v>
      </c>
      <c r="D2486" s="2" t="s">
        <v>228</v>
      </c>
      <c r="E2486" s="382" t="s">
        <v>130</v>
      </c>
      <c r="F2486" s="114" t="s">
        <v>15</v>
      </c>
      <c r="G2486" s="383" t="s">
        <v>49</v>
      </c>
      <c r="H2486" s="384">
        <v>17.899999999999999</v>
      </c>
      <c r="I2486" s="376">
        <v>9.5</v>
      </c>
      <c r="J2486" s="19">
        <v>0</v>
      </c>
      <c r="K2486" s="13">
        <v>0</v>
      </c>
      <c r="L2486" s="7" t="s">
        <v>483</v>
      </c>
    </row>
    <row r="2487" spans="1:12">
      <c r="A2487" s="7"/>
      <c r="B2487" s="381" t="s">
        <v>365</v>
      </c>
      <c r="C2487" s="3" t="s">
        <v>232</v>
      </c>
      <c r="D2487" s="2" t="s">
        <v>228</v>
      </c>
      <c r="E2487" s="382" t="s">
        <v>130</v>
      </c>
      <c r="F2487" s="114" t="s">
        <v>15</v>
      </c>
      <c r="G2487" s="383" t="s">
        <v>49</v>
      </c>
      <c r="H2487" s="384">
        <v>17.899999999999999</v>
      </c>
      <c r="I2487" s="376">
        <v>11.6</v>
      </c>
      <c r="J2487" s="19">
        <v>0</v>
      </c>
      <c r="K2487" s="13">
        <v>0</v>
      </c>
      <c r="L2487" s="7" t="s">
        <v>483</v>
      </c>
    </row>
    <row r="2488" spans="1:12">
      <c r="A2488" s="7"/>
      <c r="B2488" s="381" t="s">
        <v>365</v>
      </c>
      <c r="C2488" s="3" t="s">
        <v>232</v>
      </c>
      <c r="D2488" s="2" t="s">
        <v>228</v>
      </c>
      <c r="E2488" s="382" t="s">
        <v>130</v>
      </c>
      <c r="F2488" s="114" t="s">
        <v>15</v>
      </c>
      <c r="G2488" s="383" t="s">
        <v>49</v>
      </c>
      <c r="H2488" s="384">
        <v>17.899999999999999</v>
      </c>
      <c r="I2488" s="376">
        <v>9.6</v>
      </c>
      <c r="J2488" s="19">
        <v>0</v>
      </c>
      <c r="K2488" s="13">
        <v>0</v>
      </c>
      <c r="L2488" s="7" t="s">
        <v>483</v>
      </c>
    </row>
    <row r="2489" spans="1:12">
      <c r="A2489" s="7"/>
      <c r="B2489" s="381" t="s">
        <v>365</v>
      </c>
      <c r="C2489" s="3" t="s">
        <v>232</v>
      </c>
      <c r="D2489" s="2" t="s">
        <v>228</v>
      </c>
      <c r="E2489" s="382" t="s">
        <v>130</v>
      </c>
      <c r="F2489" s="114" t="s">
        <v>15</v>
      </c>
      <c r="G2489" s="383" t="s">
        <v>49</v>
      </c>
      <c r="H2489" s="384">
        <v>17.899999999999999</v>
      </c>
      <c r="I2489" s="376">
        <v>11.6</v>
      </c>
      <c r="J2489" s="19">
        <v>0</v>
      </c>
      <c r="K2489" s="13">
        <v>0</v>
      </c>
      <c r="L2489" s="7" t="s">
        <v>483</v>
      </c>
    </row>
    <row r="2490" spans="1:12">
      <c r="A2490" s="7"/>
      <c r="B2490" s="381" t="s">
        <v>365</v>
      </c>
      <c r="C2490" s="3" t="s">
        <v>232</v>
      </c>
      <c r="D2490" s="2" t="s">
        <v>228</v>
      </c>
      <c r="E2490" s="382" t="s">
        <v>130</v>
      </c>
      <c r="F2490" s="114" t="s">
        <v>15</v>
      </c>
      <c r="G2490" s="383" t="s">
        <v>49</v>
      </c>
      <c r="H2490" s="384">
        <v>17.899999999999999</v>
      </c>
      <c r="I2490" s="376">
        <v>10.7</v>
      </c>
      <c r="J2490" s="19">
        <v>0</v>
      </c>
      <c r="K2490" s="13">
        <v>0</v>
      </c>
      <c r="L2490" s="7" t="s">
        <v>483</v>
      </c>
    </row>
    <row r="2491" spans="1:12">
      <c r="A2491" s="7"/>
      <c r="B2491" s="381" t="s">
        <v>365</v>
      </c>
      <c r="C2491" s="3" t="s">
        <v>232</v>
      </c>
      <c r="D2491" s="2" t="s">
        <v>228</v>
      </c>
      <c r="E2491" s="382" t="s">
        <v>130</v>
      </c>
      <c r="F2491" s="114" t="s">
        <v>15</v>
      </c>
      <c r="G2491" s="383" t="s">
        <v>49</v>
      </c>
      <c r="H2491" s="384">
        <v>17.899999999999999</v>
      </c>
      <c r="I2491" s="376">
        <v>11.3</v>
      </c>
      <c r="J2491" s="19">
        <v>0</v>
      </c>
      <c r="K2491" s="13">
        <v>0</v>
      </c>
      <c r="L2491" s="7" t="s">
        <v>483</v>
      </c>
    </row>
    <row r="2492" spans="1:12">
      <c r="A2492" s="7"/>
      <c r="B2492" s="381" t="s">
        <v>365</v>
      </c>
      <c r="C2492" s="3" t="s">
        <v>232</v>
      </c>
      <c r="D2492" s="2" t="s">
        <v>228</v>
      </c>
      <c r="E2492" s="382" t="s">
        <v>130</v>
      </c>
      <c r="F2492" s="114" t="s">
        <v>15</v>
      </c>
      <c r="G2492" s="383" t="s">
        <v>49</v>
      </c>
      <c r="H2492" s="384">
        <v>17.899999999999999</v>
      </c>
      <c r="I2492" s="376">
        <v>9.6</v>
      </c>
      <c r="J2492" s="19">
        <v>0</v>
      </c>
      <c r="K2492" s="13">
        <v>0</v>
      </c>
      <c r="L2492" s="7" t="s">
        <v>483</v>
      </c>
    </row>
    <row r="2493" spans="1:12">
      <c r="A2493" s="7"/>
      <c r="B2493" s="381" t="s">
        <v>365</v>
      </c>
      <c r="C2493" s="3" t="s">
        <v>232</v>
      </c>
      <c r="D2493" s="2" t="s">
        <v>228</v>
      </c>
      <c r="E2493" s="382" t="s">
        <v>130</v>
      </c>
      <c r="F2493" s="114" t="s">
        <v>15</v>
      </c>
      <c r="G2493" s="383" t="s">
        <v>49</v>
      </c>
      <c r="H2493" s="384">
        <v>17.899999999999999</v>
      </c>
      <c r="I2493" s="376">
        <v>11.5</v>
      </c>
      <c r="J2493" s="19">
        <v>0</v>
      </c>
      <c r="K2493" s="13">
        <v>0</v>
      </c>
      <c r="L2493" s="7" t="s">
        <v>483</v>
      </c>
    </row>
    <row r="2494" spans="1:12">
      <c r="A2494" s="7"/>
      <c r="B2494" s="381" t="s">
        <v>365</v>
      </c>
      <c r="C2494" s="3" t="s">
        <v>232</v>
      </c>
      <c r="D2494" s="2" t="s">
        <v>228</v>
      </c>
      <c r="E2494" s="382" t="s">
        <v>130</v>
      </c>
      <c r="F2494" s="114" t="s">
        <v>15</v>
      </c>
      <c r="G2494" s="383" t="s">
        <v>49</v>
      </c>
      <c r="H2494" s="384">
        <v>17.899999999999999</v>
      </c>
      <c r="I2494" s="376">
        <v>11.5</v>
      </c>
      <c r="J2494" s="19">
        <v>0</v>
      </c>
      <c r="K2494" s="13">
        <v>0</v>
      </c>
      <c r="L2494" s="7" t="s">
        <v>483</v>
      </c>
    </row>
    <row r="2495" spans="1:12">
      <c r="A2495" s="7"/>
      <c r="B2495" s="381" t="s">
        <v>365</v>
      </c>
      <c r="C2495" s="3" t="s">
        <v>232</v>
      </c>
      <c r="D2495" s="2" t="s">
        <v>228</v>
      </c>
      <c r="E2495" s="382" t="s">
        <v>130</v>
      </c>
      <c r="F2495" s="114" t="s">
        <v>15</v>
      </c>
      <c r="G2495" s="383" t="s">
        <v>49</v>
      </c>
      <c r="H2495" s="384">
        <v>17.899999999999999</v>
      </c>
      <c r="I2495" s="376">
        <v>9.5</v>
      </c>
      <c r="J2495" s="19">
        <v>0</v>
      </c>
      <c r="K2495" s="13">
        <v>0</v>
      </c>
      <c r="L2495" s="7" t="s">
        <v>483</v>
      </c>
    </row>
    <row r="2496" spans="1:12">
      <c r="A2496" s="7"/>
      <c r="B2496" s="381" t="s">
        <v>365</v>
      </c>
      <c r="C2496" s="3" t="s">
        <v>232</v>
      </c>
      <c r="D2496" s="2" t="s">
        <v>228</v>
      </c>
      <c r="E2496" s="382" t="s">
        <v>130</v>
      </c>
      <c r="F2496" s="114" t="s">
        <v>15</v>
      </c>
      <c r="G2496" s="383" t="s">
        <v>49</v>
      </c>
      <c r="H2496" s="384">
        <v>17.899999999999999</v>
      </c>
      <c r="I2496" s="376">
        <v>11.6</v>
      </c>
      <c r="J2496" s="19">
        <v>0</v>
      </c>
      <c r="K2496" s="13">
        <v>0</v>
      </c>
      <c r="L2496" s="7" t="s">
        <v>483</v>
      </c>
    </row>
    <row r="2497" spans="1:12">
      <c r="A2497" s="7"/>
      <c r="B2497" s="381" t="s">
        <v>365</v>
      </c>
      <c r="C2497" s="3" t="s">
        <v>232</v>
      </c>
      <c r="D2497" s="2" t="s">
        <v>228</v>
      </c>
      <c r="E2497" s="382" t="s">
        <v>130</v>
      </c>
      <c r="F2497" s="114" t="s">
        <v>15</v>
      </c>
      <c r="G2497" s="383" t="s">
        <v>49</v>
      </c>
      <c r="H2497" s="384">
        <v>17.899999999999999</v>
      </c>
      <c r="I2497" s="376">
        <v>11.6</v>
      </c>
      <c r="J2497" s="19">
        <v>0</v>
      </c>
      <c r="K2497" s="13">
        <v>0</v>
      </c>
      <c r="L2497" s="7" t="s">
        <v>483</v>
      </c>
    </row>
    <row r="2498" spans="1:12">
      <c r="A2498" s="7"/>
      <c r="B2498" s="381" t="s">
        <v>365</v>
      </c>
      <c r="C2498" s="3" t="s">
        <v>232</v>
      </c>
      <c r="D2498" s="2" t="s">
        <v>228</v>
      </c>
      <c r="E2498" s="382" t="s">
        <v>130</v>
      </c>
      <c r="F2498" s="114" t="s">
        <v>15</v>
      </c>
      <c r="G2498" s="383" t="s">
        <v>49</v>
      </c>
      <c r="H2498" s="384">
        <v>17.899999999999999</v>
      </c>
      <c r="I2498" s="376">
        <v>11</v>
      </c>
      <c r="J2498" s="19">
        <v>0</v>
      </c>
      <c r="K2498" s="13">
        <v>0</v>
      </c>
      <c r="L2498" s="7" t="s">
        <v>483</v>
      </c>
    </row>
    <row r="2499" spans="1:12">
      <c r="A2499" s="7"/>
      <c r="B2499" s="381" t="s">
        <v>365</v>
      </c>
      <c r="C2499" s="3" t="s">
        <v>232</v>
      </c>
      <c r="D2499" s="2" t="s">
        <v>228</v>
      </c>
      <c r="E2499" s="382" t="s">
        <v>130</v>
      </c>
      <c r="F2499" s="114" t="s">
        <v>15</v>
      </c>
      <c r="G2499" s="383" t="s">
        <v>49</v>
      </c>
      <c r="H2499" s="384">
        <v>17.899999999999999</v>
      </c>
      <c r="I2499" s="376">
        <v>9.6</v>
      </c>
      <c r="J2499" s="19">
        <v>0</v>
      </c>
      <c r="K2499" s="13">
        <v>0</v>
      </c>
      <c r="L2499" s="7" t="s">
        <v>483</v>
      </c>
    </row>
    <row r="2500" spans="1:12">
      <c r="A2500" s="7"/>
      <c r="B2500" s="381" t="s">
        <v>365</v>
      </c>
      <c r="C2500" s="3" t="s">
        <v>232</v>
      </c>
      <c r="D2500" s="2" t="s">
        <v>228</v>
      </c>
      <c r="E2500" s="382" t="s">
        <v>130</v>
      </c>
      <c r="F2500" s="114" t="s">
        <v>15</v>
      </c>
      <c r="G2500" s="383" t="s">
        <v>49</v>
      </c>
      <c r="H2500" s="384">
        <v>17.899999999999999</v>
      </c>
      <c r="I2500" s="376">
        <v>11.5</v>
      </c>
      <c r="J2500" s="19">
        <v>0</v>
      </c>
      <c r="K2500" s="13">
        <v>0</v>
      </c>
      <c r="L2500" s="7" t="s">
        <v>483</v>
      </c>
    </row>
    <row r="2501" spans="1:12">
      <c r="A2501" s="7"/>
      <c r="B2501" s="381" t="s">
        <v>365</v>
      </c>
      <c r="C2501" s="3" t="s">
        <v>232</v>
      </c>
      <c r="D2501" s="2" t="s">
        <v>228</v>
      </c>
      <c r="E2501" s="382" t="s">
        <v>130</v>
      </c>
      <c r="F2501" s="114" t="s">
        <v>15</v>
      </c>
      <c r="G2501" s="383" t="s">
        <v>49</v>
      </c>
      <c r="H2501" s="384">
        <v>17.899999999999999</v>
      </c>
      <c r="I2501" s="376">
        <v>11.6</v>
      </c>
      <c r="J2501" s="19">
        <v>0</v>
      </c>
      <c r="K2501" s="13">
        <v>0</v>
      </c>
      <c r="L2501" s="7" t="s">
        <v>483</v>
      </c>
    </row>
    <row r="2502" spans="1:12">
      <c r="A2502" s="7"/>
      <c r="B2502" s="381" t="s">
        <v>365</v>
      </c>
      <c r="C2502" s="3" t="s">
        <v>232</v>
      </c>
      <c r="D2502" s="2" t="s">
        <v>228</v>
      </c>
      <c r="E2502" s="382" t="s">
        <v>130</v>
      </c>
      <c r="F2502" s="114" t="s">
        <v>15</v>
      </c>
      <c r="G2502" s="383" t="s">
        <v>49</v>
      </c>
      <c r="H2502" s="384">
        <v>17.899999999999999</v>
      </c>
      <c r="I2502" s="376">
        <v>11.6</v>
      </c>
      <c r="J2502" s="19">
        <v>0</v>
      </c>
      <c r="K2502" s="13">
        <v>0</v>
      </c>
      <c r="L2502" s="7" t="s">
        <v>483</v>
      </c>
    </row>
    <row r="2503" spans="1:12">
      <c r="A2503" s="7"/>
      <c r="B2503" s="381" t="s">
        <v>365</v>
      </c>
      <c r="C2503" s="3" t="s">
        <v>232</v>
      </c>
      <c r="D2503" s="2" t="s">
        <v>228</v>
      </c>
      <c r="E2503" s="382" t="s">
        <v>130</v>
      </c>
      <c r="F2503" s="114" t="s">
        <v>15</v>
      </c>
      <c r="G2503" s="383" t="s">
        <v>49</v>
      </c>
      <c r="H2503" s="384">
        <v>17.899999999999999</v>
      </c>
      <c r="I2503" s="376">
        <v>11.5</v>
      </c>
      <c r="J2503" s="19">
        <v>0</v>
      </c>
      <c r="K2503" s="13">
        <v>0</v>
      </c>
      <c r="L2503" s="7" t="s">
        <v>483</v>
      </c>
    </row>
    <row r="2504" spans="1:12">
      <c r="A2504" s="7"/>
      <c r="B2504" s="381" t="s">
        <v>365</v>
      </c>
      <c r="C2504" s="3" t="s">
        <v>232</v>
      </c>
      <c r="D2504" s="2" t="s">
        <v>228</v>
      </c>
      <c r="E2504" s="382" t="s">
        <v>130</v>
      </c>
      <c r="F2504" s="114" t="s">
        <v>15</v>
      </c>
      <c r="G2504" s="383" t="s">
        <v>49</v>
      </c>
      <c r="H2504" s="384">
        <v>17.899999999999999</v>
      </c>
      <c r="I2504" s="376">
        <v>11.6</v>
      </c>
      <c r="J2504" s="19">
        <v>0</v>
      </c>
      <c r="K2504" s="13">
        <v>0</v>
      </c>
      <c r="L2504" s="7" t="s">
        <v>483</v>
      </c>
    </row>
    <row r="2505" spans="1:12">
      <c r="A2505" s="7"/>
      <c r="B2505" s="381" t="s">
        <v>365</v>
      </c>
      <c r="C2505" s="3" t="s">
        <v>232</v>
      </c>
      <c r="D2505" s="2" t="s">
        <v>228</v>
      </c>
      <c r="E2505" s="382" t="s">
        <v>130</v>
      </c>
      <c r="F2505" s="114" t="s">
        <v>15</v>
      </c>
      <c r="G2505" s="383" t="s">
        <v>49</v>
      </c>
      <c r="H2505" s="384">
        <v>17.899999999999999</v>
      </c>
      <c r="I2505" s="376">
        <v>9.5</v>
      </c>
      <c r="J2505" s="19">
        <v>0</v>
      </c>
      <c r="K2505" s="13">
        <v>0</v>
      </c>
      <c r="L2505" s="7" t="s">
        <v>483</v>
      </c>
    </row>
    <row r="2506" spans="1:12">
      <c r="A2506" s="7"/>
      <c r="B2506" s="381" t="s">
        <v>365</v>
      </c>
      <c r="C2506" s="3" t="s">
        <v>232</v>
      </c>
      <c r="D2506" s="2" t="s">
        <v>228</v>
      </c>
      <c r="E2506" s="382" t="s">
        <v>24</v>
      </c>
      <c r="F2506" s="114" t="s">
        <v>14</v>
      </c>
      <c r="G2506" s="383" t="s">
        <v>42</v>
      </c>
      <c r="H2506" s="384">
        <v>19.72</v>
      </c>
      <c r="I2506" s="376">
        <v>6.5</v>
      </c>
      <c r="J2506" s="19">
        <v>0</v>
      </c>
      <c r="K2506" s="13">
        <v>0</v>
      </c>
      <c r="L2506" s="7" t="s">
        <v>483</v>
      </c>
    </row>
    <row r="2507" spans="1:12">
      <c r="A2507" s="7"/>
      <c r="B2507" s="381" t="s">
        <v>365</v>
      </c>
      <c r="C2507" s="3" t="s">
        <v>232</v>
      </c>
      <c r="D2507" s="2" t="s">
        <v>228</v>
      </c>
      <c r="E2507" s="382" t="s">
        <v>24</v>
      </c>
      <c r="F2507" s="114" t="s">
        <v>14</v>
      </c>
      <c r="G2507" s="383" t="s">
        <v>42</v>
      </c>
      <c r="H2507" s="384">
        <v>19.72</v>
      </c>
      <c r="I2507" s="376">
        <v>7</v>
      </c>
      <c r="J2507" s="19">
        <v>2</v>
      </c>
      <c r="K2507" s="13">
        <v>0.27607999999999999</v>
      </c>
      <c r="L2507" s="7" t="s">
        <v>483</v>
      </c>
    </row>
    <row r="2508" spans="1:12">
      <c r="A2508" s="7"/>
      <c r="B2508" s="381" t="s">
        <v>408</v>
      </c>
      <c r="C2508" s="3" t="s">
        <v>232</v>
      </c>
      <c r="D2508" s="2" t="s">
        <v>228</v>
      </c>
      <c r="E2508" s="382" t="s">
        <v>382</v>
      </c>
      <c r="F2508" s="114" t="s">
        <v>15</v>
      </c>
      <c r="G2508" s="383" t="s">
        <v>33</v>
      </c>
      <c r="H2508" s="384">
        <v>16</v>
      </c>
      <c r="I2508" s="376">
        <v>6.1</v>
      </c>
      <c r="J2508" s="19">
        <v>0</v>
      </c>
      <c r="K2508" s="13">
        <v>0</v>
      </c>
      <c r="L2508" s="7" t="s">
        <v>483</v>
      </c>
    </row>
    <row r="2509" spans="1:12">
      <c r="A2509" s="7"/>
      <c r="B2509" s="381" t="s">
        <v>408</v>
      </c>
      <c r="C2509" s="3" t="s">
        <v>232</v>
      </c>
      <c r="D2509" s="2" t="s">
        <v>228</v>
      </c>
      <c r="E2509" s="382" t="s">
        <v>382</v>
      </c>
      <c r="F2509" s="114" t="s">
        <v>15</v>
      </c>
      <c r="G2509" s="383" t="s">
        <v>33</v>
      </c>
      <c r="H2509" s="384">
        <v>16</v>
      </c>
      <c r="I2509" s="376">
        <v>7.2</v>
      </c>
      <c r="J2509" s="19">
        <v>0</v>
      </c>
      <c r="K2509" s="13">
        <v>0</v>
      </c>
      <c r="L2509" s="7" t="s">
        <v>483</v>
      </c>
    </row>
    <row r="2510" spans="1:12">
      <c r="A2510" s="7"/>
      <c r="B2510" s="381" t="s">
        <v>408</v>
      </c>
      <c r="C2510" s="3" t="s">
        <v>232</v>
      </c>
      <c r="D2510" s="2" t="s">
        <v>228</v>
      </c>
      <c r="E2510" s="382" t="s">
        <v>382</v>
      </c>
      <c r="F2510" s="114" t="s">
        <v>15</v>
      </c>
      <c r="G2510" s="383" t="s">
        <v>33</v>
      </c>
      <c r="H2510" s="384">
        <v>16</v>
      </c>
      <c r="I2510" s="376">
        <v>7.5</v>
      </c>
      <c r="J2510" s="19">
        <v>0</v>
      </c>
      <c r="K2510" s="13">
        <v>0</v>
      </c>
      <c r="L2510" s="7" t="s">
        <v>483</v>
      </c>
    </row>
    <row r="2511" spans="1:12">
      <c r="A2511" s="7"/>
      <c r="B2511" s="381" t="s">
        <v>408</v>
      </c>
      <c r="C2511" s="3" t="s">
        <v>232</v>
      </c>
      <c r="D2511" s="2" t="s">
        <v>228</v>
      </c>
      <c r="E2511" s="382" t="s">
        <v>382</v>
      </c>
      <c r="F2511" s="114" t="s">
        <v>15</v>
      </c>
      <c r="G2511" s="383" t="s">
        <v>33</v>
      </c>
      <c r="H2511" s="384">
        <v>16</v>
      </c>
      <c r="I2511" s="376">
        <v>10</v>
      </c>
      <c r="J2511" s="19">
        <v>0</v>
      </c>
      <c r="K2511" s="13">
        <v>0</v>
      </c>
      <c r="L2511" s="7" t="s">
        <v>483</v>
      </c>
    </row>
    <row r="2512" spans="1:12">
      <c r="A2512" s="7"/>
      <c r="B2512" s="381" t="s">
        <v>408</v>
      </c>
      <c r="C2512" s="3" t="s">
        <v>232</v>
      </c>
      <c r="D2512" s="2" t="s">
        <v>228</v>
      </c>
      <c r="E2512" s="382" t="s">
        <v>382</v>
      </c>
      <c r="F2512" s="114" t="s">
        <v>15</v>
      </c>
      <c r="G2512" s="383" t="s">
        <v>33</v>
      </c>
      <c r="H2512" s="384">
        <v>16</v>
      </c>
      <c r="I2512" s="376">
        <v>11.3</v>
      </c>
      <c r="J2512" s="19">
        <v>0</v>
      </c>
      <c r="K2512" s="13">
        <v>0</v>
      </c>
      <c r="L2512" s="7" t="s">
        <v>483</v>
      </c>
    </row>
    <row r="2513" spans="1:12">
      <c r="A2513" s="7"/>
      <c r="B2513" s="381" t="s">
        <v>408</v>
      </c>
      <c r="C2513" s="3" t="s">
        <v>232</v>
      </c>
      <c r="D2513" s="2" t="s">
        <v>228</v>
      </c>
      <c r="E2513" s="382" t="s">
        <v>382</v>
      </c>
      <c r="F2513" s="114" t="s">
        <v>15</v>
      </c>
      <c r="G2513" s="383" t="s">
        <v>33</v>
      </c>
      <c r="H2513" s="384">
        <v>16</v>
      </c>
      <c r="I2513" s="376">
        <v>11.8</v>
      </c>
      <c r="J2513" s="19">
        <v>0</v>
      </c>
      <c r="K2513" s="13">
        <v>0</v>
      </c>
      <c r="L2513" s="7" t="s">
        <v>483</v>
      </c>
    </row>
    <row r="2514" spans="1:12">
      <c r="A2514" s="7"/>
      <c r="B2514" s="381" t="s">
        <v>408</v>
      </c>
      <c r="C2514" s="3" t="s">
        <v>232</v>
      </c>
      <c r="D2514" s="2" t="s">
        <v>228</v>
      </c>
      <c r="E2514" s="382" t="s">
        <v>382</v>
      </c>
      <c r="F2514" s="114" t="s">
        <v>15</v>
      </c>
      <c r="G2514" s="383" t="s">
        <v>33</v>
      </c>
      <c r="H2514" s="384">
        <v>16</v>
      </c>
      <c r="I2514" s="376">
        <v>7.15</v>
      </c>
      <c r="J2514" s="19">
        <v>0</v>
      </c>
      <c r="K2514" s="13">
        <v>0</v>
      </c>
      <c r="L2514" s="7" t="s">
        <v>483</v>
      </c>
    </row>
    <row r="2515" spans="1:12">
      <c r="A2515" s="7"/>
      <c r="B2515" s="381" t="s">
        <v>408</v>
      </c>
      <c r="C2515" s="3" t="s">
        <v>232</v>
      </c>
      <c r="D2515" s="2" t="s">
        <v>228</v>
      </c>
      <c r="E2515" s="382" t="s">
        <v>382</v>
      </c>
      <c r="F2515" s="114" t="s">
        <v>15</v>
      </c>
      <c r="G2515" s="383" t="s">
        <v>33</v>
      </c>
      <c r="H2515" s="384">
        <v>16</v>
      </c>
      <c r="I2515" s="376">
        <v>9</v>
      </c>
      <c r="J2515" s="19">
        <v>0</v>
      </c>
      <c r="K2515" s="13">
        <v>0</v>
      </c>
      <c r="L2515" s="7" t="s">
        <v>483</v>
      </c>
    </row>
    <row r="2516" spans="1:12">
      <c r="A2516" s="7"/>
      <c r="B2516" s="381" t="s">
        <v>408</v>
      </c>
      <c r="C2516" s="3" t="s">
        <v>232</v>
      </c>
      <c r="D2516" s="2" t="s">
        <v>228</v>
      </c>
      <c r="E2516" s="382" t="s">
        <v>382</v>
      </c>
      <c r="F2516" s="114" t="s">
        <v>15</v>
      </c>
      <c r="G2516" s="383" t="s">
        <v>33</v>
      </c>
      <c r="H2516" s="384">
        <v>16</v>
      </c>
      <c r="I2516" s="376">
        <v>9.6</v>
      </c>
      <c r="J2516" s="19">
        <v>0</v>
      </c>
      <c r="K2516" s="13">
        <v>0</v>
      </c>
      <c r="L2516" s="7" t="s">
        <v>483</v>
      </c>
    </row>
    <row r="2517" spans="1:12">
      <c r="A2517" s="7"/>
      <c r="B2517" s="381" t="s">
        <v>408</v>
      </c>
      <c r="C2517" s="3" t="s">
        <v>232</v>
      </c>
      <c r="D2517" s="2" t="s">
        <v>228</v>
      </c>
      <c r="E2517" s="382" t="s">
        <v>382</v>
      </c>
      <c r="F2517" s="114" t="s">
        <v>15</v>
      </c>
      <c r="G2517" s="383" t="s">
        <v>33</v>
      </c>
      <c r="H2517" s="384">
        <v>16</v>
      </c>
      <c r="I2517" s="376">
        <v>10.5</v>
      </c>
      <c r="J2517" s="19">
        <v>1</v>
      </c>
      <c r="K2517" s="13">
        <v>0.16800000000000001</v>
      </c>
      <c r="L2517" s="7" t="s">
        <v>483</v>
      </c>
    </row>
    <row r="2518" spans="1:12">
      <c r="A2518" s="7"/>
      <c r="B2518" s="381" t="s">
        <v>408</v>
      </c>
      <c r="C2518" s="3" t="s">
        <v>232</v>
      </c>
      <c r="D2518" s="2" t="s">
        <v>228</v>
      </c>
      <c r="E2518" s="382" t="s">
        <v>382</v>
      </c>
      <c r="F2518" s="114" t="s">
        <v>15</v>
      </c>
      <c r="G2518" s="383" t="s">
        <v>33</v>
      </c>
      <c r="H2518" s="384">
        <v>16</v>
      </c>
      <c r="I2518" s="376">
        <v>10</v>
      </c>
      <c r="J2518" s="19">
        <v>2</v>
      </c>
      <c r="K2518" s="13">
        <v>0.32</v>
      </c>
      <c r="L2518" s="7" t="s">
        <v>483</v>
      </c>
    </row>
    <row r="2519" spans="1:12">
      <c r="A2519" s="7"/>
      <c r="B2519" s="381" t="s">
        <v>408</v>
      </c>
      <c r="C2519" s="3" t="s">
        <v>232</v>
      </c>
      <c r="D2519" s="2" t="s">
        <v>228</v>
      </c>
      <c r="E2519" s="382" t="s">
        <v>382</v>
      </c>
      <c r="F2519" s="114" t="s">
        <v>15</v>
      </c>
      <c r="G2519" s="383" t="s">
        <v>33</v>
      </c>
      <c r="H2519" s="384">
        <v>16</v>
      </c>
      <c r="I2519" s="376">
        <v>11.8</v>
      </c>
      <c r="J2519" s="19">
        <v>3</v>
      </c>
      <c r="K2519" s="13">
        <v>0.56640000000000013</v>
      </c>
      <c r="L2519" s="7" t="s">
        <v>483</v>
      </c>
    </row>
    <row r="2520" spans="1:12">
      <c r="A2520" s="7"/>
      <c r="B2520" s="381" t="s">
        <v>408</v>
      </c>
      <c r="C2520" s="3" t="s">
        <v>232</v>
      </c>
      <c r="D2520" s="2" t="s">
        <v>228</v>
      </c>
      <c r="E2520" s="382" t="s">
        <v>382</v>
      </c>
      <c r="F2520" s="114" t="s">
        <v>15</v>
      </c>
      <c r="G2520" s="383" t="s">
        <v>33</v>
      </c>
      <c r="H2520" s="384">
        <v>16</v>
      </c>
      <c r="I2520" s="376">
        <v>11</v>
      </c>
      <c r="J2520" s="19">
        <v>3</v>
      </c>
      <c r="K2520" s="13">
        <v>0.52800000000000002</v>
      </c>
      <c r="L2520" s="7" t="s">
        <v>483</v>
      </c>
    </row>
    <row r="2521" spans="1:12">
      <c r="A2521" s="7"/>
      <c r="B2521" s="381" t="s">
        <v>366</v>
      </c>
      <c r="C2521" s="3" t="s">
        <v>232</v>
      </c>
      <c r="D2521" s="2" t="s">
        <v>228</v>
      </c>
      <c r="E2521" s="382" t="s">
        <v>19</v>
      </c>
      <c r="F2521" s="114" t="s">
        <v>14</v>
      </c>
      <c r="G2521" s="383" t="s">
        <v>27</v>
      </c>
      <c r="H2521" s="384">
        <v>6.17</v>
      </c>
      <c r="I2521" s="376">
        <v>7.4</v>
      </c>
      <c r="J2521" s="19">
        <v>0</v>
      </c>
      <c r="K2521" s="13">
        <v>0</v>
      </c>
      <c r="L2521" s="7" t="s">
        <v>483</v>
      </c>
    </row>
    <row r="2522" spans="1:12">
      <c r="A2522" s="7"/>
      <c r="B2522" s="381" t="s">
        <v>366</v>
      </c>
      <c r="C2522" s="3" t="s">
        <v>232</v>
      </c>
      <c r="D2522" s="2" t="s">
        <v>228</v>
      </c>
      <c r="E2522" s="382" t="s">
        <v>19</v>
      </c>
      <c r="F2522" s="114" t="s">
        <v>14</v>
      </c>
      <c r="G2522" s="383" t="s">
        <v>27</v>
      </c>
      <c r="H2522" s="384">
        <v>6.17</v>
      </c>
      <c r="I2522" s="376">
        <v>8.4</v>
      </c>
      <c r="J2522" s="19">
        <v>0</v>
      </c>
      <c r="K2522" s="13">
        <v>0</v>
      </c>
      <c r="L2522" s="7" t="s">
        <v>483</v>
      </c>
    </row>
    <row r="2523" spans="1:12">
      <c r="A2523" s="7"/>
      <c r="B2523" s="381" t="s">
        <v>366</v>
      </c>
      <c r="C2523" s="3" t="s">
        <v>232</v>
      </c>
      <c r="D2523" s="2" t="s">
        <v>228</v>
      </c>
      <c r="E2523" s="382" t="s">
        <v>19</v>
      </c>
      <c r="F2523" s="114" t="s">
        <v>14</v>
      </c>
      <c r="G2523" s="383" t="s">
        <v>27</v>
      </c>
      <c r="H2523" s="384">
        <v>6.17</v>
      </c>
      <c r="I2523" s="376">
        <v>11.55</v>
      </c>
      <c r="J2523" s="19">
        <v>0</v>
      </c>
      <c r="K2523" s="13">
        <v>0</v>
      </c>
      <c r="L2523" s="7" t="s">
        <v>483</v>
      </c>
    </row>
    <row r="2524" spans="1:12">
      <c r="A2524" s="7"/>
      <c r="B2524" s="381" t="s">
        <v>366</v>
      </c>
      <c r="C2524" s="3" t="s">
        <v>232</v>
      </c>
      <c r="D2524" s="2" t="s">
        <v>228</v>
      </c>
      <c r="E2524" s="382" t="s">
        <v>19</v>
      </c>
      <c r="F2524" s="114" t="s">
        <v>14</v>
      </c>
      <c r="G2524" s="383" t="s">
        <v>27</v>
      </c>
      <c r="H2524" s="384">
        <v>6.17</v>
      </c>
      <c r="I2524" s="376">
        <v>11</v>
      </c>
      <c r="J2524" s="19">
        <v>0</v>
      </c>
      <c r="K2524" s="13">
        <v>0</v>
      </c>
      <c r="L2524" s="7" t="s">
        <v>483</v>
      </c>
    </row>
    <row r="2525" spans="1:12">
      <c r="A2525" s="7"/>
      <c r="B2525" s="381" t="s">
        <v>366</v>
      </c>
      <c r="C2525" s="3" t="s">
        <v>232</v>
      </c>
      <c r="D2525" s="2" t="s">
        <v>228</v>
      </c>
      <c r="E2525" s="382" t="s">
        <v>19</v>
      </c>
      <c r="F2525" s="114" t="s">
        <v>14</v>
      </c>
      <c r="G2525" s="383" t="s">
        <v>27</v>
      </c>
      <c r="H2525" s="384">
        <v>6.17</v>
      </c>
      <c r="I2525" s="376">
        <v>11.5</v>
      </c>
      <c r="J2525" s="19">
        <v>0</v>
      </c>
      <c r="K2525" s="13">
        <v>0</v>
      </c>
      <c r="L2525" s="7" t="s">
        <v>483</v>
      </c>
    </row>
    <row r="2526" spans="1:12">
      <c r="A2526" s="7"/>
      <c r="B2526" s="381" t="s">
        <v>366</v>
      </c>
      <c r="C2526" s="3" t="s">
        <v>232</v>
      </c>
      <c r="D2526" s="2" t="s">
        <v>228</v>
      </c>
      <c r="E2526" s="382" t="s">
        <v>19</v>
      </c>
      <c r="F2526" s="114" t="s">
        <v>14</v>
      </c>
      <c r="G2526" s="383" t="s">
        <v>27</v>
      </c>
      <c r="H2526" s="384">
        <v>6.17</v>
      </c>
      <c r="I2526" s="376">
        <v>6.2</v>
      </c>
      <c r="J2526" s="19">
        <v>1</v>
      </c>
      <c r="K2526" s="13">
        <v>3.8253999999999996E-2</v>
      </c>
      <c r="L2526" s="7" t="s">
        <v>483</v>
      </c>
    </row>
    <row r="2527" spans="1:12">
      <c r="A2527" s="7"/>
      <c r="B2527" s="381" t="s">
        <v>366</v>
      </c>
      <c r="C2527" s="3" t="s">
        <v>232</v>
      </c>
      <c r="D2527" s="2" t="s">
        <v>228</v>
      </c>
      <c r="E2527" s="382" t="s">
        <v>19</v>
      </c>
      <c r="F2527" s="114" t="s">
        <v>14</v>
      </c>
      <c r="G2527" s="383" t="s">
        <v>27</v>
      </c>
      <c r="H2527" s="384">
        <v>6.17</v>
      </c>
      <c r="I2527" s="376">
        <v>6.4</v>
      </c>
      <c r="J2527" s="19">
        <v>1</v>
      </c>
      <c r="K2527" s="13">
        <v>3.9488000000000002E-2</v>
      </c>
      <c r="L2527" s="7" t="s">
        <v>483</v>
      </c>
    </row>
    <row r="2528" spans="1:12">
      <c r="A2528" s="7"/>
      <c r="B2528" s="381" t="s">
        <v>366</v>
      </c>
      <c r="C2528" s="3" t="s">
        <v>232</v>
      </c>
      <c r="D2528" s="2" t="s">
        <v>228</v>
      </c>
      <c r="E2528" s="382" t="s">
        <v>19</v>
      </c>
      <c r="F2528" s="114" t="s">
        <v>14</v>
      </c>
      <c r="G2528" s="383" t="s">
        <v>27</v>
      </c>
      <c r="H2528" s="384">
        <v>6.17</v>
      </c>
      <c r="I2528" s="376">
        <v>6.9</v>
      </c>
      <c r="J2528" s="19">
        <v>1</v>
      </c>
      <c r="K2528" s="13">
        <v>4.2573E-2</v>
      </c>
      <c r="L2528" s="7" t="s">
        <v>483</v>
      </c>
    </row>
    <row r="2529" spans="1:12">
      <c r="A2529" s="7"/>
      <c r="B2529" s="381" t="s">
        <v>366</v>
      </c>
      <c r="C2529" s="3" t="s">
        <v>232</v>
      </c>
      <c r="D2529" s="2" t="s">
        <v>228</v>
      </c>
      <c r="E2529" s="382" t="s">
        <v>19</v>
      </c>
      <c r="F2529" s="114" t="s">
        <v>14</v>
      </c>
      <c r="G2529" s="383" t="s">
        <v>27</v>
      </c>
      <c r="H2529" s="384">
        <v>6.17</v>
      </c>
      <c r="I2529" s="376">
        <v>7.1</v>
      </c>
      <c r="J2529" s="19">
        <v>1</v>
      </c>
      <c r="K2529" s="13">
        <v>4.3806999999999992E-2</v>
      </c>
      <c r="L2529" s="7" t="s">
        <v>483</v>
      </c>
    </row>
    <row r="2530" spans="1:12">
      <c r="A2530" s="7"/>
      <c r="B2530" s="381" t="s">
        <v>366</v>
      </c>
      <c r="C2530" s="3" t="s">
        <v>232</v>
      </c>
      <c r="D2530" s="2" t="s">
        <v>228</v>
      </c>
      <c r="E2530" s="382" t="s">
        <v>19</v>
      </c>
      <c r="F2530" s="114" t="s">
        <v>14</v>
      </c>
      <c r="G2530" s="383" t="s">
        <v>27</v>
      </c>
      <c r="H2530" s="384">
        <v>6.17</v>
      </c>
      <c r="I2530" s="376">
        <v>7.2</v>
      </c>
      <c r="J2530" s="19">
        <v>1</v>
      </c>
      <c r="K2530" s="13">
        <v>4.4423999999999998E-2</v>
      </c>
      <c r="L2530" s="7" t="s">
        <v>483</v>
      </c>
    </row>
    <row r="2531" spans="1:12">
      <c r="A2531" s="7"/>
      <c r="B2531" s="381" t="s">
        <v>366</v>
      </c>
      <c r="C2531" s="3" t="s">
        <v>232</v>
      </c>
      <c r="D2531" s="2" t="s">
        <v>228</v>
      </c>
      <c r="E2531" s="382" t="s">
        <v>19</v>
      </c>
      <c r="F2531" s="114" t="s">
        <v>14</v>
      </c>
      <c r="G2531" s="383" t="s">
        <v>27</v>
      </c>
      <c r="H2531" s="384">
        <v>6.17</v>
      </c>
      <c r="I2531" s="376">
        <v>5.7</v>
      </c>
      <c r="J2531" s="19">
        <v>1</v>
      </c>
      <c r="K2531" s="13">
        <v>3.5169000000000006E-2</v>
      </c>
      <c r="L2531" s="7" t="s">
        <v>483</v>
      </c>
    </row>
    <row r="2532" spans="1:12">
      <c r="A2532" s="7"/>
      <c r="B2532" s="381" t="s">
        <v>366</v>
      </c>
      <c r="C2532" s="3" t="s">
        <v>232</v>
      </c>
      <c r="D2532" s="2" t="s">
        <v>228</v>
      </c>
      <c r="E2532" s="382" t="s">
        <v>19</v>
      </c>
      <c r="F2532" s="114" t="s">
        <v>14</v>
      </c>
      <c r="G2532" s="383" t="s">
        <v>27</v>
      </c>
      <c r="H2532" s="384">
        <v>6.17</v>
      </c>
      <c r="I2532" s="376">
        <v>6</v>
      </c>
      <c r="J2532" s="19">
        <v>1</v>
      </c>
      <c r="K2532" s="13">
        <v>3.7019999999999997E-2</v>
      </c>
      <c r="L2532" s="7" t="s">
        <v>483</v>
      </c>
    </row>
    <row r="2533" spans="1:12">
      <c r="A2533" s="7"/>
      <c r="B2533" s="381" t="s">
        <v>366</v>
      </c>
      <c r="C2533" s="3" t="s">
        <v>232</v>
      </c>
      <c r="D2533" s="2" t="s">
        <v>228</v>
      </c>
      <c r="E2533" s="382" t="s">
        <v>19</v>
      </c>
      <c r="F2533" s="114" t="s">
        <v>14</v>
      </c>
      <c r="G2533" s="383" t="s">
        <v>27</v>
      </c>
      <c r="H2533" s="384">
        <v>6.17</v>
      </c>
      <c r="I2533" s="376">
        <v>6.5</v>
      </c>
      <c r="J2533" s="19">
        <v>3</v>
      </c>
      <c r="K2533" s="13">
        <v>0.12031499999999999</v>
      </c>
      <c r="L2533" s="7" t="s">
        <v>483</v>
      </c>
    </row>
    <row r="2534" spans="1:12">
      <c r="A2534" s="7"/>
      <c r="B2534" s="381" t="s">
        <v>366</v>
      </c>
      <c r="C2534" s="3" t="s">
        <v>232</v>
      </c>
      <c r="D2534" s="2" t="s">
        <v>228</v>
      </c>
      <c r="E2534" s="382" t="s">
        <v>19</v>
      </c>
      <c r="F2534" s="114" t="s">
        <v>14</v>
      </c>
      <c r="G2534" s="383" t="s">
        <v>27</v>
      </c>
      <c r="H2534" s="384">
        <v>6.17</v>
      </c>
      <c r="I2534" s="376">
        <v>7.2</v>
      </c>
      <c r="J2534" s="19">
        <v>4</v>
      </c>
      <c r="K2534" s="13">
        <v>0.17769599999999999</v>
      </c>
      <c r="L2534" s="7" t="s">
        <v>483</v>
      </c>
    </row>
    <row r="2535" spans="1:12">
      <c r="A2535" s="7"/>
      <c r="B2535" s="381" t="s">
        <v>366</v>
      </c>
      <c r="C2535" s="3" t="s">
        <v>232</v>
      </c>
      <c r="D2535" s="2" t="s">
        <v>228</v>
      </c>
      <c r="E2535" s="382" t="s">
        <v>19</v>
      </c>
      <c r="F2535" s="114" t="s">
        <v>14</v>
      </c>
      <c r="G2535" s="383" t="s">
        <v>27</v>
      </c>
      <c r="H2535" s="384">
        <v>6.17</v>
      </c>
      <c r="I2535" s="376">
        <v>10.9</v>
      </c>
      <c r="J2535" s="19">
        <v>0</v>
      </c>
      <c r="K2535" s="13">
        <v>0</v>
      </c>
      <c r="L2535" s="7" t="s">
        <v>483</v>
      </c>
    </row>
    <row r="2536" spans="1:12">
      <c r="A2536" s="7"/>
      <c r="B2536" s="381" t="s">
        <v>366</v>
      </c>
      <c r="C2536" s="3" t="s">
        <v>232</v>
      </c>
      <c r="D2536" s="2" t="s">
        <v>228</v>
      </c>
      <c r="E2536" s="382" t="s">
        <v>19</v>
      </c>
      <c r="F2536" s="114" t="s">
        <v>14</v>
      </c>
      <c r="G2536" s="383" t="s">
        <v>27</v>
      </c>
      <c r="H2536" s="384">
        <v>6.17</v>
      </c>
      <c r="I2536" s="376">
        <v>11.2</v>
      </c>
      <c r="J2536" s="19">
        <v>0</v>
      </c>
      <c r="K2536" s="13">
        <v>0</v>
      </c>
      <c r="L2536" s="7" t="s">
        <v>483</v>
      </c>
    </row>
    <row r="2537" spans="1:12">
      <c r="A2537" s="7"/>
      <c r="B2537" s="381" t="s">
        <v>366</v>
      </c>
      <c r="C2537" s="3" t="s">
        <v>232</v>
      </c>
      <c r="D2537" s="2" t="s">
        <v>228</v>
      </c>
      <c r="E2537" s="382" t="s">
        <v>19</v>
      </c>
      <c r="F2537" s="114" t="s">
        <v>14</v>
      </c>
      <c r="G2537" s="383" t="s">
        <v>27</v>
      </c>
      <c r="H2537" s="384">
        <v>6.17</v>
      </c>
      <c r="I2537" s="376">
        <v>11.5</v>
      </c>
      <c r="J2537" s="19">
        <v>0</v>
      </c>
      <c r="K2537" s="13">
        <v>0</v>
      </c>
      <c r="L2537" s="7" t="s">
        <v>483</v>
      </c>
    </row>
    <row r="2538" spans="1:12">
      <c r="A2538" s="7"/>
      <c r="B2538" s="381" t="s">
        <v>366</v>
      </c>
      <c r="C2538" s="3" t="s">
        <v>232</v>
      </c>
      <c r="D2538" s="2" t="s">
        <v>228</v>
      </c>
      <c r="E2538" s="382" t="s">
        <v>19</v>
      </c>
      <c r="F2538" s="114" t="s">
        <v>14</v>
      </c>
      <c r="G2538" s="383" t="s">
        <v>27</v>
      </c>
      <c r="H2538" s="384">
        <v>6.17</v>
      </c>
      <c r="I2538" s="376">
        <v>11.55</v>
      </c>
      <c r="J2538" s="19">
        <v>0</v>
      </c>
      <c r="K2538" s="13">
        <v>0</v>
      </c>
      <c r="L2538" s="7" t="s">
        <v>483</v>
      </c>
    </row>
    <row r="2539" spans="1:12">
      <c r="A2539" s="7"/>
      <c r="B2539" s="381" t="s">
        <v>366</v>
      </c>
      <c r="C2539" s="3" t="s">
        <v>232</v>
      </c>
      <c r="D2539" s="2" t="s">
        <v>228</v>
      </c>
      <c r="E2539" s="382" t="s">
        <v>19</v>
      </c>
      <c r="F2539" s="114" t="s">
        <v>14</v>
      </c>
      <c r="G2539" s="383" t="s">
        <v>25</v>
      </c>
      <c r="H2539" s="384">
        <v>7.34</v>
      </c>
      <c r="I2539" s="376">
        <v>7.55</v>
      </c>
      <c r="J2539" s="19">
        <v>0</v>
      </c>
      <c r="K2539" s="13">
        <v>0</v>
      </c>
      <c r="L2539" s="7" t="s">
        <v>483</v>
      </c>
    </row>
    <row r="2540" spans="1:12">
      <c r="A2540" s="7"/>
      <c r="B2540" s="381" t="s">
        <v>366</v>
      </c>
      <c r="C2540" s="3" t="s">
        <v>232</v>
      </c>
      <c r="D2540" s="2" t="s">
        <v>228</v>
      </c>
      <c r="E2540" s="382" t="s">
        <v>19</v>
      </c>
      <c r="F2540" s="114" t="s">
        <v>14</v>
      </c>
      <c r="G2540" s="383" t="s">
        <v>25</v>
      </c>
      <c r="H2540" s="384">
        <v>7.34</v>
      </c>
      <c r="I2540" s="376">
        <v>10.15</v>
      </c>
      <c r="J2540" s="19">
        <v>0</v>
      </c>
      <c r="K2540" s="13">
        <v>0</v>
      </c>
      <c r="L2540" s="7" t="s">
        <v>483</v>
      </c>
    </row>
    <row r="2541" spans="1:12">
      <c r="A2541" s="7"/>
      <c r="B2541" s="381" t="s">
        <v>366</v>
      </c>
      <c r="C2541" s="3" t="s">
        <v>232</v>
      </c>
      <c r="D2541" s="2" t="s">
        <v>228</v>
      </c>
      <c r="E2541" s="382" t="s">
        <v>19</v>
      </c>
      <c r="F2541" s="114" t="s">
        <v>14</v>
      </c>
      <c r="G2541" s="383" t="s">
        <v>25</v>
      </c>
      <c r="H2541" s="384">
        <v>7.34</v>
      </c>
      <c r="I2541" s="376">
        <v>12</v>
      </c>
      <c r="J2541" s="19">
        <v>0</v>
      </c>
      <c r="K2541" s="13">
        <v>0</v>
      </c>
      <c r="L2541" s="7" t="s">
        <v>483</v>
      </c>
    </row>
    <row r="2542" spans="1:12">
      <c r="A2542" s="7"/>
      <c r="B2542" s="381" t="s">
        <v>366</v>
      </c>
      <c r="C2542" s="3" t="s">
        <v>232</v>
      </c>
      <c r="D2542" s="2" t="s">
        <v>228</v>
      </c>
      <c r="E2542" s="382" t="s">
        <v>19</v>
      </c>
      <c r="F2542" s="114" t="s">
        <v>14</v>
      </c>
      <c r="G2542" s="383" t="s">
        <v>25</v>
      </c>
      <c r="H2542" s="384">
        <v>7.34</v>
      </c>
      <c r="I2542" s="376">
        <v>12</v>
      </c>
      <c r="J2542" s="19">
        <v>0</v>
      </c>
      <c r="K2542" s="13">
        <v>0</v>
      </c>
      <c r="L2542" s="7" t="s">
        <v>483</v>
      </c>
    </row>
    <row r="2543" spans="1:12">
      <c r="A2543" s="7"/>
      <c r="B2543" s="381" t="s">
        <v>366</v>
      </c>
      <c r="C2543" s="3" t="s">
        <v>232</v>
      </c>
      <c r="D2543" s="2" t="s">
        <v>228</v>
      </c>
      <c r="E2543" s="382" t="s">
        <v>19</v>
      </c>
      <c r="F2543" s="114" t="s">
        <v>14</v>
      </c>
      <c r="G2543" s="383" t="s">
        <v>25</v>
      </c>
      <c r="H2543" s="384">
        <v>7.34</v>
      </c>
      <c r="I2543" s="376">
        <v>7.1</v>
      </c>
      <c r="J2543" s="19">
        <v>0</v>
      </c>
      <c r="K2543" s="13">
        <v>0</v>
      </c>
      <c r="L2543" s="7" t="s">
        <v>483</v>
      </c>
    </row>
    <row r="2544" spans="1:12">
      <c r="A2544" s="7"/>
      <c r="B2544" s="381" t="s">
        <v>366</v>
      </c>
      <c r="C2544" s="3" t="s">
        <v>232</v>
      </c>
      <c r="D2544" s="2" t="s">
        <v>228</v>
      </c>
      <c r="E2544" s="382" t="s">
        <v>19</v>
      </c>
      <c r="F2544" s="114" t="s">
        <v>14</v>
      </c>
      <c r="G2544" s="383" t="s">
        <v>25</v>
      </c>
      <c r="H2544" s="384">
        <v>7.34</v>
      </c>
      <c r="I2544" s="376">
        <v>7.2</v>
      </c>
      <c r="J2544" s="19">
        <v>0</v>
      </c>
      <c r="K2544" s="13">
        <v>0</v>
      </c>
      <c r="L2544" s="7" t="s">
        <v>483</v>
      </c>
    </row>
    <row r="2545" spans="1:12">
      <c r="A2545" s="7"/>
      <c r="B2545" s="381" t="s">
        <v>366</v>
      </c>
      <c r="C2545" s="3" t="s">
        <v>232</v>
      </c>
      <c r="D2545" s="2" t="s">
        <v>228</v>
      </c>
      <c r="E2545" s="382" t="s">
        <v>19</v>
      </c>
      <c r="F2545" s="114" t="s">
        <v>14</v>
      </c>
      <c r="G2545" s="383" t="s">
        <v>25</v>
      </c>
      <c r="H2545" s="384">
        <v>7.34</v>
      </c>
      <c r="I2545" s="376">
        <v>7.6</v>
      </c>
      <c r="J2545" s="19">
        <v>0</v>
      </c>
      <c r="K2545" s="13">
        <v>0</v>
      </c>
      <c r="L2545" s="7" t="s">
        <v>483</v>
      </c>
    </row>
    <row r="2546" spans="1:12">
      <c r="A2546" s="7"/>
      <c r="B2546" s="381" t="s">
        <v>366</v>
      </c>
      <c r="C2546" s="3" t="s">
        <v>232</v>
      </c>
      <c r="D2546" s="2" t="s">
        <v>228</v>
      </c>
      <c r="E2546" s="382" t="s">
        <v>19</v>
      </c>
      <c r="F2546" s="114" t="s">
        <v>14</v>
      </c>
      <c r="G2546" s="383" t="s">
        <v>25</v>
      </c>
      <c r="H2546" s="384">
        <v>7.34</v>
      </c>
      <c r="I2546" s="376">
        <v>8.1</v>
      </c>
      <c r="J2546" s="19">
        <v>0</v>
      </c>
      <c r="K2546" s="13">
        <v>0</v>
      </c>
      <c r="L2546" s="7" t="s">
        <v>483</v>
      </c>
    </row>
    <row r="2547" spans="1:12">
      <c r="A2547" s="7"/>
      <c r="B2547" s="381" t="s">
        <v>366</v>
      </c>
      <c r="C2547" s="3" t="s">
        <v>232</v>
      </c>
      <c r="D2547" s="2" t="s">
        <v>228</v>
      </c>
      <c r="E2547" s="382" t="s">
        <v>19</v>
      </c>
      <c r="F2547" s="114" t="s">
        <v>14</v>
      </c>
      <c r="G2547" s="383" t="s">
        <v>25</v>
      </c>
      <c r="H2547" s="384">
        <v>7.34</v>
      </c>
      <c r="I2547" s="376">
        <v>9.4</v>
      </c>
      <c r="J2547" s="19">
        <v>0</v>
      </c>
      <c r="K2547" s="13">
        <v>0</v>
      </c>
      <c r="L2547" s="7" t="s">
        <v>483</v>
      </c>
    </row>
    <row r="2548" spans="1:12">
      <c r="A2548" s="7"/>
      <c r="B2548" s="381" t="s">
        <v>366</v>
      </c>
      <c r="C2548" s="3" t="s">
        <v>232</v>
      </c>
      <c r="D2548" s="2" t="s">
        <v>228</v>
      </c>
      <c r="E2548" s="382" t="s">
        <v>19</v>
      </c>
      <c r="F2548" s="114" t="s">
        <v>14</v>
      </c>
      <c r="G2548" s="383" t="s">
        <v>25</v>
      </c>
      <c r="H2548" s="384">
        <v>7.34</v>
      </c>
      <c r="I2548" s="376">
        <v>9.5</v>
      </c>
      <c r="J2548" s="19">
        <v>0</v>
      </c>
      <c r="K2548" s="13">
        <v>0</v>
      </c>
      <c r="L2548" s="7" t="s">
        <v>483</v>
      </c>
    </row>
    <row r="2549" spans="1:12">
      <c r="A2549" s="7"/>
      <c r="B2549" s="381" t="s">
        <v>366</v>
      </c>
      <c r="C2549" s="3" t="s">
        <v>232</v>
      </c>
      <c r="D2549" s="2" t="s">
        <v>228</v>
      </c>
      <c r="E2549" s="382" t="s">
        <v>19</v>
      </c>
      <c r="F2549" s="114" t="s">
        <v>14</v>
      </c>
      <c r="G2549" s="383" t="s">
        <v>25</v>
      </c>
      <c r="H2549" s="384">
        <v>7.34</v>
      </c>
      <c r="I2549" s="376">
        <v>9.8000000000000007</v>
      </c>
      <c r="J2549" s="19">
        <v>0</v>
      </c>
      <c r="K2549" s="13">
        <v>0</v>
      </c>
      <c r="L2549" s="7" t="s">
        <v>483</v>
      </c>
    </row>
    <row r="2550" spans="1:12">
      <c r="A2550" s="7"/>
      <c r="B2550" s="381" t="s">
        <v>366</v>
      </c>
      <c r="C2550" s="3" t="s">
        <v>232</v>
      </c>
      <c r="D2550" s="2" t="s">
        <v>228</v>
      </c>
      <c r="E2550" s="382" t="s">
        <v>19</v>
      </c>
      <c r="F2550" s="114" t="s">
        <v>14</v>
      </c>
      <c r="G2550" s="383" t="s">
        <v>25</v>
      </c>
      <c r="H2550" s="384">
        <v>7.34</v>
      </c>
      <c r="I2550" s="376">
        <v>7.55</v>
      </c>
      <c r="J2550" s="19">
        <v>0</v>
      </c>
      <c r="K2550" s="13">
        <v>0</v>
      </c>
      <c r="L2550" s="7" t="s">
        <v>483</v>
      </c>
    </row>
    <row r="2551" spans="1:12">
      <c r="A2551" s="7"/>
      <c r="B2551" s="381" t="s">
        <v>366</v>
      </c>
      <c r="C2551" s="3" t="s">
        <v>232</v>
      </c>
      <c r="D2551" s="2" t="s">
        <v>228</v>
      </c>
      <c r="E2551" s="382" t="s">
        <v>19</v>
      </c>
      <c r="F2551" s="114" t="s">
        <v>14</v>
      </c>
      <c r="G2551" s="383" t="s">
        <v>25</v>
      </c>
      <c r="H2551" s="384">
        <v>7.34</v>
      </c>
      <c r="I2551" s="376">
        <v>10.15</v>
      </c>
      <c r="J2551" s="19">
        <v>0</v>
      </c>
      <c r="K2551" s="13">
        <v>0</v>
      </c>
      <c r="L2551" s="7" t="s">
        <v>483</v>
      </c>
    </row>
    <row r="2552" spans="1:12">
      <c r="A2552" s="7"/>
      <c r="B2552" s="381" t="s">
        <v>366</v>
      </c>
      <c r="C2552" s="3" t="s">
        <v>232</v>
      </c>
      <c r="D2552" s="2" t="s">
        <v>228</v>
      </c>
      <c r="E2552" s="382" t="s">
        <v>19</v>
      </c>
      <c r="F2552" s="114" t="s">
        <v>14</v>
      </c>
      <c r="G2552" s="383" t="s">
        <v>25</v>
      </c>
      <c r="H2552" s="384">
        <v>7.34</v>
      </c>
      <c r="I2552" s="376">
        <v>7.55</v>
      </c>
      <c r="J2552" s="19">
        <v>0</v>
      </c>
      <c r="K2552" s="13">
        <v>0</v>
      </c>
      <c r="L2552" s="7" t="s">
        <v>483</v>
      </c>
    </row>
    <row r="2553" spans="1:12">
      <c r="A2553" s="7"/>
      <c r="B2553" s="381" t="s">
        <v>366</v>
      </c>
      <c r="C2553" s="3" t="s">
        <v>232</v>
      </c>
      <c r="D2553" s="2" t="s">
        <v>228</v>
      </c>
      <c r="E2553" s="382" t="s">
        <v>19</v>
      </c>
      <c r="F2553" s="114" t="s">
        <v>14</v>
      </c>
      <c r="G2553" s="383" t="s">
        <v>25</v>
      </c>
      <c r="H2553" s="384">
        <v>7.34</v>
      </c>
      <c r="I2553" s="376">
        <v>9.6</v>
      </c>
      <c r="J2553" s="19">
        <v>0</v>
      </c>
      <c r="K2553" s="13">
        <v>0</v>
      </c>
      <c r="L2553" s="7" t="s">
        <v>483</v>
      </c>
    </row>
    <row r="2554" spans="1:12">
      <c r="A2554" s="7"/>
      <c r="B2554" s="381" t="s">
        <v>366</v>
      </c>
      <c r="C2554" s="3" t="s">
        <v>232</v>
      </c>
      <c r="D2554" s="2" t="s">
        <v>228</v>
      </c>
      <c r="E2554" s="382" t="s">
        <v>19</v>
      </c>
      <c r="F2554" s="114" t="s">
        <v>14</v>
      </c>
      <c r="G2554" s="383" t="s">
        <v>25</v>
      </c>
      <c r="H2554" s="384">
        <v>7.34</v>
      </c>
      <c r="I2554" s="376">
        <v>10.5</v>
      </c>
      <c r="J2554" s="19">
        <v>0</v>
      </c>
      <c r="K2554" s="13">
        <v>0</v>
      </c>
      <c r="L2554" s="7" t="s">
        <v>483</v>
      </c>
    </row>
    <row r="2555" spans="1:12">
      <c r="A2555" s="7"/>
      <c r="B2555" s="381" t="s">
        <v>366</v>
      </c>
      <c r="C2555" s="3" t="s">
        <v>232</v>
      </c>
      <c r="D2555" s="2" t="s">
        <v>228</v>
      </c>
      <c r="E2555" s="382" t="s">
        <v>19</v>
      </c>
      <c r="F2555" s="114" t="s">
        <v>14</v>
      </c>
      <c r="G2555" s="383" t="s">
        <v>25</v>
      </c>
      <c r="H2555" s="384">
        <v>7.34</v>
      </c>
      <c r="I2555" s="376">
        <v>9</v>
      </c>
      <c r="J2555" s="19">
        <v>0</v>
      </c>
      <c r="K2555" s="13">
        <v>0</v>
      </c>
      <c r="L2555" s="7" t="s">
        <v>483</v>
      </c>
    </row>
    <row r="2556" spans="1:12">
      <c r="A2556" s="7"/>
      <c r="B2556" s="381" t="s">
        <v>366</v>
      </c>
      <c r="C2556" s="3" t="s">
        <v>232</v>
      </c>
      <c r="D2556" s="2" t="s">
        <v>228</v>
      </c>
      <c r="E2556" s="382" t="s">
        <v>19</v>
      </c>
      <c r="F2556" s="114" t="s">
        <v>14</v>
      </c>
      <c r="G2556" s="383" t="s">
        <v>25</v>
      </c>
      <c r="H2556" s="384">
        <v>7.34</v>
      </c>
      <c r="I2556" s="376">
        <v>8.1</v>
      </c>
      <c r="J2556" s="19">
        <v>0</v>
      </c>
      <c r="K2556" s="13">
        <v>0</v>
      </c>
      <c r="L2556" s="7" t="s">
        <v>483</v>
      </c>
    </row>
    <row r="2557" spans="1:12">
      <c r="A2557" s="7"/>
      <c r="B2557" s="381" t="s">
        <v>366</v>
      </c>
      <c r="C2557" s="3" t="s">
        <v>232</v>
      </c>
      <c r="D2557" s="2" t="s">
        <v>228</v>
      </c>
      <c r="E2557" s="382" t="s">
        <v>19</v>
      </c>
      <c r="F2557" s="114" t="s">
        <v>14</v>
      </c>
      <c r="G2557" s="383" t="s">
        <v>25</v>
      </c>
      <c r="H2557" s="384">
        <v>7.34</v>
      </c>
      <c r="I2557" s="376">
        <v>7</v>
      </c>
      <c r="J2557" s="19">
        <v>1</v>
      </c>
      <c r="K2557" s="13">
        <v>5.1379999999999995E-2</v>
      </c>
      <c r="L2557" s="7" t="s">
        <v>483</v>
      </c>
    </row>
    <row r="2558" spans="1:12">
      <c r="A2558" s="7"/>
      <c r="B2558" s="381" t="s">
        <v>366</v>
      </c>
      <c r="C2558" s="3" t="s">
        <v>232</v>
      </c>
      <c r="D2558" s="2" t="s">
        <v>228</v>
      </c>
      <c r="E2558" s="382" t="s">
        <v>19</v>
      </c>
      <c r="F2558" s="114" t="s">
        <v>14</v>
      </c>
      <c r="G2558" s="383" t="s">
        <v>25</v>
      </c>
      <c r="H2558" s="384">
        <v>7.34</v>
      </c>
      <c r="I2558" s="376">
        <v>7.1</v>
      </c>
      <c r="J2558" s="19">
        <v>0</v>
      </c>
      <c r="K2558" s="13">
        <v>0</v>
      </c>
      <c r="L2558" s="7" t="s">
        <v>483</v>
      </c>
    </row>
    <row r="2559" spans="1:12">
      <c r="A2559" s="7"/>
      <c r="B2559" s="381" t="s">
        <v>366</v>
      </c>
      <c r="C2559" s="3" t="s">
        <v>232</v>
      </c>
      <c r="D2559" s="2" t="s">
        <v>228</v>
      </c>
      <c r="E2559" s="382" t="s">
        <v>19</v>
      </c>
      <c r="F2559" s="114" t="s">
        <v>14</v>
      </c>
      <c r="G2559" s="383" t="s">
        <v>25</v>
      </c>
      <c r="H2559" s="384">
        <v>7.34</v>
      </c>
      <c r="I2559" s="376">
        <v>9.1999999999999993</v>
      </c>
      <c r="J2559" s="19">
        <v>0</v>
      </c>
      <c r="K2559" s="13">
        <v>0</v>
      </c>
      <c r="L2559" s="7" t="s">
        <v>483</v>
      </c>
    </row>
    <row r="2560" spans="1:12">
      <c r="A2560" s="7"/>
      <c r="B2560" s="381" t="s">
        <v>366</v>
      </c>
      <c r="C2560" s="3" t="s">
        <v>232</v>
      </c>
      <c r="D2560" s="2" t="s">
        <v>228</v>
      </c>
      <c r="E2560" s="382" t="s">
        <v>19</v>
      </c>
      <c r="F2560" s="114" t="s">
        <v>14</v>
      </c>
      <c r="G2560" s="383" t="s">
        <v>25</v>
      </c>
      <c r="H2560" s="384">
        <v>7.34</v>
      </c>
      <c r="I2560" s="376">
        <v>11.7</v>
      </c>
      <c r="J2560" s="19">
        <v>3</v>
      </c>
      <c r="K2560" s="13">
        <v>0.25763399999999997</v>
      </c>
      <c r="L2560" s="7" t="s">
        <v>483</v>
      </c>
    </row>
    <row r="2561" spans="1:12">
      <c r="A2561" s="7"/>
      <c r="B2561" s="381" t="s">
        <v>366</v>
      </c>
      <c r="C2561" s="3" t="s">
        <v>232</v>
      </c>
      <c r="D2561" s="2" t="s">
        <v>228</v>
      </c>
      <c r="E2561" s="382" t="s">
        <v>19</v>
      </c>
      <c r="F2561" s="114" t="s">
        <v>14</v>
      </c>
      <c r="G2561" s="383" t="s">
        <v>25</v>
      </c>
      <c r="H2561" s="384">
        <v>7.34</v>
      </c>
      <c r="I2561" s="376">
        <v>11.5</v>
      </c>
      <c r="J2561" s="19">
        <v>0</v>
      </c>
      <c r="K2561" s="13">
        <v>0</v>
      </c>
      <c r="L2561" s="7" t="s">
        <v>483</v>
      </c>
    </row>
    <row r="2562" spans="1:12">
      <c r="A2562" s="7"/>
      <c r="B2562" s="381" t="s">
        <v>366</v>
      </c>
      <c r="C2562" s="3" t="s">
        <v>232</v>
      </c>
      <c r="D2562" s="2" t="s">
        <v>228</v>
      </c>
      <c r="E2562" s="382" t="s">
        <v>19</v>
      </c>
      <c r="F2562" s="114" t="s">
        <v>14</v>
      </c>
      <c r="G2562" s="383" t="s">
        <v>25</v>
      </c>
      <c r="H2562" s="384">
        <v>7.34</v>
      </c>
      <c r="I2562" s="376">
        <v>10.5</v>
      </c>
      <c r="J2562" s="19">
        <v>0</v>
      </c>
      <c r="K2562" s="13">
        <v>0</v>
      </c>
      <c r="L2562" s="7" t="s">
        <v>483</v>
      </c>
    </row>
    <row r="2563" spans="1:12">
      <c r="A2563" s="7"/>
      <c r="B2563" s="381" t="s">
        <v>366</v>
      </c>
      <c r="C2563" s="3" t="s">
        <v>232</v>
      </c>
      <c r="D2563" s="2" t="s">
        <v>228</v>
      </c>
      <c r="E2563" s="382" t="s">
        <v>19</v>
      </c>
      <c r="F2563" s="114" t="s">
        <v>14</v>
      </c>
      <c r="G2563" s="383" t="s">
        <v>25</v>
      </c>
      <c r="H2563" s="384">
        <v>7.34</v>
      </c>
      <c r="I2563" s="376">
        <v>9.8000000000000007</v>
      </c>
      <c r="J2563" s="19">
        <v>0</v>
      </c>
      <c r="K2563" s="13">
        <v>0</v>
      </c>
      <c r="L2563" s="7" t="s">
        <v>483</v>
      </c>
    </row>
    <row r="2564" spans="1:12">
      <c r="A2564" s="7"/>
      <c r="B2564" s="381" t="s">
        <v>366</v>
      </c>
      <c r="C2564" s="3" t="s">
        <v>232</v>
      </c>
      <c r="D2564" s="2" t="s">
        <v>228</v>
      </c>
      <c r="E2564" s="382" t="s">
        <v>19</v>
      </c>
      <c r="F2564" s="114" t="s">
        <v>14</v>
      </c>
      <c r="G2564" s="383" t="s">
        <v>25</v>
      </c>
      <c r="H2564" s="384">
        <v>7.34</v>
      </c>
      <c r="I2564" s="376">
        <v>9.6999999999999993</v>
      </c>
      <c r="J2564" s="19">
        <v>0</v>
      </c>
      <c r="K2564" s="13">
        <v>0</v>
      </c>
      <c r="L2564" s="7" t="s">
        <v>483</v>
      </c>
    </row>
    <row r="2565" spans="1:12">
      <c r="A2565" s="7"/>
      <c r="B2565" s="381" t="s">
        <v>366</v>
      </c>
      <c r="C2565" s="3" t="s">
        <v>232</v>
      </c>
      <c r="D2565" s="2" t="s">
        <v>364</v>
      </c>
      <c r="E2565" s="382" t="s">
        <v>24</v>
      </c>
      <c r="F2565" s="114" t="s">
        <v>14</v>
      </c>
      <c r="G2565" s="383" t="s">
        <v>25</v>
      </c>
      <c r="H2565" s="384">
        <v>7.34</v>
      </c>
      <c r="I2565" s="376">
        <v>8</v>
      </c>
      <c r="J2565" s="19">
        <v>0</v>
      </c>
      <c r="K2565" s="13">
        <v>0</v>
      </c>
      <c r="L2565" s="7" t="s">
        <v>483</v>
      </c>
    </row>
    <row r="2566" spans="1:12">
      <c r="A2566" s="7"/>
      <c r="B2566" s="381" t="s">
        <v>366</v>
      </c>
      <c r="C2566" s="3" t="s">
        <v>232</v>
      </c>
      <c r="D2566" s="2" t="s">
        <v>364</v>
      </c>
      <c r="E2566" s="382" t="s">
        <v>24</v>
      </c>
      <c r="F2566" s="114" t="s">
        <v>14</v>
      </c>
      <c r="G2566" s="383" t="s">
        <v>25</v>
      </c>
      <c r="H2566" s="384">
        <v>7.34</v>
      </c>
      <c r="I2566" s="376">
        <v>9</v>
      </c>
      <c r="J2566" s="19">
        <v>0</v>
      </c>
      <c r="K2566" s="13">
        <v>0</v>
      </c>
      <c r="L2566" s="7" t="s">
        <v>483</v>
      </c>
    </row>
    <row r="2567" spans="1:12">
      <c r="A2567" s="7"/>
      <c r="B2567" s="381" t="s">
        <v>366</v>
      </c>
      <c r="C2567" s="3" t="s">
        <v>232</v>
      </c>
      <c r="D2567" s="2" t="s">
        <v>364</v>
      </c>
      <c r="E2567" s="382" t="s">
        <v>24</v>
      </c>
      <c r="F2567" s="114" t="s">
        <v>14</v>
      </c>
      <c r="G2567" s="383" t="s">
        <v>25</v>
      </c>
      <c r="H2567" s="384">
        <v>7.34</v>
      </c>
      <c r="I2567" s="376">
        <v>8</v>
      </c>
      <c r="J2567" s="19">
        <v>0</v>
      </c>
      <c r="K2567" s="13">
        <v>0</v>
      </c>
      <c r="L2567" s="7" t="s">
        <v>483</v>
      </c>
    </row>
    <row r="2568" spans="1:12">
      <c r="A2568" s="7"/>
      <c r="B2568" s="381" t="s">
        <v>366</v>
      </c>
      <c r="C2568" s="3" t="s">
        <v>232</v>
      </c>
      <c r="D2568" s="2" t="s">
        <v>364</v>
      </c>
      <c r="E2568" s="382" t="s">
        <v>24</v>
      </c>
      <c r="F2568" s="114" t="s">
        <v>14</v>
      </c>
      <c r="G2568" s="383" t="s">
        <v>25</v>
      </c>
      <c r="H2568" s="384">
        <v>7.34</v>
      </c>
      <c r="I2568" s="376">
        <v>12</v>
      </c>
      <c r="J2568" s="19">
        <v>0</v>
      </c>
      <c r="K2568" s="13">
        <v>0</v>
      </c>
      <c r="L2568" s="7" t="s">
        <v>483</v>
      </c>
    </row>
    <row r="2569" spans="1:12">
      <c r="A2569" s="7"/>
      <c r="B2569" s="381" t="s">
        <v>366</v>
      </c>
      <c r="C2569" s="3" t="s">
        <v>232</v>
      </c>
      <c r="D2569" s="2" t="s">
        <v>364</v>
      </c>
      <c r="E2569" s="382" t="s">
        <v>24</v>
      </c>
      <c r="F2569" s="114" t="s">
        <v>14</v>
      </c>
      <c r="G2569" s="383" t="s">
        <v>25</v>
      </c>
      <c r="H2569" s="384">
        <v>7.34</v>
      </c>
      <c r="I2569" s="376">
        <v>9</v>
      </c>
      <c r="J2569" s="19">
        <v>0</v>
      </c>
      <c r="K2569" s="13">
        <v>0</v>
      </c>
      <c r="L2569" s="7" t="s">
        <v>483</v>
      </c>
    </row>
    <row r="2570" spans="1:12">
      <c r="A2570" s="7"/>
      <c r="B2570" s="381" t="s">
        <v>366</v>
      </c>
      <c r="C2570" s="3" t="s">
        <v>232</v>
      </c>
      <c r="D2570" s="2" t="s">
        <v>364</v>
      </c>
      <c r="E2570" s="382" t="s">
        <v>24</v>
      </c>
      <c r="F2570" s="114" t="s">
        <v>14</v>
      </c>
      <c r="G2570" s="383" t="s">
        <v>25</v>
      </c>
      <c r="H2570" s="384">
        <v>7.34</v>
      </c>
      <c r="I2570" s="376">
        <v>10</v>
      </c>
      <c r="J2570" s="19">
        <v>0</v>
      </c>
      <c r="K2570" s="13">
        <v>0</v>
      </c>
      <c r="L2570" s="7" t="s">
        <v>483</v>
      </c>
    </row>
    <row r="2571" spans="1:12">
      <c r="A2571" s="7"/>
      <c r="B2571" s="381" t="s">
        <v>366</v>
      </c>
      <c r="C2571" s="3" t="s">
        <v>232</v>
      </c>
      <c r="D2571" s="2" t="s">
        <v>364</v>
      </c>
      <c r="E2571" s="382" t="s">
        <v>24</v>
      </c>
      <c r="F2571" s="114" t="s">
        <v>14</v>
      </c>
      <c r="G2571" s="383" t="s">
        <v>25</v>
      </c>
      <c r="H2571" s="384">
        <v>7.34</v>
      </c>
      <c r="I2571" s="376">
        <v>11.4</v>
      </c>
      <c r="J2571" s="19">
        <v>1</v>
      </c>
      <c r="K2571" s="13">
        <v>8.3676E-2</v>
      </c>
      <c r="L2571" s="7" t="s">
        <v>483</v>
      </c>
    </row>
    <row r="2572" spans="1:12">
      <c r="A2572" s="7"/>
      <c r="B2572" s="381" t="s">
        <v>366</v>
      </c>
      <c r="C2572" s="3" t="s">
        <v>232</v>
      </c>
      <c r="D2572" s="2" t="s">
        <v>364</v>
      </c>
      <c r="E2572" s="382" t="s">
        <v>24</v>
      </c>
      <c r="F2572" s="114" t="s">
        <v>14</v>
      </c>
      <c r="G2572" s="383" t="s">
        <v>25</v>
      </c>
      <c r="H2572" s="384">
        <v>7.34</v>
      </c>
      <c r="I2572" s="376">
        <v>6.2</v>
      </c>
      <c r="J2572" s="19">
        <v>1</v>
      </c>
      <c r="K2572" s="13">
        <v>4.5508E-2</v>
      </c>
      <c r="L2572" s="7" t="s">
        <v>483</v>
      </c>
    </row>
    <row r="2573" spans="1:12">
      <c r="A2573" s="7"/>
      <c r="B2573" s="381" t="s">
        <v>366</v>
      </c>
      <c r="C2573" s="3" t="s">
        <v>232</v>
      </c>
      <c r="D2573" s="2" t="s">
        <v>364</v>
      </c>
      <c r="E2573" s="382" t="s">
        <v>24</v>
      </c>
      <c r="F2573" s="114" t="s">
        <v>14</v>
      </c>
      <c r="G2573" s="383" t="s">
        <v>25</v>
      </c>
      <c r="H2573" s="384">
        <v>7.34</v>
      </c>
      <c r="I2573" s="376">
        <v>7.5</v>
      </c>
      <c r="J2573" s="19">
        <v>3</v>
      </c>
      <c r="K2573" s="13">
        <v>0.16515000000000002</v>
      </c>
      <c r="L2573" s="7" t="s">
        <v>483</v>
      </c>
    </row>
    <row r="2574" spans="1:12">
      <c r="A2574" s="7"/>
      <c r="B2574" s="381" t="s">
        <v>366</v>
      </c>
      <c r="C2574" s="3" t="s">
        <v>232</v>
      </c>
      <c r="D2574" s="2" t="s">
        <v>364</v>
      </c>
      <c r="E2574" s="382" t="s">
        <v>24</v>
      </c>
      <c r="F2574" s="114" t="s">
        <v>14</v>
      </c>
      <c r="G2574" s="383" t="s">
        <v>25</v>
      </c>
      <c r="H2574" s="384">
        <v>7.34</v>
      </c>
      <c r="I2574" s="376">
        <v>7.6</v>
      </c>
      <c r="J2574" s="19">
        <v>1</v>
      </c>
      <c r="K2574" s="13">
        <v>5.5784E-2</v>
      </c>
      <c r="L2574" s="7" t="s">
        <v>483</v>
      </c>
    </row>
    <row r="2575" spans="1:12">
      <c r="A2575" s="7"/>
      <c r="B2575" s="381" t="s">
        <v>366</v>
      </c>
      <c r="C2575" s="3" t="s">
        <v>232</v>
      </c>
      <c r="D2575" s="2" t="s">
        <v>364</v>
      </c>
      <c r="E2575" s="382" t="s">
        <v>24</v>
      </c>
      <c r="F2575" s="114" t="s">
        <v>14</v>
      </c>
      <c r="G2575" s="383" t="s">
        <v>25</v>
      </c>
      <c r="H2575" s="384">
        <v>7.34</v>
      </c>
      <c r="I2575" s="376">
        <v>8.1</v>
      </c>
      <c r="J2575" s="19">
        <v>0</v>
      </c>
      <c r="K2575" s="13">
        <v>0</v>
      </c>
      <c r="L2575" s="7" t="s">
        <v>483</v>
      </c>
    </row>
    <row r="2576" spans="1:12">
      <c r="A2576" s="7"/>
      <c r="B2576" s="381" t="s">
        <v>366</v>
      </c>
      <c r="C2576" s="3" t="s">
        <v>232</v>
      </c>
      <c r="D2576" s="2" t="s">
        <v>364</v>
      </c>
      <c r="E2576" s="382" t="s">
        <v>24</v>
      </c>
      <c r="F2576" s="114" t="s">
        <v>14</v>
      </c>
      <c r="G2576" s="383" t="s">
        <v>25</v>
      </c>
      <c r="H2576" s="384">
        <v>7.34</v>
      </c>
      <c r="I2576" s="376">
        <v>8.3000000000000007</v>
      </c>
      <c r="J2576" s="19">
        <v>1</v>
      </c>
      <c r="K2576" s="13">
        <v>6.0922000000000004E-2</v>
      </c>
      <c r="L2576" s="7" t="s">
        <v>483</v>
      </c>
    </row>
    <row r="2577" spans="1:12">
      <c r="A2577" s="7"/>
      <c r="B2577" s="381" t="s">
        <v>366</v>
      </c>
      <c r="C2577" s="3" t="s">
        <v>232</v>
      </c>
      <c r="D2577" s="2" t="s">
        <v>364</v>
      </c>
      <c r="E2577" s="382" t="s">
        <v>24</v>
      </c>
      <c r="F2577" s="114" t="s">
        <v>14</v>
      </c>
      <c r="G2577" s="383" t="s">
        <v>25</v>
      </c>
      <c r="H2577" s="384">
        <v>7.34</v>
      </c>
      <c r="I2577" s="376">
        <v>6.25</v>
      </c>
      <c r="J2577" s="19">
        <v>0</v>
      </c>
      <c r="K2577" s="13">
        <v>0</v>
      </c>
      <c r="L2577" s="7" t="s">
        <v>483</v>
      </c>
    </row>
    <row r="2578" spans="1:12">
      <c r="A2578" s="7"/>
      <c r="B2578" s="381" t="s">
        <v>366</v>
      </c>
      <c r="C2578" s="3" t="s">
        <v>232</v>
      </c>
      <c r="D2578" s="2" t="s">
        <v>364</v>
      </c>
      <c r="E2578" s="382" t="s">
        <v>24</v>
      </c>
      <c r="F2578" s="114" t="s">
        <v>14</v>
      </c>
      <c r="G2578" s="383" t="s">
        <v>25</v>
      </c>
      <c r="H2578" s="384">
        <v>7.34</v>
      </c>
      <c r="I2578" s="376">
        <v>8</v>
      </c>
      <c r="J2578" s="19">
        <v>0</v>
      </c>
      <c r="K2578" s="13">
        <v>0</v>
      </c>
      <c r="L2578" s="7" t="s">
        <v>483</v>
      </c>
    </row>
    <row r="2579" spans="1:12">
      <c r="A2579" s="7"/>
      <c r="B2579" s="381" t="s">
        <v>366</v>
      </c>
      <c r="C2579" s="3" t="s">
        <v>232</v>
      </c>
      <c r="D2579" s="2" t="s">
        <v>364</v>
      </c>
      <c r="E2579" s="382" t="s">
        <v>24</v>
      </c>
      <c r="F2579" s="114" t="s">
        <v>14</v>
      </c>
      <c r="G2579" s="383" t="s">
        <v>25</v>
      </c>
      <c r="H2579" s="384">
        <v>7.34</v>
      </c>
      <c r="I2579" s="376">
        <v>12</v>
      </c>
      <c r="J2579" s="19">
        <v>0</v>
      </c>
      <c r="K2579" s="13">
        <v>0</v>
      </c>
      <c r="L2579" s="7" t="s">
        <v>483</v>
      </c>
    </row>
    <row r="2580" spans="1:12">
      <c r="A2580" s="7"/>
      <c r="B2580" s="381" t="s">
        <v>366</v>
      </c>
      <c r="C2580" s="3" t="s">
        <v>232</v>
      </c>
      <c r="D2580" s="2" t="s">
        <v>364</v>
      </c>
      <c r="E2580" s="382" t="s">
        <v>24</v>
      </c>
      <c r="F2580" s="114" t="s">
        <v>14</v>
      </c>
      <c r="G2580" s="383" t="s">
        <v>25</v>
      </c>
      <c r="H2580" s="384">
        <v>7.34</v>
      </c>
      <c r="I2580" s="376">
        <v>9</v>
      </c>
      <c r="J2580" s="19">
        <v>0</v>
      </c>
      <c r="K2580" s="13">
        <v>0</v>
      </c>
      <c r="L2580" s="7" t="s">
        <v>483</v>
      </c>
    </row>
    <row r="2581" spans="1:12">
      <c r="A2581" s="7"/>
      <c r="B2581" s="381" t="s">
        <v>366</v>
      </c>
      <c r="C2581" s="3" t="s">
        <v>232</v>
      </c>
      <c r="D2581" s="2" t="s">
        <v>364</v>
      </c>
      <c r="E2581" s="382" t="s">
        <v>24</v>
      </c>
      <c r="F2581" s="114" t="s">
        <v>14</v>
      </c>
      <c r="G2581" s="383" t="s">
        <v>25</v>
      </c>
      <c r="H2581" s="384">
        <v>7.34</v>
      </c>
      <c r="I2581" s="376">
        <v>10</v>
      </c>
      <c r="J2581" s="19">
        <v>0</v>
      </c>
      <c r="K2581" s="13">
        <v>0</v>
      </c>
      <c r="L2581" s="7" t="s">
        <v>483</v>
      </c>
    </row>
    <row r="2582" spans="1:12">
      <c r="A2582" s="7"/>
      <c r="B2582" s="381" t="s">
        <v>366</v>
      </c>
      <c r="C2582" s="3" t="s">
        <v>232</v>
      </c>
      <c r="D2582" s="2" t="s">
        <v>364</v>
      </c>
      <c r="E2582" s="382" t="s">
        <v>24</v>
      </c>
      <c r="F2582" s="114" t="s">
        <v>14</v>
      </c>
      <c r="G2582" s="383" t="s">
        <v>25</v>
      </c>
      <c r="H2582" s="384">
        <v>7.34</v>
      </c>
      <c r="I2582" s="376">
        <v>11.5</v>
      </c>
      <c r="J2582" s="19">
        <v>0</v>
      </c>
      <c r="K2582" s="13">
        <v>0</v>
      </c>
      <c r="L2582" s="7" t="s">
        <v>483</v>
      </c>
    </row>
    <row r="2583" spans="1:12">
      <c r="A2583" s="7"/>
      <c r="B2583" s="381" t="s">
        <v>366</v>
      </c>
      <c r="C2583" s="3" t="s">
        <v>232</v>
      </c>
      <c r="D2583" s="2" t="s">
        <v>364</v>
      </c>
      <c r="E2583" s="382" t="s">
        <v>24</v>
      </c>
      <c r="F2583" s="114" t="s">
        <v>14</v>
      </c>
      <c r="G2583" s="383" t="s">
        <v>25</v>
      </c>
      <c r="H2583" s="384">
        <v>7.34</v>
      </c>
      <c r="I2583" s="376">
        <v>12</v>
      </c>
      <c r="J2583" s="19">
        <v>0</v>
      </c>
      <c r="K2583" s="13">
        <v>0</v>
      </c>
      <c r="L2583" s="7" t="s">
        <v>483</v>
      </c>
    </row>
    <row r="2584" spans="1:12">
      <c r="A2584" s="7"/>
      <c r="B2584" s="381" t="s">
        <v>366</v>
      </c>
      <c r="C2584" s="3" t="s">
        <v>232</v>
      </c>
      <c r="D2584" s="2" t="s">
        <v>364</v>
      </c>
      <c r="E2584" s="382" t="s">
        <v>24</v>
      </c>
      <c r="F2584" s="114" t="s">
        <v>14</v>
      </c>
      <c r="G2584" s="383" t="s">
        <v>25</v>
      </c>
      <c r="H2584" s="384">
        <v>7.34</v>
      </c>
      <c r="I2584" s="376">
        <v>10</v>
      </c>
      <c r="J2584" s="19">
        <v>2</v>
      </c>
      <c r="K2584" s="13">
        <v>0.14680000000000001</v>
      </c>
      <c r="L2584" s="7" t="s">
        <v>483</v>
      </c>
    </row>
    <row r="2585" spans="1:12">
      <c r="A2585" s="7"/>
      <c r="B2585" s="381" t="s">
        <v>366</v>
      </c>
      <c r="C2585" s="3" t="s">
        <v>232</v>
      </c>
      <c r="D2585" s="2" t="s">
        <v>364</v>
      </c>
      <c r="E2585" s="382" t="s">
        <v>24</v>
      </c>
      <c r="F2585" s="114" t="s">
        <v>14</v>
      </c>
      <c r="G2585" s="383" t="s">
        <v>25</v>
      </c>
      <c r="H2585" s="384">
        <v>7.34</v>
      </c>
      <c r="I2585" s="376">
        <v>10.65</v>
      </c>
      <c r="J2585" s="19">
        <v>1</v>
      </c>
      <c r="K2585" s="13">
        <v>7.8171000000000004E-2</v>
      </c>
      <c r="L2585" s="7" t="s">
        <v>483</v>
      </c>
    </row>
    <row r="2586" spans="1:12">
      <c r="A2586" s="7"/>
      <c r="B2586" s="381" t="s">
        <v>366</v>
      </c>
      <c r="C2586" s="3" t="s">
        <v>232</v>
      </c>
      <c r="D2586" s="2" t="s">
        <v>364</v>
      </c>
      <c r="E2586" s="382" t="s">
        <v>24</v>
      </c>
      <c r="F2586" s="114" t="s">
        <v>14</v>
      </c>
      <c r="G2586" s="383" t="s">
        <v>25</v>
      </c>
      <c r="H2586" s="384">
        <v>7.34</v>
      </c>
      <c r="I2586" s="376">
        <v>12</v>
      </c>
      <c r="J2586" s="19">
        <v>7</v>
      </c>
      <c r="K2586" s="13">
        <v>0.61656</v>
      </c>
      <c r="L2586" s="7" t="s">
        <v>483</v>
      </c>
    </row>
    <row r="2587" spans="1:12">
      <c r="A2587" s="7"/>
      <c r="B2587" s="381" t="s">
        <v>377</v>
      </c>
      <c r="C2587" s="3" t="s">
        <v>232</v>
      </c>
      <c r="D2587" s="2" t="s">
        <v>228</v>
      </c>
      <c r="E2587" s="382" t="s">
        <v>20</v>
      </c>
      <c r="F2587" s="114" t="s">
        <v>15</v>
      </c>
      <c r="G2587" s="383" t="s">
        <v>25</v>
      </c>
      <c r="H2587" s="384">
        <v>7.34</v>
      </c>
      <c r="I2587" s="376">
        <v>8.25</v>
      </c>
      <c r="J2587" s="19">
        <v>0</v>
      </c>
      <c r="K2587" s="13">
        <v>0</v>
      </c>
      <c r="L2587" s="7" t="s">
        <v>483</v>
      </c>
    </row>
    <row r="2588" spans="1:12">
      <c r="A2588" s="7"/>
      <c r="B2588" s="381" t="s">
        <v>377</v>
      </c>
      <c r="C2588" s="3" t="s">
        <v>232</v>
      </c>
      <c r="D2588" s="2" t="s">
        <v>228</v>
      </c>
      <c r="E2588" s="382" t="s">
        <v>20</v>
      </c>
      <c r="F2588" s="114" t="s">
        <v>15</v>
      </c>
      <c r="G2588" s="383" t="s">
        <v>25</v>
      </c>
      <c r="H2588" s="384">
        <v>7.34</v>
      </c>
      <c r="I2588" s="376">
        <v>10</v>
      </c>
      <c r="J2588" s="19">
        <v>0</v>
      </c>
      <c r="K2588" s="13">
        <v>0</v>
      </c>
      <c r="L2588" s="7" t="s">
        <v>483</v>
      </c>
    </row>
    <row r="2589" spans="1:12">
      <c r="A2589" s="7"/>
      <c r="B2589" s="381" t="s">
        <v>377</v>
      </c>
      <c r="C2589" s="3" t="s">
        <v>232</v>
      </c>
      <c r="D2589" s="2" t="s">
        <v>228</v>
      </c>
      <c r="E2589" s="382" t="s">
        <v>20</v>
      </c>
      <c r="F2589" s="114" t="s">
        <v>15</v>
      </c>
      <c r="G2589" s="383" t="s">
        <v>25</v>
      </c>
      <c r="H2589" s="384">
        <v>7.34</v>
      </c>
      <c r="I2589" s="376">
        <v>8.25</v>
      </c>
      <c r="J2589" s="19">
        <v>0</v>
      </c>
      <c r="K2589" s="13">
        <v>0</v>
      </c>
      <c r="L2589" s="7" t="s">
        <v>483</v>
      </c>
    </row>
    <row r="2590" spans="1:12">
      <c r="A2590" s="7"/>
      <c r="B2590" s="381" t="s">
        <v>377</v>
      </c>
      <c r="C2590" s="3" t="s">
        <v>232</v>
      </c>
      <c r="D2590" s="2" t="s">
        <v>228</v>
      </c>
      <c r="E2590" s="382" t="s">
        <v>20</v>
      </c>
      <c r="F2590" s="114" t="s">
        <v>15</v>
      </c>
      <c r="G2590" s="383" t="s">
        <v>25</v>
      </c>
      <c r="H2590" s="384">
        <v>7.34</v>
      </c>
      <c r="I2590" s="376">
        <v>10</v>
      </c>
      <c r="J2590" s="19">
        <v>0</v>
      </c>
      <c r="K2590" s="13">
        <v>0</v>
      </c>
      <c r="L2590" s="7" t="s">
        <v>483</v>
      </c>
    </row>
    <row r="2591" spans="1:12">
      <c r="A2591" s="7"/>
      <c r="B2591" s="381" t="s">
        <v>377</v>
      </c>
      <c r="C2591" s="3" t="s">
        <v>232</v>
      </c>
      <c r="D2591" s="2" t="s">
        <v>228</v>
      </c>
      <c r="E2591" s="382" t="s">
        <v>20</v>
      </c>
      <c r="F2591" s="114" t="s">
        <v>15</v>
      </c>
      <c r="G2591" s="383" t="s">
        <v>25</v>
      </c>
      <c r="H2591" s="384">
        <v>7.34</v>
      </c>
      <c r="I2591" s="376">
        <v>8</v>
      </c>
      <c r="J2591" s="19">
        <v>0</v>
      </c>
      <c r="K2591" s="13">
        <v>0</v>
      </c>
      <c r="L2591" s="7" t="s">
        <v>483</v>
      </c>
    </row>
    <row r="2592" spans="1:12">
      <c r="A2592" s="7"/>
      <c r="B2592" s="381" t="s">
        <v>377</v>
      </c>
      <c r="C2592" s="3" t="s">
        <v>232</v>
      </c>
      <c r="D2592" s="2" t="s">
        <v>228</v>
      </c>
      <c r="E2592" s="382" t="s">
        <v>20</v>
      </c>
      <c r="F2592" s="114" t="s">
        <v>15</v>
      </c>
      <c r="G2592" s="383" t="s">
        <v>25</v>
      </c>
      <c r="H2592" s="384">
        <v>7.34</v>
      </c>
      <c r="I2592" s="376">
        <v>9.5</v>
      </c>
      <c r="J2592" s="19">
        <v>0</v>
      </c>
      <c r="K2592" s="13">
        <v>0</v>
      </c>
      <c r="L2592" s="7" t="s">
        <v>483</v>
      </c>
    </row>
    <row r="2593" spans="1:12">
      <c r="A2593" s="7"/>
      <c r="B2593" s="381" t="s">
        <v>377</v>
      </c>
      <c r="C2593" s="3" t="s">
        <v>232</v>
      </c>
      <c r="D2593" s="2" t="s">
        <v>228</v>
      </c>
      <c r="E2593" s="382" t="s">
        <v>20</v>
      </c>
      <c r="F2593" s="114" t="s">
        <v>15</v>
      </c>
      <c r="G2593" s="383" t="s">
        <v>25</v>
      </c>
      <c r="H2593" s="384">
        <v>7.34</v>
      </c>
      <c r="I2593" s="376">
        <v>11.5</v>
      </c>
      <c r="J2593" s="19">
        <v>0</v>
      </c>
      <c r="K2593" s="13">
        <v>0</v>
      </c>
      <c r="L2593" s="7" t="s">
        <v>483</v>
      </c>
    </row>
    <row r="2594" spans="1:12">
      <c r="A2594" s="7"/>
      <c r="B2594" s="381" t="s">
        <v>377</v>
      </c>
      <c r="C2594" s="3" t="s">
        <v>232</v>
      </c>
      <c r="D2594" s="2" t="s">
        <v>228</v>
      </c>
      <c r="E2594" s="382" t="s">
        <v>20</v>
      </c>
      <c r="F2594" s="114" t="s">
        <v>15</v>
      </c>
      <c r="G2594" s="383" t="s">
        <v>25</v>
      </c>
      <c r="H2594" s="384">
        <v>7.34</v>
      </c>
      <c r="I2594" s="376">
        <v>12</v>
      </c>
      <c r="J2594" s="19">
        <v>0</v>
      </c>
      <c r="K2594" s="13">
        <v>0</v>
      </c>
      <c r="L2594" s="7" t="s">
        <v>483</v>
      </c>
    </row>
    <row r="2595" spans="1:12">
      <c r="A2595" s="7"/>
      <c r="B2595" s="381" t="s">
        <v>377</v>
      </c>
      <c r="C2595" s="3" t="s">
        <v>232</v>
      </c>
      <c r="D2595" s="2" t="s">
        <v>228</v>
      </c>
      <c r="E2595" s="382" t="s">
        <v>20</v>
      </c>
      <c r="F2595" s="114" t="s">
        <v>15</v>
      </c>
      <c r="G2595" s="383" t="s">
        <v>25</v>
      </c>
      <c r="H2595" s="384">
        <v>7.34</v>
      </c>
      <c r="I2595" s="376">
        <v>5.6</v>
      </c>
      <c r="J2595" s="19">
        <v>1</v>
      </c>
      <c r="K2595" s="13">
        <v>4.1104000000000002E-2</v>
      </c>
      <c r="L2595" s="7" t="s">
        <v>483</v>
      </c>
    </row>
    <row r="2596" spans="1:12">
      <c r="A2596" s="7"/>
      <c r="B2596" s="381" t="s">
        <v>377</v>
      </c>
      <c r="C2596" s="3" t="s">
        <v>232</v>
      </c>
      <c r="D2596" s="2" t="s">
        <v>228</v>
      </c>
      <c r="E2596" s="382" t="s">
        <v>20</v>
      </c>
      <c r="F2596" s="114" t="s">
        <v>15</v>
      </c>
      <c r="G2596" s="383" t="s">
        <v>25</v>
      </c>
      <c r="H2596" s="384">
        <v>7.34</v>
      </c>
      <c r="I2596" s="376">
        <v>6.7</v>
      </c>
      <c r="J2596" s="19">
        <v>1</v>
      </c>
      <c r="K2596" s="13">
        <v>4.9177999999999999E-2</v>
      </c>
      <c r="L2596" s="7" t="s">
        <v>483</v>
      </c>
    </row>
    <row r="2597" spans="1:12">
      <c r="A2597" s="7"/>
      <c r="B2597" s="381" t="s">
        <v>377</v>
      </c>
      <c r="C2597" s="3" t="s">
        <v>232</v>
      </c>
      <c r="D2597" s="2" t="s">
        <v>228</v>
      </c>
      <c r="E2597" s="382" t="s">
        <v>20</v>
      </c>
      <c r="F2597" s="114" t="s">
        <v>15</v>
      </c>
      <c r="G2597" s="383" t="s">
        <v>25</v>
      </c>
      <c r="H2597" s="384">
        <v>7.34</v>
      </c>
      <c r="I2597" s="376">
        <v>7.5</v>
      </c>
      <c r="J2597" s="19">
        <v>2</v>
      </c>
      <c r="K2597" s="13">
        <v>0.11009999999999999</v>
      </c>
      <c r="L2597" s="7" t="s">
        <v>483</v>
      </c>
    </row>
    <row r="2598" spans="1:12">
      <c r="A2598" s="7"/>
      <c r="B2598" s="381" t="s">
        <v>377</v>
      </c>
      <c r="C2598" s="3" t="s">
        <v>232</v>
      </c>
      <c r="D2598" s="2" t="s">
        <v>228</v>
      </c>
      <c r="E2598" s="382" t="s">
        <v>20</v>
      </c>
      <c r="F2598" s="114" t="s">
        <v>15</v>
      </c>
      <c r="G2598" s="383" t="s">
        <v>25</v>
      </c>
      <c r="H2598" s="384">
        <v>7.34</v>
      </c>
      <c r="I2598" s="376">
        <v>11</v>
      </c>
      <c r="J2598" s="19">
        <v>0</v>
      </c>
      <c r="K2598" s="13">
        <v>0</v>
      </c>
      <c r="L2598" s="7" t="s">
        <v>483</v>
      </c>
    </row>
    <row r="2599" spans="1:12">
      <c r="A2599" s="7"/>
      <c r="B2599" s="381" t="s">
        <v>377</v>
      </c>
      <c r="C2599" s="3" t="s">
        <v>232</v>
      </c>
      <c r="D2599" s="2" t="s">
        <v>228</v>
      </c>
      <c r="E2599" s="382" t="s">
        <v>20</v>
      </c>
      <c r="F2599" s="114" t="s">
        <v>15</v>
      </c>
      <c r="G2599" s="383" t="s">
        <v>25</v>
      </c>
      <c r="H2599" s="384">
        <v>7.34</v>
      </c>
      <c r="I2599" s="376">
        <v>11.4</v>
      </c>
      <c r="J2599" s="19">
        <v>0</v>
      </c>
      <c r="K2599" s="13">
        <v>0</v>
      </c>
      <c r="L2599" s="7" t="s">
        <v>483</v>
      </c>
    </row>
    <row r="2600" spans="1:12">
      <c r="A2600" s="7"/>
      <c r="B2600" s="381" t="s">
        <v>377</v>
      </c>
      <c r="C2600" s="3" t="s">
        <v>232</v>
      </c>
      <c r="D2600" s="2" t="s">
        <v>228</v>
      </c>
      <c r="E2600" s="382" t="s">
        <v>20</v>
      </c>
      <c r="F2600" s="114" t="s">
        <v>15</v>
      </c>
      <c r="G2600" s="383" t="s">
        <v>25</v>
      </c>
      <c r="H2600" s="384">
        <v>7.34</v>
      </c>
      <c r="I2600" s="376">
        <v>7.5</v>
      </c>
      <c r="J2600" s="19">
        <v>1</v>
      </c>
      <c r="K2600" s="13">
        <v>5.5049999999999995E-2</v>
      </c>
      <c r="L2600" s="7" t="s">
        <v>483</v>
      </c>
    </row>
    <row r="2601" spans="1:12">
      <c r="A2601" s="7"/>
      <c r="B2601" s="381" t="s">
        <v>377</v>
      </c>
      <c r="C2601" s="3" t="s">
        <v>232</v>
      </c>
      <c r="D2601" s="2" t="s">
        <v>228</v>
      </c>
      <c r="E2601" s="382" t="s">
        <v>20</v>
      </c>
      <c r="F2601" s="114" t="s">
        <v>15</v>
      </c>
      <c r="G2601" s="383" t="s">
        <v>25</v>
      </c>
      <c r="H2601" s="384">
        <v>7.34</v>
      </c>
      <c r="I2601" s="376">
        <v>11.5</v>
      </c>
      <c r="J2601" s="19">
        <v>0</v>
      </c>
      <c r="K2601" s="13">
        <v>0</v>
      </c>
      <c r="L2601" s="7" t="s">
        <v>483</v>
      </c>
    </row>
    <row r="2602" spans="1:12">
      <c r="A2602" s="7"/>
      <c r="B2602" s="381" t="s">
        <v>377</v>
      </c>
      <c r="C2602" s="3" t="s">
        <v>232</v>
      </c>
      <c r="D2602" s="2" t="s">
        <v>228</v>
      </c>
      <c r="E2602" s="382" t="s">
        <v>20</v>
      </c>
      <c r="F2602" s="114" t="s">
        <v>15</v>
      </c>
      <c r="G2602" s="383" t="s">
        <v>25</v>
      </c>
      <c r="H2602" s="384">
        <v>7.34</v>
      </c>
      <c r="I2602" s="376">
        <v>12</v>
      </c>
      <c r="J2602" s="19">
        <v>0</v>
      </c>
      <c r="K2602" s="13">
        <v>0</v>
      </c>
      <c r="L2602" s="7" t="s">
        <v>483</v>
      </c>
    </row>
    <row r="2603" spans="1:12">
      <c r="A2603" s="7"/>
      <c r="B2603" s="381" t="s">
        <v>377</v>
      </c>
      <c r="C2603" s="3" t="s">
        <v>232</v>
      </c>
      <c r="D2603" s="2" t="s">
        <v>228</v>
      </c>
      <c r="E2603" s="382" t="s">
        <v>20</v>
      </c>
      <c r="F2603" s="114" t="s">
        <v>15</v>
      </c>
      <c r="G2603" s="383" t="s">
        <v>27</v>
      </c>
      <c r="H2603" s="384">
        <v>6.17</v>
      </c>
      <c r="I2603" s="376">
        <v>6.5</v>
      </c>
      <c r="J2603" s="19">
        <v>0</v>
      </c>
      <c r="K2603" s="13">
        <v>0</v>
      </c>
      <c r="L2603" s="7" t="s">
        <v>483</v>
      </c>
    </row>
    <row r="2604" spans="1:12">
      <c r="A2604" s="7"/>
      <c r="B2604" s="381" t="s">
        <v>377</v>
      </c>
      <c r="C2604" s="3" t="s">
        <v>232</v>
      </c>
      <c r="D2604" s="2" t="s">
        <v>228</v>
      </c>
      <c r="E2604" s="382" t="s">
        <v>20</v>
      </c>
      <c r="F2604" s="114" t="s">
        <v>15</v>
      </c>
      <c r="G2604" s="383" t="s">
        <v>27</v>
      </c>
      <c r="H2604" s="384">
        <v>6.17</v>
      </c>
      <c r="I2604" s="376">
        <v>7.75</v>
      </c>
      <c r="J2604" s="19">
        <v>0</v>
      </c>
      <c r="K2604" s="13">
        <v>0</v>
      </c>
      <c r="L2604" s="7" t="s">
        <v>483</v>
      </c>
    </row>
    <row r="2605" spans="1:12">
      <c r="A2605" s="7"/>
      <c r="B2605" s="381" t="s">
        <v>377</v>
      </c>
      <c r="C2605" s="3" t="s">
        <v>232</v>
      </c>
      <c r="D2605" s="2" t="s">
        <v>228</v>
      </c>
      <c r="E2605" s="382" t="s">
        <v>20</v>
      </c>
      <c r="F2605" s="114" t="s">
        <v>15</v>
      </c>
      <c r="G2605" s="383" t="s">
        <v>27</v>
      </c>
      <c r="H2605" s="384">
        <v>6.17</v>
      </c>
      <c r="I2605" s="376">
        <v>8</v>
      </c>
      <c r="J2605" s="19">
        <v>0</v>
      </c>
      <c r="K2605" s="13">
        <v>0</v>
      </c>
      <c r="L2605" s="7" t="s">
        <v>483</v>
      </c>
    </row>
    <row r="2606" spans="1:12">
      <c r="A2606" s="7"/>
      <c r="B2606" s="381" t="s">
        <v>377</v>
      </c>
      <c r="C2606" s="3" t="s">
        <v>232</v>
      </c>
      <c r="D2606" s="2" t="s">
        <v>228</v>
      </c>
      <c r="E2606" s="382" t="s">
        <v>20</v>
      </c>
      <c r="F2606" s="114" t="s">
        <v>15</v>
      </c>
      <c r="G2606" s="383" t="s">
        <v>27</v>
      </c>
      <c r="H2606" s="384">
        <v>6.17</v>
      </c>
      <c r="I2606" s="376">
        <v>10</v>
      </c>
      <c r="J2606" s="19">
        <v>0</v>
      </c>
      <c r="K2606" s="13">
        <v>0</v>
      </c>
      <c r="L2606" s="7" t="s">
        <v>483</v>
      </c>
    </row>
    <row r="2607" spans="1:12">
      <c r="A2607" s="7"/>
      <c r="B2607" s="381" t="s">
        <v>377</v>
      </c>
      <c r="C2607" s="3" t="s">
        <v>232</v>
      </c>
      <c r="D2607" s="2" t="s">
        <v>228</v>
      </c>
      <c r="E2607" s="382" t="s">
        <v>20</v>
      </c>
      <c r="F2607" s="114" t="s">
        <v>15</v>
      </c>
      <c r="G2607" s="383" t="s">
        <v>27</v>
      </c>
      <c r="H2607" s="384">
        <v>6.17</v>
      </c>
      <c r="I2607" s="376">
        <v>11</v>
      </c>
      <c r="J2607" s="19">
        <v>0</v>
      </c>
      <c r="K2607" s="13">
        <v>0</v>
      </c>
      <c r="L2607" s="7" t="s">
        <v>483</v>
      </c>
    </row>
    <row r="2608" spans="1:12">
      <c r="A2608" s="7"/>
      <c r="B2608" s="381" t="s">
        <v>377</v>
      </c>
      <c r="C2608" s="3" t="s">
        <v>232</v>
      </c>
      <c r="D2608" s="2" t="s">
        <v>228</v>
      </c>
      <c r="E2608" s="382" t="s">
        <v>20</v>
      </c>
      <c r="F2608" s="114" t="s">
        <v>15</v>
      </c>
      <c r="G2608" s="383" t="s">
        <v>27</v>
      </c>
      <c r="H2608" s="384">
        <v>6.17</v>
      </c>
      <c r="I2608" s="376">
        <v>11.5</v>
      </c>
      <c r="J2608" s="19">
        <v>0</v>
      </c>
      <c r="K2608" s="13">
        <v>0</v>
      </c>
      <c r="L2608" s="7" t="s">
        <v>483</v>
      </c>
    </row>
    <row r="2609" spans="1:12">
      <c r="A2609" s="7"/>
      <c r="B2609" s="381" t="s">
        <v>377</v>
      </c>
      <c r="C2609" s="3" t="s">
        <v>232</v>
      </c>
      <c r="D2609" s="2" t="s">
        <v>228</v>
      </c>
      <c r="E2609" s="382" t="s">
        <v>20</v>
      </c>
      <c r="F2609" s="114" t="s">
        <v>15</v>
      </c>
      <c r="G2609" s="383" t="s">
        <v>27</v>
      </c>
      <c r="H2609" s="384">
        <v>6.17</v>
      </c>
      <c r="I2609" s="376">
        <v>11.5</v>
      </c>
      <c r="J2609" s="19">
        <v>0</v>
      </c>
      <c r="K2609" s="13">
        <v>0</v>
      </c>
      <c r="L2609" s="7" t="s">
        <v>483</v>
      </c>
    </row>
    <row r="2610" spans="1:12">
      <c r="A2610" s="7"/>
      <c r="B2610" s="381" t="s">
        <v>377</v>
      </c>
      <c r="C2610" s="3" t="s">
        <v>232</v>
      </c>
      <c r="D2610" s="2" t="s">
        <v>228</v>
      </c>
      <c r="E2610" s="382" t="s">
        <v>20</v>
      </c>
      <c r="F2610" s="114" t="s">
        <v>15</v>
      </c>
      <c r="G2610" s="383" t="s">
        <v>27</v>
      </c>
      <c r="H2610" s="384">
        <v>6.17</v>
      </c>
      <c r="I2610" s="376">
        <v>11</v>
      </c>
      <c r="J2610" s="19">
        <v>1</v>
      </c>
      <c r="K2610" s="13">
        <v>6.787E-2</v>
      </c>
      <c r="L2610" s="7" t="s">
        <v>483</v>
      </c>
    </row>
    <row r="2611" spans="1:12">
      <c r="A2611" s="7"/>
      <c r="B2611" s="381" t="s">
        <v>377</v>
      </c>
      <c r="C2611" s="3" t="s">
        <v>232</v>
      </c>
      <c r="D2611" s="2" t="s">
        <v>228</v>
      </c>
      <c r="E2611" s="382" t="s">
        <v>20</v>
      </c>
      <c r="F2611" s="114" t="s">
        <v>15</v>
      </c>
      <c r="G2611" s="383" t="s">
        <v>27</v>
      </c>
      <c r="H2611" s="384">
        <v>6.17</v>
      </c>
      <c r="I2611" s="376">
        <v>10.5</v>
      </c>
      <c r="J2611" s="19">
        <v>0</v>
      </c>
      <c r="K2611" s="13">
        <v>0</v>
      </c>
      <c r="L2611" s="7" t="s">
        <v>483</v>
      </c>
    </row>
    <row r="2612" spans="1:12">
      <c r="A2612" s="7"/>
      <c r="B2612" s="381" t="s">
        <v>377</v>
      </c>
      <c r="C2612" s="3" t="s">
        <v>232</v>
      </c>
      <c r="D2612" s="2" t="s">
        <v>228</v>
      </c>
      <c r="E2612" s="382" t="s">
        <v>20</v>
      </c>
      <c r="F2612" s="114" t="s">
        <v>15</v>
      </c>
      <c r="G2612" s="383" t="s">
        <v>27</v>
      </c>
      <c r="H2612" s="384">
        <v>6.17</v>
      </c>
      <c r="I2612" s="376">
        <v>9.5</v>
      </c>
      <c r="J2612" s="19">
        <v>0</v>
      </c>
      <c r="K2612" s="13">
        <v>0</v>
      </c>
      <c r="L2612" s="7" t="s">
        <v>483</v>
      </c>
    </row>
    <row r="2613" spans="1:12">
      <c r="A2613" s="7"/>
      <c r="B2613" s="381" t="s">
        <v>377</v>
      </c>
      <c r="C2613" s="3" t="s">
        <v>232</v>
      </c>
      <c r="D2613" s="2" t="s">
        <v>228</v>
      </c>
      <c r="E2613" s="382" t="s">
        <v>20</v>
      </c>
      <c r="F2613" s="114" t="s">
        <v>15</v>
      </c>
      <c r="G2613" s="383" t="s">
        <v>27</v>
      </c>
      <c r="H2613" s="384">
        <v>6.17</v>
      </c>
      <c r="I2613" s="376">
        <v>10</v>
      </c>
      <c r="J2613" s="19">
        <v>0</v>
      </c>
      <c r="K2613" s="13">
        <v>0</v>
      </c>
      <c r="L2613" s="7" t="s">
        <v>483</v>
      </c>
    </row>
    <row r="2614" spans="1:12">
      <c r="A2614" s="7"/>
      <c r="B2614" s="381" t="s">
        <v>377</v>
      </c>
      <c r="C2614" s="3" t="s">
        <v>232</v>
      </c>
      <c r="D2614" s="2" t="s">
        <v>228</v>
      </c>
      <c r="E2614" s="382" t="s">
        <v>20</v>
      </c>
      <c r="F2614" s="114" t="s">
        <v>15</v>
      </c>
      <c r="G2614" s="383" t="s">
        <v>27</v>
      </c>
      <c r="H2614" s="384">
        <v>6.17</v>
      </c>
      <c r="I2614" s="376">
        <v>11.5</v>
      </c>
      <c r="J2614" s="19">
        <v>0</v>
      </c>
      <c r="K2614" s="13">
        <v>0</v>
      </c>
      <c r="L2614" s="7" t="s">
        <v>483</v>
      </c>
    </row>
    <row r="2615" spans="1:12">
      <c r="A2615" s="7"/>
      <c r="B2615" s="381" t="s">
        <v>377</v>
      </c>
      <c r="C2615" s="3" t="s">
        <v>232</v>
      </c>
      <c r="D2615" s="2" t="s">
        <v>228</v>
      </c>
      <c r="E2615" s="382" t="s">
        <v>20</v>
      </c>
      <c r="F2615" s="114" t="s">
        <v>15</v>
      </c>
      <c r="G2615" s="383" t="s">
        <v>27</v>
      </c>
      <c r="H2615" s="384">
        <v>6.17</v>
      </c>
      <c r="I2615" s="376">
        <v>12</v>
      </c>
      <c r="J2615" s="19">
        <v>0</v>
      </c>
      <c r="K2615" s="13">
        <v>0</v>
      </c>
      <c r="L2615" s="7" t="s">
        <v>483</v>
      </c>
    </row>
    <row r="2616" spans="1:12">
      <c r="A2616" s="7"/>
      <c r="B2616" s="381" t="s">
        <v>377</v>
      </c>
      <c r="C2616" s="3" t="s">
        <v>232</v>
      </c>
      <c r="D2616" s="2" t="s">
        <v>228</v>
      </c>
      <c r="E2616" s="382" t="s">
        <v>20</v>
      </c>
      <c r="F2616" s="114" t="s">
        <v>15</v>
      </c>
      <c r="G2616" s="383" t="s">
        <v>27</v>
      </c>
      <c r="H2616" s="384">
        <v>6.17</v>
      </c>
      <c r="I2616" s="376">
        <v>10.5</v>
      </c>
      <c r="J2616" s="19">
        <v>0</v>
      </c>
      <c r="K2616" s="13">
        <v>0</v>
      </c>
      <c r="L2616" s="7" t="s">
        <v>483</v>
      </c>
    </row>
    <row r="2617" spans="1:12">
      <c r="A2617" s="7"/>
      <c r="B2617" s="381" t="s">
        <v>377</v>
      </c>
      <c r="C2617" s="3" t="s">
        <v>232</v>
      </c>
      <c r="D2617" s="2" t="s">
        <v>228</v>
      </c>
      <c r="E2617" s="382" t="s">
        <v>20</v>
      </c>
      <c r="F2617" s="114" t="s">
        <v>15</v>
      </c>
      <c r="G2617" s="383" t="s">
        <v>27</v>
      </c>
      <c r="H2617" s="384">
        <v>6.17</v>
      </c>
      <c r="I2617" s="376">
        <v>9.5</v>
      </c>
      <c r="J2617" s="19">
        <v>0</v>
      </c>
      <c r="K2617" s="13">
        <v>0</v>
      </c>
      <c r="L2617" s="7" t="s">
        <v>483</v>
      </c>
    </row>
    <row r="2618" spans="1:12">
      <c r="A2618" s="7"/>
      <c r="B2618" s="381" t="s">
        <v>377</v>
      </c>
      <c r="C2618" s="3" t="s">
        <v>232</v>
      </c>
      <c r="D2618" s="2" t="s">
        <v>228</v>
      </c>
      <c r="E2618" s="382" t="s">
        <v>20</v>
      </c>
      <c r="F2618" s="114" t="s">
        <v>15</v>
      </c>
      <c r="G2618" s="383" t="s">
        <v>27</v>
      </c>
      <c r="H2618" s="384">
        <v>6.17</v>
      </c>
      <c r="I2618" s="160">
        <v>7.6</v>
      </c>
      <c r="J2618" s="19">
        <v>1</v>
      </c>
      <c r="K2618" s="13">
        <v>4.6891999999999996E-2</v>
      </c>
      <c r="L2618" s="7" t="s">
        <v>483</v>
      </c>
    </row>
    <row r="2619" spans="1:12">
      <c r="A2619" s="7"/>
      <c r="B2619" s="381" t="s">
        <v>377</v>
      </c>
      <c r="C2619" s="3" t="s">
        <v>232</v>
      </c>
      <c r="D2619" s="2" t="s">
        <v>228</v>
      </c>
      <c r="E2619" s="382" t="s">
        <v>20</v>
      </c>
      <c r="F2619" s="114" t="s">
        <v>15</v>
      </c>
      <c r="G2619" s="383" t="s">
        <v>27</v>
      </c>
      <c r="H2619" s="384">
        <v>6.17</v>
      </c>
      <c r="I2619" s="376">
        <v>6.8</v>
      </c>
      <c r="J2619" s="19">
        <v>0</v>
      </c>
      <c r="K2619" s="13">
        <v>0</v>
      </c>
      <c r="L2619" s="7" t="s">
        <v>483</v>
      </c>
    </row>
    <row r="2620" spans="1:12">
      <c r="A2620" s="7"/>
      <c r="B2620" s="381" t="s">
        <v>377</v>
      </c>
      <c r="C2620" s="3" t="s">
        <v>232</v>
      </c>
      <c r="D2620" s="2" t="s">
        <v>228</v>
      </c>
      <c r="E2620" s="382" t="s">
        <v>20</v>
      </c>
      <c r="F2620" s="114" t="s">
        <v>15</v>
      </c>
      <c r="G2620" s="383" t="s">
        <v>27</v>
      </c>
      <c r="H2620" s="384">
        <v>6.17</v>
      </c>
      <c r="I2620" s="376">
        <v>6.7</v>
      </c>
      <c r="J2620" s="19">
        <v>1</v>
      </c>
      <c r="K2620" s="13">
        <v>4.1339000000000001E-2</v>
      </c>
      <c r="L2620" s="7" t="s">
        <v>483</v>
      </c>
    </row>
    <row r="2621" spans="1:12">
      <c r="A2621" s="7"/>
      <c r="B2621" s="381" t="s">
        <v>377</v>
      </c>
      <c r="C2621" s="3" t="s">
        <v>232</v>
      </c>
      <c r="D2621" s="2" t="s">
        <v>228</v>
      </c>
      <c r="E2621" s="382" t="s">
        <v>20</v>
      </c>
      <c r="F2621" s="114" t="s">
        <v>15</v>
      </c>
      <c r="G2621" s="383" t="s">
        <v>27</v>
      </c>
      <c r="H2621" s="384">
        <v>6.17</v>
      </c>
      <c r="I2621" s="376">
        <v>6.2</v>
      </c>
      <c r="J2621" s="19">
        <v>1</v>
      </c>
      <c r="K2621" s="13">
        <v>3.8253999999999996E-2</v>
      </c>
      <c r="L2621" s="7" t="s">
        <v>483</v>
      </c>
    </row>
    <row r="2622" spans="1:12">
      <c r="A2622" s="7"/>
      <c r="B2622" s="381" t="s">
        <v>377</v>
      </c>
      <c r="C2622" s="3" t="s">
        <v>232</v>
      </c>
      <c r="D2622" s="2" t="s">
        <v>228</v>
      </c>
      <c r="E2622" s="382" t="s">
        <v>20</v>
      </c>
      <c r="F2622" s="114" t="s">
        <v>15</v>
      </c>
      <c r="G2622" s="383" t="s">
        <v>27</v>
      </c>
      <c r="H2622" s="384">
        <v>6.17</v>
      </c>
      <c r="I2622" s="376">
        <v>5.7</v>
      </c>
      <c r="J2622" s="19">
        <v>2</v>
      </c>
      <c r="K2622" s="13">
        <v>7.0338000000000012E-2</v>
      </c>
      <c r="L2622" s="7" t="s">
        <v>483</v>
      </c>
    </row>
    <row r="2623" spans="1:12">
      <c r="A2623" s="7"/>
      <c r="B2623" s="381" t="s">
        <v>377</v>
      </c>
      <c r="C2623" s="3" t="s">
        <v>232</v>
      </c>
      <c r="D2623" s="2" t="s">
        <v>228</v>
      </c>
      <c r="E2623" s="382" t="s">
        <v>20</v>
      </c>
      <c r="F2623" s="114" t="s">
        <v>15</v>
      </c>
      <c r="G2623" s="383" t="s">
        <v>27</v>
      </c>
      <c r="H2623" s="384">
        <v>6.17</v>
      </c>
      <c r="I2623" s="376">
        <v>5.4</v>
      </c>
      <c r="J2623" s="19">
        <v>2</v>
      </c>
      <c r="K2623" s="13">
        <v>6.6636000000000015E-2</v>
      </c>
      <c r="L2623" s="7" t="s">
        <v>483</v>
      </c>
    </row>
    <row r="2624" spans="1:12">
      <c r="A2624" s="7"/>
      <c r="B2624" s="381" t="s">
        <v>377</v>
      </c>
      <c r="C2624" s="3" t="s">
        <v>232</v>
      </c>
      <c r="D2624" s="2" t="s">
        <v>228</v>
      </c>
      <c r="E2624" s="382" t="s">
        <v>20</v>
      </c>
      <c r="F2624" s="114" t="s">
        <v>15</v>
      </c>
      <c r="G2624" s="383" t="s">
        <v>110</v>
      </c>
      <c r="H2624" s="384">
        <v>8.49</v>
      </c>
      <c r="I2624" s="376">
        <v>10</v>
      </c>
      <c r="J2624" s="19">
        <v>0</v>
      </c>
      <c r="K2624" s="13">
        <v>0</v>
      </c>
      <c r="L2624" s="7" t="s">
        <v>483</v>
      </c>
    </row>
    <row r="2625" spans="1:12">
      <c r="A2625" s="7"/>
      <c r="B2625" s="381" t="s">
        <v>377</v>
      </c>
      <c r="C2625" s="3" t="s">
        <v>232</v>
      </c>
      <c r="D2625" s="2" t="s">
        <v>228</v>
      </c>
      <c r="E2625" s="382" t="s">
        <v>20</v>
      </c>
      <c r="F2625" s="114" t="s">
        <v>15</v>
      </c>
      <c r="G2625" s="383" t="s">
        <v>110</v>
      </c>
      <c r="H2625" s="384">
        <v>8.49</v>
      </c>
      <c r="I2625" s="376">
        <v>10</v>
      </c>
      <c r="J2625" s="19">
        <v>0</v>
      </c>
      <c r="K2625" s="13">
        <v>0</v>
      </c>
      <c r="L2625" s="7" t="s">
        <v>483</v>
      </c>
    </row>
    <row r="2626" spans="1:12">
      <c r="A2626" s="7"/>
      <c r="B2626" s="381" t="s">
        <v>377</v>
      </c>
      <c r="C2626" s="3" t="s">
        <v>232</v>
      </c>
      <c r="D2626" s="2" t="s">
        <v>228</v>
      </c>
      <c r="E2626" s="382" t="s">
        <v>20</v>
      </c>
      <c r="F2626" s="114" t="s">
        <v>15</v>
      </c>
      <c r="G2626" s="383" t="s">
        <v>110</v>
      </c>
      <c r="H2626" s="384">
        <v>8.49</v>
      </c>
      <c r="I2626" s="376">
        <v>8</v>
      </c>
      <c r="J2626" s="19">
        <v>2</v>
      </c>
      <c r="K2626" s="13">
        <v>0.13584000000000002</v>
      </c>
      <c r="L2626" s="7" t="s">
        <v>483</v>
      </c>
    </row>
    <row r="2627" spans="1:12">
      <c r="A2627" s="7"/>
      <c r="B2627" s="381" t="s">
        <v>377</v>
      </c>
      <c r="C2627" s="3" t="s">
        <v>232</v>
      </c>
      <c r="D2627" s="2" t="s">
        <v>228</v>
      </c>
      <c r="E2627" s="382" t="s">
        <v>20</v>
      </c>
      <c r="F2627" s="114" t="s">
        <v>15</v>
      </c>
      <c r="G2627" s="383" t="s">
        <v>110</v>
      </c>
      <c r="H2627" s="384">
        <v>8.49</v>
      </c>
      <c r="I2627" s="376">
        <v>9</v>
      </c>
      <c r="J2627" s="19">
        <v>1</v>
      </c>
      <c r="K2627" s="13">
        <v>7.6409999999999992E-2</v>
      </c>
      <c r="L2627" s="7" t="s">
        <v>483</v>
      </c>
    </row>
    <row r="2628" spans="1:12">
      <c r="A2628" s="7"/>
      <c r="B2628" s="381" t="s">
        <v>377</v>
      </c>
      <c r="C2628" s="3" t="s">
        <v>232</v>
      </c>
      <c r="D2628" s="2" t="s">
        <v>228</v>
      </c>
      <c r="E2628" s="382" t="s">
        <v>20</v>
      </c>
      <c r="F2628" s="114" t="s">
        <v>15</v>
      </c>
      <c r="G2628" s="383" t="s">
        <v>110</v>
      </c>
      <c r="H2628" s="384">
        <v>8.49</v>
      </c>
      <c r="I2628" s="376">
        <v>9.6999999999999993</v>
      </c>
      <c r="J2628" s="19">
        <v>1</v>
      </c>
      <c r="K2628" s="13">
        <v>8.2352999999999996E-2</v>
      </c>
      <c r="L2628" s="7" t="s">
        <v>483</v>
      </c>
    </row>
    <row r="2629" spans="1:12">
      <c r="A2629" s="7"/>
      <c r="B2629" s="381" t="s">
        <v>377</v>
      </c>
      <c r="C2629" s="3" t="s">
        <v>232</v>
      </c>
      <c r="D2629" s="2" t="s">
        <v>228</v>
      </c>
      <c r="E2629" s="382" t="s">
        <v>20</v>
      </c>
      <c r="F2629" s="114" t="s">
        <v>15</v>
      </c>
      <c r="G2629" s="383" t="s">
        <v>110</v>
      </c>
      <c r="H2629" s="384">
        <v>8.49</v>
      </c>
      <c r="I2629" s="376">
        <v>10.5</v>
      </c>
      <c r="J2629" s="19">
        <v>0</v>
      </c>
      <c r="K2629" s="13">
        <v>0</v>
      </c>
      <c r="L2629" s="7" t="s">
        <v>483</v>
      </c>
    </row>
    <row r="2630" spans="1:12">
      <c r="A2630" s="7"/>
      <c r="B2630" s="381" t="s">
        <v>377</v>
      </c>
      <c r="C2630" s="3" t="s">
        <v>232</v>
      </c>
      <c r="D2630" s="2" t="s">
        <v>228</v>
      </c>
      <c r="E2630" s="382" t="s">
        <v>20</v>
      </c>
      <c r="F2630" s="114" t="s">
        <v>15</v>
      </c>
      <c r="G2630" s="383" t="s">
        <v>110</v>
      </c>
      <c r="H2630" s="384">
        <v>8.49</v>
      </c>
      <c r="I2630" s="376">
        <v>11.7</v>
      </c>
      <c r="J2630" s="19">
        <v>1</v>
      </c>
      <c r="K2630" s="13">
        <v>9.9333000000000005E-2</v>
      </c>
      <c r="L2630" s="7" t="s">
        <v>483</v>
      </c>
    </row>
    <row r="2631" spans="1:12">
      <c r="A2631" s="7"/>
      <c r="B2631" s="381" t="s">
        <v>377</v>
      </c>
      <c r="C2631" s="3" t="s">
        <v>232</v>
      </c>
      <c r="D2631" s="2" t="s">
        <v>228</v>
      </c>
      <c r="E2631" s="382" t="s">
        <v>20</v>
      </c>
      <c r="F2631" s="114" t="s">
        <v>15</v>
      </c>
      <c r="G2631" s="383" t="s">
        <v>110</v>
      </c>
      <c r="H2631" s="384">
        <v>8.49</v>
      </c>
      <c r="I2631" s="376">
        <v>12</v>
      </c>
      <c r="J2631" s="19">
        <v>16</v>
      </c>
      <c r="K2631" s="13">
        <v>1.63008</v>
      </c>
      <c r="L2631" s="7" t="s">
        <v>483</v>
      </c>
    </row>
    <row r="2632" spans="1:12">
      <c r="A2632" s="7"/>
      <c r="B2632" s="381" t="s">
        <v>366</v>
      </c>
      <c r="C2632" s="3" t="s">
        <v>232</v>
      </c>
      <c r="D2632" s="2" t="s">
        <v>228</v>
      </c>
      <c r="E2632" s="382" t="s">
        <v>17</v>
      </c>
      <c r="F2632" s="114" t="s">
        <v>15</v>
      </c>
      <c r="G2632" s="383" t="s">
        <v>27</v>
      </c>
      <c r="H2632" s="384">
        <v>6.17</v>
      </c>
      <c r="I2632" s="376">
        <v>8</v>
      </c>
      <c r="J2632" s="19">
        <v>0</v>
      </c>
      <c r="K2632" s="13">
        <v>0</v>
      </c>
      <c r="L2632" s="7" t="s">
        <v>483</v>
      </c>
    </row>
    <row r="2633" spans="1:12">
      <c r="A2633" s="7"/>
      <c r="B2633" s="381" t="s">
        <v>366</v>
      </c>
      <c r="C2633" s="3" t="s">
        <v>232</v>
      </c>
      <c r="D2633" s="2" t="s">
        <v>228</v>
      </c>
      <c r="E2633" s="382" t="s">
        <v>17</v>
      </c>
      <c r="F2633" s="114" t="s">
        <v>15</v>
      </c>
      <c r="G2633" s="383" t="s">
        <v>27</v>
      </c>
      <c r="H2633" s="384">
        <v>6.17</v>
      </c>
      <c r="I2633" s="376">
        <v>9.1999999999999993</v>
      </c>
      <c r="J2633" s="19">
        <v>0</v>
      </c>
      <c r="K2633" s="13">
        <v>0</v>
      </c>
      <c r="L2633" s="7" t="s">
        <v>483</v>
      </c>
    </row>
    <row r="2634" spans="1:12">
      <c r="A2634" s="7"/>
      <c r="B2634" s="381" t="s">
        <v>366</v>
      </c>
      <c r="C2634" s="3" t="s">
        <v>232</v>
      </c>
      <c r="D2634" s="2" t="s">
        <v>228</v>
      </c>
      <c r="E2634" s="382" t="s">
        <v>17</v>
      </c>
      <c r="F2634" s="114" t="s">
        <v>15</v>
      </c>
      <c r="G2634" s="383" t="s">
        <v>27</v>
      </c>
      <c r="H2634" s="384">
        <v>6.17</v>
      </c>
      <c r="I2634" s="376">
        <v>9.6999999999999993</v>
      </c>
      <c r="J2634" s="19">
        <v>0</v>
      </c>
      <c r="K2634" s="13">
        <v>0</v>
      </c>
      <c r="L2634" s="7" t="s">
        <v>483</v>
      </c>
    </row>
    <row r="2635" spans="1:12">
      <c r="A2635" s="7"/>
      <c r="B2635" s="381" t="s">
        <v>366</v>
      </c>
      <c r="C2635" s="3" t="s">
        <v>232</v>
      </c>
      <c r="D2635" s="2" t="s">
        <v>228</v>
      </c>
      <c r="E2635" s="382" t="s">
        <v>17</v>
      </c>
      <c r="F2635" s="114" t="s">
        <v>15</v>
      </c>
      <c r="G2635" s="383" t="s">
        <v>27</v>
      </c>
      <c r="H2635" s="384">
        <v>6.17</v>
      </c>
      <c r="I2635" s="376">
        <v>10.199999999999999</v>
      </c>
      <c r="J2635" s="19">
        <v>0</v>
      </c>
      <c r="K2635" s="13">
        <v>0</v>
      </c>
      <c r="L2635" s="7" t="s">
        <v>483</v>
      </c>
    </row>
    <row r="2636" spans="1:12">
      <c r="A2636" s="7"/>
      <c r="B2636" s="381" t="s">
        <v>366</v>
      </c>
      <c r="C2636" s="3" t="s">
        <v>232</v>
      </c>
      <c r="D2636" s="2" t="s">
        <v>228</v>
      </c>
      <c r="E2636" s="382" t="s">
        <v>17</v>
      </c>
      <c r="F2636" s="114" t="s">
        <v>15</v>
      </c>
      <c r="G2636" s="383" t="s">
        <v>27</v>
      </c>
      <c r="H2636" s="384">
        <v>6.17</v>
      </c>
      <c r="I2636" s="376">
        <v>10.5</v>
      </c>
      <c r="J2636" s="19">
        <v>0</v>
      </c>
      <c r="K2636" s="13">
        <v>0</v>
      </c>
      <c r="L2636" s="7" t="s">
        <v>483</v>
      </c>
    </row>
    <row r="2637" spans="1:12">
      <c r="A2637" s="7"/>
      <c r="B2637" s="381" t="s">
        <v>366</v>
      </c>
      <c r="C2637" s="3" t="s">
        <v>232</v>
      </c>
      <c r="D2637" s="2" t="s">
        <v>228</v>
      </c>
      <c r="E2637" s="382" t="s">
        <v>17</v>
      </c>
      <c r="F2637" s="114" t="s">
        <v>15</v>
      </c>
      <c r="G2637" s="383" t="s">
        <v>27</v>
      </c>
      <c r="H2637" s="384">
        <v>6.17</v>
      </c>
      <c r="I2637" s="376">
        <v>10.6</v>
      </c>
      <c r="J2637" s="19">
        <v>0</v>
      </c>
      <c r="K2637" s="13">
        <v>0</v>
      </c>
      <c r="L2637" s="7" t="s">
        <v>483</v>
      </c>
    </row>
    <row r="2638" spans="1:12">
      <c r="A2638" s="7"/>
      <c r="B2638" s="381" t="s">
        <v>366</v>
      </c>
      <c r="C2638" s="3" t="s">
        <v>232</v>
      </c>
      <c r="D2638" s="2" t="s">
        <v>228</v>
      </c>
      <c r="E2638" s="382" t="s">
        <v>17</v>
      </c>
      <c r="F2638" s="114" t="s">
        <v>15</v>
      </c>
      <c r="G2638" s="383" t="s">
        <v>27</v>
      </c>
      <c r="H2638" s="384">
        <v>6.17</v>
      </c>
      <c r="I2638" s="376">
        <v>10.8</v>
      </c>
      <c r="J2638" s="19">
        <v>0</v>
      </c>
      <c r="K2638" s="13">
        <v>0</v>
      </c>
      <c r="L2638" s="7" t="s">
        <v>483</v>
      </c>
    </row>
    <row r="2639" spans="1:12">
      <c r="A2639" s="7"/>
      <c r="B2639" s="381" t="s">
        <v>366</v>
      </c>
      <c r="C2639" s="3" t="s">
        <v>232</v>
      </c>
      <c r="D2639" s="2" t="s">
        <v>228</v>
      </c>
      <c r="E2639" s="382" t="s">
        <v>17</v>
      </c>
      <c r="F2639" s="114" t="s">
        <v>15</v>
      </c>
      <c r="G2639" s="383" t="s">
        <v>27</v>
      </c>
      <c r="H2639" s="384">
        <v>6.17</v>
      </c>
      <c r="I2639" s="376">
        <v>11</v>
      </c>
      <c r="J2639" s="19">
        <v>0</v>
      </c>
      <c r="K2639" s="13">
        <v>0</v>
      </c>
      <c r="L2639" s="7" t="s">
        <v>483</v>
      </c>
    </row>
    <row r="2640" spans="1:12">
      <c r="A2640" s="7"/>
      <c r="B2640" s="381" t="s">
        <v>366</v>
      </c>
      <c r="C2640" s="3" t="s">
        <v>232</v>
      </c>
      <c r="D2640" s="2" t="s">
        <v>228</v>
      </c>
      <c r="E2640" s="382" t="s">
        <v>17</v>
      </c>
      <c r="F2640" s="114" t="s">
        <v>15</v>
      </c>
      <c r="G2640" s="383" t="s">
        <v>27</v>
      </c>
      <c r="H2640" s="384">
        <v>6.17</v>
      </c>
      <c r="I2640" s="376">
        <v>11.5</v>
      </c>
      <c r="J2640" s="19">
        <v>0</v>
      </c>
      <c r="K2640" s="13">
        <v>0</v>
      </c>
      <c r="L2640" s="7" t="s">
        <v>483</v>
      </c>
    </row>
    <row r="2641" spans="1:12">
      <c r="A2641" s="7"/>
      <c r="B2641" s="381" t="s">
        <v>366</v>
      </c>
      <c r="C2641" s="3" t="s">
        <v>232</v>
      </c>
      <c r="D2641" s="2" t="s">
        <v>228</v>
      </c>
      <c r="E2641" s="382" t="s">
        <v>17</v>
      </c>
      <c r="F2641" s="114" t="s">
        <v>15</v>
      </c>
      <c r="G2641" s="383" t="s">
        <v>27</v>
      </c>
      <c r="H2641" s="384">
        <v>6.17</v>
      </c>
      <c r="I2641" s="376">
        <v>11.7</v>
      </c>
      <c r="J2641" s="19">
        <v>0</v>
      </c>
      <c r="K2641" s="13">
        <v>0</v>
      </c>
      <c r="L2641" s="7" t="s">
        <v>483</v>
      </c>
    </row>
    <row r="2642" spans="1:12">
      <c r="A2642" s="7"/>
      <c r="B2642" s="381" t="s">
        <v>366</v>
      </c>
      <c r="C2642" s="3" t="s">
        <v>232</v>
      </c>
      <c r="D2642" s="2" t="s">
        <v>228</v>
      </c>
      <c r="E2642" s="382" t="s">
        <v>17</v>
      </c>
      <c r="F2642" s="114" t="s">
        <v>15</v>
      </c>
      <c r="G2642" s="383" t="s">
        <v>27</v>
      </c>
      <c r="H2642" s="384">
        <v>6.17</v>
      </c>
      <c r="I2642" s="376">
        <v>11.8</v>
      </c>
      <c r="J2642" s="19">
        <v>0</v>
      </c>
      <c r="K2642" s="13">
        <v>0</v>
      </c>
      <c r="L2642" s="7" t="s">
        <v>483</v>
      </c>
    </row>
    <row r="2643" spans="1:12">
      <c r="A2643" s="7"/>
      <c r="B2643" s="381" t="s">
        <v>366</v>
      </c>
      <c r="C2643" s="3" t="s">
        <v>232</v>
      </c>
      <c r="D2643" s="2" t="s">
        <v>228</v>
      </c>
      <c r="E2643" s="382" t="s">
        <v>17</v>
      </c>
      <c r="F2643" s="114" t="s">
        <v>15</v>
      </c>
      <c r="G2643" s="383" t="s">
        <v>27</v>
      </c>
      <c r="H2643" s="384">
        <v>6.17</v>
      </c>
      <c r="I2643" s="376">
        <v>12</v>
      </c>
      <c r="J2643" s="19">
        <v>0</v>
      </c>
      <c r="K2643" s="13">
        <v>0</v>
      </c>
      <c r="L2643" s="7" t="s">
        <v>483</v>
      </c>
    </row>
    <row r="2644" spans="1:12">
      <c r="A2644" s="7"/>
      <c r="B2644" s="381" t="s">
        <v>366</v>
      </c>
      <c r="C2644" s="3" t="s">
        <v>232</v>
      </c>
      <c r="D2644" s="2" t="s">
        <v>228</v>
      </c>
      <c r="E2644" s="382" t="s">
        <v>17</v>
      </c>
      <c r="F2644" s="114" t="s">
        <v>15</v>
      </c>
      <c r="G2644" s="383" t="s">
        <v>27</v>
      </c>
      <c r="H2644" s="384">
        <v>6.17</v>
      </c>
      <c r="I2644" s="376">
        <v>6.5</v>
      </c>
      <c r="J2644" s="19">
        <v>2</v>
      </c>
      <c r="K2644" s="13">
        <v>8.020999999999999E-2</v>
      </c>
      <c r="L2644" s="7" t="s">
        <v>483</v>
      </c>
    </row>
    <row r="2645" spans="1:12">
      <c r="A2645" s="7"/>
      <c r="B2645" s="381" t="s">
        <v>366</v>
      </c>
      <c r="C2645" s="3" t="s">
        <v>232</v>
      </c>
      <c r="D2645" s="2" t="s">
        <v>228</v>
      </c>
      <c r="E2645" s="382" t="s">
        <v>17</v>
      </c>
      <c r="F2645" s="114" t="s">
        <v>15</v>
      </c>
      <c r="G2645" s="383" t="s">
        <v>27</v>
      </c>
      <c r="H2645" s="384">
        <v>6.17</v>
      </c>
      <c r="I2645" s="376">
        <v>6.5</v>
      </c>
      <c r="J2645" s="19">
        <v>1</v>
      </c>
      <c r="K2645" s="13">
        <v>4.0104999999999995E-2</v>
      </c>
      <c r="L2645" s="7" t="s">
        <v>483</v>
      </c>
    </row>
    <row r="2646" spans="1:12">
      <c r="A2646" s="7"/>
      <c r="B2646" s="381" t="s">
        <v>366</v>
      </c>
      <c r="C2646" s="3" t="s">
        <v>232</v>
      </c>
      <c r="D2646" s="2" t="s">
        <v>228</v>
      </c>
      <c r="E2646" s="382" t="s">
        <v>17</v>
      </c>
      <c r="F2646" s="114" t="s">
        <v>15</v>
      </c>
      <c r="G2646" s="383" t="s">
        <v>27</v>
      </c>
      <c r="H2646" s="384">
        <v>6.17</v>
      </c>
      <c r="I2646" s="376">
        <v>7.2</v>
      </c>
      <c r="J2646" s="19">
        <v>2</v>
      </c>
      <c r="K2646" s="13">
        <v>8.8847999999999996E-2</v>
      </c>
      <c r="L2646" s="7" t="s">
        <v>483</v>
      </c>
    </row>
    <row r="2647" spans="1:12">
      <c r="A2647" s="7"/>
      <c r="B2647" s="381" t="s">
        <v>377</v>
      </c>
      <c r="C2647" s="3" t="s">
        <v>232</v>
      </c>
      <c r="D2647" s="2" t="s">
        <v>228</v>
      </c>
      <c r="E2647" s="382" t="s">
        <v>24</v>
      </c>
      <c r="F2647" s="114" t="s">
        <v>14</v>
      </c>
      <c r="G2647" s="383" t="s">
        <v>110</v>
      </c>
      <c r="H2647" s="384">
        <v>8.49</v>
      </c>
      <c r="I2647" s="376">
        <v>7.6</v>
      </c>
      <c r="J2647" s="19">
        <v>0</v>
      </c>
      <c r="K2647" s="13">
        <v>0</v>
      </c>
      <c r="L2647" s="7" t="s">
        <v>483</v>
      </c>
    </row>
    <row r="2648" spans="1:12">
      <c r="A2648" s="7"/>
      <c r="B2648" s="381" t="s">
        <v>377</v>
      </c>
      <c r="C2648" s="3" t="s">
        <v>232</v>
      </c>
      <c r="D2648" s="2" t="s">
        <v>228</v>
      </c>
      <c r="E2648" s="382" t="s">
        <v>24</v>
      </c>
      <c r="F2648" s="114" t="s">
        <v>14</v>
      </c>
      <c r="G2648" s="383" t="s">
        <v>110</v>
      </c>
      <c r="H2648" s="384">
        <v>8.49</v>
      </c>
      <c r="I2648" s="376">
        <v>12</v>
      </c>
      <c r="J2648" s="19">
        <v>24</v>
      </c>
      <c r="K2648" s="13">
        <v>2.4451199999999997</v>
      </c>
      <c r="L2648" s="7" t="s">
        <v>483</v>
      </c>
    </row>
    <row r="2649" spans="1:12">
      <c r="A2649" s="7"/>
      <c r="B2649" s="381" t="s">
        <v>377</v>
      </c>
      <c r="C2649" s="3" t="s">
        <v>232</v>
      </c>
      <c r="D2649" s="2" t="s">
        <v>228</v>
      </c>
      <c r="E2649" s="382" t="s">
        <v>24</v>
      </c>
      <c r="F2649" s="114" t="s">
        <v>14</v>
      </c>
      <c r="G2649" s="383" t="s">
        <v>110</v>
      </c>
      <c r="H2649" s="384">
        <v>8.49</v>
      </c>
      <c r="I2649" s="376">
        <v>7</v>
      </c>
      <c r="J2649" s="19">
        <v>1</v>
      </c>
      <c r="K2649" s="13">
        <v>5.9429999999999997E-2</v>
      </c>
      <c r="L2649" s="7" t="s">
        <v>483</v>
      </c>
    </row>
    <row r="2650" spans="1:12">
      <c r="A2650" s="7"/>
      <c r="B2650" s="381" t="s">
        <v>377</v>
      </c>
      <c r="C2650" s="3" t="s">
        <v>232</v>
      </c>
      <c r="D2650" s="2" t="s">
        <v>228</v>
      </c>
      <c r="E2650" s="382" t="s">
        <v>24</v>
      </c>
      <c r="F2650" s="114" t="s">
        <v>14</v>
      </c>
      <c r="G2650" s="383" t="s">
        <v>110</v>
      </c>
      <c r="H2650" s="384">
        <v>8.49</v>
      </c>
      <c r="I2650" s="376">
        <v>11</v>
      </c>
      <c r="J2650" s="19">
        <v>1</v>
      </c>
      <c r="K2650" s="13">
        <v>9.3390000000000001E-2</v>
      </c>
      <c r="L2650" s="7" t="s">
        <v>483</v>
      </c>
    </row>
    <row r="2651" spans="1:12">
      <c r="A2651" s="7"/>
      <c r="B2651" s="381" t="s">
        <v>377</v>
      </c>
      <c r="C2651" s="3" t="s">
        <v>232</v>
      </c>
      <c r="D2651" s="2" t="s">
        <v>228</v>
      </c>
      <c r="E2651" s="382" t="s">
        <v>24</v>
      </c>
      <c r="F2651" s="114" t="s">
        <v>14</v>
      </c>
      <c r="G2651" s="383" t="s">
        <v>110</v>
      </c>
      <c r="H2651" s="384">
        <v>8.49</v>
      </c>
      <c r="I2651" s="376">
        <v>11.7</v>
      </c>
      <c r="J2651" s="19">
        <v>1</v>
      </c>
      <c r="K2651" s="13">
        <v>9.9333000000000005E-2</v>
      </c>
      <c r="L2651" s="7" t="s">
        <v>483</v>
      </c>
    </row>
    <row r="2652" spans="1:12">
      <c r="A2652" s="7"/>
      <c r="B2652" s="381" t="s">
        <v>366</v>
      </c>
      <c r="C2652" s="3" t="s">
        <v>232</v>
      </c>
      <c r="D2652" s="2" t="s">
        <v>228</v>
      </c>
      <c r="E2652" s="382" t="s">
        <v>17</v>
      </c>
      <c r="F2652" s="114" t="s">
        <v>15</v>
      </c>
      <c r="G2652" s="383" t="s">
        <v>25</v>
      </c>
      <c r="H2652" s="384">
        <v>7.36</v>
      </c>
      <c r="I2652" s="376">
        <v>8</v>
      </c>
      <c r="J2652" s="19">
        <v>0</v>
      </c>
      <c r="K2652" s="13">
        <v>0</v>
      </c>
      <c r="L2652" s="7" t="s">
        <v>483</v>
      </c>
    </row>
    <row r="2653" spans="1:12">
      <c r="A2653" s="7"/>
      <c r="B2653" s="381" t="s">
        <v>366</v>
      </c>
      <c r="C2653" s="3" t="s">
        <v>232</v>
      </c>
      <c r="D2653" s="2" t="s">
        <v>228</v>
      </c>
      <c r="E2653" s="382" t="s">
        <v>17</v>
      </c>
      <c r="F2653" s="114" t="s">
        <v>15</v>
      </c>
      <c r="G2653" s="383" t="s">
        <v>25</v>
      </c>
      <c r="H2653" s="384">
        <v>7.36</v>
      </c>
      <c r="I2653" s="376">
        <v>7</v>
      </c>
      <c r="J2653" s="19">
        <v>1</v>
      </c>
      <c r="K2653" s="13">
        <v>5.1520000000000003E-2</v>
      </c>
      <c r="L2653" s="7" t="s">
        <v>483</v>
      </c>
    </row>
    <row r="2654" spans="1:12">
      <c r="A2654" s="7"/>
      <c r="B2654" s="381" t="s">
        <v>366</v>
      </c>
      <c r="C2654" s="3" t="s">
        <v>232</v>
      </c>
      <c r="D2654" s="2" t="s">
        <v>228</v>
      </c>
      <c r="E2654" s="382" t="s">
        <v>17</v>
      </c>
      <c r="F2654" s="114" t="s">
        <v>15</v>
      </c>
      <c r="G2654" s="383" t="s">
        <v>25</v>
      </c>
      <c r="H2654" s="384">
        <v>7.36</v>
      </c>
      <c r="I2654" s="376">
        <v>7.5</v>
      </c>
      <c r="J2654" s="19">
        <v>0</v>
      </c>
      <c r="K2654" s="13">
        <v>0</v>
      </c>
      <c r="L2654" s="7" t="s">
        <v>483</v>
      </c>
    </row>
    <row r="2655" spans="1:12">
      <c r="A2655" s="7"/>
      <c r="B2655" s="381" t="s">
        <v>366</v>
      </c>
      <c r="C2655" s="3" t="s">
        <v>232</v>
      </c>
      <c r="D2655" s="2" t="s">
        <v>228</v>
      </c>
      <c r="E2655" s="382" t="s">
        <v>17</v>
      </c>
      <c r="F2655" s="114" t="s">
        <v>15</v>
      </c>
      <c r="G2655" s="383" t="s">
        <v>25</v>
      </c>
      <c r="H2655" s="384">
        <v>7.36</v>
      </c>
      <c r="I2655" s="376">
        <v>9.25</v>
      </c>
      <c r="J2655" s="19">
        <v>0</v>
      </c>
      <c r="K2655" s="13">
        <v>0</v>
      </c>
      <c r="L2655" s="7" t="s">
        <v>483</v>
      </c>
    </row>
    <row r="2656" spans="1:12">
      <c r="A2656" s="7"/>
      <c r="B2656" s="381" t="s">
        <v>366</v>
      </c>
      <c r="C2656" s="3" t="s">
        <v>232</v>
      </c>
      <c r="D2656" s="2" t="s">
        <v>228</v>
      </c>
      <c r="E2656" s="382" t="s">
        <v>17</v>
      </c>
      <c r="F2656" s="114" t="s">
        <v>15</v>
      </c>
      <c r="G2656" s="383" t="s">
        <v>25</v>
      </c>
      <c r="H2656" s="384">
        <v>7.36</v>
      </c>
      <c r="I2656" s="376">
        <v>10</v>
      </c>
      <c r="J2656" s="19">
        <v>0</v>
      </c>
      <c r="K2656" s="13">
        <v>0</v>
      </c>
      <c r="L2656" s="7" t="s">
        <v>483</v>
      </c>
    </row>
    <row r="2657" spans="1:12">
      <c r="A2657" s="7"/>
      <c r="B2657" s="381" t="s">
        <v>366</v>
      </c>
      <c r="C2657" s="3" t="s">
        <v>232</v>
      </c>
      <c r="D2657" s="2" t="s">
        <v>228</v>
      </c>
      <c r="E2657" s="382" t="s">
        <v>17</v>
      </c>
      <c r="F2657" s="114" t="s">
        <v>15</v>
      </c>
      <c r="G2657" s="383" t="s">
        <v>25</v>
      </c>
      <c r="H2657" s="384">
        <v>7.36</v>
      </c>
      <c r="I2657" s="376">
        <v>10.5</v>
      </c>
      <c r="J2657" s="19">
        <v>0</v>
      </c>
      <c r="K2657" s="13">
        <v>0</v>
      </c>
      <c r="L2657" s="7" t="s">
        <v>483</v>
      </c>
    </row>
    <row r="2658" spans="1:12">
      <c r="A2658" s="7"/>
      <c r="B2658" s="381" t="s">
        <v>366</v>
      </c>
      <c r="C2658" s="3" t="s">
        <v>232</v>
      </c>
      <c r="D2658" s="2" t="s">
        <v>228</v>
      </c>
      <c r="E2658" s="382" t="s">
        <v>17</v>
      </c>
      <c r="F2658" s="114" t="s">
        <v>15</v>
      </c>
      <c r="G2658" s="383" t="s">
        <v>25</v>
      </c>
      <c r="H2658" s="384">
        <v>7.36</v>
      </c>
      <c r="I2658" s="376">
        <v>11</v>
      </c>
      <c r="J2658" s="19">
        <v>0</v>
      </c>
      <c r="K2658" s="13">
        <v>0</v>
      </c>
      <c r="L2658" s="7" t="s">
        <v>483</v>
      </c>
    </row>
    <row r="2659" spans="1:12">
      <c r="A2659" s="7"/>
      <c r="B2659" s="381" t="s">
        <v>366</v>
      </c>
      <c r="C2659" s="3" t="s">
        <v>232</v>
      </c>
      <c r="D2659" s="2" t="s">
        <v>228</v>
      </c>
      <c r="E2659" s="382" t="s">
        <v>17</v>
      </c>
      <c r="F2659" s="114" t="s">
        <v>15</v>
      </c>
      <c r="G2659" s="383" t="s">
        <v>25</v>
      </c>
      <c r="H2659" s="384">
        <v>7.36</v>
      </c>
      <c r="I2659" s="376">
        <v>11.5</v>
      </c>
      <c r="J2659" s="19">
        <v>0</v>
      </c>
      <c r="K2659" s="13">
        <v>0</v>
      </c>
      <c r="L2659" s="7" t="s">
        <v>483</v>
      </c>
    </row>
    <row r="2660" spans="1:12">
      <c r="A2660" s="7"/>
      <c r="B2660" s="381" t="s">
        <v>366</v>
      </c>
      <c r="C2660" s="3" t="s">
        <v>232</v>
      </c>
      <c r="D2660" s="2" t="s">
        <v>228</v>
      </c>
      <c r="E2660" s="382" t="s">
        <v>17</v>
      </c>
      <c r="F2660" s="114" t="s">
        <v>15</v>
      </c>
      <c r="G2660" s="383" t="s">
        <v>25</v>
      </c>
      <c r="H2660" s="384">
        <v>7.36</v>
      </c>
      <c r="I2660" s="376">
        <v>12</v>
      </c>
      <c r="J2660" s="19">
        <v>0</v>
      </c>
      <c r="K2660" s="13">
        <v>0</v>
      </c>
      <c r="L2660" s="7" t="s">
        <v>483</v>
      </c>
    </row>
    <row r="2661" spans="1:12">
      <c r="A2661" s="7"/>
      <c r="B2661" s="381" t="s">
        <v>366</v>
      </c>
      <c r="C2661" s="3" t="s">
        <v>232</v>
      </c>
      <c r="D2661" s="2" t="s">
        <v>228</v>
      </c>
      <c r="E2661" s="382" t="s">
        <v>17</v>
      </c>
      <c r="F2661" s="114" t="s">
        <v>15</v>
      </c>
      <c r="G2661" s="383" t="s">
        <v>25</v>
      </c>
      <c r="H2661" s="384">
        <v>7.36</v>
      </c>
      <c r="I2661" s="376">
        <v>6.3</v>
      </c>
      <c r="J2661" s="19">
        <v>6</v>
      </c>
      <c r="K2661" s="13">
        <v>0.27820799999999996</v>
      </c>
      <c r="L2661" s="7" t="s">
        <v>483</v>
      </c>
    </row>
    <row r="2662" spans="1:12">
      <c r="A2662" s="7"/>
      <c r="B2662" s="381" t="s">
        <v>366</v>
      </c>
      <c r="C2662" s="3" t="s">
        <v>232</v>
      </c>
      <c r="D2662" s="2" t="s">
        <v>228</v>
      </c>
      <c r="E2662" s="382" t="s">
        <v>17</v>
      </c>
      <c r="F2662" s="114" t="s">
        <v>15</v>
      </c>
      <c r="G2662" s="383" t="s">
        <v>25</v>
      </c>
      <c r="H2662" s="384">
        <v>7.36</v>
      </c>
      <c r="I2662" s="376">
        <v>7.5</v>
      </c>
      <c r="J2662" s="19">
        <v>0</v>
      </c>
      <c r="K2662" s="13">
        <v>0</v>
      </c>
      <c r="L2662" s="7" t="s">
        <v>483</v>
      </c>
    </row>
    <row r="2663" spans="1:12">
      <c r="A2663" s="7"/>
      <c r="B2663" s="381" t="s">
        <v>366</v>
      </c>
      <c r="C2663" s="3" t="s">
        <v>232</v>
      </c>
      <c r="D2663" s="2" t="s">
        <v>228</v>
      </c>
      <c r="E2663" s="382" t="s">
        <v>17</v>
      </c>
      <c r="F2663" s="114" t="s">
        <v>15</v>
      </c>
      <c r="G2663" s="383" t="s">
        <v>25</v>
      </c>
      <c r="H2663" s="384">
        <v>7.36</v>
      </c>
      <c r="I2663" s="376">
        <v>10</v>
      </c>
      <c r="J2663" s="19">
        <v>0</v>
      </c>
      <c r="K2663" s="13">
        <v>0</v>
      </c>
      <c r="L2663" s="7" t="s">
        <v>483</v>
      </c>
    </row>
    <row r="2664" spans="1:12">
      <c r="A2664" s="7"/>
      <c r="B2664" s="381" t="s">
        <v>377</v>
      </c>
      <c r="C2664" s="3" t="s">
        <v>232</v>
      </c>
      <c r="D2664" s="2" t="s">
        <v>228</v>
      </c>
      <c r="E2664" s="382" t="s">
        <v>24</v>
      </c>
      <c r="F2664" s="114" t="s">
        <v>14</v>
      </c>
      <c r="G2664" s="383" t="s">
        <v>27</v>
      </c>
      <c r="H2664" s="384">
        <v>6.17</v>
      </c>
      <c r="I2664" s="376">
        <v>7</v>
      </c>
      <c r="J2664" s="19">
        <v>0</v>
      </c>
      <c r="K2664" s="13">
        <v>0</v>
      </c>
      <c r="L2664" s="7" t="s">
        <v>483</v>
      </c>
    </row>
    <row r="2665" spans="1:12">
      <c r="A2665" s="7"/>
      <c r="B2665" s="381" t="s">
        <v>377</v>
      </c>
      <c r="C2665" s="3" t="s">
        <v>232</v>
      </c>
      <c r="D2665" s="2" t="s">
        <v>228</v>
      </c>
      <c r="E2665" s="382" t="s">
        <v>24</v>
      </c>
      <c r="F2665" s="114" t="s">
        <v>14</v>
      </c>
      <c r="G2665" s="383" t="s">
        <v>27</v>
      </c>
      <c r="H2665" s="384">
        <v>6.17</v>
      </c>
      <c r="I2665" s="376">
        <v>10.25</v>
      </c>
      <c r="J2665" s="19">
        <v>0</v>
      </c>
      <c r="K2665" s="13">
        <v>0</v>
      </c>
      <c r="L2665" s="7" t="s">
        <v>483</v>
      </c>
    </row>
    <row r="2666" spans="1:12">
      <c r="A2666" s="7"/>
      <c r="B2666" s="381" t="s">
        <v>377</v>
      </c>
      <c r="C2666" s="3" t="s">
        <v>232</v>
      </c>
      <c r="D2666" s="2" t="s">
        <v>228</v>
      </c>
      <c r="E2666" s="382" t="s">
        <v>24</v>
      </c>
      <c r="F2666" s="114" t="s">
        <v>14</v>
      </c>
      <c r="G2666" s="383" t="s">
        <v>27</v>
      </c>
      <c r="H2666" s="384">
        <v>6.17</v>
      </c>
      <c r="I2666" s="376">
        <v>10.5</v>
      </c>
      <c r="J2666" s="19">
        <v>0</v>
      </c>
      <c r="K2666" s="13">
        <v>0</v>
      </c>
      <c r="L2666" s="7" t="s">
        <v>483</v>
      </c>
    </row>
    <row r="2667" spans="1:12">
      <c r="A2667" s="7"/>
      <c r="B2667" s="381" t="s">
        <v>377</v>
      </c>
      <c r="C2667" s="3" t="s">
        <v>232</v>
      </c>
      <c r="D2667" s="2" t="s">
        <v>228</v>
      </c>
      <c r="E2667" s="382" t="s">
        <v>24</v>
      </c>
      <c r="F2667" s="114" t="s">
        <v>14</v>
      </c>
      <c r="G2667" s="383" t="s">
        <v>27</v>
      </c>
      <c r="H2667" s="384">
        <v>6.17</v>
      </c>
      <c r="I2667" s="376">
        <v>12</v>
      </c>
      <c r="J2667" s="19">
        <v>0</v>
      </c>
      <c r="K2667" s="13">
        <v>0</v>
      </c>
      <c r="L2667" s="7" t="s">
        <v>483</v>
      </c>
    </row>
    <row r="2668" spans="1:12">
      <c r="A2668" s="7"/>
      <c r="B2668" s="381" t="s">
        <v>377</v>
      </c>
      <c r="C2668" s="3" t="s">
        <v>232</v>
      </c>
      <c r="D2668" s="2" t="s">
        <v>228</v>
      </c>
      <c r="E2668" s="382" t="s">
        <v>24</v>
      </c>
      <c r="F2668" s="114" t="s">
        <v>14</v>
      </c>
      <c r="G2668" s="383" t="s">
        <v>27</v>
      </c>
      <c r="H2668" s="384">
        <v>6.17</v>
      </c>
      <c r="I2668" s="376">
        <v>9.5</v>
      </c>
      <c r="J2668" s="19">
        <v>1</v>
      </c>
      <c r="K2668" s="13">
        <v>5.8615E-2</v>
      </c>
      <c r="L2668" s="7" t="s">
        <v>483</v>
      </c>
    </row>
    <row r="2669" spans="1:12">
      <c r="A2669" s="7"/>
      <c r="B2669" s="381" t="s">
        <v>377</v>
      </c>
      <c r="C2669" s="3" t="s">
        <v>232</v>
      </c>
      <c r="D2669" s="2" t="s">
        <v>228</v>
      </c>
      <c r="E2669" s="382" t="s">
        <v>24</v>
      </c>
      <c r="F2669" s="114" t="s">
        <v>14</v>
      </c>
      <c r="G2669" s="383" t="s">
        <v>27</v>
      </c>
      <c r="H2669" s="384">
        <v>6.17</v>
      </c>
      <c r="I2669" s="376">
        <v>7</v>
      </c>
      <c r="J2669" s="19">
        <v>0</v>
      </c>
      <c r="K2669" s="13">
        <v>0</v>
      </c>
      <c r="L2669" s="7" t="s">
        <v>483</v>
      </c>
    </row>
    <row r="2670" spans="1:12">
      <c r="A2670" s="7"/>
      <c r="B2670" s="381" t="s">
        <v>377</v>
      </c>
      <c r="C2670" s="3" t="s">
        <v>232</v>
      </c>
      <c r="D2670" s="2" t="s">
        <v>228</v>
      </c>
      <c r="E2670" s="382" t="s">
        <v>24</v>
      </c>
      <c r="F2670" s="114" t="s">
        <v>14</v>
      </c>
      <c r="G2670" s="383" t="s">
        <v>27</v>
      </c>
      <c r="H2670" s="384">
        <v>6.17</v>
      </c>
      <c r="I2670" s="376">
        <v>10.25</v>
      </c>
      <c r="J2670" s="19">
        <v>0</v>
      </c>
      <c r="K2670" s="13">
        <v>0</v>
      </c>
      <c r="L2670" s="7" t="s">
        <v>483</v>
      </c>
    </row>
    <row r="2671" spans="1:12">
      <c r="A2671" s="7"/>
      <c r="B2671" s="381" t="s">
        <v>377</v>
      </c>
      <c r="C2671" s="3" t="s">
        <v>232</v>
      </c>
      <c r="D2671" s="2" t="s">
        <v>228</v>
      </c>
      <c r="E2671" s="382" t="s">
        <v>24</v>
      </c>
      <c r="F2671" s="114" t="s">
        <v>14</v>
      </c>
      <c r="G2671" s="383" t="s">
        <v>27</v>
      </c>
      <c r="H2671" s="384">
        <v>6.17</v>
      </c>
      <c r="I2671" s="376">
        <v>10.5</v>
      </c>
      <c r="J2671" s="19">
        <v>0</v>
      </c>
      <c r="K2671" s="13">
        <v>0</v>
      </c>
      <c r="L2671" s="7" t="s">
        <v>483</v>
      </c>
    </row>
    <row r="2672" spans="1:12">
      <c r="A2672" s="7"/>
      <c r="B2672" s="381" t="s">
        <v>377</v>
      </c>
      <c r="C2672" s="3" t="s">
        <v>232</v>
      </c>
      <c r="D2672" s="2" t="s">
        <v>228</v>
      </c>
      <c r="E2672" s="382" t="s">
        <v>24</v>
      </c>
      <c r="F2672" s="114" t="s">
        <v>14</v>
      </c>
      <c r="G2672" s="383" t="s">
        <v>27</v>
      </c>
      <c r="H2672" s="384">
        <v>6.17</v>
      </c>
      <c r="I2672" s="376">
        <v>12</v>
      </c>
      <c r="J2672" s="19">
        <v>6</v>
      </c>
      <c r="K2672" s="13">
        <v>0.44424000000000002</v>
      </c>
      <c r="L2672" s="7" t="s">
        <v>483</v>
      </c>
    </row>
    <row r="2673" spans="1:14">
      <c r="A2673" s="7"/>
      <c r="B2673" s="381" t="s">
        <v>377</v>
      </c>
      <c r="C2673" s="3" t="s">
        <v>232</v>
      </c>
      <c r="D2673" s="2" t="s">
        <v>228</v>
      </c>
      <c r="E2673" s="382" t="s">
        <v>24</v>
      </c>
      <c r="F2673" s="114" t="s">
        <v>14</v>
      </c>
      <c r="G2673" s="383" t="s">
        <v>27</v>
      </c>
      <c r="H2673" s="384">
        <v>6.17</v>
      </c>
      <c r="I2673" s="376">
        <v>5.4</v>
      </c>
      <c r="J2673" s="19">
        <v>1</v>
      </c>
      <c r="K2673" s="13">
        <v>3.3318000000000007E-2</v>
      </c>
      <c r="L2673" s="7" t="s">
        <v>483</v>
      </c>
    </row>
    <row r="2674" spans="1:14">
      <c r="A2674" s="7"/>
      <c r="B2674" s="7"/>
      <c r="C2674" s="7"/>
      <c r="D2674" s="7"/>
      <c r="E2674" s="7"/>
      <c r="F2674" s="7"/>
      <c r="G2674" s="7"/>
      <c r="H2674" s="373"/>
      <c r="I2674" s="7"/>
      <c r="J2674" s="7"/>
      <c r="K2674" s="7"/>
      <c r="L2674" s="7"/>
    </row>
    <row r="2680" spans="1:14" ht="15.6">
      <c r="F2680" s="7" t="s">
        <v>14</v>
      </c>
      <c r="G2680" s="7" t="s">
        <v>28</v>
      </c>
      <c r="H2680" s="11">
        <v>12.18</v>
      </c>
      <c r="I2680" s="160">
        <v>6</v>
      </c>
      <c r="J2680" s="26">
        <v>4</v>
      </c>
      <c r="K2680" s="220">
        <f t="shared" ref="K2680:K2686" si="0">(H2680*I2680*J2680/1000)</f>
        <v>0.29231999999999997</v>
      </c>
      <c r="L2680" s="118"/>
      <c r="M2680" s="219"/>
    </row>
    <row r="2681" spans="1:14" ht="15.6">
      <c r="F2681" s="48" t="s">
        <v>14</v>
      </c>
      <c r="G2681" s="48" t="s">
        <v>28</v>
      </c>
      <c r="H2681" s="11">
        <v>12.18</v>
      </c>
      <c r="I2681" s="160">
        <v>6.75</v>
      </c>
      <c r="J2681" s="7">
        <v>6</v>
      </c>
      <c r="K2681" s="220">
        <f t="shared" si="0"/>
        <v>0.49329000000000001</v>
      </c>
      <c r="L2681" s="118"/>
      <c r="M2681" s="111"/>
    </row>
    <row r="2682" spans="1:14" ht="15.6">
      <c r="E2682" s="20"/>
      <c r="F2682" s="216" t="s">
        <v>14</v>
      </c>
      <c r="G2682" s="216" t="s">
        <v>28</v>
      </c>
      <c r="H2682" s="11">
        <v>12.18</v>
      </c>
      <c r="I2682" s="445">
        <v>8</v>
      </c>
      <c r="J2682" s="219">
        <v>3</v>
      </c>
      <c r="K2682" s="220">
        <f t="shared" si="0"/>
        <v>0.29231999999999997</v>
      </c>
      <c r="L2682" s="4"/>
      <c r="M2682" s="17"/>
      <c r="N2682" s="18"/>
    </row>
    <row r="2683" spans="1:14" ht="15.6">
      <c r="E2683" s="20"/>
      <c r="F2683" s="7" t="s">
        <v>14</v>
      </c>
      <c r="G2683" s="7" t="s">
        <v>28</v>
      </c>
      <c r="H2683" s="11">
        <v>12.18</v>
      </c>
      <c r="I2683" s="160">
        <v>10.1</v>
      </c>
      <c r="J2683" s="26">
        <v>2</v>
      </c>
      <c r="K2683" s="220">
        <f t="shared" si="0"/>
        <v>0.24603599999999998</v>
      </c>
      <c r="L2683" s="4"/>
      <c r="M2683" s="17"/>
      <c r="N2683" s="18"/>
    </row>
    <row r="2684" spans="1:14" ht="15.6">
      <c r="E2684" s="20"/>
      <c r="F2684" s="7" t="s">
        <v>14</v>
      </c>
      <c r="G2684" s="7" t="s">
        <v>28</v>
      </c>
      <c r="H2684" s="11">
        <v>12.18</v>
      </c>
      <c r="I2684" s="160">
        <v>11</v>
      </c>
      <c r="J2684" s="26">
        <v>2</v>
      </c>
      <c r="K2684" s="220">
        <f t="shared" si="0"/>
        <v>0.26795999999999998</v>
      </c>
      <c r="L2684" s="4"/>
      <c r="M2684" s="17"/>
      <c r="N2684" s="18"/>
    </row>
    <row r="2685" spans="1:14" ht="15.6">
      <c r="E2685" s="20"/>
      <c r="F2685" s="216" t="s">
        <v>14</v>
      </c>
      <c r="G2685" s="216" t="s">
        <v>28</v>
      </c>
      <c r="H2685" s="11">
        <v>12.18</v>
      </c>
      <c r="I2685" s="445">
        <v>11.5</v>
      </c>
      <c r="J2685" s="219">
        <v>4</v>
      </c>
      <c r="K2685" s="220">
        <f t="shared" si="0"/>
        <v>0.56028</v>
      </c>
      <c r="L2685" s="4"/>
      <c r="M2685" s="17"/>
      <c r="N2685" s="18"/>
    </row>
    <row r="2686" spans="1:14" ht="15.6">
      <c r="E2686" s="20"/>
      <c r="F2686" s="216" t="s">
        <v>14</v>
      </c>
      <c r="G2686" s="216" t="s">
        <v>28</v>
      </c>
      <c r="H2686" s="11">
        <v>12.18</v>
      </c>
      <c r="I2686" s="445">
        <v>12</v>
      </c>
      <c r="J2686" s="219">
        <v>8</v>
      </c>
      <c r="K2686" s="220">
        <f t="shared" si="0"/>
        <v>1.1692799999999999</v>
      </c>
      <c r="L2686" s="4"/>
      <c r="M2686" s="17"/>
      <c r="N2686" s="18"/>
    </row>
    <row r="2687" spans="1:14">
      <c r="I2687" s="182"/>
    </row>
  </sheetData>
  <sortState ref="F2680:K2702">
    <sortCondition ref="I2680:I2702"/>
  </sortState>
  <pageMargins left="0.2" right="0.2" top="0.16" bottom="0.24" header="0.3" footer="0.3"/>
  <pageSetup paperSize="9" scale="90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4:L27"/>
  <sheetViews>
    <sheetView workbookViewId="0">
      <selection activeCell="N12" sqref="N12"/>
    </sheetView>
  </sheetViews>
  <sheetFormatPr defaultRowHeight="14.4"/>
  <cols>
    <col min="1" max="1" width="5" bestFit="1" customWidth="1"/>
    <col min="3" max="3" width="4.5546875" bestFit="1" customWidth="1"/>
    <col min="4" max="4" width="10.109375" bestFit="1" customWidth="1"/>
    <col min="5" max="5" width="5.33203125" bestFit="1" customWidth="1"/>
    <col min="6" max="6" width="6.88671875" bestFit="1" customWidth="1"/>
    <col min="7" max="7" width="4" bestFit="1" customWidth="1"/>
    <col min="8" max="8" width="11.88671875" bestFit="1" customWidth="1"/>
    <col min="10" max="10" width="11.33203125" bestFit="1" customWidth="1"/>
    <col min="11" max="11" width="27.6640625" bestFit="1" customWidth="1"/>
    <col min="12" max="12" width="55" bestFit="1" customWidth="1"/>
  </cols>
  <sheetData>
    <row r="4" spans="1:12">
      <c r="A4" s="424">
        <v>1337</v>
      </c>
      <c r="B4" s="425">
        <v>45275</v>
      </c>
      <c r="C4" s="426" t="s">
        <v>557</v>
      </c>
      <c r="D4" s="425">
        <v>45298</v>
      </c>
      <c r="E4" s="427" t="s">
        <v>558</v>
      </c>
      <c r="F4" s="424" t="s">
        <v>559</v>
      </c>
      <c r="G4" s="3" t="s">
        <v>15</v>
      </c>
      <c r="H4" s="424" t="s">
        <v>30</v>
      </c>
      <c r="I4" s="444">
        <v>9.2599999999999991E-3</v>
      </c>
      <c r="J4" s="424" t="s">
        <v>560</v>
      </c>
      <c r="K4" s="428"/>
      <c r="L4" s="429" t="s">
        <v>561</v>
      </c>
    </row>
    <row r="5" spans="1:12">
      <c r="A5" s="1">
        <v>1338</v>
      </c>
      <c r="B5" s="430">
        <v>45275</v>
      </c>
      <c r="C5" s="426" t="s">
        <v>557</v>
      </c>
      <c r="D5" s="430">
        <v>45298</v>
      </c>
      <c r="E5" s="431" t="s">
        <v>558</v>
      </c>
      <c r="F5" s="432" t="s">
        <v>562</v>
      </c>
      <c r="G5" s="3" t="s">
        <v>15</v>
      </c>
      <c r="H5" s="1" t="s">
        <v>30</v>
      </c>
      <c r="I5" s="18">
        <v>0.1196</v>
      </c>
      <c r="J5" s="1" t="s">
        <v>563</v>
      </c>
      <c r="K5" s="428"/>
      <c r="L5" s="35" t="s">
        <v>564</v>
      </c>
    </row>
    <row r="6" spans="1:12">
      <c r="A6" s="1">
        <v>1338</v>
      </c>
      <c r="B6" s="430">
        <v>45275</v>
      </c>
      <c r="C6" s="426" t="s">
        <v>557</v>
      </c>
      <c r="D6" s="430">
        <v>45298</v>
      </c>
      <c r="E6" s="431" t="s">
        <v>558</v>
      </c>
      <c r="F6" s="432" t="s">
        <v>562</v>
      </c>
      <c r="G6" s="3" t="s">
        <v>15</v>
      </c>
      <c r="H6" s="1" t="s">
        <v>22</v>
      </c>
      <c r="I6" s="18">
        <v>0.76772499999999999</v>
      </c>
      <c r="J6" s="1" t="s">
        <v>563</v>
      </c>
      <c r="K6" s="428"/>
      <c r="L6" s="35" t="s">
        <v>565</v>
      </c>
    </row>
    <row r="7" spans="1:12">
      <c r="A7" s="1">
        <v>1338</v>
      </c>
      <c r="B7" s="430">
        <v>45275</v>
      </c>
      <c r="C7" s="426" t="s">
        <v>557</v>
      </c>
      <c r="D7" s="430">
        <v>45298</v>
      </c>
      <c r="E7" s="431" t="s">
        <v>558</v>
      </c>
      <c r="F7" s="432" t="s">
        <v>562</v>
      </c>
      <c r="G7" s="3" t="s">
        <v>15</v>
      </c>
      <c r="H7" s="1" t="s">
        <v>28</v>
      </c>
      <c r="I7" s="18">
        <v>0.29886999999999997</v>
      </c>
      <c r="J7" s="1" t="s">
        <v>563</v>
      </c>
      <c r="K7" s="428"/>
      <c r="L7" s="35" t="s">
        <v>566</v>
      </c>
    </row>
    <row r="8" spans="1:12">
      <c r="A8" s="426">
        <v>1340</v>
      </c>
      <c r="B8" s="430">
        <v>45275</v>
      </c>
      <c r="C8" s="426" t="s">
        <v>557</v>
      </c>
      <c r="D8" s="430">
        <v>45298</v>
      </c>
      <c r="E8" s="433" t="s">
        <v>558</v>
      </c>
      <c r="F8" s="434" t="s">
        <v>567</v>
      </c>
      <c r="G8" s="3" t="s">
        <v>14</v>
      </c>
      <c r="H8" s="308" t="s">
        <v>28</v>
      </c>
      <c r="I8" s="125">
        <v>2.42991</v>
      </c>
      <c r="J8" s="308" t="s">
        <v>568</v>
      </c>
      <c r="K8" s="428"/>
      <c r="L8" s="45" t="s">
        <v>569</v>
      </c>
    </row>
    <row r="9" spans="1:12">
      <c r="A9" s="1">
        <v>1340</v>
      </c>
      <c r="B9" s="430">
        <v>45275</v>
      </c>
      <c r="C9" s="426" t="s">
        <v>557</v>
      </c>
      <c r="D9" s="430">
        <v>45298</v>
      </c>
      <c r="E9" s="431" t="s">
        <v>558</v>
      </c>
      <c r="F9" s="1" t="s">
        <v>559</v>
      </c>
      <c r="G9" s="3" t="s">
        <v>15</v>
      </c>
      <c r="H9" s="32" t="s">
        <v>42</v>
      </c>
      <c r="I9" s="125">
        <v>3.5594600000000001</v>
      </c>
      <c r="J9" s="32" t="s">
        <v>568</v>
      </c>
      <c r="K9" s="435"/>
      <c r="L9" s="45" t="s">
        <v>570</v>
      </c>
    </row>
    <row r="10" spans="1:12">
      <c r="A10" s="1">
        <v>1340</v>
      </c>
      <c r="B10" s="430">
        <v>45275</v>
      </c>
      <c r="C10" s="426" t="s">
        <v>557</v>
      </c>
      <c r="D10" s="430">
        <v>45298</v>
      </c>
      <c r="E10" s="433" t="s">
        <v>558</v>
      </c>
      <c r="F10" s="1" t="s">
        <v>559</v>
      </c>
      <c r="G10" s="3" t="s">
        <v>15</v>
      </c>
      <c r="H10" s="32" t="s">
        <v>39</v>
      </c>
      <c r="I10" s="125">
        <v>1.2900799999999999</v>
      </c>
      <c r="J10" s="32" t="s">
        <v>568</v>
      </c>
      <c r="K10" s="435"/>
      <c r="L10" s="35" t="s">
        <v>571</v>
      </c>
    </row>
    <row r="11" spans="1:12">
      <c r="A11" s="426">
        <v>1340</v>
      </c>
      <c r="B11" s="430">
        <v>45275</v>
      </c>
      <c r="C11" s="426" t="s">
        <v>557</v>
      </c>
      <c r="D11" s="430">
        <v>45298</v>
      </c>
      <c r="E11" s="433" t="s">
        <v>558</v>
      </c>
      <c r="F11" s="434" t="s">
        <v>567</v>
      </c>
      <c r="G11" s="3" t="s">
        <v>14</v>
      </c>
      <c r="H11" s="308" t="s">
        <v>39</v>
      </c>
      <c r="I11" s="125">
        <v>2.6241400000000001</v>
      </c>
      <c r="J11" s="308" t="s">
        <v>568</v>
      </c>
      <c r="K11" s="428"/>
      <c r="L11" s="45" t="s">
        <v>572</v>
      </c>
    </row>
    <row r="12" spans="1:12">
      <c r="A12" s="1">
        <v>1340</v>
      </c>
      <c r="B12" s="430">
        <v>45275</v>
      </c>
      <c r="C12" s="426" t="s">
        <v>557</v>
      </c>
      <c r="D12" s="430">
        <v>45298</v>
      </c>
      <c r="E12" s="431" t="s">
        <v>558</v>
      </c>
      <c r="F12" s="1" t="s">
        <v>559</v>
      </c>
      <c r="G12" s="3" t="s">
        <v>15</v>
      </c>
      <c r="H12" s="32" t="s">
        <v>35</v>
      </c>
      <c r="I12" s="125">
        <v>1.1191500000000001</v>
      </c>
      <c r="J12" s="32" t="s">
        <v>568</v>
      </c>
      <c r="K12" s="435"/>
      <c r="L12" s="45" t="s">
        <v>573</v>
      </c>
    </row>
    <row r="13" spans="1:12">
      <c r="A13" s="1">
        <v>1338</v>
      </c>
      <c r="B13" s="430">
        <v>45275</v>
      </c>
      <c r="C13" s="426" t="s">
        <v>557</v>
      </c>
      <c r="D13" s="430">
        <v>45298</v>
      </c>
      <c r="E13" s="431" t="s">
        <v>558</v>
      </c>
      <c r="F13" s="432" t="s">
        <v>562</v>
      </c>
      <c r="G13" s="3" t="s">
        <v>15</v>
      </c>
      <c r="H13" s="1" t="s">
        <v>44</v>
      </c>
      <c r="I13" s="18">
        <v>0.1072</v>
      </c>
      <c r="J13" s="1" t="s">
        <v>563</v>
      </c>
      <c r="K13" s="428"/>
      <c r="L13" s="35" t="s">
        <v>574</v>
      </c>
    </row>
    <row r="14" spans="1:12">
      <c r="A14" s="426">
        <v>1340</v>
      </c>
      <c r="B14" s="430">
        <v>45275</v>
      </c>
      <c r="C14" s="426" t="s">
        <v>557</v>
      </c>
      <c r="D14" s="430">
        <v>45298</v>
      </c>
      <c r="E14" s="433" t="s">
        <v>558</v>
      </c>
      <c r="F14" s="434" t="s">
        <v>567</v>
      </c>
      <c r="G14" s="3" t="s">
        <v>14</v>
      </c>
      <c r="H14" s="308" t="s">
        <v>35</v>
      </c>
      <c r="I14" s="125">
        <v>0.63004000000000004</v>
      </c>
      <c r="J14" s="308" t="s">
        <v>568</v>
      </c>
      <c r="K14" s="428"/>
      <c r="L14" s="45" t="s">
        <v>575</v>
      </c>
    </row>
    <row r="15" spans="1:12">
      <c r="A15" s="426">
        <v>1340</v>
      </c>
      <c r="B15" s="430">
        <v>45275</v>
      </c>
      <c r="C15" s="426" t="s">
        <v>557</v>
      </c>
      <c r="D15" s="430">
        <v>45298</v>
      </c>
      <c r="E15" s="433" t="s">
        <v>558</v>
      </c>
      <c r="F15" s="434" t="s">
        <v>567</v>
      </c>
      <c r="G15" s="3" t="s">
        <v>14</v>
      </c>
      <c r="H15" s="308" t="s">
        <v>44</v>
      </c>
      <c r="I15" s="125">
        <v>1.5677999999999999</v>
      </c>
      <c r="J15" s="308" t="s">
        <v>568</v>
      </c>
      <c r="K15" s="428"/>
      <c r="L15" s="45" t="s">
        <v>576</v>
      </c>
    </row>
    <row r="16" spans="1:12">
      <c r="A16" s="1">
        <v>1136</v>
      </c>
      <c r="B16" s="436">
        <v>45252</v>
      </c>
      <c r="C16" s="437" t="s">
        <v>557</v>
      </c>
      <c r="D16" s="438">
        <v>45291</v>
      </c>
      <c r="E16" s="439" t="s">
        <v>558</v>
      </c>
      <c r="F16" s="96" t="s">
        <v>577</v>
      </c>
      <c r="G16" s="3" t="s">
        <v>14</v>
      </c>
      <c r="H16" s="440" t="s">
        <v>578</v>
      </c>
      <c r="I16" s="18">
        <v>9.4290000000000013E-2</v>
      </c>
      <c r="J16" s="1" t="s">
        <v>579</v>
      </c>
      <c r="K16" s="428"/>
      <c r="L16" s="1" t="s">
        <v>580</v>
      </c>
    </row>
    <row r="17" spans="1:12">
      <c r="A17" s="426">
        <v>1340</v>
      </c>
      <c r="B17" s="430">
        <v>45275</v>
      </c>
      <c r="C17" s="426" t="s">
        <v>557</v>
      </c>
      <c r="D17" s="430">
        <v>45298</v>
      </c>
      <c r="E17" s="433" t="s">
        <v>558</v>
      </c>
      <c r="F17" s="1" t="s">
        <v>559</v>
      </c>
      <c r="G17" s="2" t="s">
        <v>15</v>
      </c>
      <c r="H17" s="320" t="s">
        <v>64</v>
      </c>
      <c r="I17" s="125">
        <v>0.64816200000000002</v>
      </c>
      <c r="J17" s="258" t="s">
        <v>568</v>
      </c>
      <c r="K17" s="428"/>
      <c r="L17" s="45" t="s">
        <v>581</v>
      </c>
    </row>
    <row r="18" spans="1:12">
      <c r="A18" s="426">
        <v>1340</v>
      </c>
      <c r="B18" s="430">
        <v>45275</v>
      </c>
      <c r="C18" s="426" t="s">
        <v>557</v>
      </c>
      <c r="D18" s="430">
        <v>45298</v>
      </c>
      <c r="E18" s="433" t="s">
        <v>558</v>
      </c>
      <c r="F18" s="1" t="s">
        <v>559</v>
      </c>
      <c r="G18" s="2" t="s">
        <v>15</v>
      </c>
      <c r="H18" s="320" t="s">
        <v>54</v>
      </c>
      <c r="I18" s="125">
        <v>2.0224000000000002</v>
      </c>
      <c r="J18" s="258" t="s">
        <v>568</v>
      </c>
      <c r="K18" s="428"/>
      <c r="L18" s="45" t="s">
        <v>582</v>
      </c>
    </row>
    <row r="19" spans="1:12">
      <c r="A19" s="426">
        <v>1340</v>
      </c>
      <c r="B19" s="430">
        <v>45275</v>
      </c>
      <c r="C19" s="426" t="s">
        <v>557</v>
      </c>
      <c r="D19" s="430">
        <v>45298</v>
      </c>
      <c r="E19" s="433" t="s">
        <v>558</v>
      </c>
      <c r="F19" s="1" t="s">
        <v>559</v>
      </c>
      <c r="G19" s="2" t="s">
        <v>15</v>
      </c>
      <c r="H19" s="320" t="s">
        <v>53</v>
      </c>
      <c r="I19" s="125">
        <v>0.28672000000000003</v>
      </c>
      <c r="J19" s="258" t="s">
        <v>568</v>
      </c>
      <c r="K19" s="428"/>
      <c r="L19" s="45" t="s">
        <v>583</v>
      </c>
    </row>
    <row r="20" spans="1:12">
      <c r="A20" s="426">
        <v>1339</v>
      </c>
      <c r="B20" s="430">
        <v>45275</v>
      </c>
      <c r="C20" s="426" t="s">
        <v>557</v>
      </c>
      <c r="D20" s="430">
        <v>45298</v>
      </c>
      <c r="E20" s="4" t="s">
        <v>584</v>
      </c>
      <c r="F20" s="3" t="s">
        <v>585</v>
      </c>
      <c r="G20" s="2" t="s">
        <v>15</v>
      </c>
      <c r="H20" s="426" t="s">
        <v>59</v>
      </c>
      <c r="I20" s="18">
        <v>0.94240000000000002</v>
      </c>
      <c r="J20" s="437" t="s">
        <v>586</v>
      </c>
      <c r="K20" s="428"/>
      <c r="L20" s="35" t="s">
        <v>587</v>
      </c>
    </row>
    <row r="21" spans="1:12">
      <c r="A21" s="426">
        <v>1340</v>
      </c>
      <c r="B21" s="430">
        <v>45275</v>
      </c>
      <c r="C21" s="426" t="s">
        <v>557</v>
      </c>
      <c r="D21" s="430">
        <v>45298</v>
      </c>
      <c r="E21" s="433" t="s">
        <v>558</v>
      </c>
      <c r="F21" s="1" t="s">
        <v>559</v>
      </c>
      <c r="G21" s="2" t="s">
        <v>15</v>
      </c>
      <c r="H21" s="320" t="s">
        <v>65</v>
      </c>
      <c r="I21" s="125">
        <v>1.81995</v>
      </c>
      <c r="J21" s="258" t="s">
        <v>568</v>
      </c>
      <c r="K21" s="428"/>
      <c r="L21" s="45" t="s">
        <v>588</v>
      </c>
    </row>
    <row r="22" spans="1:12">
      <c r="A22" s="1">
        <v>1192</v>
      </c>
      <c r="B22" s="430">
        <v>45261</v>
      </c>
      <c r="C22" s="437" t="s">
        <v>557</v>
      </c>
      <c r="D22" s="430">
        <v>45267</v>
      </c>
      <c r="E22" s="426" t="s">
        <v>558</v>
      </c>
      <c r="F22" s="441" t="s">
        <v>577</v>
      </c>
      <c r="G22" s="1" t="s">
        <v>14</v>
      </c>
      <c r="H22" s="437" t="s">
        <v>144</v>
      </c>
      <c r="I22" s="18">
        <v>0.19080000000000003</v>
      </c>
      <c r="J22" s="1" t="s">
        <v>563</v>
      </c>
      <c r="K22" s="428"/>
      <c r="L22" s="442" t="s">
        <v>589</v>
      </c>
    </row>
    <row r="23" spans="1:12">
      <c r="A23" s="1">
        <v>1192</v>
      </c>
      <c r="B23" s="430">
        <v>45261</v>
      </c>
      <c r="C23" s="437" t="s">
        <v>557</v>
      </c>
      <c r="D23" s="430">
        <v>45267</v>
      </c>
      <c r="E23" s="426" t="s">
        <v>558</v>
      </c>
      <c r="F23" s="432" t="s">
        <v>590</v>
      </c>
      <c r="G23" s="1" t="s">
        <v>14</v>
      </c>
      <c r="H23" s="437" t="s">
        <v>144</v>
      </c>
      <c r="I23" s="18">
        <v>3.1800000000000002E-2</v>
      </c>
      <c r="J23" s="1" t="s">
        <v>563</v>
      </c>
      <c r="K23" s="428"/>
      <c r="L23" s="442" t="s">
        <v>589</v>
      </c>
    </row>
    <row r="24" spans="1:12">
      <c r="A24" s="1">
        <v>1337</v>
      </c>
      <c r="B24" s="430">
        <v>45275</v>
      </c>
      <c r="C24" s="426" t="s">
        <v>557</v>
      </c>
      <c r="D24" s="430">
        <v>45298</v>
      </c>
      <c r="E24" s="433" t="s">
        <v>558</v>
      </c>
      <c r="F24" s="1" t="s">
        <v>559</v>
      </c>
      <c r="G24" s="3" t="s">
        <v>15</v>
      </c>
      <c r="H24" s="440" t="s">
        <v>16</v>
      </c>
      <c r="I24" s="18">
        <v>3.4619999999999998E-2</v>
      </c>
      <c r="J24" s="437" t="s">
        <v>560</v>
      </c>
      <c r="K24" s="428"/>
      <c r="L24" s="35" t="s">
        <v>591</v>
      </c>
    </row>
    <row r="25" spans="1:12">
      <c r="A25" s="1">
        <v>1340</v>
      </c>
      <c r="B25" s="430">
        <v>45275</v>
      </c>
      <c r="C25" s="426" t="s">
        <v>557</v>
      </c>
      <c r="D25" s="430">
        <v>45298</v>
      </c>
      <c r="E25" s="433" t="s">
        <v>558</v>
      </c>
      <c r="F25" s="1" t="s">
        <v>559</v>
      </c>
      <c r="G25" s="3" t="s">
        <v>15</v>
      </c>
      <c r="H25" s="308" t="s">
        <v>592</v>
      </c>
      <c r="I25" s="125">
        <v>1.3963399999999999</v>
      </c>
      <c r="J25" s="258" t="s">
        <v>568</v>
      </c>
      <c r="K25" s="428"/>
      <c r="L25" s="45" t="s">
        <v>593</v>
      </c>
    </row>
    <row r="26" spans="1:12">
      <c r="A26" s="1">
        <v>1340</v>
      </c>
      <c r="B26" s="430">
        <v>45275</v>
      </c>
      <c r="C26" s="426" t="s">
        <v>557</v>
      </c>
      <c r="D26" s="430">
        <v>45298</v>
      </c>
      <c r="E26" s="433" t="s">
        <v>558</v>
      </c>
      <c r="F26" s="1" t="s">
        <v>559</v>
      </c>
      <c r="G26" s="3" t="s">
        <v>15</v>
      </c>
      <c r="H26" s="308" t="s">
        <v>594</v>
      </c>
      <c r="I26" s="125">
        <v>2.312506</v>
      </c>
      <c r="J26" s="258" t="s">
        <v>568</v>
      </c>
      <c r="K26" s="428"/>
      <c r="L26" s="35" t="s">
        <v>595</v>
      </c>
    </row>
    <row r="27" spans="1:12">
      <c r="A27" s="426">
        <v>1338</v>
      </c>
      <c r="B27" s="430">
        <v>45275</v>
      </c>
      <c r="C27" s="426" t="s">
        <v>557</v>
      </c>
      <c r="D27" s="430">
        <v>45298</v>
      </c>
      <c r="E27" s="433" t="s">
        <v>558</v>
      </c>
      <c r="F27" s="443" t="s">
        <v>590</v>
      </c>
      <c r="G27" s="1" t="s">
        <v>14</v>
      </c>
      <c r="H27" s="440" t="s">
        <v>596</v>
      </c>
      <c r="I27" s="18">
        <v>0.1898</v>
      </c>
      <c r="J27" s="437" t="s">
        <v>563</v>
      </c>
      <c r="K27" s="428"/>
      <c r="L27" s="35" t="s">
        <v>597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O32"/>
  <sheetViews>
    <sheetView topLeftCell="A13" workbookViewId="0">
      <selection activeCell="J33" sqref="J33"/>
    </sheetView>
  </sheetViews>
  <sheetFormatPr defaultRowHeight="14.4"/>
  <cols>
    <col min="2" max="2" width="11.6640625" bestFit="1" customWidth="1"/>
    <col min="3" max="3" width="14.5546875" bestFit="1" customWidth="1"/>
    <col min="4" max="4" width="3.6640625" bestFit="1" customWidth="1"/>
    <col min="5" max="5" width="14.88671875" customWidth="1"/>
    <col min="6" max="6" width="9.109375" customWidth="1"/>
    <col min="7" max="7" width="7.5546875" bestFit="1" customWidth="1"/>
    <col min="8" max="8" width="4.88671875" customWidth="1"/>
    <col min="9" max="9" width="5" bestFit="1" customWidth="1"/>
    <col min="10" max="10" width="7.5546875" bestFit="1" customWidth="1"/>
    <col min="11" max="11" width="9.109375" style="213" customWidth="1"/>
    <col min="12" max="12" width="4.5546875" bestFit="1" customWidth="1"/>
    <col min="13" max="13" width="6.5546875" bestFit="1" customWidth="1"/>
    <col min="14" max="14" width="9.109375" style="213"/>
    <col min="15" max="15" width="59.33203125" customWidth="1"/>
  </cols>
  <sheetData>
    <row r="2" spans="1:15">
      <c r="F2" s="575" t="s">
        <v>325</v>
      </c>
      <c r="G2" s="575"/>
      <c r="H2" s="76"/>
      <c r="I2" s="575" t="s">
        <v>782</v>
      </c>
      <c r="J2" s="575"/>
      <c r="K2" s="539"/>
      <c r="L2" s="575" t="s">
        <v>783</v>
      </c>
      <c r="M2" s="575"/>
      <c r="N2" s="543"/>
    </row>
    <row r="3" spans="1:15" ht="26.4">
      <c r="A3" s="121" t="s">
        <v>229</v>
      </c>
      <c r="B3" s="122" t="s">
        <v>230</v>
      </c>
      <c r="C3" s="122" t="s">
        <v>1</v>
      </c>
      <c r="D3" s="122" t="s">
        <v>2</v>
      </c>
      <c r="E3" s="122" t="s">
        <v>3</v>
      </c>
      <c r="F3" s="122" t="s">
        <v>5</v>
      </c>
      <c r="G3" s="122" t="s">
        <v>6</v>
      </c>
      <c r="H3" s="122"/>
      <c r="I3" s="122" t="s">
        <v>5</v>
      </c>
      <c r="J3" s="122" t="s">
        <v>6</v>
      </c>
      <c r="K3" s="122"/>
      <c r="L3" s="122" t="s">
        <v>5</v>
      </c>
      <c r="M3" s="122" t="s">
        <v>6</v>
      </c>
      <c r="N3" s="122" t="s">
        <v>786</v>
      </c>
      <c r="O3" s="122" t="s">
        <v>414</v>
      </c>
    </row>
    <row r="4" spans="1:15">
      <c r="A4" s="110" t="s">
        <v>744</v>
      </c>
      <c r="B4" s="488" t="s">
        <v>239</v>
      </c>
      <c r="C4" s="113" t="s">
        <v>745</v>
      </c>
      <c r="D4" s="489" t="s">
        <v>15</v>
      </c>
      <c r="E4" s="489" t="s">
        <v>149</v>
      </c>
      <c r="F4" s="533">
        <v>1195</v>
      </c>
      <c r="G4" s="534">
        <v>85.180974999999989</v>
      </c>
      <c r="H4" s="535"/>
      <c r="I4" s="533">
        <v>1186</v>
      </c>
      <c r="J4" s="534">
        <v>84.62049199999997</v>
      </c>
      <c r="K4" s="534"/>
      <c r="L4" s="533">
        <v>9</v>
      </c>
      <c r="M4" s="534">
        <v>0.56048300000000006</v>
      </c>
      <c r="N4" s="544">
        <f>M4/J4</f>
        <v>6.6234902061311609E-3</v>
      </c>
      <c r="O4" s="32"/>
    </row>
    <row r="5" spans="1:15">
      <c r="A5" s="110" t="s">
        <v>744</v>
      </c>
      <c r="B5" s="488" t="s">
        <v>747</v>
      </c>
      <c r="C5" s="113" t="s">
        <v>746</v>
      </c>
      <c r="D5" s="489" t="s">
        <v>15</v>
      </c>
      <c r="E5" s="489" t="s">
        <v>149</v>
      </c>
      <c r="F5" s="536">
        <v>139</v>
      </c>
      <c r="G5" s="537">
        <v>8.7957869999999989</v>
      </c>
      <c r="H5" s="535"/>
      <c r="I5" s="533">
        <v>128</v>
      </c>
      <c r="J5" s="534">
        <v>8.068147999999999</v>
      </c>
      <c r="K5" s="534"/>
      <c r="L5" s="533">
        <v>11</v>
      </c>
      <c r="M5" s="534">
        <v>0.72763900000000004</v>
      </c>
      <c r="N5" s="544">
        <f>M5/J5</f>
        <v>9.0186620275185841E-2</v>
      </c>
      <c r="O5" s="32"/>
    </row>
    <row r="6" spans="1:15">
      <c r="A6" s="110" t="s">
        <v>744</v>
      </c>
      <c r="B6" s="488" t="s">
        <v>227</v>
      </c>
      <c r="C6" s="113" t="s">
        <v>152</v>
      </c>
      <c r="D6" s="489" t="s">
        <v>15</v>
      </c>
      <c r="E6" s="489" t="s">
        <v>144</v>
      </c>
      <c r="F6" s="533">
        <v>249</v>
      </c>
      <c r="G6" s="534">
        <v>14.306495999999999</v>
      </c>
      <c r="H6" s="535"/>
      <c r="I6" s="533">
        <v>249</v>
      </c>
      <c r="J6" s="534">
        <v>14.306496000000001</v>
      </c>
      <c r="K6" s="534"/>
      <c r="L6" s="533">
        <v>0</v>
      </c>
      <c r="M6" s="534">
        <v>0</v>
      </c>
      <c r="N6" s="534"/>
      <c r="O6" s="32"/>
    </row>
    <row r="7" spans="1:15">
      <c r="A7" s="110" t="s">
        <v>744</v>
      </c>
      <c r="B7" s="488" t="s">
        <v>239</v>
      </c>
      <c r="C7" s="113" t="s">
        <v>745</v>
      </c>
      <c r="D7" s="519" t="s">
        <v>15</v>
      </c>
      <c r="E7" s="519" t="s">
        <v>144</v>
      </c>
      <c r="F7" s="536">
        <v>42</v>
      </c>
      <c r="G7" s="537">
        <v>2.5501199999999997</v>
      </c>
      <c r="H7" s="538"/>
      <c r="I7" s="536">
        <v>36</v>
      </c>
      <c r="J7" s="537">
        <v>2.1788999999999996</v>
      </c>
      <c r="K7" s="537"/>
      <c r="L7" s="536">
        <v>6</v>
      </c>
      <c r="M7" s="537">
        <v>0.37121999999999999</v>
      </c>
      <c r="N7" s="544">
        <f>M7/J7</f>
        <v>0.17037037037037039</v>
      </c>
      <c r="O7" s="32"/>
    </row>
    <row r="8" spans="1:15">
      <c r="A8" s="110" t="s">
        <v>744</v>
      </c>
      <c r="B8" s="488" t="s">
        <v>227</v>
      </c>
      <c r="C8" s="113" t="s">
        <v>17</v>
      </c>
      <c r="D8" s="489" t="s">
        <v>15</v>
      </c>
      <c r="E8" s="489" t="s">
        <v>144</v>
      </c>
      <c r="F8" s="533">
        <v>462</v>
      </c>
      <c r="G8" s="534">
        <v>27.140486000000003</v>
      </c>
      <c r="H8" s="535"/>
      <c r="I8" s="533">
        <v>450</v>
      </c>
      <c r="J8" s="534">
        <v>26.641759999999998</v>
      </c>
      <c r="K8" s="534"/>
      <c r="L8" s="533">
        <v>12</v>
      </c>
      <c r="M8" s="534">
        <v>0.49872600000000028</v>
      </c>
      <c r="N8" s="544">
        <f>M8/J8</f>
        <v>1.8719709208400659E-2</v>
      </c>
      <c r="O8" s="32" t="s">
        <v>784</v>
      </c>
    </row>
    <row r="9" spans="1:15">
      <c r="A9" s="110" t="s">
        <v>744</v>
      </c>
      <c r="B9" s="488" t="s">
        <v>227</v>
      </c>
      <c r="C9" s="113" t="s">
        <v>19</v>
      </c>
      <c r="D9" s="489" t="s">
        <v>14</v>
      </c>
      <c r="E9" s="489" t="s">
        <v>144</v>
      </c>
      <c r="F9" s="533">
        <v>129</v>
      </c>
      <c r="G9" s="534">
        <v>7.620501</v>
      </c>
      <c r="H9" s="535"/>
      <c r="I9" s="533">
        <v>122</v>
      </c>
      <c r="J9" s="534">
        <v>7.197902</v>
      </c>
      <c r="K9" s="534"/>
      <c r="L9" s="533">
        <v>7</v>
      </c>
      <c r="M9" s="534">
        <v>0.422599</v>
      </c>
      <c r="N9" s="544">
        <f>M9/J9</f>
        <v>5.8711413409073925E-2</v>
      </c>
      <c r="O9" s="32"/>
    </row>
    <row r="10" spans="1:15">
      <c r="A10" s="110" t="s">
        <v>744</v>
      </c>
      <c r="B10" s="488" t="s">
        <v>227</v>
      </c>
      <c r="C10" s="113" t="s">
        <v>24</v>
      </c>
      <c r="D10" s="489" t="s">
        <v>14</v>
      </c>
      <c r="E10" s="489" t="s">
        <v>144</v>
      </c>
      <c r="F10" s="533">
        <v>122</v>
      </c>
      <c r="G10" s="534">
        <v>7.4243999999999994</v>
      </c>
      <c r="H10" s="535"/>
      <c r="I10" s="533">
        <v>121</v>
      </c>
      <c r="J10" s="534">
        <v>7.4270899999999997</v>
      </c>
      <c r="K10" s="534"/>
      <c r="L10" s="533">
        <v>1</v>
      </c>
      <c r="M10" s="534">
        <v>-2.6899999999999147E-3</v>
      </c>
      <c r="N10" s="544">
        <f>M10/J10</f>
        <v>-3.6218761318361763E-4</v>
      </c>
      <c r="O10" s="32" t="s">
        <v>785</v>
      </c>
    </row>
    <row r="11" spans="1:15">
      <c r="A11" s="32"/>
      <c r="B11" s="32"/>
      <c r="C11" s="32"/>
      <c r="D11" s="32"/>
      <c r="E11" s="32"/>
      <c r="F11" s="131">
        <f>SUM(F4:F10)</f>
        <v>2338</v>
      </c>
      <c r="G11" s="124">
        <f>SUM(G4:G10)</f>
        <v>153.01876499999997</v>
      </c>
      <c r="H11" s="32"/>
      <c r="I11" s="131">
        <f>SUM(I4:I10)</f>
        <v>2292</v>
      </c>
      <c r="J11" s="132">
        <f>SUM(J4:J10)</f>
        <v>150.44078799999994</v>
      </c>
      <c r="K11" s="124"/>
      <c r="L11" s="131">
        <f>SUM(L4:L10)</f>
        <v>46</v>
      </c>
      <c r="M11" s="132">
        <f>SUM(M4:M10)</f>
        <v>2.5779770000000006</v>
      </c>
      <c r="N11" s="545">
        <f>M11/J11</f>
        <v>1.7136157250120236E-2</v>
      </c>
      <c r="O11" s="32"/>
    </row>
    <row r="13" spans="1:15">
      <c r="A13" s="110" t="s">
        <v>771</v>
      </c>
      <c r="B13" s="488" t="s">
        <v>309</v>
      </c>
      <c r="C13" s="118" t="s">
        <v>20</v>
      </c>
      <c r="D13" s="552" t="s">
        <v>15</v>
      </c>
      <c r="E13" s="552" t="s">
        <v>64</v>
      </c>
      <c r="F13" s="553">
        <v>58</v>
      </c>
      <c r="G13" s="554">
        <v>19.640909000000001</v>
      </c>
      <c r="H13" s="554"/>
      <c r="I13" s="553">
        <v>58</v>
      </c>
      <c r="J13" s="554">
        <v>19.640909000000001</v>
      </c>
      <c r="K13" s="554"/>
      <c r="L13" s="553">
        <v>0</v>
      </c>
      <c r="M13" s="554">
        <v>0</v>
      </c>
      <c r="N13" s="551"/>
      <c r="O13" s="32"/>
    </row>
    <row r="14" spans="1:15">
      <c r="A14" s="110" t="s">
        <v>771</v>
      </c>
      <c r="B14" s="488" t="s">
        <v>309</v>
      </c>
      <c r="C14" s="118" t="s">
        <v>88</v>
      </c>
      <c r="D14" s="552" t="s">
        <v>15</v>
      </c>
      <c r="E14" s="552" t="s">
        <v>57</v>
      </c>
      <c r="F14" s="553">
        <v>17</v>
      </c>
      <c r="G14" s="554">
        <v>5.4525239999999995</v>
      </c>
      <c r="H14" s="554"/>
      <c r="I14" s="553">
        <v>17</v>
      </c>
      <c r="J14" s="554">
        <v>5.4525240000000004</v>
      </c>
      <c r="K14" s="554"/>
      <c r="L14" s="553">
        <v>0</v>
      </c>
      <c r="M14" s="554">
        <v>0</v>
      </c>
      <c r="N14" s="551"/>
      <c r="O14" s="32"/>
    </row>
    <row r="15" spans="1:15">
      <c r="A15" s="110" t="s">
        <v>771</v>
      </c>
      <c r="B15" s="488" t="s">
        <v>428</v>
      </c>
      <c r="C15" s="118" t="s">
        <v>20</v>
      </c>
      <c r="D15" s="552" t="s">
        <v>15</v>
      </c>
      <c r="E15" s="552" t="s">
        <v>65</v>
      </c>
      <c r="F15" s="553">
        <v>86</v>
      </c>
      <c r="G15" s="554">
        <v>30.33888</v>
      </c>
      <c r="H15" s="554"/>
      <c r="I15" s="553">
        <v>80</v>
      </c>
      <c r="J15" s="554">
        <v>28.177499999999998</v>
      </c>
      <c r="K15" s="554"/>
      <c r="L15" s="553">
        <v>6</v>
      </c>
      <c r="M15" s="554">
        <v>2.1613800000000003</v>
      </c>
      <c r="N15" s="544">
        <f t="shared" ref="N15:N16" si="0">M15/J15</f>
        <v>7.6705882352941193E-2</v>
      </c>
      <c r="O15" s="32"/>
    </row>
    <row r="16" spans="1:15">
      <c r="A16" s="110" t="s">
        <v>777</v>
      </c>
      <c r="B16" s="488" t="s">
        <v>428</v>
      </c>
      <c r="C16" s="118" t="s">
        <v>20</v>
      </c>
      <c r="D16" s="552" t="s">
        <v>15</v>
      </c>
      <c r="E16" s="552" t="s">
        <v>65</v>
      </c>
      <c r="F16" s="553">
        <v>298</v>
      </c>
      <c r="G16" s="554">
        <v>89.85860000000001</v>
      </c>
      <c r="H16" s="554"/>
      <c r="I16" s="553">
        <v>296</v>
      </c>
      <c r="J16" s="554">
        <v>89.093940000000003</v>
      </c>
      <c r="K16" s="554"/>
      <c r="L16" s="553">
        <v>2</v>
      </c>
      <c r="M16" s="554">
        <v>0.76466000000000012</v>
      </c>
      <c r="N16" s="544">
        <f t="shared" si="0"/>
        <v>8.5826263828942817E-3</v>
      </c>
      <c r="O16" s="32"/>
    </row>
    <row r="17" spans="1:15">
      <c r="A17" s="110" t="s">
        <v>777</v>
      </c>
      <c r="B17" s="488" t="s">
        <v>428</v>
      </c>
      <c r="C17" s="118" t="s">
        <v>20</v>
      </c>
      <c r="D17" s="552" t="s">
        <v>15</v>
      </c>
      <c r="E17" s="552" t="s">
        <v>53</v>
      </c>
      <c r="F17" s="553">
        <v>24</v>
      </c>
      <c r="G17" s="554">
        <v>5.4424399999999995</v>
      </c>
      <c r="H17" s="554"/>
      <c r="I17" s="553">
        <v>20</v>
      </c>
      <c r="J17" s="554">
        <v>4.5233999999999996</v>
      </c>
      <c r="K17" s="554"/>
      <c r="L17" s="553">
        <v>4</v>
      </c>
      <c r="M17" s="554">
        <v>0.91903999999999986</v>
      </c>
      <c r="N17" s="544">
        <f>M17/J17</f>
        <v>0.20317460317460315</v>
      </c>
      <c r="O17" s="32"/>
    </row>
    <row r="18" spans="1:15">
      <c r="A18" s="110" t="s">
        <v>777</v>
      </c>
      <c r="B18" s="488" t="s">
        <v>428</v>
      </c>
      <c r="C18" s="118" t="s">
        <v>20</v>
      </c>
      <c r="D18" s="552" t="s">
        <v>15</v>
      </c>
      <c r="E18" s="552" t="s">
        <v>57</v>
      </c>
      <c r="F18" s="553">
        <v>137</v>
      </c>
      <c r="G18" s="554">
        <v>46.37360000000001</v>
      </c>
      <c r="H18" s="554"/>
      <c r="I18" s="553">
        <v>134</v>
      </c>
      <c r="J18" s="554">
        <v>45.714500000000001</v>
      </c>
      <c r="K18" s="554"/>
      <c r="L18" s="553">
        <v>3</v>
      </c>
      <c r="M18" s="554">
        <v>0.65910000000000002</v>
      </c>
      <c r="N18" s="544">
        <f>M18/J18</f>
        <v>1.4417744916820702E-2</v>
      </c>
      <c r="O18" s="32"/>
    </row>
    <row r="19" spans="1:15">
      <c r="A19" s="110" t="s">
        <v>777</v>
      </c>
      <c r="B19" s="488" t="s">
        <v>428</v>
      </c>
      <c r="C19" s="118" t="s">
        <v>20</v>
      </c>
      <c r="D19" s="552" t="s">
        <v>15</v>
      </c>
      <c r="E19" s="552" t="s">
        <v>54</v>
      </c>
      <c r="F19" s="553">
        <v>67</v>
      </c>
      <c r="G19" s="554">
        <v>20.944480000000002</v>
      </c>
      <c r="H19" s="554"/>
      <c r="I19" s="553">
        <v>66</v>
      </c>
      <c r="J19" s="554">
        <v>20.5716</v>
      </c>
      <c r="K19" s="554"/>
      <c r="L19" s="553">
        <v>1</v>
      </c>
      <c r="M19" s="554">
        <v>0.37288000000000004</v>
      </c>
      <c r="N19" s="544">
        <f t="shared" ref="N19:N20" si="1">M19/J19</f>
        <v>1.8125960061443933E-2</v>
      </c>
      <c r="O19" s="32"/>
    </row>
    <row r="20" spans="1:15">
      <c r="A20" s="110" t="s">
        <v>777</v>
      </c>
      <c r="B20" s="488" t="s">
        <v>428</v>
      </c>
      <c r="C20" s="118" t="s">
        <v>20</v>
      </c>
      <c r="D20" s="552" t="s">
        <v>15</v>
      </c>
      <c r="E20" s="552" t="s">
        <v>58</v>
      </c>
      <c r="F20" s="553">
        <v>149</v>
      </c>
      <c r="G20" s="554">
        <v>34.257405000000006</v>
      </c>
      <c r="H20" s="554"/>
      <c r="I20" s="553">
        <v>145</v>
      </c>
      <c r="J20" s="554">
        <v>33.183149999999998</v>
      </c>
      <c r="K20" s="554"/>
      <c r="L20" s="553">
        <v>4</v>
      </c>
      <c r="M20" s="554">
        <v>1.074255</v>
      </c>
      <c r="N20" s="544">
        <f t="shared" si="1"/>
        <v>3.2373508844097079E-2</v>
      </c>
      <c r="O20" s="32"/>
    </row>
    <row r="21" spans="1:15">
      <c r="A21" s="110" t="s">
        <v>778</v>
      </c>
      <c r="B21" s="488" t="s">
        <v>428</v>
      </c>
      <c r="C21" s="118" t="s">
        <v>20</v>
      </c>
      <c r="D21" s="552" t="s">
        <v>15</v>
      </c>
      <c r="E21" s="552" t="s">
        <v>60</v>
      </c>
      <c r="F21" s="553">
        <v>114</v>
      </c>
      <c r="G21" s="554">
        <v>24.407600000000002</v>
      </c>
      <c r="H21" s="554"/>
      <c r="I21" s="553">
        <v>113</v>
      </c>
      <c r="J21" s="554">
        <v>24.269600000000001</v>
      </c>
      <c r="K21" s="554"/>
      <c r="L21" s="553">
        <v>1</v>
      </c>
      <c r="M21" s="554">
        <v>0.13800000000000001</v>
      </c>
      <c r="N21" s="544">
        <f>M21/J21</f>
        <v>5.6861258529188781E-3</v>
      </c>
      <c r="O21" s="32"/>
    </row>
    <row r="22" spans="1:15">
      <c r="A22" s="110" t="s">
        <v>777</v>
      </c>
      <c r="B22" s="488" t="s">
        <v>428</v>
      </c>
      <c r="C22" s="118" t="s">
        <v>20</v>
      </c>
      <c r="D22" s="552" t="s">
        <v>15</v>
      </c>
      <c r="E22" s="552" t="s">
        <v>53</v>
      </c>
      <c r="F22" s="553">
        <v>288</v>
      </c>
      <c r="G22" s="554">
        <v>101.11593999999994</v>
      </c>
      <c r="H22" s="554"/>
      <c r="I22" s="553">
        <v>288</v>
      </c>
      <c r="J22" s="554">
        <v>101.11593999999999</v>
      </c>
      <c r="K22" s="554"/>
      <c r="L22" s="553">
        <v>0</v>
      </c>
      <c r="M22" s="554">
        <v>0</v>
      </c>
      <c r="N22" s="551"/>
      <c r="O22" s="32"/>
    </row>
    <row r="23" spans="1:15">
      <c r="A23" s="110" t="s">
        <v>777</v>
      </c>
      <c r="B23" s="488" t="s">
        <v>781</v>
      </c>
      <c r="C23" s="118" t="s">
        <v>17</v>
      </c>
      <c r="D23" s="552" t="s">
        <v>15</v>
      </c>
      <c r="E23" s="552" t="s">
        <v>57</v>
      </c>
      <c r="F23" s="553">
        <v>27</v>
      </c>
      <c r="G23" s="554">
        <v>8.8177799999999991</v>
      </c>
      <c r="H23" s="554"/>
      <c r="I23" s="553">
        <v>24</v>
      </c>
      <c r="J23" s="554">
        <v>7.8500160000000001</v>
      </c>
      <c r="K23" s="554"/>
      <c r="L23" s="553">
        <v>3</v>
      </c>
      <c r="M23" s="554">
        <v>0.96776399999999985</v>
      </c>
      <c r="N23" s="544">
        <f>M23/J23</f>
        <v>0.12328178694158073</v>
      </c>
      <c r="O23" s="32"/>
    </row>
    <row r="24" spans="1:15">
      <c r="A24" s="110" t="s">
        <v>777</v>
      </c>
      <c r="B24" s="488" t="s">
        <v>781</v>
      </c>
      <c r="C24" s="118" t="s">
        <v>17</v>
      </c>
      <c r="D24" s="552" t="s">
        <v>15</v>
      </c>
      <c r="E24" s="552" t="s">
        <v>64</v>
      </c>
      <c r="F24" s="553">
        <v>17</v>
      </c>
      <c r="G24" s="554">
        <v>6.6336580000000005</v>
      </c>
      <c r="H24" s="554"/>
      <c r="I24" s="553">
        <v>13</v>
      </c>
      <c r="J24" s="554">
        <v>5.0492619999999997</v>
      </c>
      <c r="K24" s="554"/>
      <c r="L24" s="553">
        <v>4</v>
      </c>
      <c r="M24" s="554">
        <v>1.5843959999999999</v>
      </c>
      <c r="N24" s="544">
        <f>M24/J24</f>
        <v>0.31378763866877973</v>
      </c>
      <c r="O24" s="32"/>
    </row>
    <row r="25" spans="1:15">
      <c r="A25" s="110" t="s">
        <v>777</v>
      </c>
      <c r="B25" s="488" t="s">
        <v>781</v>
      </c>
      <c r="C25" s="118" t="s">
        <v>17</v>
      </c>
      <c r="D25" s="552" t="s">
        <v>15</v>
      </c>
      <c r="E25" s="552" t="s">
        <v>59</v>
      </c>
      <c r="F25" s="553">
        <v>212</v>
      </c>
      <c r="G25" s="554">
        <v>75.408491999999995</v>
      </c>
      <c r="H25" s="554"/>
      <c r="I25" s="553">
        <v>205</v>
      </c>
      <c r="J25" s="554">
        <v>72.966992000000005</v>
      </c>
      <c r="K25" s="554"/>
      <c r="L25" s="553">
        <v>7</v>
      </c>
      <c r="M25" s="554">
        <v>2.4415</v>
      </c>
      <c r="N25" s="544">
        <f t="shared" ref="N25:N26" si="2">M25/J25</f>
        <v>3.3460335051224255E-2</v>
      </c>
      <c r="O25" s="32"/>
    </row>
    <row r="26" spans="1:15" s="213" customFormat="1">
      <c r="A26" s="110" t="s">
        <v>777</v>
      </c>
      <c r="B26" s="488" t="s">
        <v>781</v>
      </c>
      <c r="C26" s="118" t="s">
        <v>17</v>
      </c>
      <c r="D26" s="552" t="s">
        <v>15</v>
      </c>
      <c r="E26" s="40" t="s">
        <v>56</v>
      </c>
      <c r="F26" s="553">
        <f>54+58+36+42+52+123+32+39+4</f>
        <v>440</v>
      </c>
      <c r="G26" s="554">
        <v>91.954999999999998</v>
      </c>
      <c r="H26" s="554"/>
      <c r="I26" s="553">
        <v>420</v>
      </c>
      <c r="J26" s="554">
        <v>86.69</v>
      </c>
      <c r="K26" s="554"/>
      <c r="L26" s="553">
        <f>F26-I26</f>
        <v>20</v>
      </c>
      <c r="M26" s="554">
        <f>G26-J26</f>
        <v>5.2650000000000006</v>
      </c>
      <c r="N26" s="544">
        <f t="shared" si="2"/>
        <v>6.0733648633060341E-2</v>
      </c>
      <c r="O26" s="32"/>
    </row>
    <row r="27" spans="1:15" s="213" customFormat="1">
      <c r="A27" s="110" t="s">
        <v>777</v>
      </c>
      <c r="B27" s="488" t="s">
        <v>781</v>
      </c>
      <c r="C27" s="118" t="s">
        <v>17</v>
      </c>
      <c r="D27" s="552" t="s">
        <v>15</v>
      </c>
      <c r="E27" s="40" t="s">
        <v>58</v>
      </c>
      <c r="F27" s="553">
        <f>37+24+32+3</f>
        <v>96</v>
      </c>
      <c r="G27" s="554">
        <v>24.71</v>
      </c>
      <c r="H27" s="554"/>
      <c r="I27" s="553">
        <v>93</v>
      </c>
      <c r="J27" s="554">
        <v>23.722000000000001</v>
      </c>
      <c r="K27" s="554"/>
      <c r="L27" s="553">
        <f t="shared" ref="L27:L28" si="3">F27-I27</f>
        <v>3</v>
      </c>
      <c r="M27" s="554">
        <f>G27-J27</f>
        <v>0.98799999999999955</v>
      </c>
      <c r="N27" s="544">
        <f>M27/J27</f>
        <v>4.1649102099317069E-2</v>
      </c>
      <c r="O27" s="32"/>
    </row>
    <row r="28" spans="1:15" s="213" customFormat="1" ht="28.8">
      <c r="A28" s="110" t="s">
        <v>777</v>
      </c>
      <c r="B28" s="488" t="s">
        <v>781</v>
      </c>
      <c r="C28" s="118" t="s">
        <v>17</v>
      </c>
      <c r="D28" s="552" t="s">
        <v>15</v>
      </c>
      <c r="E28" s="40" t="s">
        <v>54</v>
      </c>
      <c r="F28" s="553">
        <f>122+76+31+40+3+1+2+3</f>
        <v>278</v>
      </c>
      <c r="G28" s="554">
        <v>69.739999999999995</v>
      </c>
      <c r="H28" s="554"/>
      <c r="I28" s="553">
        <v>268</v>
      </c>
      <c r="J28" s="554">
        <v>68.114999999999995</v>
      </c>
      <c r="K28" s="554"/>
      <c r="L28" s="553">
        <f t="shared" si="3"/>
        <v>10</v>
      </c>
      <c r="M28" s="554">
        <f>G28-J28</f>
        <v>1.625</v>
      </c>
      <c r="N28" s="544">
        <f>M28/J28</f>
        <v>2.3856712911987082E-2</v>
      </c>
      <c r="O28" s="555" t="s">
        <v>787</v>
      </c>
    </row>
    <row r="29" spans="1:15">
      <c r="A29" s="32"/>
      <c r="B29" s="32"/>
      <c r="C29" s="32"/>
      <c r="D29" s="32"/>
      <c r="E29" s="175"/>
      <c r="F29" s="131">
        <f>SUM(F13:F28)</f>
        <v>2308</v>
      </c>
      <c r="G29" s="124">
        <f>SUM(G13:G28)</f>
        <v>655.097308</v>
      </c>
      <c r="H29" s="32"/>
      <c r="I29" s="131">
        <f>SUM(I13:I28)</f>
        <v>2240</v>
      </c>
      <c r="J29" s="124">
        <f>SUM(J13:J28)</f>
        <v>636.13633299999992</v>
      </c>
      <c r="K29" s="32"/>
      <c r="L29" s="131">
        <f>SUM(L13:L28)</f>
        <v>68</v>
      </c>
      <c r="M29" s="132">
        <f>SUM(M13:M28)</f>
        <v>18.960974999999998</v>
      </c>
      <c r="N29" s="545">
        <f>M29/J29</f>
        <v>2.9806464457989072E-2</v>
      </c>
      <c r="O29" s="32"/>
    </row>
    <row r="32" spans="1:15">
      <c r="L32" s="213"/>
    </row>
  </sheetData>
  <mergeCells count="3">
    <mergeCell ref="F2:G2"/>
    <mergeCell ref="I2:J2"/>
    <mergeCell ref="L2:M2"/>
  </mergeCells>
  <pageMargins left="0.24" right="0.7" top="0.32" bottom="0.34" header="0.3" footer="0.3"/>
  <pageSetup paperSize="9" scale="77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7:O19"/>
  <sheetViews>
    <sheetView workbookViewId="0">
      <selection activeCell="A7" sqref="A7:O19"/>
    </sheetView>
  </sheetViews>
  <sheetFormatPr defaultRowHeight="14.4"/>
  <cols>
    <col min="2" max="2" width="12.5546875" bestFit="1" customWidth="1"/>
    <col min="4" max="4" width="13.109375" bestFit="1" customWidth="1"/>
    <col min="5" max="5" width="3.44140625" bestFit="1" customWidth="1"/>
    <col min="6" max="6" width="15.44140625" customWidth="1"/>
    <col min="11" max="11" width="4" bestFit="1" customWidth="1"/>
    <col min="13" max="13" width="9.109375" style="213"/>
  </cols>
  <sheetData>
    <row r="7" spans="1:15" ht="27">
      <c r="A7" s="110" t="s">
        <v>771</v>
      </c>
      <c r="B7" s="111" t="s">
        <v>309</v>
      </c>
      <c r="C7" s="213"/>
      <c r="D7" s="113" t="s">
        <v>20</v>
      </c>
      <c r="E7" s="175" t="s">
        <v>15</v>
      </c>
      <c r="F7" s="175" t="s">
        <v>64</v>
      </c>
      <c r="G7" s="213"/>
      <c r="H7" s="78">
        <v>58</v>
      </c>
      <c r="I7" s="128">
        <v>19.640909000000001</v>
      </c>
      <c r="J7" s="186"/>
      <c r="K7" s="78">
        <v>58</v>
      </c>
      <c r="L7" s="128">
        <v>19.640908999999997</v>
      </c>
      <c r="M7" s="128"/>
      <c r="N7" s="78">
        <v>0</v>
      </c>
      <c r="O7" s="128">
        <v>0</v>
      </c>
    </row>
    <row r="8" spans="1:15" ht="27">
      <c r="A8" s="110" t="s">
        <v>771</v>
      </c>
      <c r="B8" s="111" t="s">
        <v>309</v>
      </c>
      <c r="C8" s="32"/>
      <c r="D8" s="113" t="s">
        <v>88</v>
      </c>
      <c r="E8" s="175" t="s">
        <v>15</v>
      </c>
      <c r="F8" s="175" t="s">
        <v>57</v>
      </c>
      <c r="G8" s="32"/>
      <c r="H8" s="131">
        <v>17</v>
      </c>
      <c r="I8" s="132">
        <v>5.4525239999999995</v>
      </c>
      <c r="J8" s="320"/>
      <c r="K8" s="131">
        <v>17</v>
      </c>
      <c r="L8" s="132">
        <v>5.4525239999999995</v>
      </c>
      <c r="M8" s="132"/>
      <c r="N8" s="131">
        <v>0</v>
      </c>
      <c r="O8" s="132">
        <v>0</v>
      </c>
    </row>
    <row r="9" spans="1:15" ht="27">
      <c r="A9" s="110" t="s">
        <v>771</v>
      </c>
      <c r="B9" s="111" t="s">
        <v>428</v>
      </c>
      <c r="C9" s="213"/>
      <c r="D9" s="113" t="s">
        <v>20</v>
      </c>
      <c r="E9" s="175" t="s">
        <v>15</v>
      </c>
      <c r="F9" s="175" t="s">
        <v>65</v>
      </c>
      <c r="G9" s="213"/>
      <c r="H9" s="78">
        <v>86</v>
      </c>
      <c r="I9" s="128">
        <v>30.33888</v>
      </c>
      <c r="J9" s="186"/>
      <c r="K9" s="78">
        <v>80</v>
      </c>
      <c r="L9" s="128">
        <v>28.177500000000002</v>
      </c>
      <c r="M9" s="128"/>
      <c r="N9" s="78">
        <v>6</v>
      </c>
      <c r="O9" s="128">
        <v>2.1613800000000003</v>
      </c>
    </row>
    <row r="10" spans="1:15" ht="27">
      <c r="A10" s="110" t="s">
        <v>777</v>
      </c>
      <c r="B10" s="111" t="s">
        <v>428</v>
      </c>
      <c r="C10" s="32"/>
      <c r="D10" s="113" t="s">
        <v>20</v>
      </c>
      <c r="E10" s="175" t="s">
        <v>15</v>
      </c>
      <c r="F10" s="175" t="s">
        <v>65</v>
      </c>
      <c r="G10" s="32"/>
      <c r="H10" s="131">
        <v>298</v>
      </c>
      <c r="I10" s="132">
        <v>89.85860000000001</v>
      </c>
      <c r="J10" s="320"/>
      <c r="K10" s="131">
        <v>296</v>
      </c>
      <c r="L10" s="132">
        <v>89.093940000000003</v>
      </c>
      <c r="M10" s="132"/>
      <c r="N10" s="131">
        <v>2</v>
      </c>
      <c r="O10" s="132">
        <v>0.76466000000000012</v>
      </c>
    </row>
    <row r="11" spans="1:15" ht="27">
      <c r="A11" s="110" t="s">
        <v>777</v>
      </c>
      <c r="B11" s="111" t="s">
        <v>428</v>
      </c>
      <c r="C11" s="213"/>
      <c r="D11" s="113" t="s">
        <v>20</v>
      </c>
      <c r="E11" s="175" t="s">
        <v>15</v>
      </c>
      <c r="F11" s="525" t="s">
        <v>53</v>
      </c>
      <c r="G11" s="213"/>
      <c r="H11" s="78">
        <v>24</v>
      </c>
      <c r="I11" s="128">
        <v>5.4424399999999995</v>
      </c>
      <c r="J11" s="186"/>
      <c r="K11" s="78">
        <v>20</v>
      </c>
      <c r="L11" s="128">
        <v>4.5233999999999996</v>
      </c>
      <c r="M11" s="128"/>
      <c r="N11" s="78">
        <v>4</v>
      </c>
      <c r="O11" s="128">
        <v>0.91903999999999986</v>
      </c>
    </row>
    <row r="12" spans="1:15" ht="27">
      <c r="A12" s="521" t="s">
        <v>777</v>
      </c>
      <c r="B12" s="522" t="s">
        <v>428</v>
      </c>
      <c r="C12" s="213"/>
      <c r="D12" s="524" t="s">
        <v>20</v>
      </c>
      <c r="E12" s="525" t="s">
        <v>15</v>
      </c>
      <c r="F12" s="525" t="s">
        <v>57</v>
      </c>
      <c r="G12" s="213"/>
      <c r="H12" s="78">
        <v>137</v>
      </c>
      <c r="I12" s="128">
        <v>46.37360000000001</v>
      </c>
      <c r="J12" s="186"/>
      <c r="K12" s="78">
        <v>134</v>
      </c>
      <c r="L12" s="128">
        <v>45.714500000000001</v>
      </c>
      <c r="M12" s="128"/>
      <c r="N12" s="78">
        <v>3</v>
      </c>
      <c r="O12" s="128">
        <v>0.65910000000000002</v>
      </c>
    </row>
    <row r="13" spans="1:15" ht="27">
      <c r="A13" s="521" t="s">
        <v>777</v>
      </c>
      <c r="B13" s="522" t="s">
        <v>428</v>
      </c>
      <c r="C13" s="213"/>
      <c r="D13" s="524" t="s">
        <v>20</v>
      </c>
      <c r="E13" s="525" t="s">
        <v>15</v>
      </c>
      <c r="F13" s="525" t="s">
        <v>54</v>
      </c>
      <c r="G13" s="213"/>
      <c r="H13" s="78">
        <v>67</v>
      </c>
      <c r="I13" s="128">
        <v>20.944480000000002</v>
      </c>
      <c r="J13" s="186"/>
      <c r="K13" s="78">
        <v>66</v>
      </c>
      <c r="L13" s="128">
        <v>20.5716</v>
      </c>
      <c r="M13" s="128"/>
      <c r="N13" s="78">
        <v>1</v>
      </c>
      <c r="O13" s="128">
        <v>0.37288000000000004</v>
      </c>
    </row>
    <row r="14" spans="1:15" ht="27">
      <c r="A14" s="110" t="s">
        <v>777</v>
      </c>
      <c r="B14" s="111" t="s">
        <v>428</v>
      </c>
      <c r="C14" s="32"/>
      <c r="D14" s="113" t="s">
        <v>20</v>
      </c>
      <c r="E14" s="175" t="s">
        <v>15</v>
      </c>
      <c r="F14" s="175" t="s">
        <v>58</v>
      </c>
      <c r="G14" s="32"/>
      <c r="H14" s="131">
        <v>149</v>
      </c>
      <c r="I14" s="132">
        <v>34.257405000000006</v>
      </c>
      <c r="J14" s="320"/>
      <c r="K14" s="131">
        <v>145</v>
      </c>
      <c r="L14" s="132">
        <v>33.183150000000005</v>
      </c>
      <c r="M14" s="132"/>
      <c r="N14" s="131">
        <v>4</v>
      </c>
      <c r="O14" s="132">
        <v>1.074255</v>
      </c>
    </row>
    <row r="15" spans="1:15" ht="27">
      <c r="A15" s="110" t="s">
        <v>778</v>
      </c>
      <c r="B15" s="111" t="s">
        <v>428</v>
      </c>
      <c r="C15" s="32"/>
      <c r="D15" s="113" t="s">
        <v>20</v>
      </c>
      <c r="E15" s="175" t="s">
        <v>15</v>
      </c>
      <c r="F15" s="175" t="s">
        <v>60</v>
      </c>
      <c r="G15" s="32"/>
      <c r="H15" s="131">
        <v>114</v>
      </c>
      <c r="I15" s="132">
        <v>24.407600000000002</v>
      </c>
      <c r="J15" s="320"/>
      <c r="K15" s="131">
        <v>113</v>
      </c>
      <c r="L15" s="132">
        <v>24.269600000000001</v>
      </c>
      <c r="M15" s="132"/>
      <c r="N15" s="131">
        <v>1</v>
      </c>
      <c r="O15" s="132">
        <v>0.13800000000000001</v>
      </c>
    </row>
    <row r="16" spans="1:15" ht="27">
      <c r="A16" s="110" t="s">
        <v>777</v>
      </c>
      <c r="B16" s="111" t="s">
        <v>428</v>
      </c>
      <c r="C16" s="32"/>
      <c r="D16" s="113" t="s">
        <v>20</v>
      </c>
      <c r="E16" s="175" t="s">
        <v>15</v>
      </c>
      <c r="F16" s="175" t="s">
        <v>53</v>
      </c>
      <c r="G16" s="32"/>
      <c r="H16" s="131">
        <v>288</v>
      </c>
      <c r="I16" s="132">
        <v>101.11593999999994</v>
      </c>
      <c r="J16" s="320"/>
      <c r="K16" s="131">
        <v>288</v>
      </c>
      <c r="L16" s="132">
        <v>101.11593999999994</v>
      </c>
      <c r="M16" s="132"/>
      <c r="N16" s="131">
        <v>0</v>
      </c>
      <c r="O16" s="132">
        <v>0</v>
      </c>
    </row>
    <row r="17" spans="1:15" ht="27">
      <c r="A17" s="110" t="s">
        <v>777</v>
      </c>
      <c r="B17" s="111" t="s">
        <v>781</v>
      </c>
      <c r="C17" s="213"/>
      <c r="D17" s="113" t="s">
        <v>17</v>
      </c>
      <c r="E17" s="175" t="s">
        <v>15</v>
      </c>
      <c r="F17" s="175" t="s">
        <v>57</v>
      </c>
      <c r="G17" s="213"/>
      <c r="H17" s="78">
        <v>27</v>
      </c>
      <c r="I17" s="128">
        <v>8.8177799999999991</v>
      </c>
      <c r="J17" s="186"/>
      <c r="K17" s="78">
        <v>24</v>
      </c>
      <c r="L17" s="128">
        <v>7.8500160000000001</v>
      </c>
      <c r="M17" s="128"/>
      <c r="N17" s="78">
        <v>3</v>
      </c>
      <c r="O17" s="128">
        <v>0.96776399999999985</v>
      </c>
    </row>
    <row r="18" spans="1:15" ht="27">
      <c r="A18" s="110" t="s">
        <v>777</v>
      </c>
      <c r="B18" s="111" t="s">
        <v>781</v>
      </c>
      <c r="C18" s="213"/>
      <c r="D18" s="113" t="s">
        <v>17</v>
      </c>
      <c r="E18" s="175" t="s">
        <v>15</v>
      </c>
      <c r="F18" s="175" t="s">
        <v>64</v>
      </c>
      <c r="G18" s="213"/>
      <c r="H18" s="78">
        <v>17</v>
      </c>
      <c r="I18" s="128">
        <v>6.6336580000000005</v>
      </c>
      <c r="J18" s="186"/>
      <c r="K18" s="78">
        <v>13</v>
      </c>
      <c r="L18" s="128">
        <v>5.0492620000000006</v>
      </c>
      <c r="M18" s="128"/>
      <c r="N18" s="78">
        <v>4</v>
      </c>
      <c r="O18" s="128">
        <v>1.5843959999999999</v>
      </c>
    </row>
    <row r="19" spans="1:15" ht="27">
      <c r="A19" s="110" t="s">
        <v>777</v>
      </c>
      <c r="B19" s="111" t="s">
        <v>781</v>
      </c>
      <c r="C19" s="213"/>
      <c r="D19" s="113" t="s">
        <v>17</v>
      </c>
      <c r="E19" s="175" t="s">
        <v>15</v>
      </c>
      <c r="F19" s="175" t="s">
        <v>59</v>
      </c>
      <c r="G19" s="213"/>
      <c r="H19" s="78">
        <v>212</v>
      </c>
      <c r="I19" s="128">
        <v>75.408491999999995</v>
      </c>
      <c r="J19" s="186"/>
      <c r="K19" s="78">
        <v>205</v>
      </c>
      <c r="L19" s="128">
        <v>72.966992000000005</v>
      </c>
      <c r="M19" s="128"/>
      <c r="N19" s="78">
        <v>7</v>
      </c>
      <c r="O19" s="128">
        <v>2.4415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14</vt:i4>
      </vt:variant>
    </vt:vector>
  </HeadingPairs>
  <TitlesOfParts>
    <vt:vector size="35" baseType="lpstr">
      <vt:lpstr>23.09.23</vt:lpstr>
      <vt:lpstr>allocation</vt:lpstr>
      <vt:lpstr>75</vt:lpstr>
      <vt:lpstr>100</vt:lpstr>
      <vt:lpstr>110</vt:lpstr>
      <vt:lpstr>150</vt:lpstr>
      <vt:lpstr>90</vt:lpstr>
      <vt:lpstr>120</vt:lpstr>
      <vt:lpstr>130 </vt:lpstr>
      <vt:lpstr>70</vt:lpstr>
      <vt:lpstr>80</vt:lpstr>
      <vt:lpstr>Sheet1</vt:lpstr>
      <vt:lpstr>Sheet3</vt:lpstr>
      <vt:lpstr>Sheet2</vt:lpstr>
      <vt:lpstr>Sheet4</vt:lpstr>
      <vt:lpstr>Sheet6</vt:lpstr>
      <vt:lpstr>Sheet5</vt:lpstr>
      <vt:lpstr>09.12.23</vt:lpstr>
      <vt:lpstr>Sheet7</vt:lpstr>
      <vt:lpstr>Sheet8</vt:lpstr>
      <vt:lpstr>Sheet9</vt:lpstr>
      <vt:lpstr>'09.12.23'!Print_Area</vt:lpstr>
      <vt:lpstr>'100'!Print_Area</vt:lpstr>
      <vt:lpstr>'110'!Print_Area</vt:lpstr>
      <vt:lpstr>'120'!Print_Area</vt:lpstr>
      <vt:lpstr>'130 '!Print_Area</vt:lpstr>
      <vt:lpstr>'23.09.23'!Print_Area</vt:lpstr>
      <vt:lpstr>'70'!Print_Area</vt:lpstr>
      <vt:lpstr>'75'!Print_Area</vt:lpstr>
      <vt:lpstr>'90'!Print_Area</vt:lpstr>
      <vt:lpstr>allocation!Print_Area</vt:lpstr>
      <vt:lpstr>Sheet1!Print_Area</vt:lpstr>
      <vt:lpstr>Sheet3!Print_Area</vt:lpstr>
      <vt:lpstr>Sheet5!Print_Area</vt:lpstr>
      <vt:lpstr>'23.09.23'!Print_Titles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2024-01-10T10:32:03Z</dcterms:modified>
</cp:coreProperties>
</file>